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/>
  <mc:AlternateContent xmlns:mc="http://schemas.openxmlformats.org/markup-compatibility/2006">
    <mc:Choice Requires="x15">
      <x15ac:absPath xmlns:x15ac="http://schemas.microsoft.com/office/spreadsheetml/2010/11/ac" url="C:\Users\BarbieBenz\Benz\งาน\สวผ. กตป\2565\Web\650228\"/>
    </mc:Choice>
  </mc:AlternateContent>
  <xr:revisionPtr revIDLastSave="0" documentId="13_ncr:1_{BFDD593E-AABC-4AC8-A3CC-3231229EFEE7}" xr6:coauthVersionLast="47" xr6:coauthVersionMax="47" xr10:uidLastSave="{00000000-0000-0000-0000-000000000000}"/>
  <bookViews>
    <workbookView xWindow="-110" yWindow="-110" windowWidth="19420" windowHeight="10420" xr2:uid="{00000000-000D-0000-FFFF-FFFF00000000}"/>
  </bookViews>
  <sheets>
    <sheet name="รวมเหนือ" sheetId="1" r:id="rId1"/>
    <sheet name="กำแพงเพชร" sheetId="2" r:id="rId2"/>
    <sheet name="เชียงราย" sheetId="3" r:id="rId3"/>
    <sheet name="เชียงใหม่" sheetId="4" r:id="rId4"/>
    <sheet name="ตาก" sheetId="5" r:id="rId5"/>
    <sheet name="นครสวรรค์" sheetId="6" r:id="rId6"/>
    <sheet name="น่าน" sheetId="7" r:id="rId7"/>
    <sheet name="พะเยา" sheetId="8" r:id="rId8"/>
    <sheet name="พิจิตร" sheetId="9" r:id="rId9"/>
    <sheet name="พิษณุโลก" sheetId="10" r:id="rId10"/>
    <sheet name="เพชรบูรณ์" sheetId="11" r:id="rId11"/>
    <sheet name="แพร่" sheetId="12" r:id="rId12"/>
    <sheet name="แม่ฮ่องสอน" sheetId="13" r:id="rId13"/>
    <sheet name="ลำปาง" sheetId="14" r:id="rId14"/>
    <sheet name="ลำพูน" sheetId="15" r:id="rId15"/>
    <sheet name="สุโขทัย" sheetId="16" r:id="rId16"/>
    <sheet name="อุตรดิตถ์" sheetId="17" r:id="rId17"/>
    <sheet name="อุทัยธานี" sheetId="18" r:id="rId18"/>
  </sheets>
  <definedNames>
    <definedName name="_xlnm.Print_Titles" localSheetId="3">เชียงใหม่!$1:$6</definedName>
    <definedName name="_xlnm.Print_Titles" localSheetId="2">เชียงราย!$1:$6</definedName>
    <definedName name="_xlnm.Print_Titles" localSheetId="10">เพชรบูรณ์!$1:$6</definedName>
    <definedName name="_xlnm.Print_Titles" localSheetId="11">แพร่!$1:$6</definedName>
    <definedName name="_xlnm.Print_Titles" localSheetId="12">แม่ฮ่องสอน!$1:$6</definedName>
    <definedName name="_xlnm.Print_Titles" localSheetId="1">กำแพงเพชร!$1:$6</definedName>
    <definedName name="_xlnm.Print_Titles" localSheetId="4">ตาก!$1:$6</definedName>
    <definedName name="_xlnm.Print_Titles" localSheetId="5">นครสวรรค์!$1:$6</definedName>
    <definedName name="_xlnm.Print_Titles" localSheetId="6">น่าน!$1:$6</definedName>
    <definedName name="_xlnm.Print_Titles" localSheetId="7">พะเยา!$1:$6</definedName>
    <definedName name="_xlnm.Print_Titles" localSheetId="8">พิจิตร!$1:$6</definedName>
    <definedName name="_xlnm.Print_Titles" localSheetId="9">พิษณุโลก!$1:$6</definedName>
    <definedName name="_xlnm.Print_Titles" localSheetId="0">รวมเหนือ!$1:$6</definedName>
    <definedName name="_xlnm.Print_Titles" localSheetId="13">ลำปาง!$1:$6</definedName>
    <definedName name="_xlnm.Print_Titles" localSheetId="14">ลำพูน!$1:$6</definedName>
    <definedName name="_xlnm.Print_Titles" localSheetId="15">สุโขทัย!$1:$6</definedName>
    <definedName name="_xlnm.Print_Titles" localSheetId="16">อุตรดิตถ์!$1:$6</definedName>
    <definedName name="_xlnm.Print_Titles" localSheetId="17">อุทัยธานี!$1:$6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J635" i="18" l="1"/>
  <c r="I635" i="18"/>
  <c r="J634" i="18"/>
  <c r="I634" i="18"/>
  <c r="J633" i="18"/>
  <c r="I633" i="18"/>
  <c r="J632" i="18"/>
  <c r="I632" i="18"/>
  <c r="J631" i="18"/>
  <c r="I631" i="18"/>
  <c r="J630" i="18"/>
  <c r="I630" i="18"/>
  <c r="J629" i="18"/>
  <c r="I629" i="18"/>
  <c r="J628" i="18"/>
  <c r="I628" i="18"/>
  <c r="J626" i="18"/>
  <c r="I626" i="18"/>
  <c r="J625" i="18"/>
  <c r="I625" i="18"/>
  <c r="J624" i="18"/>
  <c r="I624" i="18"/>
  <c r="J623" i="18"/>
  <c r="I623" i="18"/>
  <c r="J622" i="18"/>
  <c r="I622" i="18"/>
  <c r="J621" i="18"/>
  <c r="I621" i="18"/>
  <c r="J620" i="18"/>
  <c r="I620" i="18"/>
  <c r="K626" i="18" s="1"/>
  <c r="J619" i="18"/>
  <c r="I619" i="18"/>
  <c r="J618" i="18"/>
  <c r="I618" i="18"/>
  <c r="J617" i="18"/>
  <c r="I617" i="18"/>
  <c r="J616" i="18"/>
  <c r="I616" i="18"/>
  <c r="J615" i="18"/>
  <c r="I615" i="18"/>
  <c r="J614" i="18"/>
  <c r="I614" i="18"/>
  <c r="J613" i="18"/>
  <c r="I613" i="18"/>
  <c r="J612" i="18"/>
  <c r="I612" i="18"/>
  <c r="J611" i="18"/>
  <c r="I611" i="18"/>
  <c r="J610" i="18"/>
  <c r="J609" i="18"/>
  <c r="J608" i="18"/>
  <c r="J607" i="18"/>
  <c r="N605" i="18"/>
  <c r="N604" i="18"/>
  <c r="N603" i="18"/>
  <c r="N602" i="18"/>
  <c r="N601" i="18"/>
  <c r="L601" i="18"/>
  <c r="N600" i="18"/>
  <c r="L600" i="18"/>
  <c r="O600" i="18" s="1"/>
  <c r="N599" i="18"/>
  <c r="L599" i="18"/>
  <c r="N598" i="18"/>
  <c r="L598" i="18"/>
  <c r="O598" i="18" s="1"/>
  <c r="N597" i="18"/>
  <c r="L597" i="18"/>
  <c r="J597" i="18"/>
  <c r="I597" i="18"/>
  <c r="J596" i="18"/>
  <c r="I596" i="18"/>
  <c r="K596" i="18" s="1"/>
  <c r="J595" i="18"/>
  <c r="I595" i="18"/>
  <c r="J594" i="18"/>
  <c r="I594" i="18"/>
  <c r="K594" i="18" s="1"/>
  <c r="J593" i="18"/>
  <c r="I593" i="18"/>
  <c r="J592" i="18"/>
  <c r="I592" i="18"/>
  <c r="K592" i="18" s="1"/>
  <c r="J591" i="18"/>
  <c r="I591" i="18"/>
  <c r="J590" i="18"/>
  <c r="I590" i="18"/>
  <c r="K590" i="18" s="1"/>
  <c r="J589" i="18"/>
  <c r="I589" i="18"/>
  <c r="N588" i="18"/>
  <c r="N587" i="18"/>
  <c r="N586" i="18"/>
  <c r="N585" i="18"/>
  <c r="N584" i="18"/>
  <c r="L584" i="18"/>
  <c r="N583" i="18"/>
  <c r="L583" i="18"/>
  <c r="O583" i="18" s="1"/>
  <c r="N582" i="18"/>
  <c r="L582" i="18"/>
  <c r="N581" i="18"/>
  <c r="L581" i="18"/>
  <c r="O581" i="18" s="1"/>
  <c r="N580" i="18"/>
  <c r="L580" i="18"/>
  <c r="J580" i="18"/>
  <c r="I580" i="18"/>
  <c r="J579" i="18"/>
  <c r="I579" i="18"/>
  <c r="K579" i="18" s="1"/>
  <c r="J578" i="18"/>
  <c r="I578" i="18"/>
  <c r="K578" i="18" s="1"/>
  <c r="J577" i="18"/>
  <c r="I577" i="18"/>
  <c r="K577" i="18" s="1"/>
  <c r="J576" i="18"/>
  <c r="I576" i="18"/>
  <c r="K576" i="18" s="1"/>
  <c r="J575" i="18"/>
  <c r="I575" i="18"/>
  <c r="K575" i="18" s="1"/>
  <c r="J573" i="18"/>
  <c r="I573" i="18"/>
  <c r="N572" i="18"/>
  <c r="N571" i="18"/>
  <c r="N570" i="18"/>
  <c r="N569" i="18"/>
  <c r="N568" i="18"/>
  <c r="L568" i="18"/>
  <c r="N567" i="18"/>
  <c r="L567" i="18"/>
  <c r="O567" i="18" s="1"/>
  <c r="N566" i="18"/>
  <c r="L566" i="18"/>
  <c r="N565" i="18"/>
  <c r="L565" i="18"/>
  <c r="O565" i="18" s="1"/>
  <c r="N564" i="18"/>
  <c r="L564" i="18"/>
  <c r="J564" i="18"/>
  <c r="I564" i="18"/>
  <c r="J563" i="18"/>
  <c r="J562" i="18"/>
  <c r="J561" i="18"/>
  <c r="I561" i="18"/>
  <c r="K561" i="18" s="1"/>
  <c r="J560" i="18"/>
  <c r="I560" i="18"/>
  <c r="K560" i="18" s="1"/>
  <c r="N559" i="18"/>
  <c r="N558" i="18"/>
  <c r="N557" i="18"/>
  <c r="N556" i="18"/>
  <c r="N555" i="18"/>
  <c r="L555" i="18"/>
  <c r="O555" i="18" s="1"/>
  <c r="N554" i="18"/>
  <c r="L554" i="18"/>
  <c r="O554" i="18" s="1"/>
  <c r="N553" i="18"/>
  <c r="L553" i="18"/>
  <c r="O553" i="18" s="1"/>
  <c r="N552" i="18"/>
  <c r="L552" i="18"/>
  <c r="O552" i="18" s="1"/>
  <c r="N551" i="18"/>
  <c r="L551" i="18"/>
  <c r="O551" i="18" s="1"/>
  <c r="J551" i="18"/>
  <c r="I551" i="18"/>
  <c r="K551" i="18" s="1"/>
  <c r="J550" i="18"/>
  <c r="J549" i="18"/>
  <c r="J548" i="18"/>
  <c r="I548" i="18"/>
  <c r="K548" i="18" s="1"/>
  <c r="J547" i="18"/>
  <c r="I547" i="18"/>
  <c r="J546" i="18"/>
  <c r="J545" i="18"/>
  <c r="J544" i="18"/>
  <c r="J543" i="18"/>
  <c r="N541" i="18"/>
  <c r="N540" i="18"/>
  <c r="N539" i="18"/>
  <c r="N538" i="18"/>
  <c r="N537" i="18"/>
  <c r="L537" i="18"/>
  <c r="N536" i="18"/>
  <c r="L536" i="18"/>
  <c r="O536" i="18" s="1"/>
  <c r="N535" i="18"/>
  <c r="L535" i="18"/>
  <c r="N534" i="18"/>
  <c r="L534" i="18"/>
  <c r="O534" i="18" s="1"/>
  <c r="N533" i="18"/>
  <c r="L533" i="18"/>
  <c r="J533" i="18"/>
  <c r="I533" i="18"/>
  <c r="J532" i="18"/>
  <c r="I532" i="18"/>
  <c r="J531" i="18"/>
  <c r="I531" i="18"/>
  <c r="J530" i="18"/>
  <c r="I530" i="18"/>
  <c r="J529" i="18"/>
  <c r="I529" i="18"/>
  <c r="J528" i="18"/>
  <c r="I528" i="18"/>
  <c r="J527" i="18"/>
  <c r="I527" i="18"/>
  <c r="J526" i="18"/>
  <c r="I526" i="18"/>
  <c r="J525" i="18"/>
  <c r="I525" i="18"/>
  <c r="J524" i="18"/>
  <c r="I524" i="18"/>
  <c r="J523" i="18"/>
  <c r="I523" i="18"/>
  <c r="J522" i="18"/>
  <c r="I522" i="18"/>
  <c r="J521" i="18"/>
  <c r="I521" i="18"/>
  <c r="J520" i="18"/>
  <c r="I520" i="18"/>
  <c r="J519" i="18"/>
  <c r="I519" i="18"/>
  <c r="J518" i="18"/>
  <c r="I518" i="18"/>
  <c r="J517" i="18"/>
  <c r="I517" i="18"/>
  <c r="J516" i="18"/>
  <c r="I516" i="18"/>
  <c r="J515" i="18"/>
  <c r="I515" i="18"/>
  <c r="K515" i="18" s="1"/>
  <c r="J514" i="18"/>
  <c r="I514" i="18"/>
  <c r="K514" i="18" s="1"/>
  <c r="J513" i="18"/>
  <c r="I513" i="18"/>
  <c r="K513" i="18" s="1"/>
  <c r="J512" i="18"/>
  <c r="I512" i="18"/>
  <c r="K512" i="18" s="1"/>
  <c r="J511" i="18"/>
  <c r="I511" i="18"/>
  <c r="K511" i="18" s="1"/>
  <c r="J510" i="18"/>
  <c r="I510" i="18"/>
  <c r="K510" i="18" s="1"/>
  <c r="J509" i="18"/>
  <c r="I509" i="18"/>
  <c r="K509" i="18" s="1"/>
  <c r="J508" i="18"/>
  <c r="I508" i="18"/>
  <c r="K508" i="18" s="1"/>
  <c r="J507" i="18"/>
  <c r="I507" i="18"/>
  <c r="K507" i="18" s="1"/>
  <c r="J506" i="18"/>
  <c r="I506" i="18"/>
  <c r="K506" i="18" s="1"/>
  <c r="J505" i="18"/>
  <c r="I505" i="18"/>
  <c r="K505" i="18" s="1"/>
  <c r="J504" i="18"/>
  <c r="I504" i="18"/>
  <c r="K504" i="18" s="1"/>
  <c r="J503" i="18"/>
  <c r="I503" i="18"/>
  <c r="K503" i="18" s="1"/>
  <c r="J502" i="18"/>
  <c r="I502" i="18"/>
  <c r="K502" i="18" s="1"/>
  <c r="J501" i="18"/>
  <c r="I501" i="18"/>
  <c r="K501" i="18" s="1"/>
  <c r="J500" i="18"/>
  <c r="I500" i="18"/>
  <c r="K500" i="18" s="1"/>
  <c r="J499" i="18"/>
  <c r="I499" i="18"/>
  <c r="J498" i="18"/>
  <c r="I498" i="18"/>
  <c r="J497" i="18"/>
  <c r="I497" i="18"/>
  <c r="J496" i="18"/>
  <c r="I496" i="18"/>
  <c r="K496" i="18" s="1"/>
  <c r="J495" i="18"/>
  <c r="I495" i="18"/>
  <c r="K495" i="18" s="1"/>
  <c r="J494" i="18"/>
  <c r="I494" i="18"/>
  <c r="K494" i="18" s="1"/>
  <c r="J493" i="18"/>
  <c r="I493" i="18"/>
  <c r="K493" i="18" s="1"/>
  <c r="J492" i="18"/>
  <c r="I492" i="18"/>
  <c r="K492" i="18" s="1"/>
  <c r="J491" i="18"/>
  <c r="I491" i="18"/>
  <c r="K491" i="18" s="1"/>
  <c r="J490" i="18"/>
  <c r="I490" i="18"/>
  <c r="K490" i="18" s="1"/>
  <c r="J489" i="18"/>
  <c r="I489" i="18"/>
  <c r="K489" i="18" s="1"/>
  <c r="J488" i="18"/>
  <c r="I488" i="18"/>
  <c r="K488" i="18" s="1"/>
  <c r="J487" i="18"/>
  <c r="I487" i="18"/>
  <c r="K487" i="18" s="1"/>
  <c r="J486" i="18"/>
  <c r="I486" i="18"/>
  <c r="K486" i="18" s="1"/>
  <c r="J485" i="18"/>
  <c r="I485" i="18"/>
  <c r="K485" i="18" s="1"/>
  <c r="J484" i="18"/>
  <c r="I484" i="18"/>
  <c r="K484" i="18" s="1"/>
  <c r="J483" i="18"/>
  <c r="I483" i="18"/>
  <c r="K483" i="18" s="1"/>
  <c r="J482" i="18"/>
  <c r="I482" i="18"/>
  <c r="J481" i="18"/>
  <c r="I481" i="18"/>
  <c r="J480" i="18"/>
  <c r="I480" i="18"/>
  <c r="K480" i="18" s="1"/>
  <c r="J479" i="18"/>
  <c r="I479" i="18"/>
  <c r="K479" i="18" s="1"/>
  <c r="J478" i="18"/>
  <c r="I478" i="18"/>
  <c r="K478" i="18" s="1"/>
  <c r="J477" i="18"/>
  <c r="I477" i="18"/>
  <c r="K477" i="18" s="1"/>
  <c r="J476" i="18"/>
  <c r="I476" i="18"/>
  <c r="K476" i="18" s="1"/>
  <c r="J475" i="18"/>
  <c r="I475" i="18"/>
  <c r="K475" i="18" s="1"/>
  <c r="J474" i="18"/>
  <c r="I474" i="18"/>
  <c r="J473" i="18"/>
  <c r="I473" i="18"/>
  <c r="J472" i="18"/>
  <c r="I472" i="18"/>
  <c r="K472" i="18" s="1"/>
  <c r="J471" i="18"/>
  <c r="I471" i="18"/>
  <c r="K471" i="18" s="1"/>
  <c r="J470" i="18"/>
  <c r="I470" i="18"/>
  <c r="K470" i="18" s="1"/>
  <c r="J469" i="18"/>
  <c r="I469" i="18"/>
  <c r="K469" i="18" s="1"/>
  <c r="J468" i="18"/>
  <c r="I468" i="18"/>
  <c r="K468" i="18" s="1"/>
  <c r="J467" i="18"/>
  <c r="I467" i="18"/>
  <c r="K467" i="18" s="1"/>
  <c r="J466" i="18"/>
  <c r="I466" i="18"/>
  <c r="J465" i="18"/>
  <c r="I465" i="18"/>
  <c r="J464" i="18"/>
  <c r="I464" i="18"/>
  <c r="N463" i="18"/>
  <c r="N462" i="18"/>
  <c r="N461" i="18"/>
  <c r="N460" i="18"/>
  <c r="N459" i="18"/>
  <c r="L459" i="18"/>
  <c r="N458" i="18"/>
  <c r="L458" i="18"/>
  <c r="O458" i="18" s="1"/>
  <c r="N457" i="18"/>
  <c r="L457" i="18"/>
  <c r="N456" i="18"/>
  <c r="L456" i="18"/>
  <c r="O456" i="18" s="1"/>
  <c r="N455" i="18"/>
  <c r="L455" i="18"/>
  <c r="J455" i="18"/>
  <c r="I455" i="18"/>
  <c r="J454" i="18"/>
  <c r="J453" i="18"/>
  <c r="J452" i="18"/>
  <c r="I452" i="18"/>
  <c r="K452" i="18" s="1"/>
  <c r="J451" i="18"/>
  <c r="I451" i="18"/>
  <c r="K451" i="18" s="1"/>
  <c r="J450" i="18"/>
  <c r="I450" i="18"/>
  <c r="J449" i="18"/>
  <c r="I449" i="18"/>
  <c r="J448" i="18"/>
  <c r="J447" i="18"/>
  <c r="J446" i="18"/>
  <c r="J445" i="18"/>
  <c r="N443" i="18"/>
  <c r="N442" i="18"/>
  <c r="N441" i="18"/>
  <c r="N440" i="18"/>
  <c r="N439" i="18"/>
  <c r="L439" i="18"/>
  <c r="N438" i="18"/>
  <c r="L438" i="18"/>
  <c r="O438" i="18" s="1"/>
  <c r="N437" i="18"/>
  <c r="L437" i="18"/>
  <c r="N436" i="18"/>
  <c r="L436" i="18"/>
  <c r="O436" i="18" s="1"/>
  <c r="N435" i="18"/>
  <c r="L435" i="18"/>
  <c r="J435" i="18"/>
  <c r="I435" i="18"/>
  <c r="J434" i="18"/>
  <c r="J433" i="18"/>
  <c r="J432" i="18"/>
  <c r="I432" i="18"/>
  <c r="J431" i="18"/>
  <c r="I431" i="18"/>
  <c r="J430" i="18"/>
  <c r="I430" i="18"/>
  <c r="J429" i="18"/>
  <c r="I429" i="18"/>
  <c r="J428" i="18"/>
  <c r="I428" i="18"/>
  <c r="J427" i="18"/>
  <c r="I427" i="18"/>
  <c r="J426" i="18"/>
  <c r="I426" i="18"/>
  <c r="J425" i="18"/>
  <c r="I425" i="18"/>
  <c r="J424" i="18"/>
  <c r="I424" i="18"/>
  <c r="J423" i="18"/>
  <c r="I423" i="18"/>
  <c r="J422" i="18"/>
  <c r="I422" i="18"/>
  <c r="J421" i="18"/>
  <c r="I421" i="18"/>
  <c r="J420" i="18"/>
  <c r="I420" i="18"/>
  <c r="J419" i="18"/>
  <c r="I419" i="18"/>
  <c r="J418" i="18"/>
  <c r="I418" i="18"/>
  <c r="J417" i="18"/>
  <c r="I417" i="18"/>
  <c r="J416" i="18"/>
  <c r="I416" i="18"/>
  <c r="J415" i="18"/>
  <c r="J414" i="18"/>
  <c r="J413" i="18"/>
  <c r="J412" i="18"/>
  <c r="N410" i="18"/>
  <c r="N409" i="18"/>
  <c r="N408" i="18"/>
  <c r="N407" i="18"/>
  <c r="N406" i="18"/>
  <c r="L406" i="18"/>
  <c r="N405" i="18"/>
  <c r="L405" i="18"/>
  <c r="O405" i="18" s="1"/>
  <c r="N404" i="18"/>
  <c r="L404" i="18"/>
  <c r="N403" i="18"/>
  <c r="L403" i="18"/>
  <c r="O403" i="18" s="1"/>
  <c r="J402" i="18"/>
  <c r="I402" i="18"/>
  <c r="N401" i="18"/>
  <c r="L401" i="18"/>
  <c r="J401" i="18"/>
  <c r="I401" i="18"/>
  <c r="J400" i="18"/>
  <c r="J399" i="18"/>
  <c r="J398" i="18"/>
  <c r="I398" i="18"/>
  <c r="J397" i="18"/>
  <c r="I397" i="18"/>
  <c r="J396" i="18"/>
  <c r="I396" i="18"/>
  <c r="J394" i="18"/>
  <c r="J393" i="18"/>
  <c r="J392" i="18"/>
  <c r="J391" i="18"/>
  <c r="N389" i="18"/>
  <c r="N388" i="18"/>
  <c r="N387" i="18"/>
  <c r="N386" i="18"/>
  <c r="N385" i="18"/>
  <c r="L385" i="18"/>
  <c r="N384" i="18"/>
  <c r="L384" i="18"/>
  <c r="O384" i="18" s="1"/>
  <c r="N383" i="18"/>
  <c r="L383" i="18"/>
  <c r="N382" i="18"/>
  <c r="L382" i="18"/>
  <c r="O382" i="18" s="1"/>
  <c r="J381" i="18"/>
  <c r="I381" i="18"/>
  <c r="N380" i="18"/>
  <c r="L380" i="18"/>
  <c r="J380" i="18"/>
  <c r="I380" i="18"/>
  <c r="J379" i="18"/>
  <c r="J378" i="18"/>
  <c r="J377" i="18"/>
  <c r="I377" i="18"/>
  <c r="J376" i="18"/>
  <c r="I376" i="18"/>
  <c r="J375" i="18"/>
  <c r="I375" i="18"/>
  <c r="J374" i="18"/>
  <c r="I374" i="18"/>
  <c r="J373" i="18"/>
  <c r="I373" i="18"/>
  <c r="K373" i="18" s="1"/>
  <c r="J372" i="18"/>
  <c r="I372" i="18"/>
  <c r="J371" i="18"/>
  <c r="I371" i="18"/>
  <c r="J370" i="18"/>
  <c r="I370" i="18"/>
  <c r="J369" i="18"/>
  <c r="I369" i="18"/>
  <c r="K369" i="18" s="1"/>
  <c r="J368" i="18"/>
  <c r="I368" i="18"/>
  <c r="J367" i="18"/>
  <c r="J366" i="18"/>
  <c r="J365" i="18"/>
  <c r="I365" i="18"/>
  <c r="K365" i="18" s="1"/>
  <c r="J364" i="18"/>
  <c r="J363" i="18"/>
  <c r="J362" i="18"/>
  <c r="J361" i="18"/>
  <c r="J360" i="18"/>
  <c r="N358" i="18"/>
  <c r="N357" i="18"/>
  <c r="N356" i="18"/>
  <c r="N355" i="18"/>
  <c r="N354" i="18"/>
  <c r="L354" i="18"/>
  <c r="N353" i="18"/>
  <c r="L353" i="18"/>
  <c r="O353" i="18" s="1"/>
  <c r="N352" i="18"/>
  <c r="L352" i="18"/>
  <c r="N351" i="18"/>
  <c r="L351" i="18"/>
  <c r="J350" i="18"/>
  <c r="I350" i="18"/>
  <c r="N349" i="18"/>
  <c r="L349" i="18"/>
  <c r="J349" i="18"/>
  <c r="I349" i="18"/>
  <c r="N347" i="18"/>
  <c r="L347" i="18"/>
  <c r="J346" i="18"/>
  <c r="I346" i="18"/>
  <c r="K346" i="18" s="1"/>
  <c r="J345" i="18"/>
  <c r="I345" i="18"/>
  <c r="J344" i="18"/>
  <c r="I344" i="18"/>
  <c r="K344" i="18" s="1"/>
  <c r="J343" i="18"/>
  <c r="I343" i="18"/>
  <c r="J342" i="18"/>
  <c r="I342" i="18"/>
  <c r="K342" i="18" s="1"/>
  <c r="J341" i="18"/>
  <c r="I341" i="18"/>
  <c r="J340" i="18"/>
  <c r="I340" i="18"/>
  <c r="J339" i="18"/>
  <c r="I339" i="18"/>
  <c r="K339" i="18" s="1"/>
  <c r="N337" i="18"/>
  <c r="L337" i="18"/>
  <c r="M337" i="18" s="1"/>
  <c r="L335" i="18"/>
  <c r="L334" i="18"/>
  <c r="N333" i="18"/>
  <c r="M333" i="18"/>
  <c r="O332" i="18"/>
  <c r="P330" i="18"/>
  <c r="N330" i="18"/>
  <c r="M330" i="18"/>
  <c r="L330" i="18"/>
  <c r="O330" i="18" s="1"/>
  <c r="J328" i="18"/>
  <c r="I328" i="18"/>
  <c r="J326" i="18"/>
  <c r="J325" i="18"/>
  <c r="J324" i="18"/>
  <c r="I324" i="18"/>
  <c r="J323" i="18"/>
  <c r="J322" i="18"/>
  <c r="J321" i="18"/>
  <c r="J320" i="18"/>
  <c r="N318" i="18"/>
  <c r="L318" i="18"/>
  <c r="O318" i="18" s="1"/>
  <c r="L316" i="18"/>
  <c r="L315" i="18"/>
  <c r="N314" i="18"/>
  <c r="M314" i="18"/>
  <c r="O313" i="18"/>
  <c r="O311" i="18"/>
  <c r="N311" i="18"/>
  <c r="M311" i="18"/>
  <c r="L311" i="18"/>
  <c r="J309" i="18"/>
  <c r="I309" i="18"/>
  <c r="J308" i="18"/>
  <c r="J307" i="18"/>
  <c r="J306" i="18"/>
  <c r="I306" i="18"/>
  <c r="J304" i="18"/>
  <c r="I304" i="18"/>
  <c r="J303" i="18"/>
  <c r="J302" i="18"/>
  <c r="J301" i="18"/>
  <c r="J300" i="18"/>
  <c r="N298" i="18"/>
  <c r="L298" i="18"/>
  <c r="L296" i="18"/>
  <c r="L295" i="18"/>
  <c r="N294" i="18"/>
  <c r="M294" i="18"/>
  <c r="M292" i="18" s="1"/>
  <c r="O293" i="18"/>
  <c r="P291" i="18"/>
  <c r="O291" i="18"/>
  <c r="N291" i="18"/>
  <c r="M291" i="18"/>
  <c r="L291" i="18"/>
  <c r="J289" i="18"/>
  <c r="I289" i="18"/>
  <c r="J287" i="18"/>
  <c r="J286" i="18"/>
  <c r="J285" i="18"/>
  <c r="I285" i="18"/>
  <c r="J284" i="18"/>
  <c r="J283" i="18"/>
  <c r="J282" i="18"/>
  <c r="J281" i="18"/>
  <c r="N279" i="18"/>
  <c r="L279" i="18"/>
  <c r="O279" i="18" s="1"/>
  <c r="L277" i="18"/>
  <c r="L276" i="18"/>
  <c r="N275" i="18"/>
  <c r="M275" i="18"/>
  <c r="O274" i="18"/>
  <c r="P272" i="18"/>
  <c r="N272" i="18"/>
  <c r="M272" i="18"/>
  <c r="L272" i="18"/>
  <c r="J270" i="18"/>
  <c r="I270" i="18"/>
  <c r="J269" i="18"/>
  <c r="J268" i="18"/>
  <c r="J267" i="18"/>
  <c r="I267" i="18"/>
  <c r="J266" i="18"/>
  <c r="I266" i="18"/>
  <c r="J265" i="18"/>
  <c r="I265" i="18"/>
  <c r="J264" i="18"/>
  <c r="I264" i="18"/>
  <c r="J263" i="18"/>
  <c r="J262" i="18"/>
  <c r="J261" i="18"/>
  <c r="J260" i="18"/>
  <c r="N258" i="18"/>
  <c r="L258" i="18"/>
  <c r="O258" i="18" s="1"/>
  <c r="L256" i="18"/>
  <c r="L255" i="18"/>
  <c r="N254" i="18"/>
  <c r="M254" i="18"/>
  <c r="O253" i="18"/>
  <c r="P251" i="18"/>
  <c r="O251" i="18"/>
  <c r="N251" i="18"/>
  <c r="M251" i="18"/>
  <c r="L251" i="18"/>
  <c r="J249" i="18"/>
  <c r="I249" i="18"/>
  <c r="J246" i="18"/>
  <c r="J245" i="18"/>
  <c r="J244" i="18"/>
  <c r="I244" i="18"/>
  <c r="K244" i="18" s="1"/>
  <c r="J243" i="18"/>
  <c r="J242" i="18"/>
  <c r="J241" i="18"/>
  <c r="J240" i="18"/>
  <c r="J238" i="18"/>
  <c r="I238" i="18"/>
  <c r="K238" i="18" s="1"/>
  <c r="J237" i="18"/>
  <c r="J236" i="18"/>
  <c r="J235" i="18"/>
  <c r="I235" i="18"/>
  <c r="J234" i="18"/>
  <c r="J233" i="18"/>
  <c r="J232" i="18"/>
  <c r="J231" i="18"/>
  <c r="J229" i="18"/>
  <c r="I229" i="18"/>
  <c r="N228" i="18"/>
  <c r="L228" i="18"/>
  <c r="O228" i="18" s="1"/>
  <c r="L226" i="18"/>
  <c r="L225" i="18"/>
  <c r="N224" i="18"/>
  <c r="M224" i="18"/>
  <c r="O223" i="18"/>
  <c r="N221" i="18"/>
  <c r="M221" i="18"/>
  <c r="P221" i="18" s="1"/>
  <c r="L221" i="18"/>
  <c r="J219" i="18"/>
  <c r="I219" i="18"/>
  <c r="J218" i="18"/>
  <c r="J217" i="18"/>
  <c r="J216" i="18"/>
  <c r="I216" i="18"/>
  <c r="K216" i="18" s="1"/>
  <c r="J215" i="18"/>
  <c r="I215" i="18"/>
  <c r="K215" i="18" s="1"/>
  <c r="J213" i="18"/>
  <c r="I213" i="18"/>
  <c r="K213" i="18" s="1"/>
  <c r="J212" i="18"/>
  <c r="J211" i="18"/>
  <c r="J210" i="18"/>
  <c r="J209" i="18"/>
  <c r="J204" i="18"/>
  <c r="I204" i="18"/>
  <c r="K204" i="18" s="1"/>
  <c r="J203" i="18"/>
  <c r="J202" i="18"/>
  <c r="J201" i="18"/>
  <c r="I201" i="18"/>
  <c r="K201" i="18" s="1"/>
  <c r="J200" i="18"/>
  <c r="I200" i="18"/>
  <c r="J199" i="18"/>
  <c r="I199" i="18"/>
  <c r="J197" i="18"/>
  <c r="J196" i="18"/>
  <c r="J195" i="18"/>
  <c r="J194" i="18"/>
  <c r="J189" i="18"/>
  <c r="I189" i="18"/>
  <c r="J188" i="18"/>
  <c r="J187" i="18"/>
  <c r="J186" i="18"/>
  <c r="I186" i="18"/>
  <c r="K186" i="18" s="1"/>
  <c r="J185" i="18"/>
  <c r="I185" i="18"/>
  <c r="K185" i="18" s="1"/>
  <c r="J184" i="18"/>
  <c r="J183" i="18"/>
  <c r="J182" i="18"/>
  <c r="J181" i="18"/>
  <c r="J176" i="18"/>
  <c r="I176" i="18"/>
  <c r="K176" i="18" s="1"/>
  <c r="J175" i="18"/>
  <c r="J174" i="18"/>
  <c r="J173" i="18"/>
  <c r="I173" i="18"/>
  <c r="J172" i="18"/>
  <c r="J171" i="18"/>
  <c r="J170" i="18"/>
  <c r="J169" i="18"/>
  <c r="J164" i="18"/>
  <c r="I164" i="18"/>
  <c r="J163" i="18"/>
  <c r="J162" i="18"/>
  <c r="J161" i="18"/>
  <c r="J160" i="18"/>
  <c r="J159" i="18"/>
  <c r="J158" i="18"/>
  <c r="I158" i="18"/>
  <c r="J157" i="18"/>
  <c r="J156" i="18"/>
  <c r="J155" i="18"/>
  <c r="J154" i="18"/>
  <c r="J149" i="18"/>
  <c r="I149" i="18"/>
  <c r="N148" i="18"/>
  <c r="L148" i="18"/>
  <c r="O148" i="18" s="1"/>
  <c r="L146" i="18"/>
  <c r="L145" i="18"/>
  <c r="N144" i="18"/>
  <c r="M144" i="18"/>
  <c r="M142" i="18" s="1"/>
  <c r="M140" i="18" s="1"/>
  <c r="O143" i="18"/>
  <c r="P141" i="18"/>
  <c r="O141" i="18"/>
  <c r="N141" i="18"/>
  <c r="M141" i="18"/>
  <c r="L141" i="18"/>
  <c r="J138" i="18"/>
  <c r="I138" i="18"/>
  <c r="K138" i="18" s="1"/>
  <c r="J135" i="18"/>
  <c r="J134" i="18"/>
  <c r="J133" i="18"/>
  <c r="I133" i="18"/>
  <c r="K133" i="18" s="1"/>
  <c r="J132" i="18"/>
  <c r="I132" i="18"/>
  <c r="K132" i="18" s="1"/>
  <c r="J131" i="18"/>
  <c r="J130" i="18"/>
  <c r="J129" i="18"/>
  <c r="J128" i="18"/>
  <c r="N126" i="18"/>
  <c r="L126" i="18"/>
  <c r="O126" i="18" s="1"/>
  <c r="L124" i="18"/>
  <c r="L123" i="18"/>
  <c r="N122" i="18"/>
  <c r="M122" i="18"/>
  <c r="O121" i="18"/>
  <c r="P119" i="18"/>
  <c r="N119" i="18"/>
  <c r="M119" i="18"/>
  <c r="L119" i="18"/>
  <c r="J117" i="18"/>
  <c r="I117" i="18"/>
  <c r="K117" i="18" s="1"/>
  <c r="J115" i="18"/>
  <c r="J114" i="18"/>
  <c r="J113" i="18"/>
  <c r="I113" i="18"/>
  <c r="J112" i="18"/>
  <c r="I112" i="18"/>
  <c r="J111" i="18"/>
  <c r="I111" i="18"/>
  <c r="J110" i="18"/>
  <c r="I110" i="18"/>
  <c r="J109" i="18"/>
  <c r="I109" i="18"/>
  <c r="J108" i="18"/>
  <c r="I108" i="18"/>
  <c r="J107" i="18"/>
  <c r="J106" i="18"/>
  <c r="J105" i="18"/>
  <c r="J104" i="18"/>
  <c r="N102" i="18"/>
  <c r="L102" i="18"/>
  <c r="M102" i="18" s="1"/>
  <c r="L100" i="18"/>
  <c r="L99" i="18"/>
  <c r="N98" i="18"/>
  <c r="M98" i="18"/>
  <c r="O97" i="18"/>
  <c r="P95" i="18"/>
  <c r="O95" i="18"/>
  <c r="N95" i="18"/>
  <c r="M95" i="18"/>
  <c r="L95" i="18"/>
  <c r="J93" i="18"/>
  <c r="I93" i="18"/>
  <c r="J92" i="18"/>
  <c r="I92" i="18"/>
  <c r="J90" i="18"/>
  <c r="J89" i="18"/>
  <c r="J88" i="18"/>
  <c r="I88" i="18"/>
  <c r="J87" i="18"/>
  <c r="I87" i="18"/>
  <c r="J86" i="18"/>
  <c r="I86" i="18"/>
  <c r="J85" i="18"/>
  <c r="I85" i="18"/>
  <c r="K85" i="18" s="1"/>
  <c r="J84" i="18"/>
  <c r="I84" i="18"/>
  <c r="K84" i="18" s="1"/>
  <c r="J83" i="18"/>
  <c r="I83" i="18"/>
  <c r="J82" i="18"/>
  <c r="I82" i="18"/>
  <c r="J81" i="18"/>
  <c r="I81" i="18"/>
  <c r="J80" i="18"/>
  <c r="I80" i="18"/>
  <c r="J79" i="18"/>
  <c r="J78" i="18"/>
  <c r="J77" i="18"/>
  <c r="J76" i="18"/>
  <c r="N74" i="18"/>
  <c r="L74" i="18"/>
  <c r="O74" i="18" s="1"/>
  <c r="L72" i="18"/>
  <c r="L71" i="18"/>
  <c r="N70" i="18"/>
  <c r="M70" i="18"/>
  <c r="O69" i="18"/>
  <c r="P67" i="18"/>
  <c r="N67" i="18"/>
  <c r="M67" i="18"/>
  <c r="L67" i="18"/>
  <c r="J65" i="18"/>
  <c r="I65" i="18"/>
  <c r="J64" i="18"/>
  <c r="I64" i="18"/>
  <c r="N61" i="18"/>
  <c r="L61" i="18"/>
  <c r="O61" i="18" s="1"/>
  <c r="L59" i="18"/>
  <c r="L58" i="18"/>
  <c r="N57" i="18"/>
  <c r="M57" i="18"/>
  <c r="P54" i="18"/>
  <c r="O54" i="18"/>
  <c r="N54" i="18"/>
  <c r="M54" i="18"/>
  <c r="L54" i="18"/>
  <c r="N49" i="18"/>
  <c r="L49" i="18"/>
  <c r="O49" i="18" s="1"/>
  <c r="L47" i="18"/>
  <c r="L46" i="18"/>
  <c r="N45" i="18"/>
  <c r="M45" i="18"/>
  <c r="M43" i="18" s="1"/>
  <c r="M41" i="18" s="1"/>
  <c r="P42" i="18"/>
  <c r="N42" i="18"/>
  <c r="M42" i="18"/>
  <c r="L42" i="18"/>
  <c r="P36" i="18"/>
  <c r="O36" i="18"/>
  <c r="P35" i="18"/>
  <c r="O35" i="18"/>
  <c r="P34" i="18"/>
  <c r="M34" i="18"/>
  <c r="P33" i="18"/>
  <c r="M33" i="18"/>
  <c r="M32" i="18"/>
  <c r="P31" i="18"/>
  <c r="M31" i="18"/>
  <c r="P29" i="18"/>
  <c r="M29" i="18"/>
  <c r="P25" i="18"/>
  <c r="N25" i="18"/>
  <c r="M25" i="18"/>
  <c r="L25" i="18"/>
  <c r="L15" i="18" s="1"/>
  <c r="O15" i="18" s="1"/>
  <c r="P24" i="18"/>
  <c r="N24" i="18"/>
  <c r="M24" i="18"/>
  <c r="N23" i="18"/>
  <c r="M23" i="18"/>
  <c r="P21" i="18"/>
  <c r="O21" i="18"/>
  <c r="N21" i="18"/>
  <c r="M21" i="18"/>
  <c r="L21" i="18"/>
  <c r="L19" i="18" s="1"/>
  <c r="N19" i="18"/>
  <c r="M19" i="18"/>
  <c r="P15" i="18"/>
  <c r="N15" i="18"/>
  <c r="M15" i="18"/>
  <c r="M14" i="18"/>
  <c r="P14" i="18" s="1"/>
  <c r="P11" i="18"/>
  <c r="M11" i="18"/>
  <c r="M9" i="18" s="1"/>
  <c r="J635" i="17"/>
  <c r="I635" i="17"/>
  <c r="J634" i="17"/>
  <c r="I634" i="17"/>
  <c r="J633" i="17"/>
  <c r="I633" i="17"/>
  <c r="J632" i="17"/>
  <c r="I632" i="17"/>
  <c r="J631" i="17"/>
  <c r="I631" i="17"/>
  <c r="J630" i="17"/>
  <c r="I630" i="17"/>
  <c r="J629" i="17"/>
  <c r="I629" i="17"/>
  <c r="J628" i="17"/>
  <c r="I628" i="17"/>
  <c r="J626" i="17"/>
  <c r="I626" i="17"/>
  <c r="J625" i="17"/>
  <c r="I625" i="17"/>
  <c r="J624" i="17"/>
  <c r="I624" i="17"/>
  <c r="J623" i="17"/>
  <c r="I623" i="17"/>
  <c r="J622" i="17"/>
  <c r="I622" i="17"/>
  <c r="J621" i="17"/>
  <c r="I621" i="17"/>
  <c r="J620" i="17"/>
  <c r="I620" i="17"/>
  <c r="J619" i="17"/>
  <c r="I619" i="17"/>
  <c r="J618" i="17"/>
  <c r="I618" i="17"/>
  <c r="J617" i="17"/>
  <c r="I617" i="17"/>
  <c r="J616" i="17"/>
  <c r="I616" i="17"/>
  <c r="J615" i="17"/>
  <c r="I615" i="17"/>
  <c r="J614" i="17"/>
  <c r="I614" i="17"/>
  <c r="J613" i="17"/>
  <c r="I613" i="17"/>
  <c r="J612" i="17"/>
  <c r="I612" i="17"/>
  <c r="J611" i="17"/>
  <c r="I611" i="17"/>
  <c r="J610" i="17"/>
  <c r="J609" i="17"/>
  <c r="J608" i="17"/>
  <c r="J607" i="17"/>
  <c r="N605" i="17"/>
  <c r="N604" i="17"/>
  <c r="N603" i="17"/>
  <c r="N602" i="17"/>
  <c r="N601" i="17"/>
  <c r="L601" i="17"/>
  <c r="N600" i="17"/>
  <c r="L600" i="17"/>
  <c r="O600" i="17" s="1"/>
  <c r="N599" i="17"/>
  <c r="L599" i="17"/>
  <c r="N598" i="17"/>
  <c r="L598" i="17"/>
  <c r="O598" i="17" s="1"/>
  <c r="N597" i="17"/>
  <c r="L597" i="17"/>
  <c r="J597" i="17"/>
  <c r="I597" i="17"/>
  <c r="J596" i="17"/>
  <c r="I596" i="17"/>
  <c r="K596" i="17" s="1"/>
  <c r="J595" i="17"/>
  <c r="I595" i="17"/>
  <c r="K595" i="17" s="1"/>
  <c r="J594" i="17"/>
  <c r="I594" i="17"/>
  <c r="K594" i="17" s="1"/>
  <c r="J593" i="17"/>
  <c r="I593" i="17"/>
  <c r="K593" i="17" s="1"/>
  <c r="J592" i="17"/>
  <c r="I592" i="17"/>
  <c r="K592" i="17" s="1"/>
  <c r="J591" i="17"/>
  <c r="I591" i="17"/>
  <c r="K591" i="17" s="1"/>
  <c r="J590" i="17"/>
  <c r="I590" i="17"/>
  <c r="K590" i="17" s="1"/>
  <c r="J589" i="17"/>
  <c r="I589" i="17"/>
  <c r="K589" i="17" s="1"/>
  <c r="N588" i="17"/>
  <c r="N587" i="17"/>
  <c r="N586" i="17"/>
  <c r="N585" i="17"/>
  <c r="N584" i="17"/>
  <c r="L584" i="17"/>
  <c r="O584" i="17" s="1"/>
  <c r="N583" i="17"/>
  <c r="L583" i="17"/>
  <c r="O583" i="17" s="1"/>
  <c r="N582" i="17"/>
  <c r="L582" i="17"/>
  <c r="O582" i="17" s="1"/>
  <c r="N581" i="17"/>
  <c r="L581" i="17"/>
  <c r="O581" i="17" s="1"/>
  <c r="N580" i="17"/>
  <c r="L580" i="17"/>
  <c r="O580" i="17" s="1"/>
  <c r="J580" i="17"/>
  <c r="I580" i="17"/>
  <c r="K580" i="17" s="1"/>
  <c r="J579" i="17"/>
  <c r="I579" i="17"/>
  <c r="K579" i="17" s="1"/>
  <c r="J578" i="17"/>
  <c r="I578" i="17"/>
  <c r="K578" i="17" s="1"/>
  <c r="J577" i="17"/>
  <c r="I577" i="17"/>
  <c r="K577" i="17" s="1"/>
  <c r="J576" i="17"/>
  <c r="I576" i="17"/>
  <c r="K576" i="17" s="1"/>
  <c r="J575" i="17"/>
  <c r="I575" i="17"/>
  <c r="K575" i="17" s="1"/>
  <c r="J573" i="17"/>
  <c r="I573" i="17"/>
  <c r="N572" i="17"/>
  <c r="N571" i="17"/>
  <c r="N570" i="17"/>
  <c r="N569" i="17"/>
  <c r="N568" i="17"/>
  <c r="L568" i="17"/>
  <c r="N567" i="17"/>
  <c r="L567" i="17"/>
  <c r="N566" i="17"/>
  <c r="L566" i="17"/>
  <c r="N565" i="17"/>
  <c r="L565" i="17"/>
  <c r="O565" i="17" s="1"/>
  <c r="N564" i="17"/>
  <c r="L564" i="17"/>
  <c r="J564" i="17"/>
  <c r="I564" i="17"/>
  <c r="J563" i="17"/>
  <c r="J562" i="17"/>
  <c r="J561" i="17"/>
  <c r="I561" i="17"/>
  <c r="K561" i="17" s="1"/>
  <c r="J560" i="17"/>
  <c r="I560" i="17"/>
  <c r="N559" i="17"/>
  <c r="N558" i="17"/>
  <c r="N557" i="17"/>
  <c r="N556" i="17"/>
  <c r="N555" i="17"/>
  <c r="L555" i="17"/>
  <c r="N554" i="17"/>
  <c r="L554" i="17"/>
  <c r="O554" i="17" s="1"/>
  <c r="N553" i="17"/>
  <c r="L553" i="17"/>
  <c r="N552" i="17"/>
  <c r="L552" i="17"/>
  <c r="O552" i="17" s="1"/>
  <c r="N551" i="17"/>
  <c r="L551" i="17"/>
  <c r="J551" i="17"/>
  <c r="I551" i="17"/>
  <c r="J550" i="17"/>
  <c r="J549" i="17"/>
  <c r="J548" i="17"/>
  <c r="I548" i="17"/>
  <c r="K548" i="17" s="1"/>
  <c r="J547" i="17"/>
  <c r="I547" i="17"/>
  <c r="J546" i="17"/>
  <c r="J545" i="17"/>
  <c r="J544" i="17"/>
  <c r="J543" i="17"/>
  <c r="N541" i="17"/>
  <c r="N540" i="17"/>
  <c r="N539" i="17"/>
  <c r="N538" i="17"/>
  <c r="N537" i="17"/>
  <c r="L537" i="17"/>
  <c r="N536" i="17"/>
  <c r="L536" i="17"/>
  <c r="O536" i="17" s="1"/>
  <c r="N535" i="17"/>
  <c r="L535" i="17"/>
  <c r="N534" i="17"/>
  <c r="L534" i="17"/>
  <c r="O534" i="17" s="1"/>
  <c r="N533" i="17"/>
  <c r="L533" i="17"/>
  <c r="J533" i="17"/>
  <c r="I533" i="17"/>
  <c r="J532" i="17"/>
  <c r="I532" i="17"/>
  <c r="J531" i="17"/>
  <c r="I531" i="17"/>
  <c r="J530" i="17"/>
  <c r="I530" i="17"/>
  <c r="J529" i="17"/>
  <c r="I529" i="17"/>
  <c r="J528" i="17"/>
  <c r="I528" i="17"/>
  <c r="J527" i="17"/>
  <c r="I527" i="17"/>
  <c r="J526" i="17"/>
  <c r="I526" i="17"/>
  <c r="J525" i="17"/>
  <c r="I525" i="17"/>
  <c r="J524" i="17"/>
  <c r="I524" i="17"/>
  <c r="J523" i="17"/>
  <c r="I523" i="17"/>
  <c r="J522" i="17"/>
  <c r="I522" i="17"/>
  <c r="J521" i="17"/>
  <c r="I521" i="17"/>
  <c r="J520" i="17"/>
  <c r="I520" i="17"/>
  <c r="J519" i="17"/>
  <c r="I519" i="17"/>
  <c r="J518" i="17"/>
  <c r="I518" i="17"/>
  <c r="J517" i="17"/>
  <c r="I517" i="17"/>
  <c r="J516" i="17"/>
  <c r="I516" i="17"/>
  <c r="J515" i="17"/>
  <c r="I515" i="17"/>
  <c r="K515" i="17" s="1"/>
  <c r="J514" i="17"/>
  <c r="I514" i="17"/>
  <c r="K514" i="17" s="1"/>
  <c r="J513" i="17"/>
  <c r="I513" i="17"/>
  <c r="K513" i="17" s="1"/>
  <c r="J512" i="17"/>
  <c r="I512" i="17"/>
  <c r="K512" i="17" s="1"/>
  <c r="J511" i="17"/>
  <c r="I511" i="17"/>
  <c r="K511" i="17" s="1"/>
  <c r="J510" i="17"/>
  <c r="I510" i="17"/>
  <c r="K510" i="17" s="1"/>
  <c r="J509" i="17"/>
  <c r="I509" i="17"/>
  <c r="K509" i="17" s="1"/>
  <c r="J508" i="17"/>
  <c r="I508" i="17"/>
  <c r="K508" i="17" s="1"/>
  <c r="J507" i="17"/>
  <c r="I507" i="17"/>
  <c r="K507" i="17" s="1"/>
  <c r="J506" i="17"/>
  <c r="I506" i="17"/>
  <c r="K506" i="17" s="1"/>
  <c r="J505" i="17"/>
  <c r="I505" i="17"/>
  <c r="K505" i="17" s="1"/>
  <c r="J504" i="17"/>
  <c r="I504" i="17"/>
  <c r="K504" i="17" s="1"/>
  <c r="J503" i="17"/>
  <c r="I503" i="17"/>
  <c r="K503" i="17" s="1"/>
  <c r="J502" i="17"/>
  <c r="I502" i="17"/>
  <c r="K502" i="17" s="1"/>
  <c r="J501" i="17"/>
  <c r="I501" i="17"/>
  <c r="K501" i="17" s="1"/>
  <c r="J500" i="17"/>
  <c r="I500" i="17"/>
  <c r="K500" i="17" s="1"/>
  <c r="J499" i="17"/>
  <c r="I499" i="17"/>
  <c r="J498" i="17"/>
  <c r="I498" i="17"/>
  <c r="J497" i="17"/>
  <c r="I497" i="17"/>
  <c r="J496" i="17"/>
  <c r="I496" i="17"/>
  <c r="K496" i="17" s="1"/>
  <c r="J495" i="17"/>
  <c r="I495" i="17"/>
  <c r="K495" i="17" s="1"/>
  <c r="J494" i="17"/>
  <c r="I494" i="17"/>
  <c r="K494" i="17" s="1"/>
  <c r="J493" i="17"/>
  <c r="I493" i="17"/>
  <c r="K493" i="17" s="1"/>
  <c r="J492" i="17"/>
  <c r="I492" i="17"/>
  <c r="K492" i="17" s="1"/>
  <c r="J491" i="17"/>
  <c r="I491" i="17"/>
  <c r="K491" i="17" s="1"/>
  <c r="J490" i="17"/>
  <c r="I490" i="17"/>
  <c r="K490" i="17" s="1"/>
  <c r="J489" i="17"/>
  <c r="I489" i="17"/>
  <c r="K489" i="17" s="1"/>
  <c r="J488" i="17"/>
  <c r="I488" i="17"/>
  <c r="K488" i="17" s="1"/>
  <c r="J487" i="17"/>
  <c r="I487" i="17"/>
  <c r="K487" i="17" s="1"/>
  <c r="J486" i="17"/>
  <c r="I486" i="17"/>
  <c r="K486" i="17" s="1"/>
  <c r="J485" i="17"/>
  <c r="I485" i="17"/>
  <c r="K485" i="17" s="1"/>
  <c r="J484" i="17"/>
  <c r="I484" i="17"/>
  <c r="K484" i="17" s="1"/>
  <c r="J483" i="17"/>
  <c r="I483" i="17"/>
  <c r="K483" i="17" s="1"/>
  <c r="J482" i="17"/>
  <c r="I482" i="17"/>
  <c r="J481" i="17"/>
  <c r="I481" i="17"/>
  <c r="J480" i="17"/>
  <c r="I480" i="17"/>
  <c r="K480" i="17" s="1"/>
  <c r="J479" i="17"/>
  <c r="I479" i="17"/>
  <c r="K479" i="17" s="1"/>
  <c r="J478" i="17"/>
  <c r="I478" i="17"/>
  <c r="K478" i="17" s="1"/>
  <c r="J477" i="17"/>
  <c r="I477" i="17"/>
  <c r="K477" i="17" s="1"/>
  <c r="J476" i="17"/>
  <c r="I476" i="17"/>
  <c r="K476" i="17" s="1"/>
  <c r="J475" i="17"/>
  <c r="I475" i="17"/>
  <c r="K475" i="17" s="1"/>
  <c r="J474" i="17"/>
  <c r="I474" i="17"/>
  <c r="J473" i="17"/>
  <c r="I473" i="17"/>
  <c r="J472" i="17"/>
  <c r="I472" i="17"/>
  <c r="K472" i="17" s="1"/>
  <c r="J471" i="17"/>
  <c r="I471" i="17"/>
  <c r="K471" i="17" s="1"/>
  <c r="J470" i="17"/>
  <c r="I470" i="17"/>
  <c r="K470" i="17" s="1"/>
  <c r="J469" i="17"/>
  <c r="I469" i="17"/>
  <c r="K469" i="17" s="1"/>
  <c r="J468" i="17"/>
  <c r="I468" i="17"/>
  <c r="K468" i="17" s="1"/>
  <c r="J467" i="17"/>
  <c r="I467" i="17"/>
  <c r="K467" i="17" s="1"/>
  <c r="J466" i="17"/>
  <c r="I466" i="17"/>
  <c r="J465" i="17"/>
  <c r="I465" i="17"/>
  <c r="J464" i="17"/>
  <c r="I464" i="17"/>
  <c r="N463" i="17"/>
  <c r="N462" i="17"/>
  <c r="N461" i="17"/>
  <c r="N460" i="17"/>
  <c r="N459" i="17"/>
  <c r="L459" i="17"/>
  <c r="N458" i="17"/>
  <c r="L458" i="17"/>
  <c r="O458" i="17" s="1"/>
  <c r="N457" i="17"/>
  <c r="L457" i="17"/>
  <c r="N456" i="17"/>
  <c r="L456" i="17"/>
  <c r="O456" i="17" s="1"/>
  <c r="N455" i="17"/>
  <c r="L455" i="17"/>
  <c r="J455" i="17"/>
  <c r="I455" i="17"/>
  <c r="J454" i="17"/>
  <c r="J453" i="17"/>
  <c r="J452" i="17"/>
  <c r="I452" i="17"/>
  <c r="K452" i="17" s="1"/>
  <c r="J451" i="17"/>
  <c r="I451" i="17"/>
  <c r="K451" i="17" s="1"/>
  <c r="J450" i="17"/>
  <c r="I450" i="17"/>
  <c r="J449" i="17"/>
  <c r="I449" i="17"/>
  <c r="J448" i="17"/>
  <c r="J447" i="17"/>
  <c r="J446" i="17"/>
  <c r="J445" i="17"/>
  <c r="N443" i="17"/>
  <c r="N442" i="17"/>
  <c r="N441" i="17"/>
  <c r="N440" i="17"/>
  <c r="N439" i="17"/>
  <c r="L439" i="17"/>
  <c r="N438" i="17"/>
  <c r="L438" i="17"/>
  <c r="O438" i="17" s="1"/>
  <c r="N437" i="17"/>
  <c r="L437" i="17"/>
  <c r="N436" i="17"/>
  <c r="L436" i="17"/>
  <c r="N435" i="17"/>
  <c r="L435" i="17"/>
  <c r="J435" i="17"/>
  <c r="I435" i="17"/>
  <c r="J434" i="17"/>
  <c r="J433" i="17"/>
  <c r="J432" i="17"/>
  <c r="I432" i="17"/>
  <c r="J431" i="17"/>
  <c r="I431" i="17"/>
  <c r="J430" i="17"/>
  <c r="I430" i="17"/>
  <c r="J429" i="17"/>
  <c r="I429" i="17"/>
  <c r="J428" i="17"/>
  <c r="I428" i="17"/>
  <c r="J427" i="17"/>
  <c r="I427" i="17"/>
  <c r="J426" i="17"/>
  <c r="I426" i="17"/>
  <c r="J425" i="17"/>
  <c r="I425" i="17"/>
  <c r="J424" i="17"/>
  <c r="I424" i="17"/>
  <c r="J423" i="17"/>
  <c r="I423" i="17"/>
  <c r="J422" i="17"/>
  <c r="I422" i="17"/>
  <c r="J421" i="17"/>
  <c r="I421" i="17"/>
  <c r="J420" i="17"/>
  <c r="I420" i="17"/>
  <c r="J419" i="17"/>
  <c r="I419" i="17"/>
  <c r="J418" i="17"/>
  <c r="I418" i="17"/>
  <c r="J417" i="17"/>
  <c r="I417" i="17"/>
  <c r="J416" i="17"/>
  <c r="I416" i="17"/>
  <c r="J415" i="17"/>
  <c r="J414" i="17"/>
  <c r="J413" i="17"/>
  <c r="J412" i="17"/>
  <c r="N410" i="17"/>
  <c r="N409" i="17"/>
  <c r="N408" i="17"/>
  <c r="N407" i="17"/>
  <c r="N406" i="17"/>
  <c r="L406" i="17"/>
  <c r="N405" i="17"/>
  <c r="L405" i="17"/>
  <c r="O405" i="17" s="1"/>
  <c r="N404" i="17"/>
  <c r="L404" i="17"/>
  <c r="N403" i="17"/>
  <c r="L403" i="17"/>
  <c r="O403" i="17" s="1"/>
  <c r="J402" i="17"/>
  <c r="I402" i="17"/>
  <c r="N401" i="17"/>
  <c r="L401" i="17"/>
  <c r="J401" i="17"/>
  <c r="I401" i="17"/>
  <c r="J400" i="17"/>
  <c r="J399" i="17"/>
  <c r="J398" i="17"/>
  <c r="I398" i="17"/>
  <c r="J397" i="17"/>
  <c r="I397" i="17"/>
  <c r="J396" i="17"/>
  <c r="I396" i="17"/>
  <c r="J394" i="17"/>
  <c r="J393" i="17"/>
  <c r="J392" i="17"/>
  <c r="J391" i="17"/>
  <c r="N389" i="17"/>
  <c r="N388" i="17"/>
  <c r="N387" i="17"/>
  <c r="N386" i="17"/>
  <c r="N385" i="17"/>
  <c r="L385" i="17"/>
  <c r="N384" i="17"/>
  <c r="L384" i="17"/>
  <c r="O384" i="17" s="1"/>
  <c r="N383" i="17"/>
  <c r="L383" i="17"/>
  <c r="N382" i="17"/>
  <c r="L382" i="17"/>
  <c r="O382" i="17" s="1"/>
  <c r="J381" i="17"/>
  <c r="I381" i="17"/>
  <c r="N380" i="17"/>
  <c r="L380" i="17"/>
  <c r="J380" i="17"/>
  <c r="I380" i="17"/>
  <c r="J379" i="17"/>
  <c r="J378" i="17"/>
  <c r="J377" i="17"/>
  <c r="I377" i="17"/>
  <c r="J376" i="17"/>
  <c r="I376" i="17"/>
  <c r="J375" i="17"/>
  <c r="I375" i="17"/>
  <c r="J374" i="17"/>
  <c r="I374" i="17"/>
  <c r="J373" i="17"/>
  <c r="I373" i="17"/>
  <c r="K373" i="17" s="1"/>
  <c r="J372" i="17"/>
  <c r="I372" i="17"/>
  <c r="J371" i="17"/>
  <c r="I371" i="17"/>
  <c r="K371" i="17" s="1"/>
  <c r="J370" i="17"/>
  <c r="I370" i="17"/>
  <c r="J369" i="17"/>
  <c r="I369" i="17"/>
  <c r="K369" i="17" s="1"/>
  <c r="J368" i="17"/>
  <c r="I368" i="17"/>
  <c r="J367" i="17"/>
  <c r="J366" i="17"/>
  <c r="J365" i="17"/>
  <c r="I365" i="17"/>
  <c r="K365" i="17" s="1"/>
  <c r="J364" i="17"/>
  <c r="J363" i="17"/>
  <c r="J362" i="17"/>
  <c r="J361" i="17"/>
  <c r="J360" i="17"/>
  <c r="N358" i="17"/>
  <c r="N357" i="17"/>
  <c r="N356" i="17"/>
  <c r="N355" i="17"/>
  <c r="N354" i="17"/>
  <c r="L354" i="17"/>
  <c r="N353" i="17"/>
  <c r="L353" i="17"/>
  <c r="O353" i="17" s="1"/>
  <c r="N352" i="17"/>
  <c r="L352" i="17"/>
  <c r="N351" i="17"/>
  <c r="L351" i="17"/>
  <c r="O351" i="17" s="1"/>
  <c r="J350" i="17"/>
  <c r="I350" i="17"/>
  <c r="N349" i="17"/>
  <c r="L349" i="17"/>
  <c r="J349" i="17"/>
  <c r="I349" i="17"/>
  <c r="N347" i="17"/>
  <c r="L347" i="17"/>
  <c r="J346" i="17"/>
  <c r="I346" i="17"/>
  <c r="K346" i="17" s="1"/>
  <c r="J345" i="17"/>
  <c r="I345" i="17"/>
  <c r="J344" i="17"/>
  <c r="I344" i="17"/>
  <c r="K344" i="17" s="1"/>
  <c r="J343" i="17"/>
  <c r="I343" i="17"/>
  <c r="J342" i="17"/>
  <c r="I342" i="17"/>
  <c r="K342" i="17" s="1"/>
  <c r="J341" i="17"/>
  <c r="I341" i="17"/>
  <c r="J340" i="17"/>
  <c r="I340" i="17"/>
  <c r="J339" i="17"/>
  <c r="I339" i="17"/>
  <c r="K339" i="17" s="1"/>
  <c r="N337" i="17"/>
  <c r="L337" i="17"/>
  <c r="O337" i="17" s="1"/>
  <c r="L335" i="17"/>
  <c r="L334" i="17"/>
  <c r="N333" i="17"/>
  <c r="M333" i="17"/>
  <c r="O332" i="17"/>
  <c r="O330" i="17"/>
  <c r="N330" i="17"/>
  <c r="M330" i="17"/>
  <c r="P330" i="17" s="1"/>
  <c r="L330" i="17"/>
  <c r="J328" i="17"/>
  <c r="I328" i="17"/>
  <c r="J326" i="17"/>
  <c r="J325" i="17"/>
  <c r="J324" i="17"/>
  <c r="I324" i="17"/>
  <c r="K324" i="17" s="1"/>
  <c r="J323" i="17"/>
  <c r="J322" i="17"/>
  <c r="J321" i="17"/>
  <c r="J320" i="17"/>
  <c r="N318" i="17"/>
  <c r="L318" i="17"/>
  <c r="O318" i="17" s="1"/>
  <c r="L316" i="17"/>
  <c r="L315" i="17"/>
  <c r="N314" i="17"/>
  <c r="M314" i="17"/>
  <c r="P314" i="17" s="1"/>
  <c r="O313" i="17"/>
  <c r="N311" i="17"/>
  <c r="M311" i="17"/>
  <c r="L311" i="17"/>
  <c r="J309" i="17"/>
  <c r="I309" i="17"/>
  <c r="K309" i="17" s="1"/>
  <c r="J308" i="17"/>
  <c r="J307" i="17"/>
  <c r="J306" i="17"/>
  <c r="I306" i="17"/>
  <c r="K306" i="17" s="1"/>
  <c r="J304" i="17"/>
  <c r="I304" i="17"/>
  <c r="K304" i="17" s="1"/>
  <c r="J303" i="17"/>
  <c r="J302" i="17"/>
  <c r="J301" i="17"/>
  <c r="J300" i="17"/>
  <c r="N298" i="17"/>
  <c r="L298" i="17"/>
  <c r="O298" i="17" s="1"/>
  <c r="L296" i="17"/>
  <c r="L295" i="17"/>
  <c r="N294" i="17"/>
  <c r="M294" i="17"/>
  <c r="P294" i="17" s="1"/>
  <c r="O293" i="17"/>
  <c r="N291" i="17"/>
  <c r="M291" i="17"/>
  <c r="L291" i="17"/>
  <c r="O291" i="17" s="1"/>
  <c r="J289" i="17"/>
  <c r="I289" i="17"/>
  <c r="K289" i="17" s="1"/>
  <c r="J287" i="17"/>
  <c r="J286" i="17"/>
  <c r="J285" i="17"/>
  <c r="I285" i="17"/>
  <c r="K285" i="17" s="1"/>
  <c r="J284" i="17"/>
  <c r="J283" i="17"/>
  <c r="J282" i="17"/>
  <c r="J281" i="17"/>
  <c r="N279" i="17"/>
  <c r="L279" i="17"/>
  <c r="O279" i="17" s="1"/>
  <c r="L277" i="17"/>
  <c r="L276" i="17"/>
  <c r="N275" i="17"/>
  <c r="M275" i="17"/>
  <c r="P275" i="17" s="1"/>
  <c r="O274" i="17"/>
  <c r="N272" i="17"/>
  <c r="M272" i="17"/>
  <c r="P272" i="17" s="1"/>
  <c r="L272" i="17"/>
  <c r="J270" i="17"/>
  <c r="I270" i="17"/>
  <c r="K270" i="17" s="1"/>
  <c r="J269" i="17"/>
  <c r="J268" i="17"/>
  <c r="J267" i="17"/>
  <c r="I267" i="17"/>
  <c r="J266" i="17"/>
  <c r="I266" i="17"/>
  <c r="J265" i="17"/>
  <c r="I265" i="17"/>
  <c r="J264" i="17"/>
  <c r="I264" i="17"/>
  <c r="J263" i="17"/>
  <c r="J262" i="17"/>
  <c r="J261" i="17"/>
  <c r="J260" i="17"/>
  <c r="N258" i="17"/>
  <c r="L258" i="17"/>
  <c r="O258" i="17" s="1"/>
  <c r="L256" i="17"/>
  <c r="L255" i="17"/>
  <c r="N254" i="17"/>
  <c r="M254" i="17"/>
  <c r="O253" i="17"/>
  <c r="P251" i="17"/>
  <c r="N251" i="17"/>
  <c r="M251" i="17"/>
  <c r="L251" i="17"/>
  <c r="O251" i="17" s="1"/>
  <c r="J249" i="17"/>
  <c r="I249" i="17"/>
  <c r="J246" i="17"/>
  <c r="J245" i="17"/>
  <c r="J244" i="17"/>
  <c r="I244" i="17"/>
  <c r="K244" i="17" s="1"/>
  <c r="J243" i="17"/>
  <c r="J242" i="17"/>
  <c r="J241" i="17"/>
  <c r="J240" i="17"/>
  <c r="J238" i="17"/>
  <c r="I238" i="17"/>
  <c r="K238" i="17" s="1"/>
  <c r="J237" i="17"/>
  <c r="J236" i="17"/>
  <c r="J235" i="17"/>
  <c r="I235" i="17"/>
  <c r="J234" i="17"/>
  <c r="J233" i="17"/>
  <c r="J232" i="17"/>
  <c r="J231" i="17"/>
  <c r="J229" i="17"/>
  <c r="I229" i="17"/>
  <c r="N228" i="17"/>
  <c r="L228" i="17"/>
  <c r="O228" i="17" s="1"/>
  <c r="L226" i="17"/>
  <c r="L225" i="17"/>
  <c r="N224" i="17"/>
  <c r="M224" i="17"/>
  <c r="O223" i="17"/>
  <c r="P221" i="17"/>
  <c r="O221" i="17"/>
  <c r="N221" i="17"/>
  <c r="M221" i="17"/>
  <c r="L221" i="17"/>
  <c r="J219" i="17"/>
  <c r="I219" i="17"/>
  <c r="J218" i="17"/>
  <c r="J217" i="17"/>
  <c r="J216" i="17"/>
  <c r="I216" i="17"/>
  <c r="K216" i="17" s="1"/>
  <c r="J215" i="17"/>
  <c r="I215" i="17"/>
  <c r="K215" i="17" s="1"/>
  <c r="J213" i="17"/>
  <c r="I213" i="17"/>
  <c r="K213" i="17" s="1"/>
  <c r="J212" i="17"/>
  <c r="J211" i="17"/>
  <c r="J210" i="17"/>
  <c r="J209" i="17"/>
  <c r="J204" i="17"/>
  <c r="I204" i="17"/>
  <c r="K204" i="17" s="1"/>
  <c r="J203" i="17"/>
  <c r="J202" i="17"/>
  <c r="J201" i="17"/>
  <c r="I201" i="17"/>
  <c r="K201" i="17" s="1"/>
  <c r="J200" i="17"/>
  <c r="I200" i="17"/>
  <c r="J199" i="17"/>
  <c r="I199" i="17"/>
  <c r="J197" i="17"/>
  <c r="J196" i="17"/>
  <c r="J195" i="17"/>
  <c r="J194" i="17"/>
  <c r="J189" i="17"/>
  <c r="I189" i="17"/>
  <c r="J188" i="17"/>
  <c r="J187" i="17"/>
  <c r="J186" i="17"/>
  <c r="I186" i="17"/>
  <c r="J185" i="17"/>
  <c r="I185" i="17"/>
  <c r="J184" i="17"/>
  <c r="J183" i="17"/>
  <c r="J182" i="17"/>
  <c r="J181" i="17"/>
  <c r="J176" i="17"/>
  <c r="I176" i="17"/>
  <c r="J175" i="17"/>
  <c r="J174" i="17"/>
  <c r="J173" i="17"/>
  <c r="I173" i="17"/>
  <c r="J172" i="17"/>
  <c r="J171" i="17"/>
  <c r="J170" i="17"/>
  <c r="J169" i="17"/>
  <c r="J164" i="17"/>
  <c r="I164" i="17"/>
  <c r="J163" i="17"/>
  <c r="J162" i="17"/>
  <c r="J161" i="17"/>
  <c r="J160" i="17"/>
  <c r="J159" i="17"/>
  <c r="J158" i="17"/>
  <c r="I158" i="17"/>
  <c r="J157" i="17"/>
  <c r="J156" i="17"/>
  <c r="J155" i="17"/>
  <c r="J154" i="17"/>
  <c r="J149" i="17"/>
  <c r="I149" i="17"/>
  <c r="N148" i="17"/>
  <c r="L148" i="17"/>
  <c r="O148" i="17" s="1"/>
  <c r="L146" i="17"/>
  <c r="L145" i="17"/>
  <c r="N144" i="17"/>
  <c r="M144" i="17"/>
  <c r="M142" i="17" s="1"/>
  <c r="O143" i="17"/>
  <c r="P141" i="17"/>
  <c r="N141" i="17"/>
  <c r="M141" i="17"/>
  <c r="L141" i="17"/>
  <c r="O141" i="17" s="1"/>
  <c r="J138" i="17"/>
  <c r="I138" i="17"/>
  <c r="K138" i="17" s="1"/>
  <c r="J135" i="17"/>
  <c r="J134" i="17"/>
  <c r="J133" i="17"/>
  <c r="I133" i="17"/>
  <c r="J132" i="17"/>
  <c r="I132" i="17"/>
  <c r="J131" i="17"/>
  <c r="J130" i="17"/>
  <c r="J129" i="17"/>
  <c r="J128" i="17"/>
  <c r="N126" i="17"/>
  <c r="L126" i="17"/>
  <c r="O126" i="17" s="1"/>
  <c r="L124" i="17"/>
  <c r="L123" i="17"/>
  <c r="N122" i="17"/>
  <c r="M122" i="17"/>
  <c r="M120" i="17" s="1"/>
  <c r="O121" i="17"/>
  <c r="N119" i="17"/>
  <c r="M119" i="17"/>
  <c r="P119" i="17" s="1"/>
  <c r="L119" i="17"/>
  <c r="J117" i="17"/>
  <c r="I117" i="17"/>
  <c r="J115" i="17"/>
  <c r="J114" i="17"/>
  <c r="J113" i="17"/>
  <c r="I113" i="17"/>
  <c r="J112" i="17"/>
  <c r="I112" i="17"/>
  <c r="J111" i="17"/>
  <c r="I111" i="17"/>
  <c r="J110" i="17"/>
  <c r="I110" i="17"/>
  <c r="J109" i="17"/>
  <c r="I109" i="17"/>
  <c r="J108" i="17"/>
  <c r="I108" i="17"/>
  <c r="J107" i="17"/>
  <c r="J106" i="17"/>
  <c r="J105" i="17"/>
  <c r="J104" i="17"/>
  <c r="N102" i="17"/>
  <c r="L102" i="17"/>
  <c r="M102" i="17" s="1"/>
  <c r="L100" i="17"/>
  <c r="L99" i="17"/>
  <c r="N98" i="17"/>
  <c r="M98" i="17"/>
  <c r="O97" i="17"/>
  <c r="N95" i="17"/>
  <c r="M95" i="17"/>
  <c r="P95" i="17" s="1"/>
  <c r="L95" i="17"/>
  <c r="O95" i="17" s="1"/>
  <c r="J93" i="17"/>
  <c r="I93" i="17"/>
  <c r="J92" i="17"/>
  <c r="I92" i="17"/>
  <c r="J90" i="17"/>
  <c r="J89" i="17"/>
  <c r="J88" i="17"/>
  <c r="I88" i="17"/>
  <c r="K88" i="17" s="1"/>
  <c r="J87" i="17"/>
  <c r="I87" i="17"/>
  <c r="K87" i="17" s="1"/>
  <c r="J86" i="17"/>
  <c r="I86" i="17"/>
  <c r="K86" i="17" s="1"/>
  <c r="J85" i="17"/>
  <c r="I85" i="17"/>
  <c r="K85" i="17" s="1"/>
  <c r="J84" i="17"/>
  <c r="I84" i="17"/>
  <c r="K84" i="17" s="1"/>
  <c r="J83" i="17"/>
  <c r="I83" i="17"/>
  <c r="K83" i="17" s="1"/>
  <c r="J82" i="17"/>
  <c r="I82" i="17"/>
  <c r="K82" i="17" s="1"/>
  <c r="J81" i="17"/>
  <c r="I81" i="17"/>
  <c r="K81" i="17" s="1"/>
  <c r="J80" i="17"/>
  <c r="I80" i="17"/>
  <c r="K80" i="17" s="1"/>
  <c r="J79" i="17"/>
  <c r="J78" i="17"/>
  <c r="J77" i="17"/>
  <c r="J76" i="17"/>
  <c r="N74" i="17"/>
  <c r="L74" i="17"/>
  <c r="O74" i="17" s="1"/>
  <c r="L72" i="17"/>
  <c r="L71" i="17"/>
  <c r="N70" i="17"/>
  <c r="M70" i="17"/>
  <c r="O69" i="17"/>
  <c r="N67" i="17"/>
  <c r="M67" i="17"/>
  <c r="P67" i="17" s="1"/>
  <c r="L67" i="17"/>
  <c r="J65" i="17"/>
  <c r="I65" i="17"/>
  <c r="K65" i="17" s="1"/>
  <c r="J64" i="17"/>
  <c r="I64" i="17"/>
  <c r="K64" i="17" s="1"/>
  <c r="N61" i="17"/>
  <c r="L61" i="17"/>
  <c r="O61" i="17" s="1"/>
  <c r="L59" i="17"/>
  <c r="L58" i="17"/>
  <c r="N57" i="17"/>
  <c r="M57" i="17"/>
  <c r="M55" i="17" s="1"/>
  <c r="N54" i="17"/>
  <c r="M54" i="17"/>
  <c r="P54" i="17" s="1"/>
  <c r="L54" i="17"/>
  <c r="O54" i="17" s="1"/>
  <c r="N49" i="17"/>
  <c r="L49" i="17"/>
  <c r="L47" i="17"/>
  <c r="L46" i="17"/>
  <c r="N45" i="17"/>
  <c r="M45" i="17"/>
  <c r="N42" i="17"/>
  <c r="M42" i="17"/>
  <c r="L42" i="17"/>
  <c r="P36" i="17"/>
  <c r="O36" i="17"/>
  <c r="P35" i="17"/>
  <c r="O35" i="17"/>
  <c r="P34" i="17"/>
  <c r="M34" i="17"/>
  <c r="M33" i="17"/>
  <c r="M32" i="17"/>
  <c r="P32" i="17" s="1"/>
  <c r="P31" i="17"/>
  <c r="M31" i="17"/>
  <c r="M29" i="17" s="1"/>
  <c r="M30" i="17"/>
  <c r="P29" i="17"/>
  <c r="P25" i="17"/>
  <c r="O25" i="17"/>
  <c r="N25" i="17"/>
  <c r="M25" i="17"/>
  <c r="L25" i="17"/>
  <c r="N24" i="17"/>
  <c r="M24" i="17"/>
  <c r="N23" i="17"/>
  <c r="M23" i="17"/>
  <c r="P23" i="17" s="1"/>
  <c r="N21" i="17"/>
  <c r="M21" i="17"/>
  <c r="L21" i="17"/>
  <c r="N19" i="17"/>
  <c r="N15" i="17"/>
  <c r="M15" i="17"/>
  <c r="P15" i="17" s="1"/>
  <c r="L15" i="17"/>
  <c r="O15" i="17" s="1"/>
  <c r="J635" i="16"/>
  <c r="I635" i="16"/>
  <c r="J634" i="16"/>
  <c r="I634" i="16"/>
  <c r="J633" i="16"/>
  <c r="I633" i="16"/>
  <c r="J632" i="16"/>
  <c r="I632" i="16"/>
  <c r="J631" i="16"/>
  <c r="I631" i="16"/>
  <c r="J630" i="16"/>
  <c r="I630" i="16"/>
  <c r="J629" i="16"/>
  <c r="I629" i="16"/>
  <c r="J628" i="16"/>
  <c r="I628" i="16"/>
  <c r="J626" i="16"/>
  <c r="I626" i="16"/>
  <c r="J625" i="16"/>
  <c r="I625" i="16"/>
  <c r="J624" i="16"/>
  <c r="I624" i="16"/>
  <c r="J623" i="16"/>
  <c r="I623" i="16"/>
  <c r="J622" i="16"/>
  <c r="I622" i="16"/>
  <c r="J621" i="16"/>
  <c r="I621" i="16"/>
  <c r="J620" i="16"/>
  <c r="I620" i="16"/>
  <c r="K624" i="16" s="1"/>
  <c r="J619" i="16"/>
  <c r="I619" i="16"/>
  <c r="J618" i="16"/>
  <c r="I618" i="16"/>
  <c r="J617" i="16"/>
  <c r="I617" i="16"/>
  <c r="J616" i="16"/>
  <c r="I616" i="16"/>
  <c r="J615" i="16"/>
  <c r="I615" i="16"/>
  <c r="J614" i="16"/>
  <c r="I614" i="16"/>
  <c r="J613" i="16"/>
  <c r="I613" i="16"/>
  <c r="J612" i="16"/>
  <c r="I612" i="16"/>
  <c r="J611" i="16"/>
  <c r="I611" i="16"/>
  <c r="J610" i="16"/>
  <c r="J609" i="16"/>
  <c r="J608" i="16"/>
  <c r="J607" i="16"/>
  <c r="N605" i="16"/>
  <c r="N604" i="16"/>
  <c r="N603" i="16"/>
  <c r="N602" i="16"/>
  <c r="N601" i="16"/>
  <c r="L601" i="16"/>
  <c r="N600" i="16"/>
  <c r="L600" i="16"/>
  <c r="O600" i="16" s="1"/>
  <c r="N599" i="16"/>
  <c r="L599" i="16"/>
  <c r="N598" i="16"/>
  <c r="L598" i="16"/>
  <c r="O598" i="16" s="1"/>
  <c r="N597" i="16"/>
  <c r="L597" i="16"/>
  <c r="J597" i="16"/>
  <c r="I597" i="16"/>
  <c r="J596" i="16"/>
  <c r="I596" i="16"/>
  <c r="K596" i="16" s="1"/>
  <c r="J595" i="16"/>
  <c r="I595" i="16"/>
  <c r="J594" i="16"/>
  <c r="I594" i="16"/>
  <c r="K594" i="16" s="1"/>
  <c r="J593" i="16"/>
  <c r="I593" i="16"/>
  <c r="J592" i="16"/>
  <c r="I592" i="16"/>
  <c r="K592" i="16" s="1"/>
  <c r="J591" i="16"/>
  <c r="I591" i="16"/>
  <c r="J590" i="16"/>
  <c r="I590" i="16"/>
  <c r="K590" i="16" s="1"/>
  <c r="J589" i="16"/>
  <c r="I589" i="16"/>
  <c r="N588" i="16"/>
  <c r="N587" i="16"/>
  <c r="N586" i="16"/>
  <c r="N585" i="16"/>
  <c r="N584" i="16"/>
  <c r="L584" i="16"/>
  <c r="N583" i="16"/>
  <c r="L583" i="16"/>
  <c r="O583" i="16" s="1"/>
  <c r="N582" i="16"/>
  <c r="L582" i="16"/>
  <c r="N581" i="16"/>
  <c r="L581" i="16"/>
  <c r="O581" i="16" s="1"/>
  <c r="N580" i="16"/>
  <c r="L580" i="16"/>
  <c r="J580" i="16"/>
  <c r="I580" i="16"/>
  <c r="J579" i="16"/>
  <c r="I579" i="16"/>
  <c r="K579" i="16" s="1"/>
  <c r="J578" i="16"/>
  <c r="I578" i="16"/>
  <c r="K578" i="16" s="1"/>
  <c r="J577" i="16"/>
  <c r="I577" i="16"/>
  <c r="K577" i="16" s="1"/>
  <c r="J576" i="16"/>
  <c r="I576" i="16"/>
  <c r="K576" i="16" s="1"/>
  <c r="J575" i="16"/>
  <c r="I575" i="16"/>
  <c r="K575" i="16" s="1"/>
  <c r="J573" i="16"/>
  <c r="I573" i="16"/>
  <c r="N572" i="16"/>
  <c r="N571" i="16"/>
  <c r="N570" i="16"/>
  <c r="N569" i="16"/>
  <c r="N568" i="16"/>
  <c r="L568" i="16"/>
  <c r="N567" i="16"/>
  <c r="L567" i="16"/>
  <c r="O567" i="16" s="1"/>
  <c r="N566" i="16"/>
  <c r="L566" i="16"/>
  <c r="N565" i="16"/>
  <c r="L565" i="16"/>
  <c r="O565" i="16" s="1"/>
  <c r="N564" i="16"/>
  <c r="L564" i="16"/>
  <c r="J564" i="16"/>
  <c r="I564" i="16"/>
  <c r="J563" i="16"/>
  <c r="J562" i="16"/>
  <c r="J561" i="16"/>
  <c r="I561" i="16"/>
  <c r="K561" i="16" s="1"/>
  <c r="J560" i="16"/>
  <c r="I560" i="16"/>
  <c r="K560" i="16" s="1"/>
  <c r="N559" i="16"/>
  <c r="N558" i="16"/>
  <c r="N557" i="16"/>
  <c r="N556" i="16"/>
  <c r="N555" i="16"/>
  <c r="L555" i="16"/>
  <c r="O555" i="16" s="1"/>
  <c r="N554" i="16"/>
  <c r="L554" i="16"/>
  <c r="O554" i="16" s="1"/>
  <c r="N553" i="16"/>
  <c r="L553" i="16"/>
  <c r="O553" i="16" s="1"/>
  <c r="N552" i="16"/>
  <c r="L552" i="16"/>
  <c r="O552" i="16" s="1"/>
  <c r="N551" i="16"/>
  <c r="L551" i="16"/>
  <c r="O551" i="16" s="1"/>
  <c r="J551" i="16"/>
  <c r="I551" i="16"/>
  <c r="K551" i="16" s="1"/>
  <c r="J550" i="16"/>
  <c r="J549" i="16"/>
  <c r="J548" i="16"/>
  <c r="I548" i="16"/>
  <c r="K548" i="16" s="1"/>
  <c r="J547" i="16"/>
  <c r="I547" i="16"/>
  <c r="J546" i="16"/>
  <c r="J545" i="16"/>
  <c r="J544" i="16"/>
  <c r="J543" i="16"/>
  <c r="N541" i="16"/>
  <c r="N540" i="16"/>
  <c r="N539" i="16"/>
  <c r="N538" i="16"/>
  <c r="N537" i="16"/>
  <c r="L537" i="16"/>
  <c r="N536" i="16"/>
  <c r="L536" i="16"/>
  <c r="O536" i="16" s="1"/>
  <c r="N535" i="16"/>
  <c r="L535" i="16"/>
  <c r="N534" i="16"/>
  <c r="L534" i="16"/>
  <c r="O534" i="16" s="1"/>
  <c r="N533" i="16"/>
  <c r="L533" i="16"/>
  <c r="J533" i="16"/>
  <c r="I533" i="16"/>
  <c r="J532" i="16"/>
  <c r="I532" i="16"/>
  <c r="J531" i="16"/>
  <c r="I531" i="16"/>
  <c r="J530" i="16"/>
  <c r="I530" i="16"/>
  <c r="J529" i="16"/>
  <c r="I529" i="16"/>
  <c r="J528" i="16"/>
  <c r="I528" i="16"/>
  <c r="J527" i="16"/>
  <c r="I527" i="16"/>
  <c r="J526" i="16"/>
  <c r="I526" i="16"/>
  <c r="J525" i="16"/>
  <c r="I525" i="16"/>
  <c r="J524" i="16"/>
  <c r="I524" i="16"/>
  <c r="J523" i="16"/>
  <c r="I523" i="16"/>
  <c r="J522" i="16"/>
  <c r="I522" i="16"/>
  <c r="J521" i="16"/>
  <c r="I521" i="16"/>
  <c r="J520" i="16"/>
  <c r="I520" i="16"/>
  <c r="J519" i="16"/>
  <c r="I519" i="16"/>
  <c r="J518" i="16"/>
  <c r="I518" i="16"/>
  <c r="J517" i="16"/>
  <c r="I517" i="16"/>
  <c r="J516" i="16"/>
  <c r="I516" i="16"/>
  <c r="J515" i="16"/>
  <c r="I515" i="16"/>
  <c r="K515" i="16" s="1"/>
  <c r="J514" i="16"/>
  <c r="I514" i="16"/>
  <c r="K514" i="16" s="1"/>
  <c r="J513" i="16"/>
  <c r="I513" i="16"/>
  <c r="K513" i="16" s="1"/>
  <c r="J512" i="16"/>
  <c r="I512" i="16"/>
  <c r="K512" i="16" s="1"/>
  <c r="J511" i="16"/>
  <c r="I511" i="16"/>
  <c r="K511" i="16" s="1"/>
  <c r="J510" i="16"/>
  <c r="I510" i="16"/>
  <c r="K510" i="16" s="1"/>
  <c r="J509" i="16"/>
  <c r="I509" i="16"/>
  <c r="K509" i="16" s="1"/>
  <c r="J508" i="16"/>
  <c r="I508" i="16"/>
  <c r="K508" i="16" s="1"/>
  <c r="J507" i="16"/>
  <c r="I507" i="16"/>
  <c r="K507" i="16" s="1"/>
  <c r="J506" i="16"/>
  <c r="I506" i="16"/>
  <c r="K506" i="16" s="1"/>
  <c r="J505" i="16"/>
  <c r="I505" i="16"/>
  <c r="K505" i="16" s="1"/>
  <c r="J504" i="16"/>
  <c r="I504" i="16"/>
  <c r="K504" i="16" s="1"/>
  <c r="J503" i="16"/>
  <c r="I503" i="16"/>
  <c r="K503" i="16" s="1"/>
  <c r="J502" i="16"/>
  <c r="I502" i="16"/>
  <c r="K502" i="16" s="1"/>
  <c r="J501" i="16"/>
  <c r="I501" i="16"/>
  <c r="K501" i="16" s="1"/>
  <c r="J500" i="16"/>
  <c r="I500" i="16"/>
  <c r="K500" i="16" s="1"/>
  <c r="J499" i="16"/>
  <c r="I499" i="16"/>
  <c r="J498" i="16"/>
  <c r="I498" i="16"/>
  <c r="J497" i="16"/>
  <c r="I497" i="16"/>
  <c r="J496" i="16"/>
  <c r="I496" i="16"/>
  <c r="K496" i="16" s="1"/>
  <c r="J495" i="16"/>
  <c r="I495" i="16"/>
  <c r="K495" i="16" s="1"/>
  <c r="J494" i="16"/>
  <c r="I494" i="16"/>
  <c r="K494" i="16" s="1"/>
  <c r="J493" i="16"/>
  <c r="I493" i="16"/>
  <c r="K493" i="16" s="1"/>
  <c r="J492" i="16"/>
  <c r="I492" i="16"/>
  <c r="K492" i="16" s="1"/>
  <c r="J491" i="16"/>
  <c r="I491" i="16"/>
  <c r="K491" i="16" s="1"/>
  <c r="J490" i="16"/>
  <c r="I490" i="16"/>
  <c r="K490" i="16" s="1"/>
  <c r="J489" i="16"/>
  <c r="I489" i="16"/>
  <c r="K489" i="16" s="1"/>
  <c r="J488" i="16"/>
  <c r="I488" i="16"/>
  <c r="K488" i="16" s="1"/>
  <c r="J487" i="16"/>
  <c r="I487" i="16"/>
  <c r="K487" i="16" s="1"/>
  <c r="J486" i="16"/>
  <c r="I486" i="16"/>
  <c r="K486" i="16" s="1"/>
  <c r="J485" i="16"/>
  <c r="I485" i="16"/>
  <c r="K485" i="16" s="1"/>
  <c r="J484" i="16"/>
  <c r="I484" i="16"/>
  <c r="K484" i="16" s="1"/>
  <c r="J483" i="16"/>
  <c r="I483" i="16"/>
  <c r="K483" i="16" s="1"/>
  <c r="J482" i="16"/>
  <c r="I482" i="16"/>
  <c r="J481" i="16"/>
  <c r="I481" i="16"/>
  <c r="J480" i="16"/>
  <c r="I480" i="16"/>
  <c r="K480" i="16" s="1"/>
  <c r="J479" i="16"/>
  <c r="I479" i="16"/>
  <c r="K479" i="16" s="1"/>
  <c r="J478" i="16"/>
  <c r="I478" i="16"/>
  <c r="K478" i="16" s="1"/>
  <c r="J477" i="16"/>
  <c r="I477" i="16"/>
  <c r="K477" i="16" s="1"/>
  <c r="J476" i="16"/>
  <c r="I476" i="16"/>
  <c r="K476" i="16" s="1"/>
  <c r="J475" i="16"/>
  <c r="I475" i="16"/>
  <c r="K475" i="16" s="1"/>
  <c r="J474" i="16"/>
  <c r="I474" i="16"/>
  <c r="J473" i="16"/>
  <c r="I473" i="16"/>
  <c r="J472" i="16"/>
  <c r="I472" i="16"/>
  <c r="K472" i="16" s="1"/>
  <c r="J471" i="16"/>
  <c r="I471" i="16"/>
  <c r="K471" i="16" s="1"/>
  <c r="J470" i="16"/>
  <c r="I470" i="16"/>
  <c r="K470" i="16" s="1"/>
  <c r="J469" i="16"/>
  <c r="I469" i="16"/>
  <c r="K469" i="16" s="1"/>
  <c r="J468" i="16"/>
  <c r="I468" i="16"/>
  <c r="K468" i="16" s="1"/>
  <c r="J467" i="16"/>
  <c r="I467" i="16"/>
  <c r="K467" i="16" s="1"/>
  <c r="J466" i="16"/>
  <c r="I466" i="16"/>
  <c r="J465" i="16"/>
  <c r="I465" i="16"/>
  <c r="J464" i="16"/>
  <c r="I464" i="16"/>
  <c r="N463" i="16"/>
  <c r="N462" i="16"/>
  <c r="N461" i="16"/>
  <c r="N460" i="16"/>
  <c r="N459" i="16"/>
  <c r="L459" i="16"/>
  <c r="N458" i="16"/>
  <c r="L458" i="16"/>
  <c r="O458" i="16" s="1"/>
  <c r="N457" i="16"/>
  <c r="L457" i="16"/>
  <c r="N456" i="16"/>
  <c r="L456" i="16"/>
  <c r="O456" i="16" s="1"/>
  <c r="N455" i="16"/>
  <c r="L455" i="16"/>
  <c r="J455" i="16"/>
  <c r="I455" i="16"/>
  <c r="J454" i="16"/>
  <c r="J453" i="16"/>
  <c r="J452" i="16"/>
  <c r="I452" i="16"/>
  <c r="K452" i="16" s="1"/>
  <c r="J451" i="16"/>
  <c r="I451" i="16"/>
  <c r="J450" i="16"/>
  <c r="I450" i="16"/>
  <c r="J449" i="16"/>
  <c r="I449" i="16"/>
  <c r="J448" i="16"/>
  <c r="J447" i="16"/>
  <c r="J446" i="16"/>
  <c r="J445" i="16"/>
  <c r="N443" i="16"/>
  <c r="N442" i="16"/>
  <c r="N441" i="16"/>
  <c r="N440" i="16"/>
  <c r="N439" i="16"/>
  <c r="L439" i="16"/>
  <c r="N438" i="16"/>
  <c r="L438" i="16"/>
  <c r="O438" i="16" s="1"/>
  <c r="N437" i="16"/>
  <c r="L437" i="16"/>
  <c r="N436" i="16"/>
  <c r="L436" i="16"/>
  <c r="O436" i="16" s="1"/>
  <c r="N435" i="16"/>
  <c r="L435" i="16"/>
  <c r="J435" i="16"/>
  <c r="I435" i="16"/>
  <c r="J434" i="16"/>
  <c r="J433" i="16"/>
  <c r="J432" i="16"/>
  <c r="I432" i="16"/>
  <c r="J431" i="16"/>
  <c r="I431" i="16"/>
  <c r="J430" i="16"/>
  <c r="I430" i="16"/>
  <c r="J429" i="16"/>
  <c r="I429" i="16"/>
  <c r="J428" i="16"/>
  <c r="I428" i="16"/>
  <c r="J427" i="16"/>
  <c r="I427" i="16"/>
  <c r="J426" i="16"/>
  <c r="I426" i="16"/>
  <c r="J425" i="16"/>
  <c r="I425" i="16"/>
  <c r="J424" i="16"/>
  <c r="I424" i="16"/>
  <c r="J423" i="16"/>
  <c r="I423" i="16"/>
  <c r="J422" i="16"/>
  <c r="I422" i="16"/>
  <c r="J421" i="16"/>
  <c r="I421" i="16"/>
  <c r="J420" i="16"/>
  <c r="I420" i="16"/>
  <c r="J419" i="16"/>
  <c r="I419" i="16"/>
  <c r="J418" i="16"/>
  <c r="I418" i="16"/>
  <c r="J417" i="16"/>
  <c r="I417" i="16"/>
  <c r="J416" i="16"/>
  <c r="I416" i="16"/>
  <c r="J415" i="16"/>
  <c r="J414" i="16"/>
  <c r="J413" i="16"/>
  <c r="J412" i="16"/>
  <c r="N410" i="16"/>
  <c r="N409" i="16"/>
  <c r="N408" i="16"/>
  <c r="N407" i="16"/>
  <c r="N406" i="16"/>
  <c r="L406" i="16"/>
  <c r="N405" i="16"/>
  <c r="L405" i="16"/>
  <c r="O405" i="16" s="1"/>
  <c r="N404" i="16"/>
  <c r="L404" i="16"/>
  <c r="N403" i="16"/>
  <c r="L403" i="16"/>
  <c r="O403" i="16" s="1"/>
  <c r="J402" i="16"/>
  <c r="I402" i="16"/>
  <c r="N401" i="16"/>
  <c r="L401" i="16"/>
  <c r="J401" i="16"/>
  <c r="I401" i="16"/>
  <c r="J400" i="16"/>
  <c r="J399" i="16"/>
  <c r="J398" i="16"/>
  <c r="I398" i="16"/>
  <c r="J397" i="16"/>
  <c r="I397" i="16"/>
  <c r="J396" i="16"/>
  <c r="I396" i="16"/>
  <c r="J394" i="16"/>
  <c r="J393" i="16"/>
  <c r="J392" i="16"/>
  <c r="J391" i="16"/>
  <c r="N389" i="16"/>
  <c r="N388" i="16"/>
  <c r="N387" i="16"/>
  <c r="N386" i="16"/>
  <c r="N385" i="16"/>
  <c r="L385" i="16"/>
  <c r="N384" i="16"/>
  <c r="L384" i="16"/>
  <c r="N383" i="16"/>
  <c r="L383" i="16"/>
  <c r="N382" i="16"/>
  <c r="L382" i="16"/>
  <c r="O382" i="16" s="1"/>
  <c r="J381" i="16"/>
  <c r="I381" i="16"/>
  <c r="N380" i="16"/>
  <c r="L380" i="16"/>
  <c r="J380" i="16"/>
  <c r="I380" i="16"/>
  <c r="J379" i="16"/>
  <c r="J378" i="16"/>
  <c r="J377" i="16"/>
  <c r="I377" i="16"/>
  <c r="J376" i="16"/>
  <c r="I376" i="16"/>
  <c r="J375" i="16"/>
  <c r="I375" i="16"/>
  <c r="J374" i="16"/>
  <c r="I374" i="16"/>
  <c r="J373" i="16"/>
  <c r="I373" i="16"/>
  <c r="K373" i="16" s="1"/>
  <c r="J372" i="16"/>
  <c r="I372" i="16"/>
  <c r="J371" i="16"/>
  <c r="I371" i="16"/>
  <c r="K371" i="16" s="1"/>
  <c r="J370" i="16"/>
  <c r="I370" i="16"/>
  <c r="J369" i="16"/>
  <c r="I369" i="16"/>
  <c r="J368" i="16"/>
  <c r="I368" i="16"/>
  <c r="J367" i="16"/>
  <c r="J366" i="16"/>
  <c r="J365" i="16"/>
  <c r="I365" i="16"/>
  <c r="K365" i="16" s="1"/>
  <c r="J364" i="16"/>
  <c r="J363" i="16"/>
  <c r="J362" i="16"/>
  <c r="J361" i="16"/>
  <c r="J360" i="16"/>
  <c r="N358" i="16"/>
  <c r="N357" i="16"/>
  <c r="N356" i="16"/>
  <c r="N355" i="16"/>
  <c r="N354" i="16"/>
  <c r="L354" i="16"/>
  <c r="N353" i="16"/>
  <c r="L353" i="16"/>
  <c r="O353" i="16" s="1"/>
  <c r="N352" i="16"/>
  <c r="L352" i="16"/>
  <c r="N351" i="16"/>
  <c r="L351" i="16"/>
  <c r="O351" i="16" s="1"/>
  <c r="J350" i="16"/>
  <c r="I350" i="16"/>
  <c r="N349" i="16"/>
  <c r="L349" i="16"/>
  <c r="J349" i="16"/>
  <c r="I349" i="16"/>
  <c r="N347" i="16"/>
  <c r="L347" i="16"/>
  <c r="J346" i="16"/>
  <c r="I346" i="16"/>
  <c r="K346" i="16" s="1"/>
  <c r="J345" i="16"/>
  <c r="I345" i="16"/>
  <c r="J344" i="16"/>
  <c r="I344" i="16"/>
  <c r="K344" i="16" s="1"/>
  <c r="J343" i="16"/>
  <c r="I343" i="16"/>
  <c r="J342" i="16"/>
  <c r="I342" i="16"/>
  <c r="K342" i="16" s="1"/>
  <c r="J341" i="16"/>
  <c r="I341" i="16"/>
  <c r="J340" i="16"/>
  <c r="I340" i="16"/>
  <c r="J339" i="16"/>
  <c r="I339" i="16"/>
  <c r="K339" i="16" s="1"/>
  <c r="N337" i="16"/>
  <c r="L337" i="16"/>
  <c r="O337" i="16" s="1"/>
  <c r="L335" i="16"/>
  <c r="L334" i="16"/>
  <c r="N333" i="16"/>
  <c r="M333" i="16"/>
  <c r="O332" i="16"/>
  <c r="O330" i="16"/>
  <c r="N330" i="16"/>
  <c r="M330" i="16"/>
  <c r="P330" i="16" s="1"/>
  <c r="L330" i="16"/>
  <c r="J328" i="16"/>
  <c r="I328" i="16"/>
  <c r="J326" i="16"/>
  <c r="J325" i="16"/>
  <c r="J324" i="16"/>
  <c r="I324" i="16"/>
  <c r="K324" i="16" s="1"/>
  <c r="J323" i="16"/>
  <c r="J322" i="16"/>
  <c r="J321" i="16"/>
  <c r="J320" i="16"/>
  <c r="N318" i="16"/>
  <c r="L318" i="16"/>
  <c r="O318" i="16" s="1"/>
  <c r="L316" i="16"/>
  <c r="L315" i="16"/>
  <c r="N314" i="16"/>
  <c r="M314" i="16"/>
  <c r="P314" i="16" s="1"/>
  <c r="O313" i="16"/>
  <c r="O311" i="16"/>
  <c r="N311" i="16"/>
  <c r="M311" i="16"/>
  <c r="L311" i="16"/>
  <c r="J309" i="16"/>
  <c r="I309" i="16"/>
  <c r="K309" i="16" s="1"/>
  <c r="J308" i="16"/>
  <c r="J307" i="16"/>
  <c r="J306" i="16"/>
  <c r="I306" i="16"/>
  <c r="K306" i="16" s="1"/>
  <c r="J304" i="16"/>
  <c r="I304" i="16"/>
  <c r="K304" i="16" s="1"/>
  <c r="J303" i="16"/>
  <c r="J302" i="16"/>
  <c r="J301" i="16"/>
  <c r="J300" i="16"/>
  <c r="N298" i="16"/>
  <c r="L298" i="16"/>
  <c r="O298" i="16" s="1"/>
  <c r="L296" i="16"/>
  <c r="L295" i="16"/>
  <c r="N294" i="16"/>
  <c r="M294" i="16"/>
  <c r="M292" i="16" s="1"/>
  <c r="O293" i="16"/>
  <c r="P291" i="16"/>
  <c r="N291" i="16"/>
  <c r="M291" i="16"/>
  <c r="L291" i="16"/>
  <c r="O291" i="16" s="1"/>
  <c r="J289" i="16"/>
  <c r="I289" i="16"/>
  <c r="K289" i="16" s="1"/>
  <c r="J287" i="16"/>
  <c r="J286" i="16"/>
  <c r="J285" i="16"/>
  <c r="I285" i="16"/>
  <c r="J284" i="16"/>
  <c r="J283" i="16"/>
  <c r="J282" i="16"/>
  <c r="J281" i="16"/>
  <c r="N279" i="16"/>
  <c r="L279" i="16"/>
  <c r="L277" i="16"/>
  <c r="L276" i="16"/>
  <c r="N275" i="16"/>
  <c r="M275" i="16"/>
  <c r="M273" i="16" s="1"/>
  <c r="O274" i="16"/>
  <c r="N272" i="16"/>
  <c r="M272" i="16"/>
  <c r="P272" i="16" s="1"/>
  <c r="L272" i="16"/>
  <c r="J270" i="16"/>
  <c r="I270" i="16"/>
  <c r="J269" i="16"/>
  <c r="J268" i="16"/>
  <c r="J267" i="16"/>
  <c r="I267" i="16"/>
  <c r="K267" i="16" s="1"/>
  <c r="J266" i="16"/>
  <c r="I266" i="16"/>
  <c r="K266" i="16" s="1"/>
  <c r="J265" i="16"/>
  <c r="I265" i="16"/>
  <c r="K265" i="16" s="1"/>
  <c r="J264" i="16"/>
  <c r="I264" i="16"/>
  <c r="K264" i="16" s="1"/>
  <c r="J263" i="16"/>
  <c r="J262" i="16"/>
  <c r="J261" i="16"/>
  <c r="J260" i="16"/>
  <c r="N258" i="16"/>
  <c r="L258" i="16"/>
  <c r="O258" i="16" s="1"/>
  <c r="L256" i="16"/>
  <c r="L255" i="16"/>
  <c r="N254" i="16"/>
  <c r="M254" i="16"/>
  <c r="M252" i="16" s="1"/>
  <c r="P252" i="16" s="1"/>
  <c r="O253" i="16"/>
  <c r="P251" i="16"/>
  <c r="N251" i="16"/>
  <c r="M251" i="16"/>
  <c r="L251" i="16"/>
  <c r="O251" i="16" s="1"/>
  <c r="J249" i="16"/>
  <c r="I249" i="16"/>
  <c r="K249" i="16" s="1"/>
  <c r="J246" i="16"/>
  <c r="J245" i="16"/>
  <c r="J244" i="16"/>
  <c r="I244" i="16"/>
  <c r="K244" i="16" s="1"/>
  <c r="J243" i="16"/>
  <c r="J242" i="16"/>
  <c r="J241" i="16"/>
  <c r="J240" i="16"/>
  <c r="J238" i="16"/>
  <c r="I238" i="16"/>
  <c r="K238" i="16" s="1"/>
  <c r="J237" i="16"/>
  <c r="J236" i="16"/>
  <c r="J235" i="16"/>
  <c r="I235" i="16"/>
  <c r="J234" i="16"/>
  <c r="J233" i="16"/>
  <c r="J232" i="16"/>
  <c r="J231" i="16"/>
  <c r="J229" i="16"/>
  <c r="I229" i="16"/>
  <c r="N228" i="16"/>
  <c r="L228" i="16"/>
  <c r="O228" i="16" s="1"/>
  <c r="L226" i="16"/>
  <c r="L225" i="16"/>
  <c r="N224" i="16"/>
  <c r="M224" i="16"/>
  <c r="O223" i="16"/>
  <c r="O221" i="16"/>
  <c r="N221" i="16"/>
  <c r="M221" i="16"/>
  <c r="P221" i="16" s="1"/>
  <c r="L221" i="16"/>
  <c r="J219" i="16"/>
  <c r="I219" i="16"/>
  <c r="J218" i="16"/>
  <c r="J217" i="16"/>
  <c r="J216" i="16"/>
  <c r="I216" i="16"/>
  <c r="K216" i="16" s="1"/>
  <c r="J215" i="16"/>
  <c r="I215" i="16"/>
  <c r="K215" i="16" s="1"/>
  <c r="J213" i="16"/>
  <c r="I213" i="16"/>
  <c r="K213" i="16" s="1"/>
  <c r="J212" i="16"/>
  <c r="J211" i="16"/>
  <c r="J210" i="16"/>
  <c r="J209" i="16"/>
  <c r="J204" i="16"/>
  <c r="I204" i="16"/>
  <c r="K204" i="16" s="1"/>
  <c r="J203" i="16"/>
  <c r="J202" i="16"/>
  <c r="J201" i="16"/>
  <c r="I201" i="16"/>
  <c r="K201" i="16" s="1"/>
  <c r="J200" i="16"/>
  <c r="I200" i="16"/>
  <c r="J199" i="16"/>
  <c r="I199" i="16"/>
  <c r="J197" i="16"/>
  <c r="J196" i="16"/>
  <c r="J195" i="16"/>
  <c r="J194" i="16"/>
  <c r="J189" i="16"/>
  <c r="I189" i="16"/>
  <c r="J188" i="16"/>
  <c r="J187" i="16"/>
  <c r="J186" i="16"/>
  <c r="I186" i="16"/>
  <c r="K186" i="16" s="1"/>
  <c r="J185" i="16"/>
  <c r="I185" i="16"/>
  <c r="K185" i="16" s="1"/>
  <c r="J184" i="16"/>
  <c r="J183" i="16"/>
  <c r="J182" i="16"/>
  <c r="J181" i="16"/>
  <c r="J176" i="16"/>
  <c r="I176" i="16"/>
  <c r="K176" i="16" s="1"/>
  <c r="J175" i="16"/>
  <c r="J174" i="16"/>
  <c r="J173" i="16"/>
  <c r="I173" i="16"/>
  <c r="J172" i="16"/>
  <c r="J171" i="16"/>
  <c r="J170" i="16"/>
  <c r="J169" i="16"/>
  <c r="J164" i="16"/>
  <c r="I164" i="16"/>
  <c r="J163" i="16"/>
  <c r="J162" i="16"/>
  <c r="J161" i="16"/>
  <c r="J160" i="16"/>
  <c r="J159" i="16"/>
  <c r="J158" i="16"/>
  <c r="I158" i="16"/>
  <c r="J157" i="16"/>
  <c r="J156" i="16"/>
  <c r="J155" i="16"/>
  <c r="J154" i="16"/>
  <c r="J149" i="16"/>
  <c r="I149" i="16"/>
  <c r="N148" i="16"/>
  <c r="L148" i="16"/>
  <c r="O148" i="16" s="1"/>
  <c r="L146" i="16"/>
  <c r="L145" i="16"/>
  <c r="N144" i="16"/>
  <c r="M144" i="16"/>
  <c r="M142" i="16" s="1"/>
  <c r="M140" i="16" s="1"/>
  <c r="O143" i="16"/>
  <c r="P141" i="16"/>
  <c r="N141" i="16"/>
  <c r="M141" i="16"/>
  <c r="L141" i="16"/>
  <c r="O141" i="16" s="1"/>
  <c r="J138" i="16"/>
  <c r="I138" i="16"/>
  <c r="K138" i="16" s="1"/>
  <c r="J135" i="16"/>
  <c r="J134" i="16"/>
  <c r="J133" i="16"/>
  <c r="I133" i="16"/>
  <c r="J132" i="16"/>
  <c r="I132" i="16"/>
  <c r="J131" i="16"/>
  <c r="J130" i="16"/>
  <c r="J129" i="16"/>
  <c r="J128" i="16"/>
  <c r="N126" i="16"/>
  <c r="L126" i="16"/>
  <c r="O126" i="16" s="1"/>
  <c r="L124" i="16"/>
  <c r="L123" i="16"/>
  <c r="N122" i="16"/>
  <c r="M122" i="16"/>
  <c r="M120" i="16" s="1"/>
  <c r="O121" i="16"/>
  <c r="N119" i="16"/>
  <c r="M119" i="16"/>
  <c r="P119" i="16" s="1"/>
  <c r="L119" i="16"/>
  <c r="J117" i="16"/>
  <c r="I117" i="16"/>
  <c r="J115" i="16"/>
  <c r="J114" i="16"/>
  <c r="J113" i="16"/>
  <c r="I113" i="16"/>
  <c r="K113" i="16" s="1"/>
  <c r="J112" i="16"/>
  <c r="I112" i="16"/>
  <c r="K112" i="16" s="1"/>
  <c r="J111" i="16"/>
  <c r="I111" i="16"/>
  <c r="K111" i="16" s="1"/>
  <c r="J110" i="16"/>
  <c r="I110" i="16"/>
  <c r="K110" i="16" s="1"/>
  <c r="J109" i="16"/>
  <c r="I109" i="16"/>
  <c r="K109" i="16" s="1"/>
  <c r="J108" i="16"/>
  <c r="I108" i="16"/>
  <c r="K108" i="16" s="1"/>
  <c r="J107" i="16"/>
  <c r="J106" i="16"/>
  <c r="J105" i="16"/>
  <c r="J104" i="16"/>
  <c r="N102" i="16"/>
  <c r="L102" i="16"/>
  <c r="O102" i="16" s="1"/>
  <c r="L100" i="16"/>
  <c r="L99" i="16"/>
  <c r="N98" i="16"/>
  <c r="M98" i="16"/>
  <c r="P98" i="16" s="1"/>
  <c r="O97" i="16"/>
  <c r="N95" i="16"/>
  <c r="M95" i="16"/>
  <c r="P95" i="16" s="1"/>
  <c r="L95" i="16"/>
  <c r="O95" i="16" s="1"/>
  <c r="J93" i="16"/>
  <c r="I93" i="16"/>
  <c r="K93" i="16" s="1"/>
  <c r="J92" i="16"/>
  <c r="I92" i="16"/>
  <c r="K92" i="16" s="1"/>
  <c r="J90" i="16"/>
  <c r="J89" i="16"/>
  <c r="J88" i="16"/>
  <c r="I88" i="16"/>
  <c r="K88" i="16" s="1"/>
  <c r="J87" i="16"/>
  <c r="I87" i="16"/>
  <c r="K87" i="16" s="1"/>
  <c r="J86" i="16"/>
  <c r="I86" i="16"/>
  <c r="K86" i="16" s="1"/>
  <c r="J85" i="16"/>
  <c r="I85" i="16"/>
  <c r="J84" i="16"/>
  <c r="I84" i="16"/>
  <c r="J83" i="16"/>
  <c r="I83" i="16"/>
  <c r="K83" i="16" s="1"/>
  <c r="J82" i="16"/>
  <c r="I82" i="16"/>
  <c r="K82" i="16" s="1"/>
  <c r="J81" i="16"/>
  <c r="I81" i="16"/>
  <c r="J80" i="16"/>
  <c r="I80" i="16"/>
  <c r="J79" i="16"/>
  <c r="J78" i="16"/>
  <c r="J77" i="16"/>
  <c r="J76" i="16"/>
  <c r="N74" i="16"/>
  <c r="L74" i="16"/>
  <c r="M74" i="16" s="1"/>
  <c r="L72" i="16"/>
  <c r="L71" i="16"/>
  <c r="N70" i="16"/>
  <c r="M70" i="16"/>
  <c r="O69" i="16"/>
  <c r="O67" i="16"/>
  <c r="N67" i="16"/>
  <c r="M67" i="16"/>
  <c r="L67" i="16"/>
  <c r="J65" i="16"/>
  <c r="I65" i="16"/>
  <c r="J64" i="16"/>
  <c r="I64" i="16"/>
  <c r="N61" i="16"/>
  <c r="L61" i="16"/>
  <c r="O61" i="16" s="1"/>
  <c r="L59" i="16"/>
  <c r="L58" i="16"/>
  <c r="N57" i="16"/>
  <c r="M57" i="16"/>
  <c r="N54" i="16"/>
  <c r="M54" i="16"/>
  <c r="L54" i="16"/>
  <c r="N49" i="16"/>
  <c r="L49" i="16"/>
  <c r="M49" i="16" s="1"/>
  <c r="L47" i="16"/>
  <c r="L46" i="16"/>
  <c r="N45" i="16"/>
  <c r="M45" i="16"/>
  <c r="P42" i="16"/>
  <c r="N42" i="16"/>
  <c r="M42" i="16"/>
  <c r="L42" i="16"/>
  <c r="O42" i="16" s="1"/>
  <c r="P36" i="16"/>
  <c r="O36" i="16"/>
  <c r="P35" i="16"/>
  <c r="O35" i="16"/>
  <c r="P34" i="16"/>
  <c r="M34" i="16"/>
  <c r="P33" i="16"/>
  <c r="M33" i="16"/>
  <c r="P32" i="16"/>
  <c r="M32" i="16"/>
  <c r="M31" i="16"/>
  <c r="M29" i="16" s="1"/>
  <c r="M30" i="16"/>
  <c r="P30" i="16" s="1"/>
  <c r="P25" i="16"/>
  <c r="O25" i="16"/>
  <c r="N25" i="16"/>
  <c r="N15" i="16" s="1"/>
  <c r="M25" i="16"/>
  <c r="L25" i="16"/>
  <c r="P24" i="16"/>
  <c r="N24" i="16"/>
  <c r="M24" i="16"/>
  <c r="P23" i="16"/>
  <c r="N23" i="16"/>
  <c r="M23" i="16"/>
  <c r="O21" i="16"/>
  <c r="N21" i="16"/>
  <c r="M21" i="16"/>
  <c r="P21" i="16" s="1"/>
  <c r="L21" i="16"/>
  <c r="L19" i="16"/>
  <c r="O19" i="16" s="1"/>
  <c r="P15" i="16"/>
  <c r="M15" i="16"/>
  <c r="L15" i="16"/>
  <c r="O15" i="16" s="1"/>
  <c r="P14" i="16"/>
  <c r="M14" i="16"/>
  <c r="M13" i="16"/>
  <c r="P13" i="16" s="1"/>
  <c r="J635" i="15"/>
  <c r="I635" i="15"/>
  <c r="J634" i="15"/>
  <c r="I634" i="15"/>
  <c r="J633" i="15"/>
  <c r="I633" i="15"/>
  <c r="J632" i="15"/>
  <c r="I632" i="15"/>
  <c r="J631" i="15"/>
  <c r="I631" i="15"/>
  <c r="J630" i="15"/>
  <c r="I630" i="15"/>
  <c r="J629" i="15"/>
  <c r="I629" i="15"/>
  <c r="J628" i="15"/>
  <c r="I628" i="15"/>
  <c r="J626" i="15"/>
  <c r="I626" i="15"/>
  <c r="J625" i="15"/>
  <c r="I625" i="15"/>
  <c r="J624" i="15"/>
  <c r="I624" i="15"/>
  <c r="J623" i="15"/>
  <c r="I623" i="15"/>
  <c r="J622" i="15"/>
  <c r="I622" i="15"/>
  <c r="J621" i="15"/>
  <c r="I621" i="15"/>
  <c r="J620" i="15"/>
  <c r="I620" i="15"/>
  <c r="K624" i="15" s="1"/>
  <c r="J619" i="15"/>
  <c r="I619" i="15"/>
  <c r="J618" i="15"/>
  <c r="I618" i="15"/>
  <c r="J617" i="15"/>
  <c r="I617" i="15"/>
  <c r="J616" i="15"/>
  <c r="I616" i="15"/>
  <c r="J615" i="15"/>
  <c r="I615" i="15"/>
  <c r="J614" i="15"/>
  <c r="I614" i="15"/>
  <c r="J613" i="15"/>
  <c r="I613" i="15"/>
  <c r="J612" i="15"/>
  <c r="I612" i="15"/>
  <c r="J611" i="15"/>
  <c r="I611" i="15"/>
  <c r="J610" i="15"/>
  <c r="J609" i="15"/>
  <c r="J608" i="15"/>
  <c r="J607" i="15"/>
  <c r="N605" i="15"/>
  <c r="N604" i="15"/>
  <c r="N603" i="15"/>
  <c r="N602" i="15"/>
  <c r="N601" i="15"/>
  <c r="L601" i="15"/>
  <c r="N600" i="15"/>
  <c r="L600" i="15"/>
  <c r="O600" i="15" s="1"/>
  <c r="N599" i="15"/>
  <c r="L599" i="15"/>
  <c r="N598" i="15"/>
  <c r="L598" i="15"/>
  <c r="O598" i="15" s="1"/>
  <c r="N597" i="15"/>
  <c r="L597" i="15"/>
  <c r="J597" i="15"/>
  <c r="I597" i="15"/>
  <c r="J596" i="15"/>
  <c r="I596" i="15"/>
  <c r="K596" i="15" s="1"/>
  <c r="J595" i="15"/>
  <c r="I595" i="15"/>
  <c r="K595" i="15" s="1"/>
  <c r="J594" i="15"/>
  <c r="I594" i="15"/>
  <c r="K594" i="15" s="1"/>
  <c r="J593" i="15"/>
  <c r="I593" i="15"/>
  <c r="K593" i="15" s="1"/>
  <c r="J592" i="15"/>
  <c r="I592" i="15"/>
  <c r="K592" i="15" s="1"/>
  <c r="J591" i="15"/>
  <c r="I591" i="15"/>
  <c r="K591" i="15" s="1"/>
  <c r="J590" i="15"/>
  <c r="I590" i="15"/>
  <c r="K590" i="15" s="1"/>
  <c r="J589" i="15"/>
  <c r="I589" i="15"/>
  <c r="K589" i="15" s="1"/>
  <c r="N588" i="15"/>
  <c r="N587" i="15"/>
  <c r="N586" i="15"/>
  <c r="N585" i="15"/>
  <c r="N584" i="15"/>
  <c r="L584" i="15"/>
  <c r="O584" i="15" s="1"/>
  <c r="N583" i="15"/>
  <c r="L583" i="15"/>
  <c r="O583" i="15" s="1"/>
  <c r="N582" i="15"/>
  <c r="L582" i="15"/>
  <c r="O582" i="15" s="1"/>
  <c r="N581" i="15"/>
  <c r="L581" i="15"/>
  <c r="O581" i="15" s="1"/>
  <c r="N580" i="15"/>
  <c r="L580" i="15"/>
  <c r="O580" i="15" s="1"/>
  <c r="J580" i="15"/>
  <c r="I580" i="15"/>
  <c r="K580" i="15" s="1"/>
  <c r="J579" i="15"/>
  <c r="I579" i="15"/>
  <c r="K579" i="15" s="1"/>
  <c r="J578" i="15"/>
  <c r="I578" i="15"/>
  <c r="K578" i="15" s="1"/>
  <c r="J577" i="15"/>
  <c r="I577" i="15"/>
  <c r="K577" i="15" s="1"/>
  <c r="J576" i="15"/>
  <c r="I576" i="15"/>
  <c r="K576" i="15" s="1"/>
  <c r="J575" i="15"/>
  <c r="I575" i="15"/>
  <c r="K575" i="15" s="1"/>
  <c r="J573" i="15"/>
  <c r="I573" i="15"/>
  <c r="N572" i="15"/>
  <c r="N571" i="15"/>
  <c r="N570" i="15"/>
  <c r="N569" i="15"/>
  <c r="N568" i="15"/>
  <c r="L568" i="15"/>
  <c r="N567" i="15"/>
  <c r="L567" i="15"/>
  <c r="O567" i="15" s="1"/>
  <c r="N566" i="15"/>
  <c r="L566" i="15"/>
  <c r="N565" i="15"/>
  <c r="L565" i="15"/>
  <c r="O565" i="15" s="1"/>
  <c r="N564" i="15"/>
  <c r="L564" i="15"/>
  <c r="J564" i="15"/>
  <c r="I564" i="15"/>
  <c r="J563" i="15"/>
  <c r="J562" i="15"/>
  <c r="J561" i="15"/>
  <c r="I561" i="15"/>
  <c r="K561" i="15" s="1"/>
  <c r="J560" i="15"/>
  <c r="I560" i="15"/>
  <c r="K560" i="15" s="1"/>
  <c r="N559" i="15"/>
  <c r="N558" i="15"/>
  <c r="N557" i="15"/>
  <c r="N556" i="15"/>
  <c r="N555" i="15"/>
  <c r="L555" i="15"/>
  <c r="O555" i="15" s="1"/>
  <c r="N554" i="15"/>
  <c r="L554" i="15"/>
  <c r="O554" i="15" s="1"/>
  <c r="N553" i="15"/>
  <c r="L553" i="15"/>
  <c r="O553" i="15" s="1"/>
  <c r="N552" i="15"/>
  <c r="L552" i="15"/>
  <c r="O552" i="15" s="1"/>
  <c r="N551" i="15"/>
  <c r="L551" i="15"/>
  <c r="O551" i="15" s="1"/>
  <c r="J551" i="15"/>
  <c r="I551" i="15"/>
  <c r="K551" i="15" s="1"/>
  <c r="J550" i="15"/>
  <c r="J549" i="15"/>
  <c r="J548" i="15"/>
  <c r="I548" i="15"/>
  <c r="K548" i="15" s="1"/>
  <c r="J547" i="15"/>
  <c r="I547" i="15"/>
  <c r="J546" i="15"/>
  <c r="J545" i="15"/>
  <c r="J544" i="15"/>
  <c r="J543" i="15"/>
  <c r="N541" i="15"/>
  <c r="N540" i="15"/>
  <c r="N539" i="15"/>
  <c r="N538" i="15"/>
  <c r="N537" i="15"/>
  <c r="L537" i="15"/>
  <c r="N536" i="15"/>
  <c r="L536" i="15"/>
  <c r="O536" i="15" s="1"/>
  <c r="N535" i="15"/>
  <c r="L535" i="15"/>
  <c r="N534" i="15"/>
  <c r="L534" i="15"/>
  <c r="O534" i="15" s="1"/>
  <c r="N533" i="15"/>
  <c r="L533" i="15"/>
  <c r="J533" i="15"/>
  <c r="I533" i="15"/>
  <c r="J532" i="15"/>
  <c r="I532" i="15"/>
  <c r="J531" i="15"/>
  <c r="I531" i="15"/>
  <c r="J530" i="15"/>
  <c r="I530" i="15"/>
  <c r="J529" i="15"/>
  <c r="I529" i="15"/>
  <c r="J528" i="15"/>
  <c r="I528" i="15"/>
  <c r="J527" i="15"/>
  <c r="I527" i="15"/>
  <c r="J526" i="15"/>
  <c r="I526" i="15"/>
  <c r="J525" i="15"/>
  <c r="I525" i="15"/>
  <c r="J524" i="15"/>
  <c r="I524" i="15"/>
  <c r="J523" i="15"/>
  <c r="I523" i="15"/>
  <c r="J522" i="15"/>
  <c r="I522" i="15"/>
  <c r="J521" i="15"/>
  <c r="I521" i="15"/>
  <c r="J520" i="15"/>
  <c r="I520" i="15"/>
  <c r="J519" i="15"/>
  <c r="I519" i="15"/>
  <c r="J518" i="15"/>
  <c r="I518" i="15"/>
  <c r="J517" i="15"/>
  <c r="I517" i="15"/>
  <c r="J516" i="15"/>
  <c r="I516" i="15"/>
  <c r="J515" i="15"/>
  <c r="I515" i="15"/>
  <c r="K515" i="15" s="1"/>
  <c r="J514" i="15"/>
  <c r="I514" i="15"/>
  <c r="K514" i="15" s="1"/>
  <c r="J513" i="15"/>
  <c r="I513" i="15"/>
  <c r="K513" i="15" s="1"/>
  <c r="J512" i="15"/>
  <c r="I512" i="15"/>
  <c r="K512" i="15" s="1"/>
  <c r="J511" i="15"/>
  <c r="I511" i="15"/>
  <c r="K511" i="15" s="1"/>
  <c r="J510" i="15"/>
  <c r="I510" i="15"/>
  <c r="K510" i="15" s="1"/>
  <c r="J509" i="15"/>
  <c r="I509" i="15"/>
  <c r="K509" i="15" s="1"/>
  <c r="J508" i="15"/>
  <c r="I508" i="15"/>
  <c r="K508" i="15" s="1"/>
  <c r="J507" i="15"/>
  <c r="I507" i="15"/>
  <c r="K507" i="15" s="1"/>
  <c r="J506" i="15"/>
  <c r="I506" i="15"/>
  <c r="K506" i="15" s="1"/>
  <c r="J505" i="15"/>
  <c r="I505" i="15"/>
  <c r="K505" i="15" s="1"/>
  <c r="J504" i="15"/>
  <c r="I504" i="15"/>
  <c r="K504" i="15" s="1"/>
  <c r="J503" i="15"/>
  <c r="I503" i="15"/>
  <c r="K503" i="15" s="1"/>
  <c r="J502" i="15"/>
  <c r="I502" i="15"/>
  <c r="K502" i="15" s="1"/>
  <c r="J501" i="15"/>
  <c r="I501" i="15"/>
  <c r="K501" i="15" s="1"/>
  <c r="J500" i="15"/>
  <c r="I500" i="15"/>
  <c r="K500" i="15" s="1"/>
  <c r="J499" i="15"/>
  <c r="I499" i="15"/>
  <c r="J498" i="15"/>
  <c r="I498" i="15"/>
  <c r="J497" i="15"/>
  <c r="I497" i="15"/>
  <c r="J496" i="15"/>
  <c r="I496" i="15"/>
  <c r="K496" i="15" s="1"/>
  <c r="J495" i="15"/>
  <c r="I495" i="15"/>
  <c r="K495" i="15" s="1"/>
  <c r="J494" i="15"/>
  <c r="I494" i="15"/>
  <c r="K494" i="15" s="1"/>
  <c r="J493" i="15"/>
  <c r="I493" i="15"/>
  <c r="K493" i="15" s="1"/>
  <c r="J492" i="15"/>
  <c r="I492" i="15"/>
  <c r="K492" i="15" s="1"/>
  <c r="J491" i="15"/>
  <c r="I491" i="15"/>
  <c r="K491" i="15" s="1"/>
  <c r="J490" i="15"/>
  <c r="I490" i="15"/>
  <c r="K490" i="15" s="1"/>
  <c r="J489" i="15"/>
  <c r="I489" i="15"/>
  <c r="K489" i="15" s="1"/>
  <c r="J488" i="15"/>
  <c r="I488" i="15"/>
  <c r="K488" i="15" s="1"/>
  <c r="J487" i="15"/>
  <c r="I487" i="15"/>
  <c r="K487" i="15" s="1"/>
  <c r="J486" i="15"/>
  <c r="I486" i="15"/>
  <c r="K486" i="15" s="1"/>
  <c r="J485" i="15"/>
  <c r="I485" i="15"/>
  <c r="K485" i="15" s="1"/>
  <c r="J484" i="15"/>
  <c r="I484" i="15"/>
  <c r="K484" i="15" s="1"/>
  <c r="J483" i="15"/>
  <c r="I483" i="15"/>
  <c r="K483" i="15" s="1"/>
  <c r="J482" i="15"/>
  <c r="I482" i="15"/>
  <c r="J481" i="15"/>
  <c r="I481" i="15"/>
  <c r="J480" i="15"/>
  <c r="I480" i="15"/>
  <c r="K480" i="15" s="1"/>
  <c r="J479" i="15"/>
  <c r="I479" i="15"/>
  <c r="K479" i="15" s="1"/>
  <c r="J478" i="15"/>
  <c r="I478" i="15"/>
  <c r="K478" i="15" s="1"/>
  <c r="J477" i="15"/>
  <c r="I477" i="15"/>
  <c r="K477" i="15" s="1"/>
  <c r="J476" i="15"/>
  <c r="I476" i="15"/>
  <c r="K476" i="15" s="1"/>
  <c r="J475" i="15"/>
  <c r="I475" i="15"/>
  <c r="K475" i="15" s="1"/>
  <c r="J474" i="15"/>
  <c r="I474" i="15"/>
  <c r="J473" i="15"/>
  <c r="I473" i="15"/>
  <c r="J472" i="15"/>
  <c r="I472" i="15"/>
  <c r="K472" i="15" s="1"/>
  <c r="J471" i="15"/>
  <c r="I471" i="15"/>
  <c r="K471" i="15" s="1"/>
  <c r="J470" i="15"/>
  <c r="I470" i="15"/>
  <c r="K470" i="15" s="1"/>
  <c r="J469" i="15"/>
  <c r="I469" i="15"/>
  <c r="K469" i="15" s="1"/>
  <c r="J468" i="15"/>
  <c r="I468" i="15"/>
  <c r="K468" i="15" s="1"/>
  <c r="J467" i="15"/>
  <c r="I467" i="15"/>
  <c r="K467" i="15" s="1"/>
  <c r="J466" i="15"/>
  <c r="I466" i="15"/>
  <c r="J465" i="15"/>
  <c r="I465" i="15"/>
  <c r="J464" i="15"/>
  <c r="I464" i="15"/>
  <c r="N463" i="15"/>
  <c r="N462" i="15"/>
  <c r="N461" i="15"/>
  <c r="N460" i="15"/>
  <c r="N459" i="15"/>
  <c r="L459" i="15"/>
  <c r="N458" i="15"/>
  <c r="L458" i="15"/>
  <c r="O458" i="15" s="1"/>
  <c r="N457" i="15"/>
  <c r="L457" i="15"/>
  <c r="N456" i="15"/>
  <c r="L456" i="15"/>
  <c r="O456" i="15" s="1"/>
  <c r="N455" i="15"/>
  <c r="L455" i="15"/>
  <c r="J455" i="15"/>
  <c r="I455" i="15"/>
  <c r="J454" i="15"/>
  <c r="J453" i="15"/>
  <c r="J452" i="15"/>
  <c r="I452" i="15"/>
  <c r="K452" i="15" s="1"/>
  <c r="J451" i="15"/>
  <c r="I451" i="15"/>
  <c r="K451" i="15" s="1"/>
  <c r="J450" i="15"/>
  <c r="I450" i="15"/>
  <c r="J449" i="15"/>
  <c r="I449" i="15"/>
  <c r="J448" i="15"/>
  <c r="J447" i="15"/>
  <c r="J446" i="15"/>
  <c r="J445" i="15"/>
  <c r="N443" i="15"/>
  <c r="N442" i="15"/>
  <c r="N441" i="15"/>
  <c r="N440" i="15"/>
  <c r="N439" i="15"/>
  <c r="L439" i="15"/>
  <c r="N438" i="15"/>
  <c r="L438" i="15"/>
  <c r="O438" i="15" s="1"/>
  <c r="N437" i="15"/>
  <c r="L437" i="15"/>
  <c r="N436" i="15"/>
  <c r="L436" i="15"/>
  <c r="O436" i="15" s="1"/>
  <c r="N435" i="15"/>
  <c r="L435" i="15"/>
  <c r="J435" i="15"/>
  <c r="I435" i="15"/>
  <c r="J434" i="15"/>
  <c r="J433" i="15"/>
  <c r="J432" i="15"/>
  <c r="I432" i="15"/>
  <c r="J431" i="15"/>
  <c r="I431" i="15"/>
  <c r="J430" i="15"/>
  <c r="I430" i="15"/>
  <c r="J429" i="15"/>
  <c r="I429" i="15"/>
  <c r="J428" i="15"/>
  <c r="I428" i="15"/>
  <c r="J427" i="15"/>
  <c r="I427" i="15"/>
  <c r="J426" i="15"/>
  <c r="I426" i="15"/>
  <c r="J425" i="15"/>
  <c r="I425" i="15"/>
  <c r="J424" i="15"/>
  <c r="I424" i="15"/>
  <c r="J423" i="15"/>
  <c r="I423" i="15"/>
  <c r="J422" i="15"/>
  <c r="I422" i="15"/>
  <c r="J421" i="15"/>
  <c r="I421" i="15"/>
  <c r="J420" i="15"/>
  <c r="I420" i="15"/>
  <c r="J419" i="15"/>
  <c r="I419" i="15"/>
  <c r="J418" i="15"/>
  <c r="I418" i="15"/>
  <c r="J417" i="15"/>
  <c r="I417" i="15"/>
  <c r="J416" i="15"/>
  <c r="I416" i="15"/>
  <c r="J415" i="15"/>
  <c r="J414" i="15"/>
  <c r="J413" i="15"/>
  <c r="J412" i="15"/>
  <c r="N410" i="15"/>
  <c r="N409" i="15"/>
  <c r="N408" i="15"/>
  <c r="N407" i="15"/>
  <c r="N406" i="15"/>
  <c r="L406" i="15"/>
  <c r="N405" i="15"/>
  <c r="L405" i="15"/>
  <c r="O405" i="15" s="1"/>
  <c r="N404" i="15"/>
  <c r="L404" i="15"/>
  <c r="N403" i="15"/>
  <c r="L403" i="15"/>
  <c r="O403" i="15" s="1"/>
  <c r="J402" i="15"/>
  <c r="I402" i="15"/>
  <c r="N401" i="15"/>
  <c r="L401" i="15"/>
  <c r="J401" i="15"/>
  <c r="I401" i="15"/>
  <c r="J400" i="15"/>
  <c r="J399" i="15"/>
  <c r="J398" i="15"/>
  <c r="I398" i="15"/>
  <c r="J397" i="15"/>
  <c r="I397" i="15"/>
  <c r="J396" i="15"/>
  <c r="I396" i="15"/>
  <c r="J394" i="15"/>
  <c r="J393" i="15"/>
  <c r="J392" i="15"/>
  <c r="J391" i="15"/>
  <c r="N389" i="15"/>
  <c r="N388" i="15"/>
  <c r="N387" i="15"/>
  <c r="N386" i="15"/>
  <c r="N385" i="15"/>
  <c r="L385" i="15"/>
  <c r="N384" i="15"/>
  <c r="L384" i="15"/>
  <c r="N383" i="15"/>
  <c r="L383" i="15"/>
  <c r="N382" i="15"/>
  <c r="L382" i="15"/>
  <c r="O382" i="15" s="1"/>
  <c r="J381" i="15"/>
  <c r="I381" i="15"/>
  <c r="N380" i="15"/>
  <c r="L380" i="15"/>
  <c r="J380" i="15"/>
  <c r="I380" i="15"/>
  <c r="J379" i="15"/>
  <c r="J378" i="15"/>
  <c r="J377" i="15"/>
  <c r="I377" i="15"/>
  <c r="J376" i="15"/>
  <c r="I376" i="15"/>
  <c r="J375" i="15"/>
  <c r="I375" i="15"/>
  <c r="J374" i="15"/>
  <c r="I374" i="15"/>
  <c r="J373" i="15"/>
  <c r="I373" i="15"/>
  <c r="K373" i="15" s="1"/>
  <c r="J372" i="15"/>
  <c r="I372" i="15"/>
  <c r="J371" i="15"/>
  <c r="I371" i="15"/>
  <c r="K371" i="15" s="1"/>
  <c r="J370" i="15"/>
  <c r="I370" i="15"/>
  <c r="J369" i="15"/>
  <c r="I369" i="15"/>
  <c r="J368" i="15"/>
  <c r="I368" i="15"/>
  <c r="J367" i="15"/>
  <c r="J366" i="15"/>
  <c r="J365" i="15"/>
  <c r="I365" i="15"/>
  <c r="K365" i="15" s="1"/>
  <c r="J364" i="15"/>
  <c r="J363" i="15"/>
  <c r="J362" i="15"/>
  <c r="J361" i="15"/>
  <c r="J360" i="15"/>
  <c r="N358" i="15"/>
  <c r="N357" i="15"/>
  <c r="N356" i="15"/>
  <c r="N355" i="15"/>
  <c r="N354" i="15"/>
  <c r="L354" i="15"/>
  <c r="N353" i="15"/>
  <c r="L353" i="15"/>
  <c r="O353" i="15" s="1"/>
  <c r="N352" i="15"/>
  <c r="L352" i="15"/>
  <c r="N351" i="15"/>
  <c r="L351" i="15"/>
  <c r="O351" i="15" s="1"/>
  <c r="J350" i="15"/>
  <c r="I350" i="15"/>
  <c r="N349" i="15"/>
  <c r="L349" i="15"/>
  <c r="J349" i="15"/>
  <c r="I349" i="15"/>
  <c r="N347" i="15"/>
  <c r="L347" i="15"/>
  <c r="J346" i="15"/>
  <c r="I346" i="15"/>
  <c r="K346" i="15" s="1"/>
  <c r="J345" i="15"/>
  <c r="I345" i="15"/>
  <c r="J344" i="15"/>
  <c r="I344" i="15"/>
  <c r="K344" i="15" s="1"/>
  <c r="J343" i="15"/>
  <c r="I343" i="15"/>
  <c r="J342" i="15"/>
  <c r="I342" i="15"/>
  <c r="K342" i="15" s="1"/>
  <c r="J341" i="15"/>
  <c r="I341" i="15"/>
  <c r="J340" i="15"/>
  <c r="I340" i="15"/>
  <c r="J339" i="15"/>
  <c r="I339" i="15"/>
  <c r="K339" i="15" s="1"/>
  <c r="N337" i="15"/>
  <c r="L337" i="15"/>
  <c r="M337" i="15" s="1"/>
  <c r="L335" i="15"/>
  <c r="L334" i="15"/>
  <c r="N333" i="15"/>
  <c r="M333" i="15"/>
  <c r="O332" i="15"/>
  <c r="O330" i="15"/>
  <c r="N330" i="15"/>
  <c r="M330" i="15"/>
  <c r="P330" i="15" s="1"/>
  <c r="L330" i="15"/>
  <c r="J328" i="15"/>
  <c r="I328" i="15"/>
  <c r="J326" i="15"/>
  <c r="J325" i="15"/>
  <c r="J324" i="15"/>
  <c r="I324" i="15"/>
  <c r="K324" i="15" s="1"/>
  <c r="J323" i="15"/>
  <c r="J322" i="15"/>
  <c r="J321" i="15"/>
  <c r="J320" i="15"/>
  <c r="N318" i="15"/>
  <c r="L318" i="15"/>
  <c r="O318" i="15" s="1"/>
  <c r="L316" i="15"/>
  <c r="L315" i="15"/>
  <c r="N314" i="15"/>
  <c r="M314" i="15"/>
  <c r="O313" i="15"/>
  <c r="N311" i="15"/>
  <c r="M311" i="15"/>
  <c r="P311" i="15" s="1"/>
  <c r="L311" i="15"/>
  <c r="O311" i="15" s="1"/>
  <c r="J309" i="15"/>
  <c r="I309" i="15"/>
  <c r="K309" i="15" s="1"/>
  <c r="J308" i="15"/>
  <c r="J307" i="15"/>
  <c r="J306" i="15"/>
  <c r="I306" i="15"/>
  <c r="K306" i="15" s="1"/>
  <c r="J304" i="15"/>
  <c r="I304" i="15"/>
  <c r="K304" i="15" s="1"/>
  <c r="J303" i="15"/>
  <c r="J302" i="15"/>
  <c r="J301" i="15"/>
  <c r="J300" i="15"/>
  <c r="N298" i="15"/>
  <c r="L298" i="15"/>
  <c r="O298" i="15" s="1"/>
  <c r="L296" i="15"/>
  <c r="L295" i="15"/>
  <c r="N294" i="15"/>
  <c r="M294" i="15"/>
  <c r="O293" i="15"/>
  <c r="N291" i="15"/>
  <c r="M291" i="15"/>
  <c r="L291" i="15"/>
  <c r="O291" i="15" s="1"/>
  <c r="J289" i="15"/>
  <c r="I289" i="15"/>
  <c r="K289" i="15" s="1"/>
  <c r="J287" i="15"/>
  <c r="J286" i="15"/>
  <c r="J285" i="15"/>
  <c r="I285" i="15"/>
  <c r="J284" i="15"/>
  <c r="J283" i="15"/>
  <c r="J282" i="15"/>
  <c r="J281" i="15"/>
  <c r="N279" i="15"/>
  <c r="L279" i="15"/>
  <c r="O279" i="15" s="1"/>
  <c r="L277" i="15"/>
  <c r="L276" i="15"/>
  <c r="N275" i="15"/>
  <c r="M275" i="15"/>
  <c r="M273" i="15" s="1"/>
  <c r="M271" i="15" s="1"/>
  <c r="O274" i="15"/>
  <c r="P272" i="15"/>
  <c r="N272" i="15"/>
  <c r="M272" i="15"/>
  <c r="L272" i="15"/>
  <c r="O272" i="15" s="1"/>
  <c r="J270" i="15"/>
  <c r="I270" i="15"/>
  <c r="J269" i="15"/>
  <c r="J268" i="15"/>
  <c r="J267" i="15"/>
  <c r="I267" i="15"/>
  <c r="K267" i="15" s="1"/>
  <c r="J266" i="15"/>
  <c r="I266" i="15"/>
  <c r="K266" i="15" s="1"/>
  <c r="J265" i="15"/>
  <c r="I265" i="15"/>
  <c r="K265" i="15" s="1"/>
  <c r="J264" i="15"/>
  <c r="I264" i="15"/>
  <c r="K264" i="15" s="1"/>
  <c r="J263" i="15"/>
  <c r="J262" i="15"/>
  <c r="J261" i="15"/>
  <c r="J260" i="15"/>
  <c r="N258" i="15"/>
  <c r="L258" i="15"/>
  <c r="O258" i="15" s="1"/>
  <c r="L256" i="15"/>
  <c r="L255" i="15"/>
  <c r="N254" i="15"/>
  <c r="M254" i="15"/>
  <c r="M252" i="15" s="1"/>
  <c r="P252" i="15" s="1"/>
  <c r="O253" i="15"/>
  <c r="N251" i="15"/>
  <c r="M251" i="15"/>
  <c r="L251" i="15"/>
  <c r="O251" i="15" s="1"/>
  <c r="J249" i="15"/>
  <c r="I249" i="15"/>
  <c r="K249" i="15" s="1"/>
  <c r="J246" i="15"/>
  <c r="J245" i="15"/>
  <c r="J244" i="15"/>
  <c r="I244" i="15"/>
  <c r="K244" i="15" s="1"/>
  <c r="J243" i="15"/>
  <c r="J242" i="15"/>
  <c r="J241" i="15"/>
  <c r="J240" i="15"/>
  <c r="J238" i="15"/>
  <c r="I238" i="15"/>
  <c r="K238" i="15" s="1"/>
  <c r="J237" i="15"/>
  <c r="J236" i="15"/>
  <c r="J235" i="15"/>
  <c r="I235" i="15"/>
  <c r="J234" i="15"/>
  <c r="J233" i="15"/>
  <c r="J232" i="15"/>
  <c r="J231" i="15"/>
  <c r="J229" i="15"/>
  <c r="I229" i="15"/>
  <c r="N228" i="15"/>
  <c r="L228" i="15"/>
  <c r="O228" i="15" s="1"/>
  <c r="L226" i="15"/>
  <c r="L225" i="15"/>
  <c r="N224" i="15"/>
  <c r="M224" i="15"/>
  <c r="O223" i="15"/>
  <c r="P221" i="15"/>
  <c r="O221" i="15"/>
  <c r="N221" i="15"/>
  <c r="M221" i="15"/>
  <c r="L221" i="15"/>
  <c r="J219" i="15"/>
  <c r="I219" i="15"/>
  <c r="J218" i="15"/>
  <c r="J217" i="15"/>
  <c r="J216" i="15"/>
  <c r="I216" i="15"/>
  <c r="J215" i="15"/>
  <c r="I215" i="15"/>
  <c r="K215" i="15" s="1"/>
  <c r="J213" i="15"/>
  <c r="I213" i="15"/>
  <c r="J212" i="15"/>
  <c r="J211" i="15"/>
  <c r="J210" i="15"/>
  <c r="J209" i="15"/>
  <c r="J204" i="15"/>
  <c r="I204" i="15"/>
  <c r="J203" i="15"/>
  <c r="J202" i="15"/>
  <c r="J201" i="15"/>
  <c r="I201" i="15"/>
  <c r="K201" i="15" s="1"/>
  <c r="J200" i="15"/>
  <c r="I200" i="15"/>
  <c r="J199" i="15"/>
  <c r="I199" i="15"/>
  <c r="J197" i="15"/>
  <c r="J196" i="15"/>
  <c r="J195" i="15"/>
  <c r="J194" i="15"/>
  <c r="J189" i="15"/>
  <c r="I189" i="15"/>
  <c r="J188" i="15"/>
  <c r="J187" i="15"/>
  <c r="J186" i="15"/>
  <c r="I186" i="15"/>
  <c r="K186" i="15" s="1"/>
  <c r="J185" i="15"/>
  <c r="I185" i="15"/>
  <c r="K185" i="15" s="1"/>
  <c r="J184" i="15"/>
  <c r="J183" i="15"/>
  <c r="J182" i="15"/>
  <c r="J181" i="15"/>
  <c r="J176" i="15"/>
  <c r="I176" i="15"/>
  <c r="K176" i="15" s="1"/>
  <c r="J175" i="15"/>
  <c r="J174" i="15"/>
  <c r="J173" i="15"/>
  <c r="I173" i="15"/>
  <c r="J172" i="15"/>
  <c r="J171" i="15"/>
  <c r="J170" i="15"/>
  <c r="J169" i="15"/>
  <c r="J164" i="15"/>
  <c r="I164" i="15"/>
  <c r="J163" i="15"/>
  <c r="J162" i="15"/>
  <c r="J161" i="15"/>
  <c r="J160" i="15"/>
  <c r="J159" i="15"/>
  <c r="J158" i="15"/>
  <c r="I158" i="15"/>
  <c r="J157" i="15"/>
  <c r="J156" i="15"/>
  <c r="J155" i="15"/>
  <c r="J154" i="15"/>
  <c r="J149" i="15"/>
  <c r="I149" i="15"/>
  <c r="N148" i="15"/>
  <c r="L148" i="15"/>
  <c r="M148" i="15" s="1"/>
  <c r="M148" i="1" s="1"/>
  <c r="L146" i="15"/>
  <c r="L145" i="15"/>
  <c r="N144" i="15"/>
  <c r="M144" i="15"/>
  <c r="O143" i="15"/>
  <c r="N141" i="15"/>
  <c r="M141" i="15"/>
  <c r="P141" i="15" s="1"/>
  <c r="L141" i="15"/>
  <c r="J138" i="15"/>
  <c r="I138" i="15"/>
  <c r="J135" i="15"/>
  <c r="J134" i="15"/>
  <c r="J133" i="15"/>
  <c r="I133" i="15"/>
  <c r="J132" i="15"/>
  <c r="I132" i="15"/>
  <c r="J131" i="15"/>
  <c r="J130" i="15"/>
  <c r="J129" i="15"/>
  <c r="J128" i="15"/>
  <c r="N126" i="15"/>
  <c r="L126" i="15"/>
  <c r="O126" i="15" s="1"/>
  <c r="L124" i="15"/>
  <c r="L123" i="15"/>
  <c r="N122" i="15"/>
  <c r="M122" i="15"/>
  <c r="O121" i="15"/>
  <c r="P119" i="15"/>
  <c r="N119" i="15"/>
  <c r="M119" i="15"/>
  <c r="L119" i="15"/>
  <c r="J117" i="15"/>
  <c r="I117" i="15"/>
  <c r="J115" i="15"/>
  <c r="J114" i="15"/>
  <c r="J113" i="15"/>
  <c r="I113" i="15"/>
  <c r="K113" i="15" s="1"/>
  <c r="J112" i="15"/>
  <c r="I112" i="15"/>
  <c r="K112" i="15" s="1"/>
  <c r="J111" i="15"/>
  <c r="I111" i="15"/>
  <c r="K111" i="15" s="1"/>
  <c r="J110" i="15"/>
  <c r="I110" i="15"/>
  <c r="K110" i="15" s="1"/>
  <c r="J109" i="15"/>
  <c r="I109" i="15"/>
  <c r="K109" i="15" s="1"/>
  <c r="J108" i="15"/>
  <c r="I108" i="15"/>
  <c r="K108" i="15" s="1"/>
  <c r="J107" i="15"/>
  <c r="J106" i="15"/>
  <c r="J105" i="15"/>
  <c r="J104" i="15"/>
  <c r="N102" i="15"/>
  <c r="L102" i="15"/>
  <c r="O102" i="15" s="1"/>
  <c r="L100" i="15"/>
  <c r="L99" i="15"/>
  <c r="N98" i="15"/>
  <c r="M98" i="15"/>
  <c r="O97" i="15"/>
  <c r="N95" i="15"/>
  <c r="M95" i="15"/>
  <c r="L95" i="15"/>
  <c r="O95" i="15" s="1"/>
  <c r="J93" i="15"/>
  <c r="I93" i="15"/>
  <c r="K93" i="15" s="1"/>
  <c r="J92" i="15"/>
  <c r="I92" i="15"/>
  <c r="K92" i="15" s="1"/>
  <c r="J90" i="15"/>
  <c r="J89" i="15"/>
  <c r="J88" i="15"/>
  <c r="I88" i="15"/>
  <c r="J87" i="15"/>
  <c r="I87" i="15"/>
  <c r="K87" i="15" s="1"/>
  <c r="J86" i="15"/>
  <c r="I86" i="15"/>
  <c r="K86" i="15" s="1"/>
  <c r="J85" i="15"/>
  <c r="I85" i="15"/>
  <c r="K85" i="15" s="1"/>
  <c r="J84" i="15"/>
  <c r="I84" i="15"/>
  <c r="K84" i="15" s="1"/>
  <c r="J83" i="15"/>
  <c r="I83" i="15"/>
  <c r="J82" i="15"/>
  <c r="I82" i="15"/>
  <c r="J81" i="15"/>
  <c r="I81" i="15"/>
  <c r="J80" i="15"/>
  <c r="I80" i="15"/>
  <c r="J79" i="15"/>
  <c r="J78" i="15"/>
  <c r="J77" i="15"/>
  <c r="J76" i="15"/>
  <c r="N74" i="15"/>
  <c r="L74" i="15"/>
  <c r="O74" i="15" s="1"/>
  <c r="L72" i="15"/>
  <c r="L71" i="15"/>
  <c r="N70" i="15"/>
  <c r="M70" i="15"/>
  <c r="M68" i="15" s="1"/>
  <c r="O69" i="15"/>
  <c r="N67" i="15"/>
  <c r="M67" i="15"/>
  <c r="P67" i="15" s="1"/>
  <c r="L67" i="15"/>
  <c r="O67" i="15" s="1"/>
  <c r="J65" i="15"/>
  <c r="I65" i="15"/>
  <c r="J64" i="15"/>
  <c r="I64" i="15"/>
  <c r="N61" i="15"/>
  <c r="L61" i="15"/>
  <c r="O61" i="15" s="1"/>
  <c r="L59" i="15"/>
  <c r="L58" i="15"/>
  <c r="N57" i="15"/>
  <c r="M57" i="15"/>
  <c r="M55" i="15" s="1"/>
  <c r="N54" i="15"/>
  <c r="M54" i="15"/>
  <c r="L54" i="15"/>
  <c r="O54" i="15" s="1"/>
  <c r="N49" i="15"/>
  <c r="L49" i="15"/>
  <c r="O49" i="15" s="1"/>
  <c r="L47" i="15"/>
  <c r="L46" i="15"/>
  <c r="N45" i="15"/>
  <c r="M45" i="15"/>
  <c r="N42" i="15"/>
  <c r="M42" i="15"/>
  <c r="P42" i="15" s="1"/>
  <c r="L42" i="15"/>
  <c r="P36" i="15"/>
  <c r="O36" i="15"/>
  <c r="P35" i="15"/>
  <c r="O35" i="15"/>
  <c r="M34" i="15"/>
  <c r="P34" i="15" s="1"/>
  <c r="P33" i="15"/>
  <c r="M33" i="15"/>
  <c r="M32" i="15"/>
  <c r="M31" i="15"/>
  <c r="M29" i="15" s="1"/>
  <c r="P25" i="15"/>
  <c r="N25" i="15"/>
  <c r="M25" i="15"/>
  <c r="L25" i="15"/>
  <c r="O25" i="15" s="1"/>
  <c r="P24" i="15"/>
  <c r="N24" i="15"/>
  <c r="M24" i="15"/>
  <c r="N23" i="15"/>
  <c r="M23" i="15"/>
  <c r="O21" i="15"/>
  <c r="N21" i="15"/>
  <c r="M21" i="15"/>
  <c r="M19" i="15" s="1"/>
  <c r="L21" i="15"/>
  <c r="L19" i="15" s="1"/>
  <c r="P19" i="15"/>
  <c r="P15" i="15"/>
  <c r="N15" i="15"/>
  <c r="M15" i="15"/>
  <c r="M14" i="15"/>
  <c r="P14" i="15" s="1"/>
  <c r="J635" i="14"/>
  <c r="I635" i="14"/>
  <c r="J634" i="14"/>
  <c r="I634" i="14"/>
  <c r="J633" i="14"/>
  <c r="I633" i="14"/>
  <c r="K633" i="14" s="1"/>
  <c r="J632" i="14"/>
  <c r="I632" i="14"/>
  <c r="K632" i="14" s="1"/>
  <c r="J631" i="14"/>
  <c r="I631" i="14"/>
  <c r="J630" i="14"/>
  <c r="I630" i="14"/>
  <c r="J629" i="14"/>
  <c r="I629" i="14"/>
  <c r="J628" i="14"/>
  <c r="I628" i="14"/>
  <c r="J626" i="14"/>
  <c r="I626" i="14"/>
  <c r="J625" i="14"/>
  <c r="I625" i="14"/>
  <c r="J624" i="14"/>
  <c r="I624" i="14"/>
  <c r="J623" i="14"/>
  <c r="I623" i="14"/>
  <c r="J622" i="14"/>
  <c r="I622" i="14"/>
  <c r="J621" i="14"/>
  <c r="I621" i="14"/>
  <c r="J620" i="14"/>
  <c r="I620" i="14"/>
  <c r="K622" i="14" s="1"/>
  <c r="J619" i="14"/>
  <c r="I619" i="14"/>
  <c r="J618" i="14"/>
  <c r="I618" i="14"/>
  <c r="J617" i="14"/>
  <c r="I617" i="14"/>
  <c r="J616" i="14"/>
  <c r="I616" i="14"/>
  <c r="J615" i="14"/>
  <c r="I615" i="14"/>
  <c r="J614" i="14"/>
  <c r="I614" i="14"/>
  <c r="J613" i="14"/>
  <c r="I613" i="14"/>
  <c r="J612" i="14"/>
  <c r="I612" i="14"/>
  <c r="J611" i="14"/>
  <c r="I611" i="14"/>
  <c r="J610" i="14"/>
  <c r="J609" i="14"/>
  <c r="J608" i="14"/>
  <c r="J607" i="14"/>
  <c r="N605" i="14"/>
  <c r="N604" i="14"/>
  <c r="N603" i="14"/>
  <c r="N602" i="14"/>
  <c r="N601" i="14"/>
  <c r="L601" i="14"/>
  <c r="N600" i="14"/>
  <c r="L600" i="14"/>
  <c r="O600" i="14" s="1"/>
  <c r="N599" i="14"/>
  <c r="L599" i="14"/>
  <c r="N598" i="14"/>
  <c r="L598" i="14"/>
  <c r="O598" i="14" s="1"/>
  <c r="N597" i="14"/>
  <c r="L597" i="14"/>
  <c r="J597" i="14"/>
  <c r="I597" i="14"/>
  <c r="J596" i="14"/>
  <c r="I596" i="14"/>
  <c r="K596" i="14" s="1"/>
  <c r="J595" i="14"/>
  <c r="I595" i="14"/>
  <c r="J594" i="14"/>
  <c r="I594" i="14"/>
  <c r="K594" i="14" s="1"/>
  <c r="J593" i="14"/>
  <c r="I593" i="14"/>
  <c r="J592" i="14"/>
  <c r="I592" i="14"/>
  <c r="K592" i="14" s="1"/>
  <c r="J591" i="14"/>
  <c r="I591" i="14"/>
  <c r="J590" i="14"/>
  <c r="I590" i="14"/>
  <c r="K590" i="14" s="1"/>
  <c r="J589" i="14"/>
  <c r="I589" i="14"/>
  <c r="N588" i="14"/>
  <c r="N587" i="14"/>
  <c r="N586" i="14"/>
  <c r="N585" i="14"/>
  <c r="N584" i="14"/>
  <c r="L584" i="14"/>
  <c r="N583" i="14"/>
  <c r="L583" i="14"/>
  <c r="O583" i="14" s="1"/>
  <c r="N582" i="14"/>
  <c r="L582" i="14"/>
  <c r="N581" i="14"/>
  <c r="L581" i="14"/>
  <c r="O581" i="14" s="1"/>
  <c r="N580" i="14"/>
  <c r="L580" i="14"/>
  <c r="J580" i="14"/>
  <c r="I580" i="14"/>
  <c r="J579" i="14"/>
  <c r="I579" i="14"/>
  <c r="K579" i="14" s="1"/>
  <c r="J578" i="14"/>
  <c r="I578" i="14"/>
  <c r="K578" i="14" s="1"/>
  <c r="J577" i="14"/>
  <c r="I577" i="14"/>
  <c r="K577" i="14" s="1"/>
  <c r="J576" i="14"/>
  <c r="I576" i="14"/>
  <c r="K576" i="14" s="1"/>
  <c r="J575" i="14"/>
  <c r="I575" i="14"/>
  <c r="K575" i="14" s="1"/>
  <c r="J573" i="14"/>
  <c r="I573" i="14"/>
  <c r="N572" i="14"/>
  <c r="N571" i="14"/>
  <c r="N570" i="14"/>
  <c r="N569" i="14"/>
  <c r="N568" i="14"/>
  <c r="L568" i="14"/>
  <c r="N567" i="14"/>
  <c r="L567" i="14"/>
  <c r="O567" i="14" s="1"/>
  <c r="N566" i="14"/>
  <c r="L566" i="14"/>
  <c r="N565" i="14"/>
  <c r="L565" i="14"/>
  <c r="O565" i="14" s="1"/>
  <c r="N564" i="14"/>
  <c r="L564" i="14"/>
  <c r="J564" i="14"/>
  <c r="I564" i="14"/>
  <c r="J563" i="14"/>
  <c r="J562" i="14"/>
  <c r="J561" i="14"/>
  <c r="I561" i="14"/>
  <c r="K561" i="14" s="1"/>
  <c r="J560" i="14"/>
  <c r="I560" i="14"/>
  <c r="N559" i="14"/>
  <c r="N558" i="14"/>
  <c r="N557" i="14"/>
  <c r="N556" i="14"/>
  <c r="N555" i="14"/>
  <c r="L555" i="14"/>
  <c r="N554" i="14"/>
  <c r="L554" i="14"/>
  <c r="O554" i="14" s="1"/>
  <c r="N553" i="14"/>
  <c r="L553" i="14"/>
  <c r="N552" i="14"/>
  <c r="L552" i="14"/>
  <c r="O552" i="14" s="1"/>
  <c r="N551" i="14"/>
  <c r="L551" i="14"/>
  <c r="J551" i="14"/>
  <c r="I551" i="14"/>
  <c r="J550" i="14"/>
  <c r="J549" i="14"/>
  <c r="J548" i="14"/>
  <c r="I548" i="14"/>
  <c r="K548" i="14" s="1"/>
  <c r="J547" i="14"/>
  <c r="I547" i="14"/>
  <c r="J546" i="14"/>
  <c r="J545" i="14"/>
  <c r="J544" i="14"/>
  <c r="J543" i="14"/>
  <c r="N541" i="14"/>
  <c r="N540" i="14"/>
  <c r="N539" i="14"/>
  <c r="N538" i="14"/>
  <c r="N537" i="14"/>
  <c r="L537" i="14"/>
  <c r="N536" i="14"/>
  <c r="L536" i="14"/>
  <c r="O536" i="14" s="1"/>
  <c r="N535" i="14"/>
  <c r="L535" i="14"/>
  <c r="N534" i="14"/>
  <c r="L534" i="14"/>
  <c r="O534" i="14" s="1"/>
  <c r="N533" i="14"/>
  <c r="L533" i="14"/>
  <c r="J533" i="14"/>
  <c r="I533" i="14"/>
  <c r="J532" i="14"/>
  <c r="I532" i="14"/>
  <c r="J531" i="14"/>
  <c r="I531" i="14"/>
  <c r="J530" i="14"/>
  <c r="I530" i="14"/>
  <c r="J529" i="14"/>
  <c r="I529" i="14"/>
  <c r="J528" i="14"/>
  <c r="I528" i="14"/>
  <c r="J527" i="14"/>
  <c r="I527" i="14"/>
  <c r="J526" i="14"/>
  <c r="I526" i="14"/>
  <c r="J525" i="14"/>
  <c r="I525" i="14"/>
  <c r="J524" i="14"/>
  <c r="I524" i="14"/>
  <c r="J523" i="14"/>
  <c r="I523" i="14"/>
  <c r="J522" i="14"/>
  <c r="I522" i="14"/>
  <c r="J521" i="14"/>
  <c r="I521" i="14"/>
  <c r="J520" i="14"/>
  <c r="I520" i="14"/>
  <c r="J519" i="14"/>
  <c r="I519" i="14"/>
  <c r="J518" i="14"/>
  <c r="I518" i="14"/>
  <c r="J517" i="14"/>
  <c r="I517" i="14"/>
  <c r="J516" i="14"/>
  <c r="I516" i="14"/>
  <c r="J515" i="14"/>
  <c r="I515" i="14"/>
  <c r="K515" i="14" s="1"/>
  <c r="J514" i="14"/>
  <c r="I514" i="14"/>
  <c r="K514" i="14" s="1"/>
  <c r="J513" i="14"/>
  <c r="I513" i="14"/>
  <c r="K513" i="14" s="1"/>
  <c r="J512" i="14"/>
  <c r="I512" i="14"/>
  <c r="K512" i="14" s="1"/>
  <c r="J511" i="14"/>
  <c r="I511" i="14"/>
  <c r="K511" i="14" s="1"/>
  <c r="J510" i="14"/>
  <c r="I510" i="14"/>
  <c r="K510" i="14" s="1"/>
  <c r="J509" i="14"/>
  <c r="I509" i="14"/>
  <c r="K509" i="14" s="1"/>
  <c r="J508" i="14"/>
  <c r="I508" i="14"/>
  <c r="K508" i="14" s="1"/>
  <c r="J507" i="14"/>
  <c r="I507" i="14"/>
  <c r="K507" i="14" s="1"/>
  <c r="J506" i="14"/>
  <c r="I506" i="14"/>
  <c r="K506" i="14" s="1"/>
  <c r="J505" i="14"/>
  <c r="I505" i="14"/>
  <c r="K505" i="14" s="1"/>
  <c r="J504" i="14"/>
  <c r="I504" i="14"/>
  <c r="K504" i="14" s="1"/>
  <c r="J503" i="14"/>
  <c r="I503" i="14"/>
  <c r="K503" i="14" s="1"/>
  <c r="J502" i="14"/>
  <c r="I502" i="14"/>
  <c r="K502" i="14" s="1"/>
  <c r="J501" i="14"/>
  <c r="I501" i="14"/>
  <c r="K501" i="14" s="1"/>
  <c r="J500" i="14"/>
  <c r="I500" i="14"/>
  <c r="K500" i="14" s="1"/>
  <c r="J499" i="14"/>
  <c r="I499" i="14"/>
  <c r="J498" i="14"/>
  <c r="I498" i="14"/>
  <c r="J497" i="14"/>
  <c r="I497" i="14"/>
  <c r="J496" i="14"/>
  <c r="I496" i="14"/>
  <c r="K496" i="14" s="1"/>
  <c r="J495" i="14"/>
  <c r="I495" i="14"/>
  <c r="K495" i="14" s="1"/>
  <c r="J494" i="14"/>
  <c r="I494" i="14"/>
  <c r="K494" i="14" s="1"/>
  <c r="J493" i="14"/>
  <c r="I493" i="14"/>
  <c r="K493" i="14" s="1"/>
  <c r="J492" i="14"/>
  <c r="I492" i="14"/>
  <c r="K492" i="14" s="1"/>
  <c r="J491" i="14"/>
  <c r="I491" i="14"/>
  <c r="K491" i="14" s="1"/>
  <c r="J490" i="14"/>
  <c r="I490" i="14"/>
  <c r="K490" i="14" s="1"/>
  <c r="J489" i="14"/>
  <c r="I489" i="14"/>
  <c r="K489" i="14" s="1"/>
  <c r="J488" i="14"/>
  <c r="I488" i="14"/>
  <c r="K488" i="14" s="1"/>
  <c r="J487" i="14"/>
  <c r="I487" i="14"/>
  <c r="K487" i="14" s="1"/>
  <c r="J486" i="14"/>
  <c r="I486" i="14"/>
  <c r="K486" i="14" s="1"/>
  <c r="J485" i="14"/>
  <c r="I485" i="14"/>
  <c r="K485" i="14" s="1"/>
  <c r="J484" i="14"/>
  <c r="I484" i="14"/>
  <c r="K484" i="14" s="1"/>
  <c r="J483" i="14"/>
  <c r="I483" i="14"/>
  <c r="K483" i="14" s="1"/>
  <c r="J482" i="14"/>
  <c r="I482" i="14"/>
  <c r="J481" i="14"/>
  <c r="I481" i="14"/>
  <c r="J480" i="14"/>
  <c r="I480" i="14"/>
  <c r="K480" i="14" s="1"/>
  <c r="J479" i="14"/>
  <c r="I479" i="14"/>
  <c r="K479" i="14" s="1"/>
  <c r="J478" i="14"/>
  <c r="I478" i="14"/>
  <c r="K478" i="14" s="1"/>
  <c r="J477" i="14"/>
  <c r="I477" i="14"/>
  <c r="K477" i="14" s="1"/>
  <c r="J476" i="14"/>
  <c r="I476" i="14"/>
  <c r="K476" i="14" s="1"/>
  <c r="J475" i="14"/>
  <c r="I475" i="14"/>
  <c r="K475" i="14" s="1"/>
  <c r="J474" i="14"/>
  <c r="I474" i="14"/>
  <c r="J473" i="14"/>
  <c r="I473" i="14"/>
  <c r="J472" i="14"/>
  <c r="I472" i="14"/>
  <c r="K472" i="14" s="1"/>
  <c r="J471" i="14"/>
  <c r="I471" i="14"/>
  <c r="K471" i="14" s="1"/>
  <c r="J470" i="14"/>
  <c r="I470" i="14"/>
  <c r="K470" i="14" s="1"/>
  <c r="J469" i="14"/>
  <c r="I469" i="14"/>
  <c r="K469" i="14" s="1"/>
  <c r="J468" i="14"/>
  <c r="I468" i="14"/>
  <c r="K468" i="14" s="1"/>
  <c r="J467" i="14"/>
  <c r="I467" i="14"/>
  <c r="K467" i="14" s="1"/>
  <c r="J466" i="14"/>
  <c r="I466" i="14"/>
  <c r="J465" i="14"/>
  <c r="I465" i="14"/>
  <c r="J464" i="14"/>
  <c r="I464" i="14"/>
  <c r="N463" i="14"/>
  <c r="N462" i="14"/>
  <c r="N461" i="14"/>
  <c r="N460" i="14"/>
  <c r="N459" i="14"/>
  <c r="L459" i="14"/>
  <c r="N458" i="14"/>
  <c r="L458" i="14"/>
  <c r="O458" i="14" s="1"/>
  <c r="N457" i="14"/>
  <c r="L457" i="14"/>
  <c r="N456" i="14"/>
  <c r="L456" i="14"/>
  <c r="O456" i="14" s="1"/>
  <c r="N455" i="14"/>
  <c r="L455" i="14"/>
  <c r="J455" i="14"/>
  <c r="I455" i="14"/>
  <c r="J454" i="14"/>
  <c r="J453" i="14"/>
  <c r="J452" i="14"/>
  <c r="I452" i="14"/>
  <c r="K452" i="14" s="1"/>
  <c r="J451" i="14"/>
  <c r="I451" i="14"/>
  <c r="K451" i="14" s="1"/>
  <c r="J450" i="14"/>
  <c r="I450" i="14"/>
  <c r="J449" i="14"/>
  <c r="I449" i="14"/>
  <c r="J448" i="14"/>
  <c r="J447" i="14"/>
  <c r="J446" i="14"/>
  <c r="J445" i="14"/>
  <c r="N443" i="14"/>
  <c r="N442" i="14"/>
  <c r="N441" i="14"/>
  <c r="N440" i="14"/>
  <c r="N439" i="14"/>
  <c r="L439" i="14"/>
  <c r="N438" i="14"/>
  <c r="L438" i="14"/>
  <c r="N437" i="14"/>
  <c r="L437" i="14"/>
  <c r="N436" i="14"/>
  <c r="L436" i="14"/>
  <c r="O436" i="14" s="1"/>
  <c r="N435" i="14"/>
  <c r="L435" i="14"/>
  <c r="J435" i="14"/>
  <c r="I435" i="14"/>
  <c r="J434" i="14"/>
  <c r="J433" i="14"/>
  <c r="J432" i="14"/>
  <c r="I432" i="14"/>
  <c r="J431" i="14"/>
  <c r="I431" i="14"/>
  <c r="J430" i="14"/>
  <c r="I430" i="14"/>
  <c r="J429" i="14"/>
  <c r="I429" i="14"/>
  <c r="J428" i="14"/>
  <c r="I428" i="14"/>
  <c r="J427" i="14"/>
  <c r="I427" i="14"/>
  <c r="J426" i="14"/>
  <c r="I426" i="14"/>
  <c r="J425" i="14"/>
  <c r="I425" i="14"/>
  <c r="J424" i="14"/>
  <c r="I424" i="14"/>
  <c r="J423" i="14"/>
  <c r="I423" i="14"/>
  <c r="J422" i="14"/>
  <c r="I422" i="14"/>
  <c r="J421" i="14"/>
  <c r="I421" i="14"/>
  <c r="J420" i="14"/>
  <c r="I420" i="14"/>
  <c r="J419" i="14"/>
  <c r="I419" i="14"/>
  <c r="J418" i="14"/>
  <c r="I418" i="14"/>
  <c r="J417" i="14"/>
  <c r="I417" i="14"/>
  <c r="J416" i="14"/>
  <c r="I416" i="14"/>
  <c r="J415" i="14"/>
  <c r="J414" i="14"/>
  <c r="J413" i="14"/>
  <c r="J412" i="14"/>
  <c r="N410" i="14"/>
  <c r="N409" i="14"/>
  <c r="N408" i="14"/>
  <c r="N407" i="14"/>
  <c r="N406" i="14"/>
  <c r="L406" i="14"/>
  <c r="N405" i="14"/>
  <c r="L405" i="14"/>
  <c r="O405" i="14" s="1"/>
  <c r="N404" i="14"/>
  <c r="L404" i="14"/>
  <c r="N403" i="14"/>
  <c r="L403" i="14"/>
  <c r="O403" i="14" s="1"/>
  <c r="J402" i="14"/>
  <c r="I402" i="14"/>
  <c r="N401" i="14"/>
  <c r="L401" i="14"/>
  <c r="J401" i="14"/>
  <c r="I401" i="14"/>
  <c r="J400" i="14"/>
  <c r="J399" i="14"/>
  <c r="J398" i="14"/>
  <c r="I398" i="14"/>
  <c r="J397" i="14"/>
  <c r="I397" i="14"/>
  <c r="J396" i="14"/>
  <c r="I396" i="14"/>
  <c r="J394" i="14"/>
  <c r="J393" i="14"/>
  <c r="J392" i="14"/>
  <c r="J391" i="14"/>
  <c r="N389" i="14"/>
  <c r="N388" i="14"/>
  <c r="N387" i="14"/>
  <c r="N386" i="14"/>
  <c r="N385" i="14"/>
  <c r="L385" i="14"/>
  <c r="N384" i="14"/>
  <c r="L384" i="14"/>
  <c r="O384" i="14" s="1"/>
  <c r="N383" i="14"/>
  <c r="L383" i="14"/>
  <c r="N382" i="14"/>
  <c r="L382" i="14"/>
  <c r="J381" i="14"/>
  <c r="I381" i="14"/>
  <c r="N380" i="14"/>
  <c r="L380" i="14"/>
  <c r="J380" i="14"/>
  <c r="I380" i="14"/>
  <c r="J379" i="14"/>
  <c r="J378" i="14"/>
  <c r="J377" i="14"/>
  <c r="I377" i="14"/>
  <c r="J376" i="14"/>
  <c r="I376" i="14"/>
  <c r="K376" i="14" s="1"/>
  <c r="J375" i="14"/>
  <c r="I375" i="14"/>
  <c r="J374" i="14"/>
  <c r="I374" i="14"/>
  <c r="J373" i="14"/>
  <c r="I373" i="14"/>
  <c r="K373" i="14" s="1"/>
  <c r="J372" i="14"/>
  <c r="I372" i="14"/>
  <c r="J371" i="14"/>
  <c r="I371" i="14"/>
  <c r="K371" i="14" s="1"/>
  <c r="J370" i="14"/>
  <c r="I370" i="14"/>
  <c r="J369" i="14"/>
  <c r="I369" i="14"/>
  <c r="K369" i="14" s="1"/>
  <c r="J368" i="14"/>
  <c r="I368" i="14"/>
  <c r="J367" i="14"/>
  <c r="J366" i="14"/>
  <c r="J365" i="14"/>
  <c r="I365" i="14"/>
  <c r="K365" i="14" s="1"/>
  <c r="J364" i="14"/>
  <c r="J363" i="14"/>
  <c r="J362" i="14"/>
  <c r="J361" i="14"/>
  <c r="J360" i="14"/>
  <c r="N358" i="14"/>
  <c r="N357" i="14"/>
  <c r="N356" i="14"/>
  <c r="N355" i="14"/>
  <c r="N354" i="14"/>
  <c r="L354" i="14"/>
  <c r="N353" i="14"/>
  <c r="L353" i="14"/>
  <c r="O353" i="14" s="1"/>
  <c r="N352" i="14"/>
  <c r="L352" i="14"/>
  <c r="N351" i="14"/>
  <c r="L351" i="14"/>
  <c r="O351" i="14" s="1"/>
  <c r="J350" i="14"/>
  <c r="I350" i="14"/>
  <c r="N349" i="14"/>
  <c r="L349" i="14"/>
  <c r="J349" i="14"/>
  <c r="I349" i="14"/>
  <c r="N347" i="14"/>
  <c r="L347" i="14"/>
  <c r="J346" i="14"/>
  <c r="I346" i="14"/>
  <c r="K346" i="14" s="1"/>
  <c r="J345" i="14"/>
  <c r="I345" i="14"/>
  <c r="J344" i="14"/>
  <c r="I344" i="14"/>
  <c r="K344" i="14" s="1"/>
  <c r="J343" i="14"/>
  <c r="I343" i="14"/>
  <c r="J342" i="14"/>
  <c r="I342" i="14"/>
  <c r="K342" i="14" s="1"/>
  <c r="J341" i="14"/>
  <c r="I341" i="14"/>
  <c r="J340" i="14"/>
  <c r="I340" i="14"/>
  <c r="J339" i="14"/>
  <c r="I339" i="14"/>
  <c r="K339" i="14" s="1"/>
  <c r="N337" i="14"/>
  <c r="L337" i="14"/>
  <c r="M337" i="14" s="1"/>
  <c r="L335" i="14"/>
  <c r="L334" i="14"/>
  <c r="N333" i="14"/>
  <c r="M333" i="14"/>
  <c r="O332" i="14"/>
  <c r="P330" i="14"/>
  <c r="O330" i="14"/>
  <c r="N330" i="14"/>
  <c r="M330" i="14"/>
  <c r="L330" i="14"/>
  <c r="J328" i="14"/>
  <c r="I328" i="14"/>
  <c r="J326" i="14"/>
  <c r="J325" i="14"/>
  <c r="J324" i="14"/>
  <c r="I324" i="14"/>
  <c r="K324" i="14" s="1"/>
  <c r="J323" i="14"/>
  <c r="J322" i="14"/>
  <c r="J321" i="14"/>
  <c r="J320" i="14"/>
  <c r="N318" i="14"/>
  <c r="L318" i="14"/>
  <c r="L316" i="14"/>
  <c r="L315" i="14"/>
  <c r="N314" i="14"/>
  <c r="M314" i="14"/>
  <c r="O313" i="14"/>
  <c r="P311" i="14"/>
  <c r="N311" i="14"/>
  <c r="M311" i="14"/>
  <c r="L311" i="14"/>
  <c r="O311" i="14" s="1"/>
  <c r="J309" i="14"/>
  <c r="I309" i="14"/>
  <c r="K309" i="14" s="1"/>
  <c r="J308" i="14"/>
  <c r="J307" i="14"/>
  <c r="J306" i="14"/>
  <c r="I306" i="14"/>
  <c r="K306" i="14" s="1"/>
  <c r="J304" i="14"/>
  <c r="I304" i="14"/>
  <c r="K304" i="14" s="1"/>
  <c r="J303" i="14"/>
  <c r="J302" i="14"/>
  <c r="J301" i="14"/>
  <c r="J300" i="14"/>
  <c r="N298" i="14"/>
  <c r="L298" i="14"/>
  <c r="O298" i="14" s="1"/>
  <c r="L296" i="14"/>
  <c r="L295" i="14"/>
  <c r="N294" i="14"/>
  <c r="M294" i="14"/>
  <c r="P294" i="14" s="1"/>
  <c r="O293" i="14"/>
  <c r="O291" i="14"/>
  <c r="N291" i="14"/>
  <c r="M291" i="14"/>
  <c r="P291" i="14" s="1"/>
  <c r="L291" i="14"/>
  <c r="J289" i="14"/>
  <c r="I289" i="14"/>
  <c r="K289" i="14" s="1"/>
  <c r="J287" i="14"/>
  <c r="J286" i="14"/>
  <c r="J285" i="14"/>
  <c r="I285" i="14"/>
  <c r="J284" i="14"/>
  <c r="J283" i="14"/>
  <c r="J282" i="14"/>
  <c r="J281" i="14"/>
  <c r="N279" i="14"/>
  <c r="L279" i="14"/>
  <c r="O279" i="14" s="1"/>
  <c r="L277" i="14"/>
  <c r="L276" i="14"/>
  <c r="N275" i="14"/>
  <c r="M275" i="14"/>
  <c r="O274" i="14"/>
  <c r="O272" i="14"/>
  <c r="N272" i="14"/>
  <c r="M272" i="14"/>
  <c r="P272" i="14" s="1"/>
  <c r="L272" i="14"/>
  <c r="J270" i="14"/>
  <c r="I270" i="14"/>
  <c r="J269" i="14"/>
  <c r="J268" i="14"/>
  <c r="J267" i="14"/>
  <c r="I267" i="14"/>
  <c r="K267" i="14" s="1"/>
  <c r="J266" i="14"/>
  <c r="I266" i="14"/>
  <c r="K266" i="14" s="1"/>
  <c r="J265" i="14"/>
  <c r="I265" i="14"/>
  <c r="K265" i="14" s="1"/>
  <c r="J264" i="14"/>
  <c r="I264" i="14"/>
  <c r="K264" i="14" s="1"/>
  <c r="J263" i="14"/>
  <c r="J262" i="14"/>
  <c r="J261" i="14"/>
  <c r="J260" i="14"/>
  <c r="N258" i="14"/>
  <c r="L258" i="14"/>
  <c r="O258" i="14" s="1"/>
  <c r="L256" i="14"/>
  <c r="L255" i="14"/>
  <c r="N254" i="14"/>
  <c r="M254" i="14"/>
  <c r="M252" i="14" s="1"/>
  <c r="P252" i="14" s="1"/>
  <c r="O253" i="14"/>
  <c r="O251" i="14"/>
  <c r="N251" i="14"/>
  <c r="M251" i="14"/>
  <c r="P251" i="14" s="1"/>
  <c r="L251" i="14"/>
  <c r="J249" i="14"/>
  <c r="I249" i="14"/>
  <c r="K249" i="14" s="1"/>
  <c r="J246" i="14"/>
  <c r="J245" i="14"/>
  <c r="J244" i="14"/>
  <c r="I244" i="14"/>
  <c r="K244" i="14" s="1"/>
  <c r="J243" i="14"/>
  <c r="J242" i="14"/>
  <c r="J241" i="14"/>
  <c r="J240" i="14"/>
  <c r="J238" i="14"/>
  <c r="I238" i="14"/>
  <c r="K238" i="14" s="1"/>
  <c r="J237" i="14"/>
  <c r="J236" i="14"/>
  <c r="J235" i="14"/>
  <c r="I235" i="14"/>
  <c r="J234" i="14"/>
  <c r="J233" i="14"/>
  <c r="J232" i="14"/>
  <c r="J231" i="14"/>
  <c r="J229" i="14"/>
  <c r="I229" i="14"/>
  <c r="N228" i="14"/>
  <c r="L228" i="14"/>
  <c r="O228" i="14" s="1"/>
  <c r="L226" i="14"/>
  <c r="L225" i="14"/>
  <c r="N224" i="14"/>
  <c r="M224" i="14"/>
  <c r="M222" i="14" s="1"/>
  <c r="M220" i="14" s="1"/>
  <c r="O223" i="14"/>
  <c r="P221" i="14"/>
  <c r="N221" i="14"/>
  <c r="M221" i="14"/>
  <c r="L221" i="14"/>
  <c r="J219" i="14"/>
  <c r="I219" i="14"/>
  <c r="J218" i="14"/>
  <c r="J217" i="14"/>
  <c r="J216" i="14"/>
  <c r="I216" i="14"/>
  <c r="K216" i="14" s="1"/>
  <c r="J215" i="14"/>
  <c r="I215" i="14"/>
  <c r="K215" i="14" s="1"/>
  <c r="J213" i="14"/>
  <c r="I213" i="14"/>
  <c r="K213" i="14" s="1"/>
  <c r="J212" i="14"/>
  <c r="J211" i="14"/>
  <c r="J210" i="14"/>
  <c r="J209" i="14"/>
  <c r="J204" i="14"/>
  <c r="I204" i="14"/>
  <c r="K204" i="14" s="1"/>
  <c r="J203" i="14"/>
  <c r="J202" i="14"/>
  <c r="J201" i="14"/>
  <c r="I201" i="14"/>
  <c r="K201" i="14" s="1"/>
  <c r="J200" i="14"/>
  <c r="I200" i="14"/>
  <c r="J199" i="14"/>
  <c r="I199" i="14"/>
  <c r="J197" i="14"/>
  <c r="J196" i="14"/>
  <c r="J195" i="14"/>
  <c r="J194" i="14"/>
  <c r="J189" i="14"/>
  <c r="I189" i="14"/>
  <c r="J188" i="14"/>
  <c r="J187" i="14"/>
  <c r="J186" i="14"/>
  <c r="I186" i="14"/>
  <c r="K186" i="14" s="1"/>
  <c r="J185" i="14"/>
  <c r="I185" i="14"/>
  <c r="K185" i="14" s="1"/>
  <c r="J184" i="14"/>
  <c r="J183" i="14"/>
  <c r="J182" i="14"/>
  <c r="J181" i="14"/>
  <c r="J176" i="14"/>
  <c r="I176" i="14"/>
  <c r="K176" i="14" s="1"/>
  <c r="J175" i="14"/>
  <c r="J174" i="14"/>
  <c r="J173" i="14"/>
  <c r="I173" i="14"/>
  <c r="J172" i="14"/>
  <c r="J171" i="14"/>
  <c r="J170" i="14"/>
  <c r="J169" i="14"/>
  <c r="J164" i="14"/>
  <c r="I164" i="14"/>
  <c r="J163" i="14"/>
  <c r="J162" i="14"/>
  <c r="J161" i="14"/>
  <c r="J160" i="14"/>
  <c r="J159" i="14"/>
  <c r="J158" i="14"/>
  <c r="I158" i="14"/>
  <c r="J157" i="14"/>
  <c r="J156" i="14"/>
  <c r="J155" i="14"/>
  <c r="J154" i="14"/>
  <c r="J149" i="14"/>
  <c r="I149" i="14"/>
  <c r="N148" i="14"/>
  <c r="L148" i="14"/>
  <c r="O148" i="14" s="1"/>
  <c r="L146" i="14"/>
  <c r="L145" i="14"/>
  <c r="N144" i="14"/>
  <c r="M144" i="14"/>
  <c r="M142" i="14" s="1"/>
  <c r="O143" i="14"/>
  <c r="N141" i="14"/>
  <c r="M141" i="14"/>
  <c r="P141" i="14" s="1"/>
  <c r="L141" i="14"/>
  <c r="J138" i="14"/>
  <c r="I138" i="14"/>
  <c r="K138" i="14" s="1"/>
  <c r="J135" i="14"/>
  <c r="J134" i="14"/>
  <c r="J133" i="14"/>
  <c r="I133" i="14"/>
  <c r="K133" i="14" s="1"/>
  <c r="J132" i="14"/>
  <c r="I132" i="14"/>
  <c r="K132" i="14" s="1"/>
  <c r="J131" i="14"/>
  <c r="J130" i="14"/>
  <c r="J129" i="14"/>
  <c r="J128" i="14"/>
  <c r="N126" i="14"/>
  <c r="L126" i="14"/>
  <c r="O126" i="14" s="1"/>
  <c r="L124" i="14"/>
  <c r="L123" i="14"/>
  <c r="N122" i="14"/>
  <c r="M122" i="14"/>
  <c r="O121" i="14"/>
  <c r="O119" i="14"/>
  <c r="N119" i="14"/>
  <c r="M119" i="14"/>
  <c r="P119" i="14" s="1"/>
  <c r="L119" i="14"/>
  <c r="J117" i="14"/>
  <c r="I117" i="14"/>
  <c r="K117" i="14" s="1"/>
  <c r="J115" i="14"/>
  <c r="J114" i="14"/>
  <c r="J113" i="14"/>
  <c r="I113" i="14"/>
  <c r="J112" i="14"/>
  <c r="I112" i="14"/>
  <c r="J111" i="14"/>
  <c r="I111" i="14"/>
  <c r="J110" i="14"/>
  <c r="I110" i="14"/>
  <c r="J109" i="14"/>
  <c r="I109" i="14"/>
  <c r="J108" i="14"/>
  <c r="I108" i="14"/>
  <c r="J107" i="14"/>
  <c r="J106" i="14"/>
  <c r="J105" i="14"/>
  <c r="J104" i="14"/>
  <c r="N102" i="14"/>
  <c r="L102" i="14"/>
  <c r="M102" i="14" s="1"/>
  <c r="L100" i="14"/>
  <c r="L99" i="14"/>
  <c r="N98" i="14"/>
  <c r="M98" i="14"/>
  <c r="O97" i="14"/>
  <c r="N95" i="14"/>
  <c r="M95" i="14"/>
  <c r="P95" i="14" s="1"/>
  <c r="L95" i="14"/>
  <c r="O95" i="14" s="1"/>
  <c r="J93" i="14"/>
  <c r="I93" i="14"/>
  <c r="J92" i="14"/>
  <c r="I92" i="14"/>
  <c r="J90" i="14"/>
  <c r="J89" i="14"/>
  <c r="J88" i="14"/>
  <c r="I88" i="14"/>
  <c r="K88" i="14" s="1"/>
  <c r="J87" i="14"/>
  <c r="I87" i="14"/>
  <c r="K87" i="14" s="1"/>
  <c r="J86" i="14"/>
  <c r="I86" i="14"/>
  <c r="K86" i="14" s="1"/>
  <c r="J85" i="14"/>
  <c r="I85" i="14"/>
  <c r="K85" i="14" s="1"/>
  <c r="J84" i="14"/>
  <c r="I84" i="14"/>
  <c r="K84" i="14" s="1"/>
  <c r="J83" i="14"/>
  <c r="I83" i="14"/>
  <c r="K83" i="14" s="1"/>
  <c r="J82" i="14"/>
  <c r="I82" i="14"/>
  <c r="K82" i="14" s="1"/>
  <c r="J81" i="14"/>
  <c r="I81" i="14"/>
  <c r="K81" i="14" s="1"/>
  <c r="J80" i="14"/>
  <c r="I80" i="14"/>
  <c r="K80" i="14" s="1"/>
  <c r="J79" i="14"/>
  <c r="J78" i="14"/>
  <c r="J77" i="14"/>
  <c r="J76" i="14"/>
  <c r="N74" i="14"/>
  <c r="L74" i="14"/>
  <c r="O74" i="14" s="1"/>
  <c r="L72" i="14"/>
  <c r="L71" i="14"/>
  <c r="N70" i="14"/>
  <c r="M70" i="14"/>
  <c r="O69" i="14"/>
  <c r="O67" i="14"/>
  <c r="N67" i="14"/>
  <c r="M67" i="14"/>
  <c r="L67" i="14"/>
  <c r="J65" i="14"/>
  <c r="I65" i="14"/>
  <c r="K65" i="14" s="1"/>
  <c r="J64" i="14"/>
  <c r="I64" i="14"/>
  <c r="K64" i="14" s="1"/>
  <c r="N61" i="14"/>
  <c r="L61" i="14"/>
  <c r="O61" i="14" s="1"/>
  <c r="L59" i="14"/>
  <c r="L58" i="14"/>
  <c r="N57" i="14"/>
  <c r="M57" i="14"/>
  <c r="N54" i="14"/>
  <c r="M54" i="14"/>
  <c r="P54" i="14" s="1"/>
  <c r="L54" i="14"/>
  <c r="O54" i="14" s="1"/>
  <c r="N49" i="14"/>
  <c r="L49" i="14"/>
  <c r="O49" i="14" s="1"/>
  <c r="L47" i="14"/>
  <c r="L46" i="14"/>
  <c r="N45" i="14"/>
  <c r="M45" i="14"/>
  <c r="O42" i="14"/>
  <c r="N42" i="14"/>
  <c r="M42" i="14"/>
  <c r="P42" i="14" s="1"/>
  <c r="L42" i="14"/>
  <c r="P36" i="14"/>
  <c r="O36" i="14"/>
  <c r="P35" i="14"/>
  <c r="O35" i="14"/>
  <c r="P34" i="14"/>
  <c r="M34" i="14"/>
  <c r="P33" i="14"/>
  <c r="M33" i="14"/>
  <c r="M32" i="14"/>
  <c r="P31" i="14"/>
  <c r="M31" i="14"/>
  <c r="M29" i="14" s="1"/>
  <c r="P25" i="14"/>
  <c r="O25" i="14"/>
  <c r="N25" i="14"/>
  <c r="M25" i="14"/>
  <c r="L25" i="14"/>
  <c r="N24" i="14"/>
  <c r="M24" i="14"/>
  <c r="N23" i="14"/>
  <c r="M23" i="14"/>
  <c r="N21" i="14"/>
  <c r="M21" i="14"/>
  <c r="M19" i="14" s="1"/>
  <c r="P19" i="14" s="1"/>
  <c r="L21" i="14"/>
  <c r="P15" i="14"/>
  <c r="O15" i="14"/>
  <c r="N15" i="14"/>
  <c r="M15" i="14"/>
  <c r="L15" i="14"/>
  <c r="J635" i="13"/>
  <c r="I635" i="13"/>
  <c r="J634" i="13"/>
  <c r="I634" i="13"/>
  <c r="J633" i="13"/>
  <c r="I633" i="13"/>
  <c r="K633" i="13" s="1"/>
  <c r="J632" i="13"/>
  <c r="I632" i="13"/>
  <c r="K632" i="13" s="1"/>
  <c r="J631" i="13"/>
  <c r="I631" i="13"/>
  <c r="J630" i="13"/>
  <c r="I630" i="13"/>
  <c r="J629" i="13"/>
  <c r="I629" i="13"/>
  <c r="J628" i="13"/>
  <c r="I628" i="13"/>
  <c r="J626" i="13"/>
  <c r="I626" i="13"/>
  <c r="J625" i="13"/>
  <c r="I625" i="13"/>
  <c r="J624" i="13"/>
  <c r="I624" i="13"/>
  <c r="J623" i="13"/>
  <c r="I623" i="13"/>
  <c r="J622" i="13"/>
  <c r="I622" i="13"/>
  <c r="J621" i="13"/>
  <c r="I621" i="13"/>
  <c r="J620" i="13"/>
  <c r="I620" i="13"/>
  <c r="K622" i="13" s="1"/>
  <c r="J619" i="13"/>
  <c r="I619" i="13"/>
  <c r="J618" i="13"/>
  <c r="I618" i="13"/>
  <c r="J617" i="13"/>
  <c r="I617" i="13"/>
  <c r="J616" i="13"/>
  <c r="I616" i="13"/>
  <c r="J615" i="13"/>
  <c r="I615" i="13"/>
  <c r="J614" i="13"/>
  <c r="I614" i="13"/>
  <c r="J613" i="13"/>
  <c r="I613" i="13"/>
  <c r="J612" i="13"/>
  <c r="I612" i="13"/>
  <c r="J611" i="13"/>
  <c r="I611" i="13"/>
  <c r="J610" i="13"/>
  <c r="J609" i="13"/>
  <c r="J608" i="13"/>
  <c r="J607" i="13"/>
  <c r="N605" i="13"/>
  <c r="N604" i="13"/>
  <c r="N603" i="13"/>
  <c r="N602" i="13"/>
  <c r="N601" i="13"/>
  <c r="L601" i="13"/>
  <c r="N600" i="13"/>
  <c r="L600" i="13"/>
  <c r="O600" i="13" s="1"/>
  <c r="N599" i="13"/>
  <c r="L599" i="13"/>
  <c r="N598" i="13"/>
  <c r="L598" i="13"/>
  <c r="O598" i="13" s="1"/>
  <c r="N597" i="13"/>
  <c r="L597" i="13"/>
  <c r="J597" i="13"/>
  <c r="I597" i="13"/>
  <c r="J596" i="13"/>
  <c r="I596" i="13"/>
  <c r="K596" i="13" s="1"/>
  <c r="J595" i="13"/>
  <c r="I595" i="13"/>
  <c r="J594" i="13"/>
  <c r="I594" i="13"/>
  <c r="K594" i="13" s="1"/>
  <c r="J593" i="13"/>
  <c r="I593" i="13"/>
  <c r="J592" i="13"/>
  <c r="I592" i="13"/>
  <c r="K592" i="13" s="1"/>
  <c r="J591" i="13"/>
  <c r="I591" i="13"/>
  <c r="J590" i="13"/>
  <c r="I590" i="13"/>
  <c r="K590" i="13" s="1"/>
  <c r="J589" i="13"/>
  <c r="I589" i="13"/>
  <c r="N588" i="13"/>
  <c r="N587" i="13"/>
  <c r="N586" i="13"/>
  <c r="N585" i="13"/>
  <c r="N584" i="13"/>
  <c r="L584" i="13"/>
  <c r="N583" i="13"/>
  <c r="L583" i="13"/>
  <c r="O583" i="13" s="1"/>
  <c r="N582" i="13"/>
  <c r="L582" i="13"/>
  <c r="N581" i="13"/>
  <c r="L581" i="13"/>
  <c r="O581" i="13" s="1"/>
  <c r="N580" i="13"/>
  <c r="L580" i="13"/>
  <c r="J580" i="13"/>
  <c r="I580" i="13"/>
  <c r="J579" i="13"/>
  <c r="I579" i="13"/>
  <c r="K579" i="13" s="1"/>
  <c r="J578" i="13"/>
  <c r="I578" i="13"/>
  <c r="K578" i="13" s="1"/>
  <c r="J577" i="13"/>
  <c r="I577" i="13"/>
  <c r="K577" i="13" s="1"/>
  <c r="J576" i="13"/>
  <c r="I576" i="13"/>
  <c r="K576" i="13" s="1"/>
  <c r="J575" i="13"/>
  <c r="I575" i="13"/>
  <c r="K575" i="13" s="1"/>
  <c r="J573" i="13"/>
  <c r="I573" i="13"/>
  <c r="N572" i="13"/>
  <c r="N571" i="13"/>
  <c r="N570" i="13"/>
  <c r="N569" i="13"/>
  <c r="N568" i="13"/>
  <c r="L568" i="13"/>
  <c r="N567" i="13"/>
  <c r="L567" i="13"/>
  <c r="O567" i="13" s="1"/>
  <c r="N566" i="13"/>
  <c r="L566" i="13"/>
  <c r="N565" i="13"/>
  <c r="L565" i="13"/>
  <c r="O565" i="13" s="1"/>
  <c r="N564" i="13"/>
  <c r="L564" i="13"/>
  <c r="J564" i="13"/>
  <c r="I564" i="13"/>
  <c r="J563" i="13"/>
  <c r="J562" i="13"/>
  <c r="J561" i="13"/>
  <c r="I561" i="13"/>
  <c r="K561" i="13" s="1"/>
  <c r="J560" i="13"/>
  <c r="I560" i="13"/>
  <c r="K560" i="13" s="1"/>
  <c r="N559" i="13"/>
  <c r="N558" i="13"/>
  <c r="N557" i="13"/>
  <c r="N556" i="13"/>
  <c r="N555" i="13"/>
  <c r="L555" i="13"/>
  <c r="O555" i="13" s="1"/>
  <c r="N554" i="13"/>
  <c r="L554" i="13"/>
  <c r="O554" i="13" s="1"/>
  <c r="N553" i="13"/>
  <c r="L553" i="13"/>
  <c r="O553" i="13" s="1"/>
  <c r="N552" i="13"/>
  <c r="L552" i="13"/>
  <c r="O552" i="13" s="1"/>
  <c r="N551" i="13"/>
  <c r="L551" i="13"/>
  <c r="O551" i="13" s="1"/>
  <c r="J551" i="13"/>
  <c r="I551" i="13"/>
  <c r="K551" i="13" s="1"/>
  <c r="J550" i="13"/>
  <c r="J549" i="13"/>
  <c r="J548" i="13"/>
  <c r="I548" i="13"/>
  <c r="K548" i="13" s="1"/>
  <c r="J547" i="13"/>
  <c r="I547" i="13"/>
  <c r="J546" i="13"/>
  <c r="J545" i="13"/>
  <c r="J544" i="13"/>
  <c r="J543" i="13"/>
  <c r="N541" i="13"/>
  <c r="N540" i="13"/>
  <c r="N539" i="13"/>
  <c r="N538" i="13"/>
  <c r="N537" i="13"/>
  <c r="L537" i="13"/>
  <c r="N536" i="13"/>
  <c r="L536" i="13"/>
  <c r="O536" i="13" s="1"/>
  <c r="N535" i="13"/>
  <c r="L535" i="13"/>
  <c r="N534" i="13"/>
  <c r="L534" i="13"/>
  <c r="O534" i="13" s="1"/>
  <c r="N533" i="13"/>
  <c r="L533" i="13"/>
  <c r="J533" i="13"/>
  <c r="I533" i="13"/>
  <c r="J532" i="13"/>
  <c r="I532" i="13"/>
  <c r="J531" i="13"/>
  <c r="I531" i="13"/>
  <c r="J530" i="13"/>
  <c r="I530" i="13"/>
  <c r="J529" i="13"/>
  <c r="I529" i="13"/>
  <c r="J528" i="13"/>
  <c r="I528" i="13"/>
  <c r="J527" i="13"/>
  <c r="I527" i="13"/>
  <c r="J526" i="13"/>
  <c r="I526" i="13"/>
  <c r="J525" i="13"/>
  <c r="I525" i="13"/>
  <c r="J524" i="13"/>
  <c r="I524" i="13"/>
  <c r="J523" i="13"/>
  <c r="I523" i="13"/>
  <c r="J522" i="13"/>
  <c r="I522" i="13"/>
  <c r="J521" i="13"/>
  <c r="I521" i="13"/>
  <c r="J520" i="13"/>
  <c r="I520" i="13"/>
  <c r="J519" i="13"/>
  <c r="I519" i="13"/>
  <c r="J518" i="13"/>
  <c r="I518" i="13"/>
  <c r="J517" i="13"/>
  <c r="I517" i="13"/>
  <c r="J516" i="13"/>
  <c r="I516" i="13"/>
  <c r="J515" i="13"/>
  <c r="I515" i="13"/>
  <c r="K515" i="13" s="1"/>
  <c r="J514" i="13"/>
  <c r="I514" i="13"/>
  <c r="K514" i="13" s="1"/>
  <c r="J513" i="13"/>
  <c r="I513" i="13"/>
  <c r="K513" i="13" s="1"/>
  <c r="J512" i="13"/>
  <c r="I512" i="13"/>
  <c r="K512" i="13" s="1"/>
  <c r="J511" i="13"/>
  <c r="I511" i="13"/>
  <c r="K511" i="13" s="1"/>
  <c r="J510" i="13"/>
  <c r="I510" i="13"/>
  <c r="K510" i="13" s="1"/>
  <c r="J509" i="13"/>
  <c r="I509" i="13"/>
  <c r="K509" i="13" s="1"/>
  <c r="J508" i="13"/>
  <c r="I508" i="13"/>
  <c r="K508" i="13" s="1"/>
  <c r="J507" i="13"/>
  <c r="I507" i="13"/>
  <c r="K507" i="13" s="1"/>
  <c r="J506" i="13"/>
  <c r="I506" i="13"/>
  <c r="K506" i="13" s="1"/>
  <c r="J505" i="13"/>
  <c r="I505" i="13"/>
  <c r="K505" i="13" s="1"/>
  <c r="J504" i="13"/>
  <c r="I504" i="13"/>
  <c r="K504" i="13" s="1"/>
  <c r="J503" i="13"/>
  <c r="I503" i="13"/>
  <c r="K503" i="13" s="1"/>
  <c r="J502" i="13"/>
  <c r="I502" i="13"/>
  <c r="K502" i="13" s="1"/>
  <c r="J501" i="13"/>
  <c r="I501" i="13"/>
  <c r="K501" i="13" s="1"/>
  <c r="J500" i="13"/>
  <c r="I500" i="13"/>
  <c r="K500" i="13" s="1"/>
  <c r="J499" i="13"/>
  <c r="I499" i="13"/>
  <c r="J498" i="13"/>
  <c r="I498" i="13"/>
  <c r="J497" i="13"/>
  <c r="I497" i="13"/>
  <c r="J496" i="13"/>
  <c r="I496" i="13"/>
  <c r="K496" i="13" s="1"/>
  <c r="J495" i="13"/>
  <c r="I495" i="13"/>
  <c r="K495" i="13" s="1"/>
  <c r="J494" i="13"/>
  <c r="I494" i="13"/>
  <c r="K494" i="13" s="1"/>
  <c r="J493" i="13"/>
  <c r="I493" i="13"/>
  <c r="K493" i="13" s="1"/>
  <c r="J492" i="13"/>
  <c r="I492" i="13"/>
  <c r="K492" i="13" s="1"/>
  <c r="J491" i="13"/>
  <c r="I491" i="13"/>
  <c r="K491" i="13" s="1"/>
  <c r="J490" i="13"/>
  <c r="I490" i="13"/>
  <c r="K490" i="13" s="1"/>
  <c r="J489" i="13"/>
  <c r="I489" i="13"/>
  <c r="K489" i="13" s="1"/>
  <c r="J488" i="13"/>
  <c r="I488" i="13"/>
  <c r="K488" i="13" s="1"/>
  <c r="J487" i="13"/>
  <c r="I487" i="13"/>
  <c r="K487" i="13" s="1"/>
  <c r="J486" i="13"/>
  <c r="I486" i="13"/>
  <c r="K486" i="13" s="1"/>
  <c r="J485" i="13"/>
  <c r="I485" i="13"/>
  <c r="K485" i="13" s="1"/>
  <c r="J484" i="13"/>
  <c r="I484" i="13"/>
  <c r="K484" i="13" s="1"/>
  <c r="J483" i="13"/>
  <c r="I483" i="13"/>
  <c r="K483" i="13" s="1"/>
  <c r="J482" i="13"/>
  <c r="I482" i="13"/>
  <c r="J481" i="13"/>
  <c r="I481" i="13"/>
  <c r="J480" i="13"/>
  <c r="I480" i="13"/>
  <c r="K480" i="13" s="1"/>
  <c r="J479" i="13"/>
  <c r="I479" i="13"/>
  <c r="K479" i="13" s="1"/>
  <c r="J478" i="13"/>
  <c r="I478" i="13"/>
  <c r="K478" i="13" s="1"/>
  <c r="J477" i="13"/>
  <c r="I477" i="13"/>
  <c r="K477" i="13" s="1"/>
  <c r="J476" i="13"/>
  <c r="I476" i="13"/>
  <c r="K476" i="13" s="1"/>
  <c r="J475" i="13"/>
  <c r="I475" i="13"/>
  <c r="K475" i="13" s="1"/>
  <c r="J474" i="13"/>
  <c r="I474" i="13"/>
  <c r="J473" i="13"/>
  <c r="I473" i="13"/>
  <c r="J472" i="13"/>
  <c r="I472" i="13"/>
  <c r="K472" i="13" s="1"/>
  <c r="J471" i="13"/>
  <c r="I471" i="13"/>
  <c r="K471" i="13" s="1"/>
  <c r="J470" i="13"/>
  <c r="I470" i="13"/>
  <c r="K470" i="13" s="1"/>
  <c r="J469" i="13"/>
  <c r="I469" i="13"/>
  <c r="K469" i="13" s="1"/>
  <c r="J468" i="13"/>
  <c r="I468" i="13"/>
  <c r="K468" i="13" s="1"/>
  <c r="J467" i="13"/>
  <c r="I467" i="13"/>
  <c r="K467" i="13" s="1"/>
  <c r="J466" i="13"/>
  <c r="I466" i="13"/>
  <c r="J465" i="13"/>
  <c r="I465" i="13"/>
  <c r="J464" i="13"/>
  <c r="I464" i="13"/>
  <c r="N463" i="13"/>
  <c r="N462" i="13"/>
  <c r="N461" i="13"/>
  <c r="N460" i="13"/>
  <c r="N459" i="13"/>
  <c r="L459" i="13"/>
  <c r="N458" i="13"/>
  <c r="L458" i="13"/>
  <c r="O458" i="13" s="1"/>
  <c r="N457" i="13"/>
  <c r="L457" i="13"/>
  <c r="N456" i="13"/>
  <c r="L456" i="13"/>
  <c r="O456" i="13" s="1"/>
  <c r="N455" i="13"/>
  <c r="L455" i="13"/>
  <c r="J455" i="13"/>
  <c r="I455" i="13"/>
  <c r="J454" i="13"/>
  <c r="J453" i="13"/>
  <c r="J452" i="13"/>
  <c r="I452" i="13"/>
  <c r="K452" i="13" s="1"/>
  <c r="J451" i="13"/>
  <c r="I451" i="13"/>
  <c r="K451" i="13" s="1"/>
  <c r="J450" i="13"/>
  <c r="I450" i="13"/>
  <c r="J449" i="13"/>
  <c r="I449" i="13"/>
  <c r="J448" i="13"/>
  <c r="J447" i="13"/>
  <c r="J446" i="13"/>
  <c r="J445" i="13"/>
  <c r="N443" i="13"/>
  <c r="N442" i="13"/>
  <c r="N441" i="13"/>
  <c r="N440" i="13"/>
  <c r="N439" i="13"/>
  <c r="L439" i="13"/>
  <c r="N438" i="13"/>
  <c r="L438" i="13"/>
  <c r="O438" i="13" s="1"/>
  <c r="N437" i="13"/>
  <c r="L437" i="13"/>
  <c r="N436" i="13"/>
  <c r="L436" i="13"/>
  <c r="O436" i="13" s="1"/>
  <c r="N435" i="13"/>
  <c r="L435" i="13"/>
  <c r="J435" i="13"/>
  <c r="I435" i="13"/>
  <c r="J434" i="13"/>
  <c r="J433" i="13"/>
  <c r="J432" i="13"/>
  <c r="I432" i="13"/>
  <c r="J431" i="13"/>
  <c r="I431" i="13"/>
  <c r="K431" i="13" s="1"/>
  <c r="J430" i="13"/>
  <c r="I430" i="13"/>
  <c r="J429" i="13"/>
  <c r="I429" i="13"/>
  <c r="J428" i="13"/>
  <c r="I428" i="13"/>
  <c r="J427" i="13"/>
  <c r="I427" i="13"/>
  <c r="J426" i="13"/>
  <c r="I426" i="13"/>
  <c r="J425" i="13"/>
  <c r="I425" i="13"/>
  <c r="J424" i="13"/>
  <c r="I424" i="13"/>
  <c r="J423" i="13"/>
  <c r="I423" i="13"/>
  <c r="J422" i="13"/>
  <c r="I422" i="13"/>
  <c r="J421" i="13"/>
  <c r="I421" i="13"/>
  <c r="J420" i="13"/>
  <c r="I420" i="13"/>
  <c r="K420" i="13" s="1"/>
  <c r="J419" i="13"/>
  <c r="I419" i="13"/>
  <c r="K419" i="13" s="1"/>
  <c r="J418" i="13"/>
  <c r="I418" i="13"/>
  <c r="K418" i="13" s="1"/>
  <c r="J417" i="13"/>
  <c r="I417" i="13"/>
  <c r="K417" i="13" s="1"/>
  <c r="J416" i="13"/>
  <c r="I416" i="13"/>
  <c r="J415" i="13"/>
  <c r="J414" i="13"/>
  <c r="J413" i="13"/>
  <c r="J412" i="13"/>
  <c r="N410" i="13"/>
  <c r="N409" i="13"/>
  <c r="N408" i="13"/>
  <c r="N407" i="13"/>
  <c r="N406" i="13"/>
  <c r="L406" i="13"/>
  <c r="N405" i="13"/>
  <c r="L405" i="13"/>
  <c r="O405" i="13" s="1"/>
  <c r="N404" i="13"/>
  <c r="L404" i="13"/>
  <c r="N403" i="13"/>
  <c r="L403" i="13"/>
  <c r="O403" i="13" s="1"/>
  <c r="J402" i="13"/>
  <c r="I402" i="13"/>
  <c r="N401" i="13"/>
  <c r="L401" i="13"/>
  <c r="J401" i="13"/>
  <c r="I401" i="13"/>
  <c r="J400" i="13"/>
  <c r="J399" i="13"/>
  <c r="J398" i="13"/>
  <c r="I398" i="13"/>
  <c r="J397" i="13"/>
  <c r="I397" i="13"/>
  <c r="J396" i="13"/>
  <c r="I396" i="13"/>
  <c r="J394" i="13"/>
  <c r="J393" i="13"/>
  <c r="J392" i="13"/>
  <c r="J391" i="13"/>
  <c r="N389" i="13"/>
  <c r="N388" i="13"/>
  <c r="N387" i="13"/>
  <c r="N386" i="13"/>
  <c r="N385" i="13"/>
  <c r="L385" i="13"/>
  <c r="N384" i="13"/>
  <c r="L384" i="13"/>
  <c r="O384" i="13" s="1"/>
  <c r="N383" i="13"/>
  <c r="L383" i="13"/>
  <c r="N382" i="13"/>
  <c r="L382" i="13"/>
  <c r="O382" i="13" s="1"/>
  <c r="J381" i="13"/>
  <c r="I381" i="13"/>
  <c r="N380" i="13"/>
  <c r="L380" i="13"/>
  <c r="J380" i="13"/>
  <c r="I380" i="13"/>
  <c r="J379" i="13"/>
  <c r="J378" i="13"/>
  <c r="J377" i="13"/>
  <c r="I377" i="13"/>
  <c r="J376" i="13"/>
  <c r="I376" i="13"/>
  <c r="J375" i="13"/>
  <c r="I375" i="13"/>
  <c r="J374" i="13"/>
  <c r="I374" i="13"/>
  <c r="J373" i="13"/>
  <c r="I373" i="13"/>
  <c r="K373" i="13" s="1"/>
  <c r="J372" i="13"/>
  <c r="I372" i="13"/>
  <c r="J371" i="13"/>
  <c r="I371" i="13"/>
  <c r="K371" i="13" s="1"/>
  <c r="J370" i="13"/>
  <c r="I370" i="13"/>
  <c r="J369" i="13"/>
  <c r="I369" i="13"/>
  <c r="J368" i="13"/>
  <c r="I368" i="13"/>
  <c r="J367" i="13"/>
  <c r="J366" i="13"/>
  <c r="J365" i="13"/>
  <c r="I365" i="13"/>
  <c r="K365" i="13" s="1"/>
  <c r="J364" i="13"/>
  <c r="J363" i="13"/>
  <c r="J362" i="13"/>
  <c r="J361" i="13"/>
  <c r="J360" i="13"/>
  <c r="N358" i="13"/>
  <c r="N357" i="13"/>
  <c r="N356" i="13"/>
  <c r="N355" i="13"/>
  <c r="N354" i="13"/>
  <c r="L354" i="13"/>
  <c r="N353" i="13"/>
  <c r="L353" i="13"/>
  <c r="O353" i="13" s="1"/>
  <c r="N352" i="13"/>
  <c r="L352" i="13"/>
  <c r="N351" i="13"/>
  <c r="L351" i="13"/>
  <c r="O351" i="13" s="1"/>
  <c r="J350" i="13"/>
  <c r="I350" i="13"/>
  <c r="N349" i="13"/>
  <c r="L349" i="13"/>
  <c r="J349" i="13"/>
  <c r="I349" i="13"/>
  <c r="N347" i="13"/>
  <c r="L347" i="13"/>
  <c r="J346" i="13"/>
  <c r="I346" i="13"/>
  <c r="K346" i="13" s="1"/>
  <c r="J345" i="13"/>
  <c r="I345" i="13"/>
  <c r="J344" i="13"/>
  <c r="I344" i="13"/>
  <c r="K344" i="13" s="1"/>
  <c r="J343" i="13"/>
  <c r="I343" i="13"/>
  <c r="J342" i="13"/>
  <c r="I342" i="13"/>
  <c r="K342" i="13" s="1"/>
  <c r="J341" i="13"/>
  <c r="I341" i="13"/>
  <c r="J340" i="13"/>
  <c r="I340" i="13"/>
  <c r="J339" i="13"/>
  <c r="I339" i="13"/>
  <c r="K339" i="13" s="1"/>
  <c r="N337" i="13"/>
  <c r="L337" i="13"/>
  <c r="M337" i="13" s="1"/>
  <c r="L335" i="13"/>
  <c r="L334" i="13"/>
  <c r="N333" i="13"/>
  <c r="M333" i="13"/>
  <c r="O332" i="13"/>
  <c r="P330" i="13"/>
  <c r="N330" i="13"/>
  <c r="M330" i="13"/>
  <c r="L330" i="13"/>
  <c r="J328" i="13"/>
  <c r="I328" i="13"/>
  <c r="J326" i="13"/>
  <c r="J325" i="13"/>
  <c r="J324" i="13"/>
  <c r="I324" i="13"/>
  <c r="K324" i="13" s="1"/>
  <c r="J323" i="13"/>
  <c r="J322" i="13"/>
  <c r="J321" i="13"/>
  <c r="J320" i="13"/>
  <c r="N318" i="13"/>
  <c r="L318" i="13"/>
  <c r="O318" i="13" s="1"/>
  <c r="L316" i="13"/>
  <c r="L315" i="13"/>
  <c r="N314" i="13"/>
  <c r="M314" i="13"/>
  <c r="O313" i="13"/>
  <c r="P311" i="13"/>
  <c r="O311" i="13"/>
  <c r="N311" i="13"/>
  <c r="M311" i="13"/>
  <c r="L311" i="13"/>
  <c r="J309" i="13"/>
  <c r="I309" i="13"/>
  <c r="K309" i="13" s="1"/>
  <c r="J308" i="13"/>
  <c r="J307" i="13"/>
  <c r="J306" i="13"/>
  <c r="I306" i="13"/>
  <c r="K306" i="13" s="1"/>
  <c r="J304" i="13"/>
  <c r="I304" i="13"/>
  <c r="K304" i="13" s="1"/>
  <c r="J303" i="13"/>
  <c r="J302" i="13"/>
  <c r="J301" i="13"/>
  <c r="J300" i="13"/>
  <c r="N298" i="13"/>
  <c r="L298" i="13"/>
  <c r="O298" i="13" s="1"/>
  <c r="L296" i="13"/>
  <c r="L295" i="13"/>
  <c r="N294" i="13"/>
  <c r="M294" i="13"/>
  <c r="O293" i="13"/>
  <c r="P291" i="13"/>
  <c r="O291" i="13"/>
  <c r="N291" i="13"/>
  <c r="M291" i="13"/>
  <c r="L291" i="13"/>
  <c r="J289" i="13"/>
  <c r="I289" i="13"/>
  <c r="K289" i="13" s="1"/>
  <c r="J287" i="13"/>
  <c r="J286" i="13"/>
  <c r="J285" i="13"/>
  <c r="I285" i="13"/>
  <c r="J284" i="13"/>
  <c r="J283" i="13"/>
  <c r="J282" i="13"/>
  <c r="J281" i="13"/>
  <c r="N279" i="13"/>
  <c r="L279" i="13"/>
  <c r="O279" i="13" s="1"/>
  <c r="L277" i="13"/>
  <c r="L276" i="13"/>
  <c r="N275" i="13"/>
  <c r="M275" i="13"/>
  <c r="O274" i="13"/>
  <c r="O272" i="13"/>
  <c r="N272" i="13"/>
  <c r="M272" i="13"/>
  <c r="L272" i="13"/>
  <c r="J270" i="13"/>
  <c r="I270" i="13"/>
  <c r="J269" i="13"/>
  <c r="J268" i="13"/>
  <c r="J267" i="13"/>
  <c r="I267" i="13"/>
  <c r="K267" i="13" s="1"/>
  <c r="J266" i="13"/>
  <c r="I266" i="13"/>
  <c r="K266" i="13" s="1"/>
  <c r="J265" i="13"/>
  <c r="I265" i="13"/>
  <c r="K265" i="13" s="1"/>
  <c r="J264" i="13"/>
  <c r="I264" i="13"/>
  <c r="K264" i="13" s="1"/>
  <c r="J263" i="13"/>
  <c r="J262" i="13"/>
  <c r="J261" i="13"/>
  <c r="J260" i="13"/>
  <c r="N258" i="13"/>
  <c r="L258" i="13"/>
  <c r="O258" i="13" s="1"/>
  <c r="L256" i="13"/>
  <c r="L255" i="13"/>
  <c r="N254" i="13"/>
  <c r="M254" i="13"/>
  <c r="P254" i="13" s="1"/>
  <c r="O253" i="13"/>
  <c r="N251" i="13"/>
  <c r="M251" i="13"/>
  <c r="L251" i="13"/>
  <c r="J249" i="13"/>
  <c r="I249" i="13"/>
  <c r="K249" i="13" s="1"/>
  <c r="J246" i="13"/>
  <c r="J245" i="13"/>
  <c r="J244" i="13"/>
  <c r="I244" i="13"/>
  <c r="K244" i="13" s="1"/>
  <c r="J243" i="13"/>
  <c r="J242" i="13"/>
  <c r="J241" i="13"/>
  <c r="J240" i="13"/>
  <c r="J238" i="13"/>
  <c r="I238" i="13"/>
  <c r="K238" i="13" s="1"/>
  <c r="J237" i="13"/>
  <c r="J236" i="13"/>
  <c r="J235" i="13"/>
  <c r="I235" i="13"/>
  <c r="J234" i="13"/>
  <c r="J233" i="13"/>
  <c r="J232" i="13"/>
  <c r="J231" i="13"/>
  <c r="J229" i="13"/>
  <c r="I229" i="13"/>
  <c r="N228" i="13"/>
  <c r="L228" i="13"/>
  <c r="O228" i="13" s="1"/>
  <c r="L226" i="13"/>
  <c r="L225" i="13"/>
  <c r="N224" i="13"/>
  <c r="M224" i="13"/>
  <c r="M222" i="13" s="1"/>
  <c r="O223" i="13"/>
  <c r="N221" i="13"/>
  <c r="M221" i="13"/>
  <c r="P221" i="13" s="1"/>
  <c r="L221" i="13"/>
  <c r="O221" i="13" s="1"/>
  <c r="J219" i="13"/>
  <c r="I219" i="13"/>
  <c r="J218" i="13"/>
  <c r="J217" i="13"/>
  <c r="J216" i="13"/>
  <c r="I216" i="13"/>
  <c r="K216" i="13" s="1"/>
  <c r="J215" i="13"/>
  <c r="I215" i="13"/>
  <c r="K215" i="13" s="1"/>
  <c r="J213" i="13"/>
  <c r="I213" i="13"/>
  <c r="K213" i="13" s="1"/>
  <c r="J212" i="13"/>
  <c r="J211" i="13"/>
  <c r="J210" i="13"/>
  <c r="J209" i="13"/>
  <c r="J204" i="13"/>
  <c r="I204" i="13"/>
  <c r="K204" i="13" s="1"/>
  <c r="J203" i="13"/>
  <c r="J202" i="13"/>
  <c r="J201" i="13"/>
  <c r="I201" i="13"/>
  <c r="K201" i="13" s="1"/>
  <c r="J200" i="13"/>
  <c r="I200" i="13"/>
  <c r="J199" i="13"/>
  <c r="I199" i="13"/>
  <c r="J197" i="13"/>
  <c r="J196" i="13"/>
  <c r="J195" i="13"/>
  <c r="J194" i="13"/>
  <c r="J189" i="13"/>
  <c r="I189" i="13"/>
  <c r="J188" i="13"/>
  <c r="J187" i="13"/>
  <c r="J186" i="13"/>
  <c r="I186" i="13"/>
  <c r="K186" i="13" s="1"/>
  <c r="J185" i="13"/>
  <c r="I185" i="13"/>
  <c r="K185" i="13" s="1"/>
  <c r="J184" i="13"/>
  <c r="J183" i="13"/>
  <c r="J182" i="13"/>
  <c r="J181" i="13"/>
  <c r="J176" i="13"/>
  <c r="I176" i="13"/>
  <c r="K176" i="13" s="1"/>
  <c r="J175" i="13"/>
  <c r="J174" i="13"/>
  <c r="J173" i="13"/>
  <c r="I173" i="13"/>
  <c r="J172" i="13"/>
  <c r="J171" i="13"/>
  <c r="J170" i="13"/>
  <c r="J169" i="13"/>
  <c r="J164" i="13"/>
  <c r="I164" i="13"/>
  <c r="J163" i="13"/>
  <c r="J162" i="13"/>
  <c r="J161" i="13"/>
  <c r="J160" i="13"/>
  <c r="J159" i="13"/>
  <c r="J158" i="13"/>
  <c r="I158" i="13"/>
  <c r="J157" i="13"/>
  <c r="J156" i="13"/>
  <c r="J155" i="13"/>
  <c r="J154" i="13"/>
  <c r="J149" i="13"/>
  <c r="I149" i="13"/>
  <c r="N148" i="13"/>
  <c r="L148" i="13"/>
  <c r="O148" i="13" s="1"/>
  <c r="L146" i="13"/>
  <c r="L145" i="13"/>
  <c r="N144" i="13"/>
  <c r="M144" i="13"/>
  <c r="O143" i="13"/>
  <c r="N141" i="13"/>
  <c r="M141" i="13"/>
  <c r="L141" i="13"/>
  <c r="J138" i="13"/>
  <c r="I138" i="13"/>
  <c r="K138" i="13" s="1"/>
  <c r="J135" i="13"/>
  <c r="J134" i="13"/>
  <c r="J133" i="13"/>
  <c r="I133" i="13"/>
  <c r="J132" i="13"/>
  <c r="I132" i="13"/>
  <c r="J131" i="13"/>
  <c r="J130" i="13"/>
  <c r="J129" i="13"/>
  <c r="J128" i="13"/>
  <c r="N126" i="13"/>
  <c r="L126" i="13"/>
  <c r="L124" i="13"/>
  <c r="L123" i="13"/>
  <c r="N122" i="13"/>
  <c r="M122" i="13"/>
  <c r="O121" i="13"/>
  <c r="O119" i="13"/>
  <c r="N119" i="13"/>
  <c r="M119" i="13"/>
  <c r="L119" i="13"/>
  <c r="J117" i="13"/>
  <c r="I117" i="13"/>
  <c r="J115" i="13"/>
  <c r="J114" i="13"/>
  <c r="J113" i="13"/>
  <c r="I113" i="13"/>
  <c r="K113" i="13" s="1"/>
  <c r="J112" i="13"/>
  <c r="I112" i="13"/>
  <c r="K112" i="13" s="1"/>
  <c r="J111" i="13"/>
  <c r="I111" i="13"/>
  <c r="K111" i="13" s="1"/>
  <c r="J110" i="13"/>
  <c r="I110" i="13"/>
  <c r="K110" i="13" s="1"/>
  <c r="J109" i="13"/>
  <c r="I109" i="13"/>
  <c r="K109" i="13" s="1"/>
  <c r="J108" i="13"/>
  <c r="I108" i="13"/>
  <c r="K108" i="13" s="1"/>
  <c r="J107" i="13"/>
  <c r="J106" i="13"/>
  <c r="J105" i="13"/>
  <c r="J104" i="13"/>
  <c r="N102" i="13"/>
  <c r="L102" i="13"/>
  <c r="O102" i="13" s="1"/>
  <c r="L100" i="13"/>
  <c r="L99" i="13"/>
  <c r="N98" i="13"/>
  <c r="M98" i="13"/>
  <c r="M96" i="13" s="1"/>
  <c r="P96" i="13" s="1"/>
  <c r="O97" i="13"/>
  <c r="N95" i="13"/>
  <c r="M95" i="13"/>
  <c r="P95" i="13" s="1"/>
  <c r="L95" i="13"/>
  <c r="O95" i="13" s="1"/>
  <c r="J93" i="13"/>
  <c r="I93" i="13"/>
  <c r="K93" i="13" s="1"/>
  <c r="J92" i="13"/>
  <c r="I92" i="13"/>
  <c r="K92" i="13" s="1"/>
  <c r="J90" i="13"/>
  <c r="J89" i="13"/>
  <c r="J88" i="13"/>
  <c r="I88" i="13"/>
  <c r="K88" i="13" s="1"/>
  <c r="J87" i="13"/>
  <c r="I87" i="13"/>
  <c r="K87" i="13" s="1"/>
  <c r="J86" i="13"/>
  <c r="I86" i="13"/>
  <c r="K86" i="13" s="1"/>
  <c r="J85" i="13"/>
  <c r="I85" i="13"/>
  <c r="K85" i="13" s="1"/>
  <c r="J84" i="13"/>
  <c r="I84" i="13"/>
  <c r="K84" i="13" s="1"/>
  <c r="J83" i="13"/>
  <c r="I83" i="13"/>
  <c r="K83" i="13" s="1"/>
  <c r="J82" i="13"/>
  <c r="I82" i="13"/>
  <c r="K82" i="13" s="1"/>
  <c r="J81" i="13"/>
  <c r="I81" i="13"/>
  <c r="K81" i="13" s="1"/>
  <c r="J80" i="13"/>
  <c r="I80" i="13"/>
  <c r="K80" i="13" s="1"/>
  <c r="J79" i="13"/>
  <c r="J78" i="13"/>
  <c r="J77" i="13"/>
  <c r="J76" i="13"/>
  <c r="N74" i="13"/>
  <c r="L74" i="13"/>
  <c r="O74" i="13" s="1"/>
  <c r="L72" i="13"/>
  <c r="L71" i="13"/>
  <c r="N70" i="13"/>
  <c r="M70" i="13"/>
  <c r="P70" i="13" s="1"/>
  <c r="O69" i="13"/>
  <c r="N67" i="13"/>
  <c r="M67" i="13"/>
  <c r="P67" i="13" s="1"/>
  <c r="L67" i="13"/>
  <c r="J65" i="13"/>
  <c r="I65" i="13"/>
  <c r="K65" i="13" s="1"/>
  <c r="J64" i="13"/>
  <c r="I64" i="13"/>
  <c r="K64" i="13" s="1"/>
  <c r="N61" i="13"/>
  <c r="L61" i="13"/>
  <c r="O61" i="13" s="1"/>
  <c r="L59" i="13"/>
  <c r="L58" i="13"/>
  <c r="N57" i="13"/>
  <c r="M57" i="13"/>
  <c r="M55" i="13" s="1"/>
  <c r="N54" i="13"/>
  <c r="M54" i="13"/>
  <c r="P54" i="13" s="1"/>
  <c r="L54" i="13"/>
  <c r="O54" i="13" s="1"/>
  <c r="N49" i="13"/>
  <c r="L49" i="13"/>
  <c r="O49" i="13" s="1"/>
  <c r="L47" i="13"/>
  <c r="L46" i="13"/>
  <c r="N45" i="13"/>
  <c r="M45" i="13"/>
  <c r="N42" i="13"/>
  <c r="M42" i="13"/>
  <c r="P42" i="13" s="1"/>
  <c r="L42" i="13"/>
  <c r="P36" i="13"/>
  <c r="O36" i="13"/>
  <c r="P35" i="13"/>
  <c r="O35" i="13"/>
  <c r="P34" i="13"/>
  <c r="M34" i="13"/>
  <c r="M33" i="13"/>
  <c r="P33" i="13" s="1"/>
  <c r="P32" i="13"/>
  <c r="M32" i="13"/>
  <c r="M31" i="13"/>
  <c r="M30" i="13"/>
  <c r="P30" i="13" s="1"/>
  <c r="P25" i="13"/>
  <c r="O25" i="13"/>
  <c r="N25" i="13"/>
  <c r="M25" i="13"/>
  <c r="L25" i="13"/>
  <c r="N24" i="13"/>
  <c r="M24" i="13"/>
  <c r="P24" i="13" s="1"/>
  <c r="P23" i="13"/>
  <c r="N23" i="13"/>
  <c r="M23" i="13"/>
  <c r="N21" i="13"/>
  <c r="M21" i="13"/>
  <c r="P21" i="13" s="1"/>
  <c r="L21" i="13"/>
  <c r="O21" i="13" s="1"/>
  <c r="M19" i="13"/>
  <c r="L19" i="13"/>
  <c r="M15" i="13"/>
  <c r="P15" i="13" s="1"/>
  <c r="L15" i="13"/>
  <c r="O15" i="13" s="1"/>
  <c r="M13" i="13"/>
  <c r="P13" i="13" s="1"/>
  <c r="J635" i="12"/>
  <c r="I635" i="12"/>
  <c r="J634" i="12"/>
  <c r="I634" i="12"/>
  <c r="J633" i="12"/>
  <c r="I633" i="12"/>
  <c r="K633" i="12" s="1"/>
  <c r="J632" i="12"/>
  <c r="I632" i="12"/>
  <c r="K632" i="12" s="1"/>
  <c r="J631" i="12"/>
  <c r="I631" i="12"/>
  <c r="J630" i="12"/>
  <c r="I630" i="12"/>
  <c r="J629" i="12"/>
  <c r="I629" i="12"/>
  <c r="J628" i="12"/>
  <c r="I628" i="12"/>
  <c r="J626" i="12"/>
  <c r="I626" i="12"/>
  <c r="J625" i="12"/>
  <c r="I625" i="12"/>
  <c r="J624" i="12"/>
  <c r="I624" i="12"/>
  <c r="J623" i="12"/>
  <c r="I623" i="12"/>
  <c r="J622" i="12"/>
  <c r="I622" i="12"/>
  <c r="J621" i="12"/>
  <c r="I621" i="12"/>
  <c r="J620" i="12"/>
  <c r="I620" i="12"/>
  <c r="J619" i="12"/>
  <c r="I619" i="12"/>
  <c r="J618" i="12"/>
  <c r="I618" i="12"/>
  <c r="J617" i="12"/>
  <c r="I617" i="12"/>
  <c r="J616" i="12"/>
  <c r="I616" i="12"/>
  <c r="J615" i="12"/>
  <c r="I615" i="12"/>
  <c r="J614" i="12"/>
  <c r="I614" i="12"/>
  <c r="J613" i="12"/>
  <c r="I613" i="12"/>
  <c r="J612" i="12"/>
  <c r="I612" i="12"/>
  <c r="J611" i="12"/>
  <c r="I611" i="12"/>
  <c r="J610" i="12"/>
  <c r="J609" i="12"/>
  <c r="J608" i="12"/>
  <c r="J607" i="12"/>
  <c r="N605" i="12"/>
  <c r="N604" i="12"/>
  <c r="N603" i="12"/>
  <c r="N602" i="12"/>
  <c r="N601" i="12"/>
  <c r="L601" i="12"/>
  <c r="N600" i="12"/>
  <c r="L600" i="12"/>
  <c r="O600" i="12" s="1"/>
  <c r="N599" i="12"/>
  <c r="L599" i="12"/>
  <c r="N598" i="12"/>
  <c r="L598" i="12"/>
  <c r="O598" i="12" s="1"/>
  <c r="N597" i="12"/>
  <c r="L597" i="12"/>
  <c r="J597" i="12"/>
  <c r="I597" i="12"/>
  <c r="J596" i="12"/>
  <c r="I596" i="12"/>
  <c r="K596" i="12" s="1"/>
  <c r="J595" i="12"/>
  <c r="I595" i="12"/>
  <c r="K595" i="12" s="1"/>
  <c r="J594" i="12"/>
  <c r="I594" i="12"/>
  <c r="K594" i="12" s="1"/>
  <c r="J593" i="12"/>
  <c r="I593" i="12"/>
  <c r="K593" i="12" s="1"/>
  <c r="J592" i="12"/>
  <c r="I592" i="12"/>
  <c r="K592" i="12" s="1"/>
  <c r="J591" i="12"/>
  <c r="I591" i="12"/>
  <c r="K591" i="12" s="1"/>
  <c r="J590" i="12"/>
  <c r="I590" i="12"/>
  <c r="K590" i="12" s="1"/>
  <c r="J589" i="12"/>
  <c r="I589" i="12"/>
  <c r="K589" i="12" s="1"/>
  <c r="N588" i="12"/>
  <c r="N587" i="12"/>
  <c r="N586" i="12"/>
  <c r="N585" i="12"/>
  <c r="N584" i="12"/>
  <c r="L584" i="12"/>
  <c r="O584" i="12" s="1"/>
  <c r="N583" i="12"/>
  <c r="L583" i="12"/>
  <c r="O583" i="12" s="1"/>
  <c r="N582" i="12"/>
  <c r="L582" i="12"/>
  <c r="O582" i="12" s="1"/>
  <c r="N581" i="12"/>
  <c r="L581" i="12"/>
  <c r="O581" i="12" s="1"/>
  <c r="N580" i="12"/>
  <c r="L580" i="12"/>
  <c r="O580" i="12" s="1"/>
  <c r="J580" i="12"/>
  <c r="I580" i="12"/>
  <c r="K580" i="12" s="1"/>
  <c r="J579" i="12"/>
  <c r="I579" i="12"/>
  <c r="K579" i="12" s="1"/>
  <c r="J578" i="12"/>
  <c r="I578" i="12"/>
  <c r="K578" i="12" s="1"/>
  <c r="J577" i="12"/>
  <c r="I577" i="12"/>
  <c r="K577" i="12" s="1"/>
  <c r="J576" i="12"/>
  <c r="I576" i="12"/>
  <c r="K576" i="12" s="1"/>
  <c r="J575" i="12"/>
  <c r="I575" i="12"/>
  <c r="K575" i="12" s="1"/>
  <c r="J573" i="12"/>
  <c r="I573" i="12"/>
  <c r="N572" i="12"/>
  <c r="N571" i="12"/>
  <c r="N570" i="12"/>
  <c r="N569" i="12"/>
  <c r="N568" i="12"/>
  <c r="L568" i="12"/>
  <c r="N567" i="12"/>
  <c r="L567" i="12"/>
  <c r="O567" i="12" s="1"/>
  <c r="N566" i="12"/>
  <c r="L566" i="12"/>
  <c r="N565" i="12"/>
  <c r="L565" i="12"/>
  <c r="O565" i="12" s="1"/>
  <c r="N564" i="12"/>
  <c r="L564" i="12"/>
  <c r="J564" i="12"/>
  <c r="I564" i="12"/>
  <c r="J563" i="12"/>
  <c r="J562" i="12"/>
  <c r="J561" i="12"/>
  <c r="I561" i="12"/>
  <c r="K561" i="12" s="1"/>
  <c r="J560" i="12"/>
  <c r="I560" i="12"/>
  <c r="K560" i="12" s="1"/>
  <c r="N559" i="12"/>
  <c r="N558" i="12"/>
  <c r="N557" i="12"/>
  <c r="N556" i="12"/>
  <c r="N555" i="12"/>
  <c r="L555" i="12"/>
  <c r="O555" i="12" s="1"/>
  <c r="N554" i="12"/>
  <c r="L554" i="12"/>
  <c r="O554" i="12" s="1"/>
  <c r="N553" i="12"/>
  <c r="L553" i="12"/>
  <c r="O553" i="12" s="1"/>
  <c r="N552" i="12"/>
  <c r="L552" i="12"/>
  <c r="O552" i="12" s="1"/>
  <c r="N551" i="12"/>
  <c r="L551" i="12"/>
  <c r="O551" i="12" s="1"/>
  <c r="J551" i="12"/>
  <c r="I551" i="12"/>
  <c r="K551" i="12" s="1"/>
  <c r="J550" i="12"/>
  <c r="J549" i="12"/>
  <c r="J548" i="12"/>
  <c r="I548" i="12"/>
  <c r="K548" i="12" s="1"/>
  <c r="J547" i="12"/>
  <c r="I547" i="12"/>
  <c r="J546" i="12"/>
  <c r="J545" i="12"/>
  <c r="J544" i="12"/>
  <c r="J543" i="12"/>
  <c r="N541" i="12"/>
  <c r="N540" i="12"/>
  <c r="N539" i="12"/>
  <c r="N538" i="12"/>
  <c r="N537" i="12"/>
  <c r="L537" i="12"/>
  <c r="N536" i="12"/>
  <c r="L536" i="12"/>
  <c r="O536" i="12" s="1"/>
  <c r="N535" i="12"/>
  <c r="L535" i="12"/>
  <c r="N534" i="12"/>
  <c r="L534" i="12"/>
  <c r="N533" i="12"/>
  <c r="L533" i="12"/>
  <c r="J533" i="12"/>
  <c r="I533" i="12"/>
  <c r="J532" i="12"/>
  <c r="I532" i="12"/>
  <c r="J531" i="12"/>
  <c r="I531" i="12"/>
  <c r="J530" i="12"/>
  <c r="I530" i="12"/>
  <c r="J529" i="12"/>
  <c r="I529" i="12"/>
  <c r="J528" i="12"/>
  <c r="I528" i="12"/>
  <c r="J527" i="12"/>
  <c r="I527" i="12"/>
  <c r="J526" i="12"/>
  <c r="I526" i="12"/>
  <c r="J525" i="12"/>
  <c r="I525" i="12"/>
  <c r="J524" i="12"/>
  <c r="I524" i="12"/>
  <c r="J523" i="12"/>
  <c r="I523" i="12"/>
  <c r="J522" i="12"/>
  <c r="I522" i="12"/>
  <c r="J521" i="12"/>
  <c r="I521" i="12"/>
  <c r="J520" i="12"/>
  <c r="I520" i="12"/>
  <c r="J519" i="12"/>
  <c r="I519" i="12"/>
  <c r="J518" i="12"/>
  <c r="I518" i="12"/>
  <c r="J517" i="12"/>
  <c r="I517" i="12"/>
  <c r="J516" i="12"/>
  <c r="I516" i="12"/>
  <c r="J515" i="12"/>
  <c r="I515" i="12"/>
  <c r="K515" i="12" s="1"/>
  <c r="J514" i="12"/>
  <c r="I514" i="12"/>
  <c r="K514" i="12" s="1"/>
  <c r="J513" i="12"/>
  <c r="I513" i="12"/>
  <c r="K513" i="12" s="1"/>
  <c r="J512" i="12"/>
  <c r="I512" i="12"/>
  <c r="K512" i="12" s="1"/>
  <c r="J511" i="12"/>
  <c r="I511" i="12"/>
  <c r="K511" i="12" s="1"/>
  <c r="J510" i="12"/>
  <c r="I510" i="12"/>
  <c r="K510" i="12" s="1"/>
  <c r="J509" i="12"/>
  <c r="I509" i="12"/>
  <c r="K509" i="12" s="1"/>
  <c r="J508" i="12"/>
  <c r="I508" i="12"/>
  <c r="K508" i="12" s="1"/>
  <c r="J507" i="12"/>
  <c r="I507" i="12"/>
  <c r="K507" i="12" s="1"/>
  <c r="J506" i="12"/>
  <c r="I506" i="12"/>
  <c r="K506" i="12" s="1"/>
  <c r="J505" i="12"/>
  <c r="I505" i="12"/>
  <c r="K505" i="12" s="1"/>
  <c r="J504" i="12"/>
  <c r="I504" i="12"/>
  <c r="K504" i="12" s="1"/>
  <c r="J503" i="12"/>
  <c r="I503" i="12"/>
  <c r="K503" i="12" s="1"/>
  <c r="J502" i="12"/>
  <c r="I502" i="12"/>
  <c r="K502" i="12" s="1"/>
  <c r="J501" i="12"/>
  <c r="I501" i="12"/>
  <c r="K501" i="12" s="1"/>
  <c r="J500" i="12"/>
  <c r="I500" i="12"/>
  <c r="K500" i="12" s="1"/>
  <c r="J499" i="12"/>
  <c r="I499" i="12"/>
  <c r="J498" i="12"/>
  <c r="I498" i="12"/>
  <c r="J497" i="12"/>
  <c r="I497" i="12"/>
  <c r="J496" i="12"/>
  <c r="I496" i="12"/>
  <c r="K496" i="12" s="1"/>
  <c r="J495" i="12"/>
  <c r="I495" i="12"/>
  <c r="K495" i="12" s="1"/>
  <c r="J494" i="12"/>
  <c r="I494" i="12"/>
  <c r="K494" i="12" s="1"/>
  <c r="J493" i="12"/>
  <c r="I493" i="12"/>
  <c r="K493" i="12" s="1"/>
  <c r="J492" i="12"/>
  <c r="I492" i="12"/>
  <c r="K492" i="12" s="1"/>
  <c r="J491" i="12"/>
  <c r="I491" i="12"/>
  <c r="K491" i="12" s="1"/>
  <c r="J490" i="12"/>
  <c r="I490" i="12"/>
  <c r="K490" i="12" s="1"/>
  <c r="J489" i="12"/>
  <c r="I489" i="12"/>
  <c r="K489" i="12" s="1"/>
  <c r="J488" i="12"/>
  <c r="I488" i="12"/>
  <c r="K488" i="12" s="1"/>
  <c r="J487" i="12"/>
  <c r="I487" i="12"/>
  <c r="K487" i="12" s="1"/>
  <c r="J486" i="12"/>
  <c r="I486" i="12"/>
  <c r="K486" i="12" s="1"/>
  <c r="J485" i="12"/>
  <c r="I485" i="12"/>
  <c r="K485" i="12" s="1"/>
  <c r="J484" i="12"/>
  <c r="I484" i="12"/>
  <c r="K484" i="12" s="1"/>
  <c r="J483" i="12"/>
  <c r="I483" i="12"/>
  <c r="K483" i="12" s="1"/>
  <c r="J482" i="12"/>
  <c r="I482" i="12"/>
  <c r="J481" i="12"/>
  <c r="I481" i="12"/>
  <c r="J480" i="12"/>
  <c r="I480" i="12"/>
  <c r="K480" i="12" s="1"/>
  <c r="J479" i="12"/>
  <c r="I479" i="12"/>
  <c r="K479" i="12" s="1"/>
  <c r="J478" i="12"/>
  <c r="I478" i="12"/>
  <c r="K478" i="12" s="1"/>
  <c r="J477" i="12"/>
  <c r="I477" i="12"/>
  <c r="K477" i="12" s="1"/>
  <c r="J476" i="12"/>
  <c r="I476" i="12"/>
  <c r="K476" i="12" s="1"/>
  <c r="J475" i="12"/>
  <c r="I475" i="12"/>
  <c r="K475" i="12" s="1"/>
  <c r="J474" i="12"/>
  <c r="I474" i="12"/>
  <c r="J473" i="12"/>
  <c r="I473" i="12"/>
  <c r="J472" i="12"/>
  <c r="I472" i="12"/>
  <c r="K472" i="12" s="1"/>
  <c r="J471" i="12"/>
  <c r="I471" i="12"/>
  <c r="K471" i="12" s="1"/>
  <c r="J470" i="12"/>
  <c r="I470" i="12"/>
  <c r="K470" i="12" s="1"/>
  <c r="J469" i="12"/>
  <c r="I469" i="12"/>
  <c r="K469" i="12" s="1"/>
  <c r="J468" i="12"/>
  <c r="I468" i="12"/>
  <c r="K468" i="12" s="1"/>
  <c r="J467" i="12"/>
  <c r="I467" i="12"/>
  <c r="K467" i="12" s="1"/>
  <c r="J466" i="12"/>
  <c r="I466" i="12"/>
  <c r="J465" i="12"/>
  <c r="I465" i="12"/>
  <c r="J464" i="12"/>
  <c r="I464" i="12"/>
  <c r="N463" i="12"/>
  <c r="N462" i="12"/>
  <c r="N461" i="12"/>
  <c r="N460" i="12"/>
  <c r="N459" i="12"/>
  <c r="L459" i="12"/>
  <c r="N458" i="12"/>
  <c r="L458" i="12"/>
  <c r="O458" i="12" s="1"/>
  <c r="N457" i="12"/>
  <c r="L457" i="12"/>
  <c r="N456" i="12"/>
  <c r="L456" i="12"/>
  <c r="O456" i="12" s="1"/>
  <c r="N455" i="12"/>
  <c r="L455" i="12"/>
  <c r="J455" i="12"/>
  <c r="I455" i="12"/>
  <c r="J454" i="12"/>
  <c r="J453" i="12"/>
  <c r="J452" i="12"/>
  <c r="I452" i="12"/>
  <c r="K452" i="12" s="1"/>
  <c r="J451" i="12"/>
  <c r="I451" i="12"/>
  <c r="K451" i="12" s="1"/>
  <c r="J450" i="12"/>
  <c r="I450" i="12"/>
  <c r="J449" i="12"/>
  <c r="I449" i="12"/>
  <c r="J448" i="12"/>
  <c r="J447" i="12"/>
  <c r="J446" i="12"/>
  <c r="J445" i="12"/>
  <c r="N443" i="12"/>
  <c r="N442" i="12"/>
  <c r="N441" i="12"/>
  <c r="N440" i="12"/>
  <c r="N439" i="12"/>
  <c r="L439" i="12"/>
  <c r="N438" i="12"/>
  <c r="L438" i="12"/>
  <c r="O438" i="12" s="1"/>
  <c r="N437" i="12"/>
  <c r="L437" i="12"/>
  <c r="N436" i="12"/>
  <c r="L436" i="12"/>
  <c r="O436" i="12" s="1"/>
  <c r="N435" i="12"/>
  <c r="L435" i="12"/>
  <c r="J435" i="12"/>
  <c r="I435" i="12"/>
  <c r="J434" i="12"/>
  <c r="J433" i="12"/>
  <c r="J432" i="12"/>
  <c r="I432" i="12"/>
  <c r="J431" i="12"/>
  <c r="I431" i="12"/>
  <c r="J430" i="12"/>
  <c r="I430" i="12"/>
  <c r="J429" i="12"/>
  <c r="I429" i="12"/>
  <c r="J428" i="12"/>
  <c r="I428" i="12"/>
  <c r="J427" i="12"/>
  <c r="I427" i="12"/>
  <c r="J426" i="12"/>
  <c r="I426" i="12"/>
  <c r="J425" i="12"/>
  <c r="I425" i="12"/>
  <c r="J424" i="12"/>
  <c r="I424" i="12"/>
  <c r="J423" i="12"/>
  <c r="I423" i="12"/>
  <c r="J422" i="12"/>
  <c r="I422" i="12"/>
  <c r="J421" i="12"/>
  <c r="I421" i="12"/>
  <c r="J420" i="12"/>
  <c r="I420" i="12"/>
  <c r="J419" i="12"/>
  <c r="I419" i="12"/>
  <c r="J418" i="12"/>
  <c r="I418" i="12"/>
  <c r="J417" i="12"/>
  <c r="I417" i="12"/>
  <c r="J416" i="12"/>
  <c r="I416" i="12"/>
  <c r="J415" i="12"/>
  <c r="J414" i="12"/>
  <c r="J413" i="12"/>
  <c r="J412" i="12"/>
  <c r="N410" i="12"/>
  <c r="N409" i="12"/>
  <c r="N408" i="12"/>
  <c r="N407" i="12"/>
  <c r="N406" i="12"/>
  <c r="L406" i="12"/>
  <c r="N405" i="12"/>
  <c r="L405" i="12"/>
  <c r="O405" i="12" s="1"/>
  <c r="N404" i="12"/>
  <c r="L404" i="12"/>
  <c r="N403" i="12"/>
  <c r="L403" i="12"/>
  <c r="O403" i="12" s="1"/>
  <c r="J402" i="12"/>
  <c r="I402" i="12"/>
  <c r="N401" i="12"/>
  <c r="L401" i="12"/>
  <c r="J401" i="12"/>
  <c r="I401" i="12"/>
  <c r="J400" i="12"/>
  <c r="J399" i="12"/>
  <c r="J398" i="12"/>
  <c r="I398" i="12"/>
  <c r="J397" i="12"/>
  <c r="I397" i="12"/>
  <c r="J396" i="12"/>
  <c r="I396" i="12"/>
  <c r="J394" i="12"/>
  <c r="J393" i="12"/>
  <c r="J392" i="12"/>
  <c r="J391" i="12"/>
  <c r="N389" i="12"/>
  <c r="N388" i="12"/>
  <c r="N387" i="12"/>
  <c r="N386" i="12"/>
  <c r="N385" i="12"/>
  <c r="L385" i="12"/>
  <c r="N384" i="12"/>
  <c r="L384" i="12"/>
  <c r="O384" i="12" s="1"/>
  <c r="N383" i="12"/>
  <c r="L383" i="12"/>
  <c r="N382" i="12"/>
  <c r="L382" i="12"/>
  <c r="O382" i="12" s="1"/>
  <c r="J381" i="12"/>
  <c r="I381" i="12"/>
  <c r="N380" i="12"/>
  <c r="L380" i="12"/>
  <c r="J380" i="12"/>
  <c r="I380" i="12"/>
  <c r="J379" i="12"/>
  <c r="J378" i="12"/>
  <c r="J377" i="12"/>
  <c r="I377" i="12"/>
  <c r="J376" i="12"/>
  <c r="I376" i="12"/>
  <c r="J375" i="12"/>
  <c r="I375" i="12"/>
  <c r="J374" i="12"/>
  <c r="I374" i="12"/>
  <c r="J373" i="12"/>
  <c r="I373" i="12"/>
  <c r="K373" i="12" s="1"/>
  <c r="J372" i="12"/>
  <c r="I372" i="12"/>
  <c r="J371" i="12"/>
  <c r="I371" i="12"/>
  <c r="K371" i="12" s="1"/>
  <c r="J370" i="12"/>
  <c r="I370" i="12"/>
  <c r="J369" i="12"/>
  <c r="I369" i="12"/>
  <c r="K369" i="12" s="1"/>
  <c r="J368" i="12"/>
  <c r="I368" i="12"/>
  <c r="J367" i="12"/>
  <c r="J366" i="12"/>
  <c r="J365" i="12"/>
  <c r="I365" i="12"/>
  <c r="K365" i="12" s="1"/>
  <c r="J364" i="12"/>
  <c r="J363" i="12"/>
  <c r="J362" i="12"/>
  <c r="J361" i="12"/>
  <c r="J360" i="12"/>
  <c r="N358" i="12"/>
  <c r="N357" i="12"/>
  <c r="N356" i="12"/>
  <c r="N355" i="12"/>
  <c r="N354" i="12"/>
  <c r="L354" i="12"/>
  <c r="N353" i="12"/>
  <c r="L353" i="12"/>
  <c r="O353" i="12" s="1"/>
  <c r="N352" i="12"/>
  <c r="L352" i="12"/>
  <c r="N351" i="12"/>
  <c r="L351" i="12"/>
  <c r="O351" i="12" s="1"/>
  <c r="J350" i="12"/>
  <c r="I350" i="12"/>
  <c r="N349" i="12"/>
  <c r="L349" i="12"/>
  <c r="J349" i="12"/>
  <c r="I349" i="12"/>
  <c r="N347" i="12"/>
  <c r="L347" i="12"/>
  <c r="J346" i="12"/>
  <c r="I346" i="12"/>
  <c r="K346" i="12" s="1"/>
  <c r="J345" i="12"/>
  <c r="I345" i="12"/>
  <c r="J344" i="12"/>
  <c r="I344" i="12"/>
  <c r="K344" i="12" s="1"/>
  <c r="J343" i="12"/>
  <c r="I343" i="12"/>
  <c r="J342" i="12"/>
  <c r="I342" i="12"/>
  <c r="K342" i="12" s="1"/>
  <c r="J341" i="12"/>
  <c r="I341" i="12"/>
  <c r="J340" i="12"/>
  <c r="I340" i="12"/>
  <c r="J339" i="12"/>
  <c r="I339" i="12"/>
  <c r="K339" i="12" s="1"/>
  <c r="N337" i="12"/>
  <c r="L337" i="12"/>
  <c r="M337" i="12" s="1"/>
  <c r="L335" i="12"/>
  <c r="L334" i="12"/>
  <c r="N333" i="12"/>
  <c r="M333" i="12"/>
  <c r="O332" i="12"/>
  <c r="N330" i="12"/>
  <c r="M330" i="12"/>
  <c r="P330" i="12" s="1"/>
  <c r="L330" i="12"/>
  <c r="J328" i="12"/>
  <c r="I328" i="12"/>
  <c r="J326" i="12"/>
  <c r="J325" i="12"/>
  <c r="J324" i="12"/>
  <c r="I324" i="12"/>
  <c r="K324" i="12" s="1"/>
  <c r="J323" i="12"/>
  <c r="J322" i="12"/>
  <c r="J321" i="12"/>
  <c r="J320" i="12"/>
  <c r="N318" i="12"/>
  <c r="L318" i="12"/>
  <c r="O318" i="12" s="1"/>
  <c r="L316" i="12"/>
  <c r="L315" i="12"/>
  <c r="N314" i="12"/>
  <c r="M314" i="12"/>
  <c r="P314" i="12" s="1"/>
  <c r="O313" i="12"/>
  <c r="N311" i="12"/>
  <c r="M311" i="12"/>
  <c r="P311" i="12" s="1"/>
  <c r="L311" i="12"/>
  <c r="J309" i="12"/>
  <c r="I309" i="12"/>
  <c r="K309" i="12" s="1"/>
  <c r="J308" i="12"/>
  <c r="J307" i="12"/>
  <c r="J306" i="12"/>
  <c r="I306" i="12"/>
  <c r="K306" i="12" s="1"/>
  <c r="J304" i="12"/>
  <c r="I304" i="12"/>
  <c r="K304" i="12" s="1"/>
  <c r="J303" i="12"/>
  <c r="J302" i="12"/>
  <c r="J301" i="12"/>
  <c r="J300" i="12"/>
  <c r="N298" i="12"/>
  <c r="L298" i="12"/>
  <c r="O298" i="12" s="1"/>
  <c r="L296" i="12"/>
  <c r="L295" i="12"/>
  <c r="N294" i="12"/>
  <c r="M294" i="12"/>
  <c r="P294" i="12" s="1"/>
  <c r="O293" i="12"/>
  <c r="N291" i="12"/>
  <c r="M291" i="12"/>
  <c r="L291" i="12"/>
  <c r="O291" i="12" s="1"/>
  <c r="J289" i="12"/>
  <c r="I289" i="12"/>
  <c r="K289" i="12" s="1"/>
  <c r="J287" i="12"/>
  <c r="J286" i="12"/>
  <c r="J285" i="12"/>
  <c r="I285" i="12"/>
  <c r="J284" i="12"/>
  <c r="J283" i="12"/>
  <c r="J282" i="12"/>
  <c r="J281" i="12"/>
  <c r="N279" i="12"/>
  <c r="L279" i="12"/>
  <c r="O279" i="12" s="1"/>
  <c r="L277" i="12"/>
  <c r="L276" i="12"/>
  <c r="N275" i="12"/>
  <c r="M275" i="12"/>
  <c r="M273" i="12" s="1"/>
  <c r="O274" i="12"/>
  <c r="P272" i="12"/>
  <c r="N272" i="12"/>
  <c r="M272" i="12"/>
  <c r="L272" i="12"/>
  <c r="O272" i="12" s="1"/>
  <c r="J270" i="12"/>
  <c r="I270" i="12"/>
  <c r="J269" i="12"/>
  <c r="J268" i="12"/>
  <c r="J267" i="12"/>
  <c r="I267" i="12"/>
  <c r="J266" i="12"/>
  <c r="I266" i="12"/>
  <c r="J265" i="12"/>
  <c r="I265" i="12"/>
  <c r="J264" i="12"/>
  <c r="I264" i="12"/>
  <c r="J263" i="12"/>
  <c r="J262" i="12"/>
  <c r="J261" i="12"/>
  <c r="J260" i="12"/>
  <c r="N258" i="12"/>
  <c r="L258" i="12"/>
  <c r="O258" i="12" s="1"/>
  <c r="L256" i="12"/>
  <c r="L255" i="12"/>
  <c r="N254" i="12"/>
  <c r="M254" i="12"/>
  <c r="O253" i="12"/>
  <c r="P251" i="12"/>
  <c r="O251" i="12"/>
  <c r="N251" i="12"/>
  <c r="M251" i="12"/>
  <c r="L251" i="12"/>
  <c r="J249" i="12"/>
  <c r="I249" i="12"/>
  <c r="J246" i="12"/>
  <c r="J245" i="12"/>
  <c r="J244" i="12"/>
  <c r="I244" i="12"/>
  <c r="K244" i="12" s="1"/>
  <c r="J243" i="12"/>
  <c r="J242" i="12"/>
  <c r="J241" i="12"/>
  <c r="J240" i="12"/>
  <c r="J238" i="12"/>
  <c r="I238" i="12"/>
  <c r="K238" i="12" s="1"/>
  <c r="J237" i="12"/>
  <c r="J236" i="12"/>
  <c r="J235" i="12"/>
  <c r="I235" i="12"/>
  <c r="J234" i="12"/>
  <c r="J233" i="12"/>
  <c r="J232" i="12"/>
  <c r="J231" i="12"/>
  <c r="J229" i="12"/>
  <c r="I229" i="12"/>
  <c r="N228" i="12"/>
  <c r="L228" i="12"/>
  <c r="O228" i="12" s="1"/>
  <c r="L226" i="12"/>
  <c r="L225" i="12"/>
  <c r="N224" i="12"/>
  <c r="M224" i="12"/>
  <c r="O223" i="12"/>
  <c r="O221" i="12"/>
  <c r="N221" i="12"/>
  <c r="M221" i="12"/>
  <c r="L221" i="12"/>
  <c r="J219" i="12"/>
  <c r="I219" i="12"/>
  <c r="J218" i="12"/>
  <c r="J217" i="12"/>
  <c r="J216" i="12"/>
  <c r="I216" i="12"/>
  <c r="K216" i="12" s="1"/>
  <c r="J215" i="12"/>
  <c r="I215" i="12"/>
  <c r="K215" i="12" s="1"/>
  <c r="J213" i="12"/>
  <c r="I213" i="12"/>
  <c r="K213" i="12" s="1"/>
  <c r="J212" i="12"/>
  <c r="J211" i="12"/>
  <c r="J210" i="12"/>
  <c r="J209" i="12"/>
  <c r="J204" i="12"/>
  <c r="I204" i="12"/>
  <c r="K204" i="12" s="1"/>
  <c r="J203" i="12"/>
  <c r="J202" i="12"/>
  <c r="J201" i="12"/>
  <c r="I201" i="12"/>
  <c r="K201" i="12" s="1"/>
  <c r="J200" i="12"/>
  <c r="I200" i="12"/>
  <c r="J199" i="12"/>
  <c r="I199" i="12"/>
  <c r="J197" i="12"/>
  <c r="J196" i="12"/>
  <c r="J195" i="12"/>
  <c r="J194" i="12"/>
  <c r="J189" i="12"/>
  <c r="I189" i="12"/>
  <c r="J188" i="12"/>
  <c r="J187" i="12"/>
  <c r="J186" i="12"/>
  <c r="I186" i="12"/>
  <c r="K186" i="12" s="1"/>
  <c r="J185" i="12"/>
  <c r="I185" i="12"/>
  <c r="K185" i="12" s="1"/>
  <c r="J184" i="12"/>
  <c r="J183" i="12"/>
  <c r="J182" i="12"/>
  <c r="J181" i="12"/>
  <c r="J176" i="12"/>
  <c r="I176" i="12"/>
  <c r="K176" i="12" s="1"/>
  <c r="J175" i="12"/>
  <c r="J174" i="12"/>
  <c r="J173" i="12"/>
  <c r="I173" i="12"/>
  <c r="J172" i="12"/>
  <c r="J171" i="12"/>
  <c r="J170" i="12"/>
  <c r="J169" i="12"/>
  <c r="J164" i="12"/>
  <c r="I164" i="12"/>
  <c r="J163" i="12"/>
  <c r="J162" i="12"/>
  <c r="J161" i="12"/>
  <c r="J160" i="12"/>
  <c r="J159" i="12"/>
  <c r="J158" i="12"/>
  <c r="I158" i="12"/>
  <c r="J157" i="12"/>
  <c r="J156" i="12"/>
  <c r="J155" i="12"/>
  <c r="J154" i="12"/>
  <c r="J149" i="12"/>
  <c r="I149" i="12"/>
  <c r="N148" i="12"/>
  <c r="L148" i="12"/>
  <c r="O148" i="12" s="1"/>
  <c r="L146" i="12"/>
  <c r="L145" i="12"/>
  <c r="N144" i="12"/>
  <c r="M144" i="12"/>
  <c r="O143" i="12"/>
  <c r="P141" i="12"/>
  <c r="O141" i="12"/>
  <c r="N141" i="12"/>
  <c r="M141" i="12"/>
  <c r="L141" i="12"/>
  <c r="J138" i="12"/>
  <c r="I138" i="12"/>
  <c r="K138" i="12" s="1"/>
  <c r="J135" i="12"/>
  <c r="J134" i="12"/>
  <c r="J133" i="12"/>
  <c r="I133" i="12"/>
  <c r="J132" i="12"/>
  <c r="I132" i="12"/>
  <c r="J131" i="12"/>
  <c r="J130" i="12"/>
  <c r="J129" i="12"/>
  <c r="J128" i="12"/>
  <c r="N126" i="12"/>
  <c r="L126" i="12"/>
  <c r="O126" i="12" s="1"/>
  <c r="L124" i="12"/>
  <c r="L123" i="12"/>
  <c r="N122" i="12"/>
  <c r="M122" i="12"/>
  <c r="M120" i="12" s="1"/>
  <c r="O121" i="12"/>
  <c r="P119" i="12"/>
  <c r="O119" i="12"/>
  <c r="N119" i="12"/>
  <c r="M119" i="12"/>
  <c r="L119" i="12"/>
  <c r="J117" i="12"/>
  <c r="I117" i="12"/>
  <c r="J115" i="12"/>
  <c r="J114" i="12"/>
  <c r="J113" i="12"/>
  <c r="I113" i="12"/>
  <c r="J112" i="12"/>
  <c r="I112" i="12"/>
  <c r="J111" i="12"/>
  <c r="I111" i="12"/>
  <c r="J110" i="12"/>
  <c r="I110" i="12"/>
  <c r="J109" i="12"/>
  <c r="I109" i="12"/>
  <c r="J108" i="12"/>
  <c r="I108" i="12"/>
  <c r="J107" i="12"/>
  <c r="J106" i="12"/>
  <c r="J105" i="12"/>
  <c r="J104" i="12"/>
  <c r="N102" i="12"/>
  <c r="L102" i="12"/>
  <c r="M102" i="12" s="1"/>
  <c r="L100" i="12"/>
  <c r="L99" i="12"/>
  <c r="N98" i="12"/>
  <c r="M98" i="12"/>
  <c r="O97" i="12"/>
  <c r="P95" i="12"/>
  <c r="O95" i="12"/>
  <c r="N95" i="12"/>
  <c r="M95" i="12"/>
  <c r="L95" i="12"/>
  <c r="J93" i="12"/>
  <c r="I93" i="12"/>
  <c r="J92" i="12"/>
  <c r="I92" i="12"/>
  <c r="J90" i="12"/>
  <c r="J89" i="12"/>
  <c r="J88" i="12"/>
  <c r="I88" i="12"/>
  <c r="K88" i="12" s="1"/>
  <c r="J87" i="12"/>
  <c r="I87" i="12"/>
  <c r="K87" i="12" s="1"/>
  <c r="J86" i="12"/>
  <c r="I86" i="12"/>
  <c r="K86" i="12" s="1"/>
  <c r="J85" i="12"/>
  <c r="I85" i="12"/>
  <c r="K85" i="12" s="1"/>
  <c r="J84" i="12"/>
  <c r="I84" i="12"/>
  <c r="K84" i="12" s="1"/>
  <c r="J83" i="12"/>
  <c r="I83" i="12"/>
  <c r="K83" i="12" s="1"/>
  <c r="J82" i="12"/>
  <c r="I82" i="12"/>
  <c r="K82" i="12" s="1"/>
  <c r="J81" i="12"/>
  <c r="I81" i="12"/>
  <c r="K81" i="12" s="1"/>
  <c r="J80" i="12"/>
  <c r="I80" i="12"/>
  <c r="K80" i="12" s="1"/>
  <c r="J79" i="12"/>
  <c r="J78" i="12"/>
  <c r="J77" i="12"/>
  <c r="J76" i="12"/>
  <c r="N74" i="12"/>
  <c r="L74" i="12"/>
  <c r="L72" i="12"/>
  <c r="L71" i="12"/>
  <c r="N70" i="12"/>
  <c r="M70" i="12"/>
  <c r="P70" i="12" s="1"/>
  <c r="O69" i="12"/>
  <c r="N67" i="12"/>
  <c r="M67" i="12"/>
  <c r="L67" i="12"/>
  <c r="O67" i="12" s="1"/>
  <c r="J65" i="12"/>
  <c r="I65" i="12"/>
  <c r="K65" i="12" s="1"/>
  <c r="J64" i="12"/>
  <c r="I64" i="12"/>
  <c r="K64" i="12" s="1"/>
  <c r="N61" i="12"/>
  <c r="L61" i="12"/>
  <c r="O61" i="12" s="1"/>
  <c r="L59" i="12"/>
  <c r="L58" i="12"/>
  <c r="N57" i="12"/>
  <c r="M57" i="12"/>
  <c r="M55" i="12" s="1"/>
  <c r="N54" i="12"/>
  <c r="M54" i="12"/>
  <c r="P54" i="12" s="1"/>
  <c r="L54" i="12"/>
  <c r="N49" i="12"/>
  <c r="L49" i="12"/>
  <c r="L47" i="12"/>
  <c r="L46" i="12"/>
  <c r="N45" i="12"/>
  <c r="M45" i="12"/>
  <c r="O42" i="12"/>
  <c r="N42" i="12"/>
  <c r="M42" i="12"/>
  <c r="L42" i="12"/>
  <c r="P36" i="12"/>
  <c r="O36" i="12"/>
  <c r="P35" i="12"/>
  <c r="O35" i="12"/>
  <c r="P34" i="12"/>
  <c r="M34" i="12"/>
  <c r="M33" i="12"/>
  <c r="M32" i="12"/>
  <c r="P32" i="12" s="1"/>
  <c r="P31" i="12"/>
  <c r="M31" i="12"/>
  <c r="M29" i="12" s="1"/>
  <c r="M30" i="12"/>
  <c r="P30" i="12" s="1"/>
  <c r="P25" i="12"/>
  <c r="O25" i="12"/>
  <c r="N25" i="12"/>
  <c r="M25" i="12"/>
  <c r="L25" i="12"/>
  <c r="N24" i="12"/>
  <c r="M24" i="12"/>
  <c r="N23" i="12"/>
  <c r="M23" i="12"/>
  <c r="P23" i="12" s="1"/>
  <c r="N21" i="12"/>
  <c r="M21" i="12"/>
  <c r="P21" i="12" s="1"/>
  <c r="L21" i="12"/>
  <c r="P19" i="12"/>
  <c r="M19" i="12"/>
  <c r="O15" i="12"/>
  <c r="N15" i="12"/>
  <c r="M15" i="12"/>
  <c r="P15" i="12" s="1"/>
  <c r="L15" i="12"/>
  <c r="J635" i="11"/>
  <c r="I635" i="11"/>
  <c r="J634" i="11"/>
  <c r="I634" i="11"/>
  <c r="J633" i="11"/>
  <c r="I633" i="11"/>
  <c r="J632" i="11"/>
  <c r="I632" i="11"/>
  <c r="J631" i="11"/>
  <c r="I631" i="11"/>
  <c r="J630" i="11"/>
  <c r="I630" i="11"/>
  <c r="J629" i="11"/>
  <c r="I629" i="11"/>
  <c r="J628" i="11"/>
  <c r="I628" i="11"/>
  <c r="J626" i="11"/>
  <c r="I626" i="11"/>
  <c r="J625" i="11"/>
  <c r="I625" i="11"/>
  <c r="J624" i="11"/>
  <c r="I624" i="11"/>
  <c r="J623" i="11"/>
  <c r="I623" i="11"/>
  <c r="J622" i="11"/>
  <c r="I622" i="11"/>
  <c r="J621" i="11"/>
  <c r="I621" i="11"/>
  <c r="J620" i="11"/>
  <c r="I620" i="11"/>
  <c r="K622" i="11" s="1"/>
  <c r="J619" i="11"/>
  <c r="I619" i="11"/>
  <c r="J618" i="11"/>
  <c r="I618" i="11"/>
  <c r="J617" i="11"/>
  <c r="I617" i="11"/>
  <c r="J616" i="11"/>
  <c r="I616" i="11"/>
  <c r="J615" i="11"/>
  <c r="I615" i="11"/>
  <c r="J614" i="11"/>
  <c r="I614" i="11"/>
  <c r="J613" i="11"/>
  <c r="I613" i="11"/>
  <c r="J612" i="11"/>
  <c r="I612" i="11"/>
  <c r="J611" i="11"/>
  <c r="I611" i="11"/>
  <c r="J610" i="11"/>
  <c r="J609" i="11"/>
  <c r="J608" i="11"/>
  <c r="J607" i="11"/>
  <c r="N605" i="11"/>
  <c r="N604" i="11"/>
  <c r="N603" i="11"/>
  <c r="N602" i="11"/>
  <c r="N601" i="11"/>
  <c r="L601" i="11"/>
  <c r="N600" i="11"/>
  <c r="L600" i="11"/>
  <c r="O600" i="11" s="1"/>
  <c r="N599" i="11"/>
  <c r="L599" i="11"/>
  <c r="N598" i="11"/>
  <c r="L598" i="11"/>
  <c r="O598" i="11" s="1"/>
  <c r="N597" i="11"/>
  <c r="L597" i="11"/>
  <c r="J597" i="11"/>
  <c r="I597" i="11"/>
  <c r="J596" i="11"/>
  <c r="I596" i="11"/>
  <c r="K596" i="11" s="1"/>
  <c r="J595" i="11"/>
  <c r="I595" i="11"/>
  <c r="J594" i="11"/>
  <c r="I594" i="11"/>
  <c r="K594" i="11" s="1"/>
  <c r="J593" i="11"/>
  <c r="I593" i="11"/>
  <c r="J592" i="11"/>
  <c r="I592" i="11"/>
  <c r="K592" i="11" s="1"/>
  <c r="J591" i="11"/>
  <c r="I591" i="11"/>
  <c r="J590" i="11"/>
  <c r="I590" i="11"/>
  <c r="K590" i="11" s="1"/>
  <c r="J589" i="11"/>
  <c r="I589" i="11"/>
  <c r="N588" i="11"/>
  <c r="N587" i="11"/>
  <c r="N586" i="11"/>
  <c r="N585" i="11"/>
  <c r="N584" i="11"/>
  <c r="L584" i="11"/>
  <c r="N583" i="11"/>
  <c r="L583" i="11"/>
  <c r="O583" i="11" s="1"/>
  <c r="N582" i="11"/>
  <c r="L582" i="11"/>
  <c r="N581" i="11"/>
  <c r="L581" i="11"/>
  <c r="O581" i="11" s="1"/>
  <c r="N580" i="11"/>
  <c r="L580" i="11"/>
  <c r="J580" i="11"/>
  <c r="I580" i="11"/>
  <c r="J579" i="11"/>
  <c r="I579" i="11"/>
  <c r="K579" i="11" s="1"/>
  <c r="J578" i="11"/>
  <c r="I578" i="11"/>
  <c r="K578" i="11" s="1"/>
  <c r="J577" i="11"/>
  <c r="I577" i="11"/>
  <c r="K577" i="11" s="1"/>
  <c r="J576" i="11"/>
  <c r="I576" i="11"/>
  <c r="K576" i="11" s="1"/>
  <c r="J575" i="11"/>
  <c r="I575" i="11"/>
  <c r="K575" i="11" s="1"/>
  <c r="J573" i="11"/>
  <c r="I573" i="11"/>
  <c r="N572" i="11"/>
  <c r="N571" i="11"/>
  <c r="N570" i="11"/>
  <c r="N569" i="11"/>
  <c r="N568" i="11"/>
  <c r="L568" i="11"/>
  <c r="N567" i="11"/>
  <c r="L567" i="11"/>
  <c r="O567" i="11" s="1"/>
  <c r="N566" i="11"/>
  <c r="L566" i="11"/>
  <c r="N565" i="11"/>
  <c r="L565" i="11"/>
  <c r="O565" i="11" s="1"/>
  <c r="N564" i="11"/>
  <c r="L564" i="11"/>
  <c r="J564" i="11"/>
  <c r="I564" i="11"/>
  <c r="J563" i="11"/>
  <c r="J562" i="11"/>
  <c r="J561" i="11"/>
  <c r="I561" i="11"/>
  <c r="K561" i="11" s="1"/>
  <c r="J560" i="11"/>
  <c r="I560" i="11"/>
  <c r="K560" i="11" s="1"/>
  <c r="N559" i="11"/>
  <c r="N558" i="11"/>
  <c r="N557" i="11"/>
  <c r="N556" i="11"/>
  <c r="N555" i="11"/>
  <c r="L555" i="11"/>
  <c r="O555" i="11" s="1"/>
  <c r="N554" i="11"/>
  <c r="L554" i="11"/>
  <c r="O554" i="11" s="1"/>
  <c r="N553" i="11"/>
  <c r="L553" i="11"/>
  <c r="O553" i="11" s="1"/>
  <c r="N552" i="11"/>
  <c r="L552" i="11"/>
  <c r="O552" i="11" s="1"/>
  <c r="N551" i="11"/>
  <c r="L551" i="11"/>
  <c r="O551" i="11" s="1"/>
  <c r="J551" i="11"/>
  <c r="I551" i="11"/>
  <c r="K551" i="11" s="1"/>
  <c r="J550" i="11"/>
  <c r="J549" i="11"/>
  <c r="J548" i="11"/>
  <c r="I548" i="11"/>
  <c r="K548" i="11" s="1"/>
  <c r="J547" i="11"/>
  <c r="I547" i="11"/>
  <c r="J546" i="11"/>
  <c r="J545" i="11"/>
  <c r="J544" i="11"/>
  <c r="J543" i="11"/>
  <c r="N541" i="11"/>
  <c r="N540" i="11"/>
  <c r="N539" i="11"/>
  <c r="N538" i="11"/>
  <c r="N537" i="11"/>
  <c r="L537" i="11"/>
  <c r="N536" i="11"/>
  <c r="L536" i="11"/>
  <c r="O536" i="11" s="1"/>
  <c r="N535" i="11"/>
  <c r="L535" i="11"/>
  <c r="N534" i="11"/>
  <c r="L534" i="11"/>
  <c r="O534" i="11" s="1"/>
  <c r="N533" i="11"/>
  <c r="L533" i="11"/>
  <c r="J533" i="11"/>
  <c r="I533" i="11"/>
  <c r="J532" i="11"/>
  <c r="I532" i="11"/>
  <c r="J531" i="11"/>
  <c r="I531" i="11"/>
  <c r="J530" i="11"/>
  <c r="I530" i="11"/>
  <c r="J529" i="11"/>
  <c r="I529" i="11"/>
  <c r="J528" i="11"/>
  <c r="I528" i="11"/>
  <c r="J527" i="11"/>
  <c r="I527" i="11"/>
  <c r="J526" i="11"/>
  <c r="I526" i="11"/>
  <c r="J525" i="11"/>
  <c r="I525" i="11"/>
  <c r="J524" i="11"/>
  <c r="I524" i="11"/>
  <c r="J523" i="11"/>
  <c r="I523" i="11"/>
  <c r="J522" i="11"/>
  <c r="I522" i="11"/>
  <c r="J521" i="11"/>
  <c r="I521" i="11"/>
  <c r="J520" i="11"/>
  <c r="I520" i="11"/>
  <c r="J519" i="11"/>
  <c r="I519" i="11"/>
  <c r="J518" i="11"/>
  <c r="I518" i="11"/>
  <c r="J517" i="11"/>
  <c r="I517" i="11"/>
  <c r="J516" i="11"/>
  <c r="I516" i="11"/>
  <c r="J515" i="11"/>
  <c r="I515" i="11"/>
  <c r="K515" i="11" s="1"/>
  <c r="J514" i="11"/>
  <c r="I514" i="11"/>
  <c r="K514" i="11" s="1"/>
  <c r="J513" i="11"/>
  <c r="I513" i="11"/>
  <c r="K513" i="11" s="1"/>
  <c r="J512" i="11"/>
  <c r="I512" i="11"/>
  <c r="K512" i="11" s="1"/>
  <c r="J511" i="11"/>
  <c r="I511" i="11"/>
  <c r="K511" i="11" s="1"/>
  <c r="J510" i="11"/>
  <c r="I510" i="11"/>
  <c r="K510" i="11" s="1"/>
  <c r="J509" i="11"/>
  <c r="I509" i="11"/>
  <c r="K509" i="11" s="1"/>
  <c r="J508" i="11"/>
  <c r="I508" i="11"/>
  <c r="K508" i="11" s="1"/>
  <c r="J507" i="11"/>
  <c r="I507" i="11"/>
  <c r="K507" i="11" s="1"/>
  <c r="J506" i="11"/>
  <c r="I506" i="11"/>
  <c r="K506" i="11" s="1"/>
  <c r="J505" i="11"/>
  <c r="I505" i="11"/>
  <c r="K505" i="11" s="1"/>
  <c r="J504" i="11"/>
  <c r="I504" i="11"/>
  <c r="K504" i="11" s="1"/>
  <c r="J503" i="11"/>
  <c r="I503" i="11"/>
  <c r="K503" i="11" s="1"/>
  <c r="J502" i="11"/>
  <c r="I502" i="11"/>
  <c r="K502" i="11" s="1"/>
  <c r="J501" i="11"/>
  <c r="I501" i="11"/>
  <c r="K501" i="11" s="1"/>
  <c r="J500" i="11"/>
  <c r="I500" i="11"/>
  <c r="K500" i="11" s="1"/>
  <c r="J499" i="11"/>
  <c r="I499" i="11"/>
  <c r="J498" i="11"/>
  <c r="I498" i="11"/>
  <c r="J497" i="11"/>
  <c r="I497" i="11"/>
  <c r="J496" i="11"/>
  <c r="I496" i="11"/>
  <c r="K496" i="11" s="1"/>
  <c r="J495" i="11"/>
  <c r="I495" i="11"/>
  <c r="K495" i="11" s="1"/>
  <c r="J494" i="11"/>
  <c r="I494" i="11"/>
  <c r="K494" i="11" s="1"/>
  <c r="J493" i="11"/>
  <c r="I493" i="11"/>
  <c r="K493" i="11" s="1"/>
  <c r="J492" i="11"/>
  <c r="I492" i="11"/>
  <c r="K492" i="11" s="1"/>
  <c r="J491" i="11"/>
  <c r="I491" i="11"/>
  <c r="K491" i="11" s="1"/>
  <c r="J490" i="11"/>
  <c r="I490" i="11"/>
  <c r="K490" i="11" s="1"/>
  <c r="J489" i="11"/>
  <c r="I489" i="11"/>
  <c r="K489" i="11" s="1"/>
  <c r="J488" i="11"/>
  <c r="I488" i="11"/>
  <c r="K488" i="11" s="1"/>
  <c r="J487" i="11"/>
  <c r="I487" i="11"/>
  <c r="K487" i="11" s="1"/>
  <c r="J486" i="11"/>
  <c r="I486" i="11"/>
  <c r="K486" i="11" s="1"/>
  <c r="J485" i="11"/>
  <c r="I485" i="11"/>
  <c r="K485" i="11" s="1"/>
  <c r="J484" i="11"/>
  <c r="I484" i="11"/>
  <c r="K484" i="11" s="1"/>
  <c r="J483" i="11"/>
  <c r="I483" i="11"/>
  <c r="K483" i="11" s="1"/>
  <c r="J482" i="11"/>
  <c r="I482" i="11"/>
  <c r="J481" i="11"/>
  <c r="I481" i="11"/>
  <c r="J480" i="11"/>
  <c r="I480" i="11"/>
  <c r="K480" i="11" s="1"/>
  <c r="J479" i="11"/>
  <c r="I479" i="11"/>
  <c r="K479" i="11" s="1"/>
  <c r="J478" i="11"/>
  <c r="I478" i="11"/>
  <c r="K478" i="11" s="1"/>
  <c r="J477" i="11"/>
  <c r="I477" i="11"/>
  <c r="K477" i="11" s="1"/>
  <c r="J476" i="11"/>
  <c r="I476" i="11"/>
  <c r="K476" i="11" s="1"/>
  <c r="J475" i="11"/>
  <c r="I475" i="11"/>
  <c r="K475" i="11" s="1"/>
  <c r="J474" i="11"/>
  <c r="I474" i="11"/>
  <c r="J473" i="11"/>
  <c r="I473" i="11"/>
  <c r="J472" i="11"/>
  <c r="I472" i="11"/>
  <c r="K472" i="11" s="1"/>
  <c r="J471" i="11"/>
  <c r="I471" i="11"/>
  <c r="K471" i="11" s="1"/>
  <c r="J470" i="11"/>
  <c r="I470" i="11"/>
  <c r="K470" i="11" s="1"/>
  <c r="J469" i="11"/>
  <c r="I469" i="11"/>
  <c r="K469" i="11" s="1"/>
  <c r="J468" i="11"/>
  <c r="I468" i="11"/>
  <c r="K468" i="11" s="1"/>
  <c r="J467" i="11"/>
  <c r="I467" i="11"/>
  <c r="K467" i="11" s="1"/>
  <c r="J466" i="11"/>
  <c r="I466" i="11"/>
  <c r="J465" i="11"/>
  <c r="I465" i="11"/>
  <c r="J464" i="11"/>
  <c r="I464" i="11"/>
  <c r="N463" i="11"/>
  <c r="N462" i="11"/>
  <c r="N461" i="11"/>
  <c r="N460" i="11"/>
  <c r="N459" i="11"/>
  <c r="L459" i="11"/>
  <c r="N458" i="11"/>
  <c r="L458" i="11"/>
  <c r="N457" i="11"/>
  <c r="L457" i="11"/>
  <c r="N456" i="11"/>
  <c r="L456" i="11"/>
  <c r="O456" i="11" s="1"/>
  <c r="N455" i="11"/>
  <c r="L455" i="11"/>
  <c r="J455" i="11"/>
  <c r="I455" i="11"/>
  <c r="J454" i="11"/>
  <c r="J453" i="11"/>
  <c r="J452" i="11"/>
  <c r="I452" i="11"/>
  <c r="K452" i="11" s="1"/>
  <c r="J451" i="11"/>
  <c r="I451" i="11"/>
  <c r="K451" i="11" s="1"/>
  <c r="J450" i="11"/>
  <c r="I450" i="11"/>
  <c r="J449" i="11"/>
  <c r="I449" i="11"/>
  <c r="J448" i="11"/>
  <c r="J447" i="11"/>
  <c r="J446" i="11"/>
  <c r="J445" i="11"/>
  <c r="N443" i="11"/>
  <c r="N442" i="11"/>
  <c r="N441" i="11"/>
  <c r="N440" i="11"/>
  <c r="N439" i="11"/>
  <c r="L439" i="11"/>
  <c r="N438" i="11"/>
  <c r="L438" i="11"/>
  <c r="O438" i="11" s="1"/>
  <c r="N437" i="11"/>
  <c r="L437" i="11"/>
  <c r="N436" i="11"/>
  <c r="L436" i="11"/>
  <c r="O436" i="11" s="1"/>
  <c r="N435" i="11"/>
  <c r="L435" i="11"/>
  <c r="J435" i="11"/>
  <c r="I435" i="11"/>
  <c r="J434" i="11"/>
  <c r="J433" i="11"/>
  <c r="J432" i="11"/>
  <c r="I432" i="11"/>
  <c r="J431" i="11"/>
  <c r="I431" i="11"/>
  <c r="J430" i="11"/>
  <c r="I430" i="11"/>
  <c r="J429" i="11"/>
  <c r="I429" i="11"/>
  <c r="J428" i="11"/>
  <c r="I428" i="11"/>
  <c r="J427" i="11"/>
  <c r="I427" i="11"/>
  <c r="J426" i="11"/>
  <c r="I426" i="11"/>
  <c r="J425" i="11"/>
  <c r="I425" i="11"/>
  <c r="J424" i="11"/>
  <c r="I424" i="11"/>
  <c r="J423" i="11"/>
  <c r="I423" i="11"/>
  <c r="J422" i="11"/>
  <c r="I422" i="11"/>
  <c r="J421" i="11"/>
  <c r="I421" i="11"/>
  <c r="J420" i="11"/>
  <c r="I420" i="11"/>
  <c r="J419" i="11"/>
  <c r="I419" i="11"/>
  <c r="J418" i="11"/>
  <c r="I418" i="11"/>
  <c r="J417" i="11"/>
  <c r="I417" i="11"/>
  <c r="J416" i="11"/>
  <c r="I416" i="11"/>
  <c r="J415" i="11"/>
  <c r="J414" i="11"/>
  <c r="J413" i="11"/>
  <c r="J412" i="11"/>
  <c r="N410" i="11"/>
  <c r="N409" i="11"/>
  <c r="N408" i="11"/>
  <c r="N407" i="11"/>
  <c r="N406" i="11"/>
  <c r="L406" i="11"/>
  <c r="N405" i="11"/>
  <c r="L405" i="11"/>
  <c r="O405" i="11" s="1"/>
  <c r="N404" i="11"/>
  <c r="L404" i="11"/>
  <c r="N403" i="11"/>
  <c r="L403" i="11"/>
  <c r="O403" i="11" s="1"/>
  <c r="J402" i="11"/>
  <c r="I402" i="11"/>
  <c r="N401" i="11"/>
  <c r="L401" i="11"/>
  <c r="J401" i="11"/>
  <c r="I401" i="11"/>
  <c r="J400" i="11"/>
  <c r="J399" i="11"/>
  <c r="J398" i="11"/>
  <c r="I398" i="11"/>
  <c r="J397" i="11"/>
  <c r="I397" i="11"/>
  <c r="J396" i="11"/>
  <c r="I396" i="11"/>
  <c r="J394" i="11"/>
  <c r="J393" i="11"/>
  <c r="J392" i="11"/>
  <c r="J391" i="11"/>
  <c r="N389" i="11"/>
  <c r="N388" i="11"/>
  <c r="N387" i="11"/>
  <c r="N386" i="11"/>
  <c r="N385" i="11"/>
  <c r="L385" i="11"/>
  <c r="N384" i="11"/>
  <c r="L384" i="11"/>
  <c r="O384" i="11" s="1"/>
  <c r="N383" i="11"/>
  <c r="L383" i="11"/>
  <c r="N382" i="11"/>
  <c r="L382" i="11"/>
  <c r="O382" i="11" s="1"/>
  <c r="J381" i="11"/>
  <c r="I381" i="11"/>
  <c r="N380" i="11"/>
  <c r="L380" i="11"/>
  <c r="J380" i="11"/>
  <c r="I380" i="11"/>
  <c r="J379" i="11"/>
  <c r="J378" i="11"/>
  <c r="J377" i="11"/>
  <c r="I377" i="11"/>
  <c r="J376" i="11"/>
  <c r="I376" i="11"/>
  <c r="J375" i="11"/>
  <c r="I375" i="11"/>
  <c r="J374" i="11"/>
  <c r="I374" i="11"/>
  <c r="J373" i="11"/>
  <c r="I373" i="11"/>
  <c r="K373" i="11" s="1"/>
  <c r="J372" i="11"/>
  <c r="I372" i="11"/>
  <c r="J371" i="11"/>
  <c r="I371" i="11"/>
  <c r="K371" i="11" s="1"/>
  <c r="J370" i="11"/>
  <c r="I370" i="11"/>
  <c r="J369" i="11"/>
  <c r="I369" i="11"/>
  <c r="K369" i="11" s="1"/>
  <c r="J368" i="11"/>
  <c r="I368" i="11"/>
  <c r="J367" i="11"/>
  <c r="J366" i="11"/>
  <c r="J365" i="11"/>
  <c r="I365" i="11"/>
  <c r="K365" i="11" s="1"/>
  <c r="J364" i="11"/>
  <c r="J363" i="11"/>
  <c r="J362" i="11"/>
  <c r="J361" i="11"/>
  <c r="J360" i="11"/>
  <c r="N358" i="11"/>
  <c r="N357" i="11"/>
  <c r="N356" i="11"/>
  <c r="N355" i="11"/>
  <c r="N354" i="11"/>
  <c r="L354" i="11"/>
  <c r="N353" i="11"/>
  <c r="L353" i="11"/>
  <c r="O353" i="11" s="1"/>
  <c r="N352" i="11"/>
  <c r="L352" i="11"/>
  <c r="N351" i="11"/>
  <c r="L351" i="11"/>
  <c r="J350" i="11"/>
  <c r="I350" i="11"/>
  <c r="N349" i="11"/>
  <c r="L349" i="11"/>
  <c r="J349" i="11"/>
  <c r="I349" i="11"/>
  <c r="N347" i="11"/>
  <c r="L347" i="11"/>
  <c r="J346" i="11"/>
  <c r="I346" i="11"/>
  <c r="K346" i="11" s="1"/>
  <c r="J345" i="11"/>
  <c r="I345" i="11"/>
  <c r="J344" i="11"/>
  <c r="I344" i="11"/>
  <c r="K344" i="11" s="1"/>
  <c r="J343" i="11"/>
  <c r="I343" i="11"/>
  <c r="J342" i="11"/>
  <c r="I342" i="11"/>
  <c r="K342" i="11" s="1"/>
  <c r="J341" i="11"/>
  <c r="I341" i="11"/>
  <c r="J340" i="11"/>
  <c r="I340" i="11"/>
  <c r="J339" i="11"/>
  <c r="I339" i="11"/>
  <c r="K339" i="11" s="1"/>
  <c r="N337" i="11"/>
  <c r="L337" i="11"/>
  <c r="L335" i="11"/>
  <c r="L334" i="11"/>
  <c r="N333" i="11"/>
  <c r="M333" i="11"/>
  <c r="O332" i="11"/>
  <c r="P330" i="11"/>
  <c r="O330" i="11"/>
  <c r="N330" i="11"/>
  <c r="M330" i="11"/>
  <c r="L330" i="11"/>
  <c r="J328" i="11"/>
  <c r="I328" i="11"/>
  <c r="J326" i="11"/>
  <c r="J325" i="11"/>
  <c r="J324" i="11"/>
  <c r="I324" i="11"/>
  <c r="K324" i="11" s="1"/>
  <c r="J323" i="11"/>
  <c r="J322" i="11"/>
  <c r="J321" i="11"/>
  <c r="J320" i="11"/>
  <c r="N318" i="11"/>
  <c r="L318" i="11"/>
  <c r="O318" i="11" s="1"/>
  <c r="L316" i="11"/>
  <c r="L315" i="11"/>
  <c r="N314" i="11"/>
  <c r="M314" i="11"/>
  <c r="O313" i="11"/>
  <c r="P311" i="11"/>
  <c r="N311" i="11"/>
  <c r="M311" i="11"/>
  <c r="L311" i="11"/>
  <c r="O311" i="11" s="1"/>
  <c r="J309" i="11"/>
  <c r="I309" i="11"/>
  <c r="K309" i="11" s="1"/>
  <c r="J308" i="11"/>
  <c r="J307" i="11"/>
  <c r="J306" i="11"/>
  <c r="I306" i="11"/>
  <c r="K306" i="11" s="1"/>
  <c r="J304" i="11"/>
  <c r="I304" i="11"/>
  <c r="K304" i="11" s="1"/>
  <c r="J303" i="11"/>
  <c r="J302" i="11"/>
  <c r="J301" i="11"/>
  <c r="J300" i="11"/>
  <c r="N298" i="11"/>
  <c r="L298" i="11"/>
  <c r="O298" i="11" s="1"/>
  <c r="L296" i="11"/>
  <c r="L295" i="11"/>
  <c r="N294" i="11"/>
  <c r="M294" i="11"/>
  <c r="P294" i="11" s="1"/>
  <c r="O293" i="11"/>
  <c r="O291" i="11"/>
  <c r="N291" i="11"/>
  <c r="M291" i="11"/>
  <c r="P291" i="11" s="1"/>
  <c r="L291" i="11"/>
  <c r="J289" i="11"/>
  <c r="I289" i="11"/>
  <c r="K289" i="11" s="1"/>
  <c r="J287" i="11"/>
  <c r="J286" i="11"/>
  <c r="J285" i="11"/>
  <c r="I285" i="11"/>
  <c r="J284" i="11"/>
  <c r="J283" i="11"/>
  <c r="J282" i="11"/>
  <c r="J281" i="11"/>
  <c r="N279" i="11"/>
  <c r="L279" i="11"/>
  <c r="O279" i="11" s="1"/>
  <c r="L277" i="11"/>
  <c r="L276" i="11"/>
  <c r="N275" i="11"/>
  <c r="M275" i="11"/>
  <c r="M273" i="11" s="1"/>
  <c r="O274" i="11"/>
  <c r="N272" i="11"/>
  <c r="M272" i="11"/>
  <c r="L272" i="11"/>
  <c r="O272" i="11" s="1"/>
  <c r="J270" i="11"/>
  <c r="I270" i="11"/>
  <c r="J269" i="11"/>
  <c r="J268" i="11"/>
  <c r="J267" i="11"/>
  <c r="I267" i="11"/>
  <c r="J266" i="11"/>
  <c r="I266" i="11"/>
  <c r="J265" i="11"/>
  <c r="I265" i="11"/>
  <c r="J264" i="11"/>
  <c r="I264" i="11"/>
  <c r="J263" i="11"/>
  <c r="J262" i="11"/>
  <c r="J261" i="11"/>
  <c r="J260" i="11"/>
  <c r="N258" i="11"/>
  <c r="L258" i="11"/>
  <c r="O258" i="11" s="1"/>
  <c r="L256" i="11"/>
  <c r="L255" i="11"/>
  <c r="N254" i="11"/>
  <c r="M254" i="11"/>
  <c r="M252" i="11" s="1"/>
  <c r="O253" i="11"/>
  <c r="N251" i="11"/>
  <c r="M251" i="11"/>
  <c r="P251" i="11" s="1"/>
  <c r="L251" i="11"/>
  <c r="J249" i="11"/>
  <c r="I249" i="11"/>
  <c r="J246" i="11"/>
  <c r="J245" i="11"/>
  <c r="J244" i="11"/>
  <c r="I244" i="11"/>
  <c r="K244" i="11" s="1"/>
  <c r="J243" i="11"/>
  <c r="J242" i="11"/>
  <c r="J241" i="11"/>
  <c r="J240" i="11"/>
  <c r="J238" i="11"/>
  <c r="I238" i="11"/>
  <c r="K238" i="11" s="1"/>
  <c r="J237" i="11"/>
  <c r="J236" i="11"/>
  <c r="J235" i="11"/>
  <c r="I235" i="11"/>
  <c r="J234" i="11"/>
  <c r="J233" i="11"/>
  <c r="J232" i="11"/>
  <c r="J231" i="11"/>
  <c r="J229" i="11"/>
  <c r="I229" i="11"/>
  <c r="N228" i="11"/>
  <c r="L228" i="11"/>
  <c r="O228" i="11" s="1"/>
  <c r="L226" i="11"/>
  <c r="L225" i="11"/>
  <c r="N224" i="11"/>
  <c r="M224" i="11"/>
  <c r="O223" i="11"/>
  <c r="P221" i="11"/>
  <c r="O221" i="11"/>
  <c r="N221" i="11"/>
  <c r="M221" i="11"/>
  <c r="L221" i="11"/>
  <c r="J219" i="11"/>
  <c r="I219" i="11"/>
  <c r="J218" i="11"/>
  <c r="J217" i="11"/>
  <c r="J216" i="11"/>
  <c r="I216" i="11"/>
  <c r="K216" i="11" s="1"/>
  <c r="J215" i="11"/>
  <c r="I215" i="11"/>
  <c r="K215" i="11" s="1"/>
  <c r="J213" i="11"/>
  <c r="I213" i="11"/>
  <c r="K213" i="11" s="1"/>
  <c r="J212" i="11"/>
  <c r="J211" i="11"/>
  <c r="J210" i="11"/>
  <c r="J209" i="11"/>
  <c r="J204" i="11"/>
  <c r="I204" i="11"/>
  <c r="K204" i="11" s="1"/>
  <c r="J203" i="11"/>
  <c r="J202" i="11"/>
  <c r="J201" i="11"/>
  <c r="I201" i="11"/>
  <c r="J200" i="11"/>
  <c r="I200" i="11"/>
  <c r="J199" i="11"/>
  <c r="I199" i="11"/>
  <c r="J197" i="11"/>
  <c r="J196" i="11"/>
  <c r="J195" i="11"/>
  <c r="J194" i="11"/>
  <c r="J189" i="11"/>
  <c r="I189" i="11"/>
  <c r="J188" i="11"/>
  <c r="J187" i="11"/>
  <c r="J186" i="11"/>
  <c r="I186" i="11"/>
  <c r="J185" i="11"/>
  <c r="I185" i="11"/>
  <c r="J184" i="11"/>
  <c r="J183" i="11"/>
  <c r="J182" i="11"/>
  <c r="J181" i="11"/>
  <c r="J176" i="11"/>
  <c r="I176" i="11"/>
  <c r="J175" i="11"/>
  <c r="J174" i="11"/>
  <c r="J173" i="11"/>
  <c r="I173" i="11"/>
  <c r="J172" i="11"/>
  <c r="J171" i="11"/>
  <c r="J170" i="11"/>
  <c r="J169" i="11"/>
  <c r="J164" i="11"/>
  <c r="I164" i="11"/>
  <c r="J163" i="11"/>
  <c r="J162" i="11"/>
  <c r="J161" i="11"/>
  <c r="J160" i="11"/>
  <c r="J159" i="11"/>
  <c r="J158" i="11"/>
  <c r="I158" i="11"/>
  <c r="J157" i="11"/>
  <c r="J156" i="11"/>
  <c r="J155" i="11"/>
  <c r="J154" i="11"/>
  <c r="J149" i="11"/>
  <c r="I149" i="11"/>
  <c r="N148" i="11"/>
  <c r="L148" i="11"/>
  <c r="O148" i="11" s="1"/>
  <c r="L146" i="11"/>
  <c r="L145" i="11"/>
  <c r="N144" i="11"/>
  <c r="M144" i="11"/>
  <c r="M142" i="11" s="1"/>
  <c r="O143" i="11"/>
  <c r="N141" i="11"/>
  <c r="M141" i="11"/>
  <c r="P141" i="11" s="1"/>
  <c r="L141" i="11"/>
  <c r="J138" i="11"/>
  <c r="I138" i="11"/>
  <c r="J135" i="11"/>
  <c r="J134" i="11"/>
  <c r="J133" i="11"/>
  <c r="I133" i="11"/>
  <c r="J132" i="11"/>
  <c r="I132" i="11"/>
  <c r="J131" i="11"/>
  <c r="J130" i="11"/>
  <c r="J129" i="11"/>
  <c r="J128" i="11"/>
  <c r="N126" i="11"/>
  <c r="L126" i="11"/>
  <c r="O126" i="11" s="1"/>
  <c r="L124" i="11"/>
  <c r="L123" i="11"/>
  <c r="N122" i="11"/>
  <c r="M122" i="11"/>
  <c r="M120" i="11" s="1"/>
  <c r="O121" i="11"/>
  <c r="O119" i="11"/>
  <c r="N119" i="11"/>
  <c r="M119" i="11"/>
  <c r="L119" i="11"/>
  <c r="J117" i="11"/>
  <c r="I117" i="11"/>
  <c r="J115" i="11"/>
  <c r="J114" i="11"/>
  <c r="J113" i="11"/>
  <c r="I113" i="11"/>
  <c r="K113" i="11" s="1"/>
  <c r="J112" i="11"/>
  <c r="I112" i="11"/>
  <c r="K112" i="11" s="1"/>
  <c r="J111" i="11"/>
  <c r="I111" i="11"/>
  <c r="K111" i="11" s="1"/>
  <c r="J110" i="11"/>
  <c r="I110" i="11"/>
  <c r="K110" i="11" s="1"/>
  <c r="J109" i="11"/>
  <c r="I109" i="11"/>
  <c r="K109" i="11" s="1"/>
  <c r="J108" i="11"/>
  <c r="I108" i="11"/>
  <c r="K108" i="11" s="1"/>
  <c r="J107" i="11"/>
  <c r="J106" i="11"/>
  <c r="J105" i="11"/>
  <c r="J104" i="11"/>
  <c r="N102" i="11"/>
  <c r="L102" i="11"/>
  <c r="O102" i="11" s="1"/>
  <c r="L100" i="11"/>
  <c r="L99" i="11"/>
  <c r="N98" i="11"/>
  <c r="M98" i="11"/>
  <c r="P98" i="11" s="1"/>
  <c r="O97" i="11"/>
  <c r="P95" i="11"/>
  <c r="N95" i="11"/>
  <c r="M95" i="11"/>
  <c r="L95" i="11"/>
  <c r="J93" i="11"/>
  <c r="I93" i="11"/>
  <c r="K93" i="11" s="1"/>
  <c r="J92" i="11"/>
  <c r="I92" i="11"/>
  <c r="K92" i="11" s="1"/>
  <c r="J90" i="11"/>
  <c r="J89" i="11"/>
  <c r="J88" i="11"/>
  <c r="I88" i="11"/>
  <c r="K88" i="11" s="1"/>
  <c r="J87" i="11"/>
  <c r="I87" i="11"/>
  <c r="K87" i="11" s="1"/>
  <c r="J86" i="11"/>
  <c r="I86" i="11"/>
  <c r="K86" i="11" s="1"/>
  <c r="J85" i="11"/>
  <c r="I85" i="11"/>
  <c r="J84" i="11"/>
  <c r="I84" i="11"/>
  <c r="J83" i="11"/>
  <c r="I83" i="11"/>
  <c r="K83" i="11" s="1"/>
  <c r="J82" i="11"/>
  <c r="I82" i="11"/>
  <c r="K82" i="11" s="1"/>
  <c r="J81" i="11"/>
  <c r="I81" i="11"/>
  <c r="J80" i="11"/>
  <c r="I80" i="11"/>
  <c r="J79" i="11"/>
  <c r="J78" i="11"/>
  <c r="J77" i="11"/>
  <c r="J76" i="11"/>
  <c r="N74" i="11"/>
  <c r="L74" i="11"/>
  <c r="O74" i="11" s="1"/>
  <c r="L72" i="11"/>
  <c r="L71" i="11"/>
  <c r="N70" i="11"/>
  <c r="M70" i="11"/>
  <c r="O69" i="11"/>
  <c r="N67" i="11"/>
  <c r="M67" i="11"/>
  <c r="L67" i="11"/>
  <c r="O67" i="11" s="1"/>
  <c r="J65" i="11"/>
  <c r="I65" i="11"/>
  <c r="J64" i="11"/>
  <c r="I64" i="11"/>
  <c r="N61" i="11"/>
  <c r="L61" i="11"/>
  <c r="L59" i="11"/>
  <c r="L58" i="11"/>
  <c r="N57" i="11"/>
  <c r="M57" i="11"/>
  <c r="M55" i="11" s="1"/>
  <c r="P54" i="11"/>
  <c r="N54" i="11"/>
  <c r="M54" i="11"/>
  <c r="L54" i="11"/>
  <c r="N49" i="11"/>
  <c r="L49" i="11"/>
  <c r="L47" i="11"/>
  <c r="L46" i="11"/>
  <c r="N45" i="11"/>
  <c r="M45" i="11"/>
  <c r="N42" i="11"/>
  <c r="M42" i="11"/>
  <c r="L42" i="11"/>
  <c r="P36" i="11"/>
  <c r="O36" i="11"/>
  <c r="P35" i="11"/>
  <c r="O35" i="11"/>
  <c r="P34" i="11"/>
  <c r="M34" i="11"/>
  <c r="M33" i="11"/>
  <c r="P32" i="11"/>
  <c r="M32" i="11"/>
  <c r="P31" i="11"/>
  <c r="M31" i="11"/>
  <c r="M29" i="11" s="1"/>
  <c r="M30" i="11"/>
  <c r="P30" i="11" s="1"/>
  <c r="P29" i="11"/>
  <c r="M28" i="11"/>
  <c r="P28" i="11" s="1"/>
  <c r="P25" i="11"/>
  <c r="O25" i="11"/>
  <c r="N25" i="11"/>
  <c r="M25" i="11"/>
  <c r="L25" i="11"/>
  <c r="N24" i="11"/>
  <c r="M24" i="11"/>
  <c r="P23" i="11"/>
  <c r="N23" i="11"/>
  <c r="M23" i="11"/>
  <c r="N21" i="11"/>
  <c r="M21" i="11"/>
  <c r="P21" i="11" s="1"/>
  <c r="L21" i="11"/>
  <c r="P19" i="11"/>
  <c r="M19" i="11"/>
  <c r="N15" i="11"/>
  <c r="M15" i="11"/>
  <c r="P15" i="11" s="1"/>
  <c r="L15" i="11"/>
  <c r="O15" i="11" s="1"/>
  <c r="J635" i="10"/>
  <c r="I635" i="10"/>
  <c r="J634" i="10"/>
  <c r="I634" i="10"/>
  <c r="J633" i="10"/>
  <c r="I633" i="10"/>
  <c r="K633" i="10" s="1"/>
  <c r="J632" i="10"/>
  <c r="I632" i="10"/>
  <c r="K632" i="10" s="1"/>
  <c r="J631" i="10"/>
  <c r="I631" i="10"/>
  <c r="J630" i="10"/>
  <c r="I630" i="10"/>
  <c r="J629" i="10"/>
  <c r="I629" i="10"/>
  <c r="J628" i="10"/>
  <c r="I628" i="10"/>
  <c r="J626" i="10"/>
  <c r="I626" i="10"/>
  <c r="J625" i="10"/>
  <c r="I625" i="10"/>
  <c r="J624" i="10"/>
  <c r="I624" i="10"/>
  <c r="J623" i="10"/>
  <c r="I623" i="10"/>
  <c r="J622" i="10"/>
  <c r="I622" i="10"/>
  <c r="J621" i="10"/>
  <c r="I621" i="10"/>
  <c r="J620" i="10"/>
  <c r="I620" i="10"/>
  <c r="J619" i="10"/>
  <c r="I619" i="10"/>
  <c r="J618" i="10"/>
  <c r="I618" i="10"/>
  <c r="J617" i="10"/>
  <c r="I617" i="10"/>
  <c r="J616" i="10"/>
  <c r="I616" i="10"/>
  <c r="J615" i="10"/>
  <c r="I615" i="10"/>
  <c r="J614" i="10"/>
  <c r="I614" i="10"/>
  <c r="J613" i="10"/>
  <c r="I613" i="10"/>
  <c r="J612" i="10"/>
  <c r="I612" i="10"/>
  <c r="J611" i="10"/>
  <c r="I611" i="10"/>
  <c r="J610" i="10"/>
  <c r="J609" i="10"/>
  <c r="J608" i="10"/>
  <c r="J607" i="10"/>
  <c r="N605" i="10"/>
  <c r="N604" i="10"/>
  <c r="N603" i="10"/>
  <c r="N602" i="10"/>
  <c r="N601" i="10"/>
  <c r="L601" i="10"/>
  <c r="N600" i="10"/>
  <c r="L600" i="10"/>
  <c r="O600" i="10" s="1"/>
  <c r="N599" i="10"/>
  <c r="L599" i="10"/>
  <c r="N598" i="10"/>
  <c r="L598" i="10"/>
  <c r="O598" i="10" s="1"/>
  <c r="N597" i="10"/>
  <c r="L597" i="10"/>
  <c r="J597" i="10"/>
  <c r="I597" i="10"/>
  <c r="J596" i="10"/>
  <c r="I596" i="10"/>
  <c r="K596" i="10" s="1"/>
  <c r="J595" i="10"/>
  <c r="I595" i="10"/>
  <c r="J594" i="10"/>
  <c r="I594" i="10"/>
  <c r="K594" i="10" s="1"/>
  <c r="J593" i="10"/>
  <c r="I593" i="10"/>
  <c r="J592" i="10"/>
  <c r="I592" i="10"/>
  <c r="K592" i="10" s="1"/>
  <c r="J591" i="10"/>
  <c r="I591" i="10"/>
  <c r="J590" i="10"/>
  <c r="I590" i="10"/>
  <c r="K590" i="10" s="1"/>
  <c r="J589" i="10"/>
  <c r="I589" i="10"/>
  <c r="N588" i="10"/>
  <c r="N587" i="10"/>
  <c r="N586" i="10"/>
  <c r="N585" i="10"/>
  <c r="N584" i="10"/>
  <c r="L584" i="10"/>
  <c r="N583" i="10"/>
  <c r="L583" i="10"/>
  <c r="O583" i="10" s="1"/>
  <c r="N582" i="10"/>
  <c r="L582" i="10"/>
  <c r="N581" i="10"/>
  <c r="L581" i="10"/>
  <c r="O581" i="10" s="1"/>
  <c r="N580" i="10"/>
  <c r="L580" i="10"/>
  <c r="J580" i="10"/>
  <c r="I580" i="10"/>
  <c r="J579" i="10"/>
  <c r="I579" i="10"/>
  <c r="K579" i="10" s="1"/>
  <c r="J578" i="10"/>
  <c r="I578" i="10"/>
  <c r="K578" i="10" s="1"/>
  <c r="J577" i="10"/>
  <c r="I577" i="10"/>
  <c r="K577" i="10" s="1"/>
  <c r="J576" i="10"/>
  <c r="I576" i="10"/>
  <c r="K576" i="10" s="1"/>
  <c r="J575" i="10"/>
  <c r="I575" i="10"/>
  <c r="K575" i="10" s="1"/>
  <c r="J573" i="10"/>
  <c r="I573" i="10"/>
  <c r="N572" i="10"/>
  <c r="N571" i="10"/>
  <c r="N570" i="10"/>
  <c r="N569" i="10"/>
  <c r="N568" i="10"/>
  <c r="L568" i="10"/>
  <c r="N567" i="10"/>
  <c r="L567" i="10"/>
  <c r="O567" i="10" s="1"/>
  <c r="N566" i="10"/>
  <c r="L566" i="10"/>
  <c r="N565" i="10"/>
  <c r="L565" i="10"/>
  <c r="O565" i="10" s="1"/>
  <c r="N564" i="10"/>
  <c r="L564" i="10"/>
  <c r="J564" i="10"/>
  <c r="I564" i="10"/>
  <c r="J563" i="10"/>
  <c r="J562" i="10"/>
  <c r="J561" i="10"/>
  <c r="I561" i="10"/>
  <c r="K561" i="10" s="1"/>
  <c r="J560" i="10"/>
  <c r="I560" i="10"/>
  <c r="N559" i="10"/>
  <c r="N558" i="10"/>
  <c r="N557" i="10"/>
  <c r="N556" i="10"/>
  <c r="N555" i="10"/>
  <c r="L555" i="10"/>
  <c r="N554" i="10"/>
  <c r="L554" i="10"/>
  <c r="O554" i="10" s="1"/>
  <c r="N553" i="10"/>
  <c r="L553" i="10"/>
  <c r="N552" i="10"/>
  <c r="L552" i="10"/>
  <c r="O552" i="10" s="1"/>
  <c r="N551" i="10"/>
  <c r="L551" i="10"/>
  <c r="J551" i="10"/>
  <c r="I551" i="10"/>
  <c r="J550" i="10"/>
  <c r="J549" i="10"/>
  <c r="J548" i="10"/>
  <c r="I548" i="10"/>
  <c r="K548" i="10" s="1"/>
  <c r="J547" i="10"/>
  <c r="I547" i="10"/>
  <c r="J546" i="10"/>
  <c r="J545" i="10"/>
  <c r="J544" i="10"/>
  <c r="J543" i="10"/>
  <c r="N541" i="10"/>
  <c r="N540" i="10"/>
  <c r="N539" i="10"/>
  <c r="N538" i="10"/>
  <c r="N537" i="10"/>
  <c r="L537" i="10"/>
  <c r="N536" i="10"/>
  <c r="L536" i="10"/>
  <c r="O536" i="10" s="1"/>
  <c r="N535" i="10"/>
  <c r="L535" i="10"/>
  <c r="N534" i="10"/>
  <c r="L534" i="10"/>
  <c r="O534" i="10" s="1"/>
  <c r="N533" i="10"/>
  <c r="L533" i="10"/>
  <c r="J533" i="10"/>
  <c r="I533" i="10"/>
  <c r="J532" i="10"/>
  <c r="I532" i="10"/>
  <c r="J531" i="10"/>
  <c r="I531" i="10"/>
  <c r="J530" i="10"/>
  <c r="I530" i="10"/>
  <c r="J529" i="10"/>
  <c r="I529" i="10"/>
  <c r="J528" i="10"/>
  <c r="I528" i="10"/>
  <c r="J527" i="10"/>
  <c r="I527" i="10"/>
  <c r="J526" i="10"/>
  <c r="I526" i="10"/>
  <c r="J525" i="10"/>
  <c r="I525" i="10"/>
  <c r="J524" i="10"/>
  <c r="I524" i="10"/>
  <c r="J523" i="10"/>
  <c r="I523" i="10"/>
  <c r="J522" i="10"/>
  <c r="I522" i="10"/>
  <c r="J521" i="10"/>
  <c r="I521" i="10"/>
  <c r="J520" i="10"/>
  <c r="I520" i="10"/>
  <c r="J519" i="10"/>
  <c r="I519" i="10"/>
  <c r="J518" i="10"/>
  <c r="I518" i="10"/>
  <c r="J517" i="10"/>
  <c r="I517" i="10"/>
  <c r="J516" i="10"/>
  <c r="I516" i="10"/>
  <c r="J515" i="10"/>
  <c r="I515" i="10"/>
  <c r="K515" i="10" s="1"/>
  <c r="J514" i="10"/>
  <c r="I514" i="10"/>
  <c r="K514" i="10" s="1"/>
  <c r="J513" i="10"/>
  <c r="I513" i="10"/>
  <c r="K513" i="10" s="1"/>
  <c r="J512" i="10"/>
  <c r="I512" i="10"/>
  <c r="K512" i="10" s="1"/>
  <c r="J511" i="10"/>
  <c r="I511" i="10"/>
  <c r="K511" i="10" s="1"/>
  <c r="J510" i="10"/>
  <c r="I510" i="10"/>
  <c r="K510" i="10" s="1"/>
  <c r="J509" i="10"/>
  <c r="I509" i="10"/>
  <c r="K509" i="10" s="1"/>
  <c r="J508" i="10"/>
  <c r="I508" i="10"/>
  <c r="K508" i="10" s="1"/>
  <c r="J507" i="10"/>
  <c r="I507" i="10"/>
  <c r="K507" i="10" s="1"/>
  <c r="J506" i="10"/>
  <c r="I506" i="10"/>
  <c r="K506" i="10" s="1"/>
  <c r="J505" i="10"/>
  <c r="I505" i="10"/>
  <c r="K505" i="10" s="1"/>
  <c r="J504" i="10"/>
  <c r="I504" i="10"/>
  <c r="K504" i="10" s="1"/>
  <c r="J503" i="10"/>
  <c r="I503" i="10"/>
  <c r="K503" i="10" s="1"/>
  <c r="J502" i="10"/>
  <c r="I502" i="10"/>
  <c r="K502" i="10" s="1"/>
  <c r="J501" i="10"/>
  <c r="I501" i="10"/>
  <c r="K501" i="10" s="1"/>
  <c r="J500" i="10"/>
  <c r="I500" i="10"/>
  <c r="K500" i="10" s="1"/>
  <c r="J499" i="10"/>
  <c r="I499" i="10"/>
  <c r="J498" i="10"/>
  <c r="I498" i="10"/>
  <c r="J497" i="10"/>
  <c r="I497" i="10"/>
  <c r="J496" i="10"/>
  <c r="I496" i="10"/>
  <c r="K496" i="10" s="1"/>
  <c r="J495" i="10"/>
  <c r="I495" i="10"/>
  <c r="K495" i="10" s="1"/>
  <c r="J494" i="10"/>
  <c r="I494" i="10"/>
  <c r="K494" i="10" s="1"/>
  <c r="J493" i="10"/>
  <c r="I493" i="10"/>
  <c r="K493" i="10" s="1"/>
  <c r="J492" i="10"/>
  <c r="I492" i="10"/>
  <c r="K492" i="10" s="1"/>
  <c r="J491" i="10"/>
  <c r="I491" i="10"/>
  <c r="K491" i="10" s="1"/>
  <c r="J490" i="10"/>
  <c r="I490" i="10"/>
  <c r="K490" i="10" s="1"/>
  <c r="J489" i="10"/>
  <c r="I489" i="10"/>
  <c r="K489" i="10" s="1"/>
  <c r="J488" i="10"/>
  <c r="I488" i="10"/>
  <c r="K488" i="10" s="1"/>
  <c r="J487" i="10"/>
  <c r="I487" i="10"/>
  <c r="K487" i="10" s="1"/>
  <c r="J486" i="10"/>
  <c r="I486" i="10"/>
  <c r="K486" i="10" s="1"/>
  <c r="J485" i="10"/>
  <c r="I485" i="10"/>
  <c r="K485" i="10" s="1"/>
  <c r="J484" i="10"/>
  <c r="I484" i="10"/>
  <c r="K484" i="10" s="1"/>
  <c r="J483" i="10"/>
  <c r="I483" i="10"/>
  <c r="K483" i="10" s="1"/>
  <c r="J482" i="10"/>
  <c r="I482" i="10"/>
  <c r="J481" i="10"/>
  <c r="I481" i="10"/>
  <c r="J480" i="10"/>
  <c r="I480" i="10"/>
  <c r="K480" i="10" s="1"/>
  <c r="J479" i="10"/>
  <c r="I479" i="10"/>
  <c r="K479" i="10" s="1"/>
  <c r="J478" i="10"/>
  <c r="I478" i="10"/>
  <c r="K478" i="10" s="1"/>
  <c r="J477" i="10"/>
  <c r="I477" i="10"/>
  <c r="K477" i="10" s="1"/>
  <c r="J476" i="10"/>
  <c r="I476" i="10"/>
  <c r="K476" i="10" s="1"/>
  <c r="J475" i="10"/>
  <c r="I475" i="10"/>
  <c r="K475" i="10" s="1"/>
  <c r="J474" i="10"/>
  <c r="I474" i="10"/>
  <c r="J473" i="10"/>
  <c r="I473" i="10"/>
  <c r="J472" i="10"/>
  <c r="I472" i="10"/>
  <c r="K472" i="10" s="1"/>
  <c r="J471" i="10"/>
  <c r="I471" i="10"/>
  <c r="K471" i="10" s="1"/>
  <c r="J470" i="10"/>
  <c r="I470" i="10"/>
  <c r="K470" i="10" s="1"/>
  <c r="J469" i="10"/>
  <c r="I469" i="10"/>
  <c r="K469" i="10" s="1"/>
  <c r="J468" i="10"/>
  <c r="I468" i="10"/>
  <c r="K468" i="10" s="1"/>
  <c r="J467" i="10"/>
  <c r="I467" i="10"/>
  <c r="K467" i="10" s="1"/>
  <c r="J466" i="10"/>
  <c r="I466" i="10"/>
  <c r="J465" i="10"/>
  <c r="I465" i="10"/>
  <c r="J464" i="10"/>
  <c r="I464" i="10"/>
  <c r="N463" i="10"/>
  <c r="N462" i="10"/>
  <c r="N461" i="10"/>
  <c r="N460" i="10"/>
  <c r="N459" i="10"/>
  <c r="L459" i="10"/>
  <c r="N458" i="10"/>
  <c r="L458" i="10"/>
  <c r="O458" i="10" s="1"/>
  <c r="N457" i="10"/>
  <c r="L457" i="10"/>
  <c r="N456" i="10"/>
  <c r="L456" i="10"/>
  <c r="O456" i="10" s="1"/>
  <c r="N455" i="10"/>
  <c r="L455" i="10"/>
  <c r="J455" i="10"/>
  <c r="I455" i="10"/>
  <c r="J454" i="10"/>
  <c r="J453" i="10"/>
  <c r="J452" i="10"/>
  <c r="I452" i="10"/>
  <c r="K452" i="10" s="1"/>
  <c r="J451" i="10"/>
  <c r="I451" i="10"/>
  <c r="K451" i="10" s="1"/>
  <c r="J450" i="10"/>
  <c r="I450" i="10"/>
  <c r="J449" i="10"/>
  <c r="I449" i="10"/>
  <c r="J448" i="10"/>
  <c r="J447" i="10"/>
  <c r="J446" i="10"/>
  <c r="J445" i="10"/>
  <c r="N443" i="10"/>
  <c r="N442" i="10"/>
  <c r="N441" i="10"/>
  <c r="N440" i="10"/>
  <c r="N439" i="10"/>
  <c r="L439" i="10"/>
  <c r="N438" i="10"/>
  <c r="L438" i="10"/>
  <c r="O438" i="10" s="1"/>
  <c r="N437" i="10"/>
  <c r="L437" i="10"/>
  <c r="N436" i="10"/>
  <c r="L436" i="10"/>
  <c r="O436" i="10" s="1"/>
  <c r="N435" i="10"/>
  <c r="L435" i="10"/>
  <c r="J435" i="10"/>
  <c r="I435" i="10"/>
  <c r="J434" i="10"/>
  <c r="J433" i="10"/>
  <c r="J432" i="10"/>
  <c r="I432" i="10"/>
  <c r="J431" i="10"/>
  <c r="I431" i="10"/>
  <c r="J430" i="10"/>
  <c r="I430" i="10"/>
  <c r="J429" i="10"/>
  <c r="I429" i="10"/>
  <c r="J428" i="10"/>
  <c r="I428" i="10"/>
  <c r="J427" i="10"/>
  <c r="I427" i="10"/>
  <c r="J426" i="10"/>
  <c r="I426" i="10"/>
  <c r="J425" i="10"/>
  <c r="I425" i="10"/>
  <c r="J424" i="10"/>
  <c r="I424" i="10"/>
  <c r="J423" i="10"/>
  <c r="I423" i="10"/>
  <c r="J422" i="10"/>
  <c r="I422" i="10"/>
  <c r="J421" i="10"/>
  <c r="I421" i="10"/>
  <c r="J420" i="10"/>
  <c r="I420" i="10"/>
  <c r="J419" i="10"/>
  <c r="I419" i="10"/>
  <c r="J418" i="10"/>
  <c r="I418" i="10"/>
  <c r="J417" i="10"/>
  <c r="I417" i="10"/>
  <c r="J416" i="10"/>
  <c r="I416" i="10"/>
  <c r="J415" i="10"/>
  <c r="J414" i="10"/>
  <c r="J413" i="10"/>
  <c r="J412" i="10"/>
  <c r="N410" i="10"/>
  <c r="N409" i="10"/>
  <c r="N408" i="10"/>
  <c r="N407" i="10"/>
  <c r="N406" i="10"/>
  <c r="L406" i="10"/>
  <c r="N405" i="10"/>
  <c r="L405" i="10"/>
  <c r="O405" i="10" s="1"/>
  <c r="N404" i="10"/>
  <c r="L404" i="10"/>
  <c r="N403" i="10"/>
  <c r="L403" i="10"/>
  <c r="J402" i="10"/>
  <c r="I402" i="10"/>
  <c r="N401" i="10"/>
  <c r="L401" i="10"/>
  <c r="J401" i="10"/>
  <c r="I401" i="10"/>
  <c r="J400" i="10"/>
  <c r="J399" i="10"/>
  <c r="J398" i="10"/>
  <c r="I398" i="10"/>
  <c r="J397" i="10"/>
  <c r="I397" i="10"/>
  <c r="J396" i="10"/>
  <c r="I396" i="10"/>
  <c r="J394" i="10"/>
  <c r="J393" i="10"/>
  <c r="J392" i="10"/>
  <c r="J391" i="10"/>
  <c r="N389" i="10"/>
  <c r="N388" i="10"/>
  <c r="N387" i="10"/>
  <c r="N386" i="10"/>
  <c r="N385" i="10"/>
  <c r="L385" i="10"/>
  <c r="N384" i="10"/>
  <c r="L384" i="10"/>
  <c r="O384" i="10" s="1"/>
  <c r="N383" i="10"/>
  <c r="L383" i="10"/>
  <c r="N382" i="10"/>
  <c r="L382" i="10"/>
  <c r="O382" i="10" s="1"/>
  <c r="J381" i="10"/>
  <c r="I381" i="10"/>
  <c r="N380" i="10"/>
  <c r="L380" i="10"/>
  <c r="J380" i="10"/>
  <c r="I380" i="10"/>
  <c r="J379" i="10"/>
  <c r="J378" i="10"/>
  <c r="J377" i="10"/>
  <c r="I377" i="10"/>
  <c r="K377" i="10" s="1"/>
  <c r="J376" i="10"/>
  <c r="I376" i="10"/>
  <c r="K376" i="10" s="1"/>
  <c r="J375" i="10"/>
  <c r="I375" i="10"/>
  <c r="K375" i="10" s="1"/>
  <c r="J374" i="10"/>
  <c r="I374" i="10"/>
  <c r="J373" i="10"/>
  <c r="I373" i="10"/>
  <c r="K373" i="10" s="1"/>
  <c r="J372" i="10"/>
  <c r="I372" i="10"/>
  <c r="K372" i="10" s="1"/>
  <c r="J371" i="10"/>
  <c r="I371" i="10"/>
  <c r="K371" i="10" s="1"/>
  <c r="J370" i="10"/>
  <c r="I370" i="10"/>
  <c r="K370" i="10" s="1"/>
  <c r="J369" i="10"/>
  <c r="I369" i="10"/>
  <c r="J368" i="10"/>
  <c r="I368" i="10"/>
  <c r="K368" i="10" s="1"/>
  <c r="J367" i="10"/>
  <c r="J366" i="10"/>
  <c r="J365" i="10"/>
  <c r="I365" i="10"/>
  <c r="K365" i="10" s="1"/>
  <c r="J364" i="10"/>
  <c r="J363" i="10"/>
  <c r="J362" i="10"/>
  <c r="J361" i="10"/>
  <c r="J360" i="10"/>
  <c r="N358" i="10"/>
  <c r="N357" i="10"/>
  <c r="N356" i="10"/>
  <c r="N355" i="10"/>
  <c r="N354" i="10"/>
  <c r="L354" i="10"/>
  <c r="O354" i="10" s="1"/>
  <c r="N353" i="10"/>
  <c r="L353" i="10"/>
  <c r="O353" i="10" s="1"/>
  <c r="N352" i="10"/>
  <c r="L352" i="10"/>
  <c r="O352" i="10" s="1"/>
  <c r="N351" i="10"/>
  <c r="L351" i="10"/>
  <c r="O351" i="10" s="1"/>
  <c r="J350" i="10"/>
  <c r="I350" i="10"/>
  <c r="K350" i="10" s="1"/>
  <c r="N349" i="10"/>
  <c r="L349" i="10"/>
  <c r="O349" i="10" s="1"/>
  <c r="J349" i="10"/>
  <c r="I349" i="10"/>
  <c r="K349" i="10" s="1"/>
  <c r="N347" i="10"/>
  <c r="L347" i="10"/>
  <c r="J346" i="10"/>
  <c r="I346" i="10"/>
  <c r="K346" i="10" s="1"/>
  <c r="J345" i="10"/>
  <c r="I345" i="10"/>
  <c r="J344" i="10"/>
  <c r="I344" i="10"/>
  <c r="K344" i="10" s="1"/>
  <c r="J343" i="10"/>
  <c r="I343" i="10"/>
  <c r="J342" i="10"/>
  <c r="I342" i="10"/>
  <c r="K342" i="10" s="1"/>
  <c r="J341" i="10"/>
  <c r="I341" i="10"/>
  <c r="J340" i="10"/>
  <c r="I340" i="10"/>
  <c r="J339" i="10"/>
  <c r="I339" i="10"/>
  <c r="K339" i="10" s="1"/>
  <c r="N337" i="10"/>
  <c r="L337" i="10"/>
  <c r="L335" i="10"/>
  <c r="L334" i="10"/>
  <c r="N333" i="10"/>
  <c r="M333" i="10"/>
  <c r="O332" i="10"/>
  <c r="N330" i="10"/>
  <c r="M330" i="10"/>
  <c r="L330" i="10"/>
  <c r="J328" i="10"/>
  <c r="I328" i="10"/>
  <c r="J326" i="10"/>
  <c r="J325" i="10"/>
  <c r="J324" i="10"/>
  <c r="I324" i="10"/>
  <c r="K324" i="10" s="1"/>
  <c r="J323" i="10"/>
  <c r="J322" i="10"/>
  <c r="J321" i="10"/>
  <c r="J320" i="10"/>
  <c r="N318" i="10"/>
  <c r="L318" i="10"/>
  <c r="O318" i="10" s="1"/>
  <c r="L316" i="10"/>
  <c r="L315" i="10"/>
  <c r="N314" i="10"/>
  <c r="M314" i="10"/>
  <c r="M312" i="10" s="1"/>
  <c r="P312" i="10" s="1"/>
  <c r="O313" i="10"/>
  <c r="O311" i="10"/>
  <c r="N311" i="10"/>
  <c r="M311" i="10"/>
  <c r="P311" i="10" s="1"/>
  <c r="L311" i="10"/>
  <c r="J309" i="10"/>
  <c r="I309" i="10"/>
  <c r="K309" i="10" s="1"/>
  <c r="J308" i="10"/>
  <c r="J307" i="10"/>
  <c r="J306" i="10"/>
  <c r="I306" i="10"/>
  <c r="K306" i="10" s="1"/>
  <c r="J304" i="10"/>
  <c r="I304" i="10"/>
  <c r="K304" i="10" s="1"/>
  <c r="J303" i="10"/>
  <c r="J302" i="10"/>
  <c r="J301" i="10"/>
  <c r="J300" i="10"/>
  <c r="N298" i="10"/>
  <c r="L298" i="10"/>
  <c r="O298" i="10" s="1"/>
  <c r="L296" i="10"/>
  <c r="L295" i="10"/>
  <c r="N294" i="10"/>
  <c r="M294" i="10"/>
  <c r="M292" i="10" s="1"/>
  <c r="M290" i="10" s="1"/>
  <c r="P290" i="10" s="1"/>
  <c r="O293" i="10"/>
  <c r="P291" i="10"/>
  <c r="O291" i="10"/>
  <c r="N291" i="10"/>
  <c r="M291" i="10"/>
  <c r="L291" i="10"/>
  <c r="J289" i="10"/>
  <c r="I289" i="10"/>
  <c r="K289" i="10" s="1"/>
  <c r="J287" i="10"/>
  <c r="J286" i="10"/>
  <c r="J285" i="10"/>
  <c r="I285" i="10"/>
  <c r="J284" i="10"/>
  <c r="J283" i="10"/>
  <c r="J282" i="10"/>
  <c r="J281" i="10"/>
  <c r="N279" i="10"/>
  <c r="L279" i="10"/>
  <c r="O279" i="10" s="1"/>
  <c r="L277" i="10"/>
  <c r="L276" i="10"/>
  <c r="N275" i="10"/>
  <c r="M275" i="10"/>
  <c r="M273" i="10" s="1"/>
  <c r="O274" i="10"/>
  <c r="N272" i="10"/>
  <c r="M272" i="10"/>
  <c r="L272" i="10"/>
  <c r="O272" i="10" s="1"/>
  <c r="J270" i="10"/>
  <c r="I270" i="10"/>
  <c r="J269" i="10"/>
  <c r="J268" i="10"/>
  <c r="J267" i="10"/>
  <c r="I267" i="10"/>
  <c r="K267" i="10" s="1"/>
  <c r="J266" i="10"/>
  <c r="I266" i="10"/>
  <c r="K266" i="10" s="1"/>
  <c r="J265" i="10"/>
  <c r="I265" i="10"/>
  <c r="K265" i="10" s="1"/>
  <c r="J264" i="10"/>
  <c r="I264" i="10"/>
  <c r="K264" i="10" s="1"/>
  <c r="J263" i="10"/>
  <c r="J262" i="10"/>
  <c r="J261" i="10"/>
  <c r="J260" i="10"/>
  <c r="N258" i="10"/>
  <c r="L258" i="10"/>
  <c r="O258" i="10" s="1"/>
  <c r="L256" i="10"/>
  <c r="L255" i="10"/>
  <c r="N254" i="10"/>
  <c r="M254" i="10"/>
  <c r="M252" i="10" s="1"/>
  <c r="P252" i="10" s="1"/>
  <c r="O253" i="10"/>
  <c r="P251" i="10"/>
  <c r="N251" i="10"/>
  <c r="M251" i="10"/>
  <c r="L251" i="10"/>
  <c r="J249" i="10"/>
  <c r="I249" i="10"/>
  <c r="K249" i="10" s="1"/>
  <c r="J246" i="10"/>
  <c r="J245" i="10"/>
  <c r="J244" i="10"/>
  <c r="I244" i="10"/>
  <c r="K244" i="10" s="1"/>
  <c r="J243" i="10"/>
  <c r="J242" i="10"/>
  <c r="J241" i="10"/>
  <c r="J240" i="10"/>
  <c r="J238" i="10"/>
  <c r="I238" i="10"/>
  <c r="K238" i="10" s="1"/>
  <c r="J237" i="10"/>
  <c r="J236" i="10"/>
  <c r="J235" i="10"/>
  <c r="I235" i="10"/>
  <c r="K235" i="10" s="1"/>
  <c r="J234" i="10"/>
  <c r="J233" i="10"/>
  <c r="J232" i="10"/>
  <c r="J231" i="10"/>
  <c r="J229" i="10"/>
  <c r="I229" i="10"/>
  <c r="K229" i="10" s="1"/>
  <c r="N228" i="10"/>
  <c r="L228" i="10"/>
  <c r="O228" i="10" s="1"/>
  <c r="L226" i="10"/>
  <c r="L225" i="10"/>
  <c r="N224" i="10"/>
  <c r="M224" i="10"/>
  <c r="O223" i="10"/>
  <c r="P221" i="10"/>
  <c r="N221" i="10"/>
  <c r="M221" i="10"/>
  <c r="L221" i="10"/>
  <c r="J219" i="10"/>
  <c r="I219" i="10"/>
  <c r="K219" i="10" s="1"/>
  <c r="J218" i="10"/>
  <c r="J217" i="10"/>
  <c r="J216" i="10"/>
  <c r="I216" i="10"/>
  <c r="K216" i="10" s="1"/>
  <c r="J215" i="10"/>
  <c r="I215" i="10"/>
  <c r="K215" i="10" s="1"/>
  <c r="J213" i="10"/>
  <c r="I213" i="10"/>
  <c r="K213" i="10" s="1"/>
  <c r="J212" i="10"/>
  <c r="J211" i="10"/>
  <c r="J210" i="10"/>
  <c r="J209" i="10"/>
  <c r="J204" i="10"/>
  <c r="I204" i="10"/>
  <c r="K204" i="10" s="1"/>
  <c r="J203" i="10"/>
  <c r="J202" i="10"/>
  <c r="J201" i="10"/>
  <c r="I201" i="10"/>
  <c r="J200" i="10"/>
  <c r="I200" i="10"/>
  <c r="J199" i="10"/>
  <c r="I199" i="10"/>
  <c r="J197" i="10"/>
  <c r="J196" i="10"/>
  <c r="J195" i="10"/>
  <c r="J194" i="10"/>
  <c r="J189" i="10"/>
  <c r="I189" i="10"/>
  <c r="J188" i="10"/>
  <c r="J187" i="10"/>
  <c r="J186" i="10"/>
  <c r="I186" i="10"/>
  <c r="K186" i="10" s="1"/>
  <c r="J185" i="10"/>
  <c r="I185" i="10"/>
  <c r="K185" i="10" s="1"/>
  <c r="J184" i="10"/>
  <c r="J183" i="10"/>
  <c r="J182" i="10"/>
  <c r="J181" i="10"/>
  <c r="J176" i="10"/>
  <c r="I176" i="10"/>
  <c r="K176" i="10" s="1"/>
  <c r="J175" i="10"/>
  <c r="J174" i="10"/>
  <c r="J173" i="10"/>
  <c r="I173" i="10"/>
  <c r="J172" i="10"/>
  <c r="J171" i="10"/>
  <c r="J170" i="10"/>
  <c r="J169" i="10"/>
  <c r="J164" i="10"/>
  <c r="I164" i="10"/>
  <c r="J163" i="10"/>
  <c r="J162" i="10"/>
  <c r="J161" i="10"/>
  <c r="J160" i="10"/>
  <c r="J159" i="10"/>
  <c r="J158" i="10"/>
  <c r="I158" i="10"/>
  <c r="J157" i="10"/>
  <c r="J156" i="10"/>
  <c r="J155" i="10"/>
  <c r="J154" i="10"/>
  <c r="J149" i="10"/>
  <c r="I149" i="10"/>
  <c r="N148" i="10"/>
  <c r="L148" i="10"/>
  <c r="O148" i="10" s="1"/>
  <c r="L146" i="10"/>
  <c r="L145" i="10"/>
  <c r="N144" i="10"/>
  <c r="M144" i="10"/>
  <c r="M142" i="10" s="1"/>
  <c r="M140" i="10" s="1"/>
  <c r="O143" i="10"/>
  <c r="P141" i="10"/>
  <c r="O141" i="10"/>
  <c r="N141" i="10"/>
  <c r="M141" i="10"/>
  <c r="L141" i="10"/>
  <c r="J138" i="10"/>
  <c r="I138" i="10"/>
  <c r="J135" i="10"/>
  <c r="J134" i="10"/>
  <c r="J133" i="10"/>
  <c r="I133" i="10"/>
  <c r="K133" i="10" s="1"/>
  <c r="J132" i="10"/>
  <c r="I132" i="10"/>
  <c r="K132" i="10" s="1"/>
  <c r="J131" i="10"/>
  <c r="J130" i="10"/>
  <c r="J129" i="10"/>
  <c r="J128" i="10"/>
  <c r="N126" i="10"/>
  <c r="L126" i="10"/>
  <c r="O126" i="10" s="1"/>
  <c r="L124" i="10"/>
  <c r="L123" i="10"/>
  <c r="N122" i="10"/>
  <c r="M122" i="10"/>
  <c r="P122" i="10" s="1"/>
  <c r="O121" i="10"/>
  <c r="N119" i="10"/>
  <c r="M119" i="10"/>
  <c r="P119" i="10" s="1"/>
  <c r="L119" i="10"/>
  <c r="J117" i="10"/>
  <c r="I117" i="10"/>
  <c r="K117" i="10" s="1"/>
  <c r="J115" i="10"/>
  <c r="J114" i="10"/>
  <c r="J113" i="10"/>
  <c r="I113" i="10"/>
  <c r="K113" i="10" s="1"/>
  <c r="J112" i="10"/>
  <c r="I112" i="10"/>
  <c r="K112" i="10" s="1"/>
  <c r="J111" i="10"/>
  <c r="I111" i="10"/>
  <c r="K111" i="10" s="1"/>
  <c r="J110" i="10"/>
  <c r="I110" i="10"/>
  <c r="K110" i="10" s="1"/>
  <c r="J109" i="10"/>
  <c r="I109" i="10"/>
  <c r="K109" i="10" s="1"/>
  <c r="J108" i="10"/>
  <c r="I108" i="10"/>
  <c r="K108" i="10" s="1"/>
  <c r="J107" i="10"/>
  <c r="J106" i="10"/>
  <c r="J105" i="10"/>
  <c r="J104" i="10"/>
  <c r="N102" i="10"/>
  <c r="L102" i="10"/>
  <c r="O102" i="10" s="1"/>
  <c r="L100" i="10"/>
  <c r="L99" i="10"/>
  <c r="N98" i="10"/>
  <c r="M98" i="10"/>
  <c r="M96" i="10" s="1"/>
  <c r="P96" i="10" s="1"/>
  <c r="O97" i="10"/>
  <c r="O95" i="10"/>
  <c r="N95" i="10"/>
  <c r="M95" i="10"/>
  <c r="L95" i="10"/>
  <c r="J93" i="10"/>
  <c r="I93" i="10"/>
  <c r="K93" i="10" s="1"/>
  <c r="J92" i="10"/>
  <c r="I92" i="10"/>
  <c r="K92" i="10" s="1"/>
  <c r="J90" i="10"/>
  <c r="J89" i="10"/>
  <c r="J88" i="10"/>
  <c r="I88" i="10"/>
  <c r="K88" i="10" s="1"/>
  <c r="J87" i="10"/>
  <c r="I87" i="10"/>
  <c r="J86" i="10"/>
  <c r="I86" i="10"/>
  <c r="J85" i="10"/>
  <c r="I85" i="10"/>
  <c r="K85" i="10" s="1"/>
  <c r="J84" i="10"/>
  <c r="I84" i="10"/>
  <c r="K84" i="10" s="1"/>
  <c r="J83" i="10"/>
  <c r="I83" i="10"/>
  <c r="K83" i="10" s="1"/>
  <c r="J82" i="10"/>
  <c r="I82" i="10"/>
  <c r="K82" i="10" s="1"/>
  <c r="J81" i="10"/>
  <c r="I81" i="10"/>
  <c r="J80" i="10"/>
  <c r="I80" i="10"/>
  <c r="J79" i="10"/>
  <c r="J78" i="10"/>
  <c r="J77" i="10"/>
  <c r="J76" i="10"/>
  <c r="N74" i="10"/>
  <c r="L74" i="10"/>
  <c r="M74" i="10" s="1"/>
  <c r="L72" i="10"/>
  <c r="L71" i="10"/>
  <c r="N70" i="10"/>
  <c r="M70" i="10"/>
  <c r="O69" i="10"/>
  <c r="P67" i="10"/>
  <c r="O67" i="10"/>
  <c r="N67" i="10"/>
  <c r="M67" i="10"/>
  <c r="L67" i="10"/>
  <c r="J65" i="10"/>
  <c r="I65" i="10"/>
  <c r="J64" i="10"/>
  <c r="I64" i="10"/>
  <c r="N61" i="10"/>
  <c r="L61" i="10"/>
  <c r="L59" i="10"/>
  <c r="L58" i="10"/>
  <c r="N57" i="10"/>
  <c r="M57" i="10"/>
  <c r="N54" i="10"/>
  <c r="M54" i="10"/>
  <c r="L54" i="10"/>
  <c r="N49" i="10"/>
  <c r="L49" i="10"/>
  <c r="O49" i="10" s="1"/>
  <c r="L47" i="10"/>
  <c r="L46" i="10"/>
  <c r="N45" i="10"/>
  <c r="M45" i="10"/>
  <c r="P42" i="10"/>
  <c r="N42" i="10"/>
  <c r="M42" i="10"/>
  <c r="L42" i="10"/>
  <c r="P36" i="10"/>
  <c r="O36" i="10"/>
  <c r="P35" i="10"/>
  <c r="O35" i="10"/>
  <c r="M34" i="10"/>
  <c r="P34" i="10" s="1"/>
  <c r="P33" i="10"/>
  <c r="M33" i="10"/>
  <c r="M32" i="10"/>
  <c r="P32" i="10" s="1"/>
  <c r="P31" i="10"/>
  <c r="M31" i="10"/>
  <c r="M30" i="10"/>
  <c r="P30" i="10" s="1"/>
  <c r="M29" i="10"/>
  <c r="P25" i="10"/>
  <c r="O25" i="10"/>
  <c r="N25" i="10"/>
  <c r="M25" i="10"/>
  <c r="L25" i="10"/>
  <c r="N24" i="10"/>
  <c r="M24" i="10"/>
  <c r="M14" i="10" s="1"/>
  <c r="P14" i="10" s="1"/>
  <c r="N23" i="10"/>
  <c r="M23" i="10"/>
  <c r="P23" i="10" s="1"/>
  <c r="N21" i="10"/>
  <c r="M21" i="10"/>
  <c r="L21" i="10"/>
  <c r="N19" i="10"/>
  <c r="L19" i="10"/>
  <c r="O19" i="10" s="1"/>
  <c r="N15" i="10"/>
  <c r="M15" i="10"/>
  <c r="P15" i="10" s="1"/>
  <c r="L15" i="10"/>
  <c r="O15" i="10" s="1"/>
  <c r="M13" i="10"/>
  <c r="P13" i="10" s="1"/>
  <c r="J635" i="9"/>
  <c r="I635" i="9"/>
  <c r="J634" i="9"/>
  <c r="I634" i="9"/>
  <c r="J633" i="9"/>
  <c r="I633" i="9"/>
  <c r="J632" i="9"/>
  <c r="I632" i="9"/>
  <c r="J631" i="9"/>
  <c r="I631" i="9"/>
  <c r="J630" i="9"/>
  <c r="I630" i="9"/>
  <c r="J629" i="9"/>
  <c r="I629" i="9"/>
  <c r="J628" i="9"/>
  <c r="I628" i="9"/>
  <c r="J626" i="9"/>
  <c r="I626" i="9"/>
  <c r="J625" i="9"/>
  <c r="I625" i="9"/>
  <c r="J624" i="9"/>
  <c r="I624" i="9"/>
  <c r="J623" i="9"/>
  <c r="I623" i="9"/>
  <c r="J622" i="9"/>
  <c r="I622" i="9"/>
  <c r="J621" i="9"/>
  <c r="I621" i="9"/>
  <c r="J620" i="9"/>
  <c r="I620" i="9"/>
  <c r="K626" i="9" s="1"/>
  <c r="J619" i="9"/>
  <c r="I619" i="9"/>
  <c r="J618" i="9"/>
  <c r="I618" i="9"/>
  <c r="J617" i="9"/>
  <c r="I617" i="9"/>
  <c r="J616" i="9"/>
  <c r="I616" i="9"/>
  <c r="J615" i="9"/>
  <c r="I615" i="9"/>
  <c r="J614" i="9"/>
  <c r="I614" i="9"/>
  <c r="J613" i="9"/>
  <c r="I613" i="9"/>
  <c r="J612" i="9"/>
  <c r="I612" i="9"/>
  <c r="J611" i="9"/>
  <c r="I611" i="9"/>
  <c r="J610" i="9"/>
  <c r="J609" i="9"/>
  <c r="J608" i="9"/>
  <c r="J607" i="9"/>
  <c r="N605" i="9"/>
  <c r="N604" i="9"/>
  <c r="N603" i="9"/>
  <c r="N602" i="9"/>
  <c r="N601" i="9"/>
  <c r="L601" i="9"/>
  <c r="N600" i="9"/>
  <c r="L600" i="9"/>
  <c r="O600" i="9" s="1"/>
  <c r="N599" i="9"/>
  <c r="L599" i="9"/>
  <c r="N598" i="9"/>
  <c r="L598" i="9"/>
  <c r="O598" i="9" s="1"/>
  <c r="N597" i="9"/>
  <c r="L597" i="9"/>
  <c r="J597" i="9"/>
  <c r="I597" i="9"/>
  <c r="J596" i="9"/>
  <c r="I596" i="9"/>
  <c r="K596" i="9" s="1"/>
  <c r="J595" i="9"/>
  <c r="I595" i="9"/>
  <c r="J594" i="9"/>
  <c r="I594" i="9"/>
  <c r="K594" i="9" s="1"/>
  <c r="J593" i="9"/>
  <c r="I593" i="9"/>
  <c r="J592" i="9"/>
  <c r="I592" i="9"/>
  <c r="K592" i="9" s="1"/>
  <c r="J591" i="9"/>
  <c r="I591" i="9"/>
  <c r="J590" i="9"/>
  <c r="I590" i="9"/>
  <c r="K590" i="9" s="1"/>
  <c r="J589" i="9"/>
  <c r="I589" i="9"/>
  <c r="N588" i="9"/>
  <c r="N587" i="9"/>
  <c r="N586" i="9"/>
  <c r="N585" i="9"/>
  <c r="N584" i="9"/>
  <c r="L584" i="9"/>
  <c r="N583" i="9"/>
  <c r="L583" i="9"/>
  <c r="O583" i="9" s="1"/>
  <c r="N582" i="9"/>
  <c r="L582" i="9"/>
  <c r="N581" i="9"/>
  <c r="L581" i="9"/>
  <c r="O581" i="9" s="1"/>
  <c r="N580" i="9"/>
  <c r="L580" i="9"/>
  <c r="J580" i="9"/>
  <c r="I580" i="9"/>
  <c r="J579" i="9"/>
  <c r="I579" i="9"/>
  <c r="K579" i="9" s="1"/>
  <c r="J578" i="9"/>
  <c r="I578" i="9"/>
  <c r="K578" i="9" s="1"/>
  <c r="J577" i="9"/>
  <c r="I577" i="9"/>
  <c r="K577" i="9" s="1"/>
  <c r="J576" i="9"/>
  <c r="I576" i="9"/>
  <c r="K576" i="9" s="1"/>
  <c r="J575" i="9"/>
  <c r="I575" i="9"/>
  <c r="K575" i="9" s="1"/>
  <c r="J573" i="9"/>
  <c r="I573" i="9"/>
  <c r="N572" i="9"/>
  <c r="N571" i="9"/>
  <c r="N570" i="9"/>
  <c r="N569" i="9"/>
  <c r="N568" i="9"/>
  <c r="L568" i="9"/>
  <c r="N567" i="9"/>
  <c r="L567" i="9"/>
  <c r="O567" i="9" s="1"/>
  <c r="N566" i="9"/>
  <c r="L566" i="9"/>
  <c r="N565" i="9"/>
  <c r="L565" i="9"/>
  <c r="O565" i="9" s="1"/>
  <c r="N564" i="9"/>
  <c r="L564" i="9"/>
  <c r="J564" i="9"/>
  <c r="I564" i="9"/>
  <c r="J563" i="9"/>
  <c r="J562" i="9"/>
  <c r="J561" i="9"/>
  <c r="I561" i="9"/>
  <c r="K561" i="9" s="1"/>
  <c r="J560" i="9"/>
  <c r="I560" i="9"/>
  <c r="K560" i="9" s="1"/>
  <c r="N559" i="9"/>
  <c r="N558" i="9"/>
  <c r="N557" i="9"/>
  <c r="N556" i="9"/>
  <c r="N555" i="9"/>
  <c r="L555" i="9"/>
  <c r="O555" i="9" s="1"/>
  <c r="N554" i="9"/>
  <c r="L554" i="9"/>
  <c r="O554" i="9" s="1"/>
  <c r="N553" i="9"/>
  <c r="L553" i="9"/>
  <c r="O553" i="9" s="1"/>
  <c r="N552" i="9"/>
  <c r="L552" i="9"/>
  <c r="N551" i="9"/>
  <c r="L551" i="9"/>
  <c r="O551" i="9" s="1"/>
  <c r="J551" i="9"/>
  <c r="I551" i="9"/>
  <c r="K551" i="9" s="1"/>
  <c r="J550" i="9"/>
  <c r="J549" i="9"/>
  <c r="J548" i="9"/>
  <c r="I548" i="9"/>
  <c r="K548" i="9" s="1"/>
  <c r="J547" i="9"/>
  <c r="I547" i="9"/>
  <c r="J546" i="9"/>
  <c r="J545" i="9"/>
  <c r="J544" i="9"/>
  <c r="J543" i="9"/>
  <c r="N541" i="9"/>
  <c r="N540" i="9"/>
  <c r="N539" i="9"/>
  <c r="N538" i="9"/>
  <c r="N537" i="9"/>
  <c r="L537" i="9"/>
  <c r="N536" i="9"/>
  <c r="L536" i="9"/>
  <c r="N535" i="9"/>
  <c r="L535" i="9"/>
  <c r="N534" i="9"/>
  <c r="L534" i="9"/>
  <c r="O534" i="9" s="1"/>
  <c r="N533" i="9"/>
  <c r="L533" i="9"/>
  <c r="J533" i="9"/>
  <c r="I533" i="9"/>
  <c r="J532" i="9"/>
  <c r="I532" i="9"/>
  <c r="J531" i="9"/>
  <c r="I531" i="9"/>
  <c r="J530" i="9"/>
  <c r="I530" i="9"/>
  <c r="J529" i="9"/>
  <c r="I529" i="9"/>
  <c r="J528" i="9"/>
  <c r="I528" i="9"/>
  <c r="J527" i="9"/>
  <c r="I527" i="9"/>
  <c r="J526" i="9"/>
  <c r="I526" i="9"/>
  <c r="J525" i="9"/>
  <c r="I525" i="9"/>
  <c r="J524" i="9"/>
  <c r="I524" i="9"/>
  <c r="J523" i="9"/>
  <c r="I523" i="9"/>
  <c r="J522" i="9"/>
  <c r="I522" i="9"/>
  <c r="J521" i="9"/>
  <c r="I521" i="9"/>
  <c r="J520" i="9"/>
  <c r="I520" i="9"/>
  <c r="J519" i="9"/>
  <c r="I519" i="9"/>
  <c r="J518" i="9"/>
  <c r="I518" i="9"/>
  <c r="J517" i="9"/>
  <c r="I517" i="9"/>
  <c r="J516" i="9"/>
  <c r="I516" i="9"/>
  <c r="J515" i="9"/>
  <c r="I515" i="9"/>
  <c r="K515" i="9" s="1"/>
  <c r="J514" i="9"/>
  <c r="I514" i="9"/>
  <c r="K514" i="9" s="1"/>
  <c r="J513" i="9"/>
  <c r="I513" i="9"/>
  <c r="K513" i="9" s="1"/>
  <c r="J512" i="9"/>
  <c r="I512" i="9"/>
  <c r="K512" i="9" s="1"/>
  <c r="J511" i="9"/>
  <c r="I511" i="9"/>
  <c r="K511" i="9" s="1"/>
  <c r="J510" i="9"/>
  <c r="I510" i="9"/>
  <c r="K510" i="9" s="1"/>
  <c r="J509" i="9"/>
  <c r="I509" i="9"/>
  <c r="K509" i="9" s="1"/>
  <c r="J508" i="9"/>
  <c r="I508" i="9"/>
  <c r="K508" i="9" s="1"/>
  <c r="J507" i="9"/>
  <c r="I507" i="9"/>
  <c r="K507" i="9" s="1"/>
  <c r="J506" i="9"/>
  <c r="I506" i="9"/>
  <c r="K506" i="9" s="1"/>
  <c r="J505" i="9"/>
  <c r="I505" i="9"/>
  <c r="K505" i="9" s="1"/>
  <c r="J504" i="9"/>
  <c r="I504" i="9"/>
  <c r="K504" i="9" s="1"/>
  <c r="J503" i="9"/>
  <c r="I503" i="9"/>
  <c r="K503" i="9" s="1"/>
  <c r="J502" i="9"/>
  <c r="I502" i="9"/>
  <c r="K502" i="9" s="1"/>
  <c r="J501" i="9"/>
  <c r="I501" i="9"/>
  <c r="K501" i="9" s="1"/>
  <c r="J500" i="9"/>
  <c r="I500" i="9"/>
  <c r="K500" i="9" s="1"/>
  <c r="J499" i="9"/>
  <c r="I499" i="9"/>
  <c r="J498" i="9"/>
  <c r="I498" i="9"/>
  <c r="J497" i="9"/>
  <c r="I497" i="9"/>
  <c r="J496" i="9"/>
  <c r="I496" i="9"/>
  <c r="K496" i="9" s="1"/>
  <c r="J495" i="9"/>
  <c r="I495" i="9"/>
  <c r="K495" i="9" s="1"/>
  <c r="J494" i="9"/>
  <c r="I494" i="9"/>
  <c r="K494" i="9" s="1"/>
  <c r="J493" i="9"/>
  <c r="I493" i="9"/>
  <c r="K493" i="9" s="1"/>
  <c r="J492" i="9"/>
  <c r="I492" i="9"/>
  <c r="K492" i="9" s="1"/>
  <c r="J491" i="9"/>
  <c r="I491" i="9"/>
  <c r="K491" i="9" s="1"/>
  <c r="J490" i="9"/>
  <c r="I490" i="9"/>
  <c r="K490" i="9" s="1"/>
  <c r="J489" i="9"/>
  <c r="I489" i="9"/>
  <c r="K489" i="9" s="1"/>
  <c r="J488" i="9"/>
  <c r="I488" i="9"/>
  <c r="K488" i="9" s="1"/>
  <c r="J487" i="9"/>
  <c r="I487" i="9"/>
  <c r="K487" i="9" s="1"/>
  <c r="J486" i="9"/>
  <c r="I486" i="9"/>
  <c r="K486" i="9" s="1"/>
  <c r="J485" i="9"/>
  <c r="I485" i="9"/>
  <c r="K485" i="9" s="1"/>
  <c r="J484" i="9"/>
  <c r="I484" i="9"/>
  <c r="K484" i="9" s="1"/>
  <c r="J483" i="9"/>
  <c r="I483" i="9"/>
  <c r="K483" i="9" s="1"/>
  <c r="J482" i="9"/>
  <c r="I482" i="9"/>
  <c r="J481" i="9"/>
  <c r="I481" i="9"/>
  <c r="J480" i="9"/>
  <c r="I480" i="9"/>
  <c r="K480" i="9" s="1"/>
  <c r="J479" i="9"/>
  <c r="I479" i="9"/>
  <c r="K479" i="9" s="1"/>
  <c r="J478" i="9"/>
  <c r="I478" i="9"/>
  <c r="K478" i="9" s="1"/>
  <c r="J477" i="9"/>
  <c r="I477" i="9"/>
  <c r="K477" i="9" s="1"/>
  <c r="J476" i="9"/>
  <c r="I476" i="9"/>
  <c r="K476" i="9" s="1"/>
  <c r="J475" i="9"/>
  <c r="I475" i="9"/>
  <c r="K475" i="9" s="1"/>
  <c r="J474" i="9"/>
  <c r="I474" i="9"/>
  <c r="J473" i="9"/>
  <c r="I473" i="9"/>
  <c r="J472" i="9"/>
  <c r="I472" i="9"/>
  <c r="K472" i="9" s="1"/>
  <c r="J471" i="9"/>
  <c r="I471" i="9"/>
  <c r="K471" i="9" s="1"/>
  <c r="J470" i="9"/>
  <c r="I470" i="9"/>
  <c r="K470" i="9" s="1"/>
  <c r="J469" i="9"/>
  <c r="I469" i="9"/>
  <c r="K469" i="9" s="1"/>
  <c r="J468" i="9"/>
  <c r="I468" i="9"/>
  <c r="K468" i="9" s="1"/>
  <c r="J467" i="9"/>
  <c r="I467" i="9"/>
  <c r="K467" i="9" s="1"/>
  <c r="J466" i="9"/>
  <c r="I466" i="9"/>
  <c r="J465" i="9"/>
  <c r="I465" i="9"/>
  <c r="J464" i="9"/>
  <c r="I464" i="9"/>
  <c r="N463" i="9"/>
  <c r="N462" i="9"/>
  <c r="N461" i="9"/>
  <c r="N460" i="9"/>
  <c r="N459" i="9"/>
  <c r="L459" i="9"/>
  <c r="N458" i="9"/>
  <c r="L458" i="9"/>
  <c r="O458" i="9" s="1"/>
  <c r="N457" i="9"/>
  <c r="L457" i="9"/>
  <c r="N456" i="9"/>
  <c r="L456" i="9"/>
  <c r="O456" i="9" s="1"/>
  <c r="N455" i="9"/>
  <c r="L455" i="9"/>
  <c r="J455" i="9"/>
  <c r="I455" i="9"/>
  <c r="J454" i="9"/>
  <c r="J453" i="9"/>
  <c r="J452" i="9"/>
  <c r="I452" i="9"/>
  <c r="K452" i="9" s="1"/>
  <c r="J451" i="9"/>
  <c r="I451" i="9"/>
  <c r="K451" i="9" s="1"/>
  <c r="J450" i="9"/>
  <c r="I450" i="9"/>
  <c r="J449" i="9"/>
  <c r="I449" i="9"/>
  <c r="J448" i="9"/>
  <c r="J447" i="9"/>
  <c r="J446" i="9"/>
  <c r="J445" i="9"/>
  <c r="N443" i="9"/>
  <c r="N442" i="9"/>
  <c r="N441" i="9"/>
  <c r="N440" i="9"/>
  <c r="N439" i="9"/>
  <c r="L439" i="9"/>
  <c r="N438" i="9"/>
  <c r="L438" i="9"/>
  <c r="O438" i="9" s="1"/>
  <c r="N437" i="9"/>
  <c r="L437" i="9"/>
  <c r="N436" i="9"/>
  <c r="L436" i="9"/>
  <c r="O436" i="9" s="1"/>
  <c r="N435" i="9"/>
  <c r="L435" i="9"/>
  <c r="J435" i="9"/>
  <c r="I435" i="9"/>
  <c r="J434" i="9"/>
  <c r="J433" i="9"/>
  <c r="J432" i="9"/>
  <c r="I432" i="9"/>
  <c r="J431" i="9"/>
  <c r="I431" i="9"/>
  <c r="J430" i="9"/>
  <c r="I430" i="9"/>
  <c r="J429" i="9"/>
  <c r="I429" i="9"/>
  <c r="J428" i="9"/>
  <c r="I428" i="9"/>
  <c r="J427" i="9"/>
  <c r="I427" i="9"/>
  <c r="J426" i="9"/>
  <c r="I426" i="9"/>
  <c r="J425" i="9"/>
  <c r="I425" i="9"/>
  <c r="J424" i="9"/>
  <c r="I424" i="9"/>
  <c r="J423" i="9"/>
  <c r="I423" i="9"/>
  <c r="J422" i="9"/>
  <c r="I422" i="9"/>
  <c r="J421" i="9"/>
  <c r="I421" i="9"/>
  <c r="J420" i="9"/>
  <c r="I420" i="9"/>
  <c r="J419" i="9"/>
  <c r="I419" i="9"/>
  <c r="J418" i="9"/>
  <c r="I418" i="9"/>
  <c r="J417" i="9"/>
  <c r="I417" i="9"/>
  <c r="J416" i="9"/>
  <c r="I416" i="9"/>
  <c r="J415" i="9"/>
  <c r="J414" i="9"/>
  <c r="J413" i="9"/>
  <c r="J412" i="9"/>
  <c r="N410" i="9"/>
  <c r="N409" i="9"/>
  <c r="N408" i="9"/>
  <c r="N407" i="9"/>
  <c r="N406" i="9"/>
  <c r="L406" i="9"/>
  <c r="N405" i="9"/>
  <c r="L405" i="9"/>
  <c r="O405" i="9" s="1"/>
  <c r="N404" i="9"/>
  <c r="L404" i="9"/>
  <c r="N403" i="9"/>
  <c r="L403" i="9"/>
  <c r="O403" i="9" s="1"/>
  <c r="J402" i="9"/>
  <c r="I402" i="9"/>
  <c r="N401" i="9"/>
  <c r="L401" i="9"/>
  <c r="J401" i="9"/>
  <c r="I401" i="9"/>
  <c r="J400" i="9"/>
  <c r="J399" i="9"/>
  <c r="J398" i="9"/>
  <c r="I398" i="9"/>
  <c r="J397" i="9"/>
  <c r="I397" i="9"/>
  <c r="J396" i="9"/>
  <c r="I396" i="9"/>
  <c r="J394" i="9"/>
  <c r="J393" i="9"/>
  <c r="J392" i="9"/>
  <c r="J391" i="9"/>
  <c r="N389" i="9"/>
  <c r="N388" i="9"/>
  <c r="N387" i="9"/>
  <c r="N386" i="9"/>
  <c r="N385" i="9"/>
  <c r="L385" i="9"/>
  <c r="N384" i="9"/>
  <c r="L384" i="9"/>
  <c r="O384" i="9" s="1"/>
  <c r="N383" i="9"/>
  <c r="L383" i="9"/>
  <c r="N382" i="9"/>
  <c r="L382" i="9"/>
  <c r="O382" i="9" s="1"/>
  <c r="J381" i="9"/>
  <c r="I381" i="9"/>
  <c r="N380" i="9"/>
  <c r="L380" i="9"/>
  <c r="J380" i="9"/>
  <c r="I380" i="9"/>
  <c r="J379" i="9"/>
  <c r="J378" i="9"/>
  <c r="J377" i="9"/>
  <c r="I377" i="9"/>
  <c r="J376" i="9"/>
  <c r="I376" i="9"/>
  <c r="J375" i="9"/>
  <c r="I375" i="9"/>
  <c r="J374" i="9"/>
  <c r="I374" i="9"/>
  <c r="J373" i="9"/>
  <c r="I373" i="9"/>
  <c r="K373" i="9" s="1"/>
  <c r="J372" i="9"/>
  <c r="I372" i="9"/>
  <c r="J371" i="9"/>
  <c r="I371" i="9"/>
  <c r="K371" i="9" s="1"/>
  <c r="J370" i="9"/>
  <c r="I370" i="9"/>
  <c r="J369" i="9"/>
  <c r="I369" i="9"/>
  <c r="J368" i="9"/>
  <c r="I368" i="9"/>
  <c r="J367" i="9"/>
  <c r="J366" i="9"/>
  <c r="J365" i="9"/>
  <c r="I365" i="9"/>
  <c r="K365" i="9" s="1"/>
  <c r="J364" i="9"/>
  <c r="J363" i="9"/>
  <c r="J362" i="9"/>
  <c r="J361" i="9"/>
  <c r="J360" i="9"/>
  <c r="N358" i="9"/>
  <c r="N357" i="9"/>
  <c r="N356" i="9"/>
  <c r="N355" i="9"/>
  <c r="N354" i="9"/>
  <c r="L354" i="9"/>
  <c r="N353" i="9"/>
  <c r="L353" i="9"/>
  <c r="O353" i="9" s="1"/>
  <c r="N352" i="9"/>
  <c r="L352" i="9"/>
  <c r="N351" i="9"/>
  <c r="L351" i="9"/>
  <c r="O351" i="9" s="1"/>
  <c r="J350" i="9"/>
  <c r="I350" i="9"/>
  <c r="N349" i="9"/>
  <c r="L349" i="9"/>
  <c r="J349" i="9"/>
  <c r="I349" i="9"/>
  <c r="N347" i="9"/>
  <c r="L347" i="9"/>
  <c r="J346" i="9"/>
  <c r="I346" i="9"/>
  <c r="K346" i="9" s="1"/>
  <c r="J345" i="9"/>
  <c r="I345" i="9"/>
  <c r="J344" i="9"/>
  <c r="I344" i="9"/>
  <c r="K344" i="9" s="1"/>
  <c r="J343" i="9"/>
  <c r="I343" i="9"/>
  <c r="J342" i="9"/>
  <c r="I342" i="9"/>
  <c r="K342" i="9" s="1"/>
  <c r="J341" i="9"/>
  <c r="I341" i="9"/>
  <c r="J340" i="9"/>
  <c r="I340" i="9"/>
  <c r="J339" i="9"/>
  <c r="I339" i="9"/>
  <c r="K339" i="9" s="1"/>
  <c r="N337" i="9"/>
  <c r="L337" i="9"/>
  <c r="L335" i="9"/>
  <c r="L334" i="9"/>
  <c r="N333" i="9"/>
  <c r="M333" i="9"/>
  <c r="O332" i="9"/>
  <c r="P330" i="9"/>
  <c r="N330" i="9"/>
  <c r="M330" i="9"/>
  <c r="L330" i="9"/>
  <c r="J328" i="9"/>
  <c r="I328" i="9"/>
  <c r="J326" i="9"/>
  <c r="J325" i="9"/>
  <c r="J324" i="9"/>
  <c r="I324" i="9"/>
  <c r="K324" i="9" s="1"/>
  <c r="J323" i="9"/>
  <c r="J322" i="9"/>
  <c r="J321" i="9"/>
  <c r="J320" i="9"/>
  <c r="N318" i="9"/>
  <c r="L318" i="9"/>
  <c r="O318" i="9" s="1"/>
  <c r="L316" i="9"/>
  <c r="L315" i="9"/>
  <c r="N314" i="9"/>
  <c r="M314" i="9"/>
  <c r="M312" i="9" s="1"/>
  <c r="P312" i="9" s="1"/>
  <c r="O313" i="9"/>
  <c r="N311" i="9"/>
  <c r="M311" i="9"/>
  <c r="P311" i="9" s="1"/>
  <c r="L311" i="9"/>
  <c r="O311" i="9" s="1"/>
  <c r="J309" i="9"/>
  <c r="I309" i="9"/>
  <c r="K309" i="9" s="1"/>
  <c r="J308" i="9"/>
  <c r="J307" i="9"/>
  <c r="J306" i="9"/>
  <c r="I306" i="9"/>
  <c r="K306" i="9" s="1"/>
  <c r="J304" i="9"/>
  <c r="I304" i="9"/>
  <c r="K304" i="9" s="1"/>
  <c r="J303" i="9"/>
  <c r="J302" i="9"/>
  <c r="J301" i="9"/>
  <c r="J300" i="9"/>
  <c r="N298" i="9"/>
  <c r="L298" i="9"/>
  <c r="O298" i="9" s="1"/>
  <c r="L296" i="9"/>
  <c r="L295" i="9"/>
  <c r="N294" i="9"/>
  <c r="M294" i="9"/>
  <c r="O293" i="9"/>
  <c r="N291" i="9"/>
  <c r="M291" i="9"/>
  <c r="P291" i="9" s="1"/>
  <c r="L291" i="9"/>
  <c r="O291" i="9" s="1"/>
  <c r="J289" i="9"/>
  <c r="I289" i="9"/>
  <c r="K289" i="9" s="1"/>
  <c r="J287" i="9"/>
  <c r="J286" i="9"/>
  <c r="J285" i="9"/>
  <c r="I285" i="9"/>
  <c r="K285" i="9" s="1"/>
  <c r="J284" i="9"/>
  <c r="J283" i="9"/>
  <c r="J282" i="9"/>
  <c r="J281" i="9"/>
  <c r="N279" i="9"/>
  <c r="L279" i="9"/>
  <c r="O279" i="9" s="1"/>
  <c r="L277" i="9"/>
  <c r="L276" i="9"/>
  <c r="N275" i="9"/>
  <c r="M275" i="9"/>
  <c r="P275" i="9" s="1"/>
  <c r="O274" i="9"/>
  <c r="N272" i="9"/>
  <c r="M272" i="9"/>
  <c r="L272" i="9"/>
  <c r="O272" i="9" s="1"/>
  <c r="J270" i="9"/>
  <c r="I270" i="9"/>
  <c r="K270" i="9" s="1"/>
  <c r="J269" i="9"/>
  <c r="J268" i="9"/>
  <c r="J267" i="9"/>
  <c r="I267" i="9"/>
  <c r="K267" i="9" s="1"/>
  <c r="J266" i="9"/>
  <c r="I266" i="9"/>
  <c r="K266" i="9" s="1"/>
  <c r="J265" i="9"/>
  <c r="I265" i="9"/>
  <c r="K265" i="9" s="1"/>
  <c r="J264" i="9"/>
  <c r="I264" i="9"/>
  <c r="K264" i="9" s="1"/>
  <c r="J263" i="9"/>
  <c r="J262" i="9"/>
  <c r="J261" i="9"/>
  <c r="J260" i="9"/>
  <c r="N258" i="9"/>
  <c r="L258" i="9"/>
  <c r="O258" i="9" s="1"/>
  <c r="L256" i="9"/>
  <c r="L255" i="9"/>
  <c r="N254" i="9"/>
  <c r="M254" i="9"/>
  <c r="O253" i="9"/>
  <c r="P251" i="9"/>
  <c r="N251" i="9"/>
  <c r="M251" i="9"/>
  <c r="L251" i="9"/>
  <c r="J249" i="9"/>
  <c r="I249" i="9"/>
  <c r="K249" i="9" s="1"/>
  <c r="J246" i="9"/>
  <c r="J245" i="9"/>
  <c r="J244" i="9"/>
  <c r="I244" i="9"/>
  <c r="K244" i="9" s="1"/>
  <c r="J243" i="9"/>
  <c r="J242" i="9"/>
  <c r="J241" i="9"/>
  <c r="J240" i="9"/>
  <c r="J238" i="9"/>
  <c r="I238" i="9"/>
  <c r="K238" i="9" s="1"/>
  <c r="J237" i="9"/>
  <c r="J236" i="9"/>
  <c r="J235" i="9"/>
  <c r="I235" i="9"/>
  <c r="J234" i="9"/>
  <c r="J233" i="9"/>
  <c r="J232" i="9"/>
  <c r="J231" i="9"/>
  <c r="J229" i="9"/>
  <c r="I229" i="9"/>
  <c r="N228" i="9"/>
  <c r="L228" i="9"/>
  <c r="O228" i="9" s="1"/>
  <c r="L226" i="9"/>
  <c r="L225" i="9"/>
  <c r="N224" i="9"/>
  <c r="M224" i="9"/>
  <c r="O223" i="9"/>
  <c r="O221" i="9"/>
  <c r="N221" i="9"/>
  <c r="M221" i="9"/>
  <c r="L221" i="9"/>
  <c r="J219" i="9"/>
  <c r="I219" i="9"/>
  <c r="J218" i="9"/>
  <c r="J217" i="9"/>
  <c r="J216" i="9"/>
  <c r="I216" i="9"/>
  <c r="K216" i="9" s="1"/>
  <c r="J215" i="9"/>
  <c r="I215" i="9"/>
  <c r="K215" i="9" s="1"/>
  <c r="J213" i="9"/>
  <c r="I213" i="9"/>
  <c r="K213" i="9" s="1"/>
  <c r="J212" i="9"/>
  <c r="J211" i="9"/>
  <c r="J210" i="9"/>
  <c r="J209" i="9"/>
  <c r="J204" i="9"/>
  <c r="I204" i="9"/>
  <c r="K204" i="9" s="1"/>
  <c r="J203" i="9"/>
  <c r="J202" i="9"/>
  <c r="J201" i="9"/>
  <c r="I201" i="9"/>
  <c r="K201" i="9" s="1"/>
  <c r="J200" i="9"/>
  <c r="I200" i="9"/>
  <c r="J199" i="9"/>
  <c r="I199" i="9"/>
  <c r="J197" i="9"/>
  <c r="J196" i="9"/>
  <c r="J195" i="9"/>
  <c r="J194" i="9"/>
  <c r="J189" i="9"/>
  <c r="I189" i="9"/>
  <c r="J188" i="9"/>
  <c r="J187" i="9"/>
  <c r="J186" i="9"/>
  <c r="I186" i="9"/>
  <c r="K186" i="9" s="1"/>
  <c r="J185" i="9"/>
  <c r="I185" i="9"/>
  <c r="K185" i="9" s="1"/>
  <c r="J184" i="9"/>
  <c r="J183" i="9"/>
  <c r="J182" i="9"/>
  <c r="J181" i="9"/>
  <c r="J176" i="9"/>
  <c r="I176" i="9"/>
  <c r="K176" i="9" s="1"/>
  <c r="J175" i="9"/>
  <c r="J174" i="9"/>
  <c r="J173" i="9"/>
  <c r="I173" i="9"/>
  <c r="J172" i="9"/>
  <c r="J171" i="9"/>
  <c r="J170" i="9"/>
  <c r="J169" i="9"/>
  <c r="J164" i="9"/>
  <c r="I164" i="9"/>
  <c r="J163" i="9"/>
  <c r="J162" i="9"/>
  <c r="J161" i="9"/>
  <c r="J160" i="9"/>
  <c r="J159" i="9"/>
  <c r="J158" i="9"/>
  <c r="I158" i="9"/>
  <c r="J157" i="9"/>
  <c r="J156" i="9"/>
  <c r="J155" i="9"/>
  <c r="J154" i="9"/>
  <c r="J149" i="9"/>
  <c r="I149" i="9"/>
  <c r="N148" i="9"/>
  <c r="L148" i="9"/>
  <c r="O148" i="9" s="1"/>
  <c r="L146" i="9"/>
  <c r="L145" i="9"/>
  <c r="N144" i="9"/>
  <c r="M144" i="9"/>
  <c r="O143" i="9"/>
  <c r="P141" i="9"/>
  <c r="N141" i="9"/>
  <c r="M141" i="9"/>
  <c r="L141" i="9"/>
  <c r="J138" i="9"/>
  <c r="I138" i="9"/>
  <c r="K138" i="9" s="1"/>
  <c r="J135" i="9"/>
  <c r="J134" i="9"/>
  <c r="J133" i="9"/>
  <c r="I133" i="9"/>
  <c r="K133" i="9" s="1"/>
  <c r="J132" i="9"/>
  <c r="I132" i="9"/>
  <c r="K132" i="9" s="1"/>
  <c r="J131" i="9"/>
  <c r="J130" i="9"/>
  <c r="J129" i="9"/>
  <c r="J128" i="9"/>
  <c r="N126" i="9"/>
  <c r="L126" i="9"/>
  <c r="O126" i="9" s="1"/>
  <c r="L124" i="9"/>
  <c r="L123" i="9"/>
  <c r="N122" i="9"/>
  <c r="M122" i="9"/>
  <c r="P122" i="9" s="1"/>
  <c r="O121" i="9"/>
  <c r="N119" i="9"/>
  <c r="M119" i="9"/>
  <c r="L119" i="9"/>
  <c r="O119" i="9" s="1"/>
  <c r="J117" i="9"/>
  <c r="I117" i="9"/>
  <c r="K117" i="9" s="1"/>
  <c r="J115" i="9"/>
  <c r="J114" i="9"/>
  <c r="J113" i="9"/>
  <c r="I113" i="9"/>
  <c r="K113" i="9" s="1"/>
  <c r="J112" i="9"/>
  <c r="I112" i="9"/>
  <c r="K112" i="9" s="1"/>
  <c r="J111" i="9"/>
  <c r="I111" i="9"/>
  <c r="K111" i="9" s="1"/>
  <c r="J110" i="9"/>
  <c r="I110" i="9"/>
  <c r="K110" i="9" s="1"/>
  <c r="J109" i="9"/>
  <c r="I109" i="9"/>
  <c r="K109" i="9" s="1"/>
  <c r="J108" i="9"/>
  <c r="I108" i="9"/>
  <c r="K108" i="9" s="1"/>
  <c r="J107" i="9"/>
  <c r="J106" i="9"/>
  <c r="J105" i="9"/>
  <c r="J104" i="9"/>
  <c r="N102" i="9"/>
  <c r="L102" i="9"/>
  <c r="O102" i="9" s="1"/>
  <c r="L100" i="9"/>
  <c r="L99" i="9"/>
  <c r="N98" i="9"/>
  <c r="M98" i="9"/>
  <c r="P98" i="9" s="1"/>
  <c r="O97" i="9"/>
  <c r="P95" i="9"/>
  <c r="O95" i="9"/>
  <c r="N95" i="9"/>
  <c r="M95" i="9"/>
  <c r="L95" i="9"/>
  <c r="J93" i="9"/>
  <c r="I93" i="9"/>
  <c r="K93" i="9" s="1"/>
  <c r="J92" i="9"/>
  <c r="I92" i="9"/>
  <c r="K92" i="9" s="1"/>
  <c r="J90" i="9"/>
  <c r="J89" i="9"/>
  <c r="J88" i="9"/>
  <c r="I88" i="9"/>
  <c r="K88" i="9" s="1"/>
  <c r="J87" i="9"/>
  <c r="I87" i="9"/>
  <c r="K87" i="9" s="1"/>
  <c r="J86" i="9"/>
  <c r="I86" i="9"/>
  <c r="K86" i="9" s="1"/>
  <c r="J85" i="9"/>
  <c r="I85" i="9"/>
  <c r="K85" i="9" s="1"/>
  <c r="J84" i="9"/>
  <c r="I84" i="9"/>
  <c r="K84" i="9" s="1"/>
  <c r="J83" i="9"/>
  <c r="I83" i="9"/>
  <c r="K83" i="9" s="1"/>
  <c r="J82" i="9"/>
  <c r="I82" i="9"/>
  <c r="K82" i="9" s="1"/>
  <c r="J81" i="9"/>
  <c r="I81" i="9"/>
  <c r="K81" i="9" s="1"/>
  <c r="J80" i="9"/>
  <c r="I80" i="9"/>
  <c r="K80" i="9" s="1"/>
  <c r="J79" i="9"/>
  <c r="J78" i="9"/>
  <c r="J77" i="9"/>
  <c r="J76" i="9"/>
  <c r="N74" i="9"/>
  <c r="L74" i="9"/>
  <c r="O74" i="9" s="1"/>
  <c r="L72" i="9"/>
  <c r="L71" i="9"/>
  <c r="N70" i="9"/>
  <c r="M70" i="9"/>
  <c r="O69" i="9"/>
  <c r="P67" i="9"/>
  <c r="O67" i="9"/>
  <c r="N67" i="9"/>
  <c r="M67" i="9"/>
  <c r="L67" i="9"/>
  <c r="J65" i="9"/>
  <c r="I65" i="9"/>
  <c r="K65" i="9" s="1"/>
  <c r="J64" i="9"/>
  <c r="I64" i="9"/>
  <c r="K64" i="9" s="1"/>
  <c r="N61" i="9"/>
  <c r="L61" i="9"/>
  <c r="O61" i="9" s="1"/>
  <c r="L59" i="9"/>
  <c r="L58" i="9"/>
  <c r="N57" i="9"/>
  <c r="M57" i="9"/>
  <c r="P54" i="9"/>
  <c r="O54" i="9"/>
  <c r="N54" i="9"/>
  <c r="M54" i="9"/>
  <c r="L54" i="9"/>
  <c r="N49" i="9"/>
  <c r="L49" i="9"/>
  <c r="O49" i="9" s="1"/>
  <c r="L47" i="9"/>
  <c r="L46" i="9"/>
  <c r="N45" i="9"/>
  <c r="M45" i="9"/>
  <c r="M43" i="9" s="1"/>
  <c r="O42" i="9"/>
  <c r="N42" i="9"/>
  <c r="M42" i="9"/>
  <c r="P42" i="9" s="1"/>
  <c r="L42" i="9"/>
  <c r="P36" i="9"/>
  <c r="O36" i="9"/>
  <c r="P35" i="9"/>
  <c r="O35" i="9"/>
  <c r="M34" i="9"/>
  <c r="M33" i="9"/>
  <c r="P33" i="9" s="1"/>
  <c r="P32" i="9"/>
  <c r="M32" i="9"/>
  <c r="M30" i="9" s="1"/>
  <c r="P30" i="9" s="1"/>
  <c r="M31" i="9"/>
  <c r="N25" i="9"/>
  <c r="N15" i="9" s="1"/>
  <c r="M25" i="9"/>
  <c r="L25" i="9"/>
  <c r="O25" i="9" s="1"/>
  <c r="N24" i="9"/>
  <c r="M24" i="9"/>
  <c r="P24" i="9" s="1"/>
  <c r="P23" i="9"/>
  <c r="N23" i="9"/>
  <c r="M23" i="9"/>
  <c r="P21" i="9"/>
  <c r="N21" i="9"/>
  <c r="M21" i="9"/>
  <c r="L21" i="9"/>
  <c r="O21" i="9" s="1"/>
  <c r="L19" i="9"/>
  <c r="M13" i="9"/>
  <c r="P13" i="9" s="1"/>
  <c r="J635" i="8"/>
  <c r="I635" i="8"/>
  <c r="J634" i="8"/>
  <c r="I634" i="8"/>
  <c r="J633" i="8"/>
  <c r="I633" i="8"/>
  <c r="J632" i="8"/>
  <c r="I632" i="8"/>
  <c r="J631" i="8"/>
  <c r="I631" i="8"/>
  <c r="J630" i="8"/>
  <c r="I630" i="8"/>
  <c r="J629" i="8"/>
  <c r="I629" i="8"/>
  <c r="J628" i="8"/>
  <c r="I628" i="8"/>
  <c r="J626" i="8"/>
  <c r="I626" i="8"/>
  <c r="J625" i="8"/>
  <c r="I625" i="8"/>
  <c r="J624" i="8"/>
  <c r="I624" i="8"/>
  <c r="J623" i="8"/>
  <c r="I623" i="8"/>
  <c r="J622" i="8"/>
  <c r="I622" i="8"/>
  <c r="J621" i="8"/>
  <c r="I621" i="8"/>
  <c r="J620" i="8"/>
  <c r="I620" i="8"/>
  <c r="K620" i="8" s="1"/>
  <c r="J619" i="8"/>
  <c r="I619" i="8"/>
  <c r="J618" i="8"/>
  <c r="I618" i="8"/>
  <c r="J617" i="8"/>
  <c r="I617" i="8"/>
  <c r="J616" i="8"/>
  <c r="I616" i="8"/>
  <c r="J615" i="8"/>
  <c r="I615" i="8"/>
  <c r="J614" i="8"/>
  <c r="I614" i="8"/>
  <c r="J613" i="8"/>
  <c r="I613" i="8"/>
  <c r="J612" i="8"/>
  <c r="I612" i="8"/>
  <c r="J611" i="8"/>
  <c r="I611" i="8"/>
  <c r="J610" i="8"/>
  <c r="J609" i="8"/>
  <c r="J608" i="8"/>
  <c r="J607" i="8"/>
  <c r="N605" i="8"/>
  <c r="N604" i="8"/>
  <c r="N603" i="8"/>
  <c r="N602" i="8"/>
  <c r="N601" i="8"/>
  <c r="L601" i="8"/>
  <c r="N600" i="8"/>
  <c r="L600" i="8"/>
  <c r="O600" i="8" s="1"/>
  <c r="N599" i="8"/>
  <c r="L599" i="8"/>
  <c r="N598" i="8"/>
  <c r="L598" i="8"/>
  <c r="O598" i="8" s="1"/>
  <c r="N597" i="8"/>
  <c r="L597" i="8"/>
  <c r="J597" i="8"/>
  <c r="I597" i="8"/>
  <c r="J596" i="8"/>
  <c r="I596" i="8"/>
  <c r="K596" i="8" s="1"/>
  <c r="J595" i="8"/>
  <c r="I595" i="8"/>
  <c r="J594" i="8"/>
  <c r="I594" i="8"/>
  <c r="K594" i="8" s="1"/>
  <c r="J593" i="8"/>
  <c r="I593" i="8"/>
  <c r="J592" i="8"/>
  <c r="I592" i="8"/>
  <c r="K592" i="8" s="1"/>
  <c r="J591" i="8"/>
  <c r="I591" i="8"/>
  <c r="J590" i="8"/>
  <c r="I590" i="8"/>
  <c r="K590" i="8" s="1"/>
  <c r="J589" i="8"/>
  <c r="I589" i="8"/>
  <c r="N588" i="8"/>
  <c r="N587" i="8"/>
  <c r="N586" i="8"/>
  <c r="N585" i="8"/>
  <c r="N584" i="8"/>
  <c r="L584" i="8"/>
  <c r="N583" i="8"/>
  <c r="L583" i="8"/>
  <c r="O583" i="8" s="1"/>
  <c r="N582" i="8"/>
  <c r="L582" i="8"/>
  <c r="N581" i="8"/>
  <c r="L581" i="8"/>
  <c r="O581" i="8" s="1"/>
  <c r="N580" i="8"/>
  <c r="L580" i="8"/>
  <c r="J580" i="8"/>
  <c r="I580" i="8"/>
  <c r="J579" i="8"/>
  <c r="I579" i="8"/>
  <c r="K579" i="8" s="1"/>
  <c r="J578" i="8"/>
  <c r="I578" i="8"/>
  <c r="K578" i="8" s="1"/>
  <c r="J577" i="8"/>
  <c r="I577" i="8"/>
  <c r="K577" i="8" s="1"/>
  <c r="J576" i="8"/>
  <c r="I576" i="8"/>
  <c r="K576" i="8" s="1"/>
  <c r="J575" i="8"/>
  <c r="I575" i="8"/>
  <c r="K575" i="8" s="1"/>
  <c r="J573" i="8"/>
  <c r="I573" i="8"/>
  <c r="N572" i="8"/>
  <c r="N571" i="8"/>
  <c r="N570" i="8"/>
  <c r="N569" i="8"/>
  <c r="N568" i="8"/>
  <c r="L568" i="8"/>
  <c r="N567" i="8"/>
  <c r="L567" i="8"/>
  <c r="O567" i="8" s="1"/>
  <c r="N566" i="8"/>
  <c r="L566" i="8"/>
  <c r="N565" i="8"/>
  <c r="L565" i="8"/>
  <c r="O565" i="8" s="1"/>
  <c r="N564" i="8"/>
  <c r="L564" i="8"/>
  <c r="J564" i="8"/>
  <c r="I564" i="8"/>
  <c r="J563" i="8"/>
  <c r="J562" i="8"/>
  <c r="J561" i="8"/>
  <c r="I561" i="8"/>
  <c r="K561" i="8" s="1"/>
  <c r="J560" i="8"/>
  <c r="I560" i="8"/>
  <c r="K560" i="8" s="1"/>
  <c r="N559" i="8"/>
  <c r="N558" i="8"/>
  <c r="N557" i="8"/>
  <c r="N556" i="8"/>
  <c r="N555" i="8"/>
  <c r="L555" i="8"/>
  <c r="O555" i="8" s="1"/>
  <c r="N554" i="8"/>
  <c r="L554" i="8"/>
  <c r="O554" i="8" s="1"/>
  <c r="N553" i="8"/>
  <c r="L553" i="8"/>
  <c r="O553" i="8" s="1"/>
  <c r="N552" i="8"/>
  <c r="L552" i="8"/>
  <c r="O552" i="8" s="1"/>
  <c r="N551" i="8"/>
  <c r="L551" i="8"/>
  <c r="O551" i="8" s="1"/>
  <c r="J551" i="8"/>
  <c r="I551" i="8"/>
  <c r="K551" i="8" s="1"/>
  <c r="J550" i="8"/>
  <c r="J549" i="8"/>
  <c r="J548" i="8"/>
  <c r="I548" i="8"/>
  <c r="K548" i="8" s="1"/>
  <c r="J547" i="8"/>
  <c r="I547" i="8"/>
  <c r="J546" i="8"/>
  <c r="J545" i="8"/>
  <c r="J544" i="8"/>
  <c r="J543" i="8"/>
  <c r="N541" i="8"/>
  <c r="N540" i="8"/>
  <c r="N539" i="8"/>
  <c r="N538" i="8"/>
  <c r="N537" i="8"/>
  <c r="L537" i="8"/>
  <c r="N536" i="8"/>
  <c r="L536" i="8"/>
  <c r="O536" i="8" s="1"/>
  <c r="N535" i="8"/>
  <c r="L535" i="8"/>
  <c r="N534" i="8"/>
  <c r="L534" i="8"/>
  <c r="O534" i="8" s="1"/>
  <c r="N533" i="8"/>
  <c r="L533" i="8"/>
  <c r="J533" i="8"/>
  <c r="I533" i="8"/>
  <c r="J532" i="8"/>
  <c r="I532" i="8"/>
  <c r="J531" i="8"/>
  <c r="I531" i="8"/>
  <c r="J530" i="8"/>
  <c r="I530" i="8"/>
  <c r="J529" i="8"/>
  <c r="I529" i="8"/>
  <c r="J528" i="8"/>
  <c r="I528" i="8"/>
  <c r="J527" i="8"/>
  <c r="I527" i="8"/>
  <c r="J526" i="8"/>
  <c r="I526" i="8"/>
  <c r="J525" i="8"/>
  <c r="I525" i="8"/>
  <c r="J524" i="8"/>
  <c r="I524" i="8"/>
  <c r="J523" i="8"/>
  <c r="I523" i="8"/>
  <c r="J522" i="8"/>
  <c r="I522" i="8"/>
  <c r="J521" i="8"/>
  <c r="I521" i="8"/>
  <c r="J520" i="8"/>
  <c r="I520" i="8"/>
  <c r="J519" i="8"/>
  <c r="I519" i="8"/>
  <c r="J518" i="8"/>
  <c r="I518" i="8"/>
  <c r="J517" i="8"/>
  <c r="I517" i="8"/>
  <c r="J516" i="8"/>
  <c r="I516" i="8"/>
  <c r="J515" i="8"/>
  <c r="I515" i="8"/>
  <c r="K515" i="8" s="1"/>
  <c r="J514" i="8"/>
  <c r="I514" i="8"/>
  <c r="K514" i="8" s="1"/>
  <c r="J513" i="8"/>
  <c r="I513" i="8"/>
  <c r="K513" i="8" s="1"/>
  <c r="J512" i="8"/>
  <c r="I512" i="8"/>
  <c r="K512" i="8" s="1"/>
  <c r="J511" i="8"/>
  <c r="I511" i="8"/>
  <c r="K511" i="8" s="1"/>
  <c r="J510" i="8"/>
  <c r="I510" i="8"/>
  <c r="K510" i="8" s="1"/>
  <c r="J509" i="8"/>
  <c r="I509" i="8"/>
  <c r="K509" i="8" s="1"/>
  <c r="J508" i="8"/>
  <c r="I508" i="8"/>
  <c r="K508" i="8" s="1"/>
  <c r="J507" i="8"/>
  <c r="I507" i="8"/>
  <c r="K507" i="8" s="1"/>
  <c r="J506" i="8"/>
  <c r="I506" i="8"/>
  <c r="K506" i="8" s="1"/>
  <c r="J505" i="8"/>
  <c r="I505" i="8"/>
  <c r="K505" i="8" s="1"/>
  <c r="J504" i="8"/>
  <c r="I504" i="8"/>
  <c r="K504" i="8" s="1"/>
  <c r="J503" i="8"/>
  <c r="I503" i="8"/>
  <c r="K503" i="8" s="1"/>
  <c r="J502" i="8"/>
  <c r="I502" i="8"/>
  <c r="K502" i="8" s="1"/>
  <c r="J501" i="8"/>
  <c r="I501" i="8"/>
  <c r="K501" i="8" s="1"/>
  <c r="J500" i="8"/>
  <c r="I500" i="8"/>
  <c r="K500" i="8" s="1"/>
  <c r="J499" i="8"/>
  <c r="I499" i="8"/>
  <c r="J498" i="8"/>
  <c r="I498" i="8"/>
  <c r="J497" i="8"/>
  <c r="I497" i="8"/>
  <c r="J496" i="8"/>
  <c r="I496" i="8"/>
  <c r="K496" i="8" s="1"/>
  <c r="J495" i="8"/>
  <c r="I495" i="8"/>
  <c r="K495" i="8" s="1"/>
  <c r="J494" i="8"/>
  <c r="I494" i="8"/>
  <c r="K494" i="8" s="1"/>
  <c r="J493" i="8"/>
  <c r="I493" i="8"/>
  <c r="K493" i="8" s="1"/>
  <c r="J492" i="8"/>
  <c r="I492" i="8"/>
  <c r="K492" i="8" s="1"/>
  <c r="J491" i="8"/>
  <c r="I491" i="8"/>
  <c r="K491" i="8" s="1"/>
  <c r="J490" i="8"/>
  <c r="I490" i="8"/>
  <c r="K490" i="8" s="1"/>
  <c r="J489" i="8"/>
  <c r="I489" i="8"/>
  <c r="K489" i="8" s="1"/>
  <c r="J488" i="8"/>
  <c r="I488" i="8"/>
  <c r="K488" i="8" s="1"/>
  <c r="J487" i="8"/>
  <c r="I487" i="8"/>
  <c r="K487" i="8" s="1"/>
  <c r="J486" i="8"/>
  <c r="I486" i="8"/>
  <c r="K486" i="8" s="1"/>
  <c r="J485" i="8"/>
  <c r="I485" i="8"/>
  <c r="K485" i="8" s="1"/>
  <c r="J484" i="8"/>
  <c r="I484" i="8"/>
  <c r="K484" i="8" s="1"/>
  <c r="J483" i="8"/>
  <c r="I483" i="8"/>
  <c r="K483" i="8" s="1"/>
  <c r="J482" i="8"/>
  <c r="I482" i="8"/>
  <c r="J481" i="8"/>
  <c r="I481" i="8"/>
  <c r="J480" i="8"/>
  <c r="I480" i="8"/>
  <c r="K480" i="8" s="1"/>
  <c r="J479" i="8"/>
  <c r="I479" i="8"/>
  <c r="K479" i="8" s="1"/>
  <c r="J478" i="8"/>
  <c r="I478" i="8"/>
  <c r="K478" i="8" s="1"/>
  <c r="J477" i="8"/>
  <c r="I477" i="8"/>
  <c r="K477" i="8" s="1"/>
  <c r="J476" i="8"/>
  <c r="I476" i="8"/>
  <c r="K476" i="8" s="1"/>
  <c r="J475" i="8"/>
  <c r="I475" i="8"/>
  <c r="K475" i="8" s="1"/>
  <c r="J474" i="8"/>
  <c r="I474" i="8"/>
  <c r="J473" i="8"/>
  <c r="I473" i="8"/>
  <c r="J472" i="8"/>
  <c r="I472" i="8"/>
  <c r="K472" i="8" s="1"/>
  <c r="J471" i="8"/>
  <c r="I471" i="8"/>
  <c r="K471" i="8" s="1"/>
  <c r="J470" i="8"/>
  <c r="I470" i="8"/>
  <c r="K470" i="8" s="1"/>
  <c r="J469" i="8"/>
  <c r="I469" i="8"/>
  <c r="K469" i="8" s="1"/>
  <c r="J468" i="8"/>
  <c r="I468" i="8"/>
  <c r="K468" i="8" s="1"/>
  <c r="J467" i="8"/>
  <c r="I467" i="8"/>
  <c r="K467" i="8" s="1"/>
  <c r="J466" i="8"/>
  <c r="I466" i="8"/>
  <c r="J465" i="8"/>
  <c r="I465" i="8"/>
  <c r="J464" i="8"/>
  <c r="I464" i="8"/>
  <c r="N463" i="8"/>
  <c r="N462" i="8"/>
  <c r="N461" i="8"/>
  <c r="N460" i="8"/>
  <c r="N459" i="8"/>
  <c r="L459" i="8"/>
  <c r="N458" i="8"/>
  <c r="L458" i="8"/>
  <c r="O458" i="8" s="1"/>
  <c r="N457" i="8"/>
  <c r="L457" i="8"/>
  <c r="N456" i="8"/>
  <c r="L456" i="8"/>
  <c r="O456" i="8" s="1"/>
  <c r="N455" i="8"/>
  <c r="L455" i="8"/>
  <c r="J455" i="8"/>
  <c r="I455" i="8"/>
  <c r="J454" i="8"/>
  <c r="J453" i="8"/>
  <c r="J452" i="8"/>
  <c r="I452" i="8"/>
  <c r="K452" i="8" s="1"/>
  <c r="J451" i="8"/>
  <c r="I451" i="8"/>
  <c r="K451" i="8" s="1"/>
  <c r="J450" i="8"/>
  <c r="I450" i="8"/>
  <c r="J449" i="8"/>
  <c r="I449" i="8"/>
  <c r="J448" i="8"/>
  <c r="J447" i="8"/>
  <c r="J446" i="8"/>
  <c r="J445" i="8"/>
  <c r="N443" i="8"/>
  <c r="N442" i="8"/>
  <c r="N441" i="8"/>
  <c r="N440" i="8"/>
  <c r="N439" i="8"/>
  <c r="L439" i="8"/>
  <c r="N438" i="8"/>
  <c r="L438" i="8"/>
  <c r="O438" i="8" s="1"/>
  <c r="N437" i="8"/>
  <c r="L437" i="8"/>
  <c r="N436" i="8"/>
  <c r="L436" i="8"/>
  <c r="O436" i="8" s="1"/>
  <c r="N435" i="8"/>
  <c r="L435" i="8"/>
  <c r="J435" i="8"/>
  <c r="I435" i="8"/>
  <c r="J434" i="8"/>
  <c r="J433" i="8"/>
  <c r="J432" i="8"/>
  <c r="I432" i="8"/>
  <c r="J431" i="8"/>
  <c r="I431" i="8"/>
  <c r="J430" i="8"/>
  <c r="I430" i="8"/>
  <c r="J429" i="8"/>
  <c r="I429" i="8"/>
  <c r="J428" i="8"/>
  <c r="I428" i="8"/>
  <c r="J427" i="8"/>
  <c r="I427" i="8"/>
  <c r="J426" i="8"/>
  <c r="I426" i="8"/>
  <c r="J425" i="8"/>
  <c r="I425" i="8"/>
  <c r="J424" i="8"/>
  <c r="I424" i="8"/>
  <c r="J423" i="8"/>
  <c r="I423" i="8"/>
  <c r="J422" i="8"/>
  <c r="I422" i="8"/>
  <c r="J421" i="8"/>
  <c r="I421" i="8"/>
  <c r="J420" i="8"/>
  <c r="I420" i="8"/>
  <c r="J419" i="8"/>
  <c r="I419" i="8"/>
  <c r="J418" i="8"/>
  <c r="I418" i="8"/>
  <c r="J417" i="8"/>
  <c r="I417" i="8"/>
  <c r="J416" i="8"/>
  <c r="I416" i="8"/>
  <c r="J415" i="8"/>
  <c r="J414" i="8"/>
  <c r="J413" i="8"/>
  <c r="J412" i="8"/>
  <c r="N410" i="8"/>
  <c r="N409" i="8"/>
  <c r="N408" i="8"/>
  <c r="N407" i="8"/>
  <c r="N406" i="8"/>
  <c r="L406" i="8"/>
  <c r="N405" i="8"/>
  <c r="L405" i="8"/>
  <c r="O405" i="8" s="1"/>
  <c r="N404" i="8"/>
  <c r="L404" i="8"/>
  <c r="N403" i="8"/>
  <c r="L403" i="8"/>
  <c r="O403" i="8" s="1"/>
  <c r="J402" i="8"/>
  <c r="I402" i="8"/>
  <c r="N401" i="8"/>
  <c r="L401" i="8"/>
  <c r="J401" i="8"/>
  <c r="I401" i="8"/>
  <c r="J400" i="8"/>
  <c r="J399" i="8"/>
  <c r="J398" i="8"/>
  <c r="I398" i="8"/>
  <c r="J397" i="8"/>
  <c r="I397" i="8"/>
  <c r="J396" i="8"/>
  <c r="I396" i="8"/>
  <c r="J394" i="8"/>
  <c r="J393" i="8"/>
  <c r="J392" i="8"/>
  <c r="J391" i="8"/>
  <c r="N389" i="8"/>
  <c r="N388" i="8"/>
  <c r="N387" i="8"/>
  <c r="N386" i="8"/>
  <c r="N385" i="8"/>
  <c r="L385" i="8"/>
  <c r="N384" i="8"/>
  <c r="L384" i="8"/>
  <c r="O384" i="8" s="1"/>
  <c r="N383" i="8"/>
  <c r="L383" i="8"/>
  <c r="N382" i="8"/>
  <c r="L382" i="8"/>
  <c r="O382" i="8" s="1"/>
  <c r="J381" i="8"/>
  <c r="I381" i="8"/>
  <c r="N380" i="8"/>
  <c r="L380" i="8"/>
  <c r="J380" i="8"/>
  <c r="I380" i="8"/>
  <c r="J379" i="8"/>
  <c r="J378" i="8"/>
  <c r="J377" i="8"/>
  <c r="I377" i="8"/>
  <c r="J376" i="8"/>
  <c r="I376" i="8"/>
  <c r="J375" i="8"/>
  <c r="I375" i="8"/>
  <c r="J374" i="8"/>
  <c r="I374" i="8"/>
  <c r="J373" i="8"/>
  <c r="I373" i="8"/>
  <c r="K373" i="8" s="1"/>
  <c r="J372" i="8"/>
  <c r="I372" i="8"/>
  <c r="J371" i="8"/>
  <c r="I371" i="8"/>
  <c r="K371" i="8" s="1"/>
  <c r="J370" i="8"/>
  <c r="I370" i="8"/>
  <c r="J369" i="8"/>
  <c r="I369" i="8"/>
  <c r="J368" i="8"/>
  <c r="I368" i="8"/>
  <c r="J367" i="8"/>
  <c r="J366" i="8"/>
  <c r="J365" i="8"/>
  <c r="I365" i="8"/>
  <c r="K365" i="8" s="1"/>
  <c r="J364" i="8"/>
  <c r="J363" i="8"/>
  <c r="J362" i="8"/>
  <c r="J361" i="8"/>
  <c r="J360" i="8"/>
  <c r="N358" i="8"/>
  <c r="N357" i="8"/>
  <c r="N356" i="8"/>
  <c r="N355" i="8"/>
  <c r="N354" i="8"/>
  <c r="L354" i="8"/>
  <c r="N353" i="8"/>
  <c r="L353" i="8"/>
  <c r="O353" i="8" s="1"/>
  <c r="N352" i="8"/>
  <c r="L352" i="8"/>
  <c r="N351" i="8"/>
  <c r="L351" i="8"/>
  <c r="O351" i="8" s="1"/>
  <c r="J350" i="8"/>
  <c r="I350" i="8"/>
  <c r="N349" i="8"/>
  <c r="L349" i="8"/>
  <c r="J349" i="8"/>
  <c r="I349" i="8"/>
  <c r="N347" i="8"/>
  <c r="L347" i="8"/>
  <c r="J346" i="8"/>
  <c r="I346" i="8"/>
  <c r="K346" i="8" s="1"/>
  <c r="J345" i="8"/>
  <c r="I345" i="8"/>
  <c r="J344" i="8"/>
  <c r="I344" i="8"/>
  <c r="K344" i="8" s="1"/>
  <c r="J343" i="8"/>
  <c r="I343" i="8"/>
  <c r="J342" i="8"/>
  <c r="I342" i="8"/>
  <c r="K342" i="8" s="1"/>
  <c r="J341" i="8"/>
  <c r="I341" i="8"/>
  <c r="J340" i="8"/>
  <c r="I340" i="8"/>
  <c r="J339" i="8"/>
  <c r="I339" i="8"/>
  <c r="K339" i="8" s="1"/>
  <c r="N337" i="8"/>
  <c r="L337" i="8"/>
  <c r="L335" i="8"/>
  <c r="L334" i="8"/>
  <c r="N333" i="8"/>
  <c r="M333" i="8"/>
  <c r="O332" i="8"/>
  <c r="N330" i="8"/>
  <c r="M330" i="8"/>
  <c r="L330" i="8"/>
  <c r="O330" i="8" s="1"/>
  <c r="J328" i="8"/>
  <c r="I328" i="8"/>
  <c r="J326" i="8"/>
  <c r="J325" i="8"/>
  <c r="J324" i="8"/>
  <c r="I324" i="8"/>
  <c r="K324" i="8" s="1"/>
  <c r="J323" i="8"/>
  <c r="J322" i="8"/>
  <c r="J321" i="8"/>
  <c r="J320" i="8"/>
  <c r="N318" i="8"/>
  <c r="L318" i="8"/>
  <c r="O318" i="8" s="1"/>
  <c r="L316" i="8"/>
  <c r="L315" i="8"/>
  <c r="N314" i="8"/>
  <c r="M314" i="8"/>
  <c r="M312" i="8" s="1"/>
  <c r="O313" i="8"/>
  <c r="P311" i="8"/>
  <c r="N311" i="8"/>
  <c r="M311" i="8"/>
  <c r="L311" i="8"/>
  <c r="J309" i="8"/>
  <c r="I309" i="8"/>
  <c r="K309" i="8" s="1"/>
  <c r="J308" i="8"/>
  <c r="J307" i="8"/>
  <c r="J306" i="8"/>
  <c r="I306" i="8"/>
  <c r="K306" i="8" s="1"/>
  <c r="J304" i="8"/>
  <c r="I304" i="8"/>
  <c r="K304" i="8" s="1"/>
  <c r="J303" i="8"/>
  <c r="J302" i="8"/>
  <c r="J301" i="8"/>
  <c r="J300" i="8"/>
  <c r="N298" i="8"/>
  <c r="L298" i="8"/>
  <c r="O298" i="8" s="1"/>
  <c r="L296" i="8"/>
  <c r="L295" i="8"/>
  <c r="N294" i="8"/>
  <c r="M294" i="8"/>
  <c r="P294" i="8" s="1"/>
  <c r="O293" i="8"/>
  <c r="N291" i="8"/>
  <c r="M291" i="8"/>
  <c r="L291" i="8"/>
  <c r="J289" i="8"/>
  <c r="I289" i="8"/>
  <c r="K289" i="8" s="1"/>
  <c r="J287" i="8"/>
  <c r="J286" i="8"/>
  <c r="J285" i="8"/>
  <c r="I285" i="8"/>
  <c r="J284" i="8"/>
  <c r="J283" i="8"/>
  <c r="J282" i="8"/>
  <c r="J281" i="8"/>
  <c r="N279" i="8"/>
  <c r="L279" i="8"/>
  <c r="O279" i="8" s="1"/>
  <c r="L277" i="8"/>
  <c r="L276" i="8"/>
  <c r="N275" i="8"/>
  <c r="M275" i="8"/>
  <c r="M273" i="8" s="1"/>
  <c r="O274" i="8"/>
  <c r="P272" i="8"/>
  <c r="O272" i="8"/>
  <c r="N272" i="8"/>
  <c r="M272" i="8"/>
  <c r="L272" i="8"/>
  <c r="J270" i="8"/>
  <c r="I270" i="8"/>
  <c r="J269" i="8"/>
  <c r="J268" i="8"/>
  <c r="J267" i="8"/>
  <c r="I267" i="8"/>
  <c r="J266" i="8"/>
  <c r="I266" i="8"/>
  <c r="J265" i="8"/>
  <c r="I265" i="8"/>
  <c r="J264" i="8"/>
  <c r="I264" i="8"/>
  <c r="J263" i="8"/>
  <c r="J262" i="8"/>
  <c r="J261" i="8"/>
  <c r="J260" i="8"/>
  <c r="N258" i="8"/>
  <c r="L258" i="8"/>
  <c r="O258" i="8" s="1"/>
  <c r="L256" i="8"/>
  <c r="L255" i="8"/>
  <c r="N254" i="8"/>
  <c r="M254" i="8"/>
  <c r="M252" i="8" s="1"/>
  <c r="O253" i="8"/>
  <c r="O251" i="8"/>
  <c r="N251" i="8"/>
  <c r="M251" i="8"/>
  <c r="P251" i="8" s="1"/>
  <c r="L251" i="8"/>
  <c r="J249" i="8"/>
  <c r="I249" i="8"/>
  <c r="J246" i="8"/>
  <c r="J245" i="8"/>
  <c r="J244" i="8"/>
  <c r="I244" i="8"/>
  <c r="K244" i="8" s="1"/>
  <c r="J243" i="8"/>
  <c r="J242" i="8"/>
  <c r="J241" i="8"/>
  <c r="J240" i="8"/>
  <c r="J238" i="8"/>
  <c r="I238" i="8"/>
  <c r="K238" i="8" s="1"/>
  <c r="J237" i="8"/>
  <c r="J236" i="8"/>
  <c r="J235" i="8"/>
  <c r="I235" i="8"/>
  <c r="J234" i="8"/>
  <c r="J233" i="8"/>
  <c r="J232" i="8"/>
  <c r="J231" i="8"/>
  <c r="J229" i="8"/>
  <c r="I229" i="8"/>
  <c r="N228" i="8"/>
  <c r="L228" i="8"/>
  <c r="O228" i="8" s="1"/>
  <c r="L226" i="8"/>
  <c r="L225" i="8"/>
  <c r="N224" i="8"/>
  <c r="M224" i="8"/>
  <c r="M222" i="8" s="1"/>
  <c r="O223" i="8"/>
  <c r="O221" i="8"/>
  <c r="N221" i="8"/>
  <c r="M221" i="8"/>
  <c r="P221" i="8" s="1"/>
  <c r="L221" i="8"/>
  <c r="J219" i="8"/>
  <c r="I219" i="8"/>
  <c r="J218" i="8"/>
  <c r="J217" i="8"/>
  <c r="J216" i="8"/>
  <c r="I216" i="8"/>
  <c r="J215" i="8"/>
  <c r="I215" i="8"/>
  <c r="J213" i="8"/>
  <c r="I213" i="8"/>
  <c r="J212" i="8"/>
  <c r="J211" i="8"/>
  <c r="J210" i="8"/>
  <c r="J209" i="8"/>
  <c r="J204" i="8"/>
  <c r="I204" i="8"/>
  <c r="J203" i="8"/>
  <c r="J202" i="8"/>
  <c r="J201" i="8"/>
  <c r="I201" i="8"/>
  <c r="J200" i="8"/>
  <c r="I200" i="8"/>
  <c r="J199" i="8"/>
  <c r="I199" i="8"/>
  <c r="J197" i="8"/>
  <c r="J196" i="8"/>
  <c r="J195" i="8"/>
  <c r="J194" i="8"/>
  <c r="J189" i="8"/>
  <c r="I189" i="8"/>
  <c r="J188" i="8"/>
  <c r="J187" i="8"/>
  <c r="J186" i="8"/>
  <c r="I186" i="8"/>
  <c r="K186" i="8" s="1"/>
  <c r="J185" i="8"/>
  <c r="I185" i="8"/>
  <c r="K185" i="8" s="1"/>
  <c r="J184" i="8"/>
  <c r="J183" i="8"/>
  <c r="J182" i="8"/>
  <c r="J181" i="8"/>
  <c r="J176" i="8"/>
  <c r="I176" i="8"/>
  <c r="K176" i="8" s="1"/>
  <c r="J175" i="8"/>
  <c r="J174" i="8"/>
  <c r="J173" i="8"/>
  <c r="I173" i="8"/>
  <c r="J172" i="8"/>
  <c r="J171" i="8"/>
  <c r="J170" i="8"/>
  <c r="J169" i="8"/>
  <c r="J164" i="8"/>
  <c r="I164" i="8"/>
  <c r="J163" i="8"/>
  <c r="J162" i="8"/>
  <c r="J161" i="8"/>
  <c r="J160" i="8"/>
  <c r="J159" i="8"/>
  <c r="J158" i="8"/>
  <c r="I158" i="8"/>
  <c r="J157" i="8"/>
  <c r="J156" i="8"/>
  <c r="J155" i="8"/>
  <c r="J154" i="8"/>
  <c r="J149" i="8"/>
  <c r="I149" i="8"/>
  <c r="N148" i="8"/>
  <c r="L148" i="8"/>
  <c r="O148" i="8" s="1"/>
  <c r="L146" i="8"/>
  <c r="L145" i="8"/>
  <c r="N144" i="8"/>
  <c r="M144" i="8"/>
  <c r="O143" i="8"/>
  <c r="O141" i="8"/>
  <c r="N141" i="8"/>
  <c r="M141" i="8"/>
  <c r="P141" i="8" s="1"/>
  <c r="L141" i="8"/>
  <c r="J138" i="8"/>
  <c r="I138" i="8"/>
  <c r="J135" i="8"/>
  <c r="J134" i="8"/>
  <c r="J133" i="8"/>
  <c r="I133" i="8"/>
  <c r="J132" i="8"/>
  <c r="I132" i="8"/>
  <c r="J131" i="8"/>
  <c r="J130" i="8"/>
  <c r="J129" i="8"/>
  <c r="J128" i="8"/>
  <c r="N126" i="8"/>
  <c r="L126" i="8"/>
  <c r="O126" i="8" s="1"/>
  <c r="L124" i="8"/>
  <c r="L123" i="8"/>
  <c r="N122" i="8"/>
  <c r="M122" i="8"/>
  <c r="M120" i="8" s="1"/>
  <c r="O121" i="8"/>
  <c r="P119" i="8"/>
  <c r="O119" i="8"/>
  <c r="N119" i="8"/>
  <c r="M119" i="8"/>
  <c r="L119" i="8"/>
  <c r="J117" i="8"/>
  <c r="I117" i="8"/>
  <c r="J115" i="8"/>
  <c r="J114" i="8"/>
  <c r="J113" i="8"/>
  <c r="I113" i="8"/>
  <c r="J112" i="8"/>
  <c r="I112" i="8"/>
  <c r="J111" i="8"/>
  <c r="I111" i="8"/>
  <c r="J110" i="8"/>
  <c r="I110" i="8"/>
  <c r="J109" i="8"/>
  <c r="I109" i="8"/>
  <c r="J108" i="8"/>
  <c r="I108" i="8"/>
  <c r="J107" i="8"/>
  <c r="J106" i="8"/>
  <c r="J105" i="8"/>
  <c r="J104" i="8"/>
  <c r="N102" i="8"/>
  <c r="L102" i="8"/>
  <c r="M102" i="8" s="1"/>
  <c r="L100" i="8"/>
  <c r="L99" i="8"/>
  <c r="N98" i="8"/>
  <c r="M98" i="8"/>
  <c r="O97" i="8"/>
  <c r="O95" i="8"/>
  <c r="N95" i="8"/>
  <c r="M95" i="8"/>
  <c r="P95" i="8" s="1"/>
  <c r="L95" i="8"/>
  <c r="J93" i="8"/>
  <c r="I93" i="8"/>
  <c r="J92" i="8"/>
  <c r="I92" i="8"/>
  <c r="J90" i="8"/>
  <c r="J89" i="8"/>
  <c r="J88" i="8"/>
  <c r="I88" i="8"/>
  <c r="J87" i="8"/>
  <c r="I87" i="8"/>
  <c r="K87" i="8" s="1"/>
  <c r="J86" i="8"/>
  <c r="I86" i="8"/>
  <c r="K86" i="8" s="1"/>
  <c r="J85" i="8"/>
  <c r="I85" i="8"/>
  <c r="K85" i="8" s="1"/>
  <c r="J84" i="8"/>
  <c r="I84" i="8"/>
  <c r="K84" i="8" s="1"/>
  <c r="J83" i="8"/>
  <c r="I83" i="8"/>
  <c r="J82" i="8"/>
  <c r="I82" i="8"/>
  <c r="J81" i="8"/>
  <c r="I81" i="8"/>
  <c r="J80" i="8"/>
  <c r="I80" i="8"/>
  <c r="J79" i="8"/>
  <c r="J78" i="8"/>
  <c r="J77" i="8"/>
  <c r="J76" i="8"/>
  <c r="N74" i="8"/>
  <c r="L74" i="8"/>
  <c r="O74" i="8" s="1"/>
  <c r="L72" i="8"/>
  <c r="L71" i="8"/>
  <c r="N70" i="8"/>
  <c r="M70" i="8"/>
  <c r="M68" i="8" s="1"/>
  <c r="O69" i="8"/>
  <c r="P67" i="8"/>
  <c r="O67" i="8"/>
  <c r="N67" i="8"/>
  <c r="M67" i="8"/>
  <c r="L67" i="8"/>
  <c r="J65" i="8"/>
  <c r="I65" i="8"/>
  <c r="J64" i="8"/>
  <c r="I64" i="8"/>
  <c r="N61" i="8"/>
  <c r="L61" i="8"/>
  <c r="O61" i="8" s="1"/>
  <c r="L59" i="8"/>
  <c r="L58" i="8"/>
  <c r="N57" i="8"/>
  <c r="M57" i="8"/>
  <c r="M55" i="8" s="1"/>
  <c r="O54" i="8"/>
  <c r="N54" i="8"/>
  <c r="M54" i="8"/>
  <c r="P54" i="8" s="1"/>
  <c r="L54" i="8"/>
  <c r="N49" i="8"/>
  <c r="L49" i="8"/>
  <c r="L47" i="8"/>
  <c r="L46" i="8"/>
  <c r="N45" i="8"/>
  <c r="M45" i="8"/>
  <c r="N42" i="8"/>
  <c r="M42" i="8"/>
  <c r="L42" i="8"/>
  <c r="P36" i="8"/>
  <c r="O36" i="8"/>
  <c r="P35" i="8"/>
  <c r="O35" i="8"/>
  <c r="P34" i="8"/>
  <c r="M34" i="8"/>
  <c r="M33" i="8"/>
  <c r="M32" i="8"/>
  <c r="M30" i="8" s="1"/>
  <c r="M31" i="8"/>
  <c r="P31" i="8" s="1"/>
  <c r="P30" i="8"/>
  <c r="M29" i="8"/>
  <c r="P29" i="8" s="1"/>
  <c r="P25" i="8"/>
  <c r="O25" i="8"/>
  <c r="N25" i="8"/>
  <c r="N15" i="8" s="1"/>
  <c r="M25" i="8"/>
  <c r="L25" i="8"/>
  <c r="N24" i="8"/>
  <c r="M24" i="8"/>
  <c r="N23" i="8"/>
  <c r="M23" i="8"/>
  <c r="P23" i="8" s="1"/>
  <c r="P21" i="8"/>
  <c r="N21" i="8"/>
  <c r="M21" i="8"/>
  <c r="L21" i="8"/>
  <c r="N19" i="8"/>
  <c r="M19" i="8"/>
  <c r="M15" i="8"/>
  <c r="P15" i="8" s="1"/>
  <c r="L15" i="8"/>
  <c r="O15" i="8" s="1"/>
  <c r="M11" i="8"/>
  <c r="J635" i="7"/>
  <c r="I635" i="7"/>
  <c r="J634" i="7"/>
  <c r="I634" i="7"/>
  <c r="J633" i="7"/>
  <c r="I633" i="7"/>
  <c r="K633" i="7" s="1"/>
  <c r="J632" i="7"/>
  <c r="I632" i="7"/>
  <c r="K632" i="7" s="1"/>
  <c r="J631" i="7"/>
  <c r="I631" i="7"/>
  <c r="J630" i="7"/>
  <c r="I630" i="7"/>
  <c r="J629" i="7"/>
  <c r="I629" i="7"/>
  <c r="J628" i="7"/>
  <c r="I628" i="7"/>
  <c r="J626" i="7"/>
  <c r="I626" i="7"/>
  <c r="J625" i="7"/>
  <c r="I625" i="7"/>
  <c r="J624" i="7"/>
  <c r="I624" i="7"/>
  <c r="J623" i="7"/>
  <c r="I623" i="7"/>
  <c r="J622" i="7"/>
  <c r="I622" i="7"/>
  <c r="J621" i="7"/>
  <c r="I621" i="7"/>
  <c r="J620" i="7"/>
  <c r="I620" i="7"/>
  <c r="K622" i="7" s="1"/>
  <c r="J619" i="7"/>
  <c r="I619" i="7"/>
  <c r="J618" i="7"/>
  <c r="I618" i="7"/>
  <c r="J617" i="7"/>
  <c r="I617" i="7"/>
  <c r="J616" i="7"/>
  <c r="I616" i="7"/>
  <c r="J615" i="7"/>
  <c r="I615" i="7"/>
  <c r="J614" i="7"/>
  <c r="I614" i="7"/>
  <c r="J613" i="7"/>
  <c r="I613" i="7"/>
  <c r="J612" i="7"/>
  <c r="I612" i="7"/>
  <c r="J611" i="7"/>
  <c r="I611" i="7"/>
  <c r="J610" i="7"/>
  <c r="J609" i="7"/>
  <c r="J608" i="7"/>
  <c r="J607" i="7"/>
  <c r="N605" i="7"/>
  <c r="N604" i="7"/>
  <c r="N603" i="7"/>
  <c r="N602" i="7"/>
  <c r="N601" i="7"/>
  <c r="L601" i="7"/>
  <c r="N600" i="7"/>
  <c r="L600" i="7"/>
  <c r="O600" i="7" s="1"/>
  <c r="N599" i="7"/>
  <c r="L599" i="7"/>
  <c r="N598" i="7"/>
  <c r="L598" i="7"/>
  <c r="O598" i="7" s="1"/>
  <c r="N597" i="7"/>
  <c r="L597" i="7"/>
  <c r="J597" i="7"/>
  <c r="I597" i="7"/>
  <c r="J596" i="7"/>
  <c r="I596" i="7"/>
  <c r="K596" i="7" s="1"/>
  <c r="J595" i="7"/>
  <c r="I595" i="7"/>
  <c r="J594" i="7"/>
  <c r="I594" i="7"/>
  <c r="K594" i="7" s="1"/>
  <c r="J593" i="7"/>
  <c r="I593" i="7"/>
  <c r="J592" i="7"/>
  <c r="I592" i="7"/>
  <c r="K592" i="7" s="1"/>
  <c r="J591" i="7"/>
  <c r="I591" i="7"/>
  <c r="J590" i="7"/>
  <c r="I590" i="7"/>
  <c r="K590" i="7" s="1"/>
  <c r="J589" i="7"/>
  <c r="I589" i="7"/>
  <c r="N588" i="7"/>
  <c r="N587" i="7"/>
  <c r="N586" i="7"/>
  <c r="N585" i="7"/>
  <c r="N584" i="7"/>
  <c r="L584" i="7"/>
  <c r="N583" i="7"/>
  <c r="L583" i="7"/>
  <c r="O583" i="7" s="1"/>
  <c r="N582" i="7"/>
  <c r="L582" i="7"/>
  <c r="N581" i="7"/>
  <c r="L581" i="7"/>
  <c r="O581" i="7" s="1"/>
  <c r="N580" i="7"/>
  <c r="L580" i="7"/>
  <c r="J580" i="7"/>
  <c r="I580" i="7"/>
  <c r="J579" i="7"/>
  <c r="I579" i="7"/>
  <c r="K579" i="7" s="1"/>
  <c r="J578" i="7"/>
  <c r="I578" i="7"/>
  <c r="K578" i="7" s="1"/>
  <c r="J577" i="7"/>
  <c r="I577" i="7"/>
  <c r="K577" i="7" s="1"/>
  <c r="J576" i="7"/>
  <c r="I576" i="7"/>
  <c r="K576" i="7" s="1"/>
  <c r="J575" i="7"/>
  <c r="I575" i="7"/>
  <c r="K575" i="7" s="1"/>
  <c r="J573" i="7"/>
  <c r="I573" i="7"/>
  <c r="N572" i="7"/>
  <c r="N571" i="7"/>
  <c r="N570" i="7"/>
  <c r="N569" i="7"/>
  <c r="N568" i="7"/>
  <c r="L568" i="7"/>
  <c r="N567" i="7"/>
  <c r="L567" i="7"/>
  <c r="O567" i="7" s="1"/>
  <c r="N566" i="7"/>
  <c r="L566" i="7"/>
  <c r="N565" i="7"/>
  <c r="L565" i="7"/>
  <c r="O565" i="7" s="1"/>
  <c r="N564" i="7"/>
  <c r="L564" i="7"/>
  <c r="J564" i="7"/>
  <c r="I564" i="7"/>
  <c r="J563" i="7"/>
  <c r="J562" i="7"/>
  <c r="J561" i="7"/>
  <c r="I561" i="7"/>
  <c r="K561" i="7" s="1"/>
  <c r="J560" i="7"/>
  <c r="I560" i="7"/>
  <c r="K560" i="7" s="1"/>
  <c r="N559" i="7"/>
  <c r="N558" i="7"/>
  <c r="N557" i="7"/>
  <c r="N556" i="7"/>
  <c r="N555" i="7"/>
  <c r="L555" i="7"/>
  <c r="O555" i="7" s="1"/>
  <c r="N554" i="7"/>
  <c r="L554" i="7"/>
  <c r="O554" i="7" s="1"/>
  <c r="N553" i="7"/>
  <c r="L553" i="7"/>
  <c r="O553" i="7" s="1"/>
  <c r="N552" i="7"/>
  <c r="L552" i="7"/>
  <c r="O552" i="7" s="1"/>
  <c r="N551" i="7"/>
  <c r="L551" i="7"/>
  <c r="O551" i="7" s="1"/>
  <c r="J551" i="7"/>
  <c r="I551" i="7"/>
  <c r="K551" i="7" s="1"/>
  <c r="J550" i="7"/>
  <c r="J549" i="7"/>
  <c r="J548" i="7"/>
  <c r="I548" i="7"/>
  <c r="K548" i="7" s="1"/>
  <c r="J547" i="7"/>
  <c r="I547" i="7"/>
  <c r="J546" i="7"/>
  <c r="J545" i="7"/>
  <c r="J544" i="7"/>
  <c r="J543" i="7"/>
  <c r="N541" i="7"/>
  <c r="N540" i="7"/>
  <c r="N539" i="7"/>
  <c r="N538" i="7"/>
  <c r="N537" i="7"/>
  <c r="L537" i="7"/>
  <c r="N536" i="7"/>
  <c r="L536" i="7"/>
  <c r="O536" i="7" s="1"/>
  <c r="N535" i="7"/>
  <c r="L535" i="7"/>
  <c r="N534" i="7"/>
  <c r="L534" i="7"/>
  <c r="O534" i="7" s="1"/>
  <c r="N533" i="7"/>
  <c r="L533" i="7"/>
  <c r="J533" i="7"/>
  <c r="I533" i="7"/>
  <c r="J532" i="7"/>
  <c r="I532" i="7"/>
  <c r="J531" i="7"/>
  <c r="I531" i="7"/>
  <c r="J530" i="7"/>
  <c r="I530" i="7"/>
  <c r="J529" i="7"/>
  <c r="I529" i="7"/>
  <c r="J528" i="7"/>
  <c r="I528" i="7"/>
  <c r="J527" i="7"/>
  <c r="I527" i="7"/>
  <c r="J526" i="7"/>
  <c r="I526" i="7"/>
  <c r="J525" i="7"/>
  <c r="I525" i="7"/>
  <c r="J524" i="7"/>
  <c r="I524" i="7"/>
  <c r="J523" i="7"/>
  <c r="I523" i="7"/>
  <c r="J522" i="7"/>
  <c r="I522" i="7"/>
  <c r="J521" i="7"/>
  <c r="I521" i="7"/>
  <c r="J520" i="7"/>
  <c r="I520" i="7"/>
  <c r="J519" i="7"/>
  <c r="I519" i="7"/>
  <c r="J518" i="7"/>
  <c r="I518" i="7"/>
  <c r="J517" i="7"/>
  <c r="I517" i="7"/>
  <c r="J516" i="7"/>
  <c r="I516" i="7"/>
  <c r="J515" i="7"/>
  <c r="I515" i="7"/>
  <c r="K515" i="7" s="1"/>
  <c r="J514" i="7"/>
  <c r="I514" i="7"/>
  <c r="K514" i="7" s="1"/>
  <c r="J513" i="7"/>
  <c r="I513" i="7"/>
  <c r="K513" i="7" s="1"/>
  <c r="J512" i="7"/>
  <c r="I512" i="7"/>
  <c r="K512" i="7" s="1"/>
  <c r="J511" i="7"/>
  <c r="I511" i="7"/>
  <c r="K511" i="7" s="1"/>
  <c r="J510" i="7"/>
  <c r="I510" i="7"/>
  <c r="K510" i="7" s="1"/>
  <c r="J509" i="7"/>
  <c r="I509" i="7"/>
  <c r="K509" i="7" s="1"/>
  <c r="J508" i="7"/>
  <c r="I508" i="7"/>
  <c r="K508" i="7" s="1"/>
  <c r="J507" i="7"/>
  <c r="I507" i="7"/>
  <c r="K507" i="7" s="1"/>
  <c r="J506" i="7"/>
  <c r="I506" i="7"/>
  <c r="K506" i="7" s="1"/>
  <c r="J505" i="7"/>
  <c r="I505" i="7"/>
  <c r="K505" i="7" s="1"/>
  <c r="J504" i="7"/>
  <c r="I504" i="7"/>
  <c r="K504" i="7" s="1"/>
  <c r="J503" i="7"/>
  <c r="I503" i="7"/>
  <c r="K503" i="7" s="1"/>
  <c r="J502" i="7"/>
  <c r="I502" i="7"/>
  <c r="K502" i="7" s="1"/>
  <c r="J501" i="7"/>
  <c r="I501" i="7"/>
  <c r="K501" i="7" s="1"/>
  <c r="J500" i="7"/>
  <c r="I500" i="7"/>
  <c r="K500" i="7" s="1"/>
  <c r="J499" i="7"/>
  <c r="I499" i="7"/>
  <c r="J498" i="7"/>
  <c r="I498" i="7"/>
  <c r="J497" i="7"/>
  <c r="I497" i="7"/>
  <c r="J496" i="7"/>
  <c r="I496" i="7"/>
  <c r="K496" i="7" s="1"/>
  <c r="J495" i="7"/>
  <c r="I495" i="7"/>
  <c r="K495" i="7" s="1"/>
  <c r="J494" i="7"/>
  <c r="I494" i="7"/>
  <c r="K494" i="7" s="1"/>
  <c r="J493" i="7"/>
  <c r="I493" i="7"/>
  <c r="K493" i="7" s="1"/>
  <c r="J492" i="7"/>
  <c r="I492" i="7"/>
  <c r="K492" i="7" s="1"/>
  <c r="J491" i="7"/>
  <c r="I491" i="7"/>
  <c r="K491" i="7" s="1"/>
  <c r="J490" i="7"/>
  <c r="I490" i="7"/>
  <c r="K490" i="7" s="1"/>
  <c r="J489" i="7"/>
  <c r="I489" i="7"/>
  <c r="K489" i="7" s="1"/>
  <c r="J488" i="7"/>
  <c r="I488" i="7"/>
  <c r="K488" i="7" s="1"/>
  <c r="J487" i="7"/>
  <c r="I487" i="7"/>
  <c r="K487" i="7" s="1"/>
  <c r="J486" i="7"/>
  <c r="I486" i="7"/>
  <c r="K486" i="7" s="1"/>
  <c r="J485" i="7"/>
  <c r="I485" i="7"/>
  <c r="K485" i="7" s="1"/>
  <c r="J484" i="7"/>
  <c r="I484" i="7"/>
  <c r="K484" i="7" s="1"/>
  <c r="J483" i="7"/>
  <c r="I483" i="7"/>
  <c r="K483" i="7" s="1"/>
  <c r="J482" i="7"/>
  <c r="I482" i="7"/>
  <c r="J481" i="7"/>
  <c r="I481" i="7"/>
  <c r="J480" i="7"/>
  <c r="I480" i="7"/>
  <c r="K480" i="7" s="1"/>
  <c r="J479" i="7"/>
  <c r="I479" i="7"/>
  <c r="K479" i="7" s="1"/>
  <c r="J478" i="7"/>
  <c r="I478" i="7"/>
  <c r="K478" i="7" s="1"/>
  <c r="J477" i="7"/>
  <c r="I477" i="7"/>
  <c r="K477" i="7" s="1"/>
  <c r="J476" i="7"/>
  <c r="I476" i="7"/>
  <c r="K476" i="7" s="1"/>
  <c r="J475" i="7"/>
  <c r="I475" i="7"/>
  <c r="K475" i="7" s="1"/>
  <c r="J474" i="7"/>
  <c r="I474" i="7"/>
  <c r="J473" i="7"/>
  <c r="I473" i="7"/>
  <c r="J472" i="7"/>
  <c r="I472" i="7"/>
  <c r="K472" i="7" s="1"/>
  <c r="J471" i="7"/>
  <c r="I471" i="7"/>
  <c r="K471" i="7" s="1"/>
  <c r="J470" i="7"/>
  <c r="I470" i="7"/>
  <c r="K470" i="7" s="1"/>
  <c r="J469" i="7"/>
  <c r="I469" i="7"/>
  <c r="K469" i="7" s="1"/>
  <c r="J468" i="7"/>
  <c r="I468" i="7"/>
  <c r="K468" i="7" s="1"/>
  <c r="J467" i="7"/>
  <c r="I467" i="7"/>
  <c r="K467" i="7" s="1"/>
  <c r="J466" i="7"/>
  <c r="I466" i="7"/>
  <c r="J465" i="7"/>
  <c r="I465" i="7"/>
  <c r="J464" i="7"/>
  <c r="I464" i="7"/>
  <c r="N463" i="7"/>
  <c r="N462" i="7"/>
  <c r="N461" i="7"/>
  <c r="N460" i="7"/>
  <c r="N459" i="7"/>
  <c r="L459" i="7"/>
  <c r="N458" i="7"/>
  <c r="L458" i="7"/>
  <c r="O458" i="7" s="1"/>
  <c r="N457" i="7"/>
  <c r="L457" i="7"/>
  <c r="N456" i="7"/>
  <c r="L456" i="7"/>
  <c r="O456" i="7" s="1"/>
  <c r="N455" i="7"/>
  <c r="L455" i="7"/>
  <c r="J455" i="7"/>
  <c r="I455" i="7"/>
  <c r="J454" i="7"/>
  <c r="J453" i="7"/>
  <c r="J452" i="7"/>
  <c r="I452" i="7"/>
  <c r="K452" i="7" s="1"/>
  <c r="J451" i="7"/>
  <c r="I451" i="7"/>
  <c r="J450" i="7"/>
  <c r="I450" i="7"/>
  <c r="J449" i="7"/>
  <c r="I449" i="7"/>
  <c r="J448" i="7"/>
  <c r="J447" i="7"/>
  <c r="J446" i="7"/>
  <c r="J445" i="7"/>
  <c r="N443" i="7"/>
  <c r="N442" i="7"/>
  <c r="N441" i="7"/>
  <c r="N440" i="7"/>
  <c r="N439" i="7"/>
  <c r="L439" i="7"/>
  <c r="N438" i="7"/>
  <c r="L438" i="7"/>
  <c r="N437" i="7"/>
  <c r="L437" i="7"/>
  <c r="N436" i="7"/>
  <c r="L436" i="7"/>
  <c r="O436" i="7" s="1"/>
  <c r="N435" i="7"/>
  <c r="L435" i="7"/>
  <c r="J435" i="7"/>
  <c r="I435" i="7"/>
  <c r="J434" i="7"/>
  <c r="J433" i="7"/>
  <c r="J432" i="7"/>
  <c r="I432" i="7"/>
  <c r="J431" i="7"/>
  <c r="I431" i="7"/>
  <c r="J430" i="7"/>
  <c r="I430" i="7"/>
  <c r="J429" i="7"/>
  <c r="I429" i="7"/>
  <c r="J428" i="7"/>
  <c r="I428" i="7"/>
  <c r="J427" i="7"/>
  <c r="I427" i="7"/>
  <c r="J426" i="7"/>
  <c r="I426" i="7"/>
  <c r="J425" i="7"/>
  <c r="I425" i="7"/>
  <c r="J424" i="7"/>
  <c r="I424" i="7"/>
  <c r="J423" i="7"/>
  <c r="I423" i="7"/>
  <c r="J422" i="7"/>
  <c r="I422" i="7"/>
  <c r="J421" i="7"/>
  <c r="I421" i="7"/>
  <c r="J420" i="7"/>
  <c r="I420" i="7"/>
  <c r="J419" i="7"/>
  <c r="I419" i="7"/>
  <c r="J418" i="7"/>
  <c r="I418" i="7"/>
  <c r="J417" i="7"/>
  <c r="I417" i="7"/>
  <c r="J416" i="7"/>
  <c r="I416" i="7"/>
  <c r="J415" i="7"/>
  <c r="J414" i="7"/>
  <c r="J413" i="7"/>
  <c r="J412" i="7"/>
  <c r="N410" i="7"/>
  <c r="N409" i="7"/>
  <c r="N408" i="7"/>
  <c r="N407" i="7"/>
  <c r="N406" i="7"/>
  <c r="L406" i="7"/>
  <c r="N405" i="7"/>
  <c r="L405" i="7"/>
  <c r="O405" i="7" s="1"/>
  <c r="N404" i="7"/>
  <c r="L404" i="7"/>
  <c r="N403" i="7"/>
  <c r="L403" i="7"/>
  <c r="O403" i="7" s="1"/>
  <c r="J402" i="7"/>
  <c r="I402" i="7"/>
  <c r="N401" i="7"/>
  <c r="L401" i="7"/>
  <c r="J401" i="7"/>
  <c r="I401" i="7"/>
  <c r="J400" i="7"/>
  <c r="J399" i="7"/>
  <c r="J398" i="7"/>
  <c r="I398" i="7"/>
  <c r="J397" i="7"/>
  <c r="I397" i="7"/>
  <c r="J396" i="7"/>
  <c r="I396" i="7"/>
  <c r="J394" i="7"/>
  <c r="J393" i="7"/>
  <c r="J392" i="7"/>
  <c r="J391" i="7"/>
  <c r="N389" i="7"/>
  <c r="N388" i="7"/>
  <c r="N387" i="7"/>
  <c r="N386" i="7"/>
  <c r="N385" i="7"/>
  <c r="L385" i="7"/>
  <c r="N384" i="7"/>
  <c r="L384" i="7"/>
  <c r="O384" i="7" s="1"/>
  <c r="N383" i="7"/>
  <c r="L383" i="7"/>
  <c r="N382" i="7"/>
  <c r="L382" i="7"/>
  <c r="O382" i="7" s="1"/>
  <c r="J381" i="7"/>
  <c r="I381" i="7"/>
  <c r="N380" i="7"/>
  <c r="L380" i="7"/>
  <c r="J380" i="7"/>
  <c r="I380" i="7"/>
  <c r="J379" i="7"/>
  <c r="J378" i="7"/>
  <c r="J377" i="7"/>
  <c r="I377" i="7"/>
  <c r="J376" i="7"/>
  <c r="I376" i="7"/>
  <c r="J375" i="7"/>
  <c r="I375" i="7"/>
  <c r="J374" i="7"/>
  <c r="I374" i="7"/>
  <c r="J373" i="7"/>
  <c r="I373" i="7"/>
  <c r="K373" i="7" s="1"/>
  <c r="J372" i="7"/>
  <c r="I372" i="7"/>
  <c r="J371" i="7"/>
  <c r="I371" i="7"/>
  <c r="K371" i="7" s="1"/>
  <c r="J370" i="7"/>
  <c r="I370" i="7"/>
  <c r="J369" i="7"/>
  <c r="I369" i="7"/>
  <c r="J368" i="7"/>
  <c r="I368" i="7"/>
  <c r="J367" i="7"/>
  <c r="J366" i="7"/>
  <c r="J365" i="7"/>
  <c r="I365" i="7"/>
  <c r="K365" i="7" s="1"/>
  <c r="J364" i="7"/>
  <c r="J363" i="7"/>
  <c r="J362" i="7"/>
  <c r="J361" i="7"/>
  <c r="J360" i="7"/>
  <c r="N358" i="7"/>
  <c r="N357" i="7"/>
  <c r="N356" i="7"/>
  <c r="N355" i="7"/>
  <c r="N354" i="7"/>
  <c r="L354" i="7"/>
  <c r="N353" i="7"/>
  <c r="L353" i="7"/>
  <c r="O353" i="7" s="1"/>
  <c r="N352" i="7"/>
  <c r="L352" i="7"/>
  <c r="N351" i="7"/>
  <c r="L351" i="7"/>
  <c r="J350" i="7"/>
  <c r="I350" i="7"/>
  <c r="N349" i="7"/>
  <c r="L349" i="7"/>
  <c r="J349" i="7"/>
  <c r="I349" i="7"/>
  <c r="N347" i="7"/>
  <c r="L347" i="7"/>
  <c r="J346" i="7"/>
  <c r="I346" i="7"/>
  <c r="K346" i="7" s="1"/>
  <c r="J345" i="7"/>
  <c r="I345" i="7"/>
  <c r="J344" i="7"/>
  <c r="I344" i="7"/>
  <c r="K344" i="7" s="1"/>
  <c r="J343" i="7"/>
  <c r="I343" i="7"/>
  <c r="J342" i="7"/>
  <c r="I342" i="7"/>
  <c r="K342" i="7" s="1"/>
  <c r="J341" i="7"/>
  <c r="I341" i="7"/>
  <c r="J340" i="7"/>
  <c r="I340" i="7"/>
  <c r="J339" i="7"/>
  <c r="I339" i="7"/>
  <c r="K339" i="7" s="1"/>
  <c r="N337" i="7"/>
  <c r="L337" i="7"/>
  <c r="M337" i="7" s="1"/>
  <c r="L335" i="7"/>
  <c r="L334" i="7"/>
  <c r="N333" i="7"/>
  <c r="M333" i="7"/>
  <c r="O332" i="7"/>
  <c r="P330" i="7"/>
  <c r="O330" i="7"/>
  <c r="N330" i="7"/>
  <c r="M330" i="7"/>
  <c r="L330" i="7"/>
  <c r="J328" i="7"/>
  <c r="I328" i="7"/>
  <c r="J326" i="7"/>
  <c r="J325" i="7"/>
  <c r="J324" i="7"/>
  <c r="I324" i="7"/>
  <c r="K324" i="7" s="1"/>
  <c r="J323" i="7"/>
  <c r="J322" i="7"/>
  <c r="J321" i="7"/>
  <c r="J320" i="7"/>
  <c r="N318" i="7"/>
  <c r="L318" i="7"/>
  <c r="O318" i="7" s="1"/>
  <c r="L316" i="7"/>
  <c r="L315" i="7"/>
  <c r="N314" i="7"/>
  <c r="M314" i="7"/>
  <c r="P314" i="7" s="1"/>
  <c r="O313" i="7"/>
  <c r="N311" i="7"/>
  <c r="M311" i="7"/>
  <c r="L311" i="7"/>
  <c r="O311" i="7" s="1"/>
  <c r="J309" i="7"/>
  <c r="I309" i="7"/>
  <c r="K309" i="7" s="1"/>
  <c r="J308" i="7"/>
  <c r="J307" i="7"/>
  <c r="J306" i="7"/>
  <c r="I306" i="7"/>
  <c r="K306" i="7" s="1"/>
  <c r="J304" i="7"/>
  <c r="I304" i="7"/>
  <c r="K304" i="7" s="1"/>
  <c r="J303" i="7"/>
  <c r="J302" i="7"/>
  <c r="J301" i="7"/>
  <c r="J300" i="7"/>
  <c r="N298" i="7"/>
  <c r="L298" i="7"/>
  <c r="O298" i="7" s="1"/>
  <c r="L296" i="7"/>
  <c r="L295" i="7"/>
  <c r="N294" i="7"/>
  <c r="M294" i="7"/>
  <c r="P294" i="7" s="1"/>
  <c r="O293" i="7"/>
  <c r="O291" i="7"/>
  <c r="N291" i="7"/>
  <c r="M291" i="7"/>
  <c r="P291" i="7" s="1"/>
  <c r="L291" i="7"/>
  <c r="J289" i="7"/>
  <c r="I289" i="7"/>
  <c r="K289" i="7" s="1"/>
  <c r="J287" i="7"/>
  <c r="J286" i="7"/>
  <c r="J285" i="7"/>
  <c r="I285" i="7"/>
  <c r="J284" i="7"/>
  <c r="J283" i="7"/>
  <c r="J282" i="7"/>
  <c r="J281" i="7"/>
  <c r="N279" i="7"/>
  <c r="L279" i="7"/>
  <c r="O279" i="7" s="1"/>
  <c r="L277" i="7"/>
  <c r="L276" i="7"/>
  <c r="N275" i="7"/>
  <c r="M275" i="7"/>
  <c r="M273" i="7" s="1"/>
  <c r="O274" i="7"/>
  <c r="N272" i="7"/>
  <c r="M272" i="7"/>
  <c r="L272" i="7"/>
  <c r="J270" i="7"/>
  <c r="I270" i="7"/>
  <c r="J269" i="7"/>
  <c r="J268" i="7"/>
  <c r="J267" i="7"/>
  <c r="I267" i="7"/>
  <c r="K267" i="7" s="1"/>
  <c r="J266" i="7"/>
  <c r="I266" i="7"/>
  <c r="K266" i="7" s="1"/>
  <c r="J265" i="7"/>
  <c r="I265" i="7"/>
  <c r="K265" i="7" s="1"/>
  <c r="J264" i="7"/>
  <c r="I264" i="7"/>
  <c r="K264" i="7" s="1"/>
  <c r="J263" i="7"/>
  <c r="J262" i="7"/>
  <c r="J261" i="7"/>
  <c r="J260" i="7"/>
  <c r="N258" i="7"/>
  <c r="L258" i="7"/>
  <c r="O258" i="7" s="1"/>
  <c r="L256" i="7"/>
  <c r="L255" i="7"/>
  <c r="N254" i="7"/>
  <c r="M254" i="7"/>
  <c r="M252" i="7" s="1"/>
  <c r="P252" i="7" s="1"/>
  <c r="O253" i="7"/>
  <c r="P251" i="7"/>
  <c r="N251" i="7"/>
  <c r="M251" i="7"/>
  <c r="L251" i="7"/>
  <c r="J249" i="7"/>
  <c r="I249" i="7"/>
  <c r="K249" i="7" s="1"/>
  <c r="J246" i="7"/>
  <c r="J245" i="7"/>
  <c r="J244" i="7"/>
  <c r="I244" i="7"/>
  <c r="K244" i="7" s="1"/>
  <c r="J243" i="7"/>
  <c r="J242" i="7"/>
  <c r="J241" i="7"/>
  <c r="J240" i="7"/>
  <c r="J238" i="7"/>
  <c r="I238" i="7"/>
  <c r="K238" i="7" s="1"/>
  <c r="J237" i="7"/>
  <c r="J236" i="7"/>
  <c r="J235" i="7"/>
  <c r="I235" i="7"/>
  <c r="J234" i="7"/>
  <c r="J233" i="7"/>
  <c r="J232" i="7"/>
  <c r="J231" i="7"/>
  <c r="J229" i="7"/>
  <c r="I229" i="7"/>
  <c r="N228" i="7"/>
  <c r="L228" i="7"/>
  <c r="O228" i="7" s="1"/>
  <c r="L226" i="7"/>
  <c r="L225" i="7"/>
  <c r="N224" i="7"/>
  <c r="M224" i="7"/>
  <c r="O223" i="7"/>
  <c r="N221" i="7"/>
  <c r="M221" i="7"/>
  <c r="P221" i="7" s="1"/>
  <c r="L221" i="7"/>
  <c r="O221" i="7" s="1"/>
  <c r="J219" i="7"/>
  <c r="I219" i="7"/>
  <c r="J218" i="7"/>
  <c r="J217" i="7"/>
  <c r="J216" i="7"/>
  <c r="I216" i="7"/>
  <c r="J215" i="7"/>
  <c r="I215" i="7"/>
  <c r="J213" i="7"/>
  <c r="I213" i="7"/>
  <c r="J212" i="7"/>
  <c r="J211" i="7"/>
  <c r="J210" i="7"/>
  <c r="J209" i="7"/>
  <c r="J204" i="7"/>
  <c r="I204" i="7"/>
  <c r="J203" i="7"/>
  <c r="J202" i="7"/>
  <c r="J201" i="7"/>
  <c r="I201" i="7"/>
  <c r="K201" i="7" s="1"/>
  <c r="J200" i="7"/>
  <c r="I200" i="7"/>
  <c r="J199" i="7"/>
  <c r="I199" i="7"/>
  <c r="J197" i="7"/>
  <c r="J196" i="7"/>
  <c r="J195" i="7"/>
  <c r="J194" i="7"/>
  <c r="J189" i="7"/>
  <c r="I189" i="7"/>
  <c r="J188" i="7"/>
  <c r="J187" i="7"/>
  <c r="J186" i="7"/>
  <c r="I186" i="7"/>
  <c r="K186" i="7" s="1"/>
  <c r="J185" i="7"/>
  <c r="I185" i="7"/>
  <c r="K185" i="7" s="1"/>
  <c r="J184" i="7"/>
  <c r="J183" i="7"/>
  <c r="J182" i="7"/>
  <c r="J181" i="7"/>
  <c r="J176" i="7"/>
  <c r="I176" i="7"/>
  <c r="K176" i="7" s="1"/>
  <c r="J175" i="7"/>
  <c r="J174" i="7"/>
  <c r="J173" i="7"/>
  <c r="I173" i="7"/>
  <c r="J172" i="7"/>
  <c r="J171" i="7"/>
  <c r="J170" i="7"/>
  <c r="J169" i="7"/>
  <c r="J164" i="7"/>
  <c r="I164" i="7"/>
  <c r="J163" i="7"/>
  <c r="J162" i="7"/>
  <c r="J161" i="7"/>
  <c r="J160" i="7"/>
  <c r="J159" i="7"/>
  <c r="J158" i="7"/>
  <c r="I158" i="7"/>
  <c r="J157" i="7"/>
  <c r="J156" i="7"/>
  <c r="J155" i="7"/>
  <c r="J154" i="7"/>
  <c r="J149" i="7"/>
  <c r="I149" i="7"/>
  <c r="N148" i="7"/>
  <c r="L148" i="7"/>
  <c r="O148" i="7" s="1"/>
  <c r="L146" i="7"/>
  <c r="L145" i="7"/>
  <c r="N144" i="7"/>
  <c r="M144" i="7"/>
  <c r="M142" i="7" s="1"/>
  <c r="O143" i="7"/>
  <c r="P141" i="7"/>
  <c r="N141" i="7"/>
  <c r="M141" i="7"/>
  <c r="L141" i="7"/>
  <c r="J138" i="7"/>
  <c r="I138" i="7"/>
  <c r="J135" i="7"/>
  <c r="J134" i="7"/>
  <c r="J133" i="7"/>
  <c r="I133" i="7"/>
  <c r="K133" i="7" s="1"/>
  <c r="J132" i="7"/>
  <c r="I132" i="7"/>
  <c r="K132" i="7" s="1"/>
  <c r="J131" i="7"/>
  <c r="J130" i="7"/>
  <c r="J129" i="7"/>
  <c r="J128" i="7"/>
  <c r="N126" i="7"/>
  <c r="L126" i="7"/>
  <c r="O126" i="7" s="1"/>
  <c r="L124" i="7"/>
  <c r="L123" i="7"/>
  <c r="N122" i="7"/>
  <c r="M122" i="7"/>
  <c r="P122" i="7" s="1"/>
  <c r="O121" i="7"/>
  <c r="N119" i="7"/>
  <c r="M119" i="7"/>
  <c r="L119" i="7"/>
  <c r="J117" i="7"/>
  <c r="I117" i="7"/>
  <c r="K117" i="7" s="1"/>
  <c r="J115" i="7"/>
  <c r="J114" i="7"/>
  <c r="J113" i="7"/>
  <c r="I113" i="7"/>
  <c r="J112" i="7"/>
  <c r="I112" i="7"/>
  <c r="J111" i="7"/>
  <c r="I111" i="7"/>
  <c r="J110" i="7"/>
  <c r="I110" i="7"/>
  <c r="J109" i="7"/>
  <c r="I109" i="7"/>
  <c r="J108" i="7"/>
  <c r="I108" i="7"/>
  <c r="J107" i="7"/>
  <c r="J106" i="7"/>
  <c r="J105" i="7"/>
  <c r="J104" i="7"/>
  <c r="N102" i="7"/>
  <c r="L102" i="7"/>
  <c r="M102" i="7" s="1"/>
  <c r="L100" i="7"/>
  <c r="L99" i="7"/>
  <c r="N98" i="7"/>
  <c r="M98" i="7"/>
  <c r="O97" i="7"/>
  <c r="P95" i="7"/>
  <c r="N95" i="7"/>
  <c r="M95" i="7"/>
  <c r="L95" i="7"/>
  <c r="J93" i="7"/>
  <c r="I93" i="7"/>
  <c r="J92" i="7"/>
  <c r="I92" i="7"/>
  <c r="J90" i="7"/>
  <c r="J89" i="7"/>
  <c r="J88" i="7"/>
  <c r="I88" i="7"/>
  <c r="K88" i="7" s="1"/>
  <c r="J87" i="7"/>
  <c r="I87" i="7"/>
  <c r="J86" i="7"/>
  <c r="I86" i="7"/>
  <c r="J85" i="7"/>
  <c r="I85" i="7"/>
  <c r="K85" i="7" s="1"/>
  <c r="J84" i="7"/>
  <c r="I84" i="7"/>
  <c r="K84" i="7" s="1"/>
  <c r="J83" i="7"/>
  <c r="I83" i="7"/>
  <c r="K83" i="7" s="1"/>
  <c r="J82" i="7"/>
  <c r="I82" i="7"/>
  <c r="K82" i="7" s="1"/>
  <c r="J81" i="7"/>
  <c r="I81" i="7"/>
  <c r="J80" i="7"/>
  <c r="I80" i="7"/>
  <c r="J79" i="7"/>
  <c r="J78" i="7"/>
  <c r="J77" i="7"/>
  <c r="J76" i="7"/>
  <c r="N74" i="7"/>
  <c r="L74" i="7"/>
  <c r="M74" i="7" s="1"/>
  <c r="L72" i="7"/>
  <c r="L71" i="7"/>
  <c r="N70" i="7"/>
  <c r="M70" i="7"/>
  <c r="O69" i="7"/>
  <c r="P67" i="7"/>
  <c r="O67" i="7"/>
  <c r="N67" i="7"/>
  <c r="M67" i="7"/>
  <c r="L67" i="7"/>
  <c r="J65" i="7"/>
  <c r="I65" i="7"/>
  <c r="J64" i="7"/>
  <c r="I64" i="7"/>
  <c r="N61" i="7"/>
  <c r="L61" i="7"/>
  <c r="O61" i="7" s="1"/>
  <c r="L59" i="7"/>
  <c r="L58" i="7"/>
  <c r="N57" i="7"/>
  <c r="M57" i="7"/>
  <c r="M55" i="7" s="1"/>
  <c r="O54" i="7"/>
  <c r="N54" i="7"/>
  <c r="M54" i="7"/>
  <c r="L54" i="7"/>
  <c r="N49" i="7"/>
  <c r="L49" i="7"/>
  <c r="L47" i="7"/>
  <c r="L46" i="7"/>
  <c r="N45" i="7"/>
  <c r="M45" i="7"/>
  <c r="O42" i="7"/>
  <c r="N42" i="7"/>
  <c r="M42" i="7"/>
  <c r="L42" i="7"/>
  <c r="P36" i="7"/>
  <c r="O36" i="7"/>
  <c r="P35" i="7"/>
  <c r="O35" i="7"/>
  <c r="P34" i="7"/>
  <c r="M34" i="7"/>
  <c r="P33" i="7"/>
  <c r="M33" i="7"/>
  <c r="M32" i="7"/>
  <c r="M31" i="7"/>
  <c r="P31" i="7" s="1"/>
  <c r="M29" i="7"/>
  <c r="P25" i="7"/>
  <c r="N25" i="7"/>
  <c r="M25" i="7"/>
  <c r="L25" i="7"/>
  <c r="P24" i="7"/>
  <c r="N24" i="7"/>
  <c r="M24" i="7"/>
  <c r="N23" i="7"/>
  <c r="M23" i="7"/>
  <c r="P23" i="7" s="1"/>
  <c r="P21" i="7"/>
  <c r="O21" i="7"/>
  <c r="N21" i="7"/>
  <c r="M21" i="7"/>
  <c r="M19" i="7" s="1"/>
  <c r="L21" i="7"/>
  <c r="N19" i="7"/>
  <c r="N15" i="7"/>
  <c r="M15" i="7"/>
  <c r="P15" i="7" s="1"/>
  <c r="M14" i="7"/>
  <c r="P14" i="7" s="1"/>
  <c r="M13" i="7"/>
  <c r="P13" i="7" s="1"/>
  <c r="M11" i="7"/>
  <c r="P11" i="7" s="1"/>
  <c r="M9" i="7"/>
  <c r="P9" i="7" s="1"/>
  <c r="J635" i="6"/>
  <c r="I635" i="6"/>
  <c r="J634" i="6"/>
  <c r="I634" i="6"/>
  <c r="J633" i="6"/>
  <c r="I633" i="6"/>
  <c r="J632" i="6"/>
  <c r="I632" i="6"/>
  <c r="J631" i="6"/>
  <c r="I631" i="6"/>
  <c r="J630" i="6"/>
  <c r="I630" i="6"/>
  <c r="J629" i="6"/>
  <c r="I629" i="6"/>
  <c r="J628" i="6"/>
  <c r="I628" i="6"/>
  <c r="J626" i="6"/>
  <c r="I626" i="6"/>
  <c r="J625" i="6"/>
  <c r="I625" i="6"/>
  <c r="J624" i="6"/>
  <c r="I624" i="6"/>
  <c r="J623" i="6"/>
  <c r="I623" i="6"/>
  <c r="J622" i="6"/>
  <c r="I622" i="6"/>
  <c r="J621" i="6"/>
  <c r="I621" i="6"/>
  <c r="J620" i="6"/>
  <c r="I620" i="6"/>
  <c r="K622" i="6" s="1"/>
  <c r="J619" i="6"/>
  <c r="I619" i="6"/>
  <c r="J618" i="6"/>
  <c r="I618" i="6"/>
  <c r="J617" i="6"/>
  <c r="I617" i="6"/>
  <c r="J616" i="6"/>
  <c r="I616" i="6"/>
  <c r="J615" i="6"/>
  <c r="I615" i="6"/>
  <c r="J614" i="6"/>
  <c r="I614" i="6"/>
  <c r="J613" i="6"/>
  <c r="I613" i="6"/>
  <c r="J612" i="6"/>
  <c r="I612" i="6"/>
  <c r="J611" i="6"/>
  <c r="I611" i="6"/>
  <c r="J610" i="6"/>
  <c r="J609" i="6"/>
  <c r="J608" i="6"/>
  <c r="J607" i="6"/>
  <c r="N605" i="6"/>
  <c r="N604" i="6"/>
  <c r="N603" i="6"/>
  <c r="N602" i="6"/>
  <c r="N601" i="6"/>
  <c r="L601" i="6"/>
  <c r="N600" i="6"/>
  <c r="L600" i="6"/>
  <c r="O600" i="6" s="1"/>
  <c r="N599" i="6"/>
  <c r="L599" i="6"/>
  <c r="N598" i="6"/>
  <c r="L598" i="6"/>
  <c r="O598" i="6" s="1"/>
  <c r="N597" i="6"/>
  <c r="L597" i="6"/>
  <c r="J597" i="6"/>
  <c r="I597" i="6"/>
  <c r="J596" i="6"/>
  <c r="I596" i="6"/>
  <c r="K596" i="6" s="1"/>
  <c r="J595" i="6"/>
  <c r="I595" i="6"/>
  <c r="K595" i="6" s="1"/>
  <c r="J594" i="6"/>
  <c r="I594" i="6"/>
  <c r="K594" i="6" s="1"/>
  <c r="J593" i="6"/>
  <c r="I593" i="6"/>
  <c r="K593" i="6" s="1"/>
  <c r="J592" i="6"/>
  <c r="I592" i="6"/>
  <c r="K592" i="6" s="1"/>
  <c r="J591" i="6"/>
  <c r="I591" i="6"/>
  <c r="K591" i="6" s="1"/>
  <c r="J590" i="6"/>
  <c r="I590" i="6"/>
  <c r="K590" i="6" s="1"/>
  <c r="J589" i="6"/>
  <c r="I589" i="6"/>
  <c r="K589" i="6" s="1"/>
  <c r="N588" i="6"/>
  <c r="N587" i="6"/>
  <c r="N586" i="6"/>
  <c r="N585" i="6"/>
  <c r="N584" i="6"/>
  <c r="L584" i="6"/>
  <c r="O584" i="6" s="1"/>
  <c r="N583" i="6"/>
  <c r="L583" i="6"/>
  <c r="O583" i="6" s="1"/>
  <c r="N582" i="6"/>
  <c r="L582" i="6"/>
  <c r="O582" i="6" s="1"/>
  <c r="N581" i="6"/>
  <c r="L581" i="6"/>
  <c r="O581" i="6" s="1"/>
  <c r="N580" i="6"/>
  <c r="L580" i="6"/>
  <c r="O580" i="6" s="1"/>
  <c r="J580" i="6"/>
  <c r="I580" i="6"/>
  <c r="K580" i="6" s="1"/>
  <c r="J579" i="6"/>
  <c r="I579" i="6"/>
  <c r="K579" i="6" s="1"/>
  <c r="J578" i="6"/>
  <c r="I578" i="6"/>
  <c r="K578" i="6" s="1"/>
  <c r="J577" i="6"/>
  <c r="I577" i="6"/>
  <c r="K577" i="6" s="1"/>
  <c r="J576" i="6"/>
  <c r="I576" i="6"/>
  <c r="K576" i="6" s="1"/>
  <c r="J575" i="6"/>
  <c r="I575" i="6"/>
  <c r="J573" i="6"/>
  <c r="I573" i="6"/>
  <c r="N572" i="6"/>
  <c r="N571" i="6"/>
  <c r="N570" i="6"/>
  <c r="N569" i="6"/>
  <c r="N568" i="6"/>
  <c r="L568" i="6"/>
  <c r="N567" i="6"/>
  <c r="L567" i="6"/>
  <c r="O567" i="6" s="1"/>
  <c r="N566" i="6"/>
  <c r="L566" i="6"/>
  <c r="N565" i="6"/>
  <c r="L565" i="6"/>
  <c r="O565" i="6" s="1"/>
  <c r="N564" i="6"/>
  <c r="L564" i="6"/>
  <c r="J564" i="6"/>
  <c r="I564" i="6"/>
  <c r="J563" i="6"/>
  <c r="J562" i="6"/>
  <c r="J561" i="6"/>
  <c r="I561" i="6"/>
  <c r="K561" i="6" s="1"/>
  <c r="J560" i="6"/>
  <c r="I560" i="6"/>
  <c r="K560" i="6" s="1"/>
  <c r="N559" i="6"/>
  <c r="N558" i="6"/>
  <c r="N557" i="6"/>
  <c r="N556" i="6"/>
  <c r="N555" i="6"/>
  <c r="L555" i="6"/>
  <c r="O555" i="6" s="1"/>
  <c r="N554" i="6"/>
  <c r="L554" i="6"/>
  <c r="O554" i="6" s="1"/>
  <c r="N553" i="6"/>
  <c r="L553" i="6"/>
  <c r="O553" i="6" s="1"/>
  <c r="N552" i="6"/>
  <c r="L552" i="6"/>
  <c r="O552" i="6" s="1"/>
  <c r="N551" i="6"/>
  <c r="L551" i="6"/>
  <c r="O551" i="6" s="1"/>
  <c r="J551" i="6"/>
  <c r="I551" i="6"/>
  <c r="K551" i="6" s="1"/>
  <c r="J550" i="6"/>
  <c r="J549" i="6"/>
  <c r="J548" i="6"/>
  <c r="I548" i="6"/>
  <c r="K548" i="6" s="1"/>
  <c r="J547" i="6"/>
  <c r="I547" i="6"/>
  <c r="J546" i="6"/>
  <c r="J545" i="6"/>
  <c r="J544" i="6"/>
  <c r="J543" i="6"/>
  <c r="N541" i="6"/>
  <c r="N540" i="6"/>
  <c r="N539" i="6"/>
  <c r="N538" i="6"/>
  <c r="N537" i="6"/>
  <c r="L537" i="6"/>
  <c r="N536" i="6"/>
  <c r="L536" i="6"/>
  <c r="O536" i="6" s="1"/>
  <c r="N535" i="6"/>
  <c r="L535" i="6"/>
  <c r="N534" i="6"/>
  <c r="L534" i="6"/>
  <c r="O534" i="6" s="1"/>
  <c r="N533" i="6"/>
  <c r="L533" i="6"/>
  <c r="J533" i="6"/>
  <c r="I533" i="6"/>
  <c r="J532" i="6"/>
  <c r="I532" i="6"/>
  <c r="J531" i="6"/>
  <c r="I531" i="6"/>
  <c r="J530" i="6"/>
  <c r="I530" i="6"/>
  <c r="J529" i="6"/>
  <c r="I529" i="6"/>
  <c r="J528" i="6"/>
  <c r="I528" i="6"/>
  <c r="J527" i="6"/>
  <c r="I527" i="6"/>
  <c r="J526" i="6"/>
  <c r="I526" i="6"/>
  <c r="J525" i="6"/>
  <c r="I525" i="6"/>
  <c r="J524" i="6"/>
  <c r="I524" i="6"/>
  <c r="J523" i="6"/>
  <c r="I523" i="6"/>
  <c r="J522" i="6"/>
  <c r="I522" i="6"/>
  <c r="J521" i="6"/>
  <c r="I521" i="6"/>
  <c r="J520" i="6"/>
  <c r="I520" i="6"/>
  <c r="J519" i="6"/>
  <c r="I519" i="6"/>
  <c r="J518" i="6"/>
  <c r="I518" i="6"/>
  <c r="J517" i="6"/>
  <c r="I517" i="6"/>
  <c r="J516" i="6"/>
  <c r="I516" i="6"/>
  <c r="J515" i="6"/>
  <c r="I515" i="6"/>
  <c r="K515" i="6" s="1"/>
  <c r="J514" i="6"/>
  <c r="I514" i="6"/>
  <c r="K514" i="6" s="1"/>
  <c r="J513" i="6"/>
  <c r="I513" i="6"/>
  <c r="K513" i="6" s="1"/>
  <c r="J512" i="6"/>
  <c r="I512" i="6"/>
  <c r="K512" i="6" s="1"/>
  <c r="J511" i="6"/>
  <c r="I511" i="6"/>
  <c r="K511" i="6" s="1"/>
  <c r="J510" i="6"/>
  <c r="I510" i="6"/>
  <c r="K510" i="6" s="1"/>
  <c r="J509" i="6"/>
  <c r="I509" i="6"/>
  <c r="K509" i="6" s="1"/>
  <c r="J508" i="6"/>
  <c r="I508" i="6"/>
  <c r="K508" i="6" s="1"/>
  <c r="J507" i="6"/>
  <c r="I507" i="6"/>
  <c r="K507" i="6" s="1"/>
  <c r="J506" i="6"/>
  <c r="I506" i="6"/>
  <c r="K506" i="6" s="1"/>
  <c r="J505" i="6"/>
  <c r="I505" i="6"/>
  <c r="K505" i="6" s="1"/>
  <c r="J504" i="6"/>
  <c r="I504" i="6"/>
  <c r="K504" i="6" s="1"/>
  <c r="J503" i="6"/>
  <c r="I503" i="6"/>
  <c r="K503" i="6" s="1"/>
  <c r="J502" i="6"/>
  <c r="I502" i="6"/>
  <c r="K502" i="6" s="1"/>
  <c r="J501" i="6"/>
  <c r="I501" i="6"/>
  <c r="K501" i="6" s="1"/>
  <c r="J500" i="6"/>
  <c r="I500" i="6"/>
  <c r="K500" i="6" s="1"/>
  <c r="J499" i="6"/>
  <c r="I499" i="6"/>
  <c r="J498" i="6"/>
  <c r="I498" i="6"/>
  <c r="J497" i="6"/>
  <c r="I497" i="6"/>
  <c r="J496" i="6"/>
  <c r="I496" i="6"/>
  <c r="K496" i="6" s="1"/>
  <c r="J495" i="6"/>
  <c r="I495" i="6"/>
  <c r="K495" i="6" s="1"/>
  <c r="J494" i="6"/>
  <c r="I494" i="6"/>
  <c r="K494" i="6" s="1"/>
  <c r="J493" i="6"/>
  <c r="I493" i="6"/>
  <c r="K493" i="6" s="1"/>
  <c r="J492" i="6"/>
  <c r="I492" i="6"/>
  <c r="K492" i="6" s="1"/>
  <c r="J491" i="6"/>
  <c r="I491" i="6"/>
  <c r="K491" i="6" s="1"/>
  <c r="J490" i="6"/>
  <c r="I490" i="6"/>
  <c r="K490" i="6" s="1"/>
  <c r="J489" i="6"/>
  <c r="I489" i="6"/>
  <c r="K489" i="6" s="1"/>
  <c r="J488" i="6"/>
  <c r="I488" i="6"/>
  <c r="K488" i="6" s="1"/>
  <c r="J487" i="6"/>
  <c r="I487" i="6"/>
  <c r="K487" i="6" s="1"/>
  <c r="J486" i="6"/>
  <c r="I486" i="6"/>
  <c r="K486" i="6" s="1"/>
  <c r="J485" i="6"/>
  <c r="I485" i="6"/>
  <c r="K485" i="6" s="1"/>
  <c r="J484" i="6"/>
  <c r="I484" i="6"/>
  <c r="K484" i="6" s="1"/>
  <c r="J483" i="6"/>
  <c r="I483" i="6"/>
  <c r="K483" i="6" s="1"/>
  <c r="J482" i="6"/>
  <c r="I482" i="6"/>
  <c r="J481" i="6"/>
  <c r="I481" i="6"/>
  <c r="J480" i="6"/>
  <c r="I480" i="6"/>
  <c r="K480" i="6" s="1"/>
  <c r="J479" i="6"/>
  <c r="I479" i="6"/>
  <c r="K479" i="6" s="1"/>
  <c r="J478" i="6"/>
  <c r="I478" i="6"/>
  <c r="K478" i="6" s="1"/>
  <c r="J477" i="6"/>
  <c r="I477" i="6"/>
  <c r="K477" i="6" s="1"/>
  <c r="J476" i="6"/>
  <c r="I476" i="6"/>
  <c r="K476" i="6" s="1"/>
  <c r="J475" i="6"/>
  <c r="I475" i="6"/>
  <c r="K475" i="6" s="1"/>
  <c r="J474" i="6"/>
  <c r="I474" i="6"/>
  <c r="J473" i="6"/>
  <c r="I473" i="6"/>
  <c r="J472" i="6"/>
  <c r="I472" i="6"/>
  <c r="K472" i="6" s="1"/>
  <c r="J471" i="6"/>
  <c r="I471" i="6"/>
  <c r="K471" i="6" s="1"/>
  <c r="J470" i="6"/>
  <c r="I470" i="6"/>
  <c r="K470" i="6" s="1"/>
  <c r="J469" i="6"/>
  <c r="I469" i="6"/>
  <c r="K469" i="6" s="1"/>
  <c r="J468" i="6"/>
  <c r="I468" i="6"/>
  <c r="K468" i="6" s="1"/>
  <c r="J467" i="6"/>
  <c r="I467" i="6"/>
  <c r="K467" i="6" s="1"/>
  <c r="J466" i="6"/>
  <c r="I466" i="6"/>
  <c r="J465" i="6"/>
  <c r="I465" i="6"/>
  <c r="J464" i="6"/>
  <c r="I464" i="6"/>
  <c r="N463" i="6"/>
  <c r="N462" i="6"/>
  <c r="N461" i="6"/>
  <c r="N460" i="6"/>
  <c r="N459" i="6"/>
  <c r="L459" i="6"/>
  <c r="N458" i="6"/>
  <c r="L458" i="6"/>
  <c r="O458" i="6" s="1"/>
  <c r="N457" i="6"/>
  <c r="L457" i="6"/>
  <c r="N456" i="6"/>
  <c r="L456" i="6"/>
  <c r="O456" i="6" s="1"/>
  <c r="N455" i="6"/>
  <c r="L455" i="6"/>
  <c r="J455" i="6"/>
  <c r="I455" i="6"/>
  <c r="J454" i="6"/>
  <c r="J453" i="6"/>
  <c r="J452" i="6"/>
  <c r="I452" i="6"/>
  <c r="K452" i="6" s="1"/>
  <c r="J451" i="6"/>
  <c r="I451" i="6"/>
  <c r="K451" i="6" s="1"/>
  <c r="J450" i="6"/>
  <c r="I450" i="6"/>
  <c r="J449" i="6"/>
  <c r="I449" i="6"/>
  <c r="J448" i="6"/>
  <c r="J447" i="6"/>
  <c r="J446" i="6"/>
  <c r="J445" i="6"/>
  <c r="N443" i="6"/>
  <c r="N442" i="6"/>
  <c r="N441" i="6"/>
  <c r="N440" i="6"/>
  <c r="N439" i="6"/>
  <c r="L439" i="6"/>
  <c r="N438" i="6"/>
  <c r="L438" i="6"/>
  <c r="N437" i="6"/>
  <c r="L437" i="6"/>
  <c r="N436" i="6"/>
  <c r="L436" i="6"/>
  <c r="O436" i="6" s="1"/>
  <c r="N435" i="6"/>
  <c r="L435" i="6"/>
  <c r="J435" i="6"/>
  <c r="I435" i="6"/>
  <c r="J434" i="6"/>
  <c r="J433" i="6"/>
  <c r="J432" i="6"/>
  <c r="I432" i="6"/>
  <c r="J431" i="6"/>
  <c r="I431" i="6"/>
  <c r="J430" i="6"/>
  <c r="I430" i="6"/>
  <c r="J429" i="6"/>
  <c r="I429" i="6"/>
  <c r="J428" i="6"/>
  <c r="I428" i="6"/>
  <c r="J427" i="6"/>
  <c r="I427" i="6"/>
  <c r="J426" i="6"/>
  <c r="I426" i="6"/>
  <c r="J425" i="6"/>
  <c r="I425" i="6"/>
  <c r="J424" i="6"/>
  <c r="I424" i="6"/>
  <c r="J423" i="6"/>
  <c r="I423" i="6"/>
  <c r="J422" i="6"/>
  <c r="I422" i="6"/>
  <c r="J421" i="6"/>
  <c r="I421" i="6"/>
  <c r="J420" i="6"/>
  <c r="I420" i="6"/>
  <c r="J419" i="6"/>
  <c r="I419" i="6"/>
  <c r="J418" i="6"/>
  <c r="I418" i="6"/>
  <c r="J417" i="6"/>
  <c r="I417" i="6"/>
  <c r="J416" i="6"/>
  <c r="I416" i="6"/>
  <c r="J415" i="6"/>
  <c r="J414" i="6"/>
  <c r="J413" i="6"/>
  <c r="J412" i="6"/>
  <c r="N410" i="6"/>
  <c r="N409" i="6"/>
  <c r="N408" i="6"/>
  <c r="N407" i="6"/>
  <c r="N406" i="6"/>
  <c r="L406" i="6"/>
  <c r="N405" i="6"/>
  <c r="L405" i="6"/>
  <c r="O405" i="6" s="1"/>
  <c r="N404" i="6"/>
  <c r="L404" i="6"/>
  <c r="N403" i="6"/>
  <c r="L403" i="6"/>
  <c r="O403" i="6" s="1"/>
  <c r="J402" i="6"/>
  <c r="I402" i="6"/>
  <c r="N401" i="6"/>
  <c r="L401" i="6"/>
  <c r="J401" i="6"/>
  <c r="I401" i="6"/>
  <c r="J400" i="6"/>
  <c r="J399" i="6"/>
  <c r="J398" i="6"/>
  <c r="I398" i="6"/>
  <c r="J397" i="6"/>
  <c r="I397" i="6"/>
  <c r="J396" i="6"/>
  <c r="I396" i="6"/>
  <c r="J394" i="6"/>
  <c r="J393" i="6"/>
  <c r="J392" i="6"/>
  <c r="J391" i="6"/>
  <c r="N389" i="6"/>
  <c r="N388" i="6"/>
  <c r="N387" i="6"/>
  <c r="N386" i="6"/>
  <c r="N385" i="6"/>
  <c r="L385" i="6"/>
  <c r="N384" i="6"/>
  <c r="L384" i="6"/>
  <c r="O384" i="6" s="1"/>
  <c r="N383" i="6"/>
  <c r="L383" i="6"/>
  <c r="N382" i="6"/>
  <c r="L382" i="6"/>
  <c r="O382" i="6" s="1"/>
  <c r="J381" i="6"/>
  <c r="I381" i="6"/>
  <c r="N380" i="6"/>
  <c r="L380" i="6"/>
  <c r="J380" i="6"/>
  <c r="I380" i="6"/>
  <c r="J379" i="6"/>
  <c r="J378" i="6"/>
  <c r="J377" i="6"/>
  <c r="I377" i="6"/>
  <c r="J376" i="6"/>
  <c r="I376" i="6"/>
  <c r="J375" i="6"/>
  <c r="I375" i="6"/>
  <c r="J374" i="6"/>
  <c r="I374" i="6"/>
  <c r="J373" i="6"/>
  <c r="I373" i="6"/>
  <c r="K373" i="6" s="1"/>
  <c r="J372" i="6"/>
  <c r="I372" i="6"/>
  <c r="J371" i="6"/>
  <c r="I371" i="6"/>
  <c r="K371" i="6" s="1"/>
  <c r="J370" i="6"/>
  <c r="I370" i="6"/>
  <c r="J369" i="6"/>
  <c r="I369" i="6"/>
  <c r="K369" i="6" s="1"/>
  <c r="J368" i="6"/>
  <c r="I368" i="6"/>
  <c r="J367" i="6"/>
  <c r="J366" i="6"/>
  <c r="J365" i="6"/>
  <c r="I365" i="6"/>
  <c r="K365" i="6" s="1"/>
  <c r="J364" i="6"/>
  <c r="J363" i="6"/>
  <c r="J362" i="6"/>
  <c r="J361" i="6"/>
  <c r="J360" i="6"/>
  <c r="N358" i="6"/>
  <c r="N357" i="6"/>
  <c r="N356" i="6"/>
  <c r="N355" i="6"/>
  <c r="N354" i="6"/>
  <c r="L354" i="6"/>
  <c r="N353" i="6"/>
  <c r="L353" i="6"/>
  <c r="O353" i="6" s="1"/>
  <c r="N352" i="6"/>
  <c r="L352" i="6"/>
  <c r="N351" i="6"/>
  <c r="L351" i="6"/>
  <c r="J350" i="6"/>
  <c r="I350" i="6"/>
  <c r="N349" i="6"/>
  <c r="L349" i="6"/>
  <c r="J349" i="6"/>
  <c r="I349" i="6"/>
  <c r="N347" i="6"/>
  <c r="L347" i="6"/>
  <c r="J346" i="6"/>
  <c r="I346" i="6"/>
  <c r="K346" i="6" s="1"/>
  <c r="J345" i="6"/>
  <c r="I345" i="6"/>
  <c r="J344" i="6"/>
  <c r="I344" i="6"/>
  <c r="K344" i="6" s="1"/>
  <c r="J343" i="6"/>
  <c r="I343" i="6"/>
  <c r="J342" i="6"/>
  <c r="I342" i="6"/>
  <c r="K342" i="6" s="1"/>
  <c r="J341" i="6"/>
  <c r="I341" i="6"/>
  <c r="J340" i="6"/>
  <c r="I340" i="6"/>
  <c r="J339" i="6"/>
  <c r="I339" i="6"/>
  <c r="K339" i="6" s="1"/>
  <c r="N337" i="6"/>
  <c r="L337" i="6"/>
  <c r="M337" i="6" s="1"/>
  <c r="L335" i="6"/>
  <c r="L334" i="6"/>
  <c r="N333" i="6"/>
  <c r="M333" i="6"/>
  <c r="O332" i="6"/>
  <c r="P330" i="6"/>
  <c r="O330" i="6"/>
  <c r="N330" i="6"/>
  <c r="M330" i="6"/>
  <c r="L330" i="6"/>
  <c r="J328" i="6"/>
  <c r="I328" i="6"/>
  <c r="J326" i="6"/>
  <c r="J325" i="6"/>
  <c r="J324" i="6"/>
  <c r="I324" i="6"/>
  <c r="K324" i="6" s="1"/>
  <c r="J323" i="6"/>
  <c r="J322" i="6"/>
  <c r="J321" i="6"/>
  <c r="J320" i="6"/>
  <c r="N318" i="6"/>
  <c r="L318" i="6"/>
  <c r="O318" i="6" s="1"/>
  <c r="L316" i="6"/>
  <c r="L315" i="6"/>
  <c r="N314" i="6"/>
  <c r="M314" i="6"/>
  <c r="O313" i="6"/>
  <c r="O311" i="6"/>
  <c r="N311" i="6"/>
  <c r="M311" i="6"/>
  <c r="P311" i="6" s="1"/>
  <c r="L311" i="6"/>
  <c r="J309" i="6"/>
  <c r="I309" i="6"/>
  <c r="K309" i="6" s="1"/>
  <c r="J308" i="6"/>
  <c r="J307" i="6"/>
  <c r="J306" i="6"/>
  <c r="I306" i="6"/>
  <c r="K306" i="6" s="1"/>
  <c r="J304" i="6"/>
  <c r="I304" i="6"/>
  <c r="K304" i="6" s="1"/>
  <c r="J303" i="6"/>
  <c r="J302" i="6"/>
  <c r="J301" i="6"/>
  <c r="J300" i="6"/>
  <c r="N298" i="6"/>
  <c r="L298" i="6"/>
  <c r="O298" i="6" s="1"/>
  <c r="L296" i="6"/>
  <c r="L295" i="6"/>
  <c r="N294" i="6"/>
  <c r="M294" i="6"/>
  <c r="P294" i="6" s="1"/>
  <c r="O293" i="6"/>
  <c r="P291" i="6"/>
  <c r="O291" i="6"/>
  <c r="N291" i="6"/>
  <c r="M291" i="6"/>
  <c r="L291" i="6"/>
  <c r="J289" i="6"/>
  <c r="I289" i="6"/>
  <c r="K289" i="6" s="1"/>
  <c r="J287" i="6"/>
  <c r="J286" i="6"/>
  <c r="J285" i="6"/>
  <c r="I285" i="6"/>
  <c r="J284" i="6"/>
  <c r="J283" i="6"/>
  <c r="J282" i="6"/>
  <c r="J281" i="6"/>
  <c r="N279" i="6"/>
  <c r="L279" i="6"/>
  <c r="O279" i="6" s="1"/>
  <c r="L277" i="6"/>
  <c r="L276" i="6"/>
  <c r="N275" i="6"/>
  <c r="M275" i="6"/>
  <c r="M273" i="6" s="1"/>
  <c r="O274" i="6"/>
  <c r="N272" i="6"/>
  <c r="M272" i="6"/>
  <c r="L272" i="6"/>
  <c r="O272" i="6" s="1"/>
  <c r="J270" i="6"/>
  <c r="I270" i="6"/>
  <c r="J269" i="6"/>
  <c r="J268" i="6"/>
  <c r="J267" i="6"/>
  <c r="I267" i="6"/>
  <c r="J266" i="6"/>
  <c r="I266" i="6"/>
  <c r="J265" i="6"/>
  <c r="I265" i="6"/>
  <c r="J264" i="6"/>
  <c r="I264" i="6"/>
  <c r="J263" i="6"/>
  <c r="J262" i="6"/>
  <c r="J261" i="6"/>
  <c r="J260" i="6"/>
  <c r="N258" i="6"/>
  <c r="L258" i="6"/>
  <c r="O258" i="6" s="1"/>
  <c r="L256" i="6"/>
  <c r="L255" i="6"/>
  <c r="N254" i="6"/>
  <c r="M254" i="6"/>
  <c r="M252" i="6" s="1"/>
  <c r="O253" i="6"/>
  <c r="N251" i="6"/>
  <c r="M251" i="6"/>
  <c r="P251" i="6" s="1"/>
  <c r="L251" i="6"/>
  <c r="J249" i="6"/>
  <c r="I249" i="6"/>
  <c r="J246" i="6"/>
  <c r="J245" i="6"/>
  <c r="J244" i="6"/>
  <c r="I244" i="6"/>
  <c r="K244" i="6" s="1"/>
  <c r="J243" i="6"/>
  <c r="J242" i="6"/>
  <c r="J241" i="6"/>
  <c r="J240" i="6"/>
  <c r="J238" i="6"/>
  <c r="I238" i="6"/>
  <c r="K238" i="6" s="1"/>
  <c r="J237" i="6"/>
  <c r="J236" i="6"/>
  <c r="J235" i="6"/>
  <c r="I235" i="6"/>
  <c r="J234" i="6"/>
  <c r="J233" i="6"/>
  <c r="J232" i="6"/>
  <c r="J231" i="6"/>
  <c r="J229" i="6"/>
  <c r="I229" i="6"/>
  <c r="N228" i="6"/>
  <c r="L228" i="6"/>
  <c r="O228" i="6" s="1"/>
  <c r="L226" i="6"/>
  <c r="L225" i="6"/>
  <c r="N224" i="6"/>
  <c r="M224" i="6"/>
  <c r="O223" i="6"/>
  <c r="P221" i="6"/>
  <c r="N221" i="6"/>
  <c r="M221" i="6"/>
  <c r="L221" i="6"/>
  <c r="O221" i="6" s="1"/>
  <c r="J219" i="6"/>
  <c r="I219" i="6"/>
  <c r="J218" i="6"/>
  <c r="J217" i="6"/>
  <c r="J216" i="6"/>
  <c r="I216" i="6"/>
  <c r="K216" i="6" s="1"/>
  <c r="J215" i="6"/>
  <c r="I215" i="6"/>
  <c r="K215" i="6" s="1"/>
  <c r="J213" i="6"/>
  <c r="I213" i="6"/>
  <c r="K213" i="6" s="1"/>
  <c r="J212" i="6"/>
  <c r="J211" i="6"/>
  <c r="J210" i="6"/>
  <c r="J209" i="6"/>
  <c r="J204" i="6"/>
  <c r="I204" i="6"/>
  <c r="K204" i="6" s="1"/>
  <c r="J203" i="6"/>
  <c r="J202" i="6"/>
  <c r="J201" i="6"/>
  <c r="I201" i="6"/>
  <c r="K201" i="6" s="1"/>
  <c r="J200" i="6"/>
  <c r="I200" i="6"/>
  <c r="J199" i="6"/>
  <c r="I199" i="6"/>
  <c r="J197" i="6"/>
  <c r="J196" i="6"/>
  <c r="J195" i="6"/>
  <c r="J194" i="6"/>
  <c r="J189" i="6"/>
  <c r="I189" i="6"/>
  <c r="J188" i="6"/>
  <c r="J187" i="6"/>
  <c r="J186" i="6"/>
  <c r="I186" i="6"/>
  <c r="K186" i="6" s="1"/>
  <c r="J185" i="6"/>
  <c r="I185" i="6"/>
  <c r="K185" i="6" s="1"/>
  <c r="J184" i="6"/>
  <c r="J183" i="6"/>
  <c r="J182" i="6"/>
  <c r="J181" i="6"/>
  <c r="J176" i="6"/>
  <c r="I176" i="6"/>
  <c r="K176" i="6" s="1"/>
  <c r="J175" i="6"/>
  <c r="J174" i="6"/>
  <c r="J173" i="6"/>
  <c r="I173" i="6"/>
  <c r="J172" i="6"/>
  <c r="J171" i="6"/>
  <c r="J170" i="6"/>
  <c r="J169" i="6"/>
  <c r="J164" i="6"/>
  <c r="I164" i="6"/>
  <c r="J163" i="6"/>
  <c r="J162" i="6"/>
  <c r="J161" i="6"/>
  <c r="J160" i="6"/>
  <c r="J159" i="6"/>
  <c r="J158" i="6"/>
  <c r="I158" i="6"/>
  <c r="J157" i="6"/>
  <c r="J156" i="6"/>
  <c r="J155" i="6"/>
  <c r="J154" i="6"/>
  <c r="J149" i="6"/>
  <c r="I149" i="6"/>
  <c r="N148" i="6"/>
  <c r="L148" i="6"/>
  <c r="O148" i="6" s="1"/>
  <c r="L146" i="6"/>
  <c r="L145" i="6"/>
  <c r="N144" i="6"/>
  <c r="M144" i="6"/>
  <c r="M142" i="6" s="1"/>
  <c r="O143" i="6"/>
  <c r="N141" i="6"/>
  <c r="M141" i="6"/>
  <c r="P141" i="6" s="1"/>
  <c r="L141" i="6"/>
  <c r="J138" i="6"/>
  <c r="I138" i="6"/>
  <c r="K138" i="6" s="1"/>
  <c r="J135" i="6"/>
  <c r="J134" i="6"/>
  <c r="J133" i="6"/>
  <c r="I133" i="6"/>
  <c r="J132" i="6"/>
  <c r="I132" i="6"/>
  <c r="J131" i="6"/>
  <c r="J130" i="6"/>
  <c r="J129" i="6"/>
  <c r="J128" i="6"/>
  <c r="N126" i="6"/>
  <c r="L126" i="6"/>
  <c r="O126" i="6" s="1"/>
  <c r="L124" i="6"/>
  <c r="L123" i="6"/>
  <c r="N122" i="6"/>
  <c r="M122" i="6"/>
  <c r="O121" i="6"/>
  <c r="N119" i="6"/>
  <c r="M119" i="6"/>
  <c r="L119" i="6"/>
  <c r="O119" i="6" s="1"/>
  <c r="J117" i="6"/>
  <c r="I117" i="6"/>
  <c r="J115" i="6"/>
  <c r="J114" i="6"/>
  <c r="J113" i="6"/>
  <c r="I113" i="6"/>
  <c r="J112" i="6"/>
  <c r="I112" i="6"/>
  <c r="J111" i="6"/>
  <c r="I111" i="6"/>
  <c r="J110" i="6"/>
  <c r="I110" i="6"/>
  <c r="J109" i="6"/>
  <c r="I109" i="6"/>
  <c r="J108" i="6"/>
  <c r="I108" i="6"/>
  <c r="J107" i="6"/>
  <c r="J106" i="6"/>
  <c r="J105" i="6"/>
  <c r="J104" i="6"/>
  <c r="N102" i="6"/>
  <c r="L102" i="6"/>
  <c r="M102" i="6" s="1"/>
  <c r="L100" i="6"/>
  <c r="L99" i="6"/>
  <c r="N98" i="6"/>
  <c r="M98" i="6"/>
  <c r="O97" i="6"/>
  <c r="N95" i="6"/>
  <c r="M95" i="6"/>
  <c r="P95" i="6" s="1"/>
  <c r="L95" i="6"/>
  <c r="J93" i="6"/>
  <c r="I93" i="6"/>
  <c r="J92" i="6"/>
  <c r="I92" i="6"/>
  <c r="J90" i="6"/>
  <c r="J89" i="6"/>
  <c r="J88" i="6"/>
  <c r="I88" i="6"/>
  <c r="K88" i="6" s="1"/>
  <c r="J87" i="6"/>
  <c r="I87" i="6"/>
  <c r="K87" i="6" s="1"/>
  <c r="J86" i="6"/>
  <c r="I86" i="6"/>
  <c r="K86" i="6" s="1"/>
  <c r="J85" i="6"/>
  <c r="I85" i="6"/>
  <c r="J84" i="6"/>
  <c r="I84" i="6"/>
  <c r="J83" i="6"/>
  <c r="I83" i="6"/>
  <c r="K83" i="6" s="1"/>
  <c r="J82" i="6"/>
  <c r="I82" i="6"/>
  <c r="K82" i="6" s="1"/>
  <c r="J81" i="6"/>
  <c r="I81" i="6"/>
  <c r="J80" i="6"/>
  <c r="I80" i="6"/>
  <c r="J79" i="6"/>
  <c r="J78" i="6"/>
  <c r="J77" i="6"/>
  <c r="J76" i="6"/>
  <c r="N74" i="6"/>
  <c r="L74" i="6"/>
  <c r="O74" i="6" s="1"/>
  <c r="L72" i="6"/>
  <c r="L71" i="6"/>
  <c r="N70" i="6"/>
  <c r="M70" i="6"/>
  <c r="O69" i="6"/>
  <c r="N67" i="6"/>
  <c r="M67" i="6"/>
  <c r="L67" i="6"/>
  <c r="O67" i="6" s="1"/>
  <c r="J65" i="6"/>
  <c r="I65" i="6"/>
  <c r="J64" i="6"/>
  <c r="I64" i="6"/>
  <c r="N61" i="6"/>
  <c r="L61" i="6"/>
  <c r="O61" i="6" s="1"/>
  <c r="L59" i="6"/>
  <c r="L58" i="6"/>
  <c r="N57" i="6"/>
  <c r="M57" i="6"/>
  <c r="N54" i="6"/>
  <c r="M54" i="6"/>
  <c r="P54" i="6" s="1"/>
  <c r="L54" i="6"/>
  <c r="N49" i="6"/>
  <c r="L49" i="6"/>
  <c r="L47" i="6"/>
  <c r="L46" i="6"/>
  <c r="N45" i="6"/>
  <c r="M45" i="6"/>
  <c r="M43" i="6" s="1"/>
  <c r="N42" i="6"/>
  <c r="M42" i="6"/>
  <c r="L42" i="6"/>
  <c r="O42" i="6" s="1"/>
  <c r="P36" i="6"/>
  <c r="O36" i="6"/>
  <c r="P35" i="6"/>
  <c r="O35" i="6"/>
  <c r="P34" i="6"/>
  <c r="M34" i="6"/>
  <c r="M33" i="6"/>
  <c r="M32" i="6"/>
  <c r="P32" i="6" s="1"/>
  <c r="P31" i="6"/>
  <c r="M31" i="6"/>
  <c r="M30" i="6"/>
  <c r="P30" i="6" s="1"/>
  <c r="P29" i="6"/>
  <c r="M29" i="6"/>
  <c r="M28" i="6"/>
  <c r="P28" i="6" s="1"/>
  <c r="P25" i="6"/>
  <c r="O25" i="6"/>
  <c r="N25" i="6"/>
  <c r="M25" i="6"/>
  <c r="L25" i="6"/>
  <c r="N24" i="6"/>
  <c r="M24" i="6"/>
  <c r="P23" i="6"/>
  <c r="N23" i="6"/>
  <c r="M23" i="6"/>
  <c r="N21" i="6"/>
  <c r="M21" i="6"/>
  <c r="P21" i="6" s="1"/>
  <c r="L21" i="6"/>
  <c r="N19" i="6"/>
  <c r="M19" i="6"/>
  <c r="P19" i="6" s="1"/>
  <c r="N15" i="6"/>
  <c r="M15" i="6"/>
  <c r="P15" i="6" s="1"/>
  <c r="L15" i="6"/>
  <c r="O15" i="6" s="1"/>
  <c r="J635" i="5"/>
  <c r="I635" i="5"/>
  <c r="J634" i="5"/>
  <c r="I634" i="5"/>
  <c r="J633" i="5"/>
  <c r="I633" i="5"/>
  <c r="K633" i="5" s="1"/>
  <c r="J632" i="5"/>
  <c r="I632" i="5"/>
  <c r="K632" i="5" s="1"/>
  <c r="J631" i="5"/>
  <c r="I631" i="5"/>
  <c r="J630" i="5"/>
  <c r="I630" i="5"/>
  <c r="J629" i="5"/>
  <c r="I629" i="5"/>
  <c r="J628" i="5"/>
  <c r="I628" i="5"/>
  <c r="J626" i="5"/>
  <c r="I626" i="5"/>
  <c r="J625" i="5"/>
  <c r="I625" i="5"/>
  <c r="J624" i="5"/>
  <c r="I624" i="5"/>
  <c r="J623" i="5"/>
  <c r="I623" i="5"/>
  <c r="J622" i="5"/>
  <c r="I622" i="5"/>
  <c r="J621" i="5"/>
  <c r="I621" i="5"/>
  <c r="J620" i="5"/>
  <c r="I620" i="5"/>
  <c r="K622" i="5" s="1"/>
  <c r="J619" i="5"/>
  <c r="I619" i="5"/>
  <c r="J618" i="5"/>
  <c r="I618" i="5"/>
  <c r="J617" i="5"/>
  <c r="I617" i="5"/>
  <c r="J616" i="5"/>
  <c r="I616" i="5"/>
  <c r="J615" i="5"/>
  <c r="I615" i="5"/>
  <c r="J614" i="5"/>
  <c r="I614" i="5"/>
  <c r="J613" i="5"/>
  <c r="I613" i="5"/>
  <c r="J612" i="5"/>
  <c r="I612" i="5"/>
  <c r="J611" i="5"/>
  <c r="I611" i="5"/>
  <c r="J610" i="5"/>
  <c r="J609" i="5"/>
  <c r="J608" i="5"/>
  <c r="J607" i="5"/>
  <c r="N605" i="5"/>
  <c r="N604" i="5"/>
  <c r="N603" i="5"/>
  <c r="N602" i="5"/>
  <c r="N601" i="5"/>
  <c r="L601" i="5"/>
  <c r="N600" i="5"/>
  <c r="L600" i="5"/>
  <c r="O600" i="5" s="1"/>
  <c r="N599" i="5"/>
  <c r="L599" i="5"/>
  <c r="N598" i="5"/>
  <c r="L598" i="5"/>
  <c r="O598" i="5" s="1"/>
  <c r="N597" i="5"/>
  <c r="L597" i="5"/>
  <c r="J597" i="5"/>
  <c r="I597" i="5"/>
  <c r="J596" i="5"/>
  <c r="I596" i="5"/>
  <c r="K596" i="5" s="1"/>
  <c r="J595" i="5"/>
  <c r="I595" i="5"/>
  <c r="J594" i="5"/>
  <c r="I594" i="5"/>
  <c r="K594" i="5" s="1"/>
  <c r="J593" i="5"/>
  <c r="I593" i="5"/>
  <c r="J592" i="5"/>
  <c r="I592" i="5"/>
  <c r="K592" i="5" s="1"/>
  <c r="J591" i="5"/>
  <c r="I591" i="5"/>
  <c r="J590" i="5"/>
  <c r="I590" i="5"/>
  <c r="K590" i="5" s="1"/>
  <c r="J589" i="5"/>
  <c r="I589" i="5"/>
  <c r="N588" i="5"/>
  <c r="N587" i="5"/>
  <c r="N586" i="5"/>
  <c r="N585" i="5"/>
  <c r="N584" i="5"/>
  <c r="L584" i="5"/>
  <c r="N583" i="5"/>
  <c r="L583" i="5"/>
  <c r="O583" i="5" s="1"/>
  <c r="N582" i="5"/>
  <c r="L582" i="5"/>
  <c r="N581" i="5"/>
  <c r="L581" i="5"/>
  <c r="O581" i="5" s="1"/>
  <c r="N580" i="5"/>
  <c r="L580" i="5"/>
  <c r="J580" i="5"/>
  <c r="I580" i="5"/>
  <c r="J579" i="5"/>
  <c r="I579" i="5"/>
  <c r="K579" i="5" s="1"/>
  <c r="J578" i="5"/>
  <c r="I578" i="5"/>
  <c r="K578" i="5" s="1"/>
  <c r="J577" i="5"/>
  <c r="I577" i="5"/>
  <c r="K577" i="5" s="1"/>
  <c r="J576" i="5"/>
  <c r="I576" i="5"/>
  <c r="K576" i="5" s="1"/>
  <c r="J575" i="5"/>
  <c r="I575" i="5"/>
  <c r="K575" i="5" s="1"/>
  <c r="J573" i="5"/>
  <c r="I573" i="5"/>
  <c r="N572" i="5"/>
  <c r="N571" i="5"/>
  <c r="N570" i="5"/>
  <c r="N569" i="5"/>
  <c r="N568" i="5"/>
  <c r="L568" i="5"/>
  <c r="N567" i="5"/>
  <c r="L567" i="5"/>
  <c r="O567" i="5" s="1"/>
  <c r="N566" i="5"/>
  <c r="L566" i="5"/>
  <c r="N565" i="5"/>
  <c r="L565" i="5"/>
  <c r="O565" i="5" s="1"/>
  <c r="N564" i="5"/>
  <c r="L564" i="5"/>
  <c r="J564" i="5"/>
  <c r="I564" i="5"/>
  <c r="J563" i="5"/>
  <c r="J562" i="5"/>
  <c r="J561" i="5"/>
  <c r="I561" i="5"/>
  <c r="K561" i="5" s="1"/>
  <c r="J560" i="5"/>
  <c r="I560" i="5"/>
  <c r="K560" i="5" s="1"/>
  <c r="N559" i="5"/>
  <c r="N558" i="5"/>
  <c r="N557" i="5"/>
  <c r="N556" i="5"/>
  <c r="N555" i="5"/>
  <c r="L555" i="5"/>
  <c r="O555" i="5" s="1"/>
  <c r="N554" i="5"/>
  <c r="L554" i="5"/>
  <c r="O554" i="5" s="1"/>
  <c r="N553" i="5"/>
  <c r="L553" i="5"/>
  <c r="O553" i="5" s="1"/>
  <c r="N552" i="5"/>
  <c r="L552" i="5"/>
  <c r="O552" i="5" s="1"/>
  <c r="N551" i="5"/>
  <c r="L551" i="5"/>
  <c r="O551" i="5" s="1"/>
  <c r="J551" i="5"/>
  <c r="I551" i="5"/>
  <c r="K551" i="5" s="1"/>
  <c r="J550" i="5"/>
  <c r="J549" i="5"/>
  <c r="J548" i="5"/>
  <c r="I548" i="5"/>
  <c r="K548" i="5" s="1"/>
  <c r="J547" i="5"/>
  <c r="I547" i="5"/>
  <c r="J546" i="5"/>
  <c r="J545" i="5"/>
  <c r="J544" i="5"/>
  <c r="J543" i="5"/>
  <c r="N541" i="5"/>
  <c r="N540" i="5"/>
  <c r="N539" i="5"/>
  <c r="N538" i="5"/>
  <c r="N537" i="5"/>
  <c r="L537" i="5"/>
  <c r="N536" i="5"/>
  <c r="L536" i="5"/>
  <c r="O536" i="5" s="1"/>
  <c r="N535" i="5"/>
  <c r="L535" i="5"/>
  <c r="N534" i="5"/>
  <c r="L534" i="5"/>
  <c r="O534" i="5" s="1"/>
  <c r="N533" i="5"/>
  <c r="L533" i="5"/>
  <c r="J533" i="5"/>
  <c r="I533" i="5"/>
  <c r="J532" i="5"/>
  <c r="I532" i="5"/>
  <c r="J531" i="5"/>
  <c r="I531" i="5"/>
  <c r="J530" i="5"/>
  <c r="I530" i="5"/>
  <c r="J529" i="5"/>
  <c r="I529" i="5"/>
  <c r="J528" i="5"/>
  <c r="I528" i="5"/>
  <c r="J527" i="5"/>
  <c r="I527" i="5"/>
  <c r="J526" i="5"/>
  <c r="I526" i="5"/>
  <c r="J525" i="5"/>
  <c r="I525" i="5"/>
  <c r="J524" i="5"/>
  <c r="I524" i="5"/>
  <c r="J523" i="5"/>
  <c r="I523" i="5"/>
  <c r="J522" i="5"/>
  <c r="I522" i="5"/>
  <c r="J521" i="5"/>
  <c r="I521" i="5"/>
  <c r="J520" i="5"/>
  <c r="I520" i="5"/>
  <c r="J519" i="5"/>
  <c r="I519" i="5"/>
  <c r="J518" i="5"/>
  <c r="I518" i="5"/>
  <c r="J517" i="5"/>
  <c r="I517" i="5"/>
  <c r="J516" i="5"/>
  <c r="I516" i="5"/>
  <c r="J515" i="5"/>
  <c r="I515" i="5"/>
  <c r="K515" i="5" s="1"/>
  <c r="J514" i="5"/>
  <c r="I514" i="5"/>
  <c r="K514" i="5" s="1"/>
  <c r="J513" i="5"/>
  <c r="I513" i="5"/>
  <c r="K513" i="5" s="1"/>
  <c r="J512" i="5"/>
  <c r="I512" i="5"/>
  <c r="K512" i="5" s="1"/>
  <c r="J511" i="5"/>
  <c r="I511" i="5"/>
  <c r="K511" i="5" s="1"/>
  <c r="J510" i="5"/>
  <c r="I510" i="5"/>
  <c r="K510" i="5" s="1"/>
  <c r="J509" i="5"/>
  <c r="I509" i="5"/>
  <c r="K509" i="5" s="1"/>
  <c r="J508" i="5"/>
  <c r="I508" i="5"/>
  <c r="K508" i="5" s="1"/>
  <c r="J507" i="5"/>
  <c r="I507" i="5"/>
  <c r="K507" i="5" s="1"/>
  <c r="J506" i="5"/>
  <c r="I506" i="5"/>
  <c r="K506" i="5" s="1"/>
  <c r="J505" i="5"/>
  <c r="I505" i="5"/>
  <c r="K505" i="5" s="1"/>
  <c r="J504" i="5"/>
  <c r="I504" i="5"/>
  <c r="K504" i="5" s="1"/>
  <c r="J503" i="5"/>
  <c r="I503" i="5"/>
  <c r="K503" i="5" s="1"/>
  <c r="J502" i="5"/>
  <c r="I502" i="5"/>
  <c r="K502" i="5" s="1"/>
  <c r="J501" i="5"/>
  <c r="I501" i="5"/>
  <c r="K501" i="5" s="1"/>
  <c r="J500" i="5"/>
  <c r="I500" i="5"/>
  <c r="K500" i="5" s="1"/>
  <c r="J499" i="5"/>
  <c r="I499" i="5"/>
  <c r="J498" i="5"/>
  <c r="I498" i="5"/>
  <c r="J497" i="5"/>
  <c r="I497" i="5"/>
  <c r="J496" i="5"/>
  <c r="I496" i="5"/>
  <c r="K496" i="5" s="1"/>
  <c r="J495" i="5"/>
  <c r="I495" i="5"/>
  <c r="K495" i="5" s="1"/>
  <c r="J494" i="5"/>
  <c r="I494" i="5"/>
  <c r="K494" i="5" s="1"/>
  <c r="J493" i="5"/>
  <c r="I493" i="5"/>
  <c r="K493" i="5" s="1"/>
  <c r="J492" i="5"/>
  <c r="I492" i="5"/>
  <c r="K492" i="5" s="1"/>
  <c r="J491" i="5"/>
  <c r="I491" i="5"/>
  <c r="K491" i="5" s="1"/>
  <c r="J490" i="5"/>
  <c r="I490" i="5"/>
  <c r="K490" i="5" s="1"/>
  <c r="J489" i="5"/>
  <c r="I489" i="5"/>
  <c r="K489" i="5" s="1"/>
  <c r="J488" i="5"/>
  <c r="I488" i="5"/>
  <c r="K488" i="5" s="1"/>
  <c r="J487" i="5"/>
  <c r="I487" i="5"/>
  <c r="K487" i="5" s="1"/>
  <c r="J486" i="5"/>
  <c r="I486" i="5"/>
  <c r="K486" i="5" s="1"/>
  <c r="J485" i="5"/>
  <c r="I485" i="5"/>
  <c r="K485" i="5" s="1"/>
  <c r="J484" i="5"/>
  <c r="I484" i="5"/>
  <c r="K484" i="5" s="1"/>
  <c r="J483" i="5"/>
  <c r="I483" i="5"/>
  <c r="K483" i="5" s="1"/>
  <c r="J482" i="5"/>
  <c r="I482" i="5"/>
  <c r="J481" i="5"/>
  <c r="I481" i="5"/>
  <c r="J480" i="5"/>
  <c r="I480" i="5"/>
  <c r="K480" i="5" s="1"/>
  <c r="J479" i="5"/>
  <c r="I479" i="5"/>
  <c r="K479" i="5" s="1"/>
  <c r="J478" i="5"/>
  <c r="I478" i="5"/>
  <c r="K478" i="5" s="1"/>
  <c r="J477" i="5"/>
  <c r="I477" i="5"/>
  <c r="K477" i="5" s="1"/>
  <c r="J476" i="5"/>
  <c r="I476" i="5"/>
  <c r="K476" i="5" s="1"/>
  <c r="J475" i="5"/>
  <c r="I475" i="5"/>
  <c r="K475" i="5" s="1"/>
  <c r="J474" i="5"/>
  <c r="I474" i="5"/>
  <c r="J473" i="5"/>
  <c r="I473" i="5"/>
  <c r="J472" i="5"/>
  <c r="I472" i="5"/>
  <c r="K472" i="5" s="1"/>
  <c r="J471" i="5"/>
  <c r="I471" i="5"/>
  <c r="K471" i="5" s="1"/>
  <c r="J470" i="5"/>
  <c r="I470" i="5"/>
  <c r="K470" i="5" s="1"/>
  <c r="J469" i="5"/>
  <c r="I469" i="5"/>
  <c r="K469" i="5" s="1"/>
  <c r="J468" i="5"/>
  <c r="I468" i="5"/>
  <c r="K468" i="5" s="1"/>
  <c r="J467" i="5"/>
  <c r="I467" i="5"/>
  <c r="K467" i="5" s="1"/>
  <c r="J466" i="5"/>
  <c r="I466" i="5"/>
  <c r="J465" i="5"/>
  <c r="I465" i="5"/>
  <c r="J464" i="5"/>
  <c r="I464" i="5"/>
  <c r="N463" i="5"/>
  <c r="N462" i="5"/>
  <c r="N461" i="5"/>
  <c r="N460" i="5"/>
  <c r="N459" i="5"/>
  <c r="L459" i="5"/>
  <c r="N458" i="5"/>
  <c r="L458" i="5"/>
  <c r="O458" i="5" s="1"/>
  <c r="N457" i="5"/>
  <c r="L457" i="5"/>
  <c r="N456" i="5"/>
  <c r="L456" i="5"/>
  <c r="O456" i="5" s="1"/>
  <c r="N455" i="5"/>
  <c r="L455" i="5"/>
  <c r="J455" i="5"/>
  <c r="I455" i="5"/>
  <c r="J454" i="5"/>
  <c r="J453" i="5"/>
  <c r="J452" i="5"/>
  <c r="I452" i="5"/>
  <c r="K452" i="5" s="1"/>
  <c r="J451" i="5"/>
  <c r="I451" i="5"/>
  <c r="K451" i="5" s="1"/>
  <c r="J450" i="5"/>
  <c r="I450" i="5"/>
  <c r="J449" i="5"/>
  <c r="I449" i="5"/>
  <c r="J448" i="5"/>
  <c r="J447" i="5"/>
  <c r="J446" i="5"/>
  <c r="J445" i="5"/>
  <c r="N443" i="5"/>
  <c r="N442" i="5"/>
  <c r="N441" i="5"/>
  <c r="N440" i="5"/>
  <c r="N439" i="5"/>
  <c r="L439" i="5"/>
  <c r="N438" i="5"/>
  <c r="L438" i="5"/>
  <c r="O438" i="5" s="1"/>
  <c r="N437" i="5"/>
  <c r="L437" i="5"/>
  <c r="N436" i="5"/>
  <c r="L436" i="5"/>
  <c r="O436" i="5" s="1"/>
  <c r="N435" i="5"/>
  <c r="L435" i="5"/>
  <c r="J435" i="5"/>
  <c r="I435" i="5"/>
  <c r="J434" i="5"/>
  <c r="J433" i="5"/>
  <c r="J432" i="5"/>
  <c r="I432" i="5"/>
  <c r="J431" i="5"/>
  <c r="I431" i="5"/>
  <c r="K431" i="5" s="1"/>
  <c r="J430" i="5"/>
  <c r="I430" i="5"/>
  <c r="J429" i="5"/>
  <c r="I429" i="5"/>
  <c r="J428" i="5"/>
  <c r="I428" i="5"/>
  <c r="J427" i="5"/>
  <c r="I427" i="5"/>
  <c r="J426" i="5"/>
  <c r="I426" i="5"/>
  <c r="J425" i="5"/>
  <c r="I425" i="5"/>
  <c r="J424" i="5"/>
  <c r="I424" i="5"/>
  <c r="J423" i="5"/>
  <c r="I423" i="5"/>
  <c r="J422" i="5"/>
  <c r="I422" i="5"/>
  <c r="J421" i="5"/>
  <c r="I421" i="5"/>
  <c r="J420" i="5"/>
  <c r="I420" i="5"/>
  <c r="K420" i="5" s="1"/>
  <c r="J419" i="5"/>
  <c r="I419" i="5"/>
  <c r="K419" i="5" s="1"/>
  <c r="J418" i="5"/>
  <c r="I418" i="5"/>
  <c r="K418" i="5" s="1"/>
  <c r="J417" i="5"/>
  <c r="I417" i="5"/>
  <c r="K417" i="5" s="1"/>
  <c r="J416" i="5"/>
  <c r="I416" i="5"/>
  <c r="J415" i="5"/>
  <c r="J414" i="5"/>
  <c r="J413" i="5"/>
  <c r="J412" i="5"/>
  <c r="N410" i="5"/>
  <c r="N409" i="5"/>
  <c r="N408" i="5"/>
  <c r="N407" i="5"/>
  <c r="N406" i="5"/>
  <c r="L406" i="5"/>
  <c r="N405" i="5"/>
  <c r="L405" i="5"/>
  <c r="O405" i="5" s="1"/>
  <c r="N404" i="5"/>
  <c r="L404" i="5"/>
  <c r="N403" i="5"/>
  <c r="L403" i="5"/>
  <c r="O403" i="5" s="1"/>
  <c r="J402" i="5"/>
  <c r="I402" i="5"/>
  <c r="N401" i="5"/>
  <c r="L401" i="5"/>
  <c r="J401" i="5"/>
  <c r="I401" i="5"/>
  <c r="J400" i="5"/>
  <c r="J399" i="5"/>
  <c r="J398" i="5"/>
  <c r="I398" i="5"/>
  <c r="J397" i="5"/>
  <c r="I397" i="5"/>
  <c r="J396" i="5"/>
  <c r="I396" i="5"/>
  <c r="J394" i="5"/>
  <c r="J393" i="5"/>
  <c r="J392" i="5"/>
  <c r="J391" i="5"/>
  <c r="N389" i="5"/>
  <c r="N388" i="5"/>
  <c r="N387" i="5"/>
  <c r="N386" i="5"/>
  <c r="N385" i="5"/>
  <c r="L385" i="5"/>
  <c r="N384" i="5"/>
  <c r="L384" i="5"/>
  <c r="O384" i="5" s="1"/>
  <c r="N383" i="5"/>
  <c r="L383" i="5"/>
  <c r="N382" i="5"/>
  <c r="L382" i="5"/>
  <c r="O382" i="5" s="1"/>
  <c r="J381" i="5"/>
  <c r="I381" i="5"/>
  <c r="N380" i="5"/>
  <c r="L380" i="5"/>
  <c r="J380" i="5"/>
  <c r="I380" i="5"/>
  <c r="J379" i="5"/>
  <c r="J378" i="5"/>
  <c r="J377" i="5"/>
  <c r="I377" i="5"/>
  <c r="K377" i="5" s="1"/>
  <c r="J376" i="5"/>
  <c r="I376" i="5"/>
  <c r="K376" i="5" s="1"/>
  <c r="J375" i="5"/>
  <c r="I375" i="5"/>
  <c r="K375" i="5" s="1"/>
  <c r="J374" i="5"/>
  <c r="I374" i="5"/>
  <c r="J373" i="5"/>
  <c r="I373" i="5"/>
  <c r="K373" i="5" s="1"/>
  <c r="J372" i="5"/>
  <c r="I372" i="5"/>
  <c r="K372" i="5" s="1"/>
  <c r="J371" i="5"/>
  <c r="I371" i="5"/>
  <c r="K371" i="5" s="1"/>
  <c r="J370" i="5"/>
  <c r="I370" i="5"/>
  <c r="K370" i="5" s="1"/>
  <c r="J369" i="5"/>
  <c r="I369" i="5"/>
  <c r="K369" i="5" s="1"/>
  <c r="J368" i="5"/>
  <c r="I368" i="5"/>
  <c r="K368" i="5" s="1"/>
  <c r="J367" i="5"/>
  <c r="J366" i="5"/>
  <c r="J365" i="5"/>
  <c r="I365" i="5"/>
  <c r="K365" i="5" s="1"/>
  <c r="J364" i="5"/>
  <c r="J363" i="5"/>
  <c r="J362" i="5"/>
  <c r="J361" i="5"/>
  <c r="J360" i="5"/>
  <c r="N358" i="5"/>
  <c r="N357" i="5"/>
  <c r="N356" i="5"/>
  <c r="N355" i="5"/>
  <c r="N354" i="5"/>
  <c r="L354" i="5"/>
  <c r="O354" i="5" s="1"/>
  <c r="N353" i="5"/>
  <c r="L353" i="5"/>
  <c r="O353" i="5" s="1"/>
  <c r="N352" i="5"/>
  <c r="L352" i="5"/>
  <c r="O352" i="5" s="1"/>
  <c r="N351" i="5"/>
  <c r="L351" i="5"/>
  <c r="J350" i="5"/>
  <c r="I350" i="5"/>
  <c r="K350" i="5" s="1"/>
  <c r="N349" i="5"/>
  <c r="L349" i="5"/>
  <c r="O349" i="5" s="1"/>
  <c r="J349" i="5"/>
  <c r="I349" i="5"/>
  <c r="K349" i="5" s="1"/>
  <c r="N347" i="5"/>
  <c r="L347" i="5"/>
  <c r="J346" i="5"/>
  <c r="I346" i="5"/>
  <c r="K346" i="5" s="1"/>
  <c r="J345" i="5"/>
  <c r="I345" i="5"/>
  <c r="J344" i="5"/>
  <c r="I344" i="5"/>
  <c r="K344" i="5" s="1"/>
  <c r="J343" i="5"/>
  <c r="I343" i="5"/>
  <c r="J342" i="5"/>
  <c r="I342" i="5"/>
  <c r="K342" i="5" s="1"/>
  <c r="J341" i="5"/>
  <c r="I341" i="5"/>
  <c r="J340" i="5"/>
  <c r="I340" i="5"/>
  <c r="J339" i="5"/>
  <c r="I339" i="5"/>
  <c r="K339" i="5" s="1"/>
  <c r="N337" i="5"/>
  <c r="L337" i="5"/>
  <c r="M337" i="5" s="1"/>
  <c r="L335" i="5"/>
  <c r="L334" i="5"/>
  <c r="N333" i="5"/>
  <c r="M333" i="5"/>
  <c r="O332" i="5"/>
  <c r="P330" i="5"/>
  <c r="O330" i="5"/>
  <c r="N330" i="5"/>
  <c r="M330" i="5"/>
  <c r="L330" i="5"/>
  <c r="J328" i="5"/>
  <c r="I328" i="5"/>
  <c r="J326" i="5"/>
  <c r="J325" i="5"/>
  <c r="J324" i="5"/>
  <c r="I324" i="5"/>
  <c r="K324" i="5" s="1"/>
  <c r="J323" i="5"/>
  <c r="J322" i="5"/>
  <c r="J321" i="5"/>
  <c r="J320" i="5"/>
  <c r="N318" i="5"/>
  <c r="L318" i="5"/>
  <c r="O318" i="5" s="1"/>
  <c r="L316" i="5"/>
  <c r="L315" i="5"/>
  <c r="N314" i="5"/>
  <c r="M314" i="5"/>
  <c r="P314" i="5" s="1"/>
  <c r="O313" i="5"/>
  <c r="O311" i="5"/>
  <c r="N311" i="5"/>
  <c r="M311" i="5"/>
  <c r="L311" i="5"/>
  <c r="J309" i="5"/>
  <c r="I309" i="5"/>
  <c r="K309" i="5" s="1"/>
  <c r="J308" i="5"/>
  <c r="J307" i="5"/>
  <c r="J306" i="5"/>
  <c r="I306" i="5"/>
  <c r="K306" i="5" s="1"/>
  <c r="J304" i="5"/>
  <c r="I304" i="5"/>
  <c r="K304" i="5" s="1"/>
  <c r="J303" i="5"/>
  <c r="J302" i="5"/>
  <c r="J301" i="5"/>
  <c r="J300" i="5"/>
  <c r="N298" i="5"/>
  <c r="L298" i="5"/>
  <c r="O298" i="5" s="1"/>
  <c r="L296" i="5"/>
  <c r="L295" i="5"/>
  <c r="N294" i="5"/>
  <c r="M294" i="5"/>
  <c r="O293" i="5"/>
  <c r="P291" i="5"/>
  <c r="O291" i="5"/>
  <c r="N291" i="5"/>
  <c r="M291" i="5"/>
  <c r="L291" i="5"/>
  <c r="J289" i="5"/>
  <c r="I289" i="5"/>
  <c r="K289" i="5" s="1"/>
  <c r="J287" i="5"/>
  <c r="J286" i="5"/>
  <c r="J285" i="5"/>
  <c r="I285" i="5"/>
  <c r="J284" i="5"/>
  <c r="J283" i="5"/>
  <c r="J282" i="5"/>
  <c r="J281" i="5"/>
  <c r="N279" i="5"/>
  <c r="L279" i="5"/>
  <c r="O279" i="5" s="1"/>
  <c r="L277" i="5"/>
  <c r="L276" i="5"/>
  <c r="N275" i="5"/>
  <c r="M275" i="5"/>
  <c r="M273" i="5" s="1"/>
  <c r="O274" i="5"/>
  <c r="N272" i="5"/>
  <c r="M272" i="5"/>
  <c r="L272" i="5"/>
  <c r="J270" i="5"/>
  <c r="I270" i="5"/>
  <c r="J269" i="5"/>
  <c r="J268" i="5"/>
  <c r="J267" i="5"/>
  <c r="I267" i="5"/>
  <c r="K267" i="5" s="1"/>
  <c r="J266" i="5"/>
  <c r="I266" i="5"/>
  <c r="K266" i="5" s="1"/>
  <c r="J265" i="5"/>
  <c r="I265" i="5"/>
  <c r="K265" i="5" s="1"/>
  <c r="J264" i="5"/>
  <c r="I264" i="5"/>
  <c r="K264" i="5" s="1"/>
  <c r="J263" i="5"/>
  <c r="J262" i="5"/>
  <c r="J261" i="5"/>
  <c r="J260" i="5"/>
  <c r="N258" i="5"/>
  <c r="L258" i="5"/>
  <c r="O258" i="5" s="1"/>
  <c r="L256" i="5"/>
  <c r="L255" i="5"/>
  <c r="N254" i="5"/>
  <c r="M254" i="5"/>
  <c r="M252" i="5" s="1"/>
  <c r="P252" i="5" s="1"/>
  <c r="O253" i="5"/>
  <c r="N251" i="5"/>
  <c r="M251" i="5"/>
  <c r="L251" i="5"/>
  <c r="J249" i="5"/>
  <c r="I249" i="5"/>
  <c r="K249" i="5" s="1"/>
  <c r="J246" i="5"/>
  <c r="J245" i="5"/>
  <c r="J244" i="5"/>
  <c r="I244" i="5"/>
  <c r="K244" i="5" s="1"/>
  <c r="J243" i="5"/>
  <c r="J242" i="5"/>
  <c r="J241" i="5"/>
  <c r="J240" i="5"/>
  <c r="J238" i="5"/>
  <c r="I238" i="5"/>
  <c r="K238" i="5" s="1"/>
  <c r="J237" i="5"/>
  <c r="J236" i="5"/>
  <c r="J235" i="5"/>
  <c r="I235" i="5"/>
  <c r="J234" i="5"/>
  <c r="J233" i="5"/>
  <c r="J232" i="5"/>
  <c r="J231" i="5"/>
  <c r="J229" i="5"/>
  <c r="I229" i="5"/>
  <c r="N228" i="5"/>
  <c r="L228" i="5"/>
  <c r="O228" i="5" s="1"/>
  <c r="L226" i="5"/>
  <c r="L225" i="5"/>
  <c r="N224" i="5"/>
  <c r="M224" i="5"/>
  <c r="M222" i="5" s="1"/>
  <c r="O223" i="5"/>
  <c r="O221" i="5"/>
  <c r="N221" i="5"/>
  <c r="M221" i="5"/>
  <c r="L221" i="5"/>
  <c r="J219" i="5"/>
  <c r="I219" i="5"/>
  <c r="J218" i="5"/>
  <c r="J217" i="5"/>
  <c r="J216" i="5"/>
  <c r="I216" i="5"/>
  <c r="K216" i="5" s="1"/>
  <c r="J215" i="5"/>
  <c r="I215" i="5"/>
  <c r="K215" i="5" s="1"/>
  <c r="J213" i="5"/>
  <c r="I213" i="5"/>
  <c r="K213" i="5" s="1"/>
  <c r="J212" i="5"/>
  <c r="J211" i="5"/>
  <c r="J210" i="5"/>
  <c r="J209" i="5"/>
  <c r="J204" i="5"/>
  <c r="I204" i="5"/>
  <c r="K204" i="5" s="1"/>
  <c r="J203" i="5"/>
  <c r="J202" i="5"/>
  <c r="J201" i="5"/>
  <c r="I201" i="5"/>
  <c r="K201" i="5" s="1"/>
  <c r="J200" i="5"/>
  <c r="I200" i="5"/>
  <c r="J199" i="5"/>
  <c r="I199" i="5"/>
  <c r="J197" i="5"/>
  <c r="J196" i="5"/>
  <c r="J195" i="5"/>
  <c r="J194" i="5"/>
  <c r="J189" i="5"/>
  <c r="I189" i="5"/>
  <c r="J188" i="5"/>
  <c r="J187" i="5"/>
  <c r="J186" i="5"/>
  <c r="I186" i="5"/>
  <c r="K186" i="5" s="1"/>
  <c r="J185" i="5"/>
  <c r="I185" i="5"/>
  <c r="K185" i="5" s="1"/>
  <c r="J184" i="5"/>
  <c r="J183" i="5"/>
  <c r="J182" i="5"/>
  <c r="J181" i="5"/>
  <c r="J176" i="5"/>
  <c r="I176" i="5"/>
  <c r="K176" i="5" s="1"/>
  <c r="J175" i="5"/>
  <c r="J174" i="5"/>
  <c r="J173" i="5"/>
  <c r="I173" i="5"/>
  <c r="J172" i="5"/>
  <c r="J171" i="5"/>
  <c r="J170" i="5"/>
  <c r="J169" i="5"/>
  <c r="J164" i="5"/>
  <c r="I164" i="5"/>
  <c r="J163" i="5"/>
  <c r="J162" i="5"/>
  <c r="J161" i="5"/>
  <c r="J160" i="5"/>
  <c r="J159" i="5"/>
  <c r="J158" i="5"/>
  <c r="I158" i="5"/>
  <c r="J157" i="5"/>
  <c r="J156" i="5"/>
  <c r="J155" i="5"/>
  <c r="J154" i="5"/>
  <c r="J149" i="5"/>
  <c r="I149" i="5"/>
  <c r="N148" i="5"/>
  <c r="L148" i="5"/>
  <c r="O148" i="5" s="1"/>
  <c r="L146" i="5"/>
  <c r="L145" i="5"/>
  <c r="N144" i="5"/>
  <c r="M144" i="5"/>
  <c r="M142" i="5" s="1"/>
  <c r="M140" i="5" s="1"/>
  <c r="O143" i="5"/>
  <c r="N141" i="5"/>
  <c r="M141" i="5"/>
  <c r="P141" i="5" s="1"/>
  <c r="L141" i="5"/>
  <c r="J138" i="5"/>
  <c r="I138" i="5"/>
  <c r="K138" i="5" s="1"/>
  <c r="J135" i="5"/>
  <c r="J134" i="5"/>
  <c r="J133" i="5"/>
  <c r="I133" i="5"/>
  <c r="J132" i="5"/>
  <c r="I132" i="5"/>
  <c r="J131" i="5"/>
  <c r="J130" i="5"/>
  <c r="J129" i="5"/>
  <c r="J128" i="5"/>
  <c r="N126" i="5"/>
  <c r="L126" i="5"/>
  <c r="L124" i="5"/>
  <c r="L123" i="5"/>
  <c r="N122" i="5"/>
  <c r="M122" i="5"/>
  <c r="M120" i="5" s="1"/>
  <c r="O121" i="5"/>
  <c r="N119" i="5"/>
  <c r="M119" i="5"/>
  <c r="L119" i="5"/>
  <c r="J117" i="5"/>
  <c r="I117" i="5"/>
  <c r="J115" i="5"/>
  <c r="J114" i="5"/>
  <c r="J113" i="5"/>
  <c r="I113" i="5"/>
  <c r="J112" i="5"/>
  <c r="I112" i="5"/>
  <c r="J111" i="5"/>
  <c r="I111" i="5"/>
  <c r="J110" i="5"/>
  <c r="I110" i="5"/>
  <c r="J109" i="5"/>
  <c r="I109" i="5"/>
  <c r="J108" i="5"/>
  <c r="I108" i="5"/>
  <c r="J107" i="5"/>
  <c r="J106" i="5"/>
  <c r="J105" i="5"/>
  <c r="J104" i="5"/>
  <c r="N102" i="5"/>
  <c r="L102" i="5"/>
  <c r="M102" i="5" s="1"/>
  <c r="L100" i="5"/>
  <c r="L99" i="5"/>
  <c r="N98" i="5"/>
  <c r="M98" i="5"/>
  <c r="O97" i="5"/>
  <c r="N95" i="5"/>
  <c r="M95" i="5"/>
  <c r="L95" i="5"/>
  <c r="J93" i="5"/>
  <c r="I93" i="5"/>
  <c r="J92" i="5"/>
  <c r="I92" i="5"/>
  <c r="J90" i="5"/>
  <c r="J89" i="5"/>
  <c r="J88" i="5"/>
  <c r="I88" i="5"/>
  <c r="K88" i="5" s="1"/>
  <c r="J87" i="5"/>
  <c r="I87" i="5"/>
  <c r="K87" i="5" s="1"/>
  <c r="J86" i="5"/>
  <c r="I86" i="5"/>
  <c r="K86" i="5" s="1"/>
  <c r="J85" i="5"/>
  <c r="I85" i="5"/>
  <c r="K85" i="5" s="1"/>
  <c r="J84" i="5"/>
  <c r="I84" i="5"/>
  <c r="K84" i="5" s="1"/>
  <c r="J83" i="5"/>
  <c r="I83" i="5"/>
  <c r="K83" i="5" s="1"/>
  <c r="J82" i="5"/>
  <c r="I82" i="5"/>
  <c r="K82" i="5" s="1"/>
  <c r="J81" i="5"/>
  <c r="I81" i="5"/>
  <c r="K81" i="5" s="1"/>
  <c r="J80" i="5"/>
  <c r="I80" i="5"/>
  <c r="K80" i="5" s="1"/>
  <c r="J79" i="5"/>
  <c r="J78" i="5"/>
  <c r="J77" i="5"/>
  <c r="J76" i="5"/>
  <c r="N74" i="5"/>
  <c r="L74" i="5"/>
  <c r="O74" i="5" s="1"/>
  <c r="L72" i="5"/>
  <c r="L71" i="5"/>
  <c r="N70" i="5"/>
  <c r="M70" i="5"/>
  <c r="O69" i="5"/>
  <c r="P67" i="5"/>
  <c r="N67" i="5"/>
  <c r="M67" i="5"/>
  <c r="L67" i="5"/>
  <c r="J65" i="5"/>
  <c r="I65" i="5"/>
  <c r="K65" i="5" s="1"/>
  <c r="J64" i="5"/>
  <c r="I64" i="5"/>
  <c r="K64" i="5" s="1"/>
  <c r="N61" i="5"/>
  <c r="L61" i="5"/>
  <c r="O61" i="5" s="1"/>
  <c r="L59" i="5"/>
  <c r="L58" i="5"/>
  <c r="N57" i="5"/>
  <c r="M57" i="5"/>
  <c r="O54" i="5"/>
  <c r="N54" i="5"/>
  <c r="M54" i="5"/>
  <c r="P54" i="5" s="1"/>
  <c r="L54" i="5"/>
  <c r="N49" i="5"/>
  <c r="L49" i="5"/>
  <c r="O49" i="5" s="1"/>
  <c r="L47" i="5"/>
  <c r="L46" i="5"/>
  <c r="N45" i="5"/>
  <c r="M45" i="5"/>
  <c r="P42" i="5"/>
  <c r="N42" i="5"/>
  <c r="M42" i="5"/>
  <c r="L42" i="5"/>
  <c r="P36" i="5"/>
  <c r="O36" i="5"/>
  <c r="P35" i="5"/>
  <c r="O35" i="5"/>
  <c r="M34" i="5"/>
  <c r="P34" i="5" s="1"/>
  <c r="P33" i="5"/>
  <c r="M33" i="5"/>
  <c r="M32" i="5"/>
  <c r="P31" i="5"/>
  <c r="M31" i="5"/>
  <c r="M29" i="5" s="1"/>
  <c r="P29" i="5" s="1"/>
  <c r="O25" i="5"/>
  <c r="N25" i="5"/>
  <c r="M25" i="5"/>
  <c r="P25" i="5" s="1"/>
  <c r="L25" i="5"/>
  <c r="P24" i="5"/>
  <c r="N24" i="5"/>
  <c r="M24" i="5"/>
  <c r="N23" i="5"/>
  <c r="M23" i="5"/>
  <c r="O21" i="5"/>
  <c r="N21" i="5"/>
  <c r="N19" i="5" s="1"/>
  <c r="M21" i="5"/>
  <c r="P21" i="5" s="1"/>
  <c r="L21" i="5"/>
  <c r="O19" i="5"/>
  <c r="M19" i="5"/>
  <c r="L19" i="5"/>
  <c r="P15" i="5"/>
  <c r="N15" i="5"/>
  <c r="M15" i="5"/>
  <c r="L15" i="5"/>
  <c r="O15" i="5" s="1"/>
  <c r="M14" i="5"/>
  <c r="P14" i="5" s="1"/>
  <c r="P11" i="5"/>
  <c r="M11" i="5"/>
  <c r="M9" i="5"/>
  <c r="P9" i="5" s="1"/>
  <c r="J635" i="4"/>
  <c r="I635" i="4"/>
  <c r="J634" i="4"/>
  <c r="I634" i="4"/>
  <c r="J633" i="4"/>
  <c r="I633" i="4"/>
  <c r="J632" i="4"/>
  <c r="I632" i="4"/>
  <c r="J631" i="4"/>
  <c r="I631" i="4"/>
  <c r="J630" i="4"/>
  <c r="I630" i="4"/>
  <c r="J629" i="4"/>
  <c r="I629" i="4"/>
  <c r="J628" i="4"/>
  <c r="I628" i="4"/>
  <c r="J626" i="4"/>
  <c r="I626" i="4"/>
  <c r="J625" i="4"/>
  <c r="I625" i="4"/>
  <c r="J624" i="4"/>
  <c r="I624" i="4"/>
  <c r="J623" i="4"/>
  <c r="I623" i="4"/>
  <c r="J622" i="4"/>
  <c r="I622" i="4"/>
  <c r="J621" i="4"/>
  <c r="I621" i="4"/>
  <c r="J620" i="4"/>
  <c r="I620" i="4"/>
  <c r="J619" i="4"/>
  <c r="I619" i="4"/>
  <c r="J618" i="4"/>
  <c r="I618" i="4"/>
  <c r="J617" i="4"/>
  <c r="I617" i="4"/>
  <c r="J616" i="4"/>
  <c r="I616" i="4"/>
  <c r="J615" i="4"/>
  <c r="I615" i="4"/>
  <c r="J614" i="4"/>
  <c r="I614" i="4"/>
  <c r="J613" i="4"/>
  <c r="I613" i="4"/>
  <c r="J612" i="4"/>
  <c r="I612" i="4"/>
  <c r="J611" i="4"/>
  <c r="I611" i="4"/>
  <c r="J610" i="4"/>
  <c r="J609" i="4"/>
  <c r="J608" i="4"/>
  <c r="J607" i="4"/>
  <c r="N605" i="4"/>
  <c r="N604" i="4"/>
  <c r="N603" i="4"/>
  <c r="N602" i="4"/>
  <c r="N601" i="4"/>
  <c r="L601" i="4"/>
  <c r="N600" i="4"/>
  <c r="L600" i="4"/>
  <c r="O600" i="4" s="1"/>
  <c r="N599" i="4"/>
  <c r="L599" i="4"/>
  <c r="N598" i="4"/>
  <c r="L598" i="4"/>
  <c r="O598" i="4" s="1"/>
  <c r="N597" i="4"/>
  <c r="L597" i="4"/>
  <c r="J597" i="4"/>
  <c r="I597" i="4"/>
  <c r="J596" i="4"/>
  <c r="I596" i="4"/>
  <c r="K596" i="4" s="1"/>
  <c r="J595" i="4"/>
  <c r="I595" i="4"/>
  <c r="J594" i="4"/>
  <c r="I594" i="4"/>
  <c r="K594" i="4" s="1"/>
  <c r="J593" i="4"/>
  <c r="I593" i="4"/>
  <c r="J592" i="4"/>
  <c r="I592" i="4"/>
  <c r="K592" i="4" s="1"/>
  <c r="J591" i="4"/>
  <c r="I591" i="4"/>
  <c r="J590" i="4"/>
  <c r="I590" i="4"/>
  <c r="K590" i="4" s="1"/>
  <c r="J589" i="4"/>
  <c r="I589" i="4"/>
  <c r="N588" i="4"/>
  <c r="N587" i="4"/>
  <c r="N586" i="4"/>
  <c r="N585" i="4"/>
  <c r="N584" i="4"/>
  <c r="L584" i="4"/>
  <c r="N583" i="4"/>
  <c r="L583" i="4"/>
  <c r="O583" i="4" s="1"/>
  <c r="N582" i="4"/>
  <c r="L582" i="4"/>
  <c r="N581" i="4"/>
  <c r="L581" i="4"/>
  <c r="N580" i="4"/>
  <c r="L580" i="4"/>
  <c r="J580" i="4"/>
  <c r="I580" i="4"/>
  <c r="J579" i="4"/>
  <c r="I579" i="4"/>
  <c r="K579" i="4" s="1"/>
  <c r="J578" i="4"/>
  <c r="I578" i="4"/>
  <c r="K578" i="4" s="1"/>
  <c r="J577" i="4"/>
  <c r="I577" i="4"/>
  <c r="K577" i="4" s="1"/>
  <c r="J576" i="4"/>
  <c r="I576" i="4"/>
  <c r="K576" i="4" s="1"/>
  <c r="J575" i="4"/>
  <c r="I575" i="4"/>
  <c r="K575" i="4" s="1"/>
  <c r="J573" i="4"/>
  <c r="I573" i="4"/>
  <c r="N572" i="4"/>
  <c r="N571" i="4"/>
  <c r="N570" i="4"/>
  <c r="N569" i="4"/>
  <c r="N568" i="4"/>
  <c r="L568" i="4"/>
  <c r="N567" i="4"/>
  <c r="L567" i="4"/>
  <c r="O567" i="4" s="1"/>
  <c r="N566" i="4"/>
  <c r="L566" i="4"/>
  <c r="N565" i="4"/>
  <c r="L565" i="4"/>
  <c r="O565" i="4" s="1"/>
  <c r="N564" i="4"/>
  <c r="L564" i="4"/>
  <c r="J564" i="4"/>
  <c r="I564" i="4"/>
  <c r="J563" i="4"/>
  <c r="J562" i="4"/>
  <c r="J561" i="4"/>
  <c r="I561" i="4"/>
  <c r="K561" i="4" s="1"/>
  <c r="J560" i="4"/>
  <c r="I560" i="4"/>
  <c r="N559" i="4"/>
  <c r="N558" i="4"/>
  <c r="N557" i="4"/>
  <c r="N556" i="4"/>
  <c r="N555" i="4"/>
  <c r="L555" i="4"/>
  <c r="N554" i="4"/>
  <c r="L554" i="4"/>
  <c r="O554" i="4" s="1"/>
  <c r="N553" i="4"/>
  <c r="L553" i="4"/>
  <c r="N552" i="4"/>
  <c r="L552" i="4"/>
  <c r="O552" i="4" s="1"/>
  <c r="N551" i="4"/>
  <c r="L551" i="4"/>
  <c r="J551" i="4"/>
  <c r="I551" i="4"/>
  <c r="J550" i="4"/>
  <c r="J549" i="4"/>
  <c r="J548" i="4"/>
  <c r="I548" i="4"/>
  <c r="K548" i="4" s="1"/>
  <c r="J547" i="4"/>
  <c r="I547" i="4"/>
  <c r="J546" i="4"/>
  <c r="J545" i="4"/>
  <c r="J544" i="4"/>
  <c r="J543" i="4"/>
  <c r="N541" i="4"/>
  <c r="N540" i="4"/>
  <c r="N539" i="4"/>
  <c r="N538" i="4"/>
  <c r="N537" i="4"/>
  <c r="L537" i="4"/>
  <c r="N536" i="4"/>
  <c r="L536" i="4"/>
  <c r="O536" i="4" s="1"/>
  <c r="N535" i="4"/>
  <c r="L535" i="4"/>
  <c r="N534" i="4"/>
  <c r="L534" i="4"/>
  <c r="O534" i="4" s="1"/>
  <c r="N533" i="4"/>
  <c r="L533" i="4"/>
  <c r="J533" i="4"/>
  <c r="I533" i="4"/>
  <c r="J532" i="4"/>
  <c r="I532" i="4"/>
  <c r="J531" i="4"/>
  <c r="I531" i="4"/>
  <c r="J530" i="4"/>
  <c r="I530" i="4"/>
  <c r="J529" i="4"/>
  <c r="I529" i="4"/>
  <c r="J528" i="4"/>
  <c r="I528" i="4"/>
  <c r="J527" i="4"/>
  <c r="I527" i="4"/>
  <c r="J526" i="4"/>
  <c r="I526" i="4"/>
  <c r="J525" i="4"/>
  <c r="I525" i="4"/>
  <c r="J524" i="4"/>
  <c r="I524" i="4"/>
  <c r="J523" i="4"/>
  <c r="I523" i="4"/>
  <c r="J522" i="4"/>
  <c r="I522" i="4"/>
  <c r="J521" i="4"/>
  <c r="I521" i="4"/>
  <c r="J520" i="4"/>
  <c r="I520" i="4"/>
  <c r="J519" i="4"/>
  <c r="I519" i="4"/>
  <c r="J518" i="4"/>
  <c r="I518" i="4"/>
  <c r="J517" i="4"/>
  <c r="I517" i="4"/>
  <c r="J516" i="4"/>
  <c r="I516" i="4"/>
  <c r="J515" i="4"/>
  <c r="I515" i="4"/>
  <c r="K515" i="4" s="1"/>
  <c r="J514" i="4"/>
  <c r="I514" i="4"/>
  <c r="K514" i="4" s="1"/>
  <c r="J513" i="4"/>
  <c r="I513" i="4"/>
  <c r="K513" i="4" s="1"/>
  <c r="J512" i="4"/>
  <c r="I512" i="4"/>
  <c r="K512" i="4" s="1"/>
  <c r="J511" i="4"/>
  <c r="I511" i="4"/>
  <c r="K511" i="4" s="1"/>
  <c r="J510" i="4"/>
  <c r="I510" i="4"/>
  <c r="K510" i="4" s="1"/>
  <c r="J509" i="4"/>
  <c r="I509" i="4"/>
  <c r="K509" i="4" s="1"/>
  <c r="J508" i="4"/>
  <c r="I508" i="4"/>
  <c r="K508" i="4" s="1"/>
  <c r="J507" i="4"/>
  <c r="I507" i="4"/>
  <c r="K507" i="4" s="1"/>
  <c r="J506" i="4"/>
  <c r="I506" i="4"/>
  <c r="K506" i="4" s="1"/>
  <c r="J505" i="4"/>
  <c r="I505" i="4"/>
  <c r="K505" i="4" s="1"/>
  <c r="J504" i="4"/>
  <c r="I504" i="4"/>
  <c r="K504" i="4" s="1"/>
  <c r="J503" i="4"/>
  <c r="I503" i="4"/>
  <c r="K503" i="4" s="1"/>
  <c r="J502" i="4"/>
  <c r="I502" i="4"/>
  <c r="K502" i="4" s="1"/>
  <c r="J501" i="4"/>
  <c r="I501" i="4"/>
  <c r="K501" i="4" s="1"/>
  <c r="J500" i="4"/>
  <c r="I500" i="4"/>
  <c r="K500" i="4" s="1"/>
  <c r="J499" i="4"/>
  <c r="I499" i="4"/>
  <c r="J498" i="4"/>
  <c r="I498" i="4"/>
  <c r="J497" i="4"/>
  <c r="I497" i="4"/>
  <c r="J496" i="4"/>
  <c r="I496" i="4"/>
  <c r="K496" i="4" s="1"/>
  <c r="J495" i="4"/>
  <c r="I495" i="4"/>
  <c r="K495" i="4" s="1"/>
  <c r="J494" i="4"/>
  <c r="I494" i="4"/>
  <c r="K494" i="4" s="1"/>
  <c r="J493" i="4"/>
  <c r="I493" i="4"/>
  <c r="K493" i="4" s="1"/>
  <c r="J492" i="4"/>
  <c r="I492" i="4"/>
  <c r="K492" i="4" s="1"/>
  <c r="J491" i="4"/>
  <c r="I491" i="4"/>
  <c r="K491" i="4" s="1"/>
  <c r="J490" i="4"/>
  <c r="I490" i="4"/>
  <c r="K490" i="4" s="1"/>
  <c r="J489" i="4"/>
  <c r="I489" i="4"/>
  <c r="K489" i="4" s="1"/>
  <c r="J488" i="4"/>
  <c r="I488" i="4"/>
  <c r="K488" i="4" s="1"/>
  <c r="J487" i="4"/>
  <c r="I487" i="4"/>
  <c r="K487" i="4" s="1"/>
  <c r="J486" i="4"/>
  <c r="I486" i="4"/>
  <c r="K486" i="4" s="1"/>
  <c r="J485" i="4"/>
  <c r="I485" i="4"/>
  <c r="K485" i="4" s="1"/>
  <c r="J484" i="4"/>
  <c r="I484" i="4"/>
  <c r="K484" i="4" s="1"/>
  <c r="J483" i="4"/>
  <c r="I483" i="4"/>
  <c r="K483" i="4" s="1"/>
  <c r="J482" i="4"/>
  <c r="I482" i="4"/>
  <c r="J481" i="4"/>
  <c r="I481" i="4"/>
  <c r="J480" i="4"/>
  <c r="I480" i="4"/>
  <c r="K480" i="4" s="1"/>
  <c r="J479" i="4"/>
  <c r="I479" i="4"/>
  <c r="K479" i="4" s="1"/>
  <c r="J478" i="4"/>
  <c r="I478" i="4"/>
  <c r="K478" i="4" s="1"/>
  <c r="J477" i="4"/>
  <c r="I477" i="4"/>
  <c r="K477" i="4" s="1"/>
  <c r="J476" i="4"/>
  <c r="I476" i="4"/>
  <c r="K476" i="4" s="1"/>
  <c r="J475" i="4"/>
  <c r="I475" i="4"/>
  <c r="K475" i="4" s="1"/>
  <c r="J474" i="4"/>
  <c r="I474" i="4"/>
  <c r="J473" i="4"/>
  <c r="I473" i="4"/>
  <c r="J472" i="4"/>
  <c r="I472" i="4"/>
  <c r="K472" i="4" s="1"/>
  <c r="J471" i="4"/>
  <c r="I471" i="4"/>
  <c r="K471" i="4" s="1"/>
  <c r="J470" i="4"/>
  <c r="I470" i="4"/>
  <c r="K470" i="4" s="1"/>
  <c r="J469" i="4"/>
  <c r="I469" i="4"/>
  <c r="K469" i="4" s="1"/>
  <c r="J468" i="4"/>
  <c r="I468" i="4"/>
  <c r="K468" i="4" s="1"/>
  <c r="J467" i="4"/>
  <c r="I467" i="4"/>
  <c r="K467" i="4" s="1"/>
  <c r="J466" i="4"/>
  <c r="I466" i="4"/>
  <c r="J465" i="4"/>
  <c r="I465" i="4"/>
  <c r="J464" i="4"/>
  <c r="I464" i="4"/>
  <c r="N463" i="4"/>
  <c r="N462" i="4"/>
  <c r="N461" i="4"/>
  <c r="N460" i="4"/>
  <c r="N459" i="4"/>
  <c r="L459" i="4"/>
  <c r="N458" i="4"/>
  <c r="L458" i="4"/>
  <c r="O458" i="4" s="1"/>
  <c r="N457" i="4"/>
  <c r="L457" i="4"/>
  <c r="N456" i="4"/>
  <c r="L456" i="4"/>
  <c r="O456" i="4" s="1"/>
  <c r="N455" i="4"/>
  <c r="L455" i="4"/>
  <c r="J455" i="4"/>
  <c r="I455" i="4"/>
  <c r="J454" i="4"/>
  <c r="J453" i="4"/>
  <c r="J452" i="4"/>
  <c r="I452" i="4"/>
  <c r="K452" i="4" s="1"/>
  <c r="J451" i="4"/>
  <c r="I451" i="4"/>
  <c r="K451" i="4" s="1"/>
  <c r="J450" i="4"/>
  <c r="I450" i="4"/>
  <c r="J449" i="4"/>
  <c r="I449" i="4"/>
  <c r="J448" i="4"/>
  <c r="J447" i="4"/>
  <c r="J446" i="4"/>
  <c r="J445" i="4"/>
  <c r="N443" i="4"/>
  <c r="N442" i="4"/>
  <c r="N441" i="4"/>
  <c r="N440" i="4"/>
  <c r="N439" i="4"/>
  <c r="L439" i="4"/>
  <c r="N438" i="4"/>
  <c r="L438" i="4"/>
  <c r="O438" i="4" s="1"/>
  <c r="N437" i="4"/>
  <c r="L437" i="4"/>
  <c r="N436" i="4"/>
  <c r="L436" i="4"/>
  <c r="O436" i="4" s="1"/>
  <c r="N435" i="4"/>
  <c r="L435" i="4"/>
  <c r="J435" i="4"/>
  <c r="I435" i="4"/>
  <c r="J434" i="4"/>
  <c r="J433" i="4"/>
  <c r="J432" i="4"/>
  <c r="I432" i="4"/>
  <c r="J431" i="4"/>
  <c r="I431" i="4"/>
  <c r="J430" i="4"/>
  <c r="I430" i="4"/>
  <c r="J429" i="4"/>
  <c r="I429" i="4"/>
  <c r="J428" i="4"/>
  <c r="I428" i="4"/>
  <c r="J427" i="4"/>
  <c r="I427" i="4"/>
  <c r="J426" i="4"/>
  <c r="I426" i="4"/>
  <c r="J425" i="4"/>
  <c r="I425" i="4"/>
  <c r="J424" i="4"/>
  <c r="I424" i="4"/>
  <c r="J423" i="4"/>
  <c r="I423" i="4"/>
  <c r="J422" i="4"/>
  <c r="I422" i="4"/>
  <c r="J421" i="4"/>
  <c r="I421" i="4"/>
  <c r="J420" i="4"/>
  <c r="I420" i="4"/>
  <c r="J419" i="4"/>
  <c r="I419" i="4"/>
  <c r="J418" i="4"/>
  <c r="I418" i="4"/>
  <c r="J417" i="4"/>
  <c r="I417" i="4"/>
  <c r="J416" i="4"/>
  <c r="I416" i="4"/>
  <c r="J415" i="4"/>
  <c r="J414" i="4"/>
  <c r="J413" i="4"/>
  <c r="J412" i="4"/>
  <c r="N410" i="4"/>
  <c r="N409" i="4"/>
  <c r="N408" i="4"/>
  <c r="N407" i="4"/>
  <c r="N406" i="4"/>
  <c r="L406" i="4"/>
  <c r="N405" i="4"/>
  <c r="L405" i="4"/>
  <c r="O405" i="4" s="1"/>
  <c r="N404" i="4"/>
  <c r="L404" i="4"/>
  <c r="N403" i="4"/>
  <c r="L403" i="4"/>
  <c r="O403" i="4" s="1"/>
  <c r="J402" i="4"/>
  <c r="I402" i="4"/>
  <c r="N401" i="4"/>
  <c r="L401" i="4"/>
  <c r="J401" i="4"/>
  <c r="I401" i="4"/>
  <c r="J400" i="4"/>
  <c r="J399" i="4"/>
  <c r="J398" i="4"/>
  <c r="I398" i="4"/>
  <c r="J397" i="4"/>
  <c r="I397" i="4"/>
  <c r="J396" i="4"/>
  <c r="I396" i="4"/>
  <c r="J394" i="4"/>
  <c r="J393" i="4"/>
  <c r="J392" i="4"/>
  <c r="J391" i="4"/>
  <c r="N389" i="4"/>
  <c r="N388" i="4"/>
  <c r="N387" i="4"/>
  <c r="N386" i="4"/>
  <c r="N385" i="4"/>
  <c r="L385" i="4"/>
  <c r="N384" i="4"/>
  <c r="L384" i="4"/>
  <c r="N383" i="4"/>
  <c r="L383" i="4"/>
  <c r="N382" i="4"/>
  <c r="L382" i="4"/>
  <c r="O382" i="4" s="1"/>
  <c r="J381" i="4"/>
  <c r="I381" i="4"/>
  <c r="N380" i="4"/>
  <c r="L380" i="4"/>
  <c r="J380" i="4"/>
  <c r="I380" i="4"/>
  <c r="J379" i="4"/>
  <c r="J378" i="4"/>
  <c r="J377" i="4"/>
  <c r="I377" i="4"/>
  <c r="J376" i="4"/>
  <c r="I376" i="4"/>
  <c r="J375" i="4"/>
  <c r="I375" i="4"/>
  <c r="J374" i="4"/>
  <c r="I374" i="4"/>
  <c r="J373" i="4"/>
  <c r="I373" i="4"/>
  <c r="K373" i="4" s="1"/>
  <c r="J372" i="4"/>
  <c r="I372" i="4"/>
  <c r="J371" i="4"/>
  <c r="I371" i="4"/>
  <c r="K371" i="4" s="1"/>
  <c r="J370" i="4"/>
  <c r="I370" i="4"/>
  <c r="J369" i="4"/>
  <c r="I369" i="4"/>
  <c r="K369" i="4" s="1"/>
  <c r="J368" i="4"/>
  <c r="I368" i="4"/>
  <c r="J367" i="4"/>
  <c r="J366" i="4"/>
  <c r="J365" i="4"/>
  <c r="I365" i="4"/>
  <c r="K365" i="4" s="1"/>
  <c r="J364" i="4"/>
  <c r="J363" i="4"/>
  <c r="J362" i="4"/>
  <c r="J361" i="4"/>
  <c r="J360" i="4"/>
  <c r="N358" i="4"/>
  <c r="N357" i="4"/>
  <c r="N356" i="4"/>
  <c r="N355" i="4"/>
  <c r="N354" i="4"/>
  <c r="L354" i="4"/>
  <c r="N353" i="4"/>
  <c r="L353" i="4"/>
  <c r="O353" i="4" s="1"/>
  <c r="N352" i="4"/>
  <c r="L352" i="4"/>
  <c r="N351" i="4"/>
  <c r="L351" i="4"/>
  <c r="O351" i="4" s="1"/>
  <c r="J350" i="4"/>
  <c r="I350" i="4"/>
  <c r="N349" i="4"/>
  <c r="L349" i="4"/>
  <c r="J349" i="4"/>
  <c r="I349" i="4"/>
  <c r="N347" i="4"/>
  <c r="L347" i="4"/>
  <c r="J346" i="4"/>
  <c r="I346" i="4"/>
  <c r="K346" i="4" s="1"/>
  <c r="J345" i="4"/>
  <c r="I345" i="4"/>
  <c r="J344" i="4"/>
  <c r="I344" i="4"/>
  <c r="K344" i="4" s="1"/>
  <c r="J343" i="4"/>
  <c r="I343" i="4"/>
  <c r="J342" i="4"/>
  <c r="I342" i="4"/>
  <c r="K342" i="4" s="1"/>
  <c r="J341" i="4"/>
  <c r="I341" i="4"/>
  <c r="J340" i="4"/>
  <c r="I340" i="4"/>
  <c r="J339" i="4"/>
  <c r="I339" i="4"/>
  <c r="K339" i="4" s="1"/>
  <c r="N337" i="4"/>
  <c r="L337" i="4"/>
  <c r="M337" i="4" s="1"/>
  <c r="L335" i="4"/>
  <c r="L334" i="4"/>
  <c r="N333" i="4"/>
  <c r="M333" i="4"/>
  <c r="O332" i="4"/>
  <c r="O330" i="4"/>
  <c r="N330" i="4"/>
  <c r="M330" i="4"/>
  <c r="P330" i="4" s="1"/>
  <c r="L330" i="4"/>
  <c r="J328" i="4"/>
  <c r="I328" i="4"/>
  <c r="J326" i="4"/>
  <c r="J325" i="4"/>
  <c r="J324" i="4"/>
  <c r="I324" i="4"/>
  <c r="J323" i="4"/>
  <c r="J322" i="4"/>
  <c r="J321" i="4"/>
  <c r="J320" i="4"/>
  <c r="N318" i="4"/>
  <c r="L318" i="4"/>
  <c r="O318" i="4" s="1"/>
  <c r="L316" i="4"/>
  <c r="L315" i="4"/>
  <c r="N314" i="4"/>
  <c r="M314" i="4"/>
  <c r="O313" i="4"/>
  <c r="N311" i="4"/>
  <c r="M311" i="4"/>
  <c r="L311" i="4"/>
  <c r="O311" i="4" s="1"/>
  <c r="J309" i="4"/>
  <c r="I309" i="4"/>
  <c r="J308" i="4"/>
  <c r="J307" i="4"/>
  <c r="J306" i="4"/>
  <c r="I306" i="4"/>
  <c r="K306" i="4" s="1"/>
  <c r="J304" i="4"/>
  <c r="I304" i="4"/>
  <c r="K304" i="4" s="1"/>
  <c r="J303" i="4"/>
  <c r="J302" i="4"/>
  <c r="J301" i="4"/>
  <c r="J300" i="4"/>
  <c r="N298" i="4"/>
  <c r="L298" i="4"/>
  <c r="O298" i="4" s="1"/>
  <c r="L296" i="4"/>
  <c r="L295" i="4"/>
  <c r="N294" i="4"/>
  <c r="M294" i="4"/>
  <c r="O293" i="4"/>
  <c r="N291" i="4"/>
  <c r="M291" i="4"/>
  <c r="P291" i="4" s="1"/>
  <c r="L291" i="4"/>
  <c r="O291" i="4" s="1"/>
  <c r="J289" i="4"/>
  <c r="I289" i="4"/>
  <c r="K289" i="4" s="1"/>
  <c r="J287" i="4"/>
  <c r="J286" i="4"/>
  <c r="J285" i="4"/>
  <c r="I285" i="4"/>
  <c r="J284" i="4"/>
  <c r="J283" i="4"/>
  <c r="J282" i="4"/>
  <c r="J281" i="4"/>
  <c r="N279" i="4"/>
  <c r="L279" i="4"/>
  <c r="O279" i="4" s="1"/>
  <c r="L277" i="4"/>
  <c r="L276" i="4"/>
  <c r="N275" i="4"/>
  <c r="M275" i="4"/>
  <c r="O274" i="4"/>
  <c r="P272" i="4"/>
  <c r="O272" i="4"/>
  <c r="N272" i="4"/>
  <c r="M272" i="4"/>
  <c r="L272" i="4"/>
  <c r="J270" i="4"/>
  <c r="I270" i="4"/>
  <c r="J269" i="4"/>
  <c r="J268" i="4"/>
  <c r="J267" i="4"/>
  <c r="I267" i="4"/>
  <c r="J266" i="4"/>
  <c r="I266" i="4"/>
  <c r="J265" i="4"/>
  <c r="I265" i="4"/>
  <c r="J264" i="4"/>
  <c r="I264" i="4"/>
  <c r="J263" i="4"/>
  <c r="J262" i="4"/>
  <c r="J261" i="4"/>
  <c r="J260" i="4"/>
  <c r="N258" i="4"/>
  <c r="L258" i="4"/>
  <c r="O258" i="4" s="1"/>
  <c r="L256" i="4"/>
  <c r="L255" i="4"/>
  <c r="N254" i="4"/>
  <c r="M254" i="4"/>
  <c r="O253" i="4"/>
  <c r="P251" i="4"/>
  <c r="O251" i="4"/>
  <c r="N251" i="4"/>
  <c r="M251" i="4"/>
  <c r="L251" i="4"/>
  <c r="J249" i="4"/>
  <c r="I249" i="4"/>
  <c r="J246" i="4"/>
  <c r="J245" i="4"/>
  <c r="J244" i="4"/>
  <c r="I244" i="4"/>
  <c r="K244" i="4" s="1"/>
  <c r="J243" i="4"/>
  <c r="J242" i="4"/>
  <c r="J241" i="4"/>
  <c r="J240" i="4"/>
  <c r="J238" i="4"/>
  <c r="I238" i="4"/>
  <c r="K238" i="4" s="1"/>
  <c r="J237" i="4"/>
  <c r="J236" i="4"/>
  <c r="J235" i="4"/>
  <c r="I235" i="4"/>
  <c r="J234" i="4"/>
  <c r="J233" i="4"/>
  <c r="J232" i="4"/>
  <c r="J231" i="4"/>
  <c r="J229" i="4"/>
  <c r="I229" i="4"/>
  <c r="N228" i="4"/>
  <c r="L228" i="4"/>
  <c r="O228" i="4" s="1"/>
  <c r="L226" i="4"/>
  <c r="L225" i="4"/>
  <c r="N224" i="4"/>
  <c r="M224" i="4"/>
  <c r="M222" i="4" s="1"/>
  <c r="O223" i="4"/>
  <c r="P221" i="4"/>
  <c r="N221" i="4"/>
  <c r="M221" i="4"/>
  <c r="L221" i="4"/>
  <c r="J219" i="4"/>
  <c r="I219" i="4"/>
  <c r="J218" i="4"/>
  <c r="J217" i="4"/>
  <c r="J216" i="4"/>
  <c r="I216" i="4"/>
  <c r="J215" i="4"/>
  <c r="I215" i="4"/>
  <c r="K215" i="4" s="1"/>
  <c r="J213" i="4"/>
  <c r="I213" i="4"/>
  <c r="J212" i="4"/>
  <c r="J211" i="4"/>
  <c r="J210" i="4"/>
  <c r="J209" i="4"/>
  <c r="J204" i="4"/>
  <c r="I204" i="4"/>
  <c r="J203" i="4"/>
  <c r="J202" i="4"/>
  <c r="J201" i="4"/>
  <c r="I201" i="4"/>
  <c r="K201" i="4" s="1"/>
  <c r="J200" i="4"/>
  <c r="I200" i="4"/>
  <c r="J199" i="4"/>
  <c r="I199" i="4"/>
  <c r="J197" i="4"/>
  <c r="J196" i="4"/>
  <c r="J195" i="4"/>
  <c r="J194" i="4"/>
  <c r="J189" i="4"/>
  <c r="I189" i="4"/>
  <c r="J188" i="4"/>
  <c r="J187" i="4"/>
  <c r="J186" i="4"/>
  <c r="I186" i="4"/>
  <c r="J185" i="4"/>
  <c r="I185" i="4"/>
  <c r="J184" i="4"/>
  <c r="J183" i="4"/>
  <c r="J182" i="4"/>
  <c r="J181" i="4"/>
  <c r="J176" i="4"/>
  <c r="I176" i="4"/>
  <c r="J175" i="4"/>
  <c r="J174" i="4"/>
  <c r="J173" i="4"/>
  <c r="I173" i="4"/>
  <c r="J172" i="4"/>
  <c r="J171" i="4"/>
  <c r="J170" i="4"/>
  <c r="J169" i="4"/>
  <c r="J164" i="4"/>
  <c r="I164" i="4"/>
  <c r="J163" i="4"/>
  <c r="J162" i="4"/>
  <c r="J161" i="4"/>
  <c r="J160" i="4"/>
  <c r="J159" i="4"/>
  <c r="J158" i="4"/>
  <c r="I158" i="4"/>
  <c r="J157" i="4"/>
  <c r="J156" i="4"/>
  <c r="J155" i="4"/>
  <c r="J154" i="4"/>
  <c r="J149" i="4"/>
  <c r="I149" i="4"/>
  <c r="N148" i="4"/>
  <c r="L148" i="4"/>
  <c r="O148" i="4" s="1"/>
  <c r="L146" i="4"/>
  <c r="L145" i="4"/>
  <c r="N144" i="4"/>
  <c r="M144" i="4"/>
  <c r="O143" i="4"/>
  <c r="P141" i="4"/>
  <c r="O141" i="4"/>
  <c r="N141" i="4"/>
  <c r="M141" i="4"/>
  <c r="L141" i="4"/>
  <c r="J138" i="4"/>
  <c r="I138" i="4"/>
  <c r="J135" i="4"/>
  <c r="J134" i="4"/>
  <c r="J133" i="4"/>
  <c r="I133" i="4"/>
  <c r="K133" i="4" s="1"/>
  <c r="J132" i="4"/>
  <c r="I132" i="4"/>
  <c r="K132" i="4" s="1"/>
  <c r="J131" i="4"/>
  <c r="J130" i="4"/>
  <c r="J129" i="4"/>
  <c r="J128" i="4"/>
  <c r="N126" i="4"/>
  <c r="L126" i="4"/>
  <c r="O126" i="4" s="1"/>
  <c r="L124" i="4"/>
  <c r="L123" i="4"/>
  <c r="N122" i="4"/>
  <c r="M122" i="4"/>
  <c r="O121" i="4"/>
  <c r="P119" i="4"/>
  <c r="N119" i="4"/>
  <c r="M119" i="4"/>
  <c r="L119" i="4"/>
  <c r="J117" i="4"/>
  <c r="I117" i="4"/>
  <c r="K117" i="4" s="1"/>
  <c r="J115" i="4"/>
  <c r="J114" i="4"/>
  <c r="J113" i="4"/>
  <c r="I113" i="4"/>
  <c r="J112" i="4"/>
  <c r="I112" i="4"/>
  <c r="J111" i="4"/>
  <c r="I111" i="4"/>
  <c r="J110" i="4"/>
  <c r="I110" i="4"/>
  <c r="J109" i="4"/>
  <c r="I109" i="4"/>
  <c r="J108" i="4"/>
  <c r="I108" i="4"/>
  <c r="J107" i="4"/>
  <c r="J106" i="4"/>
  <c r="J105" i="4"/>
  <c r="J104" i="4"/>
  <c r="N102" i="4"/>
  <c r="L102" i="4"/>
  <c r="M102" i="4" s="1"/>
  <c r="L100" i="4"/>
  <c r="L99" i="4"/>
  <c r="N98" i="4"/>
  <c r="M98" i="4"/>
  <c r="O97" i="4"/>
  <c r="P95" i="4"/>
  <c r="O95" i="4"/>
  <c r="N95" i="4"/>
  <c r="M95" i="4"/>
  <c r="L95" i="4"/>
  <c r="J93" i="4"/>
  <c r="I93" i="4"/>
  <c r="J92" i="4"/>
  <c r="I92" i="4"/>
  <c r="J90" i="4"/>
  <c r="J89" i="4"/>
  <c r="J88" i="4"/>
  <c r="I88" i="4"/>
  <c r="K88" i="4" s="1"/>
  <c r="J87" i="4"/>
  <c r="I87" i="4"/>
  <c r="J86" i="4"/>
  <c r="I86" i="4"/>
  <c r="J85" i="4"/>
  <c r="I85" i="4"/>
  <c r="K85" i="4" s="1"/>
  <c r="J84" i="4"/>
  <c r="I84" i="4"/>
  <c r="K84" i="4" s="1"/>
  <c r="J83" i="4"/>
  <c r="I83" i="4"/>
  <c r="K83" i="4" s="1"/>
  <c r="J82" i="4"/>
  <c r="I82" i="4"/>
  <c r="K82" i="4" s="1"/>
  <c r="J81" i="4"/>
  <c r="I81" i="4"/>
  <c r="J80" i="4"/>
  <c r="I80" i="4"/>
  <c r="J79" i="4"/>
  <c r="J78" i="4"/>
  <c r="J77" i="4"/>
  <c r="J76" i="4"/>
  <c r="N74" i="4"/>
  <c r="L74" i="4"/>
  <c r="O74" i="4" s="1"/>
  <c r="L72" i="4"/>
  <c r="L71" i="4"/>
  <c r="N70" i="4"/>
  <c r="M70" i="4"/>
  <c r="O69" i="4"/>
  <c r="P67" i="4"/>
  <c r="N67" i="4"/>
  <c r="M67" i="4"/>
  <c r="L67" i="4"/>
  <c r="O67" i="4" s="1"/>
  <c r="J65" i="4"/>
  <c r="I65" i="4"/>
  <c r="J64" i="4"/>
  <c r="I64" i="4"/>
  <c r="N61" i="4"/>
  <c r="L61" i="4"/>
  <c r="O61" i="4" s="1"/>
  <c r="L59" i="4"/>
  <c r="L58" i="4"/>
  <c r="N57" i="4"/>
  <c r="M57" i="4"/>
  <c r="P54" i="4"/>
  <c r="O54" i="4"/>
  <c r="N54" i="4"/>
  <c r="M54" i="4"/>
  <c r="L54" i="4"/>
  <c r="N49" i="4"/>
  <c r="L49" i="4"/>
  <c r="L47" i="4"/>
  <c r="L46" i="4"/>
  <c r="N45" i="4"/>
  <c r="M45" i="4"/>
  <c r="N42" i="4"/>
  <c r="M42" i="4"/>
  <c r="P42" i="4" s="1"/>
  <c r="L42" i="4"/>
  <c r="O42" i="4" s="1"/>
  <c r="P36" i="4"/>
  <c r="O36" i="4"/>
  <c r="P35" i="4"/>
  <c r="O35" i="4"/>
  <c r="M34" i="4"/>
  <c r="P34" i="4" s="1"/>
  <c r="M33" i="4"/>
  <c r="P33" i="4" s="1"/>
  <c r="P32" i="4"/>
  <c r="M32" i="4"/>
  <c r="P31" i="4"/>
  <c r="M31" i="4"/>
  <c r="P30" i="4"/>
  <c r="M30" i="4"/>
  <c r="M29" i="4"/>
  <c r="N25" i="4"/>
  <c r="N19" i="4" s="1"/>
  <c r="M25" i="4"/>
  <c r="L25" i="4"/>
  <c r="N24" i="4"/>
  <c r="M24" i="4"/>
  <c r="P24" i="4" s="1"/>
  <c r="P23" i="4"/>
  <c r="N23" i="4"/>
  <c r="M23" i="4"/>
  <c r="N21" i="4"/>
  <c r="M21" i="4"/>
  <c r="M19" i="4" s="1"/>
  <c r="L21" i="4"/>
  <c r="O21" i="4" s="1"/>
  <c r="N15" i="4"/>
  <c r="P13" i="4"/>
  <c r="M13" i="4"/>
  <c r="M11" i="4"/>
  <c r="J635" i="3"/>
  <c r="I635" i="3"/>
  <c r="J634" i="3"/>
  <c r="I634" i="3"/>
  <c r="J633" i="3"/>
  <c r="I633" i="3"/>
  <c r="J632" i="3"/>
  <c r="I632" i="3"/>
  <c r="J631" i="3"/>
  <c r="I631" i="3"/>
  <c r="J630" i="3"/>
  <c r="I630" i="3"/>
  <c r="J629" i="3"/>
  <c r="I629" i="3"/>
  <c r="J628" i="3"/>
  <c r="I628" i="3"/>
  <c r="J626" i="3"/>
  <c r="I626" i="3"/>
  <c r="J625" i="3"/>
  <c r="I625" i="3"/>
  <c r="J624" i="3"/>
  <c r="I624" i="3"/>
  <c r="J623" i="3"/>
  <c r="I623" i="3"/>
  <c r="J622" i="3"/>
  <c r="I622" i="3"/>
  <c r="J621" i="3"/>
  <c r="I621" i="3"/>
  <c r="J620" i="3"/>
  <c r="I620" i="3"/>
  <c r="J619" i="3"/>
  <c r="I619" i="3"/>
  <c r="J618" i="3"/>
  <c r="I618" i="3"/>
  <c r="J617" i="3"/>
  <c r="I617" i="3"/>
  <c r="J616" i="3"/>
  <c r="I616" i="3"/>
  <c r="J615" i="3"/>
  <c r="I615" i="3"/>
  <c r="J614" i="3"/>
  <c r="I614" i="3"/>
  <c r="J613" i="3"/>
  <c r="I613" i="3"/>
  <c r="J612" i="3"/>
  <c r="I612" i="3"/>
  <c r="J611" i="3"/>
  <c r="I611" i="3"/>
  <c r="J610" i="3"/>
  <c r="J609" i="3"/>
  <c r="J608" i="3"/>
  <c r="J607" i="3"/>
  <c r="N605" i="3"/>
  <c r="N604" i="3"/>
  <c r="N603" i="3"/>
  <c r="N602" i="3"/>
  <c r="N601" i="3"/>
  <c r="L601" i="3"/>
  <c r="N600" i="3"/>
  <c r="L600" i="3"/>
  <c r="O600" i="3" s="1"/>
  <c r="N599" i="3"/>
  <c r="L599" i="3"/>
  <c r="N598" i="3"/>
  <c r="L598" i="3"/>
  <c r="O598" i="3" s="1"/>
  <c r="N597" i="3"/>
  <c r="L597" i="3"/>
  <c r="J597" i="3"/>
  <c r="I597" i="3"/>
  <c r="J596" i="3"/>
  <c r="I596" i="3"/>
  <c r="K596" i="3" s="1"/>
  <c r="J595" i="3"/>
  <c r="I595" i="3"/>
  <c r="J594" i="3"/>
  <c r="I594" i="3"/>
  <c r="K594" i="3" s="1"/>
  <c r="J593" i="3"/>
  <c r="I593" i="3"/>
  <c r="J592" i="3"/>
  <c r="I592" i="3"/>
  <c r="K592" i="3" s="1"/>
  <c r="J591" i="3"/>
  <c r="I591" i="3"/>
  <c r="J590" i="3"/>
  <c r="I590" i="3"/>
  <c r="K590" i="3" s="1"/>
  <c r="J589" i="3"/>
  <c r="I589" i="3"/>
  <c r="N588" i="3"/>
  <c r="N587" i="3"/>
  <c r="N586" i="3"/>
  <c r="N585" i="3"/>
  <c r="N584" i="3"/>
  <c r="L584" i="3"/>
  <c r="N583" i="3"/>
  <c r="L583" i="3"/>
  <c r="O583" i="3" s="1"/>
  <c r="N582" i="3"/>
  <c r="L582" i="3"/>
  <c r="N581" i="3"/>
  <c r="L581" i="3"/>
  <c r="O581" i="3" s="1"/>
  <c r="N580" i="3"/>
  <c r="L580" i="3"/>
  <c r="J580" i="3"/>
  <c r="I580" i="3"/>
  <c r="J579" i="3"/>
  <c r="I579" i="3"/>
  <c r="K579" i="3" s="1"/>
  <c r="J578" i="3"/>
  <c r="I578" i="3"/>
  <c r="K578" i="3" s="1"/>
  <c r="J577" i="3"/>
  <c r="I577" i="3"/>
  <c r="K577" i="3" s="1"/>
  <c r="J576" i="3"/>
  <c r="I576" i="3"/>
  <c r="K576" i="3" s="1"/>
  <c r="J575" i="3"/>
  <c r="I575" i="3"/>
  <c r="K575" i="3" s="1"/>
  <c r="J573" i="3"/>
  <c r="I573" i="3"/>
  <c r="N572" i="3"/>
  <c r="N571" i="3"/>
  <c r="N570" i="3"/>
  <c r="N569" i="3"/>
  <c r="N568" i="3"/>
  <c r="L568" i="3"/>
  <c r="N567" i="3"/>
  <c r="L567" i="3"/>
  <c r="O567" i="3" s="1"/>
  <c r="N566" i="3"/>
  <c r="L566" i="3"/>
  <c r="N565" i="3"/>
  <c r="L565" i="3"/>
  <c r="O565" i="3" s="1"/>
  <c r="N564" i="3"/>
  <c r="L564" i="3"/>
  <c r="J564" i="3"/>
  <c r="I564" i="3"/>
  <c r="J563" i="3"/>
  <c r="J562" i="3"/>
  <c r="J561" i="3"/>
  <c r="I561" i="3"/>
  <c r="K561" i="3" s="1"/>
  <c r="J560" i="3"/>
  <c r="I560" i="3"/>
  <c r="K560" i="3" s="1"/>
  <c r="N559" i="3"/>
  <c r="N558" i="3"/>
  <c r="N557" i="3"/>
  <c r="N556" i="3"/>
  <c r="N555" i="3"/>
  <c r="L555" i="3"/>
  <c r="O555" i="3" s="1"/>
  <c r="N554" i="3"/>
  <c r="L554" i="3"/>
  <c r="O554" i="3" s="1"/>
  <c r="N553" i="3"/>
  <c r="L553" i="3"/>
  <c r="O553" i="3" s="1"/>
  <c r="N552" i="3"/>
  <c r="L552" i="3"/>
  <c r="O552" i="3" s="1"/>
  <c r="N551" i="3"/>
  <c r="L551" i="3"/>
  <c r="O551" i="3" s="1"/>
  <c r="J551" i="3"/>
  <c r="I551" i="3"/>
  <c r="K551" i="3" s="1"/>
  <c r="J550" i="3"/>
  <c r="J549" i="3"/>
  <c r="J548" i="3"/>
  <c r="I548" i="3"/>
  <c r="K548" i="3" s="1"/>
  <c r="J547" i="3"/>
  <c r="I547" i="3"/>
  <c r="J546" i="3"/>
  <c r="J545" i="3"/>
  <c r="J544" i="3"/>
  <c r="J543" i="3"/>
  <c r="N541" i="3"/>
  <c r="N540" i="3"/>
  <c r="N539" i="3"/>
  <c r="N538" i="3"/>
  <c r="N537" i="3"/>
  <c r="L537" i="3"/>
  <c r="N536" i="3"/>
  <c r="L536" i="3"/>
  <c r="N535" i="3"/>
  <c r="L535" i="3"/>
  <c r="N534" i="3"/>
  <c r="L534" i="3"/>
  <c r="O534" i="3" s="1"/>
  <c r="N533" i="3"/>
  <c r="L533" i="3"/>
  <c r="J533" i="3"/>
  <c r="I533" i="3"/>
  <c r="J532" i="3"/>
  <c r="I532" i="3"/>
  <c r="J531" i="3"/>
  <c r="I531" i="3"/>
  <c r="J530" i="3"/>
  <c r="I530" i="3"/>
  <c r="J529" i="3"/>
  <c r="I529" i="3"/>
  <c r="J528" i="3"/>
  <c r="I528" i="3"/>
  <c r="J527" i="3"/>
  <c r="I527" i="3"/>
  <c r="J526" i="3"/>
  <c r="I526" i="3"/>
  <c r="J525" i="3"/>
  <c r="I525" i="3"/>
  <c r="J524" i="3"/>
  <c r="I524" i="3"/>
  <c r="J523" i="3"/>
  <c r="I523" i="3"/>
  <c r="J522" i="3"/>
  <c r="I522" i="3"/>
  <c r="J521" i="3"/>
  <c r="I521" i="3"/>
  <c r="J520" i="3"/>
  <c r="I520" i="3"/>
  <c r="J519" i="3"/>
  <c r="I519" i="3"/>
  <c r="J518" i="3"/>
  <c r="I518" i="3"/>
  <c r="J517" i="3"/>
  <c r="I517" i="3"/>
  <c r="J516" i="3"/>
  <c r="I516" i="3"/>
  <c r="J515" i="3"/>
  <c r="I515" i="3"/>
  <c r="K515" i="3" s="1"/>
  <c r="J514" i="3"/>
  <c r="I514" i="3"/>
  <c r="K514" i="3" s="1"/>
  <c r="J513" i="3"/>
  <c r="I513" i="3"/>
  <c r="K513" i="3" s="1"/>
  <c r="J512" i="3"/>
  <c r="I512" i="3"/>
  <c r="K512" i="3" s="1"/>
  <c r="J511" i="3"/>
  <c r="I511" i="3"/>
  <c r="K511" i="3" s="1"/>
  <c r="J510" i="3"/>
  <c r="I510" i="3"/>
  <c r="K510" i="3" s="1"/>
  <c r="J509" i="3"/>
  <c r="I509" i="3"/>
  <c r="K509" i="3" s="1"/>
  <c r="J508" i="3"/>
  <c r="I508" i="3"/>
  <c r="K508" i="3" s="1"/>
  <c r="J507" i="3"/>
  <c r="I507" i="3"/>
  <c r="K507" i="3" s="1"/>
  <c r="J506" i="3"/>
  <c r="I506" i="3"/>
  <c r="K506" i="3" s="1"/>
  <c r="J505" i="3"/>
  <c r="I505" i="3"/>
  <c r="K505" i="3" s="1"/>
  <c r="J504" i="3"/>
  <c r="I504" i="3"/>
  <c r="K504" i="3" s="1"/>
  <c r="J503" i="3"/>
  <c r="I503" i="3"/>
  <c r="K503" i="3" s="1"/>
  <c r="J502" i="3"/>
  <c r="I502" i="3"/>
  <c r="K502" i="3" s="1"/>
  <c r="J501" i="3"/>
  <c r="I501" i="3"/>
  <c r="K501" i="3" s="1"/>
  <c r="J500" i="3"/>
  <c r="I500" i="3"/>
  <c r="K500" i="3" s="1"/>
  <c r="J499" i="3"/>
  <c r="I499" i="3"/>
  <c r="J498" i="3"/>
  <c r="I498" i="3"/>
  <c r="J497" i="3"/>
  <c r="I497" i="3"/>
  <c r="J496" i="3"/>
  <c r="I496" i="3"/>
  <c r="K496" i="3" s="1"/>
  <c r="J495" i="3"/>
  <c r="I495" i="3"/>
  <c r="K495" i="3" s="1"/>
  <c r="J494" i="3"/>
  <c r="I494" i="3"/>
  <c r="K494" i="3" s="1"/>
  <c r="J493" i="3"/>
  <c r="I493" i="3"/>
  <c r="K493" i="3" s="1"/>
  <c r="J492" i="3"/>
  <c r="I492" i="3"/>
  <c r="K492" i="3" s="1"/>
  <c r="J491" i="3"/>
  <c r="I491" i="3"/>
  <c r="K491" i="3" s="1"/>
  <c r="J490" i="3"/>
  <c r="I490" i="3"/>
  <c r="K490" i="3" s="1"/>
  <c r="J489" i="3"/>
  <c r="I489" i="3"/>
  <c r="K489" i="3" s="1"/>
  <c r="J488" i="3"/>
  <c r="I488" i="3"/>
  <c r="K488" i="3" s="1"/>
  <c r="J487" i="3"/>
  <c r="I487" i="3"/>
  <c r="K487" i="3" s="1"/>
  <c r="J486" i="3"/>
  <c r="I486" i="3"/>
  <c r="K486" i="3" s="1"/>
  <c r="J485" i="3"/>
  <c r="I485" i="3"/>
  <c r="K485" i="3" s="1"/>
  <c r="J484" i="3"/>
  <c r="I484" i="3"/>
  <c r="K484" i="3" s="1"/>
  <c r="J483" i="3"/>
  <c r="I483" i="3"/>
  <c r="K483" i="3" s="1"/>
  <c r="J482" i="3"/>
  <c r="I482" i="3"/>
  <c r="J481" i="3"/>
  <c r="I481" i="3"/>
  <c r="J480" i="3"/>
  <c r="I480" i="3"/>
  <c r="K480" i="3" s="1"/>
  <c r="J479" i="3"/>
  <c r="I479" i="3"/>
  <c r="K479" i="3" s="1"/>
  <c r="J478" i="3"/>
  <c r="I478" i="3"/>
  <c r="K478" i="3" s="1"/>
  <c r="J477" i="3"/>
  <c r="I477" i="3"/>
  <c r="K477" i="3" s="1"/>
  <c r="J476" i="3"/>
  <c r="I476" i="3"/>
  <c r="K476" i="3" s="1"/>
  <c r="J475" i="3"/>
  <c r="I475" i="3"/>
  <c r="K475" i="3" s="1"/>
  <c r="J474" i="3"/>
  <c r="I474" i="3"/>
  <c r="J473" i="3"/>
  <c r="I473" i="3"/>
  <c r="J472" i="3"/>
  <c r="I472" i="3"/>
  <c r="K472" i="3" s="1"/>
  <c r="J471" i="3"/>
  <c r="I471" i="3"/>
  <c r="K471" i="3" s="1"/>
  <c r="J470" i="3"/>
  <c r="I470" i="3"/>
  <c r="K470" i="3" s="1"/>
  <c r="J469" i="3"/>
  <c r="I469" i="3"/>
  <c r="K469" i="3" s="1"/>
  <c r="J468" i="3"/>
  <c r="I468" i="3"/>
  <c r="K468" i="3" s="1"/>
  <c r="J467" i="3"/>
  <c r="I467" i="3"/>
  <c r="K467" i="3" s="1"/>
  <c r="J466" i="3"/>
  <c r="I466" i="3"/>
  <c r="J465" i="3"/>
  <c r="I465" i="3"/>
  <c r="J464" i="3"/>
  <c r="I464" i="3"/>
  <c r="N463" i="3"/>
  <c r="N462" i="3"/>
  <c r="N461" i="3"/>
  <c r="N460" i="3"/>
  <c r="N459" i="3"/>
  <c r="L459" i="3"/>
  <c r="N458" i="3"/>
  <c r="L458" i="3"/>
  <c r="O458" i="3" s="1"/>
  <c r="N457" i="3"/>
  <c r="L457" i="3"/>
  <c r="N456" i="3"/>
  <c r="L456" i="3"/>
  <c r="O456" i="3" s="1"/>
  <c r="N455" i="3"/>
  <c r="L455" i="3"/>
  <c r="J455" i="3"/>
  <c r="I455" i="3"/>
  <c r="J454" i="3"/>
  <c r="J453" i="3"/>
  <c r="J452" i="3"/>
  <c r="I452" i="3"/>
  <c r="K452" i="3" s="1"/>
  <c r="J451" i="3"/>
  <c r="I451" i="3"/>
  <c r="J450" i="3"/>
  <c r="I450" i="3"/>
  <c r="J449" i="3"/>
  <c r="I449" i="3"/>
  <c r="J448" i="3"/>
  <c r="J447" i="3"/>
  <c r="J446" i="3"/>
  <c r="J445" i="3"/>
  <c r="N443" i="3"/>
  <c r="N442" i="3"/>
  <c r="N441" i="3"/>
  <c r="N440" i="3"/>
  <c r="N439" i="3"/>
  <c r="L439" i="3"/>
  <c r="N438" i="3"/>
  <c r="L438" i="3"/>
  <c r="O438" i="3" s="1"/>
  <c r="N437" i="3"/>
  <c r="L437" i="3"/>
  <c r="N436" i="3"/>
  <c r="L436" i="3"/>
  <c r="O436" i="3" s="1"/>
  <c r="N435" i="3"/>
  <c r="L435" i="3"/>
  <c r="J435" i="3"/>
  <c r="I435" i="3"/>
  <c r="J434" i="3"/>
  <c r="J433" i="3"/>
  <c r="J432" i="3"/>
  <c r="I432" i="3"/>
  <c r="J431" i="3"/>
  <c r="I431" i="3"/>
  <c r="J430" i="3"/>
  <c r="I430" i="3"/>
  <c r="J429" i="3"/>
  <c r="I429" i="3"/>
  <c r="J428" i="3"/>
  <c r="I428" i="3"/>
  <c r="J427" i="3"/>
  <c r="I427" i="3"/>
  <c r="J426" i="3"/>
  <c r="I426" i="3"/>
  <c r="J425" i="3"/>
  <c r="I425" i="3"/>
  <c r="J424" i="3"/>
  <c r="I424" i="3"/>
  <c r="J423" i="3"/>
  <c r="I423" i="3"/>
  <c r="J422" i="3"/>
  <c r="I422" i="3"/>
  <c r="J421" i="3"/>
  <c r="I421" i="3"/>
  <c r="J420" i="3"/>
  <c r="I420" i="3"/>
  <c r="J419" i="3"/>
  <c r="I419" i="3"/>
  <c r="J418" i="3"/>
  <c r="I418" i="3"/>
  <c r="J417" i="3"/>
  <c r="I417" i="3"/>
  <c r="J416" i="3"/>
  <c r="I416" i="3"/>
  <c r="J415" i="3"/>
  <c r="J414" i="3"/>
  <c r="J413" i="3"/>
  <c r="J412" i="3"/>
  <c r="N410" i="3"/>
  <c r="N409" i="3"/>
  <c r="N408" i="3"/>
  <c r="N407" i="3"/>
  <c r="N406" i="3"/>
  <c r="L406" i="3"/>
  <c r="N405" i="3"/>
  <c r="L405" i="3"/>
  <c r="O405" i="3" s="1"/>
  <c r="N404" i="3"/>
  <c r="L404" i="3"/>
  <c r="N403" i="3"/>
  <c r="L403" i="3"/>
  <c r="J402" i="3"/>
  <c r="I402" i="3"/>
  <c r="N401" i="3"/>
  <c r="L401" i="3"/>
  <c r="J401" i="3"/>
  <c r="I401" i="3"/>
  <c r="J400" i="3"/>
  <c r="J399" i="3"/>
  <c r="J398" i="3"/>
  <c r="I398" i="3"/>
  <c r="J397" i="3"/>
  <c r="I397" i="3"/>
  <c r="J396" i="3"/>
  <c r="I396" i="3"/>
  <c r="J394" i="3"/>
  <c r="J393" i="3"/>
  <c r="J392" i="3"/>
  <c r="J391" i="3"/>
  <c r="N389" i="3"/>
  <c r="N388" i="3"/>
  <c r="N387" i="3"/>
  <c r="N386" i="3"/>
  <c r="N385" i="3"/>
  <c r="L385" i="3"/>
  <c r="N384" i="3"/>
  <c r="L384" i="3"/>
  <c r="O384" i="3" s="1"/>
  <c r="N383" i="3"/>
  <c r="L383" i="3"/>
  <c r="N382" i="3"/>
  <c r="L382" i="3"/>
  <c r="O382" i="3" s="1"/>
  <c r="J381" i="3"/>
  <c r="I381" i="3"/>
  <c r="N380" i="3"/>
  <c r="L380" i="3"/>
  <c r="J380" i="3"/>
  <c r="I380" i="3"/>
  <c r="J379" i="3"/>
  <c r="J378" i="3"/>
  <c r="J377" i="3"/>
  <c r="I377" i="3"/>
  <c r="J376" i="3"/>
  <c r="I376" i="3"/>
  <c r="J375" i="3"/>
  <c r="I375" i="3"/>
  <c r="J374" i="3"/>
  <c r="I374" i="3"/>
  <c r="J373" i="3"/>
  <c r="I373" i="3"/>
  <c r="K373" i="3" s="1"/>
  <c r="J372" i="3"/>
  <c r="I372" i="3"/>
  <c r="J371" i="3"/>
  <c r="I371" i="3"/>
  <c r="K371" i="3" s="1"/>
  <c r="J370" i="3"/>
  <c r="I370" i="3"/>
  <c r="J369" i="3"/>
  <c r="I369" i="3"/>
  <c r="K369" i="3" s="1"/>
  <c r="J368" i="3"/>
  <c r="I368" i="3"/>
  <c r="J367" i="3"/>
  <c r="J366" i="3"/>
  <c r="J365" i="3"/>
  <c r="I365" i="3"/>
  <c r="K365" i="3" s="1"/>
  <c r="J364" i="3"/>
  <c r="J363" i="3"/>
  <c r="J362" i="3"/>
  <c r="J361" i="3"/>
  <c r="J360" i="3"/>
  <c r="N358" i="3"/>
  <c r="N357" i="3"/>
  <c r="N356" i="3"/>
  <c r="N355" i="3"/>
  <c r="N354" i="3"/>
  <c r="L354" i="3"/>
  <c r="N353" i="3"/>
  <c r="L353" i="3"/>
  <c r="O353" i="3" s="1"/>
  <c r="N352" i="3"/>
  <c r="L352" i="3"/>
  <c r="N351" i="3"/>
  <c r="L351" i="3"/>
  <c r="O351" i="3" s="1"/>
  <c r="J350" i="3"/>
  <c r="I350" i="3"/>
  <c r="N349" i="3"/>
  <c r="L349" i="3"/>
  <c r="J349" i="3"/>
  <c r="I349" i="3"/>
  <c r="N347" i="3"/>
  <c r="L347" i="3"/>
  <c r="J346" i="3"/>
  <c r="I346" i="3"/>
  <c r="K346" i="3" s="1"/>
  <c r="J345" i="3"/>
  <c r="I345" i="3"/>
  <c r="J344" i="3"/>
  <c r="I344" i="3"/>
  <c r="K344" i="3" s="1"/>
  <c r="J343" i="3"/>
  <c r="I343" i="3"/>
  <c r="J342" i="3"/>
  <c r="I342" i="3"/>
  <c r="K342" i="3" s="1"/>
  <c r="J341" i="3"/>
  <c r="I341" i="3"/>
  <c r="J340" i="3"/>
  <c r="I340" i="3"/>
  <c r="J339" i="3"/>
  <c r="I339" i="3"/>
  <c r="K339" i="3" s="1"/>
  <c r="N337" i="3"/>
  <c r="L337" i="3"/>
  <c r="O337" i="3" s="1"/>
  <c r="L335" i="3"/>
  <c r="L334" i="3"/>
  <c r="N333" i="3"/>
  <c r="M333" i="3"/>
  <c r="M331" i="3" s="1"/>
  <c r="O332" i="3"/>
  <c r="P330" i="3"/>
  <c r="O330" i="3"/>
  <c r="N330" i="3"/>
  <c r="M330" i="3"/>
  <c r="L330" i="3"/>
  <c r="J328" i="3"/>
  <c r="I328" i="3"/>
  <c r="J326" i="3"/>
  <c r="J325" i="3"/>
  <c r="J324" i="3"/>
  <c r="I324" i="3"/>
  <c r="K324" i="3" s="1"/>
  <c r="J323" i="3"/>
  <c r="J322" i="3"/>
  <c r="J321" i="3"/>
  <c r="J320" i="3"/>
  <c r="N318" i="3"/>
  <c r="L318" i="3"/>
  <c r="O318" i="3" s="1"/>
  <c r="L316" i="3"/>
  <c r="L315" i="3"/>
  <c r="N314" i="3"/>
  <c r="M314" i="3"/>
  <c r="O313" i="3"/>
  <c r="O311" i="3"/>
  <c r="N311" i="3"/>
  <c r="M311" i="3"/>
  <c r="L311" i="3"/>
  <c r="J309" i="3"/>
  <c r="I309" i="3"/>
  <c r="K309" i="3" s="1"/>
  <c r="J308" i="3"/>
  <c r="J307" i="3"/>
  <c r="J306" i="3"/>
  <c r="I306" i="3"/>
  <c r="K306" i="3" s="1"/>
  <c r="J304" i="3"/>
  <c r="I304" i="3"/>
  <c r="K304" i="3" s="1"/>
  <c r="J303" i="3"/>
  <c r="J302" i="3"/>
  <c r="J301" i="3"/>
  <c r="J300" i="3"/>
  <c r="N298" i="3"/>
  <c r="L298" i="3"/>
  <c r="O298" i="3" s="1"/>
  <c r="L296" i="3"/>
  <c r="L295" i="3"/>
  <c r="N294" i="3"/>
  <c r="M294" i="3"/>
  <c r="O293" i="3"/>
  <c r="P291" i="3"/>
  <c r="O291" i="3"/>
  <c r="N291" i="3"/>
  <c r="M291" i="3"/>
  <c r="L291" i="3"/>
  <c r="J289" i="3"/>
  <c r="I289" i="3"/>
  <c r="K289" i="3" s="1"/>
  <c r="J287" i="3"/>
  <c r="J286" i="3"/>
  <c r="J285" i="3"/>
  <c r="I285" i="3"/>
  <c r="J284" i="3"/>
  <c r="J283" i="3"/>
  <c r="J282" i="3"/>
  <c r="J281" i="3"/>
  <c r="N279" i="3"/>
  <c r="L279" i="3"/>
  <c r="O279" i="3" s="1"/>
  <c r="L277" i="3"/>
  <c r="L276" i="3"/>
  <c r="N275" i="3"/>
  <c r="M275" i="3"/>
  <c r="O274" i="3"/>
  <c r="P272" i="3"/>
  <c r="N272" i="3"/>
  <c r="M272" i="3"/>
  <c r="L272" i="3"/>
  <c r="O272" i="3" s="1"/>
  <c r="J270" i="3"/>
  <c r="I270" i="3"/>
  <c r="J269" i="3"/>
  <c r="J268" i="3"/>
  <c r="J267" i="3"/>
  <c r="I267" i="3"/>
  <c r="J266" i="3"/>
  <c r="I266" i="3"/>
  <c r="J265" i="3"/>
  <c r="I265" i="3"/>
  <c r="J264" i="3"/>
  <c r="I264" i="3"/>
  <c r="J263" i="3"/>
  <c r="J262" i="3"/>
  <c r="J261" i="3"/>
  <c r="J260" i="3"/>
  <c r="N258" i="3"/>
  <c r="L258" i="3"/>
  <c r="O258" i="3" s="1"/>
  <c r="L256" i="3"/>
  <c r="L255" i="3"/>
  <c r="N254" i="3"/>
  <c r="M254" i="3"/>
  <c r="M252" i="3" s="1"/>
  <c r="O253" i="3"/>
  <c r="O251" i="3"/>
  <c r="N251" i="3"/>
  <c r="M251" i="3"/>
  <c r="P251" i="3" s="1"/>
  <c r="L251" i="3"/>
  <c r="J249" i="3"/>
  <c r="I249" i="3"/>
  <c r="J246" i="3"/>
  <c r="J245" i="3"/>
  <c r="J244" i="3"/>
  <c r="I244" i="3"/>
  <c r="K244" i="3" s="1"/>
  <c r="J243" i="3"/>
  <c r="J242" i="3"/>
  <c r="J241" i="3"/>
  <c r="J240" i="3"/>
  <c r="J238" i="3"/>
  <c r="I238" i="3"/>
  <c r="K238" i="3" s="1"/>
  <c r="J237" i="3"/>
  <c r="J236" i="3"/>
  <c r="J235" i="3"/>
  <c r="I235" i="3"/>
  <c r="J234" i="3"/>
  <c r="J233" i="3"/>
  <c r="J232" i="3"/>
  <c r="J231" i="3"/>
  <c r="J229" i="3"/>
  <c r="I229" i="3"/>
  <c r="N228" i="3"/>
  <c r="L228" i="3"/>
  <c r="O228" i="3" s="1"/>
  <c r="L226" i="3"/>
  <c r="L225" i="3"/>
  <c r="N224" i="3"/>
  <c r="M224" i="3"/>
  <c r="M222" i="3" s="1"/>
  <c r="O223" i="3"/>
  <c r="P221" i="3"/>
  <c r="N221" i="3"/>
  <c r="M221" i="3"/>
  <c r="L221" i="3"/>
  <c r="J219" i="3"/>
  <c r="I219" i="3"/>
  <c r="J218" i="3"/>
  <c r="J217" i="3"/>
  <c r="J216" i="3"/>
  <c r="I216" i="3"/>
  <c r="K216" i="3" s="1"/>
  <c r="J215" i="3"/>
  <c r="I215" i="3"/>
  <c r="K215" i="3" s="1"/>
  <c r="J213" i="3"/>
  <c r="I213" i="3"/>
  <c r="K213" i="3" s="1"/>
  <c r="J212" i="3"/>
  <c r="J211" i="3"/>
  <c r="J210" i="3"/>
  <c r="J209" i="3"/>
  <c r="J204" i="3"/>
  <c r="I204" i="3"/>
  <c r="K204" i="3" s="1"/>
  <c r="J203" i="3"/>
  <c r="J202" i="3"/>
  <c r="J201" i="3"/>
  <c r="I201" i="3"/>
  <c r="J200" i="3"/>
  <c r="I200" i="3"/>
  <c r="J199" i="3"/>
  <c r="I199" i="3"/>
  <c r="J197" i="3"/>
  <c r="J196" i="3"/>
  <c r="J195" i="3"/>
  <c r="J194" i="3"/>
  <c r="J189" i="3"/>
  <c r="I189" i="3"/>
  <c r="J188" i="3"/>
  <c r="J187" i="3"/>
  <c r="J186" i="3"/>
  <c r="I186" i="3"/>
  <c r="K186" i="3" s="1"/>
  <c r="J185" i="3"/>
  <c r="I185" i="3"/>
  <c r="K185" i="3" s="1"/>
  <c r="J184" i="3"/>
  <c r="J183" i="3"/>
  <c r="J182" i="3"/>
  <c r="J181" i="3"/>
  <c r="J176" i="3"/>
  <c r="I176" i="3"/>
  <c r="K176" i="3" s="1"/>
  <c r="J175" i="3"/>
  <c r="J174" i="3"/>
  <c r="J173" i="3"/>
  <c r="I173" i="3"/>
  <c r="J172" i="3"/>
  <c r="J171" i="3"/>
  <c r="J170" i="3"/>
  <c r="J169" i="3"/>
  <c r="J164" i="3"/>
  <c r="I164" i="3"/>
  <c r="J163" i="3"/>
  <c r="J162" i="3"/>
  <c r="J161" i="3"/>
  <c r="J160" i="3"/>
  <c r="J159" i="3"/>
  <c r="J158" i="3"/>
  <c r="I158" i="3"/>
  <c r="J157" i="3"/>
  <c r="J156" i="3"/>
  <c r="J155" i="3"/>
  <c r="J154" i="3"/>
  <c r="J149" i="3"/>
  <c r="I149" i="3"/>
  <c r="N148" i="3"/>
  <c r="L148" i="3"/>
  <c r="O148" i="3" s="1"/>
  <c r="L146" i="3"/>
  <c r="L145" i="3"/>
  <c r="N144" i="3"/>
  <c r="M144" i="3"/>
  <c r="M142" i="3" s="1"/>
  <c r="M140" i="3" s="1"/>
  <c r="O143" i="3"/>
  <c r="P141" i="3"/>
  <c r="O141" i="3"/>
  <c r="N141" i="3"/>
  <c r="M141" i="3"/>
  <c r="L141" i="3"/>
  <c r="J138" i="3"/>
  <c r="I138" i="3"/>
  <c r="J135" i="3"/>
  <c r="J134" i="3"/>
  <c r="J133" i="3"/>
  <c r="I133" i="3"/>
  <c r="K133" i="3" s="1"/>
  <c r="J132" i="3"/>
  <c r="I132" i="3"/>
  <c r="K132" i="3" s="1"/>
  <c r="J131" i="3"/>
  <c r="J130" i="3"/>
  <c r="J129" i="3"/>
  <c r="J128" i="3"/>
  <c r="N126" i="3"/>
  <c r="L126" i="3"/>
  <c r="O126" i="3" s="1"/>
  <c r="L124" i="3"/>
  <c r="L123" i="3"/>
  <c r="N122" i="3"/>
  <c r="M122" i="3"/>
  <c r="P122" i="3" s="1"/>
  <c r="O121" i="3"/>
  <c r="P119" i="3"/>
  <c r="O119" i="3"/>
  <c r="N119" i="3"/>
  <c r="M119" i="3"/>
  <c r="L119" i="3"/>
  <c r="J117" i="3"/>
  <c r="I117" i="3"/>
  <c r="K117" i="3" s="1"/>
  <c r="J115" i="3"/>
  <c r="J114" i="3"/>
  <c r="J113" i="3"/>
  <c r="I113" i="3"/>
  <c r="J112" i="3"/>
  <c r="I112" i="3"/>
  <c r="J111" i="3"/>
  <c r="I111" i="3"/>
  <c r="J110" i="3"/>
  <c r="I110" i="3"/>
  <c r="J109" i="3"/>
  <c r="I109" i="3"/>
  <c r="J108" i="3"/>
  <c r="I108" i="3"/>
  <c r="J107" i="3"/>
  <c r="J106" i="3"/>
  <c r="J105" i="3"/>
  <c r="J104" i="3"/>
  <c r="N102" i="3"/>
  <c r="L102" i="3"/>
  <c r="L100" i="3"/>
  <c r="L99" i="3"/>
  <c r="N98" i="3"/>
  <c r="M98" i="3"/>
  <c r="O97" i="3"/>
  <c r="O95" i="3"/>
  <c r="N95" i="3"/>
  <c r="M95" i="3"/>
  <c r="P95" i="3" s="1"/>
  <c r="L95" i="3"/>
  <c r="J93" i="3"/>
  <c r="I93" i="3"/>
  <c r="J92" i="3"/>
  <c r="I92" i="3"/>
  <c r="J90" i="3"/>
  <c r="J89" i="3"/>
  <c r="J88" i="3"/>
  <c r="I88" i="3"/>
  <c r="J87" i="3"/>
  <c r="I87" i="3"/>
  <c r="K87" i="3" s="1"/>
  <c r="J86" i="3"/>
  <c r="I86" i="3"/>
  <c r="K86" i="3" s="1"/>
  <c r="J85" i="3"/>
  <c r="I85" i="3"/>
  <c r="K85" i="3" s="1"/>
  <c r="J84" i="3"/>
  <c r="I84" i="3"/>
  <c r="K84" i="3" s="1"/>
  <c r="J83" i="3"/>
  <c r="I83" i="3"/>
  <c r="J82" i="3"/>
  <c r="I82" i="3"/>
  <c r="J81" i="3"/>
  <c r="I81" i="3"/>
  <c r="J80" i="3"/>
  <c r="I80" i="3"/>
  <c r="J79" i="3"/>
  <c r="J78" i="3"/>
  <c r="J77" i="3"/>
  <c r="J76" i="3"/>
  <c r="N74" i="3"/>
  <c r="L74" i="3"/>
  <c r="O74" i="3" s="1"/>
  <c r="L72" i="3"/>
  <c r="L71" i="3"/>
  <c r="N70" i="3"/>
  <c r="M70" i="3"/>
  <c r="O69" i="3"/>
  <c r="P67" i="3"/>
  <c r="O67" i="3"/>
  <c r="N67" i="3"/>
  <c r="M67" i="3"/>
  <c r="L67" i="3"/>
  <c r="J65" i="3"/>
  <c r="I65" i="3"/>
  <c r="J64" i="3"/>
  <c r="I64" i="3"/>
  <c r="N61" i="3"/>
  <c r="L61" i="3"/>
  <c r="O61" i="3" s="1"/>
  <c r="L59" i="3"/>
  <c r="L58" i="3"/>
  <c r="N57" i="3"/>
  <c r="M57" i="3"/>
  <c r="O54" i="3"/>
  <c r="N54" i="3"/>
  <c r="M54" i="3"/>
  <c r="P54" i="3" s="1"/>
  <c r="L54" i="3"/>
  <c r="N49" i="3"/>
  <c r="L49" i="3"/>
  <c r="O49" i="3" s="1"/>
  <c r="L47" i="3"/>
  <c r="L46" i="3"/>
  <c r="N45" i="3"/>
  <c r="M45" i="3"/>
  <c r="P42" i="3"/>
  <c r="O42" i="3"/>
  <c r="N42" i="3"/>
  <c r="M42" i="3"/>
  <c r="L42" i="3"/>
  <c r="P36" i="3"/>
  <c r="O36" i="3"/>
  <c r="P35" i="3"/>
  <c r="O35" i="3"/>
  <c r="P34" i="3"/>
  <c r="M34" i="3"/>
  <c r="P33" i="3"/>
  <c r="M33" i="3"/>
  <c r="M32" i="3"/>
  <c r="M30" i="3" s="1"/>
  <c r="P30" i="3" s="1"/>
  <c r="M31" i="3"/>
  <c r="P31" i="3" s="1"/>
  <c r="P25" i="3"/>
  <c r="N25" i="3"/>
  <c r="N15" i="3" s="1"/>
  <c r="M25" i="3"/>
  <c r="L25" i="3"/>
  <c r="O25" i="3" s="1"/>
  <c r="P24" i="3"/>
  <c r="N24" i="3"/>
  <c r="M24" i="3"/>
  <c r="N23" i="3"/>
  <c r="M23" i="3"/>
  <c r="P23" i="3" s="1"/>
  <c r="O21" i="3"/>
  <c r="N21" i="3"/>
  <c r="M21" i="3"/>
  <c r="M19" i="3" s="1"/>
  <c r="L21" i="3"/>
  <c r="L19" i="3"/>
  <c r="O19" i="3" s="1"/>
  <c r="P15" i="3"/>
  <c r="M15" i="3"/>
  <c r="M14" i="3"/>
  <c r="P14" i="3" s="1"/>
  <c r="J635" i="2"/>
  <c r="I635" i="2"/>
  <c r="J634" i="2"/>
  <c r="I634" i="2"/>
  <c r="J633" i="2"/>
  <c r="I633" i="2"/>
  <c r="J632" i="2"/>
  <c r="I632" i="2"/>
  <c r="J631" i="2"/>
  <c r="I631" i="2"/>
  <c r="J630" i="2"/>
  <c r="I630" i="2"/>
  <c r="J629" i="2"/>
  <c r="I629" i="2"/>
  <c r="J628" i="2"/>
  <c r="I628" i="2"/>
  <c r="J626" i="2"/>
  <c r="I626" i="2"/>
  <c r="J625" i="2"/>
  <c r="I625" i="2"/>
  <c r="J624" i="2"/>
  <c r="I624" i="2"/>
  <c r="J623" i="2"/>
  <c r="I623" i="2"/>
  <c r="J622" i="2"/>
  <c r="I622" i="2"/>
  <c r="J621" i="2"/>
  <c r="I621" i="2"/>
  <c r="J620" i="2"/>
  <c r="I620" i="2"/>
  <c r="K625" i="2" s="1"/>
  <c r="J619" i="2"/>
  <c r="I619" i="2"/>
  <c r="J618" i="2"/>
  <c r="I618" i="2"/>
  <c r="J617" i="2"/>
  <c r="I617" i="2"/>
  <c r="J616" i="2"/>
  <c r="I616" i="2"/>
  <c r="J615" i="2"/>
  <c r="I615" i="2"/>
  <c r="J614" i="2"/>
  <c r="I614" i="2"/>
  <c r="J613" i="2"/>
  <c r="I613" i="2"/>
  <c r="J612" i="2"/>
  <c r="I612" i="2"/>
  <c r="J611" i="2"/>
  <c r="I611" i="2"/>
  <c r="J610" i="2"/>
  <c r="J609" i="2"/>
  <c r="J608" i="2"/>
  <c r="J607" i="2"/>
  <c r="N605" i="2"/>
  <c r="N604" i="2"/>
  <c r="N603" i="2"/>
  <c r="N602" i="2"/>
  <c r="N601" i="2"/>
  <c r="L601" i="2"/>
  <c r="N600" i="2"/>
  <c r="L600" i="2"/>
  <c r="N599" i="2"/>
  <c r="L599" i="2"/>
  <c r="N598" i="2"/>
  <c r="L598" i="2"/>
  <c r="O598" i="2" s="1"/>
  <c r="N597" i="2"/>
  <c r="L597" i="2"/>
  <c r="J597" i="2"/>
  <c r="I597" i="2"/>
  <c r="J596" i="2"/>
  <c r="I596" i="2"/>
  <c r="J595" i="2"/>
  <c r="I595" i="2"/>
  <c r="J594" i="2"/>
  <c r="I594" i="2"/>
  <c r="K594" i="2" s="1"/>
  <c r="J593" i="2"/>
  <c r="I593" i="2"/>
  <c r="J592" i="2"/>
  <c r="I592" i="2"/>
  <c r="J591" i="2"/>
  <c r="I591" i="2"/>
  <c r="J590" i="2"/>
  <c r="I590" i="2"/>
  <c r="K590" i="2" s="1"/>
  <c r="J589" i="2"/>
  <c r="I589" i="2"/>
  <c r="N588" i="2"/>
  <c r="N587" i="2"/>
  <c r="N586" i="2"/>
  <c r="N585" i="2"/>
  <c r="N584" i="2"/>
  <c r="L584" i="2"/>
  <c r="N583" i="2"/>
  <c r="L583" i="2"/>
  <c r="O583" i="2" s="1"/>
  <c r="N582" i="2"/>
  <c r="L582" i="2"/>
  <c r="N581" i="2"/>
  <c r="L581" i="2"/>
  <c r="O581" i="2" s="1"/>
  <c r="N580" i="2"/>
  <c r="L580" i="2"/>
  <c r="J580" i="2"/>
  <c r="I580" i="2"/>
  <c r="J579" i="2"/>
  <c r="I579" i="2"/>
  <c r="K579" i="2" s="1"/>
  <c r="J578" i="2"/>
  <c r="I578" i="2"/>
  <c r="J577" i="2"/>
  <c r="I577" i="2"/>
  <c r="J576" i="2"/>
  <c r="I576" i="2"/>
  <c r="K576" i="2" s="1"/>
  <c r="J575" i="2"/>
  <c r="I575" i="2"/>
  <c r="J573" i="2"/>
  <c r="I573" i="2"/>
  <c r="N572" i="2"/>
  <c r="N571" i="2"/>
  <c r="N570" i="2"/>
  <c r="N569" i="2"/>
  <c r="N568" i="2"/>
  <c r="L568" i="2"/>
  <c r="N567" i="2"/>
  <c r="L567" i="2"/>
  <c r="O567" i="2" s="1"/>
  <c r="N566" i="2"/>
  <c r="L566" i="2"/>
  <c r="N565" i="2"/>
  <c r="L565" i="2"/>
  <c r="O565" i="2" s="1"/>
  <c r="N564" i="2"/>
  <c r="L564" i="2"/>
  <c r="J564" i="2"/>
  <c r="I564" i="2"/>
  <c r="J563" i="2"/>
  <c r="J562" i="2"/>
  <c r="J561" i="2"/>
  <c r="I561" i="2"/>
  <c r="J560" i="2"/>
  <c r="I560" i="2"/>
  <c r="N559" i="2"/>
  <c r="N558" i="2"/>
  <c r="N557" i="2"/>
  <c r="N556" i="2"/>
  <c r="N555" i="2"/>
  <c r="L555" i="2"/>
  <c r="N554" i="2"/>
  <c r="L554" i="2"/>
  <c r="O554" i="2" s="1"/>
  <c r="N553" i="2"/>
  <c r="L553" i="2"/>
  <c r="N552" i="2"/>
  <c r="L552" i="2"/>
  <c r="O552" i="2" s="1"/>
  <c r="N551" i="2"/>
  <c r="L551" i="2"/>
  <c r="J551" i="2"/>
  <c r="I551" i="2"/>
  <c r="J550" i="2"/>
  <c r="J549" i="2"/>
  <c r="J548" i="2"/>
  <c r="I548" i="2"/>
  <c r="K548" i="2" s="1"/>
  <c r="J547" i="2"/>
  <c r="I547" i="2"/>
  <c r="J546" i="2"/>
  <c r="J545" i="2"/>
  <c r="J544" i="2"/>
  <c r="J543" i="2"/>
  <c r="N541" i="2"/>
  <c r="N540" i="2"/>
  <c r="N539" i="2"/>
  <c r="N538" i="2"/>
  <c r="N537" i="2"/>
  <c r="L537" i="2"/>
  <c r="N536" i="2"/>
  <c r="L536" i="2"/>
  <c r="O536" i="2" s="1"/>
  <c r="N535" i="2"/>
  <c r="L535" i="2"/>
  <c r="N534" i="2"/>
  <c r="L534" i="2"/>
  <c r="O534" i="2" s="1"/>
  <c r="N533" i="2"/>
  <c r="L533" i="2"/>
  <c r="J533" i="2"/>
  <c r="I533" i="2"/>
  <c r="J532" i="2"/>
  <c r="I532" i="2"/>
  <c r="J531" i="2"/>
  <c r="I531" i="2"/>
  <c r="J530" i="2"/>
  <c r="I530" i="2"/>
  <c r="J529" i="2"/>
  <c r="I529" i="2"/>
  <c r="J528" i="2"/>
  <c r="I528" i="2"/>
  <c r="J527" i="2"/>
  <c r="I527" i="2"/>
  <c r="J526" i="2"/>
  <c r="I526" i="2"/>
  <c r="J525" i="2"/>
  <c r="I525" i="2"/>
  <c r="J524" i="2"/>
  <c r="I524" i="2"/>
  <c r="J523" i="2"/>
  <c r="I523" i="2"/>
  <c r="J522" i="2"/>
  <c r="I522" i="2"/>
  <c r="J521" i="2"/>
  <c r="I521" i="2"/>
  <c r="J520" i="2"/>
  <c r="I520" i="2"/>
  <c r="J519" i="2"/>
  <c r="I519" i="2"/>
  <c r="J518" i="2"/>
  <c r="I518" i="2"/>
  <c r="J517" i="2"/>
  <c r="I517" i="2"/>
  <c r="J516" i="2"/>
  <c r="I516" i="2"/>
  <c r="J515" i="2"/>
  <c r="I515" i="2"/>
  <c r="J514" i="2"/>
  <c r="I514" i="2"/>
  <c r="K514" i="2" s="1"/>
  <c r="J513" i="2"/>
  <c r="I513" i="2"/>
  <c r="K513" i="2" s="1"/>
  <c r="J512" i="2"/>
  <c r="I512" i="2"/>
  <c r="K512" i="2" s="1"/>
  <c r="J511" i="2"/>
  <c r="I511" i="2"/>
  <c r="K511" i="2" s="1"/>
  <c r="J510" i="2"/>
  <c r="I510" i="2"/>
  <c r="K510" i="2" s="1"/>
  <c r="J509" i="2"/>
  <c r="I509" i="2"/>
  <c r="K509" i="2" s="1"/>
  <c r="J508" i="2"/>
  <c r="I508" i="2"/>
  <c r="K508" i="2" s="1"/>
  <c r="J507" i="2"/>
  <c r="I507" i="2"/>
  <c r="J506" i="2"/>
  <c r="I506" i="2"/>
  <c r="K506" i="2" s="1"/>
  <c r="J505" i="2"/>
  <c r="I505" i="2"/>
  <c r="K505" i="2" s="1"/>
  <c r="J504" i="2"/>
  <c r="I504" i="2"/>
  <c r="J503" i="2"/>
  <c r="I503" i="2"/>
  <c r="K503" i="2" s="1"/>
  <c r="J502" i="2"/>
  <c r="I502" i="2"/>
  <c r="K502" i="2" s="1"/>
  <c r="J501" i="2"/>
  <c r="I501" i="2"/>
  <c r="K501" i="2" s="1"/>
  <c r="J500" i="2"/>
  <c r="I500" i="2"/>
  <c r="K500" i="2" s="1"/>
  <c r="J499" i="2"/>
  <c r="I499" i="2"/>
  <c r="J498" i="2"/>
  <c r="I498" i="2"/>
  <c r="J497" i="2"/>
  <c r="I497" i="2"/>
  <c r="J496" i="2"/>
  <c r="I496" i="2"/>
  <c r="K496" i="2" s="1"/>
  <c r="J495" i="2"/>
  <c r="I495" i="2"/>
  <c r="K495" i="2" s="1"/>
  <c r="J494" i="2"/>
  <c r="I494" i="2"/>
  <c r="K494" i="2" s="1"/>
  <c r="J493" i="2"/>
  <c r="I493" i="2"/>
  <c r="K493" i="2" s="1"/>
  <c r="J492" i="2"/>
  <c r="I492" i="2"/>
  <c r="K492" i="2" s="1"/>
  <c r="J491" i="2"/>
  <c r="I491" i="2"/>
  <c r="J490" i="2"/>
  <c r="I490" i="2"/>
  <c r="K490" i="2" s="1"/>
  <c r="J489" i="2"/>
  <c r="I489" i="2"/>
  <c r="K489" i="2" s="1"/>
  <c r="J488" i="2"/>
  <c r="I488" i="2"/>
  <c r="K488" i="2" s="1"/>
  <c r="J487" i="2"/>
  <c r="I487" i="2"/>
  <c r="K487" i="2" s="1"/>
  <c r="J486" i="2"/>
  <c r="I486" i="2"/>
  <c r="J485" i="2"/>
  <c r="I485" i="2"/>
  <c r="K485" i="2" s="1"/>
  <c r="J484" i="2"/>
  <c r="I484" i="2"/>
  <c r="K484" i="2" s="1"/>
  <c r="J483" i="2"/>
  <c r="I483" i="2"/>
  <c r="J482" i="2"/>
  <c r="I482" i="2"/>
  <c r="J481" i="2"/>
  <c r="I481" i="2"/>
  <c r="J480" i="2"/>
  <c r="I480" i="2"/>
  <c r="K480" i="2" s="1"/>
  <c r="J479" i="2"/>
  <c r="I479" i="2"/>
  <c r="K479" i="2" s="1"/>
  <c r="J478" i="2"/>
  <c r="I478" i="2"/>
  <c r="K478" i="2" s="1"/>
  <c r="J477" i="2"/>
  <c r="I477" i="2"/>
  <c r="K477" i="2" s="1"/>
  <c r="J476" i="2"/>
  <c r="I476" i="2"/>
  <c r="K476" i="2" s="1"/>
  <c r="J475" i="2"/>
  <c r="I475" i="2"/>
  <c r="J474" i="2"/>
  <c r="I474" i="2"/>
  <c r="J473" i="2"/>
  <c r="I473" i="2"/>
  <c r="J472" i="2"/>
  <c r="I472" i="2"/>
  <c r="K472" i="2" s="1"/>
  <c r="J471" i="2"/>
  <c r="I471" i="2"/>
  <c r="K471" i="2" s="1"/>
  <c r="J470" i="2"/>
  <c r="I470" i="2"/>
  <c r="K470" i="2" s="1"/>
  <c r="J469" i="2"/>
  <c r="I469" i="2"/>
  <c r="K469" i="2" s="1"/>
  <c r="J468" i="2"/>
  <c r="I468" i="2"/>
  <c r="K468" i="2" s="1"/>
  <c r="J467" i="2"/>
  <c r="I467" i="2"/>
  <c r="J466" i="2"/>
  <c r="I466" i="2"/>
  <c r="J465" i="2"/>
  <c r="I465" i="2"/>
  <c r="J464" i="2"/>
  <c r="I464" i="2"/>
  <c r="N463" i="2"/>
  <c r="N462" i="2"/>
  <c r="N461" i="2"/>
  <c r="N460" i="2"/>
  <c r="N459" i="2"/>
  <c r="L459" i="2"/>
  <c r="N458" i="2"/>
  <c r="L458" i="2"/>
  <c r="O458" i="2" s="1"/>
  <c r="N457" i="2"/>
  <c r="L457" i="2"/>
  <c r="N456" i="2"/>
  <c r="L456" i="2"/>
  <c r="O456" i="2" s="1"/>
  <c r="N455" i="2"/>
  <c r="L455" i="2"/>
  <c r="J455" i="2"/>
  <c r="I455" i="2"/>
  <c r="J454" i="2"/>
  <c r="J453" i="2"/>
  <c r="J452" i="2"/>
  <c r="I452" i="2"/>
  <c r="K452" i="2" s="1"/>
  <c r="J451" i="2"/>
  <c r="I451" i="2"/>
  <c r="J450" i="2"/>
  <c r="I450" i="2"/>
  <c r="J449" i="2"/>
  <c r="I449" i="2"/>
  <c r="J448" i="2"/>
  <c r="J447" i="2"/>
  <c r="J446" i="2"/>
  <c r="J445" i="2"/>
  <c r="N443" i="2"/>
  <c r="N442" i="2"/>
  <c r="N441" i="2"/>
  <c r="N440" i="2"/>
  <c r="N439" i="2"/>
  <c r="L439" i="2"/>
  <c r="N438" i="2"/>
  <c r="L438" i="2"/>
  <c r="O438" i="2" s="1"/>
  <c r="N437" i="2"/>
  <c r="L437" i="2"/>
  <c r="N436" i="2"/>
  <c r="L436" i="2"/>
  <c r="O436" i="2" s="1"/>
  <c r="N435" i="2"/>
  <c r="L435" i="2"/>
  <c r="J435" i="2"/>
  <c r="I435" i="2"/>
  <c r="J434" i="2"/>
  <c r="J433" i="2"/>
  <c r="J432" i="2"/>
  <c r="I432" i="2"/>
  <c r="J431" i="2"/>
  <c r="I431" i="2"/>
  <c r="J430" i="2"/>
  <c r="I430" i="2"/>
  <c r="J429" i="2"/>
  <c r="I429" i="2"/>
  <c r="J428" i="2"/>
  <c r="I428" i="2"/>
  <c r="J427" i="2"/>
  <c r="I427" i="2"/>
  <c r="J426" i="2"/>
  <c r="I426" i="2"/>
  <c r="J425" i="2"/>
  <c r="I425" i="2"/>
  <c r="J424" i="2"/>
  <c r="I424" i="2"/>
  <c r="J423" i="2"/>
  <c r="I423" i="2"/>
  <c r="J422" i="2"/>
  <c r="I422" i="2"/>
  <c r="J421" i="2"/>
  <c r="I421" i="2"/>
  <c r="J420" i="2"/>
  <c r="I420" i="2"/>
  <c r="J419" i="2"/>
  <c r="I419" i="2"/>
  <c r="J418" i="2"/>
  <c r="I418" i="2"/>
  <c r="J417" i="2"/>
  <c r="I417" i="2"/>
  <c r="J416" i="2"/>
  <c r="I416" i="2"/>
  <c r="J415" i="2"/>
  <c r="J414" i="2"/>
  <c r="J413" i="2"/>
  <c r="J412" i="2"/>
  <c r="N410" i="2"/>
  <c r="N409" i="2"/>
  <c r="N408" i="2"/>
  <c r="N407" i="2"/>
  <c r="N406" i="2"/>
  <c r="L406" i="2"/>
  <c r="N405" i="2"/>
  <c r="L405" i="2"/>
  <c r="O405" i="2" s="1"/>
  <c r="N404" i="2"/>
  <c r="L404" i="2"/>
  <c r="N403" i="2"/>
  <c r="L403" i="2"/>
  <c r="J402" i="2"/>
  <c r="I402" i="2"/>
  <c r="N401" i="2"/>
  <c r="L401" i="2"/>
  <c r="J401" i="2"/>
  <c r="I401" i="2"/>
  <c r="J400" i="2"/>
  <c r="J399" i="2"/>
  <c r="J398" i="2"/>
  <c r="I398" i="2"/>
  <c r="J397" i="2"/>
  <c r="I397" i="2"/>
  <c r="J396" i="2"/>
  <c r="I396" i="2"/>
  <c r="J394" i="2"/>
  <c r="J393" i="2"/>
  <c r="J392" i="2"/>
  <c r="J391" i="2"/>
  <c r="N389" i="2"/>
  <c r="N388" i="2"/>
  <c r="N387" i="2"/>
  <c r="N386" i="2"/>
  <c r="N385" i="2"/>
  <c r="L385" i="2"/>
  <c r="N384" i="2"/>
  <c r="L384" i="2"/>
  <c r="O384" i="2" s="1"/>
  <c r="N383" i="2"/>
  <c r="L383" i="2"/>
  <c r="N382" i="2"/>
  <c r="L382" i="2"/>
  <c r="J381" i="2"/>
  <c r="I381" i="2"/>
  <c r="N380" i="2"/>
  <c r="L380" i="2"/>
  <c r="J380" i="2"/>
  <c r="I380" i="2"/>
  <c r="J379" i="2"/>
  <c r="J378" i="2"/>
  <c r="J377" i="2"/>
  <c r="I377" i="2"/>
  <c r="K377" i="2" s="1"/>
  <c r="J376" i="2"/>
  <c r="I376" i="2"/>
  <c r="K376" i="2" s="1"/>
  <c r="J375" i="2"/>
  <c r="I375" i="2"/>
  <c r="K375" i="2" s="1"/>
  <c r="J374" i="2"/>
  <c r="I374" i="2"/>
  <c r="J373" i="2"/>
  <c r="I373" i="2"/>
  <c r="K373" i="2" s="1"/>
  <c r="J372" i="2"/>
  <c r="I372" i="2"/>
  <c r="J371" i="2"/>
  <c r="I371" i="2"/>
  <c r="K371" i="2" s="1"/>
  <c r="J370" i="2"/>
  <c r="I370" i="2"/>
  <c r="K370" i="2" s="1"/>
  <c r="J369" i="2"/>
  <c r="I369" i="2"/>
  <c r="K369" i="2" s="1"/>
  <c r="J368" i="2"/>
  <c r="I368" i="2"/>
  <c r="J367" i="2"/>
  <c r="J366" i="2"/>
  <c r="J365" i="2"/>
  <c r="I365" i="2"/>
  <c r="K365" i="2" s="1"/>
  <c r="J364" i="2"/>
  <c r="J363" i="2"/>
  <c r="J362" i="2"/>
  <c r="J361" i="2"/>
  <c r="J360" i="2"/>
  <c r="N358" i="2"/>
  <c r="N357" i="2"/>
  <c r="N356" i="2"/>
  <c r="N355" i="2"/>
  <c r="N354" i="2"/>
  <c r="L354" i="2"/>
  <c r="O354" i="2" s="1"/>
  <c r="N353" i="2"/>
  <c r="L353" i="2"/>
  <c r="O353" i="2" s="1"/>
  <c r="N352" i="2"/>
  <c r="L352" i="2"/>
  <c r="O352" i="2" s="1"/>
  <c r="N351" i="2"/>
  <c r="L351" i="2"/>
  <c r="O351" i="2" s="1"/>
  <c r="J350" i="2"/>
  <c r="I350" i="2"/>
  <c r="K350" i="2" s="1"/>
  <c r="N349" i="2"/>
  <c r="L349" i="2"/>
  <c r="O349" i="2" s="1"/>
  <c r="J349" i="2"/>
  <c r="I349" i="2"/>
  <c r="K349" i="2" s="1"/>
  <c r="N347" i="2"/>
  <c r="L347" i="2"/>
  <c r="J346" i="2"/>
  <c r="I346" i="2"/>
  <c r="K346" i="2" s="1"/>
  <c r="J345" i="2"/>
  <c r="I345" i="2"/>
  <c r="J344" i="2"/>
  <c r="I344" i="2"/>
  <c r="K344" i="2" s="1"/>
  <c r="J343" i="2"/>
  <c r="I343" i="2"/>
  <c r="J342" i="2"/>
  <c r="I342" i="2"/>
  <c r="J341" i="2"/>
  <c r="I341" i="2"/>
  <c r="J340" i="2"/>
  <c r="I340" i="2"/>
  <c r="J339" i="2"/>
  <c r="I339" i="2"/>
  <c r="N337" i="2"/>
  <c r="L337" i="2"/>
  <c r="L335" i="2"/>
  <c r="L334" i="2"/>
  <c r="N333" i="2"/>
  <c r="M333" i="2"/>
  <c r="O332" i="2"/>
  <c r="P330" i="2"/>
  <c r="N330" i="2"/>
  <c r="M330" i="2"/>
  <c r="L330" i="2"/>
  <c r="O330" i="2" s="1"/>
  <c r="J328" i="2"/>
  <c r="I328" i="2"/>
  <c r="J326" i="2"/>
  <c r="J325" i="2"/>
  <c r="J324" i="2"/>
  <c r="I324" i="2"/>
  <c r="J323" i="2"/>
  <c r="J322" i="2"/>
  <c r="J321" i="2"/>
  <c r="J320" i="2"/>
  <c r="N318" i="2"/>
  <c r="L318" i="2"/>
  <c r="O318" i="2" s="1"/>
  <c r="L316" i="2"/>
  <c r="L315" i="2"/>
  <c r="N314" i="2"/>
  <c r="M314" i="2"/>
  <c r="O313" i="2"/>
  <c r="O311" i="2"/>
  <c r="N311" i="2"/>
  <c r="M311" i="2"/>
  <c r="P311" i="2" s="1"/>
  <c r="L311" i="2"/>
  <c r="L311" i="1" s="1"/>
  <c r="O311" i="1" s="1"/>
  <c r="J309" i="2"/>
  <c r="I309" i="2"/>
  <c r="J308" i="2"/>
  <c r="J307" i="2"/>
  <c r="J306" i="2"/>
  <c r="I306" i="2"/>
  <c r="J304" i="2"/>
  <c r="I304" i="2"/>
  <c r="J303" i="2"/>
  <c r="J302" i="2"/>
  <c r="J301" i="2"/>
  <c r="J300" i="2"/>
  <c r="N298" i="2"/>
  <c r="L298" i="2"/>
  <c r="O298" i="2" s="1"/>
  <c r="L296" i="2"/>
  <c r="L295" i="2"/>
  <c r="N294" i="2"/>
  <c r="M294" i="2"/>
  <c r="O293" i="2"/>
  <c r="P291" i="2"/>
  <c r="O291" i="2"/>
  <c r="N291" i="2"/>
  <c r="M291" i="2"/>
  <c r="L291" i="2"/>
  <c r="J289" i="2"/>
  <c r="I289" i="2"/>
  <c r="K289" i="2" s="1"/>
  <c r="J287" i="2"/>
  <c r="J286" i="2"/>
  <c r="J285" i="2"/>
  <c r="I285" i="2"/>
  <c r="J284" i="2"/>
  <c r="J283" i="2"/>
  <c r="J282" i="2"/>
  <c r="J281" i="2"/>
  <c r="N279" i="2"/>
  <c r="L279" i="2"/>
  <c r="O279" i="2" s="1"/>
  <c r="L277" i="2"/>
  <c r="L276" i="2"/>
  <c r="N275" i="2"/>
  <c r="M275" i="2"/>
  <c r="M273" i="2" s="1"/>
  <c r="O274" i="2"/>
  <c r="N272" i="2"/>
  <c r="M272" i="2"/>
  <c r="P272" i="2" s="1"/>
  <c r="L272" i="2"/>
  <c r="O272" i="2" s="1"/>
  <c r="J270" i="2"/>
  <c r="I270" i="2"/>
  <c r="J269" i="2"/>
  <c r="J268" i="2"/>
  <c r="J267" i="2"/>
  <c r="I267" i="2"/>
  <c r="K267" i="2" s="1"/>
  <c r="J266" i="2"/>
  <c r="I266" i="2"/>
  <c r="K266" i="2" s="1"/>
  <c r="J265" i="2"/>
  <c r="I265" i="2"/>
  <c r="J264" i="2"/>
  <c r="I264" i="2"/>
  <c r="J263" i="2"/>
  <c r="J262" i="2"/>
  <c r="J261" i="2"/>
  <c r="J260" i="2"/>
  <c r="N258" i="2"/>
  <c r="L258" i="2"/>
  <c r="O258" i="2" s="1"/>
  <c r="L256" i="2"/>
  <c r="L255" i="2"/>
  <c r="N254" i="2"/>
  <c r="M254" i="2"/>
  <c r="P254" i="2" s="1"/>
  <c r="O253" i="2"/>
  <c r="N251" i="2"/>
  <c r="M251" i="2"/>
  <c r="L251" i="2"/>
  <c r="O251" i="2" s="1"/>
  <c r="J249" i="2"/>
  <c r="I249" i="2"/>
  <c r="K249" i="2" s="1"/>
  <c r="J246" i="2"/>
  <c r="J245" i="2"/>
  <c r="J244" i="2"/>
  <c r="I244" i="2"/>
  <c r="K244" i="2" s="1"/>
  <c r="J243" i="2"/>
  <c r="J242" i="2"/>
  <c r="J241" i="2"/>
  <c r="J240" i="2"/>
  <c r="J238" i="2"/>
  <c r="I238" i="2"/>
  <c r="K238" i="2" s="1"/>
  <c r="J237" i="2"/>
  <c r="J236" i="2"/>
  <c r="J235" i="2"/>
  <c r="I235" i="2"/>
  <c r="J234" i="2"/>
  <c r="J233" i="2"/>
  <c r="J232" i="2"/>
  <c r="J231" i="2"/>
  <c r="J229" i="2"/>
  <c r="I229" i="2"/>
  <c r="N228" i="2"/>
  <c r="L228" i="2"/>
  <c r="L226" i="2"/>
  <c r="L225" i="2"/>
  <c r="N224" i="2"/>
  <c r="M224" i="2"/>
  <c r="O223" i="2"/>
  <c r="O221" i="2"/>
  <c r="N221" i="2"/>
  <c r="M221" i="2"/>
  <c r="M221" i="1" s="1"/>
  <c r="P221" i="1" s="1"/>
  <c r="L221" i="2"/>
  <c r="J219" i="2"/>
  <c r="I219" i="2"/>
  <c r="J218" i="2"/>
  <c r="J217" i="2"/>
  <c r="J216" i="2"/>
  <c r="I216" i="2"/>
  <c r="J215" i="2"/>
  <c r="I215" i="2"/>
  <c r="K215" i="2" s="1"/>
  <c r="J213" i="2"/>
  <c r="I213" i="2"/>
  <c r="K213" i="2" s="1"/>
  <c r="J212" i="2"/>
  <c r="J211" i="2"/>
  <c r="J210" i="2"/>
  <c r="J209" i="2"/>
  <c r="J204" i="2"/>
  <c r="I204" i="2"/>
  <c r="J203" i="2"/>
  <c r="J202" i="2"/>
  <c r="J201" i="2"/>
  <c r="I201" i="2"/>
  <c r="J200" i="2"/>
  <c r="I200" i="2"/>
  <c r="J199" i="2"/>
  <c r="I199" i="2"/>
  <c r="J197" i="2"/>
  <c r="J196" i="2"/>
  <c r="J195" i="2"/>
  <c r="J194" i="2"/>
  <c r="J189" i="2"/>
  <c r="I189" i="2"/>
  <c r="J188" i="2"/>
  <c r="J187" i="2"/>
  <c r="J186" i="2"/>
  <c r="I186" i="2"/>
  <c r="K186" i="2" s="1"/>
  <c r="J185" i="2"/>
  <c r="I185" i="2"/>
  <c r="K185" i="2" s="1"/>
  <c r="J184" i="2"/>
  <c r="J183" i="2"/>
  <c r="J182" i="2"/>
  <c r="J181" i="2"/>
  <c r="J176" i="2"/>
  <c r="I176" i="2"/>
  <c r="K176" i="2" s="1"/>
  <c r="J175" i="2"/>
  <c r="J174" i="2"/>
  <c r="J173" i="2"/>
  <c r="I173" i="2"/>
  <c r="J172" i="2"/>
  <c r="J171" i="2"/>
  <c r="J170" i="2"/>
  <c r="J169" i="2"/>
  <c r="J164" i="2"/>
  <c r="I164" i="2"/>
  <c r="J163" i="2"/>
  <c r="J162" i="2"/>
  <c r="J161" i="2"/>
  <c r="J160" i="2"/>
  <c r="J159" i="2"/>
  <c r="J158" i="2"/>
  <c r="I158" i="2"/>
  <c r="J157" i="2"/>
  <c r="J156" i="2"/>
  <c r="J155" i="2"/>
  <c r="J154" i="2"/>
  <c r="J149" i="2"/>
  <c r="I149" i="2"/>
  <c r="N148" i="2"/>
  <c r="L148" i="2"/>
  <c r="O148" i="2" s="1"/>
  <c r="L146" i="2"/>
  <c r="L145" i="2"/>
  <c r="N144" i="2"/>
  <c r="M144" i="2"/>
  <c r="O143" i="2"/>
  <c r="N141" i="2"/>
  <c r="M141" i="2"/>
  <c r="L141" i="2"/>
  <c r="O141" i="2" s="1"/>
  <c r="J138" i="2"/>
  <c r="I138" i="2"/>
  <c r="K138" i="2" s="1"/>
  <c r="J135" i="2"/>
  <c r="J134" i="2"/>
  <c r="J133" i="2"/>
  <c r="I133" i="2"/>
  <c r="J132" i="2"/>
  <c r="I132" i="2"/>
  <c r="J131" i="2"/>
  <c r="J130" i="2"/>
  <c r="J129" i="2"/>
  <c r="J128" i="2"/>
  <c r="N126" i="2"/>
  <c r="L126" i="2"/>
  <c r="O126" i="2" s="1"/>
  <c r="L124" i="2"/>
  <c r="L123" i="2"/>
  <c r="N122" i="2"/>
  <c r="M122" i="2"/>
  <c r="M120" i="2" s="1"/>
  <c r="O121" i="2"/>
  <c r="N119" i="2"/>
  <c r="M119" i="2"/>
  <c r="M119" i="1" s="1"/>
  <c r="P119" i="1" s="1"/>
  <c r="L119" i="2"/>
  <c r="O119" i="2" s="1"/>
  <c r="J117" i="2"/>
  <c r="I117" i="2"/>
  <c r="J115" i="2"/>
  <c r="J114" i="2"/>
  <c r="J113" i="2"/>
  <c r="I113" i="2"/>
  <c r="K113" i="2" s="1"/>
  <c r="J112" i="2"/>
  <c r="I112" i="2"/>
  <c r="K112" i="2" s="1"/>
  <c r="J111" i="2"/>
  <c r="I111" i="2"/>
  <c r="K111" i="2" s="1"/>
  <c r="J110" i="2"/>
  <c r="I110" i="2"/>
  <c r="K110" i="2" s="1"/>
  <c r="J109" i="2"/>
  <c r="I109" i="2"/>
  <c r="K109" i="2" s="1"/>
  <c r="J108" i="2"/>
  <c r="I108" i="2"/>
  <c r="K108" i="2" s="1"/>
  <c r="J107" i="2"/>
  <c r="J106" i="2"/>
  <c r="J105" i="2"/>
  <c r="J104" i="2"/>
  <c r="N102" i="2"/>
  <c r="L102" i="2"/>
  <c r="O102" i="2" s="1"/>
  <c r="L100" i="2"/>
  <c r="L99" i="2"/>
  <c r="N98" i="2"/>
  <c r="M98" i="2"/>
  <c r="M96" i="2" s="1"/>
  <c r="M94" i="2" s="1"/>
  <c r="P94" i="2" s="1"/>
  <c r="O97" i="2"/>
  <c r="P95" i="2"/>
  <c r="N95" i="2"/>
  <c r="M95" i="2"/>
  <c r="L95" i="2"/>
  <c r="O95" i="2" s="1"/>
  <c r="J93" i="2"/>
  <c r="I93" i="2"/>
  <c r="K93" i="2" s="1"/>
  <c r="J92" i="2"/>
  <c r="I92" i="2"/>
  <c r="K92" i="2" s="1"/>
  <c r="J90" i="2"/>
  <c r="J89" i="2"/>
  <c r="J88" i="2"/>
  <c r="I88" i="2"/>
  <c r="K88" i="2" s="1"/>
  <c r="J87" i="2"/>
  <c r="I87" i="2"/>
  <c r="K87" i="2" s="1"/>
  <c r="J86" i="2"/>
  <c r="I86" i="2"/>
  <c r="K86" i="2" s="1"/>
  <c r="J85" i="2"/>
  <c r="I85" i="2"/>
  <c r="J84" i="2"/>
  <c r="I84" i="2"/>
  <c r="J83" i="2"/>
  <c r="I83" i="2"/>
  <c r="K83" i="2" s="1"/>
  <c r="J82" i="2"/>
  <c r="I82" i="2"/>
  <c r="K82" i="2" s="1"/>
  <c r="J81" i="2"/>
  <c r="I81" i="2"/>
  <c r="K81" i="2" s="1"/>
  <c r="J80" i="2"/>
  <c r="I80" i="2"/>
  <c r="K80" i="2" s="1"/>
  <c r="J79" i="2"/>
  <c r="J78" i="2"/>
  <c r="J77" i="2"/>
  <c r="J76" i="2"/>
  <c r="N74" i="2"/>
  <c r="L74" i="2"/>
  <c r="O74" i="2" s="1"/>
  <c r="L72" i="2"/>
  <c r="L71" i="2"/>
  <c r="N70" i="2"/>
  <c r="M70" i="2"/>
  <c r="M68" i="2" s="1"/>
  <c r="P68" i="2" s="1"/>
  <c r="O69" i="2"/>
  <c r="N67" i="2"/>
  <c r="M67" i="2"/>
  <c r="P67" i="2" s="1"/>
  <c r="L67" i="2"/>
  <c r="J65" i="2"/>
  <c r="I65" i="2"/>
  <c r="K65" i="2" s="1"/>
  <c r="J64" i="2"/>
  <c r="I64" i="2"/>
  <c r="K64" i="2" s="1"/>
  <c r="N61" i="2"/>
  <c r="L61" i="2"/>
  <c r="O61" i="2" s="1"/>
  <c r="L59" i="2"/>
  <c r="L58" i="2"/>
  <c r="N57" i="2"/>
  <c r="M57" i="2"/>
  <c r="P54" i="2"/>
  <c r="N54" i="2"/>
  <c r="M54" i="2"/>
  <c r="L54" i="2"/>
  <c r="O54" i="2" s="1"/>
  <c r="N49" i="2"/>
  <c r="L49" i="2"/>
  <c r="O49" i="2" s="1"/>
  <c r="L47" i="2"/>
  <c r="L46" i="2"/>
  <c r="N45" i="2"/>
  <c r="M45" i="2"/>
  <c r="N42" i="2"/>
  <c r="M42" i="2"/>
  <c r="P42" i="2" s="1"/>
  <c r="L42" i="2"/>
  <c r="P36" i="2"/>
  <c r="O36" i="2"/>
  <c r="P35" i="2"/>
  <c r="O35" i="2"/>
  <c r="M34" i="2"/>
  <c r="M14" i="2" s="1"/>
  <c r="P14" i="2" s="1"/>
  <c r="M33" i="2"/>
  <c r="P33" i="2" s="1"/>
  <c r="P32" i="2"/>
  <c r="M32" i="2"/>
  <c r="M31" i="2"/>
  <c r="M29" i="2" s="1"/>
  <c r="M28" i="2" s="1"/>
  <c r="P28" i="2" s="1"/>
  <c r="P30" i="2"/>
  <c r="M30" i="2"/>
  <c r="P29" i="2"/>
  <c r="M26" i="2"/>
  <c r="O25" i="2"/>
  <c r="N25" i="2"/>
  <c r="N15" i="2" s="1"/>
  <c r="M25" i="2"/>
  <c r="P25" i="2" s="1"/>
  <c r="L25" i="2"/>
  <c r="N24" i="2"/>
  <c r="M24" i="2"/>
  <c r="P24" i="2" s="1"/>
  <c r="P23" i="2"/>
  <c r="N23" i="2"/>
  <c r="M23" i="2"/>
  <c r="P21" i="2"/>
  <c r="N21" i="2"/>
  <c r="M21" i="2"/>
  <c r="L21" i="2"/>
  <c r="O21" i="2" s="1"/>
  <c r="M19" i="2"/>
  <c r="L19" i="2"/>
  <c r="O19" i="2" s="1"/>
  <c r="O15" i="2"/>
  <c r="L15" i="2"/>
  <c r="M13" i="2"/>
  <c r="P13" i="2" s="1"/>
  <c r="J563" i="1"/>
  <c r="I563" i="1"/>
  <c r="J562" i="1"/>
  <c r="I562" i="1"/>
  <c r="I548" i="1"/>
  <c r="K548" i="1" s="1"/>
  <c r="I365" i="1"/>
  <c r="K365" i="1" s="1"/>
  <c r="L336" i="1"/>
  <c r="O332" i="1"/>
  <c r="N332" i="1"/>
  <c r="M332" i="1"/>
  <c r="L332" i="1"/>
  <c r="P330" i="1"/>
  <c r="N330" i="1"/>
  <c r="M330" i="1"/>
  <c r="L330" i="1"/>
  <c r="O330" i="1" s="1"/>
  <c r="L317" i="1"/>
  <c r="N313" i="1"/>
  <c r="M313" i="1"/>
  <c r="L313" i="1"/>
  <c r="O313" i="1" s="1"/>
  <c r="N311" i="1"/>
  <c r="J307" i="1"/>
  <c r="L297" i="1"/>
  <c r="N293" i="1"/>
  <c r="M293" i="1"/>
  <c r="L293" i="1"/>
  <c r="O293" i="1" s="1"/>
  <c r="P291" i="1"/>
  <c r="O291" i="1"/>
  <c r="N291" i="1"/>
  <c r="M291" i="1"/>
  <c r="L291" i="1"/>
  <c r="L278" i="1"/>
  <c r="O274" i="1"/>
  <c r="N274" i="1"/>
  <c r="M274" i="1"/>
  <c r="L274" i="1"/>
  <c r="M272" i="1"/>
  <c r="P272" i="1" s="1"/>
  <c r="L257" i="1"/>
  <c r="O253" i="1"/>
  <c r="N253" i="1"/>
  <c r="N21" i="1" s="1"/>
  <c r="M253" i="1"/>
  <c r="L253" i="1"/>
  <c r="N251" i="1"/>
  <c r="L251" i="1"/>
  <c r="O251" i="1" s="1"/>
  <c r="J240" i="1"/>
  <c r="L227" i="1"/>
  <c r="N223" i="1"/>
  <c r="M223" i="1"/>
  <c r="L223" i="1"/>
  <c r="O223" i="1" s="1"/>
  <c r="N221" i="1"/>
  <c r="L221" i="1"/>
  <c r="O221" i="1" s="1"/>
  <c r="J214" i="1"/>
  <c r="I214" i="1"/>
  <c r="J198" i="1"/>
  <c r="L147" i="1"/>
  <c r="O143" i="1"/>
  <c r="N143" i="1"/>
  <c r="M143" i="1"/>
  <c r="L143" i="1"/>
  <c r="O141" i="1"/>
  <c r="M141" i="1"/>
  <c r="P141" i="1" s="1"/>
  <c r="L141" i="1"/>
  <c r="L125" i="1"/>
  <c r="N121" i="1"/>
  <c r="M121" i="1"/>
  <c r="M21" i="1" s="1"/>
  <c r="L121" i="1"/>
  <c r="O121" i="1" s="1"/>
  <c r="O119" i="1"/>
  <c r="N119" i="1"/>
  <c r="L119" i="1"/>
  <c r="L101" i="1"/>
  <c r="O97" i="1"/>
  <c r="N97" i="1"/>
  <c r="M97" i="1"/>
  <c r="L97" i="1"/>
  <c r="O95" i="1"/>
  <c r="M95" i="1"/>
  <c r="P95" i="1" s="1"/>
  <c r="L95" i="1"/>
  <c r="L73" i="1"/>
  <c r="O69" i="1"/>
  <c r="N69" i="1"/>
  <c r="M69" i="1"/>
  <c r="L69" i="1"/>
  <c r="P67" i="1"/>
  <c r="N67" i="1"/>
  <c r="M67" i="1"/>
  <c r="L67" i="1"/>
  <c r="O67" i="1" s="1"/>
  <c r="L60" i="1"/>
  <c r="L56" i="1"/>
  <c r="O54" i="1"/>
  <c r="N54" i="1"/>
  <c r="M54" i="1"/>
  <c r="L54" i="1"/>
  <c r="L48" i="1"/>
  <c r="L25" i="1" s="1"/>
  <c r="L44" i="1"/>
  <c r="N42" i="1"/>
  <c r="M42" i="1"/>
  <c r="P42" i="1" s="1"/>
  <c r="P36" i="1"/>
  <c r="O36" i="1"/>
  <c r="P35" i="1"/>
  <c r="O35" i="1"/>
  <c r="M34" i="1"/>
  <c r="P34" i="1" s="1"/>
  <c r="M33" i="1"/>
  <c r="P33" i="1" s="1"/>
  <c r="P32" i="1"/>
  <c r="M32" i="1"/>
  <c r="P31" i="1"/>
  <c r="M31" i="1"/>
  <c r="M30" i="1"/>
  <c r="P29" i="1"/>
  <c r="M29" i="1"/>
  <c r="N25" i="1"/>
  <c r="M25" i="1"/>
  <c r="N24" i="1"/>
  <c r="M24" i="1"/>
  <c r="P24" i="1" s="1"/>
  <c r="P23" i="1"/>
  <c r="N23" i="1"/>
  <c r="M23" i="1"/>
  <c r="N15" i="1"/>
  <c r="P13" i="1"/>
  <c r="M13" i="1"/>
  <c r="K547" i="9" l="1"/>
  <c r="O564" i="9"/>
  <c r="K464" i="11"/>
  <c r="O582" i="7"/>
  <c r="K416" i="5"/>
  <c r="K424" i="5"/>
  <c r="K449" i="5"/>
  <c r="K547" i="5"/>
  <c r="O599" i="7"/>
  <c r="K65" i="8"/>
  <c r="K80" i="11"/>
  <c r="K432" i="11"/>
  <c r="K547" i="11"/>
  <c r="K633" i="11"/>
  <c r="L70" i="12"/>
  <c r="O70" i="12" s="1"/>
  <c r="I367" i="6"/>
  <c r="K367" i="6" s="1"/>
  <c r="K418" i="2"/>
  <c r="K634" i="18"/>
  <c r="K84" i="11"/>
  <c r="O385" i="14"/>
  <c r="L122" i="17"/>
  <c r="L120" i="17" s="1"/>
  <c r="P45" i="10"/>
  <c r="L144" i="8"/>
  <c r="O144" i="8" s="1"/>
  <c r="L275" i="14"/>
  <c r="L273" i="14" s="1"/>
  <c r="K111" i="3"/>
  <c r="O354" i="8"/>
  <c r="P337" i="18"/>
  <c r="O439" i="6"/>
  <c r="O406" i="8"/>
  <c r="K419" i="8"/>
  <c r="K427" i="8"/>
  <c r="K631" i="14"/>
  <c r="L144" i="12"/>
  <c r="O144" i="12" s="1"/>
  <c r="L144" i="10"/>
  <c r="O144" i="10" s="1"/>
  <c r="K634" i="11"/>
  <c r="N55" i="6"/>
  <c r="N53" i="6" s="1"/>
  <c r="K381" i="2"/>
  <c r="K629" i="15"/>
  <c r="J500" i="1"/>
  <c r="M273" i="17"/>
  <c r="P273" i="17" s="1"/>
  <c r="K421" i="17"/>
  <c r="O455" i="18"/>
  <c r="K285" i="3"/>
  <c r="K235" i="5"/>
  <c r="K200" i="7"/>
  <c r="K229" i="7"/>
  <c r="K377" i="8"/>
  <c r="K381" i="8"/>
  <c r="K380" i="12"/>
  <c r="O455" i="12"/>
  <c r="O459" i="12"/>
  <c r="K465" i="12"/>
  <c r="K533" i="12"/>
  <c r="K563" i="12"/>
  <c r="K631" i="18"/>
  <c r="K635" i="18"/>
  <c r="O401" i="3"/>
  <c r="K418" i="3"/>
  <c r="K422" i="3"/>
  <c r="K345" i="7"/>
  <c r="O349" i="7"/>
  <c r="O347" i="3"/>
  <c r="K113" i="7"/>
  <c r="K199" i="7"/>
  <c r="L144" i="14"/>
  <c r="O144" i="14" s="1"/>
  <c r="L314" i="18"/>
  <c r="K343" i="18"/>
  <c r="J515" i="1"/>
  <c r="O352" i="7"/>
  <c r="K149" i="9"/>
  <c r="J130" i="1"/>
  <c r="O535" i="18"/>
  <c r="N142" i="15"/>
  <c r="N140" i="15" s="1"/>
  <c r="J393" i="1"/>
  <c r="K213" i="8"/>
  <c r="O383" i="9"/>
  <c r="N273" i="14"/>
  <c r="N271" i="14" s="1"/>
  <c r="L333" i="3"/>
  <c r="L331" i="3" s="1"/>
  <c r="L329" i="3" s="1"/>
  <c r="K621" i="14"/>
  <c r="L333" i="5"/>
  <c r="L331" i="5" s="1"/>
  <c r="L329" i="5" s="1"/>
  <c r="K380" i="6"/>
  <c r="O383" i="6"/>
  <c r="K397" i="6"/>
  <c r="O401" i="6"/>
  <c r="K418" i="6"/>
  <c r="K422" i="6"/>
  <c r="K426" i="6"/>
  <c r="O459" i="6"/>
  <c r="K481" i="6"/>
  <c r="O597" i="6"/>
  <c r="K631" i="6"/>
  <c r="K635" i="6"/>
  <c r="O537" i="7"/>
  <c r="O566" i="10"/>
  <c r="O584" i="10"/>
  <c r="O566" i="15"/>
  <c r="K635" i="15"/>
  <c r="K416" i="16"/>
  <c r="K424" i="16"/>
  <c r="K428" i="16"/>
  <c r="K597" i="2"/>
  <c r="O455" i="4"/>
  <c r="K481" i="4"/>
  <c r="K497" i="4"/>
  <c r="O580" i="4"/>
  <c r="O597" i="4"/>
  <c r="O601" i="4"/>
  <c r="K631" i="4"/>
  <c r="K635" i="4"/>
  <c r="O435" i="5"/>
  <c r="K562" i="8"/>
  <c r="O349" i="9"/>
  <c r="K591" i="11"/>
  <c r="K377" i="18"/>
  <c r="L435" i="1"/>
  <c r="N34" i="9"/>
  <c r="N14" i="9" s="1"/>
  <c r="J486" i="1"/>
  <c r="N68" i="15"/>
  <c r="N66" i="15" s="1"/>
  <c r="I471" i="1"/>
  <c r="K471" i="1" s="1"/>
  <c r="J195" i="1"/>
  <c r="N312" i="13"/>
  <c r="N310" i="13" s="1"/>
  <c r="K372" i="16"/>
  <c r="O406" i="16"/>
  <c r="K591" i="16"/>
  <c r="K591" i="2"/>
  <c r="K595" i="2"/>
  <c r="P102" i="6"/>
  <c r="K109" i="6"/>
  <c r="K113" i="6"/>
  <c r="N252" i="7"/>
  <c r="N250" i="7" s="1"/>
  <c r="N222" i="8"/>
  <c r="N220" i="8" s="1"/>
  <c r="K370" i="9"/>
  <c r="N142" i="16"/>
  <c r="N140" i="16" s="1"/>
  <c r="P140" i="16" s="1"/>
  <c r="N294" i="1"/>
  <c r="I402" i="1"/>
  <c r="J114" i="1"/>
  <c r="O347" i="4"/>
  <c r="J531" i="1"/>
  <c r="J592" i="1"/>
  <c r="J624" i="1"/>
  <c r="O597" i="7"/>
  <c r="N312" i="9"/>
  <c r="N310" i="9" s="1"/>
  <c r="L57" i="15"/>
  <c r="O57" i="15" s="1"/>
  <c r="L333" i="18"/>
  <c r="O333" i="18" s="1"/>
  <c r="N126" i="1"/>
  <c r="J133" i="1"/>
  <c r="K199" i="2"/>
  <c r="L296" i="1"/>
  <c r="J339" i="1"/>
  <c r="J343" i="1"/>
  <c r="N347" i="1"/>
  <c r="N441" i="1"/>
  <c r="J471" i="1"/>
  <c r="K83" i="3"/>
  <c r="N120" i="5"/>
  <c r="N118" i="5" s="1"/>
  <c r="K473" i="5"/>
  <c r="K481" i="5"/>
  <c r="I529" i="1"/>
  <c r="J549" i="1"/>
  <c r="O597" i="5"/>
  <c r="K631" i="5"/>
  <c r="N312" i="10"/>
  <c r="N310" i="10" s="1"/>
  <c r="K397" i="11"/>
  <c r="O401" i="11"/>
  <c r="K418" i="11"/>
  <c r="O459" i="11"/>
  <c r="K173" i="13"/>
  <c r="K189" i="13"/>
  <c r="K450" i="13"/>
  <c r="K455" i="13"/>
  <c r="K464" i="13"/>
  <c r="K421" i="16"/>
  <c r="K450" i="16"/>
  <c r="K455" i="16"/>
  <c r="K173" i="17"/>
  <c r="K189" i="17"/>
  <c r="O597" i="17"/>
  <c r="K631" i="17"/>
  <c r="K368" i="18"/>
  <c r="K372" i="18"/>
  <c r="K398" i="18"/>
  <c r="L565" i="1"/>
  <c r="O565" i="1" s="1"/>
  <c r="N57" i="1"/>
  <c r="K632" i="3"/>
  <c r="K235" i="4"/>
  <c r="K264" i="4"/>
  <c r="O437" i="4"/>
  <c r="N298" i="1"/>
  <c r="J306" i="1"/>
  <c r="I328" i="1"/>
  <c r="M333" i="1"/>
  <c r="K562" i="6"/>
  <c r="K64" i="7"/>
  <c r="M292" i="7"/>
  <c r="P292" i="7" s="1"/>
  <c r="K109" i="8"/>
  <c r="K113" i="8"/>
  <c r="K563" i="8"/>
  <c r="K635" i="8"/>
  <c r="O437" i="10"/>
  <c r="K370" i="12"/>
  <c r="K396" i="12"/>
  <c r="O404" i="12"/>
  <c r="K417" i="12"/>
  <c r="K450" i="12"/>
  <c r="K464" i="12"/>
  <c r="K562" i="12"/>
  <c r="K597" i="12"/>
  <c r="O568" i="13"/>
  <c r="L224" i="14"/>
  <c r="O224" i="14" s="1"/>
  <c r="L314" i="14"/>
  <c r="O314" i="14" s="1"/>
  <c r="K427" i="14"/>
  <c r="O439" i="14"/>
  <c r="K474" i="14"/>
  <c r="K498" i="14"/>
  <c r="O533" i="14"/>
  <c r="K65" i="15"/>
  <c r="L70" i="15"/>
  <c r="O70" i="15" s="1"/>
  <c r="O535" i="15"/>
  <c r="K562" i="15"/>
  <c r="K630" i="15"/>
  <c r="K634" i="15"/>
  <c r="K117" i="16"/>
  <c r="L122" i="16"/>
  <c r="L120" i="16" s="1"/>
  <c r="L118" i="16" s="1"/>
  <c r="K132" i="16"/>
  <c r="K164" i="16"/>
  <c r="O537" i="16"/>
  <c r="K158" i="17"/>
  <c r="K176" i="17"/>
  <c r="K186" i="17"/>
  <c r="K219" i="17"/>
  <c r="K449" i="17"/>
  <c r="K499" i="17"/>
  <c r="K65" i="18"/>
  <c r="K83" i="18"/>
  <c r="K200" i="18"/>
  <c r="K229" i="18"/>
  <c r="J475" i="1"/>
  <c r="N537" i="1"/>
  <c r="J595" i="1"/>
  <c r="K422" i="2"/>
  <c r="K623" i="3"/>
  <c r="L45" i="4"/>
  <c r="O45" i="4" s="1"/>
  <c r="I521" i="1"/>
  <c r="I525" i="1"/>
  <c r="I533" i="1"/>
  <c r="L566" i="1"/>
  <c r="J609" i="1"/>
  <c r="I618" i="1"/>
  <c r="I132" i="1"/>
  <c r="J229" i="1"/>
  <c r="J138" i="1"/>
  <c r="J211" i="1"/>
  <c r="K564" i="8"/>
  <c r="I523" i="1"/>
  <c r="K200" i="10"/>
  <c r="N228" i="1"/>
  <c r="I350" i="1"/>
  <c r="J163" i="1"/>
  <c r="O349" i="4"/>
  <c r="J435" i="1"/>
  <c r="N455" i="1"/>
  <c r="J493" i="1"/>
  <c r="K92" i="6"/>
  <c r="J507" i="1"/>
  <c r="J511" i="1"/>
  <c r="J519" i="1"/>
  <c r="J527" i="1"/>
  <c r="N534" i="1"/>
  <c r="N385" i="1"/>
  <c r="N408" i="1"/>
  <c r="J416" i="1"/>
  <c r="J420" i="1"/>
  <c r="J449" i="1"/>
  <c r="N463" i="1"/>
  <c r="L333" i="15"/>
  <c r="O333" i="15" s="1"/>
  <c r="L314" i="16"/>
  <c r="L312" i="16" s="1"/>
  <c r="L310" i="16" s="1"/>
  <c r="O310" i="16" s="1"/>
  <c r="K343" i="16"/>
  <c r="O347" i="16"/>
  <c r="K396" i="17"/>
  <c r="N567" i="1"/>
  <c r="I487" i="1"/>
  <c r="K487" i="1" s="1"/>
  <c r="J501" i="1"/>
  <c r="J525" i="1"/>
  <c r="J533" i="1"/>
  <c r="N553" i="1"/>
  <c r="N584" i="1"/>
  <c r="J594" i="1"/>
  <c r="N597" i="1"/>
  <c r="N601" i="1"/>
  <c r="J610" i="1"/>
  <c r="J614" i="1"/>
  <c r="J618" i="1"/>
  <c r="J622" i="1"/>
  <c r="J626" i="1"/>
  <c r="J635" i="1"/>
  <c r="N74" i="1"/>
  <c r="I375" i="1"/>
  <c r="J492" i="1"/>
  <c r="N540" i="1"/>
  <c r="I589" i="1"/>
  <c r="N49" i="1"/>
  <c r="J84" i="1"/>
  <c r="I285" i="1"/>
  <c r="I376" i="1"/>
  <c r="L380" i="1"/>
  <c r="L384" i="1"/>
  <c r="O384" i="1" s="1"/>
  <c r="K466" i="4"/>
  <c r="K474" i="4"/>
  <c r="K482" i="4"/>
  <c r="O537" i="4"/>
  <c r="K551" i="4"/>
  <c r="K560" i="4"/>
  <c r="K595" i="4"/>
  <c r="K93" i="5"/>
  <c r="K108" i="5"/>
  <c r="K466" i="6"/>
  <c r="K564" i="6"/>
  <c r="K573" i="6"/>
  <c r="L57" i="7"/>
  <c r="O57" i="7" s="1"/>
  <c r="K80" i="7"/>
  <c r="M96" i="8"/>
  <c r="M94" i="8" s="1"/>
  <c r="K117" i="8"/>
  <c r="K235" i="8"/>
  <c r="K370" i="8"/>
  <c r="J579" i="1"/>
  <c r="K133" i="11"/>
  <c r="K580" i="16"/>
  <c r="K219" i="18"/>
  <c r="L224" i="18"/>
  <c r="O224" i="18" s="1"/>
  <c r="J498" i="1"/>
  <c r="J560" i="1"/>
  <c r="J363" i="1"/>
  <c r="J448" i="1"/>
  <c r="J466" i="1"/>
  <c r="J474" i="1"/>
  <c r="I482" i="1"/>
  <c r="I498" i="1"/>
  <c r="N585" i="1"/>
  <c r="N602" i="1"/>
  <c r="I619" i="1"/>
  <c r="I628" i="1"/>
  <c r="I82" i="1"/>
  <c r="J104" i="1"/>
  <c r="I110" i="1"/>
  <c r="J625" i="1"/>
  <c r="J634" i="1"/>
  <c r="I113" i="1"/>
  <c r="O354" i="4"/>
  <c r="I270" i="1"/>
  <c r="M120" i="9"/>
  <c r="P120" i="9" s="1"/>
  <c r="J204" i="1"/>
  <c r="O74" i="12"/>
  <c r="K132" i="17"/>
  <c r="K328" i="17"/>
  <c r="L333" i="17"/>
  <c r="L331" i="17" s="1"/>
  <c r="K345" i="17"/>
  <c r="N312" i="18"/>
  <c r="N310" i="18" s="1"/>
  <c r="L145" i="1"/>
  <c r="J502" i="1"/>
  <c r="J564" i="1"/>
  <c r="I513" i="1"/>
  <c r="K513" i="1" s="1"/>
  <c r="N70" i="1"/>
  <c r="L255" i="1"/>
  <c r="J268" i="1"/>
  <c r="J283" i="1"/>
  <c r="L294" i="2"/>
  <c r="O294" i="2" s="1"/>
  <c r="L316" i="1"/>
  <c r="J324" i="1"/>
  <c r="N355" i="1"/>
  <c r="J364" i="1"/>
  <c r="J373" i="1"/>
  <c r="J377" i="1"/>
  <c r="J381" i="1"/>
  <c r="L385" i="1"/>
  <c r="I424" i="1"/>
  <c r="I432" i="1"/>
  <c r="J478" i="1"/>
  <c r="J482" i="1"/>
  <c r="J490" i="1"/>
  <c r="J494" i="1"/>
  <c r="L224" i="3"/>
  <c r="L222" i="3" s="1"/>
  <c r="K309" i="4"/>
  <c r="L314" i="4"/>
  <c r="O314" i="4" s="1"/>
  <c r="K449" i="4"/>
  <c r="O457" i="4"/>
  <c r="O582" i="4"/>
  <c r="O599" i="4"/>
  <c r="K629" i="4"/>
  <c r="K633" i="4"/>
  <c r="K629" i="6"/>
  <c r="K633" i="6"/>
  <c r="K533" i="8"/>
  <c r="K533" i="9"/>
  <c r="K563" i="9"/>
  <c r="O597" i="9"/>
  <c r="K635" i="9"/>
  <c r="K149" i="10"/>
  <c r="J350" i="1"/>
  <c r="K424" i="12"/>
  <c r="K428" i="12"/>
  <c r="K432" i="12"/>
  <c r="K449" i="12"/>
  <c r="O564" i="12"/>
  <c r="O568" i="12"/>
  <c r="O599" i="12"/>
  <c r="K482" i="13"/>
  <c r="K498" i="13"/>
  <c r="O347" i="15"/>
  <c r="K416" i="15"/>
  <c r="K420" i="15"/>
  <c r="K424" i="15"/>
  <c r="K428" i="15"/>
  <c r="K435" i="16"/>
  <c r="O455" i="16"/>
  <c r="O580" i="16"/>
  <c r="K398" i="17"/>
  <c r="K402" i="17"/>
  <c r="O406" i="17"/>
  <c r="O435" i="17"/>
  <c r="K628" i="17"/>
  <c r="K589" i="7"/>
  <c r="K597" i="7"/>
  <c r="L57" i="8"/>
  <c r="L55" i="8" s="1"/>
  <c r="L53" i="8" s="1"/>
  <c r="L98" i="8"/>
  <c r="O98" i="8" s="1"/>
  <c r="K108" i="8"/>
  <c r="K265" i="8"/>
  <c r="K455" i="8"/>
  <c r="O582" i="8"/>
  <c r="O599" i="8"/>
  <c r="K629" i="8"/>
  <c r="L72" i="1"/>
  <c r="J88" i="1"/>
  <c r="N148" i="1"/>
  <c r="P148" i="1" s="1"/>
  <c r="J158" i="1"/>
  <c r="J169" i="1"/>
  <c r="J246" i="1"/>
  <c r="K420" i="10"/>
  <c r="K428" i="10"/>
  <c r="L254" i="11"/>
  <c r="L252" i="11" s="1"/>
  <c r="L250" i="11" s="1"/>
  <c r="K264" i="11"/>
  <c r="P224" i="12"/>
  <c r="K266" i="12"/>
  <c r="K199" i="13"/>
  <c r="K368" i="13"/>
  <c r="O406" i="13"/>
  <c r="K533" i="14"/>
  <c r="O584" i="14"/>
  <c r="O601" i="14"/>
  <c r="K213" i="15"/>
  <c r="P224" i="15"/>
  <c r="O533" i="15"/>
  <c r="K573" i="15"/>
  <c r="K632" i="15"/>
  <c r="L45" i="16"/>
  <c r="L43" i="16" s="1"/>
  <c r="O599" i="16"/>
  <c r="O352" i="17"/>
  <c r="K547" i="17"/>
  <c r="I430" i="1"/>
  <c r="J154" i="1"/>
  <c r="J161" i="1"/>
  <c r="J242" i="1"/>
  <c r="J394" i="1"/>
  <c r="J400" i="1"/>
  <c r="J510" i="1"/>
  <c r="J518" i="1"/>
  <c r="J522" i="1"/>
  <c r="J526" i="1"/>
  <c r="J530" i="1"/>
  <c r="N533" i="1"/>
  <c r="J546" i="1"/>
  <c r="J551" i="1"/>
  <c r="N554" i="1"/>
  <c r="J573" i="1"/>
  <c r="J578" i="1"/>
  <c r="N586" i="1"/>
  <c r="N598" i="1"/>
  <c r="N603" i="1"/>
  <c r="J611" i="1"/>
  <c r="J615" i="1"/>
  <c r="J619" i="1"/>
  <c r="J623" i="1"/>
  <c r="J632" i="1"/>
  <c r="J186" i="1"/>
  <c r="J197" i="1"/>
  <c r="N314" i="1"/>
  <c r="J323" i="1"/>
  <c r="N68" i="4"/>
  <c r="N66" i="4" s="1"/>
  <c r="K430" i="7"/>
  <c r="K349" i="9"/>
  <c r="O352" i="9"/>
  <c r="K425" i="9"/>
  <c r="O599" i="10"/>
  <c r="K625" i="10"/>
  <c r="K138" i="11"/>
  <c r="K249" i="12"/>
  <c r="K200" i="14"/>
  <c r="J360" i="1"/>
  <c r="I435" i="1"/>
  <c r="I465" i="1"/>
  <c r="K597" i="3"/>
  <c r="L298" i="1"/>
  <c r="O298" i="1" s="1"/>
  <c r="I344" i="1"/>
  <c r="K344" i="1" s="1"/>
  <c r="I635" i="1"/>
  <c r="K635" i="1" s="1"/>
  <c r="N102" i="1"/>
  <c r="J109" i="1"/>
  <c r="J129" i="1"/>
  <c r="N142" i="2"/>
  <c r="N140" i="2" s="1"/>
  <c r="J285" i="1"/>
  <c r="J320" i="1"/>
  <c r="I515" i="1"/>
  <c r="K515" i="1" s="1"/>
  <c r="I519" i="1"/>
  <c r="I527" i="1"/>
  <c r="I531" i="1"/>
  <c r="N538" i="1"/>
  <c r="I547" i="1"/>
  <c r="L551" i="1"/>
  <c r="L568" i="1"/>
  <c r="I596" i="1"/>
  <c r="K596" i="1" s="1"/>
  <c r="L70" i="5"/>
  <c r="O70" i="5" s="1"/>
  <c r="K87" i="7"/>
  <c r="K93" i="7"/>
  <c r="L275" i="8"/>
  <c r="L273" i="8" s="1"/>
  <c r="L271" i="8" s="1"/>
  <c r="M292" i="8"/>
  <c r="P292" i="8" s="1"/>
  <c r="O455" i="8"/>
  <c r="N32" i="10"/>
  <c r="N30" i="10" s="1"/>
  <c r="K111" i="14"/>
  <c r="P144" i="15"/>
  <c r="L224" i="15"/>
  <c r="L222" i="15" s="1"/>
  <c r="L220" i="15" s="1"/>
  <c r="K370" i="15"/>
  <c r="K396" i="15"/>
  <c r="K455" i="15"/>
  <c r="K499" i="15"/>
  <c r="K340" i="16"/>
  <c r="K401" i="16"/>
  <c r="O349" i="17"/>
  <c r="O404" i="17"/>
  <c r="J367" i="1"/>
  <c r="I473" i="1"/>
  <c r="J321" i="1"/>
  <c r="I490" i="1"/>
  <c r="K490" i="1" s="1"/>
  <c r="I502" i="1"/>
  <c r="K502" i="1" s="1"/>
  <c r="I87" i="1"/>
  <c r="I478" i="1"/>
  <c r="K478" i="1" s="1"/>
  <c r="I506" i="1"/>
  <c r="K506" i="1" s="1"/>
  <c r="L580" i="1"/>
  <c r="N68" i="2"/>
  <c r="N66" i="2" s="1"/>
  <c r="J81" i="1"/>
  <c r="J90" i="1"/>
  <c r="L333" i="2"/>
  <c r="L331" i="2" s="1"/>
  <c r="L329" i="2" s="1"/>
  <c r="K380" i="2"/>
  <c r="L32" i="2"/>
  <c r="L30" i="2" s="1"/>
  <c r="J503" i="1"/>
  <c r="J523" i="1"/>
  <c r="N539" i="1"/>
  <c r="J547" i="1"/>
  <c r="K64" i="4"/>
  <c r="N252" i="6"/>
  <c r="N250" i="6" s="1"/>
  <c r="K213" i="7"/>
  <c r="K595" i="7"/>
  <c r="L224" i="8"/>
  <c r="L222" i="8" s="1"/>
  <c r="K249" i="8"/>
  <c r="K466" i="8"/>
  <c r="K482" i="8"/>
  <c r="O383" i="10"/>
  <c r="K597" i="10"/>
  <c r="K429" i="11"/>
  <c r="K455" i="11"/>
  <c r="K235" i="12"/>
  <c r="L254" i="12"/>
  <c r="O254" i="12" s="1"/>
  <c r="K370" i="13"/>
  <c r="O457" i="13"/>
  <c r="K481" i="18"/>
  <c r="I426" i="1"/>
  <c r="K497" i="5"/>
  <c r="N333" i="1"/>
  <c r="I138" i="1"/>
  <c r="I235" i="1"/>
  <c r="L456" i="1"/>
  <c r="O456" i="1" s="1"/>
  <c r="L581" i="1"/>
  <c r="O581" i="1" s="1"/>
  <c r="J87" i="1"/>
  <c r="J93" i="1"/>
  <c r="N142" i="3"/>
  <c r="N140" i="3" s="1"/>
  <c r="P140" i="3" s="1"/>
  <c r="J235" i="1"/>
  <c r="K199" i="6"/>
  <c r="N331" i="7"/>
  <c r="N329" i="7" s="1"/>
  <c r="I367" i="7"/>
  <c r="K367" i="7" s="1"/>
  <c r="K377" i="7"/>
  <c r="K381" i="7"/>
  <c r="N331" i="12"/>
  <c r="N329" i="12" s="1"/>
  <c r="N96" i="13"/>
  <c r="N94" i="13" s="1"/>
  <c r="O347" i="14"/>
  <c r="K229" i="16"/>
  <c r="K451" i="16"/>
  <c r="K481" i="17"/>
  <c r="K86" i="18"/>
  <c r="K92" i="18"/>
  <c r="O597" i="18"/>
  <c r="J445" i="1"/>
  <c r="J244" i="1"/>
  <c r="L47" i="1"/>
  <c r="L61" i="1"/>
  <c r="O61" i="1" s="1"/>
  <c r="K117" i="2"/>
  <c r="L122" i="2"/>
  <c r="O122" i="2" s="1"/>
  <c r="K158" i="2"/>
  <c r="J164" i="1"/>
  <c r="J175" i="1"/>
  <c r="J185" i="1"/>
  <c r="J201" i="1"/>
  <c r="J212" i="1"/>
  <c r="I342" i="1"/>
  <c r="K342" i="1" s="1"/>
  <c r="J512" i="1"/>
  <c r="N557" i="1"/>
  <c r="N292" i="5"/>
  <c r="N290" i="5" s="1"/>
  <c r="P144" i="8"/>
  <c r="K632" i="8"/>
  <c r="K482" i="10"/>
  <c r="K498" i="10"/>
  <c r="K345" i="11"/>
  <c r="O349" i="11"/>
  <c r="M222" i="12"/>
  <c r="M220" i="12" s="1"/>
  <c r="K270" i="12"/>
  <c r="M292" i="14"/>
  <c r="P292" i="14" s="1"/>
  <c r="K435" i="15"/>
  <c r="N68" i="17"/>
  <c r="N66" i="17" s="1"/>
  <c r="I451" i="1"/>
  <c r="J260" i="1"/>
  <c r="I512" i="1"/>
  <c r="K512" i="1" s="1"/>
  <c r="J303" i="1"/>
  <c r="J362" i="1"/>
  <c r="J368" i="1"/>
  <c r="J372" i="1"/>
  <c r="N384" i="1"/>
  <c r="I398" i="1"/>
  <c r="L406" i="1"/>
  <c r="I423" i="1"/>
  <c r="I427" i="1"/>
  <c r="I431" i="1"/>
  <c r="N460" i="1"/>
  <c r="I466" i="1"/>
  <c r="K474" i="2"/>
  <c r="J481" i="1"/>
  <c r="J485" i="1"/>
  <c r="J489" i="1"/>
  <c r="I614" i="1"/>
  <c r="I622" i="1"/>
  <c r="I631" i="1"/>
  <c r="L144" i="4"/>
  <c r="O144" i="4" s="1"/>
  <c r="K164" i="5"/>
  <c r="M312" i="5"/>
  <c r="P312" i="5" s="1"/>
  <c r="O437" i="5"/>
  <c r="K270" i="6"/>
  <c r="K285" i="7"/>
  <c r="K401" i="7"/>
  <c r="K417" i="7"/>
  <c r="K425" i="7"/>
  <c r="N120" i="8"/>
  <c r="P120" i="8" s="1"/>
  <c r="K381" i="9"/>
  <c r="K474" i="9"/>
  <c r="K482" i="9"/>
  <c r="K498" i="9"/>
  <c r="K573" i="9"/>
  <c r="K419" i="10"/>
  <c r="K551" i="10"/>
  <c r="K573" i="10"/>
  <c r="L57" i="11"/>
  <c r="O57" i="11" s="1"/>
  <c r="K81" i="11"/>
  <c r="N222" i="11"/>
  <c r="N220" i="11" s="1"/>
  <c r="L294" i="11"/>
  <c r="O294" i="11" s="1"/>
  <c r="O337" i="11"/>
  <c r="O439" i="11"/>
  <c r="K372" i="12"/>
  <c r="K376" i="12"/>
  <c r="O435" i="12"/>
  <c r="O439" i="12"/>
  <c r="K498" i="12"/>
  <c r="L254" i="13"/>
  <c r="O254" i="13" s="1"/>
  <c r="K634" i="14"/>
  <c r="K372" i="15"/>
  <c r="K376" i="15"/>
  <c r="O380" i="15"/>
  <c r="O406" i="15"/>
  <c r="K423" i="15"/>
  <c r="K431" i="15"/>
  <c r="K377" i="17"/>
  <c r="K427" i="18"/>
  <c r="L354" i="1"/>
  <c r="L438" i="1"/>
  <c r="O438" i="1" s="1"/>
  <c r="I489" i="1"/>
  <c r="K489" i="1" s="1"/>
  <c r="J267" i="1"/>
  <c r="N604" i="1"/>
  <c r="I612" i="1"/>
  <c r="I616" i="1"/>
  <c r="I624" i="1"/>
  <c r="K249" i="3"/>
  <c r="J509" i="1"/>
  <c r="I517" i="1"/>
  <c r="M312" i="6"/>
  <c r="P312" i="6" s="1"/>
  <c r="P314" i="6"/>
  <c r="J495" i="1"/>
  <c r="I345" i="1"/>
  <c r="I238" i="1"/>
  <c r="K238" i="1" s="1"/>
  <c r="L401" i="1"/>
  <c r="I629" i="1"/>
  <c r="J203" i="1"/>
  <c r="J213" i="1"/>
  <c r="J233" i="1"/>
  <c r="N292" i="2"/>
  <c r="N290" i="2" s="1"/>
  <c r="O380" i="2"/>
  <c r="K435" i="2"/>
  <c r="K596" i="2"/>
  <c r="K629" i="2"/>
  <c r="N68" i="3"/>
  <c r="N66" i="3" s="1"/>
  <c r="K398" i="3"/>
  <c r="O435" i="3"/>
  <c r="K466" i="3"/>
  <c r="K474" i="3"/>
  <c r="K345" i="8"/>
  <c r="N351" i="1"/>
  <c r="K396" i="10"/>
  <c r="K401" i="10"/>
  <c r="K421" i="10"/>
  <c r="K425" i="10"/>
  <c r="J189" i="1"/>
  <c r="J516" i="1"/>
  <c r="J520" i="1"/>
  <c r="J524" i="1"/>
  <c r="J528" i="1"/>
  <c r="J532" i="1"/>
  <c r="N535" i="1"/>
  <c r="N541" i="1"/>
  <c r="N552" i="1"/>
  <c r="N565" i="1"/>
  <c r="N570" i="1"/>
  <c r="J576" i="1"/>
  <c r="J378" i="1"/>
  <c r="L437" i="1"/>
  <c r="L100" i="1"/>
  <c r="J108" i="1"/>
  <c r="L148" i="1"/>
  <c r="I176" i="1"/>
  <c r="I470" i="1"/>
  <c r="K470" i="1" s="1"/>
  <c r="I505" i="1"/>
  <c r="K505" i="1" s="1"/>
  <c r="I265" i="1"/>
  <c r="P275" i="2"/>
  <c r="J304" i="1"/>
  <c r="J392" i="1"/>
  <c r="J398" i="1"/>
  <c r="J402" i="1"/>
  <c r="N406" i="1"/>
  <c r="J415" i="1"/>
  <c r="J419" i="1"/>
  <c r="J423" i="1"/>
  <c r="J427" i="1"/>
  <c r="K431" i="2"/>
  <c r="N435" i="1"/>
  <c r="O435" i="1" s="1"/>
  <c r="J452" i="1"/>
  <c r="N456" i="1"/>
  <c r="N461" i="1"/>
  <c r="J470" i="1"/>
  <c r="I497" i="1"/>
  <c r="L57" i="3"/>
  <c r="O57" i="3" s="1"/>
  <c r="L70" i="3"/>
  <c r="O70" i="3" s="1"/>
  <c r="K200" i="3"/>
  <c r="K64" i="8"/>
  <c r="J92" i="1"/>
  <c r="J160" i="1"/>
  <c r="J181" i="1"/>
  <c r="K422" i="9"/>
  <c r="K426" i="9"/>
  <c r="K435" i="9"/>
  <c r="O459" i="9"/>
  <c r="K465" i="9"/>
  <c r="J617" i="1"/>
  <c r="J112" i="1"/>
  <c r="I620" i="1"/>
  <c r="J183" i="1"/>
  <c r="I216" i="1"/>
  <c r="O385" i="2"/>
  <c r="N440" i="1"/>
  <c r="J453" i="1"/>
  <c r="L457" i="1"/>
  <c r="O347" i="5"/>
  <c r="I186" i="1"/>
  <c r="I371" i="1"/>
  <c r="K371" i="1" s="1"/>
  <c r="L59" i="1"/>
  <c r="K401" i="3"/>
  <c r="K417" i="3"/>
  <c r="K464" i="3"/>
  <c r="K112" i="4"/>
  <c r="K164" i="4"/>
  <c r="L333" i="4"/>
  <c r="L331" i="4" s="1"/>
  <c r="L329" i="4" s="1"/>
  <c r="K345" i="4"/>
  <c r="N32" i="4"/>
  <c r="N30" i="4" s="1"/>
  <c r="K418" i="4"/>
  <c r="M292" i="9"/>
  <c r="P292" i="9" s="1"/>
  <c r="P294" i="9"/>
  <c r="J483" i="1"/>
  <c r="J487" i="1"/>
  <c r="J341" i="1"/>
  <c r="N349" i="1"/>
  <c r="N389" i="1"/>
  <c r="N405" i="1"/>
  <c r="J422" i="1"/>
  <c r="N438" i="1"/>
  <c r="J451" i="1"/>
  <c r="N459" i="1"/>
  <c r="J469" i="1"/>
  <c r="J477" i="1"/>
  <c r="I418" i="1"/>
  <c r="I472" i="1"/>
  <c r="K472" i="1" s="1"/>
  <c r="I509" i="1"/>
  <c r="K509" i="1" s="1"/>
  <c r="J217" i="1"/>
  <c r="N331" i="2"/>
  <c r="N329" i="2" s="1"/>
  <c r="O437" i="2"/>
  <c r="K450" i="2"/>
  <c r="K64" i="3"/>
  <c r="J508" i="1"/>
  <c r="P254" i="11"/>
  <c r="K631" i="11"/>
  <c r="K235" i="13"/>
  <c r="K595" i="13"/>
  <c r="K618" i="13"/>
  <c r="P98" i="14"/>
  <c r="O352" i="16"/>
  <c r="K547" i="16"/>
  <c r="O580" i="3"/>
  <c r="O584" i="3"/>
  <c r="P45" i="4"/>
  <c r="K176" i="4"/>
  <c r="K213" i="4"/>
  <c r="J266" i="1"/>
  <c r="K328" i="5"/>
  <c r="K401" i="5"/>
  <c r="K425" i="5"/>
  <c r="K464" i="5"/>
  <c r="J78" i="1"/>
  <c r="I93" i="1"/>
  <c r="K93" i="1" s="1"/>
  <c r="L99" i="1"/>
  <c r="J170" i="1"/>
  <c r="J202" i="1"/>
  <c r="I219" i="1"/>
  <c r="J232" i="1"/>
  <c r="J238" i="1"/>
  <c r="J245" i="1"/>
  <c r="K267" i="6"/>
  <c r="J281" i="1"/>
  <c r="J322" i="1"/>
  <c r="J366" i="1"/>
  <c r="N382" i="1"/>
  <c r="O404" i="6"/>
  <c r="J450" i="1"/>
  <c r="J455" i="1"/>
  <c r="J476" i="1"/>
  <c r="J484" i="1"/>
  <c r="J236" i="1"/>
  <c r="K368" i="8"/>
  <c r="N68" i="9"/>
  <c r="N66" i="9" s="1"/>
  <c r="O337" i="9"/>
  <c r="K423" i="9"/>
  <c r="O564" i="10"/>
  <c r="K611" i="10"/>
  <c r="O566" i="12"/>
  <c r="O597" i="12"/>
  <c r="K635" i="12"/>
  <c r="L314" i="13"/>
  <c r="L312" i="13" s="1"/>
  <c r="O312" i="13" s="1"/>
  <c r="K350" i="13"/>
  <c r="K423" i="13"/>
  <c r="L98" i="14"/>
  <c r="O98" i="14" s="1"/>
  <c r="K341" i="14"/>
  <c r="K345" i="14"/>
  <c r="K430" i="14"/>
  <c r="K435" i="14"/>
  <c r="K380" i="16"/>
  <c r="K267" i="17"/>
  <c r="K343" i="17"/>
  <c r="K397" i="18"/>
  <c r="K430" i="18"/>
  <c r="K497" i="18"/>
  <c r="I324" i="1"/>
  <c r="J545" i="1"/>
  <c r="I573" i="1"/>
  <c r="J340" i="1"/>
  <c r="P45" i="6"/>
  <c r="K110" i="7"/>
  <c r="K455" i="7"/>
  <c r="K464" i="7"/>
  <c r="K420" i="8"/>
  <c r="K428" i="8"/>
  <c r="K449" i="8"/>
  <c r="K474" i="8"/>
  <c r="K345" i="10"/>
  <c r="K473" i="11"/>
  <c r="K595" i="11"/>
  <c r="P122" i="12"/>
  <c r="K199" i="12"/>
  <c r="M312" i="12"/>
  <c r="P312" i="12" s="1"/>
  <c r="K328" i="12"/>
  <c r="K341" i="12"/>
  <c r="K345" i="12"/>
  <c r="O349" i="12"/>
  <c r="P98" i="13"/>
  <c r="K615" i="14"/>
  <c r="P57" i="16"/>
  <c r="L333" i="16"/>
  <c r="O333" i="16" s="1"/>
  <c r="K464" i="16"/>
  <c r="K589" i="16"/>
  <c r="K597" i="16"/>
  <c r="K593" i="18"/>
  <c r="J479" i="1"/>
  <c r="J241" i="1"/>
  <c r="J249" i="1"/>
  <c r="N252" i="4"/>
  <c r="N250" i="4" s="1"/>
  <c r="J263" i="1"/>
  <c r="N292" i="4"/>
  <c r="N290" i="4" s="1"/>
  <c r="K377" i="4"/>
  <c r="K112" i="5"/>
  <c r="K465" i="5"/>
  <c r="K597" i="5"/>
  <c r="L294" i="6"/>
  <c r="L292" i="6" s="1"/>
  <c r="K164" i="7"/>
  <c r="K173" i="8"/>
  <c r="K216" i="8"/>
  <c r="K200" i="9"/>
  <c r="K343" i="9"/>
  <c r="K424" i="9"/>
  <c r="K398" i="10"/>
  <c r="K285" i="11"/>
  <c r="K350" i="11"/>
  <c r="O406" i="11"/>
  <c r="K423" i="11"/>
  <c r="K564" i="12"/>
  <c r="K613" i="12"/>
  <c r="K628" i="12"/>
  <c r="P45" i="13"/>
  <c r="N142" i="13"/>
  <c r="N140" i="13" s="1"/>
  <c r="N31" i="13"/>
  <c r="N29" i="13" s="1"/>
  <c r="O535" i="13"/>
  <c r="K593" i="13"/>
  <c r="K109" i="14"/>
  <c r="K80" i="15"/>
  <c r="K88" i="15"/>
  <c r="K200" i="17"/>
  <c r="K417" i="17"/>
  <c r="O380" i="18"/>
  <c r="O533" i="18"/>
  <c r="O537" i="18"/>
  <c r="J199" i="1"/>
  <c r="K380" i="5"/>
  <c r="K65" i="7"/>
  <c r="N68" i="7"/>
  <c r="N66" i="7" s="1"/>
  <c r="N96" i="7"/>
  <c r="N94" i="7" s="1"/>
  <c r="K481" i="7"/>
  <c r="K497" i="7"/>
  <c r="K634" i="7"/>
  <c r="N31" i="8"/>
  <c r="N29" i="8" s="1"/>
  <c r="K421" i="8"/>
  <c r="K429" i="8"/>
  <c r="O582" i="9"/>
  <c r="O599" i="9"/>
  <c r="N120" i="10"/>
  <c r="N118" i="10" s="1"/>
  <c r="N142" i="10"/>
  <c r="N140" i="10" s="1"/>
  <c r="P140" i="10" s="1"/>
  <c r="K630" i="10"/>
  <c r="N68" i="11"/>
  <c r="N66" i="11" s="1"/>
  <c r="K562" i="11"/>
  <c r="K189" i="12"/>
  <c r="K200" i="12"/>
  <c r="P337" i="12"/>
  <c r="K350" i="12"/>
  <c r="O354" i="12"/>
  <c r="N43" i="13"/>
  <c r="N41" i="13" s="1"/>
  <c r="K628" i="14"/>
  <c r="N292" i="16"/>
  <c r="N290" i="16" s="1"/>
  <c r="K419" i="16"/>
  <c r="K427" i="16"/>
  <c r="K431" i="16"/>
  <c r="O435" i="16"/>
  <c r="O566" i="16"/>
  <c r="M96" i="17"/>
  <c r="M94" i="17" s="1"/>
  <c r="N555" i="1"/>
  <c r="N588" i="1"/>
  <c r="K624" i="3"/>
  <c r="K138" i="4"/>
  <c r="N142" i="5"/>
  <c r="N140" i="5" s="1"/>
  <c r="P140" i="5" s="1"/>
  <c r="M220" i="5"/>
  <c r="J517" i="1"/>
  <c r="J521" i="1"/>
  <c r="J529" i="1"/>
  <c r="K429" i="9"/>
  <c r="K455" i="9"/>
  <c r="L31" i="10"/>
  <c r="O31" i="10" s="1"/>
  <c r="K328" i="11"/>
  <c r="N331" i="11"/>
  <c r="N329" i="11" s="1"/>
  <c r="K428" i="11"/>
  <c r="N292" i="12"/>
  <c r="N290" i="12" s="1"/>
  <c r="P333" i="13"/>
  <c r="K340" i="13"/>
  <c r="K349" i="13"/>
  <c r="K424" i="14"/>
  <c r="K432" i="14"/>
  <c r="K449" i="14"/>
  <c r="L31" i="15"/>
  <c r="L29" i="15" s="1"/>
  <c r="O29" i="15" s="1"/>
  <c r="L45" i="15"/>
  <c r="L43" i="15" s="1"/>
  <c r="N252" i="16"/>
  <c r="N250" i="16" s="1"/>
  <c r="K92" i="17"/>
  <c r="K455" i="17"/>
  <c r="K629" i="17"/>
  <c r="L98" i="18"/>
  <c r="O98" i="18" s="1"/>
  <c r="N556" i="1"/>
  <c r="N43" i="4"/>
  <c r="N41" i="4" s="1"/>
  <c r="K229" i="4"/>
  <c r="K265" i="4"/>
  <c r="K270" i="4"/>
  <c r="O535" i="4"/>
  <c r="K562" i="4"/>
  <c r="K398" i="5"/>
  <c r="K573" i="5"/>
  <c r="K449" i="6"/>
  <c r="O564" i="6"/>
  <c r="O568" i="6"/>
  <c r="K575" i="6"/>
  <c r="J628" i="1"/>
  <c r="K350" i="7"/>
  <c r="K376" i="7"/>
  <c r="K431" i="7"/>
  <c r="K474" i="7"/>
  <c r="O601" i="7"/>
  <c r="K631" i="7"/>
  <c r="N273" i="8"/>
  <c r="N271" i="8" s="1"/>
  <c r="N331" i="8"/>
  <c r="N329" i="8" s="1"/>
  <c r="O383" i="8"/>
  <c r="L57" i="9"/>
  <c r="L55" i="9" s="1"/>
  <c r="P224" i="9"/>
  <c r="K401" i="9"/>
  <c r="K562" i="9"/>
  <c r="K630" i="9"/>
  <c r="K634" i="9"/>
  <c r="K499" i="10"/>
  <c r="P57" i="11"/>
  <c r="N273" i="11"/>
  <c r="N271" i="11" s="1"/>
  <c r="L333" i="11"/>
  <c r="L331" i="11" s="1"/>
  <c r="L329" i="11" s="1"/>
  <c r="O329" i="11" s="1"/>
  <c r="K349" i="11"/>
  <c r="O352" i="11"/>
  <c r="K401" i="11"/>
  <c r="O404" i="11"/>
  <c r="O537" i="11"/>
  <c r="O566" i="11"/>
  <c r="O584" i="11"/>
  <c r="K564" i="13"/>
  <c r="O601" i="13"/>
  <c r="K110" i="14"/>
  <c r="L254" i="14"/>
  <c r="L252" i="14" s="1"/>
  <c r="K328" i="14"/>
  <c r="P333" i="14"/>
  <c r="K340" i="14"/>
  <c r="K417" i="14"/>
  <c r="K421" i="14"/>
  <c r="O535" i="14"/>
  <c r="K589" i="14"/>
  <c r="K138" i="15"/>
  <c r="L144" i="15"/>
  <c r="L142" i="15" s="1"/>
  <c r="K189" i="15"/>
  <c r="N31" i="15"/>
  <c r="N29" i="15" s="1"/>
  <c r="O564" i="15"/>
  <c r="L144" i="16"/>
  <c r="O144" i="16" s="1"/>
  <c r="K173" i="16"/>
  <c r="M250" i="16"/>
  <c r="P250" i="16" s="1"/>
  <c r="L254" i="16"/>
  <c r="O254" i="16" s="1"/>
  <c r="K628" i="16"/>
  <c r="K266" i="17"/>
  <c r="O401" i="17"/>
  <c r="K418" i="17"/>
  <c r="K422" i="17"/>
  <c r="K426" i="17"/>
  <c r="K435" i="17"/>
  <c r="K306" i="18"/>
  <c r="K401" i="18"/>
  <c r="K421" i="18"/>
  <c r="K450" i="18"/>
  <c r="P294" i="3"/>
  <c r="M292" i="3"/>
  <c r="M290" i="3" s="1"/>
  <c r="P290" i="3" s="1"/>
  <c r="I88" i="1"/>
  <c r="I289" i="1"/>
  <c r="L318" i="1"/>
  <c r="O318" i="1" s="1"/>
  <c r="I469" i="1"/>
  <c r="K469" i="1" s="1"/>
  <c r="I480" i="1"/>
  <c r="K480" i="1" s="1"/>
  <c r="I560" i="1"/>
  <c r="K486" i="2"/>
  <c r="I486" i="1"/>
  <c r="K486" i="1" s="1"/>
  <c r="J282" i="1"/>
  <c r="J289" i="1"/>
  <c r="L49" i="1"/>
  <c r="J65" i="1"/>
  <c r="J593" i="1"/>
  <c r="K108" i="6"/>
  <c r="K133" i="6"/>
  <c r="K216" i="7"/>
  <c r="L335" i="1"/>
  <c r="I450" i="1"/>
  <c r="I503" i="1"/>
  <c r="K503" i="1" s="1"/>
  <c r="J105" i="1"/>
  <c r="J110" i="1"/>
  <c r="K216" i="2"/>
  <c r="K630" i="2"/>
  <c r="I630" i="1"/>
  <c r="I634" i="1"/>
  <c r="L98" i="3"/>
  <c r="O98" i="3" s="1"/>
  <c r="K264" i="3"/>
  <c r="K562" i="3"/>
  <c r="K589" i="3"/>
  <c r="I613" i="1"/>
  <c r="I621" i="1"/>
  <c r="K630" i="3"/>
  <c r="K634" i="3"/>
  <c r="L57" i="4"/>
  <c r="O57" i="4" s="1"/>
  <c r="L98" i="4"/>
  <c r="O98" i="4" s="1"/>
  <c r="L294" i="5"/>
  <c r="L292" i="5" s="1"/>
  <c r="O459" i="5"/>
  <c r="K423" i="8"/>
  <c r="O435" i="8"/>
  <c r="O439" i="8"/>
  <c r="K564" i="4"/>
  <c r="I564" i="1"/>
  <c r="I496" i="1"/>
  <c r="K496" i="1" s="1"/>
  <c r="J344" i="1"/>
  <c r="N442" i="1"/>
  <c r="O601" i="2"/>
  <c r="L601" i="1"/>
  <c r="J621" i="1"/>
  <c r="J80" i="1"/>
  <c r="O536" i="3"/>
  <c r="L536" i="1"/>
  <c r="O536" i="1" s="1"/>
  <c r="N583" i="1"/>
  <c r="N600" i="1"/>
  <c r="J491" i="1"/>
  <c r="I173" i="1"/>
  <c r="I189" i="1"/>
  <c r="O566" i="5"/>
  <c r="L34" i="8"/>
  <c r="I488" i="1"/>
  <c r="K488" i="1" s="1"/>
  <c r="J82" i="1"/>
  <c r="I377" i="1"/>
  <c r="N357" i="1"/>
  <c r="J365" i="1"/>
  <c r="J370" i="1"/>
  <c r="N410" i="1"/>
  <c r="K464" i="4"/>
  <c r="K619" i="6"/>
  <c r="K628" i="6"/>
  <c r="K632" i="6"/>
  <c r="L33" i="8"/>
  <c r="O33" i="8" s="1"/>
  <c r="L74" i="1"/>
  <c r="L405" i="1"/>
  <c r="O405" i="1" s="1"/>
  <c r="I422" i="1"/>
  <c r="I229" i="1"/>
  <c r="L279" i="1"/>
  <c r="O279" i="1" s="1"/>
  <c r="J431" i="1"/>
  <c r="I464" i="1"/>
  <c r="I477" i="1"/>
  <c r="K477" i="1" s="1"/>
  <c r="I551" i="1"/>
  <c r="K133" i="2"/>
  <c r="I149" i="1"/>
  <c r="J159" i="1"/>
  <c r="J176" i="1"/>
  <c r="N224" i="1"/>
  <c r="J302" i="1"/>
  <c r="I309" i="1"/>
  <c r="J371" i="1"/>
  <c r="J375" i="1"/>
  <c r="I507" i="1"/>
  <c r="K507" i="1" s="1"/>
  <c r="K575" i="2"/>
  <c r="I575" i="1"/>
  <c r="I592" i="1"/>
  <c r="K592" i="1" s="1"/>
  <c r="K614" i="2"/>
  <c r="I611" i="1"/>
  <c r="J349" i="1"/>
  <c r="J399" i="1"/>
  <c r="K635" i="7"/>
  <c r="J171" i="1"/>
  <c r="J187" i="1"/>
  <c r="J219" i="1"/>
  <c r="L315" i="1"/>
  <c r="O555" i="2"/>
  <c r="N568" i="1"/>
  <c r="K341" i="4"/>
  <c r="N34" i="5"/>
  <c r="N14" i="5" s="1"/>
  <c r="L537" i="1"/>
  <c r="I65" i="1"/>
  <c r="I244" i="1"/>
  <c r="K244" i="1" s="1"/>
  <c r="L353" i="1"/>
  <c r="O353" i="1" s="1"/>
  <c r="L582" i="1"/>
  <c r="J128" i="1"/>
  <c r="J134" i="1"/>
  <c r="J182" i="1"/>
  <c r="J188" i="1"/>
  <c r="K481" i="2"/>
  <c r="K504" i="2"/>
  <c r="I504" i="1"/>
  <c r="K504" i="1" s="1"/>
  <c r="K615" i="2"/>
  <c r="K375" i="3"/>
  <c r="N387" i="1"/>
  <c r="J396" i="1"/>
  <c r="K249" i="4"/>
  <c r="K429" i="6"/>
  <c r="O437" i="6"/>
  <c r="K450" i="6"/>
  <c r="K455" i="6"/>
  <c r="K345" i="5"/>
  <c r="O439" i="5"/>
  <c r="L224" i="6"/>
  <c r="O224" i="6" s="1"/>
  <c r="L294" i="7"/>
  <c r="L292" i="7" s="1"/>
  <c r="J76" i="1"/>
  <c r="J173" i="1"/>
  <c r="J184" i="1"/>
  <c r="J200" i="1"/>
  <c r="K270" i="2"/>
  <c r="I304" i="1"/>
  <c r="L337" i="1"/>
  <c r="M337" i="1" s="1"/>
  <c r="J345" i="1"/>
  <c r="N358" i="1"/>
  <c r="I401" i="1"/>
  <c r="O404" i="2"/>
  <c r="N409" i="1"/>
  <c r="K417" i="2"/>
  <c r="K421" i="2"/>
  <c r="J424" i="1"/>
  <c r="K432" i="2"/>
  <c r="N457" i="1"/>
  <c r="J504" i="1"/>
  <c r="I516" i="1"/>
  <c r="I520" i="1"/>
  <c r="I524" i="1"/>
  <c r="I528" i="1"/>
  <c r="I532" i="1"/>
  <c r="O535" i="2"/>
  <c r="N582" i="1"/>
  <c r="I623" i="1"/>
  <c r="K626" i="2"/>
  <c r="J631" i="1"/>
  <c r="J157" i="1"/>
  <c r="N252" i="3"/>
  <c r="N250" i="3" s="1"/>
  <c r="L275" i="3"/>
  <c r="L273" i="3" s="1"/>
  <c r="L271" i="3" s="1"/>
  <c r="K368" i="3"/>
  <c r="K372" i="3"/>
  <c r="K376" i="3"/>
  <c r="O380" i="3"/>
  <c r="K397" i="3"/>
  <c r="O455" i="3"/>
  <c r="K185" i="4"/>
  <c r="L254" i="4"/>
  <c r="O254" i="4" s="1"/>
  <c r="O380" i="4"/>
  <c r="K398" i="4"/>
  <c r="K402" i="4"/>
  <c r="K419" i="4"/>
  <c r="K423" i="4"/>
  <c r="K591" i="4"/>
  <c r="K632" i="4"/>
  <c r="K111" i="5"/>
  <c r="N33" i="5"/>
  <c r="N13" i="5" s="1"/>
  <c r="O533" i="5"/>
  <c r="P275" i="6"/>
  <c r="K372" i="6"/>
  <c r="O406" i="6"/>
  <c r="K419" i="6"/>
  <c r="K612" i="6"/>
  <c r="P74" i="7"/>
  <c r="N31" i="7"/>
  <c r="O385" i="7"/>
  <c r="K449" i="7"/>
  <c r="L70" i="8"/>
  <c r="O70" i="8" s="1"/>
  <c r="K215" i="8"/>
  <c r="K369" i="9"/>
  <c r="I367" i="9"/>
  <c r="K367" i="9" s="1"/>
  <c r="N33" i="9"/>
  <c r="N13" i="9" s="1"/>
  <c r="N55" i="5"/>
  <c r="N53" i="5" s="1"/>
  <c r="K617" i="5"/>
  <c r="N34" i="6"/>
  <c r="N14" i="6" s="1"/>
  <c r="N222" i="7"/>
  <c r="N220" i="7" s="1"/>
  <c r="M98" i="1"/>
  <c r="J106" i="1"/>
  <c r="J261" i="1"/>
  <c r="N318" i="1"/>
  <c r="J326" i="1"/>
  <c r="O337" i="2"/>
  <c r="J342" i="1"/>
  <c r="J346" i="1"/>
  <c r="N33" i="2"/>
  <c r="N13" i="2" s="1"/>
  <c r="J361" i="1"/>
  <c r="J380" i="1"/>
  <c r="J412" i="1"/>
  <c r="J425" i="1"/>
  <c r="J434" i="1"/>
  <c r="N437" i="1"/>
  <c r="J464" i="1"/>
  <c r="J505" i="1"/>
  <c r="L553" i="1"/>
  <c r="N558" i="1"/>
  <c r="J589" i="1"/>
  <c r="N605" i="1"/>
  <c r="I343" i="1"/>
  <c r="O459" i="3"/>
  <c r="K499" i="3"/>
  <c r="O537" i="3"/>
  <c r="N96" i="4"/>
  <c r="N94" i="4" s="1"/>
  <c r="K626" i="4"/>
  <c r="K343" i="5"/>
  <c r="K397" i="5"/>
  <c r="N43" i="6"/>
  <c r="N41" i="6" s="1"/>
  <c r="K164" i="6"/>
  <c r="L31" i="6"/>
  <c r="O31" i="6" s="1"/>
  <c r="K498" i="6"/>
  <c r="K634" i="6"/>
  <c r="K564" i="7"/>
  <c r="K630" i="7"/>
  <c r="K81" i="8"/>
  <c r="L122" i="8"/>
  <c r="O122" i="8" s="1"/>
  <c r="K164" i="8"/>
  <c r="K396" i="8"/>
  <c r="N43" i="2"/>
  <c r="N41" i="2" s="1"/>
  <c r="J64" i="1"/>
  <c r="J79" i="1"/>
  <c r="J83" i="1"/>
  <c r="J117" i="1"/>
  <c r="J196" i="1"/>
  <c r="P224" i="2"/>
  <c r="J287" i="1"/>
  <c r="J397" i="1"/>
  <c r="N401" i="1"/>
  <c r="J418" i="1"/>
  <c r="K451" i="2"/>
  <c r="J472" i="1"/>
  <c r="N536" i="1"/>
  <c r="J544" i="1"/>
  <c r="J550" i="1"/>
  <c r="N559" i="1"/>
  <c r="J577" i="1"/>
  <c r="L584" i="1"/>
  <c r="L600" i="1"/>
  <c r="O600" i="1" s="1"/>
  <c r="J607" i="1"/>
  <c r="J620" i="1"/>
  <c r="J328" i="1"/>
  <c r="K573" i="3"/>
  <c r="M26" i="5"/>
  <c r="M16" i="5" s="1"/>
  <c r="O380" i="5"/>
  <c r="O437" i="7"/>
  <c r="K369" i="10"/>
  <c r="I367" i="10"/>
  <c r="K367" i="10" s="1"/>
  <c r="O553" i="10"/>
  <c r="L32" i="10"/>
  <c r="L30" i="10" s="1"/>
  <c r="N22" i="13"/>
  <c r="P70" i="17"/>
  <c r="M68" i="17"/>
  <c r="P68" i="17" s="1"/>
  <c r="N31" i="18"/>
  <c r="N29" i="18" s="1"/>
  <c r="J376" i="1"/>
  <c r="N380" i="1"/>
  <c r="J391" i="1"/>
  <c r="J414" i="1"/>
  <c r="K419" i="2"/>
  <c r="J426" i="1"/>
  <c r="J430" i="1"/>
  <c r="J446" i="1"/>
  <c r="J465" i="1"/>
  <c r="J480" i="1"/>
  <c r="J488" i="1"/>
  <c r="J499" i="1"/>
  <c r="I518" i="1"/>
  <c r="I522" i="1"/>
  <c r="I526" i="1"/>
  <c r="I530" i="1"/>
  <c r="K551" i="2"/>
  <c r="K560" i="2"/>
  <c r="K573" i="2"/>
  <c r="I578" i="1"/>
  <c r="K578" i="1" s="1"/>
  <c r="J590" i="1"/>
  <c r="I617" i="1"/>
  <c r="J107" i="1"/>
  <c r="J111" i="1"/>
  <c r="N120" i="3"/>
  <c r="N118" i="3" s="1"/>
  <c r="J308" i="1"/>
  <c r="M314" i="1"/>
  <c r="P333" i="3"/>
  <c r="K340" i="3"/>
  <c r="K420" i="3"/>
  <c r="K449" i="3"/>
  <c r="O568" i="3"/>
  <c r="K87" i="4"/>
  <c r="K93" i="4"/>
  <c r="P98" i="4"/>
  <c r="K199" i="4"/>
  <c r="K285" i="4"/>
  <c r="K396" i="4"/>
  <c r="K498" i="4"/>
  <c r="K113" i="5"/>
  <c r="K340" i="5"/>
  <c r="K430" i="5"/>
  <c r="K435" i="5"/>
  <c r="N31" i="5"/>
  <c r="N29" i="5" s="1"/>
  <c r="K580" i="5"/>
  <c r="K612" i="5"/>
  <c r="K425" i="6"/>
  <c r="N142" i="7"/>
  <c r="N140" i="7" s="1"/>
  <c r="K397" i="7"/>
  <c r="O401" i="7"/>
  <c r="K418" i="7"/>
  <c r="K422" i="7"/>
  <c r="K426" i="7"/>
  <c r="K465" i="7"/>
  <c r="K547" i="7"/>
  <c r="L254" i="8"/>
  <c r="O254" i="8" s="1"/>
  <c r="K264" i="8"/>
  <c r="K375" i="8"/>
  <c r="K430" i="8"/>
  <c r="K611" i="8"/>
  <c r="K628" i="8"/>
  <c r="O439" i="9"/>
  <c r="O601" i="9"/>
  <c r="K621" i="9"/>
  <c r="M43" i="10"/>
  <c r="M41" i="10" s="1"/>
  <c r="K285" i="10"/>
  <c r="K426" i="10"/>
  <c r="K435" i="10"/>
  <c r="N142" i="11"/>
  <c r="P142" i="11" s="1"/>
  <c r="K158" i="11"/>
  <c r="K176" i="11"/>
  <c r="K186" i="11"/>
  <c r="K377" i="11"/>
  <c r="K420" i="11"/>
  <c r="K466" i="11"/>
  <c r="K481" i="11"/>
  <c r="K580" i="11"/>
  <c r="K593" i="11"/>
  <c r="K630" i="11"/>
  <c r="K117" i="12"/>
  <c r="K158" i="12"/>
  <c r="K267" i="12"/>
  <c r="K375" i="12"/>
  <c r="K117" i="13"/>
  <c r="K158" i="13"/>
  <c r="K372" i="13"/>
  <c r="O380" i="13"/>
  <c r="N33" i="13"/>
  <c r="N13" i="13" s="1"/>
  <c r="K398" i="13"/>
  <c r="K427" i="13"/>
  <c r="K625" i="13"/>
  <c r="K634" i="13"/>
  <c r="N120" i="14"/>
  <c r="N118" i="14" s="1"/>
  <c r="K482" i="14"/>
  <c r="K219" i="15"/>
  <c r="L24" i="16"/>
  <c r="O24" i="16" s="1"/>
  <c r="K377" i="16"/>
  <c r="K381" i="16"/>
  <c r="L32" i="16"/>
  <c r="L30" i="16" s="1"/>
  <c r="K111" i="17"/>
  <c r="K82" i="18"/>
  <c r="K149" i="18"/>
  <c r="K267" i="18"/>
  <c r="O457" i="8"/>
  <c r="O568" i="8"/>
  <c r="O584" i="9"/>
  <c r="L34" i="10"/>
  <c r="K560" i="10"/>
  <c r="O597" i="10"/>
  <c r="K65" i="11"/>
  <c r="K149" i="11"/>
  <c r="O354" i="13"/>
  <c r="K416" i="14"/>
  <c r="O457" i="14"/>
  <c r="K624" i="14"/>
  <c r="K629" i="14"/>
  <c r="K199" i="15"/>
  <c r="L314" i="15"/>
  <c r="L312" i="15" s="1"/>
  <c r="K350" i="15"/>
  <c r="K466" i="15"/>
  <c r="P57" i="17"/>
  <c r="K108" i="17"/>
  <c r="K349" i="17"/>
  <c r="K87" i="18"/>
  <c r="K93" i="18"/>
  <c r="M96" i="18"/>
  <c r="M94" i="18" s="1"/>
  <c r="O349" i="18"/>
  <c r="K380" i="18"/>
  <c r="O437" i="18"/>
  <c r="K616" i="8"/>
  <c r="K633" i="8"/>
  <c r="K328" i="9"/>
  <c r="K340" i="9"/>
  <c r="K173" i="10"/>
  <c r="K431" i="10"/>
  <c r="O457" i="11"/>
  <c r="K482" i="11"/>
  <c r="O601" i="11"/>
  <c r="L98" i="12"/>
  <c r="O98" i="12" s="1"/>
  <c r="K108" i="12"/>
  <c r="K112" i="12"/>
  <c r="K149" i="13"/>
  <c r="K219" i="13"/>
  <c r="K416" i="13"/>
  <c r="K449" i="13"/>
  <c r="K611" i="13"/>
  <c r="K615" i="13"/>
  <c r="K631" i="13"/>
  <c r="L32" i="14"/>
  <c r="L30" i="14" s="1"/>
  <c r="N273" i="17"/>
  <c r="N271" i="17" s="1"/>
  <c r="N142" i="18"/>
  <c r="N140" i="18" s="1"/>
  <c r="P140" i="18" s="1"/>
  <c r="L254" i="18"/>
  <c r="L252" i="18" s="1"/>
  <c r="K309" i="18"/>
  <c r="K350" i="18"/>
  <c r="K422" i="18"/>
  <c r="K426" i="18"/>
  <c r="K464" i="18"/>
  <c r="K580" i="8"/>
  <c r="N55" i="9"/>
  <c r="N53" i="9" s="1"/>
  <c r="M273" i="9"/>
  <c r="P273" i="9" s="1"/>
  <c r="K380" i="9"/>
  <c r="N55" i="10"/>
  <c r="N53" i="10" s="1"/>
  <c r="K65" i="10"/>
  <c r="P98" i="10"/>
  <c r="O403" i="10"/>
  <c r="K591" i="10"/>
  <c r="K619" i="10"/>
  <c r="N96" i="11"/>
  <c r="N94" i="11" s="1"/>
  <c r="P144" i="11"/>
  <c r="L224" i="11"/>
  <c r="L222" i="11" s="1"/>
  <c r="K421" i="11"/>
  <c r="K401" i="13"/>
  <c r="O404" i="13"/>
  <c r="K497" i="13"/>
  <c r="K580" i="13"/>
  <c r="K628" i="13"/>
  <c r="K396" i="14"/>
  <c r="O404" i="14"/>
  <c r="K563" i="14"/>
  <c r="K81" i="15"/>
  <c r="K533" i="15"/>
  <c r="O597" i="15"/>
  <c r="K65" i="16"/>
  <c r="N68" i="16"/>
  <c r="N66" i="16" s="1"/>
  <c r="N222" i="16"/>
  <c r="N220" i="16" s="1"/>
  <c r="K285" i="16"/>
  <c r="K375" i="16"/>
  <c r="N33" i="16"/>
  <c r="N13" i="16" s="1"/>
  <c r="I367" i="17"/>
  <c r="K367" i="17" s="1"/>
  <c r="K416" i="17"/>
  <c r="K431" i="17"/>
  <c r="N273" i="18"/>
  <c r="N271" i="18" s="1"/>
  <c r="K547" i="18"/>
  <c r="O401" i="9"/>
  <c r="N32" i="9"/>
  <c r="N30" i="9" s="1"/>
  <c r="K380" i="10"/>
  <c r="K417" i="10"/>
  <c r="O568" i="10"/>
  <c r="K498" i="11"/>
  <c r="K564" i="11"/>
  <c r="K619" i="11"/>
  <c r="K628" i="11"/>
  <c r="P102" i="12"/>
  <c r="K113" i="12"/>
  <c r="N33" i="12"/>
  <c r="N13" i="12" s="1"/>
  <c r="N26" i="13"/>
  <c r="N16" i="13" s="1"/>
  <c r="N312" i="14"/>
  <c r="N310" i="14" s="1"/>
  <c r="I367" i="14"/>
  <c r="K367" i="14" s="1"/>
  <c r="K616" i="15"/>
  <c r="N55" i="16"/>
  <c r="N53" i="16" s="1"/>
  <c r="O566" i="17"/>
  <c r="L294" i="18"/>
  <c r="O294" i="18" s="1"/>
  <c r="K304" i="18"/>
  <c r="O406" i="18"/>
  <c r="O564" i="18"/>
  <c r="K630" i="18"/>
  <c r="O584" i="8"/>
  <c r="P122" i="11"/>
  <c r="K426" i="11"/>
  <c r="N55" i="13"/>
  <c r="N53" i="13" s="1"/>
  <c r="L294" i="13"/>
  <c r="O294" i="13" s="1"/>
  <c r="O437" i="13"/>
  <c r="K199" i="14"/>
  <c r="O349" i="14"/>
  <c r="K591" i="14"/>
  <c r="K635" i="14"/>
  <c r="P275" i="15"/>
  <c r="O537" i="15"/>
  <c r="K628" i="15"/>
  <c r="K199" i="16"/>
  <c r="K350" i="16"/>
  <c r="K368" i="16"/>
  <c r="O601" i="16"/>
  <c r="K497" i="17"/>
  <c r="K370" i="18"/>
  <c r="O459" i="8"/>
  <c r="K499" i="8"/>
  <c r="K547" i="8"/>
  <c r="K573" i="8"/>
  <c r="K591" i="8"/>
  <c r="K595" i="8"/>
  <c r="K618" i="8"/>
  <c r="N273" i="9"/>
  <c r="N271" i="9" s="1"/>
  <c r="L314" i="9"/>
  <c r="O314" i="9" s="1"/>
  <c r="K376" i="9"/>
  <c r="K589" i="9"/>
  <c r="K597" i="9"/>
  <c r="N26" i="10"/>
  <c r="N16" i="10" s="1"/>
  <c r="K270" i="10"/>
  <c r="N273" i="10"/>
  <c r="N271" i="10" s="1"/>
  <c r="L294" i="10"/>
  <c r="L292" i="10" s="1"/>
  <c r="O380" i="10"/>
  <c r="K418" i="10"/>
  <c r="O61" i="11"/>
  <c r="K85" i="11"/>
  <c r="K368" i="11"/>
  <c r="K419" i="11"/>
  <c r="K427" i="11"/>
  <c r="K499" i="11"/>
  <c r="O568" i="11"/>
  <c r="O599" i="11"/>
  <c r="K629" i="11"/>
  <c r="K110" i="12"/>
  <c r="N34" i="12"/>
  <c r="N14" i="12" s="1"/>
  <c r="K416" i="12"/>
  <c r="N32" i="13"/>
  <c r="N30" i="13" s="1"/>
  <c r="O401" i="13"/>
  <c r="K533" i="13"/>
  <c r="O566" i="13"/>
  <c r="O584" i="13"/>
  <c r="K419" i="14"/>
  <c r="O555" i="14"/>
  <c r="O568" i="14"/>
  <c r="O582" i="14"/>
  <c r="K285" i="15"/>
  <c r="K345" i="15"/>
  <c r="O349" i="15"/>
  <c r="K397" i="15"/>
  <c r="O401" i="15"/>
  <c r="K422" i="15"/>
  <c r="K430" i="15"/>
  <c r="O455" i="15"/>
  <c r="O459" i="15"/>
  <c r="K547" i="15"/>
  <c r="O568" i="15"/>
  <c r="K189" i="16"/>
  <c r="K200" i="16"/>
  <c r="K618" i="16"/>
  <c r="L224" i="17"/>
  <c r="O224" i="17" s="1"/>
  <c r="P254" i="17"/>
  <c r="O437" i="17"/>
  <c r="K498" i="17"/>
  <c r="O533" i="17"/>
  <c r="K573" i="17"/>
  <c r="K113" i="18"/>
  <c r="K158" i="18"/>
  <c r="K420" i="18"/>
  <c r="K466" i="18"/>
  <c r="K591" i="18"/>
  <c r="J264" i="1"/>
  <c r="J432" i="1"/>
  <c r="I594" i="1"/>
  <c r="K594" i="1" s="1"/>
  <c r="P70" i="2"/>
  <c r="J209" i="1"/>
  <c r="L228" i="1"/>
  <c r="O228" i="1" s="1"/>
  <c r="K235" i="2"/>
  <c r="K343" i="2"/>
  <c r="K564" i="2"/>
  <c r="N22" i="3"/>
  <c r="J218" i="1"/>
  <c r="J265" i="1"/>
  <c r="J270" i="1"/>
  <c r="J284" i="1"/>
  <c r="K343" i="3"/>
  <c r="I199" i="1"/>
  <c r="I346" i="1"/>
  <c r="K346" i="1" s="1"/>
  <c r="L458" i="1"/>
  <c r="O458" i="1" s="1"/>
  <c r="I495" i="1"/>
  <c r="K495" i="1" s="1"/>
  <c r="N22" i="2"/>
  <c r="L23" i="2"/>
  <c r="O23" i="2" s="1"/>
  <c r="I84" i="1"/>
  <c r="N96" i="2"/>
  <c r="N94" i="2" s="1"/>
  <c r="L146" i="1"/>
  <c r="K164" i="2"/>
  <c r="J174" i="1"/>
  <c r="K189" i="2"/>
  <c r="J210" i="1"/>
  <c r="J216" i="1"/>
  <c r="J269" i="1"/>
  <c r="J85" i="1"/>
  <c r="J89" i="1"/>
  <c r="K109" i="3"/>
  <c r="L123" i="1"/>
  <c r="J131" i="1"/>
  <c r="K138" i="3"/>
  <c r="K149" i="3"/>
  <c r="K219" i="3"/>
  <c r="N222" i="3"/>
  <c r="P222" i="3" s="1"/>
  <c r="I92" i="1"/>
  <c r="I215" i="1"/>
  <c r="I479" i="1"/>
  <c r="K479" i="1" s="1"/>
  <c r="I485" i="1"/>
  <c r="K485" i="1" s="1"/>
  <c r="N26" i="2"/>
  <c r="N16" i="2" s="1"/>
  <c r="P98" i="2"/>
  <c r="I201" i="1"/>
  <c r="N55" i="3"/>
  <c r="N53" i="3" s="1"/>
  <c r="J237" i="1"/>
  <c r="I514" i="1"/>
  <c r="K514" i="1" s="1"/>
  <c r="L33" i="2"/>
  <c r="O33" i="2" s="1"/>
  <c r="K84" i="2"/>
  <c r="L98" i="2"/>
  <c r="O98" i="2" s="1"/>
  <c r="K324" i="2"/>
  <c r="K341" i="2"/>
  <c r="K402" i="2"/>
  <c r="K427" i="2"/>
  <c r="O455" i="2"/>
  <c r="K498" i="2"/>
  <c r="K562" i="2"/>
  <c r="K65" i="3"/>
  <c r="P70" i="3"/>
  <c r="K110" i="3"/>
  <c r="P144" i="3"/>
  <c r="O352" i="3"/>
  <c r="N32" i="5"/>
  <c r="N30" i="5" s="1"/>
  <c r="N144" i="1"/>
  <c r="L552" i="1"/>
  <c r="O552" i="1" s="1"/>
  <c r="I597" i="1"/>
  <c r="N61" i="1"/>
  <c r="J262" i="1"/>
  <c r="L277" i="1"/>
  <c r="J374" i="1"/>
  <c r="K466" i="2"/>
  <c r="K473" i="2"/>
  <c r="K533" i="2"/>
  <c r="K580" i="2"/>
  <c r="K589" i="2"/>
  <c r="N26" i="3"/>
  <c r="N16" i="3" s="1"/>
  <c r="P254" i="3"/>
  <c r="K345" i="3"/>
  <c r="K416" i="3"/>
  <c r="K424" i="3"/>
  <c r="L436" i="1"/>
  <c r="O436" i="1" s="1"/>
  <c r="K219" i="2"/>
  <c r="N252" i="2"/>
  <c r="N250" i="2" s="1"/>
  <c r="K304" i="2"/>
  <c r="K563" i="2"/>
  <c r="O566" i="2"/>
  <c r="K611" i="2"/>
  <c r="K631" i="2"/>
  <c r="K635" i="2"/>
  <c r="K80" i="3"/>
  <c r="K93" i="3"/>
  <c r="P98" i="3"/>
  <c r="L254" i="3"/>
  <c r="O254" i="3" s="1"/>
  <c r="K328" i="3"/>
  <c r="N331" i="3"/>
  <c r="N329" i="3" s="1"/>
  <c r="N386" i="1"/>
  <c r="K396" i="3"/>
  <c r="J428" i="1"/>
  <c r="M142" i="4"/>
  <c r="M140" i="4" s="1"/>
  <c r="P144" i="4"/>
  <c r="I185" i="1"/>
  <c r="N404" i="1"/>
  <c r="I417" i="1"/>
  <c r="P57" i="2"/>
  <c r="J155" i="1"/>
  <c r="J215" i="1"/>
  <c r="J234" i="1"/>
  <c r="L256" i="1"/>
  <c r="I372" i="1"/>
  <c r="K396" i="2"/>
  <c r="J401" i="1"/>
  <c r="J417" i="1"/>
  <c r="N436" i="1"/>
  <c r="J597" i="1"/>
  <c r="K628" i="2"/>
  <c r="K632" i="2"/>
  <c r="P45" i="3"/>
  <c r="K88" i="3"/>
  <c r="K158" i="3"/>
  <c r="K229" i="3"/>
  <c r="K426" i="4"/>
  <c r="K547" i="3"/>
  <c r="J580" i="1"/>
  <c r="J77" i="1"/>
  <c r="J132" i="1"/>
  <c r="N222" i="4"/>
  <c r="P222" i="4" s="1"/>
  <c r="K430" i="4"/>
  <c r="N43" i="5"/>
  <c r="N41" i="5" s="1"/>
  <c r="O102" i="5"/>
  <c r="K149" i="5"/>
  <c r="O404" i="5"/>
  <c r="K428" i="5"/>
  <c r="K635" i="5"/>
  <c r="P57" i="6"/>
  <c r="K65" i="6"/>
  <c r="N96" i="6"/>
  <c r="N94" i="6" s="1"/>
  <c r="K111" i="6"/>
  <c r="K132" i="6"/>
  <c r="P254" i="6"/>
  <c r="K340" i="6"/>
  <c r="N31" i="6"/>
  <c r="N11" i="6" s="1"/>
  <c r="N9" i="6" s="1"/>
  <c r="K377" i="6"/>
  <c r="O385" i="6"/>
  <c r="K427" i="6"/>
  <c r="N312" i="7"/>
  <c r="N310" i="7" s="1"/>
  <c r="L32" i="7"/>
  <c r="L30" i="7" s="1"/>
  <c r="O566" i="7"/>
  <c r="K580" i="7"/>
  <c r="K617" i="7"/>
  <c r="P45" i="8"/>
  <c r="K80" i="8"/>
  <c r="K133" i="8"/>
  <c r="K189" i="8"/>
  <c r="K200" i="8"/>
  <c r="K266" i="8"/>
  <c r="N22" i="11"/>
  <c r="N572" i="1"/>
  <c r="K593" i="3"/>
  <c r="K629" i="3"/>
  <c r="K92" i="4"/>
  <c r="O102" i="4"/>
  <c r="K204" i="4"/>
  <c r="N331" i="4"/>
  <c r="N329" i="4" s="1"/>
  <c r="K427" i="4"/>
  <c r="O551" i="4"/>
  <c r="K92" i="5"/>
  <c r="M96" i="5"/>
  <c r="M94" i="5" s="1"/>
  <c r="L314" i="5"/>
  <c r="L312" i="5" s="1"/>
  <c r="K341" i="5"/>
  <c r="O401" i="5"/>
  <c r="O457" i="5"/>
  <c r="K589" i="5"/>
  <c r="K84" i="6"/>
  <c r="K93" i="6"/>
  <c r="L98" i="6"/>
  <c r="O98" i="6" s="1"/>
  <c r="L254" i="6"/>
  <c r="O254" i="6" s="1"/>
  <c r="K349" i="6"/>
  <c r="O352" i="6"/>
  <c r="K370" i="6"/>
  <c r="K424" i="6"/>
  <c r="K474" i="6"/>
  <c r="L45" i="7"/>
  <c r="O45" i="7" s="1"/>
  <c r="P102" i="7"/>
  <c r="K109" i="7"/>
  <c r="K380" i="7"/>
  <c r="O404" i="7"/>
  <c r="K421" i="7"/>
  <c r="K482" i="7"/>
  <c r="N43" i="8"/>
  <c r="N41" i="8" s="1"/>
  <c r="K88" i="8"/>
  <c r="K111" i="8"/>
  <c r="K158" i="8"/>
  <c r="K201" i="8"/>
  <c r="K267" i="8"/>
  <c r="K285" i="8"/>
  <c r="P57" i="9"/>
  <c r="M22" i="9"/>
  <c r="M12" i="9" s="1"/>
  <c r="N31" i="9"/>
  <c r="K473" i="10"/>
  <c r="K432" i="3"/>
  <c r="J447" i="1"/>
  <c r="O535" i="3"/>
  <c r="O564" i="3"/>
  <c r="K65" i="4"/>
  <c r="K109" i="4"/>
  <c r="K189" i="4"/>
  <c r="K200" i="4"/>
  <c r="K266" i="4"/>
  <c r="L275" i="4"/>
  <c r="O275" i="4" s="1"/>
  <c r="K343" i="4"/>
  <c r="K368" i="4"/>
  <c r="K372" i="4"/>
  <c r="K376" i="4"/>
  <c r="O401" i="4"/>
  <c r="K417" i="4"/>
  <c r="K420" i="4"/>
  <c r="O459" i="4"/>
  <c r="K465" i="4"/>
  <c r="O564" i="4"/>
  <c r="K110" i="5"/>
  <c r="K381" i="5"/>
  <c r="O385" i="5"/>
  <c r="O580" i="5"/>
  <c r="K112" i="6"/>
  <c r="K149" i="6"/>
  <c r="L333" i="6"/>
  <c r="O333" i="6" s="1"/>
  <c r="K341" i="6"/>
  <c r="K401" i="6"/>
  <c r="K432" i="6"/>
  <c r="K497" i="6"/>
  <c r="P57" i="7"/>
  <c r="K86" i="7"/>
  <c r="K573" i="7"/>
  <c r="O580" i="7"/>
  <c r="M142" i="8"/>
  <c r="M140" i="8" s="1"/>
  <c r="M68" i="9"/>
  <c r="P68" i="9" s="1"/>
  <c r="P70" i="9"/>
  <c r="N222" i="10"/>
  <c r="N220" i="10" s="1"/>
  <c r="N22" i="10"/>
  <c r="K264" i="12"/>
  <c r="K369" i="13"/>
  <c r="I367" i="13"/>
  <c r="K367" i="13" s="1"/>
  <c r="K533" i="6"/>
  <c r="K92" i="7"/>
  <c r="K149" i="7"/>
  <c r="O354" i="7"/>
  <c r="O380" i="7"/>
  <c r="K435" i="7"/>
  <c r="K112" i="8"/>
  <c r="K229" i="8"/>
  <c r="J608" i="1"/>
  <c r="K80" i="4"/>
  <c r="P333" i="4"/>
  <c r="K173" i="5"/>
  <c r="K426" i="5"/>
  <c r="O584" i="5"/>
  <c r="K345" i="6"/>
  <c r="K421" i="6"/>
  <c r="O457" i="6"/>
  <c r="L32" i="6"/>
  <c r="L30" i="6" s="1"/>
  <c r="K398" i="7"/>
  <c r="K402" i="7"/>
  <c r="K451" i="7"/>
  <c r="O455" i="7"/>
  <c r="O459" i="7"/>
  <c r="K498" i="7"/>
  <c r="O568" i="7"/>
  <c r="K593" i="7"/>
  <c r="P57" i="8"/>
  <c r="K82" i="8"/>
  <c r="P122" i="8"/>
  <c r="K138" i="8"/>
  <c r="K219" i="8"/>
  <c r="L23" i="10"/>
  <c r="O23" i="10" s="1"/>
  <c r="N31" i="10"/>
  <c r="O457" i="3"/>
  <c r="O582" i="3"/>
  <c r="J591" i="1"/>
  <c r="K595" i="3"/>
  <c r="O597" i="3"/>
  <c r="O601" i="3"/>
  <c r="K631" i="3"/>
  <c r="K635" i="3"/>
  <c r="K110" i="4"/>
  <c r="N142" i="4"/>
  <c r="N140" i="4" s="1"/>
  <c r="K533" i="4"/>
  <c r="K117" i="5"/>
  <c r="O455" i="5"/>
  <c r="K562" i="5"/>
  <c r="K630" i="5"/>
  <c r="P144" i="6"/>
  <c r="K266" i="6"/>
  <c r="L314" i="6"/>
  <c r="O314" i="6" s="1"/>
  <c r="K350" i="6"/>
  <c r="K464" i="6"/>
  <c r="O537" i="6"/>
  <c r="L70" i="7"/>
  <c r="O70" i="7" s="1"/>
  <c r="P98" i="7"/>
  <c r="K204" i="7"/>
  <c r="K341" i="8"/>
  <c r="K426" i="3"/>
  <c r="O437" i="3"/>
  <c r="K450" i="3"/>
  <c r="K455" i="3"/>
  <c r="J514" i="1"/>
  <c r="O533" i="3"/>
  <c r="K563" i="3"/>
  <c r="K111" i="4"/>
  <c r="K149" i="4"/>
  <c r="M294" i="1"/>
  <c r="L352" i="1"/>
  <c r="N356" i="1"/>
  <c r="I374" i="1"/>
  <c r="K381" i="4"/>
  <c r="O406" i="4"/>
  <c r="K422" i="4"/>
  <c r="K450" i="4"/>
  <c r="K455" i="4"/>
  <c r="N462" i="1"/>
  <c r="O553" i="4"/>
  <c r="K563" i="4"/>
  <c r="O566" i="4"/>
  <c r="K589" i="4"/>
  <c r="N68" i="5"/>
  <c r="N66" i="5" s="1"/>
  <c r="I367" i="5"/>
  <c r="K367" i="5" s="1"/>
  <c r="O383" i="5"/>
  <c r="O535" i="5"/>
  <c r="O601" i="5"/>
  <c r="K625" i="5"/>
  <c r="K634" i="5"/>
  <c r="K110" i="6"/>
  <c r="P122" i="6"/>
  <c r="L144" i="6"/>
  <c r="O144" i="6" s="1"/>
  <c r="K200" i="6"/>
  <c r="N292" i="6"/>
  <c r="N290" i="6" s="1"/>
  <c r="K376" i="6"/>
  <c r="O380" i="6"/>
  <c r="N33" i="6"/>
  <c r="N13" i="6" s="1"/>
  <c r="K630" i="6"/>
  <c r="K621" i="7"/>
  <c r="P70" i="8"/>
  <c r="K132" i="8"/>
  <c r="N292" i="8"/>
  <c r="N290" i="8" s="1"/>
  <c r="N312" i="8"/>
  <c r="N310" i="8" s="1"/>
  <c r="O552" i="9"/>
  <c r="L31" i="9"/>
  <c r="L11" i="9" s="1"/>
  <c r="O347" i="10"/>
  <c r="N34" i="10"/>
  <c r="N14" i="10" s="1"/>
  <c r="K562" i="10"/>
  <c r="O457" i="12"/>
  <c r="L32" i="12"/>
  <c r="L30" i="12" s="1"/>
  <c r="N26" i="5"/>
  <c r="N16" i="5" s="1"/>
  <c r="N68" i="6"/>
  <c r="N66" i="6" s="1"/>
  <c r="K465" i="6"/>
  <c r="K473" i="6"/>
  <c r="K547" i="6"/>
  <c r="K597" i="6"/>
  <c r="N55" i="7"/>
  <c r="P55" i="7" s="1"/>
  <c r="K81" i="7"/>
  <c r="K112" i="7"/>
  <c r="K341" i="7"/>
  <c r="K428" i="7"/>
  <c r="K466" i="7"/>
  <c r="K473" i="7"/>
  <c r="K625" i="7"/>
  <c r="K93" i="8"/>
  <c r="P314" i="8"/>
  <c r="P337" i="13"/>
  <c r="M26" i="13"/>
  <c r="M16" i="13" s="1"/>
  <c r="P148" i="15"/>
  <c r="M26" i="15"/>
  <c r="L275" i="15"/>
  <c r="O275" i="15" s="1"/>
  <c r="L23" i="15"/>
  <c r="O23" i="15" s="1"/>
  <c r="M312" i="15"/>
  <c r="M310" i="15" s="1"/>
  <c r="P310" i="15" s="1"/>
  <c r="P314" i="15"/>
  <c r="K402" i="8"/>
  <c r="K418" i="8"/>
  <c r="K432" i="8"/>
  <c r="O537" i="8"/>
  <c r="K158" i="9"/>
  <c r="O347" i="9"/>
  <c r="K397" i="9"/>
  <c r="O404" i="9"/>
  <c r="K417" i="9"/>
  <c r="K421" i="9"/>
  <c r="K428" i="9"/>
  <c r="K449" i="9"/>
  <c r="K473" i="9"/>
  <c r="K481" i="9"/>
  <c r="O535" i="9"/>
  <c r="P74" i="10"/>
  <c r="K81" i="10"/>
  <c r="P294" i="10"/>
  <c r="K427" i="10"/>
  <c r="O439" i="10"/>
  <c r="K466" i="10"/>
  <c r="K634" i="10"/>
  <c r="K201" i="11"/>
  <c r="K267" i="11"/>
  <c r="N312" i="11"/>
  <c r="N310" i="11" s="1"/>
  <c r="K416" i="11"/>
  <c r="O437" i="11"/>
  <c r="K497" i="11"/>
  <c r="K632" i="11"/>
  <c r="L122" i="12"/>
  <c r="L120" i="12" s="1"/>
  <c r="L118" i="12" s="1"/>
  <c r="L275" i="12"/>
  <c r="L273" i="12" s="1"/>
  <c r="L271" i="12" s="1"/>
  <c r="K340" i="12"/>
  <c r="K349" i="12"/>
  <c r="O352" i="12"/>
  <c r="K427" i="12"/>
  <c r="K431" i="12"/>
  <c r="K482" i="12"/>
  <c r="O535" i="12"/>
  <c r="K631" i="12"/>
  <c r="N34" i="13"/>
  <c r="N14" i="13" s="1"/>
  <c r="L275" i="13"/>
  <c r="O275" i="13" s="1"/>
  <c r="K341" i="13"/>
  <c r="K402" i="13"/>
  <c r="K422" i="13"/>
  <c r="K430" i="13"/>
  <c r="O533" i="13"/>
  <c r="K635" i="13"/>
  <c r="L45" i="14"/>
  <c r="L43" i="14" s="1"/>
  <c r="K149" i="14"/>
  <c r="K285" i="14"/>
  <c r="O383" i="14"/>
  <c r="O352" i="15"/>
  <c r="L32" i="15"/>
  <c r="O383" i="17"/>
  <c r="L33" i="18"/>
  <c r="O33" i="18" s="1"/>
  <c r="K563" i="18"/>
  <c r="P294" i="18"/>
  <c r="N292" i="18"/>
  <c r="N290" i="18" s="1"/>
  <c r="K422" i="8"/>
  <c r="O568" i="9"/>
  <c r="N252" i="10"/>
  <c r="N250" i="10" s="1"/>
  <c r="K449" i="10"/>
  <c r="O457" i="10"/>
  <c r="K481" i="10"/>
  <c r="O582" i="10"/>
  <c r="K631" i="10"/>
  <c r="L314" i="11"/>
  <c r="O314" i="11" s="1"/>
  <c r="K417" i="11"/>
  <c r="L33" i="12"/>
  <c r="O33" i="12" s="1"/>
  <c r="N68" i="12"/>
  <c r="N66" i="12" s="1"/>
  <c r="K92" i="12"/>
  <c r="K229" i="12"/>
  <c r="O349" i="13"/>
  <c r="O455" i="13"/>
  <c r="K465" i="13"/>
  <c r="O537" i="13"/>
  <c r="O580" i="13"/>
  <c r="N26" i="14"/>
  <c r="N16" i="14" s="1"/>
  <c r="L70" i="14"/>
  <c r="O70" i="14" s="1"/>
  <c r="O385" i="16"/>
  <c r="N34" i="16"/>
  <c r="N14" i="16" s="1"/>
  <c r="N32" i="17"/>
  <c r="N30" i="17" s="1"/>
  <c r="K340" i="8"/>
  <c r="O347" i="8"/>
  <c r="K435" i="8"/>
  <c r="K481" i="8"/>
  <c r="O535" i="8"/>
  <c r="K612" i="8"/>
  <c r="K631" i="8"/>
  <c r="K634" i="8"/>
  <c r="K199" i="9"/>
  <c r="K219" i="9"/>
  <c r="N222" i="9"/>
  <c r="N220" i="9" s="1"/>
  <c r="K341" i="9"/>
  <c r="K345" i="9"/>
  <c r="K402" i="9"/>
  <c r="K632" i="9"/>
  <c r="L254" i="10"/>
  <c r="O254" i="10" s="1"/>
  <c r="N331" i="10"/>
  <c r="N329" i="10" s="1"/>
  <c r="O401" i="10"/>
  <c r="K474" i="10"/>
  <c r="K497" i="10"/>
  <c r="O533" i="10"/>
  <c r="L32" i="11"/>
  <c r="L30" i="11" s="1"/>
  <c r="L45" i="11"/>
  <c r="O45" i="11" s="1"/>
  <c r="P70" i="11"/>
  <c r="K219" i="11"/>
  <c r="O354" i="11"/>
  <c r="K380" i="11"/>
  <c r="K465" i="11"/>
  <c r="K573" i="11"/>
  <c r="L23" i="12"/>
  <c r="O23" i="12" s="1"/>
  <c r="N55" i="12"/>
  <c r="N53" i="12" s="1"/>
  <c r="N120" i="12"/>
  <c r="N118" i="12" s="1"/>
  <c r="K265" i="12"/>
  <c r="K401" i="12"/>
  <c r="P144" i="13"/>
  <c r="N331" i="13"/>
  <c r="N329" i="13" s="1"/>
  <c r="K377" i="13"/>
  <c r="O435" i="13"/>
  <c r="K466" i="13"/>
  <c r="K93" i="14"/>
  <c r="K108" i="14"/>
  <c r="K229" i="14"/>
  <c r="K618" i="14"/>
  <c r="K612" i="16"/>
  <c r="K619" i="16"/>
  <c r="N43" i="17"/>
  <c r="N41" i="17" s="1"/>
  <c r="N22" i="17"/>
  <c r="N31" i="17"/>
  <c r="N29" i="17" s="1"/>
  <c r="O567" i="17"/>
  <c r="L33" i="17"/>
  <c r="O33" i="17" s="1"/>
  <c r="N22" i="9"/>
  <c r="K464" i="9"/>
  <c r="O533" i="9"/>
  <c r="K593" i="9"/>
  <c r="K595" i="10"/>
  <c r="K628" i="10"/>
  <c r="K533" i="11"/>
  <c r="O597" i="11"/>
  <c r="L45" i="12"/>
  <c r="L43" i="12" s="1"/>
  <c r="K93" i="12"/>
  <c r="K164" i="12"/>
  <c r="N312" i="12"/>
  <c r="N310" i="12" s="1"/>
  <c r="O383" i="12"/>
  <c r="K397" i="12"/>
  <c r="K418" i="12"/>
  <c r="K422" i="12"/>
  <c r="K455" i="12"/>
  <c r="K499" i="12"/>
  <c r="O533" i="12"/>
  <c r="L33" i="13"/>
  <c r="O33" i="13" s="1"/>
  <c r="N68" i="13"/>
  <c r="N66" i="13" s="1"/>
  <c r="K620" i="13"/>
  <c r="O384" i="15"/>
  <c r="L33" i="15"/>
  <c r="O33" i="15" s="1"/>
  <c r="N96" i="17"/>
  <c r="N94" i="17" s="1"/>
  <c r="K349" i="8"/>
  <c r="K376" i="8"/>
  <c r="K416" i="8"/>
  <c r="K498" i="8"/>
  <c r="K615" i="8"/>
  <c r="P45" i="9"/>
  <c r="L70" i="9"/>
  <c r="L68" i="9" s="1"/>
  <c r="O68" i="9" s="1"/>
  <c r="N142" i="9"/>
  <c r="N140" i="9" s="1"/>
  <c r="L224" i="9"/>
  <c r="O224" i="9" s="1"/>
  <c r="K430" i="9"/>
  <c r="K633" i="9"/>
  <c r="L45" i="10"/>
  <c r="L43" i="10" s="1"/>
  <c r="L41" i="10" s="1"/>
  <c r="N68" i="10"/>
  <c r="N66" i="10" s="1"/>
  <c r="L333" i="10"/>
  <c r="O333" i="10" s="1"/>
  <c r="K402" i="10"/>
  <c r="K455" i="10"/>
  <c r="K173" i="11"/>
  <c r="K343" i="11"/>
  <c r="O347" i="11"/>
  <c r="K376" i="11"/>
  <c r="O380" i="11"/>
  <c r="P254" i="12"/>
  <c r="K630" i="12"/>
  <c r="L24" i="13"/>
  <c r="O24" i="13" s="1"/>
  <c r="P122" i="13"/>
  <c r="K200" i="13"/>
  <c r="P275" i="13"/>
  <c r="K328" i="13"/>
  <c r="K474" i="13"/>
  <c r="K591" i="13"/>
  <c r="O597" i="13"/>
  <c r="K629" i="13"/>
  <c r="L122" i="14"/>
  <c r="O122" i="14" s="1"/>
  <c r="K164" i="14"/>
  <c r="N222" i="14"/>
  <c r="N220" i="14" s="1"/>
  <c r="P220" i="14" s="1"/>
  <c r="N31" i="16"/>
  <c r="N29" i="16" s="1"/>
  <c r="O533" i="8"/>
  <c r="K589" i="8"/>
  <c r="K593" i="8"/>
  <c r="K597" i="8"/>
  <c r="L98" i="9"/>
  <c r="L96" i="9" s="1"/>
  <c r="K173" i="9"/>
  <c r="L254" i="9"/>
  <c r="O254" i="9" s="1"/>
  <c r="N292" i="9"/>
  <c r="N290" i="9" s="1"/>
  <c r="K368" i="9"/>
  <c r="K396" i="9"/>
  <c r="K416" i="9"/>
  <c r="L70" i="10"/>
  <c r="L68" i="10" s="1"/>
  <c r="K80" i="10"/>
  <c r="O337" i="10"/>
  <c r="K381" i="10"/>
  <c r="O459" i="10"/>
  <c r="K465" i="10"/>
  <c r="O551" i="10"/>
  <c r="K589" i="10"/>
  <c r="K132" i="11"/>
  <c r="L144" i="11"/>
  <c r="O144" i="11" s="1"/>
  <c r="K340" i="11"/>
  <c r="N31" i="11"/>
  <c r="N29" i="11" s="1"/>
  <c r="K398" i="11"/>
  <c r="K402" i="11"/>
  <c r="K422" i="11"/>
  <c r="K449" i="11"/>
  <c r="O533" i="11"/>
  <c r="O582" i="11"/>
  <c r="N26" i="12"/>
  <c r="N16" i="12" s="1"/>
  <c r="L224" i="12"/>
  <c r="O224" i="12" s="1"/>
  <c r="L314" i="12"/>
  <c r="L312" i="12" s="1"/>
  <c r="K343" i="12"/>
  <c r="O380" i="12"/>
  <c r="K398" i="12"/>
  <c r="O406" i="12"/>
  <c r="K435" i="12"/>
  <c r="P57" i="13"/>
  <c r="N120" i="13"/>
  <c r="N118" i="13" s="1"/>
  <c r="K164" i="13"/>
  <c r="K380" i="13"/>
  <c r="O383" i="13"/>
  <c r="K421" i="13"/>
  <c r="K425" i="13"/>
  <c r="K429" i="13"/>
  <c r="K499" i="13"/>
  <c r="K562" i="13"/>
  <c r="K619" i="13"/>
  <c r="K113" i="14"/>
  <c r="K158" i="14"/>
  <c r="P224" i="14"/>
  <c r="L294" i="14"/>
  <c r="O294" i="14" s="1"/>
  <c r="N26" i="15"/>
  <c r="N16" i="15" s="1"/>
  <c r="M96" i="15"/>
  <c r="P96" i="15" s="1"/>
  <c r="P98" i="15"/>
  <c r="K235" i="15"/>
  <c r="K343" i="15"/>
  <c r="L34" i="15"/>
  <c r="O385" i="15"/>
  <c r="K265" i="17"/>
  <c r="N331" i="14"/>
  <c r="N329" i="14" s="1"/>
  <c r="K422" i="14"/>
  <c r="K426" i="14"/>
  <c r="K499" i="14"/>
  <c r="K560" i="14"/>
  <c r="K573" i="14"/>
  <c r="K593" i="14"/>
  <c r="O599" i="14"/>
  <c r="P45" i="15"/>
  <c r="K64" i="15"/>
  <c r="N96" i="15"/>
  <c r="N94" i="15" s="1"/>
  <c r="K149" i="15"/>
  <c r="K229" i="15"/>
  <c r="N292" i="15"/>
  <c r="N290" i="15" s="1"/>
  <c r="K381" i="15"/>
  <c r="K402" i="15"/>
  <c r="K419" i="15"/>
  <c r="K81" i="16"/>
  <c r="K219" i="16"/>
  <c r="K270" i="16"/>
  <c r="K425" i="16"/>
  <c r="K466" i="16"/>
  <c r="K481" i="16"/>
  <c r="O533" i="16"/>
  <c r="O582" i="16"/>
  <c r="K611" i="16"/>
  <c r="K635" i="16"/>
  <c r="L70" i="17"/>
  <c r="L68" i="17" s="1"/>
  <c r="O68" i="17" s="1"/>
  <c r="K93" i="17"/>
  <c r="P98" i="17"/>
  <c r="P144" i="17"/>
  <c r="M252" i="17"/>
  <c r="M250" i="17" s="1"/>
  <c r="N292" i="17"/>
  <c r="N290" i="17" s="1"/>
  <c r="M312" i="17"/>
  <c r="P312" i="17" s="1"/>
  <c r="P333" i="17"/>
  <c r="K340" i="17"/>
  <c r="O380" i="17"/>
  <c r="K420" i="17"/>
  <c r="K423" i="17"/>
  <c r="K427" i="17"/>
  <c r="O555" i="17"/>
  <c r="O564" i="17"/>
  <c r="O601" i="17"/>
  <c r="K634" i="17"/>
  <c r="N55" i="18"/>
  <c r="N53" i="18" s="1"/>
  <c r="K80" i="18"/>
  <c r="N96" i="18"/>
  <c r="N94" i="18" s="1"/>
  <c r="L275" i="18"/>
  <c r="O275" i="18" s="1"/>
  <c r="K396" i="18"/>
  <c r="K431" i="18"/>
  <c r="K465" i="18"/>
  <c r="K473" i="18"/>
  <c r="K573" i="18"/>
  <c r="O580" i="18"/>
  <c r="K597" i="18"/>
  <c r="K619" i="14"/>
  <c r="N43" i="15"/>
  <c r="N41" i="15" s="1"/>
  <c r="N331" i="17"/>
  <c r="N329" i="17" s="1"/>
  <c r="L24" i="18"/>
  <c r="O24" i="18" s="1"/>
  <c r="O314" i="18"/>
  <c r="K349" i="14"/>
  <c r="O455" i="14"/>
  <c r="O580" i="14"/>
  <c r="K612" i="14"/>
  <c r="P57" i="15"/>
  <c r="N33" i="15"/>
  <c r="N13" i="15" s="1"/>
  <c r="K418" i="16"/>
  <c r="K426" i="16"/>
  <c r="O437" i="16"/>
  <c r="O457" i="16"/>
  <c r="K564" i="16"/>
  <c r="K593" i="16"/>
  <c r="K112" i="17"/>
  <c r="N33" i="17"/>
  <c r="N13" i="17" s="1"/>
  <c r="K482" i="17"/>
  <c r="K635" i="17"/>
  <c r="O347" i="18"/>
  <c r="O354" i="18"/>
  <c r="K376" i="18"/>
  <c r="L32" i="18"/>
  <c r="L30" i="18" s="1"/>
  <c r="K432" i="18"/>
  <c r="K562" i="18"/>
  <c r="N32" i="14"/>
  <c r="N30" i="14" s="1"/>
  <c r="K370" i="14"/>
  <c r="K420" i="14"/>
  <c r="K466" i="14"/>
  <c r="K473" i="14"/>
  <c r="O564" i="14"/>
  <c r="N120" i="15"/>
  <c r="N118" i="15" s="1"/>
  <c r="K173" i="15"/>
  <c r="K200" i="15"/>
  <c r="K270" i="15"/>
  <c r="K368" i="15"/>
  <c r="K375" i="15"/>
  <c r="O404" i="15"/>
  <c r="O435" i="15"/>
  <c r="O439" i="15"/>
  <c r="K482" i="15"/>
  <c r="K633" i="15"/>
  <c r="K158" i="16"/>
  <c r="K349" i="16"/>
  <c r="K370" i="16"/>
  <c r="K398" i="16"/>
  <c r="K402" i="16"/>
  <c r="K423" i="16"/>
  <c r="K497" i="16"/>
  <c r="K133" i="17"/>
  <c r="N252" i="17"/>
  <c r="N250" i="17" s="1"/>
  <c r="N312" i="17"/>
  <c r="N310" i="17" s="1"/>
  <c r="K370" i="17"/>
  <c r="O385" i="17"/>
  <c r="K425" i="17"/>
  <c r="K432" i="17"/>
  <c r="O459" i="17"/>
  <c r="K562" i="17"/>
  <c r="K632" i="17"/>
  <c r="K235" i="18"/>
  <c r="K562" i="14"/>
  <c r="K620" i="14"/>
  <c r="K623" i="14"/>
  <c r="L122" i="15"/>
  <c r="O122" i="15" s="1"/>
  <c r="K216" i="15"/>
  <c r="K425" i="15"/>
  <c r="K432" i="15"/>
  <c r="K497" i="15"/>
  <c r="K597" i="15"/>
  <c r="L98" i="16"/>
  <c r="O98" i="16" s="1"/>
  <c r="K235" i="16"/>
  <c r="K341" i="16"/>
  <c r="O564" i="16"/>
  <c r="O584" i="16"/>
  <c r="K629" i="16"/>
  <c r="K633" i="16"/>
  <c r="N55" i="17"/>
  <c r="N53" i="17" s="1"/>
  <c r="P102" i="17"/>
  <c r="K229" i="17"/>
  <c r="K264" i="17"/>
  <c r="K350" i="17"/>
  <c r="K429" i="17"/>
  <c r="K563" i="17"/>
  <c r="K622" i="17"/>
  <c r="L144" i="18"/>
  <c r="L142" i="18" s="1"/>
  <c r="K173" i="18"/>
  <c r="K264" i="18"/>
  <c r="K289" i="18"/>
  <c r="O401" i="18"/>
  <c r="K417" i="18"/>
  <c r="K425" i="18"/>
  <c r="K429" i="18"/>
  <c r="O457" i="18"/>
  <c r="O582" i="18"/>
  <c r="O601" i="18"/>
  <c r="K368" i="14"/>
  <c r="O380" i="14"/>
  <c r="K397" i="14"/>
  <c r="O401" i="14"/>
  <c r="K429" i="14"/>
  <c r="O437" i="14"/>
  <c r="K481" i="14"/>
  <c r="O566" i="14"/>
  <c r="K82" i="15"/>
  <c r="K133" i="15"/>
  <c r="K164" i="15"/>
  <c r="P254" i="15"/>
  <c r="K328" i="15"/>
  <c r="K564" i="15"/>
  <c r="L70" i="16"/>
  <c r="O70" i="16" s="1"/>
  <c r="K80" i="16"/>
  <c r="K84" i="16"/>
  <c r="K149" i="16"/>
  <c r="K345" i="16"/>
  <c r="K396" i="16"/>
  <c r="K432" i="16"/>
  <c r="K499" i="16"/>
  <c r="K562" i="16"/>
  <c r="K595" i="16"/>
  <c r="K634" i="16"/>
  <c r="K110" i="17"/>
  <c r="K149" i="17"/>
  <c r="N222" i="17"/>
  <c r="N220" i="17" s="1"/>
  <c r="O347" i="17"/>
  <c r="N34" i="17"/>
  <c r="N14" i="17" s="1"/>
  <c r="K368" i="17"/>
  <c r="K375" i="17"/>
  <c r="K380" i="17"/>
  <c r="K401" i="17"/>
  <c r="K430" i="17"/>
  <c r="K473" i="17"/>
  <c r="K597" i="17"/>
  <c r="K110" i="18"/>
  <c r="K270" i="18"/>
  <c r="K341" i="18"/>
  <c r="K345" i="18"/>
  <c r="K381" i="18"/>
  <c r="O385" i="18"/>
  <c r="K418" i="18"/>
  <c r="K435" i="18"/>
  <c r="O566" i="18"/>
  <c r="K580" i="18"/>
  <c r="O102" i="3"/>
  <c r="M102" i="3"/>
  <c r="M26" i="3" s="1"/>
  <c r="I80" i="1"/>
  <c r="N337" i="1"/>
  <c r="L45" i="2"/>
  <c r="O45" i="2" s="1"/>
  <c r="P144" i="2"/>
  <c r="K149" i="2"/>
  <c r="L314" i="2"/>
  <c r="L312" i="2" s="1"/>
  <c r="K328" i="2"/>
  <c r="O383" i="2"/>
  <c r="K401" i="2"/>
  <c r="O406" i="2"/>
  <c r="K423" i="2"/>
  <c r="K430" i="2"/>
  <c r="K455" i="2"/>
  <c r="K618" i="2"/>
  <c r="K113" i="3"/>
  <c r="L122" i="3"/>
  <c r="O122" i="3" s="1"/>
  <c r="J231" i="1"/>
  <c r="K380" i="3"/>
  <c r="K425" i="3"/>
  <c r="K428" i="3"/>
  <c r="J561" i="1"/>
  <c r="K219" i="4"/>
  <c r="K435" i="4"/>
  <c r="L102" i="1"/>
  <c r="I396" i="1"/>
  <c r="I580" i="1"/>
  <c r="M55" i="2"/>
  <c r="M53" i="2" s="1"/>
  <c r="M222" i="2"/>
  <c r="M220" i="2" s="1"/>
  <c r="O228" i="2"/>
  <c r="K309" i="2"/>
  <c r="P314" i="2"/>
  <c r="K342" i="2"/>
  <c r="K372" i="2"/>
  <c r="J113" i="1"/>
  <c r="M331" i="4"/>
  <c r="P337" i="4"/>
  <c r="O584" i="4"/>
  <c r="L34" i="4"/>
  <c r="O582" i="5"/>
  <c r="L32" i="5"/>
  <c r="L30" i="5" s="1"/>
  <c r="I481" i="1"/>
  <c r="N55" i="2"/>
  <c r="N53" i="2" s="1"/>
  <c r="P122" i="2"/>
  <c r="K173" i="2"/>
  <c r="K229" i="2"/>
  <c r="K340" i="2"/>
  <c r="K465" i="2"/>
  <c r="O580" i="2"/>
  <c r="J86" i="1"/>
  <c r="J162" i="1"/>
  <c r="L314" i="3"/>
  <c r="O49" i="4"/>
  <c r="M49" i="4"/>
  <c r="P49" i="4" s="1"/>
  <c r="L26" i="4"/>
  <c r="L16" i="4" s="1"/>
  <c r="I249" i="1"/>
  <c r="N254" i="1"/>
  <c r="I452" i="1"/>
  <c r="K452" i="1" s="1"/>
  <c r="L564" i="1"/>
  <c r="K424" i="2"/>
  <c r="J497" i="1"/>
  <c r="N551" i="1"/>
  <c r="I561" i="1"/>
  <c r="K622" i="2"/>
  <c r="K624" i="2"/>
  <c r="K621" i="2"/>
  <c r="K623" i="2"/>
  <c r="K620" i="2"/>
  <c r="J467" i="1"/>
  <c r="M252" i="4"/>
  <c r="P254" i="4"/>
  <c r="O581" i="4"/>
  <c r="L31" i="4"/>
  <c r="L29" i="4" s="1"/>
  <c r="P294" i="4"/>
  <c r="M292" i="4"/>
  <c r="P292" i="4" s="1"/>
  <c r="I112" i="1"/>
  <c r="I64" i="1"/>
  <c r="I83" i="1"/>
  <c r="L295" i="1"/>
  <c r="L124" i="1"/>
  <c r="K398" i="2"/>
  <c r="J194" i="1"/>
  <c r="K349" i="3"/>
  <c r="K158" i="4"/>
  <c r="K328" i="4"/>
  <c r="K473" i="4"/>
  <c r="L24" i="5"/>
  <c r="O24" i="5" s="1"/>
  <c r="I381" i="1"/>
  <c r="I474" i="1"/>
  <c r="L555" i="1"/>
  <c r="N34" i="2"/>
  <c r="N14" i="2" s="1"/>
  <c r="K449" i="2"/>
  <c r="J243" i="1"/>
  <c r="N33" i="3"/>
  <c r="N13" i="3" s="1"/>
  <c r="J300" i="1"/>
  <c r="L33" i="4"/>
  <c r="O33" i="4" s="1"/>
  <c r="O384" i="4"/>
  <c r="N258" i="1"/>
  <c r="L276" i="1"/>
  <c r="I419" i="1"/>
  <c r="I494" i="1"/>
  <c r="K494" i="1" s="1"/>
  <c r="M22" i="2"/>
  <c r="M12" i="2" s="1"/>
  <c r="L224" i="2"/>
  <c r="O224" i="2" s="1"/>
  <c r="L275" i="2"/>
  <c r="O275" i="2" s="1"/>
  <c r="M312" i="2"/>
  <c r="M310" i="2" s="1"/>
  <c r="K345" i="2"/>
  <c r="K426" i="2"/>
  <c r="K265" i="3"/>
  <c r="K270" i="3"/>
  <c r="O403" i="3"/>
  <c r="L31" i="3"/>
  <c r="K497" i="3"/>
  <c r="J369" i="1"/>
  <c r="K612" i="4"/>
  <c r="K615" i="4"/>
  <c r="K618" i="4"/>
  <c r="K614" i="4"/>
  <c r="K429" i="2"/>
  <c r="O435" i="2"/>
  <c r="O537" i="2"/>
  <c r="N571" i="1"/>
  <c r="I577" i="1"/>
  <c r="K577" i="1" s="1"/>
  <c r="I593" i="1"/>
  <c r="K617" i="2"/>
  <c r="J135" i="1"/>
  <c r="L144" i="3"/>
  <c r="L142" i="3" s="1"/>
  <c r="J156" i="1"/>
  <c r="J309" i="1"/>
  <c r="L34" i="3"/>
  <c r="N443" i="1"/>
  <c r="J506" i="1"/>
  <c r="N599" i="1"/>
  <c r="J616" i="1"/>
  <c r="J433" i="1"/>
  <c r="J468" i="1"/>
  <c r="K482" i="2"/>
  <c r="I499" i="1"/>
  <c r="K547" i="2"/>
  <c r="O551" i="2"/>
  <c r="N566" i="1"/>
  <c r="J596" i="1"/>
  <c r="L599" i="1"/>
  <c r="I615" i="1"/>
  <c r="J630" i="1"/>
  <c r="K92" i="3"/>
  <c r="K112" i="3"/>
  <c r="K164" i="3"/>
  <c r="K189" i="3"/>
  <c r="M275" i="1"/>
  <c r="L294" i="3"/>
  <c r="N312" i="3"/>
  <c r="N310" i="3" s="1"/>
  <c r="K341" i="3"/>
  <c r="N34" i="3"/>
  <c r="N14" i="3" s="1"/>
  <c r="J379" i="1"/>
  <c r="K402" i="3"/>
  <c r="J413" i="1"/>
  <c r="K421" i="3"/>
  <c r="K473" i="3"/>
  <c r="K533" i="3"/>
  <c r="K564" i="3"/>
  <c r="O566" i="3"/>
  <c r="K620" i="3"/>
  <c r="K626" i="3"/>
  <c r="K81" i="4"/>
  <c r="K108" i="4"/>
  <c r="L122" i="4"/>
  <c r="L120" i="4" s="1"/>
  <c r="O120" i="4" s="1"/>
  <c r="K173" i="4"/>
  <c r="O337" i="4"/>
  <c r="K349" i="4"/>
  <c r="N383" i="1"/>
  <c r="K397" i="4"/>
  <c r="N407" i="1"/>
  <c r="K416" i="4"/>
  <c r="J429" i="1"/>
  <c r="K499" i="4"/>
  <c r="O568" i="4"/>
  <c r="P70" i="6"/>
  <c r="M68" i="6"/>
  <c r="M66" i="6" s="1"/>
  <c r="K398" i="6"/>
  <c r="K109" i="5"/>
  <c r="J496" i="1"/>
  <c r="J513" i="1"/>
  <c r="J548" i="1"/>
  <c r="K612" i="2"/>
  <c r="L23" i="3"/>
  <c r="O23" i="3" s="1"/>
  <c r="M57" i="1"/>
  <c r="M55" i="1" s="1"/>
  <c r="M53" i="1" s="1"/>
  <c r="I81" i="1"/>
  <c r="N96" i="3"/>
  <c r="N94" i="3" s="1"/>
  <c r="K201" i="3"/>
  <c r="K266" i="3"/>
  <c r="O349" i="3"/>
  <c r="K370" i="3"/>
  <c r="O383" i="3"/>
  <c r="N388" i="1"/>
  <c r="N403" i="1"/>
  <c r="K419" i="3"/>
  <c r="K429" i="3"/>
  <c r="N439" i="1"/>
  <c r="K481" i="3"/>
  <c r="K621" i="3"/>
  <c r="N22" i="4"/>
  <c r="N120" i="4"/>
  <c r="N118" i="4" s="1"/>
  <c r="L224" i="4"/>
  <c r="O224" i="4" s="1"/>
  <c r="K267" i="4"/>
  <c r="N312" i="4"/>
  <c r="N310" i="4" s="1"/>
  <c r="K370" i="4"/>
  <c r="K424" i="4"/>
  <c r="K431" i="4"/>
  <c r="O435" i="4"/>
  <c r="K634" i="4"/>
  <c r="N96" i="5"/>
  <c r="N94" i="5" s="1"/>
  <c r="N252" i="5"/>
  <c r="N250" i="5" s="1"/>
  <c r="K396" i="5"/>
  <c r="O401" i="2"/>
  <c r="K416" i="2"/>
  <c r="J454" i="1"/>
  <c r="O457" i="2"/>
  <c r="J473" i="1"/>
  <c r="K497" i="2"/>
  <c r="L533" i="1"/>
  <c r="J543" i="1"/>
  <c r="O564" i="2"/>
  <c r="J575" i="1"/>
  <c r="N581" i="1"/>
  <c r="O597" i="2"/>
  <c r="I625" i="1"/>
  <c r="J115" i="1"/>
  <c r="J301" i="1"/>
  <c r="J325" i="1"/>
  <c r="K613" i="3"/>
  <c r="L70" i="4"/>
  <c r="O70" i="4" s="1"/>
  <c r="K86" i="4"/>
  <c r="K375" i="4"/>
  <c r="O385" i="4"/>
  <c r="N33" i="4"/>
  <c r="N13" i="4" s="1"/>
  <c r="N34" i="4"/>
  <c r="N14" i="4" s="1"/>
  <c r="K622" i="4"/>
  <c r="N569" i="1"/>
  <c r="O582" i="2"/>
  <c r="N587" i="1"/>
  <c r="J613" i="1"/>
  <c r="K619" i="2"/>
  <c r="I633" i="1"/>
  <c r="K82" i="3"/>
  <c r="K108" i="3"/>
  <c r="J172" i="1"/>
  <c r="K235" i="3"/>
  <c r="K267" i="3"/>
  <c r="N279" i="1"/>
  <c r="N292" i="3"/>
  <c r="N290" i="3" s="1"/>
  <c r="K377" i="3"/>
  <c r="O404" i="3"/>
  <c r="K430" i="3"/>
  <c r="K465" i="3"/>
  <c r="K625" i="3"/>
  <c r="K186" i="4"/>
  <c r="K216" i="4"/>
  <c r="J286" i="1"/>
  <c r="L294" i="4"/>
  <c r="L24" i="4"/>
  <c r="O24" i="4" s="1"/>
  <c r="K324" i="4"/>
  <c r="K350" i="4"/>
  <c r="K380" i="4"/>
  <c r="J421" i="1"/>
  <c r="K425" i="4"/>
  <c r="K428" i="4"/>
  <c r="K432" i="4"/>
  <c r="O439" i="4"/>
  <c r="O533" i="4"/>
  <c r="O555" i="4"/>
  <c r="K580" i="4"/>
  <c r="K628" i="4"/>
  <c r="L45" i="5"/>
  <c r="O45" i="5" s="1"/>
  <c r="K189" i="5"/>
  <c r="K200" i="5"/>
  <c r="K417" i="6"/>
  <c r="I626" i="1"/>
  <c r="J633" i="1"/>
  <c r="K591" i="5"/>
  <c r="K628" i="5"/>
  <c r="K265" i="6"/>
  <c r="K431" i="6"/>
  <c r="P70" i="7"/>
  <c r="L24" i="7"/>
  <c r="O24" i="7" s="1"/>
  <c r="M140" i="7"/>
  <c r="K372" i="7"/>
  <c r="K427" i="7"/>
  <c r="O533" i="7"/>
  <c r="K149" i="8"/>
  <c r="K204" i="8"/>
  <c r="K270" i="8"/>
  <c r="K328" i="8"/>
  <c r="P333" i="8"/>
  <c r="K343" i="8"/>
  <c r="K350" i="8"/>
  <c r="K424" i="8"/>
  <c r="K133" i="5"/>
  <c r="K158" i="5"/>
  <c r="L224" i="5"/>
  <c r="L222" i="5" s="1"/>
  <c r="L220" i="5" s="1"/>
  <c r="P275" i="5"/>
  <c r="O406" i="5"/>
  <c r="K421" i="5"/>
  <c r="K499" i="5"/>
  <c r="K595" i="5"/>
  <c r="L45" i="6"/>
  <c r="O45" i="6" s="1"/>
  <c r="K80" i="6"/>
  <c r="O102" i="6"/>
  <c r="K173" i="6"/>
  <c r="K219" i="6"/>
  <c r="N312" i="6"/>
  <c r="N310" i="6" s="1"/>
  <c r="O337" i="6"/>
  <c r="K402" i="6"/>
  <c r="K428" i="6"/>
  <c r="O533" i="6"/>
  <c r="O566" i="6"/>
  <c r="L144" i="7"/>
  <c r="O144" i="7" s="1"/>
  <c r="N26" i="7"/>
  <c r="N16" i="7" s="1"/>
  <c r="K349" i="7"/>
  <c r="O435" i="7"/>
  <c r="K450" i="7"/>
  <c r="O457" i="7"/>
  <c r="K591" i="7"/>
  <c r="L314" i="8"/>
  <c r="L312" i="8" s="1"/>
  <c r="O312" i="8" s="1"/>
  <c r="K380" i="8"/>
  <c r="K425" i="8"/>
  <c r="N312" i="5"/>
  <c r="N310" i="5" s="1"/>
  <c r="K422" i="5"/>
  <c r="K474" i="5"/>
  <c r="M96" i="6"/>
  <c r="N142" i="6"/>
  <c r="N140" i="6" s="1"/>
  <c r="K285" i="6"/>
  <c r="K328" i="6"/>
  <c r="O349" i="6"/>
  <c r="K499" i="7"/>
  <c r="K628" i="7"/>
  <c r="N96" i="8"/>
  <c r="N94" i="8" s="1"/>
  <c r="K110" i="8"/>
  <c r="N142" i="8"/>
  <c r="N140" i="8" s="1"/>
  <c r="L24" i="8"/>
  <c r="O24" i="8" s="1"/>
  <c r="K401" i="8"/>
  <c r="O568" i="5"/>
  <c r="L24" i="6"/>
  <c r="O24" i="6" s="1"/>
  <c r="M120" i="6"/>
  <c r="M118" i="6" s="1"/>
  <c r="K158" i="6"/>
  <c r="K249" i="6"/>
  <c r="N32" i="6"/>
  <c r="N30" i="6" s="1"/>
  <c r="O601" i="6"/>
  <c r="O74" i="7"/>
  <c r="K369" i="7"/>
  <c r="O406" i="7"/>
  <c r="P254" i="5"/>
  <c r="O337" i="5"/>
  <c r="K423" i="5"/>
  <c r="K429" i="5"/>
  <c r="K533" i="5"/>
  <c r="K563" i="5"/>
  <c r="K619" i="5"/>
  <c r="K614" i="5"/>
  <c r="K81" i="6"/>
  <c r="P98" i="6"/>
  <c r="K617" i="6"/>
  <c r="M312" i="7"/>
  <c r="P312" i="7" s="1"/>
  <c r="K328" i="7"/>
  <c r="K562" i="7"/>
  <c r="K629" i="7"/>
  <c r="K83" i="8"/>
  <c r="P224" i="8"/>
  <c r="K372" i="8"/>
  <c r="K397" i="8"/>
  <c r="O401" i="8"/>
  <c r="O404" i="8"/>
  <c r="O347" i="6"/>
  <c r="K423" i="6"/>
  <c r="K482" i="6"/>
  <c r="K499" i="6"/>
  <c r="K614" i="6"/>
  <c r="K625" i="6"/>
  <c r="K158" i="7"/>
  <c r="K370" i="7"/>
  <c r="K419" i="7"/>
  <c r="K429" i="7"/>
  <c r="L45" i="8"/>
  <c r="O45" i="8" s="1"/>
  <c r="N68" i="8"/>
  <c r="P68" i="8" s="1"/>
  <c r="P275" i="8"/>
  <c r="K199" i="5"/>
  <c r="K219" i="5"/>
  <c r="K450" i="5"/>
  <c r="K455" i="5"/>
  <c r="K466" i="5"/>
  <c r="K482" i="5"/>
  <c r="K498" i="5"/>
  <c r="K564" i="5"/>
  <c r="K593" i="5"/>
  <c r="O599" i="5"/>
  <c r="K64" i="6"/>
  <c r="K117" i="6"/>
  <c r="N120" i="6"/>
  <c r="K229" i="6"/>
  <c r="K264" i="6"/>
  <c r="K368" i="6"/>
  <c r="K375" i="6"/>
  <c r="K381" i="6"/>
  <c r="K420" i="6"/>
  <c r="K430" i="6"/>
  <c r="K435" i="6"/>
  <c r="O535" i="6"/>
  <c r="K563" i="6"/>
  <c r="O599" i="6"/>
  <c r="K108" i="7"/>
  <c r="K111" i="7"/>
  <c r="N120" i="7"/>
  <c r="N118" i="7" s="1"/>
  <c r="K138" i="7"/>
  <c r="L254" i="7"/>
  <c r="O254" i="7" s="1"/>
  <c r="L333" i="7"/>
  <c r="L331" i="7" s="1"/>
  <c r="K340" i="7"/>
  <c r="O347" i="7"/>
  <c r="K423" i="7"/>
  <c r="K533" i="7"/>
  <c r="O535" i="7"/>
  <c r="K563" i="7"/>
  <c r="O584" i="7"/>
  <c r="N26" i="8"/>
  <c r="N16" i="8" s="1"/>
  <c r="P102" i="8"/>
  <c r="K199" i="8"/>
  <c r="O349" i="8"/>
  <c r="K398" i="8"/>
  <c r="K417" i="8"/>
  <c r="K617" i="8"/>
  <c r="N43" i="9"/>
  <c r="N41" i="9" s="1"/>
  <c r="M55" i="9"/>
  <c r="M96" i="9"/>
  <c r="P96" i="9" s="1"/>
  <c r="K450" i="9"/>
  <c r="N96" i="10"/>
  <c r="N94" i="10" s="1"/>
  <c r="O406" i="10"/>
  <c r="O455" i="10"/>
  <c r="K547" i="10"/>
  <c r="K580" i="10"/>
  <c r="N55" i="11"/>
  <c r="N53" i="11" s="1"/>
  <c r="N120" i="11"/>
  <c r="P120" i="11" s="1"/>
  <c r="O580" i="11"/>
  <c r="K589" i="11"/>
  <c r="K111" i="12"/>
  <c r="M292" i="12"/>
  <c r="P292" i="12" s="1"/>
  <c r="K465" i="8"/>
  <c r="K621" i="8"/>
  <c r="K624" i="8"/>
  <c r="N26" i="9"/>
  <c r="L144" i="9"/>
  <c r="O144" i="9" s="1"/>
  <c r="K229" i="9"/>
  <c r="L294" i="9"/>
  <c r="O294" i="9" s="1"/>
  <c r="K418" i="9"/>
  <c r="O455" i="9"/>
  <c r="K497" i="9"/>
  <c r="K564" i="9"/>
  <c r="K595" i="9"/>
  <c r="K624" i="9"/>
  <c r="K629" i="9"/>
  <c r="M68" i="10"/>
  <c r="M120" i="10"/>
  <c r="P120" i="10" s="1"/>
  <c r="P314" i="10"/>
  <c r="M337" i="10"/>
  <c r="P337" i="10" s="1"/>
  <c r="K397" i="10"/>
  <c r="K464" i="10"/>
  <c r="K533" i="10"/>
  <c r="K474" i="11"/>
  <c r="K616" i="11"/>
  <c r="K623" i="11"/>
  <c r="O380" i="9"/>
  <c r="L98" i="10"/>
  <c r="O98" i="10" s="1"/>
  <c r="K616" i="10"/>
  <c r="K623" i="10"/>
  <c r="M68" i="11"/>
  <c r="M66" i="11" s="1"/>
  <c r="M96" i="11"/>
  <c r="M94" i="11" s="1"/>
  <c r="P94" i="11" s="1"/>
  <c r="K199" i="11"/>
  <c r="N252" i="11"/>
  <c r="P252" i="11" s="1"/>
  <c r="K265" i="11"/>
  <c r="M337" i="11"/>
  <c r="P337" i="11" s="1"/>
  <c r="I367" i="11"/>
  <c r="K367" i="11" s="1"/>
  <c r="K635" i="11"/>
  <c r="M74" i="12"/>
  <c r="N222" i="12"/>
  <c r="N220" i="12" s="1"/>
  <c r="P333" i="12"/>
  <c r="K450" i="8"/>
  <c r="K350" i="9"/>
  <c r="K377" i="9"/>
  <c r="K419" i="9"/>
  <c r="K432" i="9"/>
  <c r="O537" i="9"/>
  <c r="L57" i="10"/>
  <c r="L55" i="10" s="1"/>
  <c r="L275" i="10"/>
  <c r="L273" i="10" s="1"/>
  <c r="L271" i="10" s="1"/>
  <c r="L314" i="10"/>
  <c r="O314" i="10" s="1"/>
  <c r="K429" i="10"/>
  <c r="P275" i="11"/>
  <c r="K614" i="11"/>
  <c r="P57" i="12"/>
  <c r="O102" i="12"/>
  <c r="K109" i="12"/>
  <c r="K132" i="12"/>
  <c r="K149" i="12"/>
  <c r="K219" i="12"/>
  <c r="N252" i="12"/>
  <c r="N250" i="12" s="1"/>
  <c r="L333" i="12"/>
  <c r="O333" i="12" s="1"/>
  <c r="K431" i="8"/>
  <c r="O597" i="8"/>
  <c r="K619" i="8"/>
  <c r="K625" i="8"/>
  <c r="K630" i="8"/>
  <c r="K625" i="9"/>
  <c r="P254" i="10"/>
  <c r="O404" i="10"/>
  <c r="K423" i="10"/>
  <c r="O555" i="10"/>
  <c r="K614" i="10"/>
  <c r="K617" i="10"/>
  <c r="K64" i="11"/>
  <c r="K164" i="11"/>
  <c r="K249" i="11"/>
  <c r="N292" i="11"/>
  <c r="N290" i="11" s="1"/>
  <c r="K381" i="11"/>
  <c r="K435" i="11"/>
  <c r="K597" i="11"/>
  <c r="K611" i="11"/>
  <c r="K617" i="11"/>
  <c r="N142" i="12"/>
  <c r="N140" i="12" s="1"/>
  <c r="P314" i="9"/>
  <c r="K199" i="10"/>
  <c r="K185" i="11"/>
  <c r="L275" i="11"/>
  <c r="O275" i="11" s="1"/>
  <c r="O564" i="8"/>
  <c r="K623" i="8"/>
  <c r="N120" i="9"/>
  <c r="N118" i="9" s="1"/>
  <c r="N331" i="9"/>
  <c r="N329" i="9" s="1"/>
  <c r="K375" i="9"/>
  <c r="K398" i="9"/>
  <c r="K420" i="9"/>
  <c r="K427" i="9"/>
  <c r="O437" i="9"/>
  <c r="O457" i="9"/>
  <c r="K466" i="9"/>
  <c r="K499" i="9"/>
  <c r="K631" i="9"/>
  <c r="K87" i="10"/>
  <c r="L24" i="10"/>
  <c r="K328" i="10"/>
  <c r="O385" i="10"/>
  <c r="N33" i="10"/>
  <c r="N13" i="10" s="1"/>
  <c r="K564" i="10"/>
  <c r="K593" i="10"/>
  <c r="K229" i="11"/>
  <c r="O385" i="11"/>
  <c r="K425" i="11"/>
  <c r="K431" i="11"/>
  <c r="O564" i="11"/>
  <c r="K612" i="11"/>
  <c r="K615" i="11"/>
  <c r="K625" i="11"/>
  <c r="K464" i="8"/>
  <c r="O580" i="8"/>
  <c r="O601" i="8"/>
  <c r="K626" i="8"/>
  <c r="L24" i="9"/>
  <c r="O24" i="9" s="1"/>
  <c r="N252" i="9"/>
  <c r="N250" i="9" s="1"/>
  <c r="K591" i="9"/>
  <c r="O74" i="10"/>
  <c r="N292" i="10"/>
  <c r="N290" i="10" s="1"/>
  <c r="K340" i="10"/>
  <c r="K612" i="10"/>
  <c r="K615" i="10"/>
  <c r="K622" i="10"/>
  <c r="K396" i="11"/>
  <c r="L33" i="11"/>
  <c r="O33" i="11" s="1"/>
  <c r="K285" i="12"/>
  <c r="L294" i="12"/>
  <c r="O294" i="12" s="1"/>
  <c r="O337" i="12"/>
  <c r="N31" i="12"/>
  <c r="N29" i="12" s="1"/>
  <c r="K481" i="12"/>
  <c r="K547" i="12"/>
  <c r="K615" i="12"/>
  <c r="L70" i="13"/>
  <c r="L68" i="13" s="1"/>
  <c r="K133" i="13"/>
  <c r="K397" i="13"/>
  <c r="K426" i="13"/>
  <c r="O459" i="13"/>
  <c r="K612" i="13"/>
  <c r="O102" i="14"/>
  <c r="K219" i="14"/>
  <c r="K235" i="14"/>
  <c r="P254" i="14"/>
  <c r="L333" i="14"/>
  <c r="L331" i="14" s="1"/>
  <c r="L329" i="14" s="1"/>
  <c r="N31" i="14"/>
  <c r="N29" i="14" s="1"/>
  <c r="K375" i="14"/>
  <c r="L33" i="14"/>
  <c r="O33" i="14" s="1"/>
  <c r="K450" i="14"/>
  <c r="K497" i="14"/>
  <c r="O553" i="14"/>
  <c r="P70" i="15"/>
  <c r="K83" i="15"/>
  <c r="K132" i="15"/>
  <c r="O383" i="15"/>
  <c r="K401" i="15"/>
  <c r="K589" i="18"/>
  <c r="K632" i="18"/>
  <c r="M68" i="13"/>
  <c r="P68" i="13" s="1"/>
  <c r="N252" i="13"/>
  <c r="N250" i="13" s="1"/>
  <c r="N273" i="13"/>
  <c r="N271" i="13" s="1"/>
  <c r="N55" i="14"/>
  <c r="N53" i="14" s="1"/>
  <c r="M43" i="15"/>
  <c r="M41" i="15" s="1"/>
  <c r="N55" i="15"/>
  <c r="N53" i="15" s="1"/>
  <c r="N273" i="15"/>
  <c r="P273" i="15" s="1"/>
  <c r="O279" i="16"/>
  <c r="L26" i="16"/>
  <c r="L16" i="16" s="1"/>
  <c r="P333" i="16"/>
  <c r="M331" i="16"/>
  <c r="M329" i="16" s="1"/>
  <c r="M22" i="16"/>
  <c r="M12" i="16" s="1"/>
  <c r="O384" i="16"/>
  <c r="L33" i="16"/>
  <c r="O33" i="16" s="1"/>
  <c r="N120" i="18"/>
  <c r="N118" i="18" s="1"/>
  <c r="N22" i="18"/>
  <c r="N33" i="18"/>
  <c r="N13" i="18" s="1"/>
  <c r="K419" i="12"/>
  <c r="K426" i="12"/>
  <c r="K429" i="12"/>
  <c r="K612" i="12"/>
  <c r="K619" i="12"/>
  <c r="K270" i="13"/>
  <c r="K285" i="13"/>
  <c r="O347" i="13"/>
  <c r="K381" i="13"/>
  <c r="K435" i="13"/>
  <c r="K481" i="13"/>
  <c r="K92" i="14"/>
  <c r="K112" i="14"/>
  <c r="P144" i="14"/>
  <c r="K372" i="14"/>
  <c r="K423" i="14"/>
  <c r="K455" i="14"/>
  <c r="K614" i="14"/>
  <c r="K617" i="14"/>
  <c r="K626" i="14"/>
  <c r="L26" i="15"/>
  <c r="L16" i="15" s="1"/>
  <c r="M222" i="15"/>
  <c r="M220" i="15" s="1"/>
  <c r="M252" i="18"/>
  <c r="M250" i="18" s="1"/>
  <c r="P254" i="18"/>
  <c r="O601" i="12"/>
  <c r="K616" i="12"/>
  <c r="O564" i="13"/>
  <c r="N68" i="14"/>
  <c r="N66" i="14" s="1"/>
  <c r="K377" i="14"/>
  <c r="K381" i="14"/>
  <c r="N33" i="14"/>
  <c r="N13" i="14" s="1"/>
  <c r="K428" i="14"/>
  <c r="K431" i="14"/>
  <c r="O435" i="14"/>
  <c r="O551" i="14"/>
  <c r="K611" i="14"/>
  <c r="O148" i="15"/>
  <c r="K204" i="15"/>
  <c r="N252" i="15"/>
  <c r="N250" i="15" s="1"/>
  <c r="K340" i="15"/>
  <c r="K417" i="15"/>
  <c r="K427" i="15"/>
  <c r="K449" i="15"/>
  <c r="O436" i="17"/>
  <c r="L31" i="17"/>
  <c r="L11" i="17" s="1"/>
  <c r="K377" i="12"/>
  <c r="K420" i="12"/>
  <c r="K423" i="12"/>
  <c r="K430" i="12"/>
  <c r="K466" i="12"/>
  <c r="K629" i="12"/>
  <c r="L333" i="13"/>
  <c r="O385" i="13"/>
  <c r="K424" i="13"/>
  <c r="K428" i="13"/>
  <c r="O599" i="13"/>
  <c r="K616" i="13"/>
  <c r="K614" i="13"/>
  <c r="K617" i="13"/>
  <c r="K623" i="13"/>
  <c r="K626" i="13"/>
  <c r="K173" i="14"/>
  <c r="K398" i="14"/>
  <c r="K402" i="14"/>
  <c r="K418" i="14"/>
  <c r="O459" i="14"/>
  <c r="K465" i="14"/>
  <c r="K398" i="15"/>
  <c r="K421" i="15"/>
  <c r="N32" i="15"/>
  <c r="N30" i="15" s="1"/>
  <c r="O459" i="16"/>
  <c r="L34" i="16"/>
  <c r="O347" i="12"/>
  <c r="K368" i="12"/>
  <c r="K381" i="12"/>
  <c r="O401" i="12"/>
  <c r="K617" i="12"/>
  <c r="L57" i="13"/>
  <c r="O57" i="13" s="1"/>
  <c r="L98" i="13"/>
  <c r="L96" i="13" s="1"/>
  <c r="O96" i="13" s="1"/>
  <c r="L224" i="13"/>
  <c r="L222" i="13" s="1"/>
  <c r="L220" i="13" s="1"/>
  <c r="M331" i="13"/>
  <c r="M329" i="13" s="1"/>
  <c r="O597" i="14"/>
  <c r="L98" i="15"/>
  <c r="O98" i="15" s="1"/>
  <c r="K158" i="15"/>
  <c r="K341" i="15"/>
  <c r="K450" i="15"/>
  <c r="N331" i="18"/>
  <c r="N329" i="18" s="1"/>
  <c r="P333" i="18"/>
  <c r="K421" i="12"/>
  <c r="K473" i="12"/>
  <c r="K497" i="12"/>
  <c r="O537" i="12"/>
  <c r="K614" i="12"/>
  <c r="K473" i="13"/>
  <c r="K563" i="13"/>
  <c r="L23" i="14"/>
  <c r="O23" i="14" s="1"/>
  <c r="K343" i="14"/>
  <c r="K350" i="14"/>
  <c r="M142" i="15"/>
  <c r="N312" i="15"/>
  <c r="N310" i="15" s="1"/>
  <c r="K402" i="12"/>
  <c r="K611" i="12"/>
  <c r="L122" i="13"/>
  <c r="O122" i="13" s="1"/>
  <c r="K345" i="13"/>
  <c r="K375" i="13"/>
  <c r="K396" i="13"/>
  <c r="K432" i="13"/>
  <c r="O582" i="13"/>
  <c r="L24" i="14"/>
  <c r="O24" i="14" s="1"/>
  <c r="K189" i="14"/>
  <c r="K270" i="14"/>
  <c r="O406" i="14"/>
  <c r="K564" i="14"/>
  <c r="K580" i="14"/>
  <c r="K595" i="14"/>
  <c r="K616" i="14"/>
  <c r="K625" i="14"/>
  <c r="O337" i="15"/>
  <c r="K349" i="15"/>
  <c r="K380" i="15"/>
  <c r="K429" i="15"/>
  <c r="O457" i="15"/>
  <c r="N120" i="17"/>
  <c r="N118" i="17" s="1"/>
  <c r="P122" i="17"/>
  <c r="K613" i="18"/>
  <c r="K498" i="15"/>
  <c r="K620" i="15"/>
  <c r="O49" i="16"/>
  <c r="K376" i="16"/>
  <c r="O380" i="16"/>
  <c r="K397" i="16"/>
  <c r="O401" i="16"/>
  <c r="K417" i="16"/>
  <c r="K465" i="16"/>
  <c r="K482" i="16"/>
  <c r="K498" i="16"/>
  <c r="K533" i="16"/>
  <c r="K632" i="16"/>
  <c r="L24" i="17"/>
  <c r="O24" i="17" s="1"/>
  <c r="K630" i="17"/>
  <c r="K112" i="18"/>
  <c r="L122" i="18"/>
  <c r="L120" i="18" s="1"/>
  <c r="O120" i="18" s="1"/>
  <c r="K266" i="18"/>
  <c r="P314" i="18"/>
  <c r="K375" i="18"/>
  <c r="N32" i="18"/>
  <c r="N30" i="18" s="1"/>
  <c r="K424" i="18"/>
  <c r="K498" i="18"/>
  <c r="K564" i="18"/>
  <c r="O584" i="18"/>
  <c r="K614" i="15"/>
  <c r="N26" i="16"/>
  <c r="N16" i="16" s="1"/>
  <c r="N120" i="16"/>
  <c r="P120" i="16" s="1"/>
  <c r="L224" i="16"/>
  <c r="O224" i="16" s="1"/>
  <c r="K422" i="16"/>
  <c r="K429" i="16"/>
  <c r="K621" i="16"/>
  <c r="O49" i="17"/>
  <c r="O455" i="17"/>
  <c r="K465" i="17"/>
  <c r="O537" i="17"/>
  <c r="K551" i="17"/>
  <c r="K340" i="18"/>
  <c r="O435" i="18"/>
  <c r="K455" i="18"/>
  <c r="K482" i="18"/>
  <c r="K621" i="18"/>
  <c r="O599" i="15"/>
  <c r="K611" i="15"/>
  <c r="K618" i="15"/>
  <c r="M96" i="16"/>
  <c r="P96" i="16" s="1"/>
  <c r="O102" i="17"/>
  <c r="K113" i="17"/>
  <c r="N26" i="17"/>
  <c r="N16" i="17" s="1"/>
  <c r="K235" i="17"/>
  <c r="K249" i="17"/>
  <c r="K372" i="17"/>
  <c r="K376" i="17"/>
  <c r="K424" i="17"/>
  <c r="K428" i="17"/>
  <c r="K466" i="17"/>
  <c r="O551" i="17"/>
  <c r="K560" i="17"/>
  <c r="K564" i="17"/>
  <c r="O599" i="17"/>
  <c r="L45" i="18"/>
  <c r="K64" i="18"/>
  <c r="K88" i="18"/>
  <c r="O102" i="18"/>
  <c r="K109" i="18"/>
  <c r="K285" i="18"/>
  <c r="K324" i="18"/>
  <c r="N43" i="16"/>
  <c r="N41" i="16" s="1"/>
  <c r="O74" i="16"/>
  <c r="K430" i="16"/>
  <c r="O439" i="16"/>
  <c r="K473" i="16"/>
  <c r="L144" i="17"/>
  <c r="K199" i="17"/>
  <c r="K450" i="17"/>
  <c r="N222" i="18"/>
  <c r="N220" i="18" s="1"/>
  <c r="L23" i="16"/>
  <c r="O23" i="16" s="1"/>
  <c r="M312" i="16"/>
  <c r="P312" i="16" s="1"/>
  <c r="N312" i="16"/>
  <c r="N310" i="16" s="1"/>
  <c r="O354" i="16"/>
  <c r="O597" i="16"/>
  <c r="K626" i="16"/>
  <c r="K630" i="16"/>
  <c r="K199" i="18"/>
  <c r="L312" i="18"/>
  <c r="L310" i="18" s="1"/>
  <c r="K349" i="18"/>
  <c r="K402" i="18"/>
  <c r="O439" i="18"/>
  <c r="K628" i="18"/>
  <c r="K563" i="15"/>
  <c r="K612" i="15"/>
  <c r="K619" i="15"/>
  <c r="P70" i="16"/>
  <c r="N96" i="16"/>
  <c r="N94" i="16" s="1"/>
  <c r="K133" i="16"/>
  <c r="L275" i="16"/>
  <c r="O275" i="16" s="1"/>
  <c r="P294" i="16"/>
  <c r="O383" i="16"/>
  <c r="O404" i="16"/>
  <c r="K420" i="16"/>
  <c r="K449" i="16"/>
  <c r="K474" i="16"/>
  <c r="O535" i="16"/>
  <c r="K573" i="16"/>
  <c r="P45" i="17"/>
  <c r="K397" i="17"/>
  <c r="K419" i="17"/>
  <c r="O457" i="17"/>
  <c r="K474" i="17"/>
  <c r="K533" i="17"/>
  <c r="N68" i="18"/>
  <c r="N66" i="18" s="1"/>
  <c r="P98" i="18"/>
  <c r="K189" i="18"/>
  <c r="K249" i="18"/>
  <c r="M312" i="18"/>
  <c r="O337" i="18"/>
  <c r="O352" i="18"/>
  <c r="K464" i="15"/>
  <c r="K474" i="15"/>
  <c r="O601" i="15"/>
  <c r="K631" i="15"/>
  <c r="L57" i="16"/>
  <c r="L55" i="16" s="1"/>
  <c r="L53" i="16" s="1"/>
  <c r="K85" i="16"/>
  <c r="L294" i="16"/>
  <c r="O294" i="16" s="1"/>
  <c r="K328" i="16"/>
  <c r="O349" i="16"/>
  <c r="K563" i="16"/>
  <c r="O568" i="16"/>
  <c r="K616" i="16"/>
  <c r="K620" i="16"/>
  <c r="K631" i="16"/>
  <c r="L98" i="17"/>
  <c r="K117" i="17"/>
  <c r="K164" i="17"/>
  <c r="K185" i="17"/>
  <c r="L254" i="17"/>
  <c r="L252" i="17" s="1"/>
  <c r="L250" i="17" s="1"/>
  <c r="L275" i="17"/>
  <c r="O275" i="17" s="1"/>
  <c r="K341" i="17"/>
  <c r="O439" i="17"/>
  <c r="K464" i="17"/>
  <c r="O568" i="17"/>
  <c r="L70" i="18"/>
  <c r="O70" i="18" s="1"/>
  <c r="K111" i="18"/>
  <c r="K164" i="18"/>
  <c r="K265" i="18"/>
  <c r="K328" i="18"/>
  <c r="M331" i="18"/>
  <c r="M329" i="18" s="1"/>
  <c r="K416" i="18"/>
  <c r="K419" i="18"/>
  <c r="K423" i="18"/>
  <c r="K474" i="18"/>
  <c r="K533" i="18"/>
  <c r="K595" i="18"/>
  <c r="K629" i="18"/>
  <c r="N19" i="1"/>
  <c r="M19" i="1"/>
  <c r="P21" i="1"/>
  <c r="M11" i="1"/>
  <c r="L57" i="2"/>
  <c r="L58" i="1"/>
  <c r="I264" i="1"/>
  <c r="K264" i="2"/>
  <c r="P25" i="1"/>
  <c r="M15" i="1"/>
  <c r="P15" i="1" s="1"/>
  <c r="P19" i="2"/>
  <c r="O67" i="2"/>
  <c r="N272" i="1"/>
  <c r="I339" i="1"/>
  <c r="K339" i="1" s="1"/>
  <c r="K339" i="2"/>
  <c r="I483" i="1"/>
  <c r="K483" i="1" s="1"/>
  <c r="K483" i="2"/>
  <c r="P19" i="3"/>
  <c r="P251" i="2"/>
  <c r="L126" i="1"/>
  <c r="O126" i="1" s="1"/>
  <c r="O42" i="2"/>
  <c r="L71" i="1"/>
  <c r="L70" i="2"/>
  <c r="K200" i="2"/>
  <c r="I200" i="1"/>
  <c r="P333" i="2"/>
  <c r="N352" i="1"/>
  <c r="N32" i="2"/>
  <c r="I420" i="1"/>
  <c r="K420" i="2"/>
  <c r="I306" i="1"/>
  <c r="K306" i="2"/>
  <c r="N312" i="2"/>
  <c r="K397" i="2"/>
  <c r="I467" i="1"/>
  <c r="K467" i="1" s="1"/>
  <c r="K467" i="2"/>
  <c r="K204" i="2"/>
  <c r="I204" i="1"/>
  <c r="L403" i="1"/>
  <c r="O403" i="1" s="1"/>
  <c r="O403" i="2"/>
  <c r="M251" i="1"/>
  <c r="P251" i="1" s="1"/>
  <c r="L21" i="1"/>
  <c r="L42" i="1"/>
  <c r="L24" i="2"/>
  <c r="P26" i="2"/>
  <c r="M16" i="2"/>
  <c r="P16" i="2" s="1"/>
  <c r="N31" i="2"/>
  <c r="N29" i="2" s="1"/>
  <c r="L347" i="1"/>
  <c r="O347" i="2"/>
  <c r="I428" i="1"/>
  <c r="K428" i="2"/>
  <c r="I491" i="1"/>
  <c r="K491" i="1" s="1"/>
  <c r="K491" i="2"/>
  <c r="M28" i="1"/>
  <c r="P28" i="1" s="1"/>
  <c r="P30" i="1"/>
  <c r="N19" i="2"/>
  <c r="K285" i="2"/>
  <c r="P294" i="2"/>
  <c r="M292" i="2"/>
  <c r="L439" i="1"/>
  <c r="L34" i="2"/>
  <c r="O439" i="2"/>
  <c r="K464" i="2"/>
  <c r="P54" i="1"/>
  <c r="K132" i="2"/>
  <c r="L144" i="2"/>
  <c r="I368" i="1"/>
  <c r="K368" i="2"/>
  <c r="K425" i="2"/>
  <c r="I475" i="1"/>
  <c r="K475" i="1" s="1"/>
  <c r="K475" i="2"/>
  <c r="O25" i="1"/>
  <c r="L15" i="1"/>
  <c r="O15" i="1" s="1"/>
  <c r="K85" i="2"/>
  <c r="I85" i="1"/>
  <c r="P141" i="2"/>
  <c r="L254" i="2"/>
  <c r="L31" i="2"/>
  <c r="L382" i="1"/>
  <c r="O382" i="1" s="1"/>
  <c r="O382" i="2"/>
  <c r="L459" i="1"/>
  <c r="O459" i="2"/>
  <c r="P23" i="5"/>
  <c r="M13" i="5"/>
  <c r="P13" i="5" s="1"/>
  <c r="P119" i="5"/>
  <c r="M118" i="5"/>
  <c r="O251" i="5"/>
  <c r="O351" i="5"/>
  <c r="L31" i="5"/>
  <c r="L34" i="6"/>
  <c r="O354" i="6"/>
  <c r="M14" i="1"/>
  <c r="P14" i="1" s="1"/>
  <c r="M45" i="1"/>
  <c r="I108" i="1"/>
  <c r="M144" i="1"/>
  <c r="I213" i="1"/>
  <c r="L225" i="1"/>
  <c r="I340" i="1"/>
  <c r="I349" i="1"/>
  <c r="N353" i="1"/>
  <c r="I369" i="1"/>
  <c r="L383" i="1"/>
  <c r="L404" i="1"/>
  <c r="I421" i="1"/>
  <c r="I429" i="1"/>
  <c r="I449" i="1"/>
  <c r="I468" i="1"/>
  <c r="K468" i="1" s="1"/>
  <c r="I476" i="1"/>
  <c r="K476" i="1" s="1"/>
  <c r="I484" i="1"/>
  <c r="K484" i="1" s="1"/>
  <c r="I492" i="1"/>
  <c r="K492" i="1" s="1"/>
  <c r="I500" i="1"/>
  <c r="K500" i="1" s="1"/>
  <c r="I508" i="1"/>
  <c r="K508" i="1" s="1"/>
  <c r="L534" i="1"/>
  <c r="O534" i="1" s="1"/>
  <c r="L554" i="1"/>
  <c r="O554" i="1" s="1"/>
  <c r="N564" i="1"/>
  <c r="L567" i="1"/>
  <c r="O567" i="1" s="1"/>
  <c r="I576" i="1"/>
  <c r="K576" i="1" s="1"/>
  <c r="N580" i="1"/>
  <c r="L583" i="1"/>
  <c r="O583" i="1" s="1"/>
  <c r="I591" i="1"/>
  <c r="L598" i="1"/>
  <c r="O598" i="1" s="1"/>
  <c r="J612" i="1"/>
  <c r="J629" i="1"/>
  <c r="I632" i="1"/>
  <c r="M15" i="2"/>
  <c r="P15" i="2" s="1"/>
  <c r="P34" i="2"/>
  <c r="N222" i="2"/>
  <c r="M331" i="2"/>
  <c r="K613" i="2"/>
  <c r="M11" i="3"/>
  <c r="P21" i="3"/>
  <c r="M29" i="3"/>
  <c r="N32" i="3"/>
  <c r="N30" i="3" s="1"/>
  <c r="O221" i="3"/>
  <c r="O406" i="3"/>
  <c r="K451" i="3"/>
  <c r="O599" i="3"/>
  <c r="O221" i="4"/>
  <c r="M22" i="5"/>
  <c r="L57" i="5"/>
  <c r="L23" i="5"/>
  <c r="O126" i="5"/>
  <c r="L26" i="5"/>
  <c r="P24" i="6"/>
  <c r="M14" i="6"/>
  <c r="P14" i="6" s="1"/>
  <c r="P291" i="8"/>
  <c r="N45" i="1"/>
  <c r="M70" i="1"/>
  <c r="N98" i="1"/>
  <c r="I111" i="1"/>
  <c r="L226" i="1"/>
  <c r="I266" i="1"/>
  <c r="L272" i="1"/>
  <c r="O272" i="1" s="1"/>
  <c r="N275" i="1"/>
  <c r="M311" i="1"/>
  <c r="P311" i="1" s="1"/>
  <c r="L351" i="1"/>
  <c r="I416" i="1"/>
  <c r="L455" i="1"/>
  <c r="I511" i="1"/>
  <c r="K511" i="1" s="1"/>
  <c r="I579" i="1"/>
  <c r="K579" i="1" s="1"/>
  <c r="L26" i="2"/>
  <c r="P31" i="2"/>
  <c r="P96" i="2"/>
  <c r="M118" i="2"/>
  <c r="P119" i="2"/>
  <c r="M271" i="2"/>
  <c r="K499" i="2"/>
  <c r="K507" i="2"/>
  <c r="K515" i="2"/>
  <c r="O533" i="2"/>
  <c r="O553" i="2"/>
  <c r="K561" i="2"/>
  <c r="K561" i="1" s="1"/>
  <c r="O568" i="2"/>
  <c r="K577" i="2"/>
  <c r="O584" i="2"/>
  <c r="K592" i="2"/>
  <c r="O599" i="2"/>
  <c r="K616" i="2"/>
  <c r="K633" i="2"/>
  <c r="M43" i="3"/>
  <c r="M68" i="3"/>
  <c r="K81" i="3"/>
  <c r="M120" i="3"/>
  <c r="P224" i="3"/>
  <c r="P311" i="3"/>
  <c r="K580" i="3"/>
  <c r="K591" i="3"/>
  <c r="K612" i="3"/>
  <c r="P19" i="4"/>
  <c r="O119" i="4"/>
  <c r="P224" i="4"/>
  <c r="P311" i="4"/>
  <c r="L32" i="4"/>
  <c r="O352" i="4"/>
  <c r="O383" i="4"/>
  <c r="K401" i="4"/>
  <c r="K429" i="4"/>
  <c r="N31" i="4"/>
  <c r="K573" i="4"/>
  <c r="K623" i="4"/>
  <c r="K620" i="4"/>
  <c r="K625" i="4"/>
  <c r="K624" i="4"/>
  <c r="K621" i="4"/>
  <c r="P70" i="5"/>
  <c r="M68" i="5"/>
  <c r="N222" i="5"/>
  <c r="N220" i="5" s="1"/>
  <c r="M13" i="3"/>
  <c r="P13" i="3" s="1"/>
  <c r="M22" i="3"/>
  <c r="P32" i="3"/>
  <c r="N43" i="3"/>
  <c r="N41" i="3" s="1"/>
  <c r="M55" i="3"/>
  <c r="N26" i="4"/>
  <c r="P42" i="6"/>
  <c r="M41" i="6"/>
  <c r="I86" i="1"/>
  <c r="N95" i="1"/>
  <c r="I109" i="1"/>
  <c r="M122" i="1"/>
  <c r="N141" i="1"/>
  <c r="I158" i="1"/>
  <c r="I164" i="1"/>
  <c r="I341" i="1"/>
  <c r="L349" i="1"/>
  <c r="N354" i="1"/>
  <c r="I370" i="1"/>
  <c r="N458" i="1"/>
  <c r="I493" i="1"/>
  <c r="K493" i="1" s="1"/>
  <c r="I501" i="1"/>
  <c r="K501" i="1" s="1"/>
  <c r="L535" i="1"/>
  <c r="M66" i="2"/>
  <c r="L15" i="3"/>
  <c r="O15" i="3" s="1"/>
  <c r="L24" i="3"/>
  <c r="N31" i="3"/>
  <c r="N29" i="3" s="1"/>
  <c r="L33" i="3"/>
  <c r="O33" i="3" s="1"/>
  <c r="K173" i="3"/>
  <c r="K199" i="3"/>
  <c r="N273" i="3"/>
  <c r="N271" i="3" s="1"/>
  <c r="K423" i="3"/>
  <c r="O439" i="3"/>
  <c r="K498" i="3"/>
  <c r="K616" i="3"/>
  <c r="K633" i="3"/>
  <c r="P21" i="4"/>
  <c r="P29" i="4"/>
  <c r="M28" i="4"/>
  <c r="P28" i="4" s="1"/>
  <c r="N55" i="4"/>
  <c r="N53" i="4" s="1"/>
  <c r="O404" i="4"/>
  <c r="K547" i="4"/>
  <c r="M28" i="5"/>
  <c r="P28" i="5" s="1"/>
  <c r="O42" i="5"/>
  <c r="O67" i="5"/>
  <c r="P57" i="3"/>
  <c r="P275" i="3"/>
  <c r="M273" i="3"/>
  <c r="N122" i="1"/>
  <c r="I133" i="1"/>
  <c r="L258" i="1"/>
  <c r="O258" i="1" s="1"/>
  <c r="I380" i="1"/>
  <c r="I397" i="1"/>
  <c r="I595" i="1"/>
  <c r="M11" i="2"/>
  <c r="N120" i="2"/>
  <c r="M142" i="2"/>
  <c r="K201" i="2"/>
  <c r="M252" i="2"/>
  <c r="M250" i="2" s="1"/>
  <c r="K265" i="2"/>
  <c r="N273" i="2"/>
  <c r="P273" i="2" s="1"/>
  <c r="I367" i="2"/>
  <c r="K367" i="2" s="1"/>
  <c r="K578" i="2"/>
  <c r="K593" i="2"/>
  <c r="O600" i="2"/>
  <c r="K634" i="2"/>
  <c r="N19" i="3"/>
  <c r="K350" i="3"/>
  <c r="O25" i="4"/>
  <c r="L15" i="4"/>
  <c r="O15" i="4" s="1"/>
  <c r="L19" i="4"/>
  <c r="P102" i="4"/>
  <c r="M96" i="4"/>
  <c r="P275" i="4"/>
  <c r="M273" i="4"/>
  <c r="K593" i="4"/>
  <c r="M30" i="5"/>
  <c r="P30" i="5" s="1"/>
  <c r="P32" i="5"/>
  <c r="K270" i="5"/>
  <c r="O537" i="5"/>
  <c r="L34" i="5"/>
  <c r="P70" i="4"/>
  <c r="M68" i="4"/>
  <c r="L46" i="1"/>
  <c r="I117" i="1"/>
  <c r="M224" i="1"/>
  <c r="I267" i="1"/>
  <c r="I373" i="1"/>
  <c r="K373" i="1" s="1"/>
  <c r="I425" i="1"/>
  <c r="J149" i="1"/>
  <c r="M254" i="1"/>
  <c r="L334" i="1"/>
  <c r="I590" i="1"/>
  <c r="K590" i="1" s="1"/>
  <c r="L597" i="1"/>
  <c r="M43" i="2"/>
  <c r="P45" i="2"/>
  <c r="P221" i="2"/>
  <c r="L26" i="3"/>
  <c r="L45" i="3"/>
  <c r="P314" i="3"/>
  <c r="M312" i="3"/>
  <c r="P312" i="3" s="1"/>
  <c r="K381" i="3"/>
  <c r="K427" i="3"/>
  <c r="K435" i="3"/>
  <c r="K482" i="3"/>
  <c r="K618" i="3"/>
  <c r="K615" i="3"/>
  <c r="K617" i="3"/>
  <c r="K614" i="3"/>
  <c r="K619" i="3"/>
  <c r="K611" i="3"/>
  <c r="K628" i="3"/>
  <c r="P25" i="4"/>
  <c r="M15" i="4"/>
  <c r="P15" i="4" s="1"/>
  <c r="P57" i="4"/>
  <c r="M55" i="4"/>
  <c r="M22" i="4"/>
  <c r="N273" i="4"/>
  <c r="N271" i="4" s="1"/>
  <c r="P314" i="4"/>
  <c r="M312" i="4"/>
  <c r="K340" i="4"/>
  <c r="K597" i="4"/>
  <c r="K630" i="4"/>
  <c r="O383" i="7"/>
  <c r="N32" i="7"/>
  <c r="N30" i="7" s="1"/>
  <c r="I455" i="1"/>
  <c r="I510" i="1"/>
  <c r="K510" i="1" s="1"/>
  <c r="L32" i="3"/>
  <c r="M220" i="3"/>
  <c r="M329" i="3"/>
  <c r="O354" i="3"/>
  <c r="O385" i="3"/>
  <c r="K431" i="3"/>
  <c r="M9" i="4"/>
  <c r="P11" i="4"/>
  <c r="L23" i="4"/>
  <c r="K113" i="4"/>
  <c r="P122" i="4"/>
  <c r="M120" i="4"/>
  <c r="M220" i="4"/>
  <c r="K421" i="4"/>
  <c r="P19" i="5"/>
  <c r="N22" i="5"/>
  <c r="L33" i="5"/>
  <c r="O33" i="5" s="1"/>
  <c r="P57" i="5"/>
  <c r="M55" i="5"/>
  <c r="P32" i="7"/>
  <c r="M30" i="7"/>
  <c r="P30" i="7" s="1"/>
  <c r="M250" i="3"/>
  <c r="K613" i="4"/>
  <c r="P95" i="5"/>
  <c r="P98" i="5"/>
  <c r="P251" i="5"/>
  <c r="M250" i="5"/>
  <c r="P250" i="5" s="1"/>
  <c r="O49" i="6"/>
  <c r="L26" i="6"/>
  <c r="K622" i="3"/>
  <c r="K616" i="4"/>
  <c r="M43" i="5"/>
  <c r="P45" i="5"/>
  <c r="L98" i="5"/>
  <c r="O141" i="5"/>
  <c r="P221" i="5"/>
  <c r="L254" i="5"/>
  <c r="O272" i="5"/>
  <c r="P311" i="5"/>
  <c r="K432" i="5"/>
  <c r="O564" i="5"/>
  <c r="L57" i="6"/>
  <c r="L70" i="6"/>
  <c r="L122" i="6"/>
  <c r="O141" i="6"/>
  <c r="K235" i="6"/>
  <c r="L275" i="6"/>
  <c r="P337" i="6"/>
  <c r="O435" i="6"/>
  <c r="L33" i="6"/>
  <c r="O33" i="6" s="1"/>
  <c r="O438" i="6"/>
  <c r="I367" i="3"/>
  <c r="K367" i="3" s="1"/>
  <c r="K611" i="4"/>
  <c r="K619" i="4"/>
  <c r="O119" i="5"/>
  <c r="P122" i="5"/>
  <c r="P272" i="5"/>
  <c r="M271" i="5"/>
  <c r="L275" i="5"/>
  <c r="K285" i="5"/>
  <c r="P294" i="5"/>
  <c r="M292" i="5"/>
  <c r="P337" i="5"/>
  <c r="K624" i="5"/>
  <c r="K621" i="5"/>
  <c r="K626" i="5"/>
  <c r="K623" i="5"/>
  <c r="K620" i="5"/>
  <c r="O54" i="6"/>
  <c r="P67" i="6"/>
  <c r="P119" i="6"/>
  <c r="O251" i="6"/>
  <c r="P272" i="6"/>
  <c r="M271" i="6"/>
  <c r="K396" i="6"/>
  <c r="O455" i="6"/>
  <c r="L294" i="8"/>
  <c r="L23" i="8"/>
  <c r="I367" i="4"/>
  <c r="K367" i="4" s="1"/>
  <c r="K617" i="4"/>
  <c r="P102" i="5"/>
  <c r="P144" i="5"/>
  <c r="K402" i="5"/>
  <c r="K629" i="5"/>
  <c r="L19" i="6"/>
  <c r="O21" i="6"/>
  <c r="K85" i="6"/>
  <c r="K189" i="6"/>
  <c r="P224" i="6"/>
  <c r="P333" i="6"/>
  <c r="M331" i="6"/>
  <c r="K343" i="6"/>
  <c r="O95" i="7"/>
  <c r="M14" i="4"/>
  <c r="P14" i="4" s="1"/>
  <c r="O95" i="5"/>
  <c r="L122" i="5"/>
  <c r="K132" i="5"/>
  <c r="L144" i="5"/>
  <c r="P333" i="5"/>
  <c r="M331" i="5"/>
  <c r="M13" i="6"/>
  <c r="P13" i="6" s="1"/>
  <c r="P33" i="6"/>
  <c r="O95" i="6"/>
  <c r="N22" i="6"/>
  <c r="N222" i="6"/>
  <c r="N220" i="6" s="1"/>
  <c r="N331" i="6"/>
  <c r="N329" i="6" s="1"/>
  <c r="K416" i="6"/>
  <c r="O251" i="7"/>
  <c r="K618" i="7"/>
  <c r="K615" i="7"/>
  <c r="K612" i="7"/>
  <c r="K619" i="7"/>
  <c r="K611" i="7"/>
  <c r="K616" i="7"/>
  <c r="K613" i="7"/>
  <c r="K614" i="7"/>
  <c r="M9" i="8"/>
  <c r="P11" i="8"/>
  <c r="N32" i="8"/>
  <c r="N30" i="8" s="1"/>
  <c r="P224" i="5"/>
  <c r="K229" i="5"/>
  <c r="N331" i="5"/>
  <c r="N329" i="5" s="1"/>
  <c r="K427" i="5"/>
  <c r="N252" i="8"/>
  <c r="P252" i="8" s="1"/>
  <c r="N22" i="8"/>
  <c r="N34" i="8"/>
  <c r="N14" i="8" s="1"/>
  <c r="O385" i="8"/>
  <c r="M222" i="6"/>
  <c r="O351" i="6"/>
  <c r="K620" i="6"/>
  <c r="O25" i="7"/>
  <c r="L15" i="7"/>
  <c r="O15" i="7" s="1"/>
  <c r="P29" i="7"/>
  <c r="M28" i="7"/>
  <c r="P28" i="7" s="1"/>
  <c r="P54" i="7"/>
  <c r="M53" i="7"/>
  <c r="P224" i="7"/>
  <c r="M222" i="7"/>
  <c r="P254" i="7"/>
  <c r="L33" i="7"/>
  <c r="O33" i="7" s="1"/>
  <c r="O438" i="7"/>
  <c r="O21" i="8"/>
  <c r="L19" i="8"/>
  <c r="M66" i="8"/>
  <c r="O102" i="8"/>
  <c r="O337" i="8"/>
  <c r="M337" i="8"/>
  <c r="O19" i="9"/>
  <c r="P25" i="9"/>
  <c r="M15" i="9"/>
  <c r="P15" i="9" s="1"/>
  <c r="M19" i="9"/>
  <c r="P31" i="9"/>
  <c r="M29" i="9"/>
  <c r="M11" i="9"/>
  <c r="P34" i="9"/>
  <c r="M14" i="9"/>
  <c r="P14" i="9" s="1"/>
  <c r="O566" i="9"/>
  <c r="L32" i="9"/>
  <c r="O61" i="10"/>
  <c r="L26" i="10"/>
  <c r="K615" i="5"/>
  <c r="L23" i="6"/>
  <c r="M26" i="6"/>
  <c r="K615" i="6"/>
  <c r="K623" i="6"/>
  <c r="P42" i="7"/>
  <c r="L98" i="7"/>
  <c r="L23" i="7"/>
  <c r="O141" i="7"/>
  <c r="O272" i="7"/>
  <c r="P275" i="7"/>
  <c r="N273" i="7"/>
  <c r="N292" i="7"/>
  <c r="N290" i="7" s="1"/>
  <c r="O337" i="7"/>
  <c r="O564" i="7"/>
  <c r="P24" i="8"/>
  <c r="M14" i="8"/>
  <c r="P14" i="8" s="1"/>
  <c r="M28" i="8"/>
  <c r="P28" i="8" s="1"/>
  <c r="O42" i="8"/>
  <c r="P98" i="8"/>
  <c r="M310" i="8"/>
  <c r="P310" i="8" s="1"/>
  <c r="P312" i="8"/>
  <c r="O380" i="8"/>
  <c r="K497" i="8"/>
  <c r="O536" i="9"/>
  <c r="L33" i="9"/>
  <c r="O33" i="9" s="1"/>
  <c r="P272" i="11"/>
  <c r="M271" i="11"/>
  <c r="P98" i="12"/>
  <c r="M96" i="12"/>
  <c r="K618" i="5"/>
  <c r="N26" i="6"/>
  <c r="N16" i="6" s="1"/>
  <c r="M292" i="6"/>
  <c r="K618" i="6"/>
  <c r="K626" i="6"/>
  <c r="M49" i="7"/>
  <c r="M43" i="7" s="1"/>
  <c r="L26" i="7"/>
  <c r="P144" i="7"/>
  <c r="L224" i="7"/>
  <c r="P272" i="7"/>
  <c r="M271" i="7"/>
  <c r="L275" i="7"/>
  <c r="P337" i="7"/>
  <c r="O351" i="7"/>
  <c r="L31" i="7"/>
  <c r="K368" i="7"/>
  <c r="K375" i="7"/>
  <c r="K416" i="7"/>
  <c r="K432" i="7"/>
  <c r="O439" i="7"/>
  <c r="P42" i="8"/>
  <c r="N55" i="8"/>
  <c r="N53" i="8" s="1"/>
  <c r="K92" i="8"/>
  <c r="M118" i="8"/>
  <c r="O311" i="8"/>
  <c r="L32" i="8"/>
  <c r="K369" i="8"/>
  <c r="I367" i="8"/>
  <c r="K367" i="8" s="1"/>
  <c r="K426" i="8"/>
  <c r="K473" i="8"/>
  <c r="K613" i="5"/>
  <c r="M11" i="6"/>
  <c r="M140" i="6"/>
  <c r="M250" i="6"/>
  <c r="K613" i="6"/>
  <c r="K621" i="6"/>
  <c r="L34" i="7"/>
  <c r="N34" i="7"/>
  <c r="N14" i="7" s="1"/>
  <c r="L23" i="9"/>
  <c r="L45" i="9"/>
  <c r="P221" i="9"/>
  <c r="K616" i="5"/>
  <c r="K616" i="6"/>
  <c r="K624" i="6"/>
  <c r="O49" i="7"/>
  <c r="K173" i="7"/>
  <c r="K420" i="7"/>
  <c r="K626" i="7"/>
  <c r="K623" i="7"/>
  <c r="K620" i="7"/>
  <c r="K624" i="7"/>
  <c r="P19" i="8"/>
  <c r="O437" i="8"/>
  <c r="O354" i="9"/>
  <c r="L34" i="9"/>
  <c r="N273" i="5"/>
  <c r="P273" i="5" s="1"/>
  <c r="K611" i="5"/>
  <c r="M22" i="6"/>
  <c r="M55" i="6"/>
  <c r="N273" i="6"/>
  <c r="P273" i="6" s="1"/>
  <c r="K611" i="6"/>
  <c r="L19" i="7"/>
  <c r="P45" i="7"/>
  <c r="M68" i="7"/>
  <c r="O119" i="7"/>
  <c r="K189" i="7"/>
  <c r="K219" i="7"/>
  <c r="K235" i="7"/>
  <c r="M250" i="7"/>
  <c r="P250" i="7" s="1"/>
  <c r="P311" i="7"/>
  <c r="L314" i="7"/>
  <c r="P333" i="7"/>
  <c r="M331" i="7"/>
  <c r="N33" i="7"/>
  <c r="N13" i="7" s="1"/>
  <c r="P33" i="8"/>
  <c r="M13" i="8"/>
  <c r="P13" i="8" s="1"/>
  <c r="O49" i="8"/>
  <c r="M49" i="8"/>
  <c r="L26" i="8"/>
  <c r="N33" i="8"/>
  <c r="N13" i="8" s="1"/>
  <c r="N19" i="9"/>
  <c r="L26" i="9"/>
  <c r="P272" i="9"/>
  <c r="P330" i="10"/>
  <c r="P19" i="7"/>
  <c r="N22" i="7"/>
  <c r="N43" i="7"/>
  <c r="N41" i="7" s="1"/>
  <c r="M22" i="7"/>
  <c r="M96" i="7"/>
  <c r="P119" i="7"/>
  <c r="L122" i="7"/>
  <c r="K215" i="7"/>
  <c r="K270" i="7"/>
  <c r="K343" i="7"/>
  <c r="K396" i="7"/>
  <c r="K424" i="7"/>
  <c r="P254" i="8"/>
  <c r="M271" i="8"/>
  <c r="O291" i="8"/>
  <c r="P330" i="8"/>
  <c r="L333" i="8"/>
  <c r="O566" i="8"/>
  <c r="M41" i="9"/>
  <c r="O102" i="7"/>
  <c r="M120" i="7"/>
  <c r="P120" i="7" s="1"/>
  <c r="L31" i="8"/>
  <c r="P144" i="9"/>
  <c r="M142" i="9"/>
  <c r="O330" i="9"/>
  <c r="K618" i="9"/>
  <c r="K615" i="9"/>
  <c r="K612" i="9"/>
  <c r="K614" i="9"/>
  <c r="K619" i="9"/>
  <c r="K611" i="9"/>
  <c r="K617" i="9"/>
  <c r="N32" i="11"/>
  <c r="N30" i="11" s="1"/>
  <c r="O383" i="11"/>
  <c r="M22" i="8"/>
  <c r="P32" i="8"/>
  <c r="M53" i="8"/>
  <c r="M250" i="8"/>
  <c r="O352" i="8"/>
  <c r="K613" i="8"/>
  <c r="O141" i="9"/>
  <c r="L333" i="9"/>
  <c r="O406" i="9"/>
  <c r="K431" i="9"/>
  <c r="O435" i="9"/>
  <c r="M220" i="8"/>
  <c r="K614" i="8"/>
  <c r="K622" i="8"/>
  <c r="L15" i="9"/>
  <c r="O15" i="9" s="1"/>
  <c r="N96" i="9"/>
  <c r="N94" i="9" s="1"/>
  <c r="P119" i="9"/>
  <c r="K164" i="9"/>
  <c r="K189" i="9"/>
  <c r="K235" i="9"/>
  <c r="L275" i="9"/>
  <c r="K580" i="9"/>
  <c r="K616" i="9"/>
  <c r="L122" i="9"/>
  <c r="P254" i="9"/>
  <c r="M252" i="9"/>
  <c r="K372" i="9"/>
  <c r="O385" i="9"/>
  <c r="O580" i="9"/>
  <c r="K613" i="9"/>
  <c r="K628" i="9"/>
  <c r="M11" i="10"/>
  <c r="P21" i="10"/>
  <c r="M19" i="10"/>
  <c r="P24" i="10"/>
  <c r="M28" i="10"/>
  <c r="P28" i="10" s="1"/>
  <c r="P29" i="10"/>
  <c r="L142" i="10"/>
  <c r="O251" i="9"/>
  <c r="P333" i="9"/>
  <c r="P144" i="10"/>
  <c r="K201" i="10"/>
  <c r="M250" i="10"/>
  <c r="P250" i="10" s="1"/>
  <c r="P272" i="10"/>
  <c r="M271" i="10"/>
  <c r="L24" i="11"/>
  <c r="O251" i="11"/>
  <c r="L31" i="11"/>
  <c r="L11" i="11" s="1"/>
  <c r="O351" i="11"/>
  <c r="K370" i="11"/>
  <c r="L24" i="12"/>
  <c r="M337" i="9"/>
  <c r="M331" i="9" s="1"/>
  <c r="K622" i="9"/>
  <c r="P24" i="11"/>
  <c r="M14" i="11"/>
  <c r="P14" i="11" s="1"/>
  <c r="L98" i="11"/>
  <c r="L23" i="11"/>
  <c r="M222" i="11"/>
  <c r="P224" i="11"/>
  <c r="N273" i="12"/>
  <c r="N271" i="12" s="1"/>
  <c r="P275" i="12"/>
  <c r="O534" i="12"/>
  <c r="L31" i="12"/>
  <c r="L11" i="12" s="1"/>
  <c r="P57" i="10"/>
  <c r="M55" i="10"/>
  <c r="K64" i="10"/>
  <c r="O119" i="10"/>
  <c r="O221" i="10"/>
  <c r="P224" i="10"/>
  <c r="M222" i="10"/>
  <c r="P222" i="10" s="1"/>
  <c r="M13" i="11"/>
  <c r="P13" i="11" s="1"/>
  <c r="P33" i="11"/>
  <c r="P314" i="11"/>
  <c r="M312" i="11"/>
  <c r="P333" i="11"/>
  <c r="N19" i="12"/>
  <c r="M222" i="9"/>
  <c r="K620" i="9"/>
  <c r="L33" i="10"/>
  <c r="M22" i="10"/>
  <c r="O54" i="10"/>
  <c r="P95" i="10"/>
  <c r="M94" i="10"/>
  <c r="P94" i="10" s="1"/>
  <c r="O251" i="10"/>
  <c r="O42" i="11"/>
  <c r="M310" i="9"/>
  <c r="P310" i="9" s="1"/>
  <c r="K623" i="9"/>
  <c r="O21" i="10"/>
  <c r="O42" i="10"/>
  <c r="N43" i="10"/>
  <c r="N41" i="10" s="1"/>
  <c r="P54" i="10"/>
  <c r="K164" i="10"/>
  <c r="K189" i="10"/>
  <c r="L224" i="10"/>
  <c r="K563" i="10"/>
  <c r="N19" i="11"/>
  <c r="K270" i="11"/>
  <c r="K158" i="10"/>
  <c r="K624" i="12"/>
  <c r="K621" i="12"/>
  <c r="K626" i="12"/>
  <c r="K623" i="12"/>
  <c r="K620" i="12"/>
  <c r="K625" i="12"/>
  <c r="K622" i="12"/>
  <c r="P70" i="10"/>
  <c r="K86" i="10"/>
  <c r="L122" i="10"/>
  <c r="K138" i="10"/>
  <c r="P275" i="10"/>
  <c r="O330" i="10"/>
  <c r="K343" i="10"/>
  <c r="K235" i="11"/>
  <c r="P144" i="12"/>
  <c r="M142" i="12"/>
  <c r="P292" i="10"/>
  <c r="O537" i="10"/>
  <c r="O601" i="10"/>
  <c r="K624" i="10"/>
  <c r="K621" i="10"/>
  <c r="K626" i="10"/>
  <c r="K620" i="10"/>
  <c r="M22" i="11"/>
  <c r="P45" i="11"/>
  <c r="O54" i="11"/>
  <c r="K189" i="11"/>
  <c r="K266" i="11"/>
  <c r="O455" i="11"/>
  <c r="K563" i="11"/>
  <c r="L19" i="12"/>
  <c r="O21" i="12"/>
  <c r="P42" i="12"/>
  <c r="O49" i="12"/>
  <c r="M49" i="12"/>
  <c r="M43" i="12" s="1"/>
  <c r="L26" i="12"/>
  <c r="N22" i="12"/>
  <c r="M252" i="12"/>
  <c r="O19" i="13"/>
  <c r="P333" i="10"/>
  <c r="K341" i="10"/>
  <c r="K424" i="10"/>
  <c r="K430" i="10"/>
  <c r="P67" i="11"/>
  <c r="K117" i="11"/>
  <c r="K200" i="11"/>
  <c r="K375" i="11"/>
  <c r="N33" i="11"/>
  <c r="N13" i="11" s="1"/>
  <c r="O458" i="11"/>
  <c r="P67" i="12"/>
  <c r="M271" i="12"/>
  <c r="O311" i="12"/>
  <c r="M331" i="12"/>
  <c r="N32" i="12"/>
  <c r="N30" i="12" s="1"/>
  <c r="O437" i="12"/>
  <c r="O435" i="10"/>
  <c r="K450" i="10"/>
  <c r="O535" i="10"/>
  <c r="K629" i="10"/>
  <c r="K635" i="10"/>
  <c r="P42" i="11"/>
  <c r="L70" i="11"/>
  <c r="O95" i="11"/>
  <c r="K372" i="11"/>
  <c r="K424" i="11"/>
  <c r="K430" i="11"/>
  <c r="N34" i="11"/>
  <c r="N14" i="11" s="1"/>
  <c r="M13" i="12"/>
  <c r="P13" i="12" s="1"/>
  <c r="P33" i="12"/>
  <c r="N96" i="12"/>
  <c r="N94" i="12" s="1"/>
  <c r="K173" i="12"/>
  <c r="P221" i="12"/>
  <c r="O330" i="12"/>
  <c r="O318" i="14"/>
  <c r="M310" i="10"/>
  <c r="P310" i="10" s="1"/>
  <c r="L19" i="11"/>
  <c r="O21" i="11"/>
  <c r="O49" i="11"/>
  <c r="M49" i="11"/>
  <c r="M43" i="11" s="1"/>
  <c r="L26" i="11"/>
  <c r="L122" i="11"/>
  <c r="O141" i="11"/>
  <c r="M22" i="12"/>
  <c r="P45" i="12"/>
  <c r="O54" i="12"/>
  <c r="K416" i="10"/>
  <c r="K422" i="10"/>
  <c r="K432" i="10"/>
  <c r="O580" i="10"/>
  <c r="N43" i="11"/>
  <c r="N41" i="11" s="1"/>
  <c r="N26" i="11"/>
  <c r="N16" i="11" s="1"/>
  <c r="M53" i="11"/>
  <c r="P119" i="11"/>
  <c r="M118" i="11"/>
  <c r="K341" i="11"/>
  <c r="L34" i="11"/>
  <c r="O435" i="11"/>
  <c r="K450" i="11"/>
  <c r="O535" i="11"/>
  <c r="P29" i="12"/>
  <c r="M28" i="12"/>
  <c r="P28" i="12" s="1"/>
  <c r="N43" i="12"/>
  <c r="N41" i="12" s="1"/>
  <c r="L57" i="12"/>
  <c r="K133" i="12"/>
  <c r="P291" i="12"/>
  <c r="L34" i="12"/>
  <c r="O385" i="12"/>
  <c r="P24" i="12"/>
  <c r="M14" i="12"/>
  <c r="P14" i="12" s="1"/>
  <c r="M118" i="12"/>
  <c r="M312" i="13"/>
  <c r="P314" i="13"/>
  <c r="M22" i="13"/>
  <c r="K620" i="11"/>
  <c r="P19" i="13"/>
  <c r="N15" i="13"/>
  <c r="N19" i="13"/>
  <c r="O352" i="13"/>
  <c r="L32" i="13"/>
  <c r="P291" i="15"/>
  <c r="P294" i="13"/>
  <c r="M292" i="13"/>
  <c r="L19" i="14"/>
  <c r="O21" i="14"/>
  <c r="M331" i="14"/>
  <c r="P337" i="14"/>
  <c r="M26" i="14"/>
  <c r="K618" i="10"/>
  <c r="M292" i="11"/>
  <c r="P292" i="11" s="1"/>
  <c r="K618" i="11"/>
  <c r="K626" i="11"/>
  <c r="M29" i="13"/>
  <c r="P31" i="13"/>
  <c r="K132" i="13"/>
  <c r="O141" i="13"/>
  <c r="L144" i="13"/>
  <c r="P272" i="13"/>
  <c r="N292" i="13"/>
  <c r="N290" i="13" s="1"/>
  <c r="K613" i="10"/>
  <c r="M11" i="11"/>
  <c r="M140" i="11"/>
  <c r="M250" i="11"/>
  <c r="K613" i="11"/>
  <c r="K621" i="11"/>
  <c r="M11" i="12"/>
  <c r="I367" i="12"/>
  <c r="K367" i="12" s="1"/>
  <c r="P119" i="13"/>
  <c r="P141" i="13"/>
  <c r="O251" i="13"/>
  <c r="P23" i="15"/>
  <c r="M13" i="15"/>
  <c r="P13" i="15" s="1"/>
  <c r="O141" i="15"/>
  <c r="K624" i="11"/>
  <c r="K474" i="12"/>
  <c r="L23" i="13"/>
  <c r="L45" i="13"/>
  <c r="O67" i="13"/>
  <c r="O126" i="13"/>
  <c r="L26" i="13"/>
  <c r="K229" i="13"/>
  <c r="P251" i="13"/>
  <c r="M53" i="12"/>
  <c r="K425" i="12"/>
  <c r="K634" i="12"/>
  <c r="O42" i="13"/>
  <c r="P55" i="13"/>
  <c r="P224" i="13"/>
  <c r="N222" i="13"/>
  <c r="N220" i="13" s="1"/>
  <c r="P275" i="14"/>
  <c r="M273" i="14"/>
  <c r="K573" i="12"/>
  <c r="O439" i="13"/>
  <c r="L34" i="13"/>
  <c r="M14" i="14"/>
  <c r="P14" i="14" s="1"/>
  <c r="P24" i="14"/>
  <c r="L34" i="14"/>
  <c r="O354" i="14"/>
  <c r="K343" i="13"/>
  <c r="K376" i="13"/>
  <c r="K630" i="13"/>
  <c r="P29" i="14"/>
  <c r="M22" i="14"/>
  <c r="P45" i="14"/>
  <c r="M43" i="14"/>
  <c r="P122" i="14"/>
  <c r="M120" i="14"/>
  <c r="P54" i="15"/>
  <c r="M53" i="15"/>
  <c r="N22" i="14"/>
  <c r="N43" i="14"/>
  <c r="N41" i="14" s="1"/>
  <c r="P67" i="14"/>
  <c r="O141" i="14"/>
  <c r="O221" i="14"/>
  <c r="O42" i="15"/>
  <c r="O354" i="15"/>
  <c r="N34" i="15"/>
  <c r="M68" i="16"/>
  <c r="P74" i="16"/>
  <c r="O382" i="14"/>
  <c r="L31" i="14"/>
  <c r="L11" i="14" s="1"/>
  <c r="O438" i="14"/>
  <c r="O19" i="15"/>
  <c r="P29" i="15"/>
  <c r="K618" i="12"/>
  <c r="M14" i="13"/>
  <c r="P14" i="13" s="1"/>
  <c r="M120" i="13"/>
  <c r="M273" i="13"/>
  <c r="K547" i="13"/>
  <c r="K573" i="13"/>
  <c r="K597" i="13"/>
  <c r="P314" i="14"/>
  <c r="M312" i="14"/>
  <c r="O352" i="14"/>
  <c r="K380" i="14"/>
  <c r="K425" i="14"/>
  <c r="K551" i="14"/>
  <c r="K630" i="14"/>
  <c r="M11" i="13"/>
  <c r="M53" i="13"/>
  <c r="M94" i="13"/>
  <c r="P94" i="13" s="1"/>
  <c r="M142" i="13"/>
  <c r="M252" i="13"/>
  <c r="P252" i="13" s="1"/>
  <c r="O330" i="13"/>
  <c r="N19" i="14"/>
  <c r="P32" i="14"/>
  <c r="M30" i="14"/>
  <c r="P30" i="14" s="1"/>
  <c r="L26" i="14"/>
  <c r="P102" i="14"/>
  <c r="M96" i="14"/>
  <c r="M94" i="14" s="1"/>
  <c r="N252" i="14"/>
  <c r="N250" i="14" s="1"/>
  <c r="K464" i="14"/>
  <c r="N34" i="14"/>
  <c r="N14" i="14" s="1"/>
  <c r="N19" i="15"/>
  <c r="L294" i="15"/>
  <c r="L31" i="13"/>
  <c r="M43" i="13"/>
  <c r="M220" i="13"/>
  <c r="K589" i="13"/>
  <c r="P23" i="14"/>
  <c r="M13" i="14"/>
  <c r="P13" i="14" s="1"/>
  <c r="L57" i="14"/>
  <c r="P70" i="14"/>
  <c r="M68" i="14"/>
  <c r="P68" i="14" s="1"/>
  <c r="N292" i="14"/>
  <c r="N290" i="14" s="1"/>
  <c r="K401" i="14"/>
  <c r="K547" i="14"/>
  <c r="P57" i="14"/>
  <c r="M55" i="14"/>
  <c r="K597" i="14"/>
  <c r="P32" i="15"/>
  <c r="M30" i="15"/>
  <c r="P30" i="15" s="1"/>
  <c r="L24" i="15"/>
  <c r="P251" i="15"/>
  <c r="M250" i="15"/>
  <c r="P250" i="15" s="1"/>
  <c r="P294" i="15"/>
  <c r="M292" i="15"/>
  <c r="P292" i="15" s="1"/>
  <c r="M26" i="16"/>
  <c r="O337" i="13"/>
  <c r="O337" i="14"/>
  <c r="O537" i="14"/>
  <c r="P31" i="15"/>
  <c r="P95" i="15"/>
  <c r="L254" i="15"/>
  <c r="P337" i="15"/>
  <c r="M331" i="15"/>
  <c r="K418" i="15"/>
  <c r="K465" i="15"/>
  <c r="K613" i="13"/>
  <c r="K621" i="13"/>
  <c r="M11" i="14"/>
  <c r="P21" i="14"/>
  <c r="M140" i="14"/>
  <c r="M250" i="14"/>
  <c r="P250" i="14" s="1"/>
  <c r="K613" i="14"/>
  <c r="M11" i="15"/>
  <c r="P21" i="15"/>
  <c r="K117" i="15"/>
  <c r="K369" i="15"/>
  <c r="I367" i="15"/>
  <c r="K367" i="15" s="1"/>
  <c r="K426" i="15"/>
  <c r="K473" i="15"/>
  <c r="K624" i="13"/>
  <c r="P29" i="16"/>
  <c r="M28" i="16"/>
  <c r="P28" i="16" s="1"/>
  <c r="M22" i="15"/>
  <c r="P122" i="15"/>
  <c r="M120" i="15"/>
  <c r="P333" i="15"/>
  <c r="N331" i="15"/>
  <c r="N329" i="15" s="1"/>
  <c r="N96" i="14"/>
  <c r="N94" i="14" s="1"/>
  <c r="N142" i="14"/>
  <c r="L15" i="15"/>
  <c r="O15" i="15" s="1"/>
  <c r="N22" i="15"/>
  <c r="O119" i="15"/>
  <c r="N222" i="15"/>
  <c r="N220" i="15" s="1"/>
  <c r="K377" i="15"/>
  <c r="O437" i="15"/>
  <c r="K481" i="15"/>
  <c r="P67" i="16"/>
  <c r="O119" i="16"/>
  <c r="O298" i="18"/>
  <c r="L26" i="18"/>
  <c r="K622" i="15"/>
  <c r="M19" i="16"/>
  <c r="N22" i="16"/>
  <c r="K617" i="15"/>
  <c r="K625" i="15"/>
  <c r="N19" i="16"/>
  <c r="P45" i="16"/>
  <c r="M43" i="16"/>
  <c r="P54" i="16"/>
  <c r="P224" i="16"/>
  <c r="M222" i="16"/>
  <c r="K369" i="16"/>
  <c r="I367" i="16"/>
  <c r="K367" i="16" s="1"/>
  <c r="P30" i="17"/>
  <c r="M28" i="17"/>
  <c r="P28" i="17" s="1"/>
  <c r="M13" i="17"/>
  <c r="P13" i="17" s="1"/>
  <c r="P33" i="17"/>
  <c r="P31" i="16"/>
  <c r="P49" i="16"/>
  <c r="P311" i="16"/>
  <c r="K615" i="15"/>
  <c r="K623" i="15"/>
  <c r="P144" i="16"/>
  <c r="P254" i="16"/>
  <c r="O272" i="16"/>
  <c r="P275" i="16"/>
  <c r="N273" i="16"/>
  <c r="N271" i="16" s="1"/>
  <c r="M290" i="16"/>
  <c r="P290" i="16" s="1"/>
  <c r="P292" i="16"/>
  <c r="M66" i="15"/>
  <c r="K626" i="15"/>
  <c r="N331" i="16"/>
  <c r="N329" i="16" s="1"/>
  <c r="K613" i="15"/>
  <c r="K621" i="15"/>
  <c r="M11" i="16"/>
  <c r="N32" i="16"/>
  <c r="N30" i="16" s="1"/>
  <c r="K615" i="17"/>
  <c r="K619" i="17"/>
  <c r="K611" i="17"/>
  <c r="K616" i="17"/>
  <c r="K618" i="17"/>
  <c r="K612" i="17"/>
  <c r="K614" i="17"/>
  <c r="K617" i="17"/>
  <c r="K613" i="17"/>
  <c r="L31" i="16"/>
  <c r="O54" i="16"/>
  <c r="K64" i="16"/>
  <c r="P122" i="16"/>
  <c r="K614" i="16"/>
  <c r="K622" i="16"/>
  <c r="L45" i="17"/>
  <c r="O67" i="17"/>
  <c r="M140" i="17"/>
  <c r="L34" i="17"/>
  <c r="O354" i="17"/>
  <c r="M55" i="16"/>
  <c r="K617" i="16"/>
  <c r="K625" i="16"/>
  <c r="L19" i="17"/>
  <c r="O21" i="17"/>
  <c r="L26" i="17"/>
  <c r="N142" i="17"/>
  <c r="N140" i="17" s="1"/>
  <c r="K381" i="17"/>
  <c r="O535" i="17"/>
  <c r="L32" i="17"/>
  <c r="P21" i="17"/>
  <c r="M11" i="17"/>
  <c r="P24" i="17"/>
  <c r="M14" i="17"/>
  <c r="P14" i="17" s="1"/>
  <c r="O272" i="17"/>
  <c r="K623" i="17"/>
  <c r="K624" i="17"/>
  <c r="K625" i="17"/>
  <c r="K621" i="17"/>
  <c r="K626" i="17"/>
  <c r="K620" i="17"/>
  <c r="P23" i="18"/>
  <c r="M13" i="18"/>
  <c r="P13" i="18" s="1"/>
  <c r="K615" i="16"/>
  <c r="K623" i="16"/>
  <c r="O42" i="17"/>
  <c r="K109" i="17"/>
  <c r="L294" i="17"/>
  <c r="O311" i="17"/>
  <c r="O553" i="17"/>
  <c r="M30" i="18"/>
  <c r="P30" i="18" s="1"/>
  <c r="P32" i="18"/>
  <c r="N252" i="18"/>
  <c r="N250" i="18" s="1"/>
  <c r="N26" i="18"/>
  <c r="N16" i="18" s="1"/>
  <c r="P42" i="17"/>
  <c r="O119" i="17"/>
  <c r="P291" i="17"/>
  <c r="P311" i="17"/>
  <c r="K633" i="17"/>
  <c r="M28" i="18"/>
  <c r="P28" i="18" s="1"/>
  <c r="K613" i="16"/>
  <c r="M19" i="17"/>
  <c r="L57" i="17"/>
  <c r="L23" i="17"/>
  <c r="M118" i="16"/>
  <c r="M271" i="16"/>
  <c r="M49" i="17"/>
  <c r="M43" i="17" s="1"/>
  <c r="M22" i="17"/>
  <c r="P224" i="17"/>
  <c r="M222" i="17"/>
  <c r="L314" i="17"/>
  <c r="P57" i="18"/>
  <c r="M55" i="18"/>
  <c r="M22" i="18"/>
  <c r="L292" i="18"/>
  <c r="O351" i="18"/>
  <c r="L31" i="18"/>
  <c r="P9" i="18"/>
  <c r="O25" i="18"/>
  <c r="O42" i="18"/>
  <c r="N43" i="18"/>
  <c r="P45" i="18"/>
  <c r="K81" i="18"/>
  <c r="P224" i="18"/>
  <c r="M222" i="18"/>
  <c r="P311" i="18"/>
  <c r="K499" i="18"/>
  <c r="K633" i="18"/>
  <c r="O19" i="18"/>
  <c r="L57" i="18"/>
  <c r="L23" i="18"/>
  <c r="K108" i="18"/>
  <c r="O221" i="18"/>
  <c r="K428" i="18"/>
  <c r="K618" i="18"/>
  <c r="K615" i="18"/>
  <c r="K612" i="18"/>
  <c r="K617" i="18"/>
  <c r="K614" i="18"/>
  <c r="K619" i="18"/>
  <c r="K611" i="18"/>
  <c r="K616" i="18"/>
  <c r="M331" i="17"/>
  <c r="O383" i="18"/>
  <c r="O599" i="18"/>
  <c r="M118" i="17"/>
  <c r="M292" i="17"/>
  <c r="P292" i="17" s="1"/>
  <c r="P70" i="18"/>
  <c r="M68" i="18"/>
  <c r="M26" i="18"/>
  <c r="P102" i="18"/>
  <c r="P275" i="18"/>
  <c r="M273" i="18"/>
  <c r="M53" i="17"/>
  <c r="P19" i="18"/>
  <c r="O67" i="18"/>
  <c r="P122" i="18"/>
  <c r="M120" i="18"/>
  <c r="P144" i="18"/>
  <c r="O272" i="18"/>
  <c r="M290" i="18"/>
  <c r="N34" i="18"/>
  <c r="N14" i="18" s="1"/>
  <c r="O568" i="18"/>
  <c r="L34" i="18"/>
  <c r="O119" i="18"/>
  <c r="I367" i="18"/>
  <c r="K367" i="18" s="1"/>
  <c r="K371" i="18"/>
  <c r="O404" i="18"/>
  <c r="K449" i="18"/>
  <c r="O459" i="18"/>
  <c r="K624" i="18"/>
  <c r="K622" i="18"/>
  <c r="K625" i="18"/>
  <c r="K620" i="18"/>
  <c r="K623" i="18"/>
  <c r="L68" i="12" l="1"/>
  <c r="O68" i="12" s="1"/>
  <c r="O122" i="17"/>
  <c r="O57" i="16"/>
  <c r="O45" i="16"/>
  <c r="O30" i="10"/>
  <c r="P250" i="6"/>
  <c r="K92" i="1"/>
  <c r="O333" i="3"/>
  <c r="K87" i="1"/>
  <c r="O224" i="8"/>
  <c r="N28" i="15"/>
  <c r="P142" i="3"/>
  <c r="O401" i="1"/>
  <c r="K466" i="1"/>
  <c r="N11" i="15"/>
  <c r="N9" i="15" s="1"/>
  <c r="L29" i="10"/>
  <c r="O29" i="10" s="1"/>
  <c r="K328" i="1"/>
  <c r="K368" i="1"/>
  <c r="K84" i="1"/>
  <c r="O70" i="13"/>
  <c r="N12" i="17"/>
  <c r="O333" i="17"/>
  <c r="M331" i="10"/>
  <c r="M329" i="10" s="1"/>
  <c r="P329" i="10" s="1"/>
  <c r="L331" i="15"/>
  <c r="L329" i="15" s="1"/>
  <c r="O329" i="15" s="1"/>
  <c r="K113" i="1"/>
  <c r="K634" i="1"/>
  <c r="K138" i="1"/>
  <c r="L96" i="4"/>
  <c r="O96" i="4" s="1"/>
  <c r="K186" i="1"/>
  <c r="P118" i="5"/>
  <c r="P222" i="5"/>
  <c r="L331" i="6"/>
  <c r="L329" i="6" s="1"/>
  <c r="O329" i="6" s="1"/>
  <c r="P222" i="8"/>
  <c r="P120" i="5"/>
  <c r="P26" i="3"/>
  <c r="M290" i="9"/>
  <c r="P290" i="9" s="1"/>
  <c r="O555" i="1"/>
  <c r="O254" i="14"/>
  <c r="P55" i="5"/>
  <c r="P68" i="16"/>
  <c r="L222" i="17"/>
  <c r="O222" i="17" s="1"/>
  <c r="K421" i="1"/>
  <c r="O457" i="1"/>
  <c r="K431" i="1"/>
  <c r="O34" i="6"/>
  <c r="O294" i="10"/>
  <c r="P331" i="12"/>
  <c r="O333" i="2"/>
  <c r="P312" i="18"/>
  <c r="P252" i="6"/>
  <c r="N12" i="10"/>
  <c r="N10" i="10" s="1"/>
  <c r="K426" i="1"/>
  <c r="O568" i="1"/>
  <c r="K164" i="1"/>
  <c r="K617" i="1"/>
  <c r="P271" i="8"/>
  <c r="P55" i="6"/>
  <c r="P43" i="6"/>
  <c r="O312" i="16"/>
  <c r="K85" i="1"/>
  <c r="N220" i="3"/>
  <c r="N37" i="3" s="1"/>
  <c r="K350" i="1"/>
  <c r="L120" i="8"/>
  <c r="L118" i="8" s="1"/>
  <c r="O294" i="5"/>
  <c r="O144" i="15"/>
  <c r="O34" i="12"/>
  <c r="L68" i="15"/>
  <c r="O68" i="15" s="1"/>
  <c r="L222" i="18"/>
  <c r="O222" i="18" s="1"/>
  <c r="K267" i="1"/>
  <c r="O535" i="1"/>
  <c r="K375" i="1"/>
  <c r="K625" i="1"/>
  <c r="K449" i="1"/>
  <c r="O122" i="4"/>
  <c r="N12" i="4"/>
  <c r="P142" i="10"/>
  <c r="O142" i="15"/>
  <c r="M310" i="6"/>
  <c r="P310" i="6" s="1"/>
  <c r="K213" i="1"/>
  <c r="L252" i="12"/>
  <c r="L250" i="12" s="1"/>
  <c r="O250" i="12" s="1"/>
  <c r="L273" i="2"/>
  <c r="L271" i="2" s="1"/>
  <c r="P142" i="18"/>
  <c r="P312" i="15"/>
  <c r="P55" i="9"/>
  <c r="O275" i="14"/>
  <c r="L331" i="18"/>
  <c r="L329" i="18" s="1"/>
  <c r="O329" i="18" s="1"/>
  <c r="O98" i="9"/>
  <c r="P102" i="3"/>
  <c r="O254" i="11"/>
  <c r="K626" i="1"/>
  <c r="O347" i="1"/>
  <c r="O601" i="1"/>
  <c r="M53" i="9"/>
  <c r="P53" i="9" s="1"/>
  <c r="L55" i="7"/>
  <c r="O55" i="7" s="1"/>
  <c r="P333" i="1"/>
  <c r="O314" i="15"/>
  <c r="L142" i="4"/>
  <c r="O142" i="4" s="1"/>
  <c r="K419" i="1"/>
  <c r="K185" i="1"/>
  <c r="L312" i="4"/>
  <c r="O312" i="4" s="1"/>
  <c r="O122" i="16"/>
  <c r="O32" i="2"/>
  <c r="L142" i="8"/>
  <c r="O142" i="8" s="1"/>
  <c r="K249" i="1"/>
  <c r="P68" i="15"/>
  <c r="L96" i="14"/>
  <c r="O96" i="14" s="1"/>
  <c r="M118" i="9"/>
  <c r="P118" i="9" s="1"/>
  <c r="K416" i="1"/>
  <c r="L292" i="2"/>
  <c r="L290" i="2" s="1"/>
  <c r="L29" i="6"/>
  <c r="O29" i="6" s="1"/>
  <c r="L55" i="15"/>
  <c r="L53" i="15" s="1"/>
  <c r="O53" i="15" s="1"/>
  <c r="O566" i="1"/>
  <c r="L11" i="10"/>
  <c r="L9" i="10" s="1"/>
  <c r="O9" i="10" s="1"/>
  <c r="K132" i="1"/>
  <c r="K372" i="1"/>
  <c r="P94" i="18"/>
  <c r="K631" i="1"/>
  <c r="K551" i="1"/>
  <c r="L273" i="16"/>
  <c r="L271" i="16" s="1"/>
  <c r="O271" i="16" s="1"/>
  <c r="M290" i="14"/>
  <c r="P290" i="14" s="1"/>
  <c r="O294" i="7"/>
  <c r="L11" i="6"/>
  <c r="L9" i="6" s="1"/>
  <c r="M310" i="5"/>
  <c r="P310" i="5" s="1"/>
  <c r="K117" i="1"/>
  <c r="K595" i="1"/>
  <c r="K370" i="1"/>
  <c r="K109" i="1"/>
  <c r="O580" i="1"/>
  <c r="O459" i="1"/>
  <c r="P142" i="15"/>
  <c r="O314" i="13"/>
  <c r="O224" i="11"/>
  <c r="K499" i="1"/>
  <c r="K112" i="1"/>
  <c r="O31" i="15"/>
  <c r="K620" i="1"/>
  <c r="K343" i="1"/>
  <c r="K219" i="1"/>
  <c r="K82" i="1"/>
  <c r="K451" i="1"/>
  <c r="K402" i="1"/>
  <c r="K285" i="1"/>
  <c r="O57" i="8"/>
  <c r="L142" i="11"/>
  <c r="L140" i="11" s="1"/>
  <c r="L68" i="7"/>
  <c r="O68" i="7" s="1"/>
  <c r="L68" i="5"/>
  <c r="O68" i="5" s="1"/>
  <c r="K266" i="1"/>
  <c r="O294" i="6"/>
  <c r="L55" i="3"/>
  <c r="O55" i="3" s="1"/>
  <c r="K204" i="1"/>
  <c r="L96" i="16"/>
  <c r="O96" i="16" s="1"/>
  <c r="L310" i="13"/>
  <c r="O310" i="13" s="1"/>
  <c r="K474" i="1"/>
  <c r="K481" i="1"/>
  <c r="P294" i="1"/>
  <c r="K216" i="1"/>
  <c r="K424" i="1"/>
  <c r="O537" i="1"/>
  <c r="K398" i="1"/>
  <c r="O148" i="1"/>
  <c r="O333" i="4"/>
  <c r="M271" i="17"/>
  <c r="P271" i="17" s="1"/>
  <c r="L222" i="9"/>
  <c r="O222" i="9" s="1"/>
  <c r="K341" i="1"/>
  <c r="K629" i="1"/>
  <c r="K264" i="1"/>
  <c r="L222" i="14"/>
  <c r="L220" i="14" s="1"/>
  <c r="O220" i="14" s="1"/>
  <c r="K580" i="1"/>
  <c r="K401" i="1"/>
  <c r="K265" i="1"/>
  <c r="O584" i="1"/>
  <c r="K418" i="1"/>
  <c r="O406" i="1"/>
  <c r="K498" i="1"/>
  <c r="K229" i="1"/>
  <c r="L11" i="4"/>
  <c r="O11" i="4" s="1"/>
  <c r="P220" i="5"/>
  <c r="L13" i="12"/>
  <c r="O13" i="12" s="1"/>
  <c r="P43" i="17"/>
  <c r="L66" i="17"/>
  <c r="O66" i="17" s="1"/>
  <c r="O333" i="11"/>
  <c r="O120" i="17"/>
  <c r="P292" i="18"/>
  <c r="N11" i="17"/>
  <c r="N9" i="17" s="1"/>
  <c r="L142" i="16"/>
  <c r="O142" i="16" s="1"/>
  <c r="P292" i="3"/>
  <c r="L29" i="9"/>
  <c r="O29" i="9" s="1"/>
  <c r="O275" i="8"/>
  <c r="N28" i="13"/>
  <c r="O45" i="10"/>
  <c r="K201" i="1"/>
  <c r="O70" i="17"/>
  <c r="O349" i="1"/>
  <c r="L43" i="2"/>
  <c r="L41" i="2" s="1"/>
  <c r="O41" i="2" s="1"/>
  <c r="L14" i="16"/>
  <c r="O14" i="16" s="1"/>
  <c r="N11" i="18"/>
  <c r="N9" i="18" s="1"/>
  <c r="M290" i="7"/>
  <c r="P290" i="7" s="1"/>
  <c r="L252" i="7"/>
  <c r="O252" i="7" s="1"/>
  <c r="K108" i="1"/>
  <c r="K80" i="1"/>
  <c r="P43" i="13"/>
  <c r="L43" i="8"/>
  <c r="O43" i="8" s="1"/>
  <c r="K380" i="1"/>
  <c r="L68" i="3"/>
  <c r="L66" i="3" s="1"/>
  <c r="O66" i="3" s="1"/>
  <c r="K324" i="1"/>
  <c r="K564" i="1"/>
  <c r="K632" i="1"/>
  <c r="K473" i="1"/>
  <c r="O45" i="15"/>
  <c r="L222" i="12"/>
  <c r="L220" i="12" s="1"/>
  <c r="O220" i="12" s="1"/>
  <c r="K133" i="1"/>
  <c r="L43" i="4"/>
  <c r="L41" i="4" s="1"/>
  <c r="O41" i="4" s="1"/>
  <c r="K158" i="1"/>
  <c r="P142" i="7"/>
  <c r="P70" i="1"/>
  <c r="P252" i="3"/>
  <c r="L312" i="14"/>
  <c r="O312" i="14" s="1"/>
  <c r="L292" i="16"/>
  <c r="O292" i="16" s="1"/>
  <c r="L331" i="16"/>
  <c r="L329" i="16" s="1"/>
  <c r="O329" i="16" s="1"/>
  <c r="P273" i="8"/>
  <c r="L96" i="8"/>
  <c r="O96" i="8" s="1"/>
  <c r="L252" i="6"/>
  <c r="O252" i="6" s="1"/>
  <c r="P144" i="1"/>
  <c r="P329" i="18"/>
  <c r="K110" i="1"/>
  <c r="P222" i="14"/>
  <c r="O271" i="8"/>
  <c r="N140" i="11"/>
  <c r="P140" i="11" s="1"/>
  <c r="K575" i="1"/>
  <c r="O222" i="3"/>
  <c r="K270" i="1"/>
  <c r="O385" i="1"/>
  <c r="L142" i="14"/>
  <c r="O142" i="14" s="1"/>
  <c r="K425" i="1"/>
  <c r="N118" i="8"/>
  <c r="L68" i="8"/>
  <c r="L66" i="8" s="1"/>
  <c r="N12" i="9"/>
  <c r="P12" i="9" s="1"/>
  <c r="K376" i="1"/>
  <c r="N28" i="8"/>
  <c r="K345" i="1"/>
  <c r="O314" i="5"/>
  <c r="N28" i="11"/>
  <c r="O333" i="5"/>
  <c r="K497" i="1"/>
  <c r="K432" i="1"/>
  <c r="L142" i="12"/>
  <c r="L140" i="12" s="1"/>
  <c r="O140" i="12" s="1"/>
  <c r="K423" i="1"/>
  <c r="L14" i="18"/>
  <c r="O14" i="18" s="1"/>
  <c r="P118" i="17"/>
  <c r="N29" i="6"/>
  <c r="N28" i="6" s="1"/>
  <c r="O144" i="3"/>
  <c r="K420" i="1"/>
  <c r="K88" i="1"/>
  <c r="K482" i="1"/>
  <c r="P222" i="18"/>
  <c r="L312" i="11"/>
  <c r="O312" i="11" s="1"/>
  <c r="O273" i="8"/>
  <c r="O597" i="1"/>
  <c r="K428" i="1"/>
  <c r="O224" i="15"/>
  <c r="O74" i="1"/>
  <c r="K235" i="1"/>
  <c r="O310" i="18"/>
  <c r="L292" i="11"/>
  <c r="O292" i="11" s="1"/>
  <c r="N11" i="8"/>
  <c r="N9" i="8" s="1"/>
  <c r="O224" i="3"/>
  <c r="O455" i="1"/>
  <c r="O533" i="1"/>
  <c r="O551" i="1"/>
  <c r="P16" i="13"/>
  <c r="P314" i="1"/>
  <c r="K628" i="1"/>
  <c r="P68" i="11"/>
  <c r="O275" i="12"/>
  <c r="K176" i="1"/>
  <c r="O49" i="1"/>
  <c r="K306" i="1"/>
  <c r="K189" i="1"/>
  <c r="K533" i="1"/>
  <c r="K435" i="1"/>
  <c r="K624" i="1"/>
  <c r="P66" i="11"/>
  <c r="L252" i="3"/>
  <c r="O252" i="3" s="1"/>
  <c r="O553" i="1"/>
  <c r="P53" i="17"/>
  <c r="P142" i="16"/>
  <c r="L13" i="16"/>
  <c r="O13" i="16" s="1"/>
  <c r="L142" i="9"/>
  <c r="O142" i="9" s="1"/>
  <c r="K381" i="1"/>
  <c r="K199" i="1"/>
  <c r="K427" i="1"/>
  <c r="O144" i="18"/>
  <c r="L252" i="13"/>
  <c r="O252" i="13" s="1"/>
  <c r="K455" i="1"/>
  <c r="L43" i="5"/>
  <c r="L41" i="5" s="1"/>
  <c r="O41" i="5" s="1"/>
  <c r="L252" i="16"/>
  <c r="O252" i="16" s="1"/>
  <c r="O312" i="18"/>
  <c r="N20" i="13"/>
  <c r="N18" i="13" s="1"/>
  <c r="N118" i="11"/>
  <c r="P118" i="11" s="1"/>
  <c r="P331" i="4"/>
  <c r="N28" i="5"/>
  <c r="K464" i="1"/>
  <c r="K622" i="1"/>
  <c r="K547" i="1"/>
  <c r="M140" i="15"/>
  <c r="P140" i="15" s="1"/>
  <c r="O314" i="8"/>
  <c r="K593" i="1"/>
  <c r="O45" i="12"/>
  <c r="N11" i="5"/>
  <c r="N9" i="5" s="1"/>
  <c r="O31" i="4"/>
  <c r="L292" i="14"/>
  <c r="O292" i="14" s="1"/>
  <c r="O34" i="4"/>
  <c r="L55" i="13"/>
  <c r="O55" i="13" s="1"/>
  <c r="O32" i="10"/>
  <c r="O314" i="2"/>
  <c r="L96" i="12"/>
  <c r="L94" i="12" s="1"/>
  <c r="O94" i="12" s="1"/>
  <c r="P273" i="10"/>
  <c r="M290" i="4"/>
  <c r="P290" i="4" s="1"/>
  <c r="K81" i="1"/>
  <c r="L55" i="11"/>
  <c r="L53" i="11" s="1"/>
  <c r="O53" i="11" s="1"/>
  <c r="O122" i="18"/>
  <c r="O254" i="17"/>
  <c r="N20" i="10"/>
  <c r="N18" i="10" s="1"/>
  <c r="O70" i="10"/>
  <c r="P329" i="3"/>
  <c r="O564" i="1"/>
  <c r="K349" i="1"/>
  <c r="O30" i="18"/>
  <c r="K304" i="1"/>
  <c r="K430" i="1"/>
  <c r="L220" i="11"/>
  <c r="O220" i="11" s="1"/>
  <c r="O222" i="11"/>
  <c r="P94" i="17"/>
  <c r="O98" i="13"/>
  <c r="O275" i="10"/>
  <c r="L120" i="2"/>
  <c r="L118" i="2" s="1"/>
  <c r="O314" i="16"/>
  <c r="N53" i="7"/>
  <c r="P53" i="7" s="1"/>
  <c r="K623" i="1"/>
  <c r="O380" i="1"/>
  <c r="K377" i="1"/>
  <c r="K573" i="1"/>
  <c r="O30" i="16"/>
  <c r="O34" i="9"/>
  <c r="K340" i="1"/>
  <c r="P96" i="8"/>
  <c r="K465" i="1"/>
  <c r="K589" i="1"/>
  <c r="O55" i="9"/>
  <c r="M290" i="8"/>
  <c r="P290" i="8" s="1"/>
  <c r="L222" i="16"/>
  <c r="O222" i="16" s="1"/>
  <c r="P222" i="16"/>
  <c r="P118" i="12"/>
  <c r="P55" i="10"/>
  <c r="L142" i="7"/>
  <c r="O142" i="7" s="1"/>
  <c r="L252" i="8"/>
  <c r="O252" i="8" s="1"/>
  <c r="L14" i="8"/>
  <c r="O14" i="8" s="1"/>
  <c r="K309" i="1"/>
  <c r="K396" i="1"/>
  <c r="K450" i="1"/>
  <c r="P331" i="17"/>
  <c r="L312" i="9"/>
  <c r="O312" i="9" s="1"/>
  <c r="K111" i="1"/>
  <c r="N28" i="14"/>
  <c r="P96" i="6"/>
  <c r="K615" i="1"/>
  <c r="O102" i="1"/>
  <c r="L11" i="15"/>
  <c r="O11" i="15" s="1"/>
  <c r="K422" i="1"/>
  <c r="O582" i="1"/>
  <c r="K621" i="1"/>
  <c r="K613" i="1"/>
  <c r="L14" i="10"/>
  <c r="O14" i="10" s="1"/>
  <c r="K614" i="1"/>
  <c r="O437" i="1"/>
  <c r="L273" i="13"/>
  <c r="O273" i="13" s="1"/>
  <c r="O254" i="18"/>
  <c r="P142" i="13"/>
  <c r="M310" i="12"/>
  <c r="P310" i="12" s="1"/>
  <c r="L312" i="6"/>
  <c r="O312" i="6" s="1"/>
  <c r="P53" i="2"/>
  <c r="P142" i="8"/>
  <c r="P273" i="11"/>
  <c r="P250" i="18"/>
  <c r="L13" i="15"/>
  <c r="O13" i="15" s="1"/>
  <c r="N66" i="8"/>
  <c r="P142" i="5"/>
  <c r="P271" i="11"/>
  <c r="O275" i="3"/>
  <c r="P252" i="4"/>
  <c r="O337" i="1"/>
  <c r="K65" i="1"/>
  <c r="L142" i="6"/>
  <c r="O142" i="6" s="1"/>
  <c r="L96" i="18"/>
  <c r="O96" i="18" s="1"/>
  <c r="P22" i="16"/>
  <c r="L96" i="15"/>
  <c r="O96" i="15" s="1"/>
  <c r="O57" i="9"/>
  <c r="L273" i="15"/>
  <c r="O273" i="15" s="1"/>
  <c r="K417" i="1"/>
  <c r="M310" i="18"/>
  <c r="P310" i="18" s="1"/>
  <c r="L68" i="14"/>
  <c r="L66" i="14" s="1"/>
  <c r="O66" i="14" s="1"/>
  <c r="M250" i="4"/>
  <c r="P250" i="4" s="1"/>
  <c r="M20" i="2"/>
  <c r="M18" i="2" s="1"/>
  <c r="O271" i="12"/>
  <c r="K591" i="1"/>
  <c r="P222" i="9"/>
  <c r="O333" i="7"/>
  <c r="L14" i="6"/>
  <c r="O14" i="6" s="1"/>
  <c r="L43" i="6"/>
  <c r="O43" i="6" s="1"/>
  <c r="P120" i="6"/>
  <c r="K289" i="1"/>
  <c r="M290" i="12"/>
  <c r="P290" i="12" s="1"/>
  <c r="L96" i="10"/>
  <c r="L94" i="10" s="1"/>
  <c r="O94" i="10" s="1"/>
  <c r="P16" i="5"/>
  <c r="L331" i="10"/>
  <c r="P273" i="13"/>
  <c r="L292" i="12"/>
  <c r="O292" i="12" s="1"/>
  <c r="L273" i="4"/>
  <c r="L271" i="4" s="1"/>
  <c r="O271" i="4" s="1"/>
  <c r="P120" i="17"/>
  <c r="K560" i="1"/>
  <c r="O55" i="16"/>
  <c r="K397" i="1"/>
  <c r="P26" i="5"/>
  <c r="L96" i="3"/>
  <c r="O96" i="3" s="1"/>
  <c r="L24" i="1"/>
  <c r="O24" i="1" s="1"/>
  <c r="L55" i="4"/>
  <c r="O55" i="4" s="1"/>
  <c r="O271" i="10"/>
  <c r="O220" i="5"/>
  <c r="N20" i="3"/>
  <c r="N18" i="3" s="1"/>
  <c r="P337" i="1"/>
  <c r="O331" i="2"/>
  <c r="P55" i="16"/>
  <c r="P55" i="14"/>
  <c r="P53" i="12"/>
  <c r="N12" i="13"/>
  <c r="N10" i="13" s="1"/>
  <c r="P271" i="10"/>
  <c r="L96" i="6"/>
  <c r="O96" i="6" s="1"/>
  <c r="M66" i="9"/>
  <c r="P66" i="9" s="1"/>
  <c r="P96" i="5"/>
  <c r="P312" i="4"/>
  <c r="P43" i="2"/>
  <c r="L53" i="9"/>
  <c r="O53" i="9" s="1"/>
  <c r="P43" i="15"/>
  <c r="O30" i="12"/>
  <c r="O34" i="5"/>
  <c r="P98" i="1"/>
  <c r="O32" i="15"/>
  <c r="O118" i="12"/>
  <c r="L68" i="16"/>
  <c r="L66" i="16" s="1"/>
  <c r="O66" i="16" s="1"/>
  <c r="O16" i="15"/>
  <c r="P22" i="9"/>
  <c r="P22" i="2"/>
  <c r="P273" i="12"/>
  <c r="O273" i="10"/>
  <c r="P254" i="1"/>
  <c r="O34" i="16"/>
  <c r="L252" i="9"/>
  <c r="O252" i="9" s="1"/>
  <c r="N11" i="13"/>
  <c r="N9" i="13" s="1"/>
  <c r="P271" i="16"/>
  <c r="O43" i="15"/>
  <c r="O273" i="12"/>
  <c r="O32" i="6"/>
  <c r="K149" i="1"/>
  <c r="N12" i="18"/>
  <c r="N10" i="18" s="1"/>
  <c r="N31" i="1"/>
  <c r="N29" i="1" s="1"/>
  <c r="O30" i="5"/>
  <c r="M329" i="4"/>
  <c r="P329" i="4" s="1"/>
  <c r="K200" i="1"/>
  <c r="O26" i="15"/>
  <c r="P26" i="15"/>
  <c r="O292" i="10"/>
  <c r="L290" i="10"/>
  <c r="O290" i="10" s="1"/>
  <c r="O32" i="18"/>
  <c r="P271" i="12"/>
  <c r="P224" i="1"/>
  <c r="K618" i="1"/>
  <c r="O404" i="1"/>
  <c r="K630" i="1"/>
  <c r="O34" i="3"/>
  <c r="K611" i="1"/>
  <c r="K173" i="1"/>
  <c r="O250" i="17"/>
  <c r="M310" i="17"/>
  <c r="P310" i="17" s="1"/>
  <c r="N142" i="1"/>
  <c r="L30" i="15"/>
  <c r="O30" i="15" s="1"/>
  <c r="L312" i="10"/>
  <c r="L310" i="10" s="1"/>
  <c r="O310" i="10" s="1"/>
  <c r="L66" i="9"/>
  <c r="O66" i="9" s="1"/>
  <c r="L22" i="4"/>
  <c r="L12" i="4" s="1"/>
  <c r="O252" i="17"/>
  <c r="O30" i="6"/>
  <c r="N28" i="17"/>
  <c r="P142" i="4"/>
  <c r="O34" i="10"/>
  <c r="K619" i="1"/>
  <c r="N26" i="1"/>
  <c r="N16" i="1" s="1"/>
  <c r="M66" i="17"/>
  <c r="P66" i="17" s="1"/>
  <c r="L68" i="18"/>
  <c r="O68" i="18" s="1"/>
  <c r="L292" i="13"/>
  <c r="O292" i="13" s="1"/>
  <c r="O224" i="13"/>
  <c r="N11" i="11"/>
  <c r="N9" i="11" s="1"/>
  <c r="M118" i="10"/>
  <c r="P118" i="10" s="1"/>
  <c r="L96" i="2"/>
  <c r="L94" i="2" s="1"/>
  <c r="O94" i="2" s="1"/>
  <c r="P68" i="10"/>
  <c r="N220" i="4"/>
  <c r="N37" i="4" s="1"/>
  <c r="L43" i="7"/>
  <c r="L41" i="7" s="1"/>
  <c r="O41" i="7" s="1"/>
  <c r="K616" i="1"/>
  <c r="K64" i="1"/>
  <c r="K83" i="1"/>
  <c r="O120" i="12"/>
  <c r="L22" i="15"/>
  <c r="O22" i="15" s="1"/>
  <c r="M16" i="15"/>
  <c r="P16" i="15" s="1"/>
  <c r="O34" i="13"/>
  <c r="L331" i="12"/>
  <c r="O331" i="12" s="1"/>
  <c r="P96" i="11"/>
  <c r="O329" i="5"/>
  <c r="O32" i="5"/>
  <c r="L222" i="6"/>
  <c r="L220" i="6" s="1"/>
  <c r="O220" i="6" s="1"/>
  <c r="L252" i="4"/>
  <c r="O252" i="4" s="1"/>
  <c r="O331" i="4"/>
  <c r="P222" i="2"/>
  <c r="K612" i="1"/>
  <c r="N11" i="14"/>
  <c r="N9" i="14" s="1"/>
  <c r="P142" i="6"/>
  <c r="O329" i="3"/>
  <c r="P250" i="17"/>
  <c r="O30" i="14"/>
  <c r="P252" i="17"/>
  <c r="O224" i="5"/>
  <c r="P96" i="18"/>
  <c r="M20" i="16"/>
  <c r="M18" i="16" s="1"/>
  <c r="P120" i="13"/>
  <c r="O34" i="15"/>
  <c r="M94" i="16"/>
  <c r="P94" i="16" s="1"/>
  <c r="M94" i="15"/>
  <c r="P94" i="15" s="1"/>
  <c r="P53" i="15"/>
  <c r="P120" i="12"/>
  <c r="O70" i="9"/>
  <c r="M271" i="9"/>
  <c r="P271" i="9" s="1"/>
  <c r="P140" i="6"/>
  <c r="O222" i="5"/>
  <c r="P55" i="3"/>
  <c r="L22" i="16"/>
  <c r="L20" i="16" s="1"/>
  <c r="L18" i="16" s="1"/>
  <c r="L252" i="10"/>
  <c r="N29" i="7"/>
  <c r="N28" i="7" s="1"/>
  <c r="N11" i="7"/>
  <c r="N9" i="7" s="1"/>
  <c r="O312" i="12"/>
  <c r="L310" i="12"/>
  <c r="O310" i="12" s="1"/>
  <c r="O68" i="13"/>
  <c r="L66" i="13"/>
  <c r="O66" i="13" s="1"/>
  <c r="N55" i="1"/>
  <c r="N53" i="1" s="1"/>
  <c r="P53" i="1" s="1"/>
  <c r="P331" i="18"/>
  <c r="N14" i="15"/>
  <c r="P331" i="13"/>
  <c r="M271" i="13"/>
  <c r="P271" i="13" s="1"/>
  <c r="P220" i="8"/>
  <c r="O32" i="7"/>
  <c r="O31" i="9"/>
  <c r="O439" i="1"/>
  <c r="P57" i="1"/>
  <c r="P55" i="17"/>
  <c r="P55" i="12"/>
  <c r="O32" i="14"/>
  <c r="K597" i="1"/>
  <c r="N20" i="2"/>
  <c r="N18" i="2" s="1"/>
  <c r="N29" i="9"/>
  <c r="N28" i="9" s="1"/>
  <c r="N11" i="9"/>
  <c r="N9" i="9" s="1"/>
  <c r="M94" i="9"/>
  <c r="P94" i="9" s="1"/>
  <c r="L222" i="2"/>
  <c r="L220" i="2" s="1"/>
  <c r="O314" i="12"/>
  <c r="O34" i="17"/>
  <c r="O53" i="16"/>
  <c r="P273" i="16"/>
  <c r="P53" i="13"/>
  <c r="L41" i="15"/>
  <c r="O41" i="15" s="1"/>
  <c r="L120" i="14"/>
  <c r="O120" i="14" s="1"/>
  <c r="P26" i="13"/>
  <c r="M290" i="11"/>
  <c r="P290" i="11" s="1"/>
  <c r="L22" i="12"/>
  <c r="O22" i="12" s="1"/>
  <c r="P53" i="11"/>
  <c r="M331" i="11"/>
  <c r="M329" i="11" s="1"/>
  <c r="P329" i="11" s="1"/>
  <c r="M310" i="7"/>
  <c r="P310" i="7" s="1"/>
  <c r="L310" i="8"/>
  <c r="O310" i="8" s="1"/>
  <c r="P43" i="7"/>
  <c r="L292" i="9"/>
  <c r="L290" i="9" s="1"/>
  <c r="O290" i="9" s="1"/>
  <c r="L222" i="4"/>
  <c r="O222" i="4" s="1"/>
  <c r="K86" i="1"/>
  <c r="O331" i="3"/>
  <c r="M16" i="3"/>
  <c r="P16" i="3" s="1"/>
  <c r="L13" i="2"/>
  <c r="O13" i="2" s="1"/>
  <c r="N271" i="15"/>
  <c r="P271" i="15" s="1"/>
  <c r="M26" i="10"/>
  <c r="N68" i="1"/>
  <c r="P94" i="5"/>
  <c r="K215" i="1"/>
  <c r="P329" i="13"/>
  <c r="P66" i="15"/>
  <c r="L118" i="18"/>
  <c r="O118" i="18" s="1"/>
  <c r="O16" i="16"/>
  <c r="L14" i="14"/>
  <c r="O14" i="14" s="1"/>
  <c r="O331" i="11"/>
  <c r="L43" i="11"/>
  <c r="O43" i="11" s="1"/>
  <c r="O122" i="12"/>
  <c r="N28" i="12"/>
  <c r="O599" i="1"/>
  <c r="P96" i="17"/>
  <c r="N29" i="10"/>
  <c r="N28" i="10" s="1"/>
  <c r="N11" i="10"/>
  <c r="N9" i="10" s="1"/>
  <c r="L13" i="14"/>
  <c r="O13" i="14" s="1"/>
  <c r="P55" i="11"/>
  <c r="N34" i="1"/>
  <c r="N14" i="1" s="1"/>
  <c r="M102" i="1"/>
  <c r="P102" i="1" s="1"/>
  <c r="L22" i="18"/>
  <c r="L20" i="18" s="1"/>
  <c r="N10" i="17"/>
  <c r="P120" i="15"/>
  <c r="O45" i="14"/>
  <c r="L120" i="15"/>
  <c r="N20" i="11"/>
  <c r="N18" i="11" s="1"/>
  <c r="L273" i="11"/>
  <c r="O24" i="10"/>
  <c r="L22" i="7"/>
  <c r="L20" i="7" s="1"/>
  <c r="L18" i="7" s="1"/>
  <c r="P66" i="6"/>
  <c r="M96" i="3"/>
  <c r="P96" i="3" s="1"/>
  <c r="L68" i="4"/>
  <c r="O68" i="4" s="1"/>
  <c r="N312" i="1"/>
  <c r="P68" i="6"/>
  <c r="O30" i="11"/>
  <c r="L273" i="18"/>
  <c r="O273" i="18" s="1"/>
  <c r="N20" i="17"/>
  <c r="N18" i="17" s="1"/>
  <c r="N11" i="16"/>
  <c r="N9" i="16" s="1"/>
  <c r="M310" i="16"/>
  <c r="P310" i="16" s="1"/>
  <c r="M66" i="13"/>
  <c r="P66" i="13" s="1"/>
  <c r="O57" i="10"/>
  <c r="P331" i="3"/>
  <c r="K429" i="1"/>
  <c r="O55" i="10"/>
  <c r="L53" i="10"/>
  <c r="O53" i="10" s="1"/>
  <c r="P290" i="18"/>
  <c r="P252" i="18"/>
  <c r="M41" i="17"/>
  <c r="P41" i="17" s="1"/>
  <c r="N118" i="16"/>
  <c r="N37" i="16" s="1"/>
  <c r="P222" i="15"/>
  <c r="O222" i="15"/>
  <c r="O34" i="11"/>
  <c r="N12" i="11"/>
  <c r="N10" i="11" s="1"/>
  <c r="P43" i="9"/>
  <c r="M53" i="10"/>
  <c r="P53" i="10" s="1"/>
  <c r="O331" i="5"/>
  <c r="P275" i="1"/>
  <c r="L14" i="4"/>
  <c r="O14" i="4" s="1"/>
  <c r="O34" i="2"/>
  <c r="O144" i="17"/>
  <c r="L142" i="17"/>
  <c r="L140" i="17" s="1"/>
  <c r="O140" i="17" s="1"/>
  <c r="P222" i="12"/>
  <c r="L292" i="4"/>
  <c r="O294" i="4"/>
  <c r="O331" i="14"/>
  <c r="O53" i="8"/>
  <c r="L331" i="13"/>
  <c r="O333" i="13"/>
  <c r="L29" i="17"/>
  <c r="O29" i="17" s="1"/>
  <c r="O31" i="17"/>
  <c r="O26" i="16"/>
  <c r="P74" i="12"/>
  <c r="M68" i="12"/>
  <c r="M68" i="1" s="1"/>
  <c r="M74" i="1"/>
  <c r="P74" i="1" s="1"/>
  <c r="N37" i="12"/>
  <c r="L224" i="1"/>
  <c r="O224" i="1" s="1"/>
  <c r="N252" i="1"/>
  <c r="L22" i="6"/>
  <c r="O22" i="6" s="1"/>
  <c r="N250" i="8"/>
  <c r="N310" i="2"/>
  <c r="P310" i="2" s="1"/>
  <c r="N16" i="9"/>
  <c r="N20" i="9"/>
  <c r="N18" i="9" s="1"/>
  <c r="P140" i="7"/>
  <c r="K633" i="1"/>
  <c r="M329" i="12"/>
  <c r="P329" i="12" s="1"/>
  <c r="N37" i="17"/>
  <c r="M220" i="18"/>
  <c r="P220" i="18" s="1"/>
  <c r="M290" i="17"/>
  <c r="P290" i="17" s="1"/>
  <c r="P140" i="17"/>
  <c r="M118" i="15"/>
  <c r="P118" i="15" s="1"/>
  <c r="O333" i="14"/>
  <c r="N250" i="11"/>
  <c r="O250" i="11" s="1"/>
  <c r="N96" i="1"/>
  <c r="O32" i="11"/>
  <c r="M66" i="10"/>
  <c r="P66" i="10" s="1"/>
  <c r="N290" i="1"/>
  <c r="L34" i="1"/>
  <c r="O120" i="16"/>
  <c r="N11" i="12"/>
  <c r="N9" i="12" s="1"/>
  <c r="O43" i="16"/>
  <c r="O252" i="11"/>
  <c r="M94" i="6"/>
  <c r="P94" i="6" s="1"/>
  <c r="M329" i="17"/>
  <c r="P329" i="17" s="1"/>
  <c r="M53" i="14"/>
  <c r="P53" i="14" s="1"/>
  <c r="N37" i="13"/>
  <c r="L120" i="13"/>
  <c r="L118" i="13" s="1"/>
  <c r="O118" i="13" s="1"/>
  <c r="P220" i="12"/>
  <c r="N37" i="9"/>
  <c r="P140" i="8"/>
  <c r="O34" i="7"/>
  <c r="P140" i="4"/>
  <c r="P312" i="2"/>
  <c r="N120" i="1"/>
  <c r="N11" i="2"/>
  <c r="N9" i="2" s="1"/>
  <c r="L96" i="17"/>
  <c r="O98" i="17"/>
  <c r="L11" i="3"/>
  <c r="O11" i="3" s="1"/>
  <c r="L29" i="3"/>
  <c r="O29" i="3" s="1"/>
  <c r="O31" i="3"/>
  <c r="M26" i="4"/>
  <c r="M16" i="4" s="1"/>
  <c r="M43" i="4"/>
  <c r="L273" i="17"/>
  <c r="O273" i="17" s="1"/>
  <c r="L94" i="13"/>
  <c r="O94" i="13" s="1"/>
  <c r="P94" i="8"/>
  <c r="L22" i="5"/>
  <c r="O22" i="5" s="1"/>
  <c r="L120" i="3"/>
  <c r="L118" i="3" s="1"/>
  <c r="O118" i="3" s="1"/>
  <c r="P329" i="16"/>
  <c r="P331" i="15"/>
  <c r="L275" i="1"/>
  <c r="O275" i="1" s="1"/>
  <c r="L41" i="16"/>
  <c r="O41" i="16" s="1"/>
  <c r="M329" i="15"/>
  <c r="P329" i="15" s="1"/>
  <c r="M220" i="10"/>
  <c r="P220" i="10" s="1"/>
  <c r="P53" i="8"/>
  <c r="P55" i="2"/>
  <c r="O45" i="18"/>
  <c r="L43" i="18"/>
  <c r="L41" i="18" s="1"/>
  <c r="P55" i="15"/>
  <c r="N118" i="6"/>
  <c r="P118" i="6" s="1"/>
  <c r="L292" i="3"/>
  <c r="O294" i="3"/>
  <c r="O314" i="3"/>
  <c r="L312" i="3"/>
  <c r="P43" i="11"/>
  <c r="M41" i="11"/>
  <c r="P250" i="2"/>
  <c r="O41" i="10"/>
  <c r="O11" i="14"/>
  <c r="L9" i="14"/>
  <c r="O273" i="14"/>
  <c r="L271" i="14"/>
  <c r="O271" i="14" s="1"/>
  <c r="P292" i="13"/>
  <c r="M290" i="13"/>
  <c r="P290" i="13" s="1"/>
  <c r="P142" i="12"/>
  <c r="M140" i="12"/>
  <c r="P140" i="12" s="1"/>
  <c r="P66" i="2"/>
  <c r="P19" i="17"/>
  <c r="P22" i="17"/>
  <c r="M12" i="17"/>
  <c r="M9" i="17"/>
  <c r="P11" i="17"/>
  <c r="P41" i="15"/>
  <c r="P43" i="16"/>
  <c r="M41" i="16"/>
  <c r="L14" i="17"/>
  <c r="O14" i="17" s="1"/>
  <c r="O57" i="14"/>
  <c r="L55" i="14"/>
  <c r="O220" i="13"/>
  <c r="N140" i="14"/>
  <c r="M66" i="14"/>
  <c r="P66" i="14" s="1"/>
  <c r="L22" i="14"/>
  <c r="M118" i="13"/>
  <c r="P118" i="13" s="1"/>
  <c r="P43" i="12"/>
  <c r="M41" i="12"/>
  <c r="N37" i="10"/>
  <c r="O23" i="11"/>
  <c r="L13" i="11"/>
  <c r="O13" i="11" s="1"/>
  <c r="P41" i="10"/>
  <c r="O142" i="10"/>
  <c r="L140" i="10"/>
  <c r="O140" i="10" s="1"/>
  <c r="P96" i="7"/>
  <c r="M94" i="7"/>
  <c r="P94" i="7" s="1"/>
  <c r="O96" i="9"/>
  <c r="L94" i="9"/>
  <c r="O94" i="9" s="1"/>
  <c r="O26" i="8"/>
  <c r="L16" i="8"/>
  <c r="O16" i="8" s="1"/>
  <c r="O222" i="8"/>
  <c r="L220" i="8"/>
  <c r="O220" i="8" s="1"/>
  <c r="O275" i="7"/>
  <c r="L273" i="7"/>
  <c r="P29" i="9"/>
  <c r="M28" i="9"/>
  <c r="P28" i="9" s="1"/>
  <c r="L14" i="7"/>
  <c r="O14" i="7" s="1"/>
  <c r="M41" i="7"/>
  <c r="P292" i="5"/>
  <c r="M290" i="5"/>
  <c r="P290" i="5" s="1"/>
  <c r="O122" i="6"/>
  <c r="L120" i="6"/>
  <c r="O68" i="10"/>
  <c r="L66" i="10"/>
  <c r="O66" i="10" s="1"/>
  <c r="P9" i="4"/>
  <c r="O329" i="2"/>
  <c r="L23" i="1"/>
  <c r="O19" i="4"/>
  <c r="O24" i="3"/>
  <c r="L14" i="3"/>
  <c r="O14" i="3" s="1"/>
  <c r="O351" i="1"/>
  <c r="L31" i="1"/>
  <c r="L11" i="1" s="1"/>
  <c r="M9" i="3"/>
  <c r="P11" i="3"/>
  <c r="O29" i="4"/>
  <c r="N331" i="1"/>
  <c r="O26" i="11"/>
  <c r="L16" i="11"/>
  <c r="O16" i="11" s="1"/>
  <c r="L29" i="8"/>
  <c r="O31" i="8"/>
  <c r="L13" i="4"/>
  <c r="O13" i="4" s="1"/>
  <c r="O23" i="4"/>
  <c r="P273" i="4"/>
  <c r="M271" i="4"/>
  <c r="P271" i="4" s="1"/>
  <c r="P11" i="2"/>
  <c r="M9" i="2"/>
  <c r="O142" i="18"/>
  <c r="L140" i="18"/>
  <c r="O140" i="18" s="1"/>
  <c r="L290" i="18"/>
  <c r="O290" i="18" s="1"/>
  <c r="O292" i="18"/>
  <c r="L118" i="17"/>
  <c r="O118" i="17" s="1"/>
  <c r="N20" i="15"/>
  <c r="N18" i="15" s="1"/>
  <c r="N12" i="15"/>
  <c r="N10" i="15" s="1"/>
  <c r="O220" i="15"/>
  <c r="O26" i="14"/>
  <c r="L16" i="14"/>
  <c r="O16" i="14" s="1"/>
  <c r="M53" i="16"/>
  <c r="P53" i="16" s="1"/>
  <c r="P142" i="14"/>
  <c r="P120" i="14"/>
  <c r="M118" i="14"/>
  <c r="P118" i="14" s="1"/>
  <c r="M250" i="13"/>
  <c r="P250" i="13" s="1"/>
  <c r="O19" i="14"/>
  <c r="O32" i="13"/>
  <c r="L30" i="13"/>
  <c r="O30" i="13" s="1"/>
  <c r="O43" i="12"/>
  <c r="L41" i="12"/>
  <c r="O19" i="11"/>
  <c r="P312" i="11"/>
  <c r="M310" i="11"/>
  <c r="P310" i="11" s="1"/>
  <c r="O98" i="11"/>
  <c r="L96" i="11"/>
  <c r="M329" i="9"/>
  <c r="P329" i="9" s="1"/>
  <c r="P331" i="9"/>
  <c r="M9" i="10"/>
  <c r="P11" i="10"/>
  <c r="L120" i="9"/>
  <c r="O122" i="9"/>
  <c r="L273" i="9"/>
  <c r="O275" i="9"/>
  <c r="P41" i="9"/>
  <c r="P22" i="7"/>
  <c r="M12" i="7"/>
  <c r="O26" i="9"/>
  <c r="L16" i="9"/>
  <c r="M26" i="8"/>
  <c r="M20" i="8" s="1"/>
  <c r="M43" i="8"/>
  <c r="P49" i="8"/>
  <c r="L312" i="7"/>
  <c r="O314" i="7"/>
  <c r="M220" i="9"/>
  <c r="P220" i="9" s="1"/>
  <c r="M53" i="6"/>
  <c r="P53" i="6" s="1"/>
  <c r="P26" i="6"/>
  <c r="M16" i="6"/>
  <c r="P16" i="6" s="1"/>
  <c r="O19" i="8"/>
  <c r="P331" i="5"/>
  <c r="M329" i="5"/>
  <c r="P329" i="5" s="1"/>
  <c r="O70" i="6"/>
  <c r="L68" i="6"/>
  <c r="P43" i="5"/>
  <c r="M41" i="5"/>
  <c r="N271" i="6"/>
  <c r="P22" i="4"/>
  <c r="M12" i="4"/>
  <c r="L14" i="9"/>
  <c r="O14" i="9" s="1"/>
  <c r="M142" i="1"/>
  <c r="P142" i="2"/>
  <c r="P41" i="6"/>
  <c r="L14" i="5"/>
  <c r="O14" i="5" s="1"/>
  <c r="N29" i="4"/>
  <c r="N28" i="4" s="1"/>
  <c r="N11" i="4"/>
  <c r="N9" i="4" s="1"/>
  <c r="O26" i="2"/>
  <c r="L16" i="2"/>
  <c r="O16" i="2" s="1"/>
  <c r="N22" i="1"/>
  <c r="N43" i="1"/>
  <c r="N41" i="1" s="1"/>
  <c r="O292" i="6"/>
  <c r="L290" i="6"/>
  <c r="O290" i="6" s="1"/>
  <c r="O23" i="5"/>
  <c r="L13" i="5"/>
  <c r="O13" i="5" s="1"/>
  <c r="L220" i="3"/>
  <c r="L29" i="2"/>
  <c r="L11" i="2"/>
  <c r="O31" i="2"/>
  <c r="N11" i="3"/>
  <c r="N9" i="3" s="1"/>
  <c r="L118" i="4"/>
  <c r="O118" i="4" s="1"/>
  <c r="L26" i="1"/>
  <c r="P68" i="18"/>
  <c r="M66" i="18"/>
  <c r="P66" i="18" s="1"/>
  <c r="P55" i="18"/>
  <c r="M53" i="18"/>
  <c r="P43" i="14"/>
  <c r="M41" i="14"/>
  <c r="N20" i="7"/>
  <c r="N18" i="7" s="1"/>
  <c r="N12" i="7"/>
  <c r="N10" i="7" s="1"/>
  <c r="O45" i="9"/>
  <c r="L43" i="9"/>
  <c r="L22" i="9"/>
  <c r="P292" i="6"/>
  <c r="M290" i="6"/>
  <c r="P290" i="6" s="1"/>
  <c r="P26" i="18"/>
  <c r="M16" i="18"/>
  <c r="P16" i="18" s="1"/>
  <c r="P22" i="18"/>
  <c r="M12" i="18"/>
  <c r="M20" i="18"/>
  <c r="P49" i="17"/>
  <c r="M26" i="17"/>
  <c r="M20" i="17" s="1"/>
  <c r="O23" i="17"/>
  <c r="L13" i="17"/>
  <c r="O13" i="17" s="1"/>
  <c r="O294" i="17"/>
  <c r="L292" i="17"/>
  <c r="P142" i="17"/>
  <c r="M220" i="16"/>
  <c r="P220" i="16" s="1"/>
  <c r="P331" i="16"/>
  <c r="O32" i="16"/>
  <c r="M20" i="15"/>
  <c r="P22" i="15"/>
  <c r="M12" i="15"/>
  <c r="P94" i="14"/>
  <c r="O24" i="15"/>
  <c r="L14" i="15"/>
  <c r="O329" i="14"/>
  <c r="P312" i="14"/>
  <c r="M310" i="14"/>
  <c r="P310" i="14" s="1"/>
  <c r="N20" i="14"/>
  <c r="N18" i="14" s="1"/>
  <c r="N12" i="14"/>
  <c r="N10" i="14" s="1"/>
  <c r="P26" i="14"/>
  <c r="M16" i="14"/>
  <c r="P16" i="14" s="1"/>
  <c r="P22" i="12"/>
  <c r="M12" i="12"/>
  <c r="O122" i="11"/>
  <c r="L120" i="11"/>
  <c r="P252" i="12"/>
  <c r="M250" i="12"/>
  <c r="P250" i="12" s="1"/>
  <c r="O32" i="12"/>
  <c r="P22" i="11"/>
  <c r="M12" i="11"/>
  <c r="L29" i="11"/>
  <c r="O31" i="11"/>
  <c r="M66" i="7"/>
  <c r="P66" i="7" s="1"/>
  <c r="P68" i="7"/>
  <c r="M9" i="6"/>
  <c r="P11" i="6"/>
  <c r="O23" i="6"/>
  <c r="L13" i="6"/>
  <c r="O13" i="6" s="1"/>
  <c r="P19" i="9"/>
  <c r="P337" i="8"/>
  <c r="M331" i="8"/>
  <c r="L11" i="8"/>
  <c r="M220" i="6"/>
  <c r="P220" i="6" s="1"/>
  <c r="P222" i="6"/>
  <c r="O57" i="6"/>
  <c r="L55" i="6"/>
  <c r="L9" i="9"/>
  <c r="O11" i="9"/>
  <c r="M53" i="5"/>
  <c r="P53" i="5" s="1"/>
  <c r="N12" i="5"/>
  <c r="N10" i="5" s="1"/>
  <c r="N20" i="5"/>
  <c r="N18" i="5" s="1"/>
  <c r="O30" i="7"/>
  <c r="P55" i="4"/>
  <c r="M53" i="4"/>
  <c r="P53" i="4" s="1"/>
  <c r="P122" i="1"/>
  <c r="P22" i="3"/>
  <c r="M12" i="3"/>
  <c r="M20" i="3"/>
  <c r="P68" i="3"/>
  <c r="M66" i="3"/>
  <c r="P66" i="3" s="1"/>
  <c r="O57" i="5"/>
  <c r="L55" i="5"/>
  <c r="M329" i="2"/>
  <c r="P331" i="2"/>
  <c r="O383" i="1"/>
  <c r="L32" i="1"/>
  <c r="M312" i="1"/>
  <c r="M10" i="2"/>
  <c r="O24" i="2"/>
  <c r="L14" i="2"/>
  <c r="O14" i="2" s="1"/>
  <c r="N118" i="2"/>
  <c r="P11" i="1"/>
  <c r="M9" i="1"/>
  <c r="M222" i="1"/>
  <c r="P120" i="2"/>
  <c r="O70" i="2"/>
  <c r="L68" i="2"/>
  <c r="L70" i="1"/>
  <c r="O70" i="1" s="1"/>
  <c r="O312" i="2"/>
  <c r="L310" i="2"/>
  <c r="O275" i="5"/>
  <c r="L273" i="5"/>
  <c r="O254" i="5"/>
  <c r="L252" i="5"/>
  <c r="P43" i="3"/>
  <c r="M41" i="3"/>
  <c r="O23" i="18"/>
  <c r="L13" i="18"/>
  <c r="O13" i="18" s="1"/>
  <c r="N20" i="18"/>
  <c r="N18" i="18" s="1"/>
  <c r="O26" i="17"/>
  <c r="L16" i="17"/>
  <c r="O16" i="17" s="1"/>
  <c r="N20" i="16"/>
  <c r="N12" i="16"/>
  <c r="N10" i="16" s="1"/>
  <c r="P220" i="13"/>
  <c r="M9" i="13"/>
  <c r="P11" i="13"/>
  <c r="O312" i="15"/>
  <c r="L310" i="15"/>
  <c r="O310" i="15" s="1"/>
  <c r="O23" i="13"/>
  <c r="L13" i="13"/>
  <c r="O13" i="13" s="1"/>
  <c r="M140" i="13"/>
  <c r="P140" i="13" s="1"/>
  <c r="P331" i="14"/>
  <c r="M329" i="14"/>
  <c r="P329" i="14" s="1"/>
  <c r="M20" i="13"/>
  <c r="P22" i="13"/>
  <c r="M12" i="13"/>
  <c r="O57" i="12"/>
  <c r="L55" i="12"/>
  <c r="P49" i="11"/>
  <c r="M26" i="11"/>
  <c r="L68" i="11"/>
  <c r="O70" i="11"/>
  <c r="N20" i="12"/>
  <c r="N18" i="12" s="1"/>
  <c r="N12" i="12"/>
  <c r="N10" i="12" s="1"/>
  <c r="O224" i="10"/>
  <c r="L222" i="10"/>
  <c r="M12" i="10"/>
  <c r="P22" i="10"/>
  <c r="O333" i="8"/>
  <c r="L331" i="8"/>
  <c r="M20" i="6"/>
  <c r="P22" i="6"/>
  <c r="M12" i="6"/>
  <c r="O23" i="9"/>
  <c r="L13" i="9"/>
  <c r="O13" i="9" s="1"/>
  <c r="O32" i="8"/>
  <c r="L30" i="8"/>
  <c r="O30" i="8" s="1"/>
  <c r="N292" i="1"/>
  <c r="L329" i="7"/>
  <c r="O329" i="7" s="1"/>
  <c r="O331" i="7"/>
  <c r="N20" i="6"/>
  <c r="N18" i="6" s="1"/>
  <c r="N12" i="6"/>
  <c r="N10" i="6" s="1"/>
  <c r="N8" i="6" s="1"/>
  <c r="O144" i="5"/>
  <c r="L142" i="5"/>
  <c r="P331" i="6"/>
  <c r="M329" i="6"/>
  <c r="P329" i="6" s="1"/>
  <c r="O275" i="6"/>
  <c r="L273" i="6"/>
  <c r="M53" i="3"/>
  <c r="P53" i="3" s="1"/>
  <c r="N33" i="1"/>
  <c r="N13" i="1" s="1"/>
  <c r="P45" i="1"/>
  <c r="M22" i="1"/>
  <c r="O31" i="5"/>
  <c r="L29" i="5"/>
  <c r="L11" i="5"/>
  <c r="O254" i="2"/>
  <c r="L254" i="1"/>
  <c r="O254" i="1" s="1"/>
  <c r="L252" i="2"/>
  <c r="M310" i="4"/>
  <c r="P310" i="4" s="1"/>
  <c r="N12" i="2"/>
  <c r="N10" i="2" s="1"/>
  <c r="N30" i="2"/>
  <c r="O30" i="2" s="1"/>
  <c r="N12" i="3"/>
  <c r="N10" i="3" s="1"/>
  <c r="P19" i="1"/>
  <c r="L22" i="13"/>
  <c r="O45" i="13"/>
  <c r="L43" i="13"/>
  <c r="O11" i="12"/>
  <c r="L9" i="12"/>
  <c r="O224" i="7"/>
  <c r="L222" i="7"/>
  <c r="P9" i="8"/>
  <c r="P22" i="5"/>
  <c r="M12" i="5"/>
  <c r="M20" i="5"/>
  <c r="K369" i="1"/>
  <c r="I367" i="1"/>
  <c r="K367" i="1" s="1"/>
  <c r="O314" i="17"/>
  <c r="L312" i="17"/>
  <c r="L29" i="16"/>
  <c r="L11" i="16"/>
  <c r="O31" i="16"/>
  <c r="M9" i="16"/>
  <c r="P11" i="16"/>
  <c r="P19" i="16"/>
  <c r="N28" i="16"/>
  <c r="P11" i="15"/>
  <c r="M9" i="15"/>
  <c r="O43" i="14"/>
  <c r="L41" i="14"/>
  <c r="M41" i="13"/>
  <c r="M20" i="14"/>
  <c r="P22" i="14"/>
  <c r="M12" i="14"/>
  <c r="O26" i="13"/>
  <c r="L16" i="13"/>
  <c r="O16" i="13" s="1"/>
  <c r="P11" i="11"/>
  <c r="M9" i="11"/>
  <c r="P222" i="13"/>
  <c r="M28" i="13"/>
  <c r="P28" i="13" s="1"/>
  <c r="P29" i="13"/>
  <c r="M290" i="15"/>
  <c r="P290" i="15" s="1"/>
  <c r="O26" i="12"/>
  <c r="L16" i="12"/>
  <c r="O16" i="12" s="1"/>
  <c r="O19" i="12"/>
  <c r="L120" i="10"/>
  <c r="O122" i="10"/>
  <c r="L14" i="13"/>
  <c r="O14" i="13" s="1"/>
  <c r="O33" i="10"/>
  <c r="L13" i="10"/>
  <c r="O13" i="10" s="1"/>
  <c r="O24" i="11"/>
  <c r="L14" i="11"/>
  <c r="O14" i="11" s="1"/>
  <c r="L22" i="10"/>
  <c r="O122" i="7"/>
  <c r="L120" i="7"/>
  <c r="O292" i="7"/>
  <c r="L290" i="7"/>
  <c r="O290" i="7" s="1"/>
  <c r="O31" i="7"/>
  <c r="L11" i="7"/>
  <c r="L29" i="7"/>
  <c r="O26" i="7"/>
  <c r="L16" i="7"/>
  <c r="O16" i="7" s="1"/>
  <c r="P273" i="7"/>
  <c r="N271" i="7"/>
  <c r="L16" i="10"/>
  <c r="O16" i="10" s="1"/>
  <c r="O26" i="10"/>
  <c r="O23" i="8"/>
  <c r="L13" i="8"/>
  <c r="O13" i="8" s="1"/>
  <c r="P250" i="3"/>
  <c r="L22" i="3"/>
  <c r="O45" i="3"/>
  <c r="L43" i="3"/>
  <c r="L45" i="1"/>
  <c r="P68" i="4"/>
  <c r="M66" i="4"/>
  <c r="P66" i="4" s="1"/>
  <c r="N273" i="1"/>
  <c r="M41" i="2"/>
  <c r="N16" i="4"/>
  <c r="N20" i="4"/>
  <c r="N18" i="4" s="1"/>
  <c r="O144" i="2"/>
  <c r="L142" i="2"/>
  <c r="L144" i="1"/>
  <c r="O144" i="1" s="1"/>
  <c r="P292" i="2"/>
  <c r="M292" i="1"/>
  <c r="M290" i="2"/>
  <c r="O42" i="1"/>
  <c r="O26" i="4"/>
  <c r="O352" i="1"/>
  <c r="N32" i="1"/>
  <c r="N30" i="1" s="1"/>
  <c r="M310" i="3"/>
  <c r="P310" i="3" s="1"/>
  <c r="L314" i="1"/>
  <c r="O314" i="1" s="1"/>
  <c r="O57" i="2"/>
  <c r="L55" i="2"/>
  <c r="L57" i="1"/>
  <c r="L55" i="17"/>
  <c r="O57" i="17"/>
  <c r="O333" i="9"/>
  <c r="L331" i="9"/>
  <c r="O19" i="6"/>
  <c r="O26" i="6"/>
  <c r="L16" i="6"/>
  <c r="O16" i="6" s="1"/>
  <c r="O57" i="18"/>
  <c r="L55" i="18"/>
  <c r="O11" i="17"/>
  <c r="L9" i="17"/>
  <c r="N28" i="18"/>
  <c r="P222" i="17"/>
  <c r="M220" i="17"/>
  <c r="P220" i="17" s="1"/>
  <c r="O331" i="17"/>
  <c r="L329" i="17"/>
  <c r="O329" i="17" s="1"/>
  <c r="O32" i="17"/>
  <c r="L30" i="17"/>
  <c r="L22" i="17"/>
  <c r="O45" i="17"/>
  <c r="L43" i="17"/>
  <c r="M66" i="16"/>
  <c r="P66" i="16" s="1"/>
  <c r="L252" i="15"/>
  <c r="O254" i="15"/>
  <c r="L29" i="13"/>
  <c r="O31" i="13"/>
  <c r="M28" i="14"/>
  <c r="P28" i="14" s="1"/>
  <c r="O34" i="14"/>
  <c r="M271" i="14"/>
  <c r="P271" i="14" s="1"/>
  <c r="P273" i="14"/>
  <c r="O144" i="13"/>
  <c r="L142" i="13"/>
  <c r="P312" i="13"/>
  <c r="M310" i="13"/>
  <c r="P310" i="13" s="1"/>
  <c r="O222" i="13"/>
  <c r="P49" i="12"/>
  <c r="M26" i="12"/>
  <c r="P337" i="9"/>
  <c r="M26" i="9"/>
  <c r="O43" i="10"/>
  <c r="P142" i="9"/>
  <c r="M140" i="9"/>
  <c r="P140" i="9" s="1"/>
  <c r="O55" i="8"/>
  <c r="M118" i="7"/>
  <c r="P118" i="7" s="1"/>
  <c r="M26" i="7"/>
  <c r="P49" i="7"/>
  <c r="M49" i="1"/>
  <c r="P96" i="12"/>
  <c r="M94" i="12"/>
  <c r="P94" i="12" s="1"/>
  <c r="O23" i="7"/>
  <c r="L13" i="7"/>
  <c r="O13" i="7" s="1"/>
  <c r="N12" i="8"/>
  <c r="N10" i="8" s="1"/>
  <c r="N20" i="8"/>
  <c r="N18" i="8" s="1"/>
  <c r="L120" i="5"/>
  <c r="O122" i="5"/>
  <c r="L122" i="1"/>
  <c r="O122" i="1" s="1"/>
  <c r="L292" i="8"/>
  <c r="O294" i="8"/>
  <c r="L294" i="1"/>
  <c r="O294" i="1" s="1"/>
  <c r="P55" i="8"/>
  <c r="O26" i="3"/>
  <c r="L16" i="3"/>
  <c r="O16" i="3" s="1"/>
  <c r="P96" i="4"/>
  <c r="M94" i="4"/>
  <c r="P94" i="4" s="1"/>
  <c r="P68" i="5"/>
  <c r="M66" i="5"/>
  <c r="P66" i="5" s="1"/>
  <c r="L30" i="4"/>
  <c r="O30" i="4" s="1"/>
  <c r="O32" i="4"/>
  <c r="O34" i="8"/>
  <c r="N271" i="5"/>
  <c r="P271" i="5" s="1"/>
  <c r="P29" i="3"/>
  <c r="M28" i="3"/>
  <c r="P28" i="3" s="1"/>
  <c r="N220" i="2"/>
  <c r="N222" i="1"/>
  <c r="O312" i="5"/>
  <c r="L310" i="5"/>
  <c r="O310" i="5" s="1"/>
  <c r="M140" i="2"/>
  <c r="O354" i="1"/>
  <c r="L33" i="1"/>
  <c r="O33" i="1" s="1"/>
  <c r="N94" i="1"/>
  <c r="L19" i="1"/>
  <c r="O21" i="1"/>
  <c r="O273" i="3"/>
  <c r="L22" i="2"/>
  <c r="O34" i="18"/>
  <c r="P120" i="18"/>
  <c r="M118" i="18"/>
  <c r="P118" i="18" s="1"/>
  <c r="P273" i="18"/>
  <c r="M271" i="18"/>
  <c r="P271" i="18" s="1"/>
  <c r="P43" i="18"/>
  <c r="N41" i="18"/>
  <c r="O31" i="18"/>
  <c r="L29" i="18"/>
  <c r="L11" i="18"/>
  <c r="O252" i="18"/>
  <c r="L250" i="18"/>
  <c r="O250" i="18" s="1"/>
  <c r="O19" i="17"/>
  <c r="O26" i="18"/>
  <c r="L16" i="18"/>
  <c r="O16" i="18" s="1"/>
  <c r="P11" i="14"/>
  <c r="M9" i="14"/>
  <c r="P26" i="16"/>
  <c r="M16" i="16"/>
  <c r="P16" i="16" s="1"/>
  <c r="O294" i="15"/>
  <c r="L292" i="15"/>
  <c r="P96" i="14"/>
  <c r="P220" i="15"/>
  <c r="L11" i="13"/>
  <c r="M28" i="15"/>
  <c r="P28" i="15" s="1"/>
  <c r="L29" i="14"/>
  <c r="O31" i="14"/>
  <c r="L140" i="15"/>
  <c r="O140" i="15" s="1"/>
  <c r="P11" i="12"/>
  <c r="M9" i="12"/>
  <c r="L250" i="14"/>
  <c r="O250" i="14" s="1"/>
  <c r="O252" i="14"/>
  <c r="O11" i="11"/>
  <c r="L9" i="11"/>
  <c r="L22" i="11"/>
  <c r="L29" i="12"/>
  <c r="O31" i="12"/>
  <c r="P222" i="11"/>
  <c r="M220" i="11"/>
  <c r="P220" i="11" s="1"/>
  <c r="O24" i="12"/>
  <c r="L14" i="12"/>
  <c r="O14" i="12" s="1"/>
  <c r="P43" i="10"/>
  <c r="P19" i="10"/>
  <c r="P252" i="9"/>
  <c r="M250" i="9"/>
  <c r="P250" i="9" s="1"/>
  <c r="P22" i="8"/>
  <c r="M12" i="8"/>
  <c r="P331" i="7"/>
  <c r="M329" i="7"/>
  <c r="P329" i="7" s="1"/>
  <c r="O19" i="7"/>
  <c r="L22" i="8"/>
  <c r="O98" i="7"/>
  <c r="L96" i="7"/>
  <c r="L30" i="9"/>
  <c r="O30" i="9" s="1"/>
  <c r="O32" i="9"/>
  <c r="M9" i="9"/>
  <c r="P11" i="9"/>
  <c r="P222" i="7"/>
  <c r="M220" i="7"/>
  <c r="P220" i="7" s="1"/>
  <c r="O292" i="5"/>
  <c r="L290" i="5"/>
  <c r="O290" i="5" s="1"/>
  <c r="O98" i="5"/>
  <c r="L96" i="5"/>
  <c r="L98" i="1"/>
  <c r="O98" i="1" s="1"/>
  <c r="P120" i="4"/>
  <c r="M118" i="4"/>
  <c r="P118" i="4" s="1"/>
  <c r="L30" i="3"/>
  <c r="O32" i="3"/>
  <c r="M252" i="1"/>
  <c r="P252" i="2"/>
  <c r="P273" i="3"/>
  <c r="M271" i="3"/>
  <c r="P271" i="3" s="1"/>
  <c r="M273" i="1"/>
  <c r="O329" i="4"/>
  <c r="N329" i="1"/>
  <c r="N28" i="3"/>
  <c r="P120" i="3"/>
  <c r="M118" i="3"/>
  <c r="P118" i="3" s="1"/>
  <c r="M120" i="1"/>
  <c r="O26" i="5"/>
  <c r="L16" i="5"/>
  <c r="O16" i="5" s="1"/>
  <c r="O271" i="3"/>
  <c r="O142" i="3"/>
  <c r="L140" i="3"/>
  <c r="O140" i="3" s="1"/>
  <c r="L333" i="1"/>
  <c r="O333" i="1" s="1"/>
  <c r="L13" i="3"/>
  <c r="O13" i="3" s="1"/>
  <c r="N271" i="2"/>
  <c r="L66" i="12" l="1"/>
  <c r="O66" i="12" s="1"/>
  <c r="L140" i="7"/>
  <c r="O140" i="7" s="1"/>
  <c r="P220" i="3"/>
  <c r="N8" i="15"/>
  <c r="O120" i="8"/>
  <c r="L28" i="10"/>
  <c r="O28" i="10" s="1"/>
  <c r="O331" i="6"/>
  <c r="O118" i="8"/>
  <c r="P331" i="10"/>
  <c r="L140" i="16"/>
  <c r="O140" i="16" s="1"/>
  <c r="L220" i="17"/>
  <c r="O220" i="17" s="1"/>
  <c r="L41" i="8"/>
  <c r="O41" i="8" s="1"/>
  <c r="L220" i="9"/>
  <c r="O220" i="9" s="1"/>
  <c r="O331" i="15"/>
  <c r="L310" i="4"/>
  <c r="O310" i="4" s="1"/>
  <c r="L66" i="15"/>
  <c r="O66" i="15" s="1"/>
  <c r="O252" i="12"/>
  <c r="L94" i="4"/>
  <c r="O94" i="4" s="1"/>
  <c r="L220" i="18"/>
  <c r="O220" i="18" s="1"/>
  <c r="O222" i="12"/>
  <c r="O142" i="11"/>
  <c r="O220" i="3"/>
  <c r="P55" i="1"/>
  <c r="M94" i="3"/>
  <c r="M94" i="1" s="1"/>
  <c r="P94" i="1" s="1"/>
  <c r="L41" i="11"/>
  <c r="O41" i="11" s="1"/>
  <c r="N8" i="16"/>
  <c r="L310" i="14"/>
  <c r="O310" i="14" s="1"/>
  <c r="O43" i="2"/>
  <c r="L329" i="12"/>
  <c r="O329" i="12" s="1"/>
  <c r="L271" i="15"/>
  <c r="O271" i="15" s="1"/>
  <c r="L66" i="4"/>
  <c r="O66" i="4" s="1"/>
  <c r="L94" i="14"/>
  <c r="O94" i="14" s="1"/>
  <c r="O11" i="6"/>
  <c r="L66" i="5"/>
  <c r="O66" i="5" s="1"/>
  <c r="O96" i="12"/>
  <c r="N10" i="9"/>
  <c r="N8" i="9" s="1"/>
  <c r="N37" i="7"/>
  <c r="O273" i="2"/>
  <c r="O271" i="2"/>
  <c r="L94" i="6"/>
  <c r="O94" i="6" s="1"/>
  <c r="O22" i="4"/>
  <c r="P331" i="11"/>
  <c r="O331" i="18"/>
  <c r="L53" i="3"/>
  <c r="O53" i="3" s="1"/>
  <c r="L53" i="7"/>
  <c r="O53" i="7" s="1"/>
  <c r="O96" i="10"/>
  <c r="N8" i="5"/>
  <c r="L250" i="13"/>
  <c r="O250" i="13" s="1"/>
  <c r="L66" i="7"/>
  <c r="O66" i="7" s="1"/>
  <c r="L9" i="15"/>
  <c r="O9" i="15" s="1"/>
  <c r="O66" i="8"/>
  <c r="L140" i="4"/>
  <c r="O140" i="4" s="1"/>
  <c r="N37" i="6"/>
  <c r="O11" i="10"/>
  <c r="L140" i="8"/>
  <c r="O140" i="8" s="1"/>
  <c r="O222" i="14"/>
  <c r="L94" i="15"/>
  <c r="O94" i="15" s="1"/>
  <c r="O43" i="4"/>
  <c r="L28" i="6"/>
  <c r="O28" i="6" s="1"/>
  <c r="L310" i="11"/>
  <c r="O310" i="11" s="1"/>
  <c r="O43" i="5"/>
  <c r="L140" i="14"/>
  <c r="O140" i="14" s="1"/>
  <c r="O68" i="3"/>
  <c r="L290" i="16"/>
  <c r="O290" i="16" s="1"/>
  <c r="L290" i="14"/>
  <c r="O290" i="14" s="1"/>
  <c r="N8" i="18"/>
  <c r="L9" i="4"/>
  <c r="O9" i="4" s="1"/>
  <c r="P118" i="8"/>
  <c r="L250" i="8"/>
  <c r="O250" i="8" s="1"/>
  <c r="O273" i="16"/>
  <c r="O292" i="2"/>
  <c r="O55" i="15"/>
  <c r="L94" i="16"/>
  <c r="O94" i="16" s="1"/>
  <c r="O331" i="16"/>
  <c r="P66" i="8"/>
  <c r="L140" i="9"/>
  <c r="O140" i="9" s="1"/>
  <c r="L250" i="16"/>
  <c r="O250" i="16" s="1"/>
  <c r="L250" i="9"/>
  <c r="O250" i="9" s="1"/>
  <c r="O55" i="11"/>
  <c r="L290" i="11"/>
  <c r="O290" i="11" s="1"/>
  <c r="L250" i="7"/>
  <c r="O250" i="7" s="1"/>
  <c r="O312" i="10"/>
  <c r="N140" i="1"/>
  <c r="O68" i="16"/>
  <c r="L140" i="6"/>
  <c r="O140" i="6" s="1"/>
  <c r="P26" i="4"/>
  <c r="N8" i="8"/>
  <c r="N118" i="1"/>
  <c r="N8" i="7"/>
  <c r="O96" i="2"/>
  <c r="O140" i="11"/>
  <c r="N8" i="17"/>
  <c r="O68" i="8"/>
  <c r="O120" i="2"/>
  <c r="L41" i="6"/>
  <c r="O41" i="6" s="1"/>
  <c r="L14" i="1"/>
  <c r="O14" i="1" s="1"/>
  <c r="L290" i="12"/>
  <c r="O290" i="12" s="1"/>
  <c r="L53" i="13"/>
  <c r="O53" i="13" s="1"/>
  <c r="L94" i="3"/>
  <c r="O94" i="3" s="1"/>
  <c r="L94" i="8"/>
  <c r="O94" i="8" s="1"/>
  <c r="O118" i="16"/>
  <c r="L271" i="17"/>
  <c r="O271" i="17" s="1"/>
  <c r="L250" i="3"/>
  <c r="O250" i="3" s="1"/>
  <c r="O68" i="14"/>
  <c r="N37" i="8"/>
  <c r="O142" i="12"/>
  <c r="N66" i="1"/>
  <c r="L250" i="4"/>
  <c r="O250" i="4" s="1"/>
  <c r="L250" i="6"/>
  <c r="O250" i="6" s="1"/>
  <c r="L220" i="16"/>
  <c r="O220" i="16" s="1"/>
  <c r="N11" i="1"/>
  <c r="N9" i="1" s="1"/>
  <c r="N28" i="1"/>
  <c r="L20" i="15"/>
  <c r="O20" i="15" s="1"/>
  <c r="O41" i="18"/>
  <c r="O43" i="7"/>
  <c r="L12" i="15"/>
  <c r="L10" i="15" s="1"/>
  <c r="O10" i="15" s="1"/>
  <c r="N8" i="10"/>
  <c r="P312" i="1"/>
  <c r="L12" i="16"/>
  <c r="L10" i="16" s="1"/>
  <c r="O10" i="16" s="1"/>
  <c r="L53" i="4"/>
  <c r="O53" i="4" s="1"/>
  <c r="L271" i="18"/>
  <c r="O271" i="18" s="1"/>
  <c r="O22" i="16"/>
  <c r="O273" i="4"/>
  <c r="M20" i="4"/>
  <c r="P20" i="4" s="1"/>
  <c r="L271" i="13"/>
  <c r="O271" i="13" s="1"/>
  <c r="O120" i="13"/>
  <c r="L310" i="9"/>
  <c r="O310" i="9" s="1"/>
  <c r="L290" i="13"/>
  <c r="O290" i="13" s="1"/>
  <c r="L310" i="6"/>
  <c r="O310" i="6" s="1"/>
  <c r="O222" i="6"/>
  <c r="P142" i="1"/>
  <c r="L94" i="18"/>
  <c r="O94" i="18" s="1"/>
  <c r="N8" i="11"/>
  <c r="N250" i="1"/>
  <c r="P250" i="8"/>
  <c r="N8" i="13"/>
  <c r="L120" i="1"/>
  <c r="O120" i="1" s="1"/>
  <c r="L12" i="12"/>
  <c r="L10" i="12" s="1"/>
  <c r="O10" i="12" s="1"/>
  <c r="L20" i="12"/>
  <c r="O20" i="12" s="1"/>
  <c r="N8" i="14"/>
  <c r="O331" i="10"/>
  <c r="L329" i="10"/>
  <c r="O329" i="10" s="1"/>
  <c r="O18" i="7"/>
  <c r="N8" i="2"/>
  <c r="P250" i="11"/>
  <c r="P68" i="1"/>
  <c r="L12" i="7"/>
  <c r="L10" i="7" s="1"/>
  <c r="O10" i="7" s="1"/>
  <c r="L20" i="6"/>
  <c r="L18" i="6" s="1"/>
  <c r="O18" i="6" s="1"/>
  <c r="P118" i="16"/>
  <c r="L28" i="15"/>
  <c r="O28" i="15" s="1"/>
  <c r="L20" i="4"/>
  <c r="L18" i="4" s="1"/>
  <c r="O18" i="4" s="1"/>
  <c r="P220" i="4"/>
  <c r="M96" i="1"/>
  <c r="P96" i="1" s="1"/>
  <c r="N310" i="1"/>
  <c r="O252" i="10"/>
  <c r="L250" i="10"/>
  <c r="O250" i="10" s="1"/>
  <c r="P120" i="1"/>
  <c r="L12" i="18"/>
  <c r="L10" i="18" s="1"/>
  <c r="O10" i="18" s="1"/>
  <c r="L20" i="5"/>
  <c r="O20" i="5" s="1"/>
  <c r="L66" i="18"/>
  <c r="O66" i="18" s="1"/>
  <c r="N220" i="1"/>
  <c r="O22" i="18"/>
  <c r="M331" i="1"/>
  <c r="P331" i="1" s="1"/>
  <c r="O22" i="7"/>
  <c r="L12" i="6"/>
  <c r="L10" i="6" s="1"/>
  <c r="O10" i="6" s="1"/>
  <c r="L12" i="5"/>
  <c r="L10" i="5" s="1"/>
  <c r="O10" i="5" s="1"/>
  <c r="P16" i="4"/>
  <c r="L220" i="4"/>
  <c r="O220" i="4" s="1"/>
  <c r="P18" i="2"/>
  <c r="P20" i="2"/>
  <c r="M16" i="10"/>
  <c r="P16" i="10" s="1"/>
  <c r="P26" i="10"/>
  <c r="O20" i="16"/>
  <c r="P292" i="1"/>
  <c r="P252" i="1"/>
  <c r="P20" i="16"/>
  <c r="L312" i="1"/>
  <c r="O312" i="1" s="1"/>
  <c r="L9" i="3"/>
  <c r="O9" i="3" s="1"/>
  <c r="L118" i="14"/>
  <c r="O118" i="14" s="1"/>
  <c r="L331" i="1"/>
  <c r="O331" i="1" s="1"/>
  <c r="N28" i="2"/>
  <c r="O43" i="18"/>
  <c r="M20" i="10"/>
  <c r="P20" i="10" s="1"/>
  <c r="O120" i="3"/>
  <c r="O273" i="11"/>
  <c r="L271" i="11"/>
  <c r="O271" i="11" s="1"/>
  <c r="P140" i="14"/>
  <c r="O34" i="1"/>
  <c r="O14" i="15"/>
  <c r="O292" i="9"/>
  <c r="N37" i="15"/>
  <c r="O120" i="15"/>
  <c r="L118" i="15"/>
  <c r="O118" i="15" s="1"/>
  <c r="P273" i="1"/>
  <c r="N8" i="12"/>
  <c r="N37" i="14"/>
  <c r="O222" i="2"/>
  <c r="O142" i="17"/>
  <c r="L273" i="1"/>
  <c r="O273" i="1" s="1"/>
  <c r="N37" i="5"/>
  <c r="O331" i="13"/>
  <c r="L329" i="13"/>
  <c r="O329" i="13" s="1"/>
  <c r="O118" i="2"/>
  <c r="P271" i="6"/>
  <c r="O312" i="3"/>
  <c r="L310" i="3"/>
  <c r="O310" i="3" s="1"/>
  <c r="M66" i="12"/>
  <c r="P66" i="12" s="1"/>
  <c r="P68" i="12"/>
  <c r="L96" i="1"/>
  <c r="O96" i="1" s="1"/>
  <c r="P12" i="16"/>
  <c r="L94" i="17"/>
  <c r="O94" i="17" s="1"/>
  <c r="O96" i="17"/>
  <c r="N37" i="11"/>
  <c r="P118" i="2"/>
  <c r="O16" i="9"/>
  <c r="O292" i="3"/>
  <c r="L290" i="3"/>
  <c r="O290" i="3" s="1"/>
  <c r="P43" i="4"/>
  <c r="M41" i="4"/>
  <c r="P41" i="4" s="1"/>
  <c r="O292" i="4"/>
  <c r="L290" i="4"/>
  <c r="O290" i="4" s="1"/>
  <c r="P20" i="17"/>
  <c r="M18" i="17"/>
  <c r="P18" i="17" s="1"/>
  <c r="P9" i="9"/>
  <c r="P20" i="8"/>
  <c r="M18" i="8"/>
  <c r="P18" i="8" s="1"/>
  <c r="L9" i="13"/>
  <c r="O11" i="13"/>
  <c r="O11" i="1"/>
  <c r="L9" i="1"/>
  <c r="O120" i="5"/>
  <c r="L118" i="5"/>
  <c r="O142" i="13"/>
  <c r="L140" i="13"/>
  <c r="O140" i="13" s="1"/>
  <c r="O20" i="18"/>
  <c r="L18" i="18"/>
  <c r="O18" i="18" s="1"/>
  <c r="O29" i="7"/>
  <c r="L28" i="7"/>
  <c r="O28" i="7" s="1"/>
  <c r="P20" i="14"/>
  <c r="M18" i="14"/>
  <c r="P18" i="14" s="1"/>
  <c r="L9" i="16"/>
  <c r="O11" i="16"/>
  <c r="L9" i="5"/>
  <c r="O11" i="5"/>
  <c r="O252" i="5"/>
  <c r="L250" i="5"/>
  <c r="O250" i="5" s="1"/>
  <c r="M37" i="17"/>
  <c r="P37" i="17" s="1"/>
  <c r="P12" i="2"/>
  <c r="N10" i="4"/>
  <c r="N8" i="4" s="1"/>
  <c r="P20" i="15"/>
  <c r="M18" i="15"/>
  <c r="P18" i="15" s="1"/>
  <c r="P41" i="14"/>
  <c r="M37" i="14"/>
  <c r="P41" i="5"/>
  <c r="M37" i="5"/>
  <c r="P43" i="8"/>
  <c r="M41" i="8"/>
  <c r="P9" i="2"/>
  <c r="M8" i="2"/>
  <c r="O96" i="7"/>
  <c r="L94" i="7"/>
  <c r="O29" i="18"/>
  <c r="L28" i="18"/>
  <c r="O28" i="18" s="1"/>
  <c r="O29" i="13"/>
  <c r="L28" i="13"/>
  <c r="O28" i="13" s="1"/>
  <c r="L20" i="8"/>
  <c r="O22" i="8"/>
  <c r="L12" i="8"/>
  <c r="P12" i="8"/>
  <c r="L20" i="11"/>
  <c r="L12" i="11"/>
  <c r="O22" i="11"/>
  <c r="P9" i="12"/>
  <c r="O11" i="7"/>
  <c r="L9" i="7"/>
  <c r="P9" i="11"/>
  <c r="P41" i="13"/>
  <c r="M37" i="13"/>
  <c r="P37" i="13" s="1"/>
  <c r="O29" i="16"/>
  <c r="L28" i="16"/>
  <c r="O28" i="16" s="1"/>
  <c r="O16" i="4"/>
  <c r="L20" i="13"/>
  <c r="O22" i="13"/>
  <c r="L12" i="13"/>
  <c r="O29" i="5"/>
  <c r="L28" i="5"/>
  <c r="O28" i="5" s="1"/>
  <c r="O290" i="2"/>
  <c r="O142" i="5"/>
  <c r="L140" i="5"/>
  <c r="O140" i="5" s="1"/>
  <c r="P12" i="6"/>
  <c r="M10" i="6"/>
  <c r="P10" i="6" s="1"/>
  <c r="P12" i="13"/>
  <c r="M10" i="13"/>
  <c r="P10" i="13" s="1"/>
  <c r="O29" i="11"/>
  <c r="L28" i="11"/>
  <c r="O28" i="11" s="1"/>
  <c r="O120" i="11"/>
  <c r="L118" i="11"/>
  <c r="O118" i="11" s="1"/>
  <c r="P26" i="8"/>
  <c r="M16" i="8"/>
  <c r="P16" i="8" s="1"/>
  <c r="O96" i="11"/>
  <c r="L94" i="11"/>
  <c r="O94" i="11" s="1"/>
  <c r="O20" i="7"/>
  <c r="P9" i="3"/>
  <c r="M250" i="1"/>
  <c r="O292" i="15"/>
  <c r="L290" i="15"/>
  <c r="O290" i="15" s="1"/>
  <c r="O292" i="8"/>
  <c r="L290" i="8"/>
  <c r="O290" i="8" s="1"/>
  <c r="O96" i="5"/>
  <c r="L94" i="5"/>
  <c r="O94" i="5" s="1"/>
  <c r="O11" i="18"/>
  <c r="L9" i="18"/>
  <c r="O19" i="1"/>
  <c r="P49" i="1"/>
  <c r="M26" i="1"/>
  <c r="M20" i="1" s="1"/>
  <c r="P26" i="12"/>
  <c r="M16" i="12"/>
  <c r="P16" i="12" s="1"/>
  <c r="O43" i="17"/>
  <c r="L41" i="17"/>
  <c r="M118" i="1"/>
  <c r="O312" i="17"/>
  <c r="L310" i="17"/>
  <c r="O310" i="17" s="1"/>
  <c r="P20" i="5"/>
  <c r="M18" i="5"/>
  <c r="P18" i="5" s="1"/>
  <c r="O273" i="5"/>
  <c r="L271" i="5"/>
  <c r="O271" i="5" s="1"/>
  <c r="O310" i="2"/>
  <c r="N37" i="2"/>
  <c r="L30" i="1"/>
  <c r="O30" i="1" s="1"/>
  <c r="O32" i="1"/>
  <c r="P26" i="17"/>
  <c r="M16" i="17"/>
  <c r="P16" i="17" s="1"/>
  <c r="O11" i="2"/>
  <c r="L9" i="2"/>
  <c r="O68" i="6"/>
  <c r="L66" i="6"/>
  <c r="O66" i="6" s="1"/>
  <c r="P271" i="7"/>
  <c r="O273" i="9"/>
  <c r="L271" i="9"/>
  <c r="O271" i="9" s="1"/>
  <c r="O31" i="1"/>
  <c r="L29" i="1"/>
  <c r="M37" i="15"/>
  <c r="M10" i="16"/>
  <c r="P10" i="16" s="1"/>
  <c r="P12" i="5"/>
  <c r="M10" i="5"/>
  <c r="O222" i="7"/>
  <c r="L220" i="7"/>
  <c r="O220" i="7" s="1"/>
  <c r="M43" i="1"/>
  <c r="P20" i="6"/>
  <c r="M18" i="6"/>
  <c r="P18" i="6" s="1"/>
  <c r="P20" i="13"/>
  <c r="M18" i="13"/>
  <c r="P18" i="13" s="1"/>
  <c r="L9" i="8"/>
  <c r="O11" i="8"/>
  <c r="P9" i="6"/>
  <c r="P12" i="11"/>
  <c r="P12" i="12"/>
  <c r="O22" i="9"/>
  <c r="L12" i="9"/>
  <c r="L20" i="9"/>
  <c r="P53" i="18"/>
  <c r="M37" i="18"/>
  <c r="N8" i="3"/>
  <c r="O29" i="2"/>
  <c r="L28" i="2"/>
  <c r="N12" i="1"/>
  <c r="N10" i="1" s="1"/>
  <c r="N20" i="1"/>
  <c r="N18" i="1" s="1"/>
  <c r="M37" i="6"/>
  <c r="M10" i="4"/>
  <c r="P12" i="4"/>
  <c r="O41" i="12"/>
  <c r="O120" i="6"/>
  <c r="L118" i="6"/>
  <c r="O118" i="6" s="1"/>
  <c r="P41" i="12"/>
  <c r="P41" i="11"/>
  <c r="M37" i="11"/>
  <c r="O30" i="3"/>
  <c r="L28" i="3"/>
  <c r="O28" i="3" s="1"/>
  <c r="O9" i="11"/>
  <c r="L20" i="2"/>
  <c r="O22" i="2"/>
  <c r="L12" i="2"/>
  <c r="P26" i="7"/>
  <c r="M16" i="7"/>
  <c r="P16" i="7" s="1"/>
  <c r="L20" i="17"/>
  <c r="O22" i="17"/>
  <c r="L12" i="17"/>
  <c r="O9" i="17"/>
  <c r="L43" i="1"/>
  <c r="L22" i="1"/>
  <c r="O45" i="1"/>
  <c r="O41" i="14"/>
  <c r="M12" i="1"/>
  <c r="P22" i="1"/>
  <c r="O273" i="6"/>
  <c r="L271" i="6"/>
  <c r="O271" i="6" s="1"/>
  <c r="O68" i="11"/>
  <c r="L66" i="11"/>
  <c r="O66" i="11" s="1"/>
  <c r="P222" i="1"/>
  <c r="L222" i="1"/>
  <c r="O222" i="1" s="1"/>
  <c r="P331" i="8"/>
  <c r="M329" i="8"/>
  <c r="P329" i="8" s="1"/>
  <c r="N18" i="16"/>
  <c r="O18" i="16" s="1"/>
  <c r="P20" i="18"/>
  <c r="M18" i="18"/>
  <c r="P18" i="18" s="1"/>
  <c r="L41" i="9"/>
  <c r="O43" i="9"/>
  <c r="O12" i="4"/>
  <c r="L10" i="4"/>
  <c r="M20" i="7"/>
  <c r="O120" i="9"/>
  <c r="L118" i="9"/>
  <c r="O118" i="9" s="1"/>
  <c r="P220" i="2"/>
  <c r="O29" i="8"/>
  <c r="L28" i="8"/>
  <c r="O28" i="8" s="1"/>
  <c r="L13" i="1"/>
  <c r="O13" i="1" s="1"/>
  <c r="O23" i="1"/>
  <c r="P9" i="17"/>
  <c r="N271" i="1"/>
  <c r="O30" i="17"/>
  <c r="L28" i="17"/>
  <c r="O28" i="17" s="1"/>
  <c r="O57" i="1"/>
  <c r="L55" i="1"/>
  <c r="O142" i="2"/>
  <c r="L142" i="1"/>
  <c r="O142" i="1" s="1"/>
  <c r="L140" i="2"/>
  <c r="L41" i="3"/>
  <c r="O43" i="3"/>
  <c r="O120" i="7"/>
  <c r="L118" i="7"/>
  <c r="O118" i="7" s="1"/>
  <c r="O9" i="12"/>
  <c r="O252" i="2"/>
  <c r="L252" i="1"/>
  <c r="O252" i="1" s="1"/>
  <c r="L250" i="2"/>
  <c r="P12" i="10"/>
  <c r="P26" i="11"/>
  <c r="M16" i="11"/>
  <c r="P16" i="11" s="1"/>
  <c r="P9" i="13"/>
  <c r="P9" i="1"/>
  <c r="M20" i="11"/>
  <c r="M20" i="12"/>
  <c r="P12" i="18"/>
  <c r="M10" i="18"/>
  <c r="O9" i="6"/>
  <c r="P12" i="7"/>
  <c r="M220" i="1"/>
  <c r="M37" i="10"/>
  <c r="P37" i="10" s="1"/>
  <c r="P41" i="16"/>
  <c r="M37" i="16"/>
  <c r="P37" i="16" s="1"/>
  <c r="O55" i="17"/>
  <c r="L53" i="17"/>
  <c r="O53" i="17" s="1"/>
  <c r="O29" i="14"/>
  <c r="L28" i="14"/>
  <c r="O28" i="14" s="1"/>
  <c r="N37" i="18"/>
  <c r="P41" i="18"/>
  <c r="O252" i="15"/>
  <c r="L250" i="15"/>
  <c r="O250" i="15" s="1"/>
  <c r="O55" i="18"/>
  <c r="L53" i="18"/>
  <c r="O55" i="2"/>
  <c r="L53" i="2"/>
  <c r="M10" i="14"/>
  <c r="P10" i="14" s="1"/>
  <c r="P12" i="14"/>
  <c r="P9" i="15"/>
  <c r="P9" i="16"/>
  <c r="O331" i="8"/>
  <c r="L329" i="8"/>
  <c r="O329" i="8" s="1"/>
  <c r="P41" i="3"/>
  <c r="O68" i="2"/>
  <c r="L68" i="1"/>
  <c r="O68" i="1" s="1"/>
  <c r="L66" i="2"/>
  <c r="O220" i="2"/>
  <c r="P329" i="2"/>
  <c r="P20" i="3"/>
  <c r="M18" i="3"/>
  <c r="P18" i="3" s="1"/>
  <c r="O9" i="9"/>
  <c r="M10" i="15"/>
  <c r="P10" i="15" s="1"/>
  <c r="P12" i="15"/>
  <c r="O292" i="17"/>
  <c r="L290" i="17"/>
  <c r="O290" i="17" s="1"/>
  <c r="P271" i="2"/>
  <c r="O312" i="7"/>
  <c r="L310" i="7"/>
  <c r="O310" i="7" s="1"/>
  <c r="P9" i="10"/>
  <c r="L28" i="4"/>
  <c r="O28" i="4" s="1"/>
  <c r="O273" i="7"/>
  <c r="L271" i="7"/>
  <c r="O271" i="7" s="1"/>
  <c r="O55" i="14"/>
  <c r="L53" i="14"/>
  <c r="O53" i="14" s="1"/>
  <c r="O9" i="14"/>
  <c r="O29" i="12"/>
  <c r="L28" i="12"/>
  <c r="O28" i="12" s="1"/>
  <c r="P9" i="14"/>
  <c r="P140" i="2"/>
  <c r="M140" i="1"/>
  <c r="M16" i="9"/>
  <c r="P26" i="9"/>
  <c r="M20" i="9"/>
  <c r="O331" i="9"/>
  <c r="L329" i="9"/>
  <c r="O329" i="9" s="1"/>
  <c r="P290" i="2"/>
  <c r="M290" i="1"/>
  <c r="P290" i="1" s="1"/>
  <c r="P41" i="2"/>
  <c r="M37" i="2"/>
  <c r="O22" i="3"/>
  <c r="L12" i="3"/>
  <c r="L20" i="3"/>
  <c r="L20" i="10"/>
  <c r="O22" i="10"/>
  <c r="L12" i="10"/>
  <c r="O120" i="10"/>
  <c r="L118" i="10"/>
  <c r="O118" i="10" s="1"/>
  <c r="M310" i="1"/>
  <c r="L28" i="9"/>
  <c r="O28" i="9" s="1"/>
  <c r="O43" i="13"/>
  <c r="L41" i="13"/>
  <c r="L292" i="1"/>
  <c r="O292" i="1" s="1"/>
  <c r="O222" i="10"/>
  <c r="L220" i="10"/>
  <c r="O220" i="10" s="1"/>
  <c r="O55" i="12"/>
  <c r="L53" i="12"/>
  <c r="O53" i="12" s="1"/>
  <c r="P10" i="2"/>
  <c r="O55" i="5"/>
  <c r="L53" i="5"/>
  <c r="M10" i="3"/>
  <c r="P10" i="3" s="1"/>
  <c r="P12" i="3"/>
  <c r="O55" i="6"/>
  <c r="L53" i="6"/>
  <c r="O26" i="1"/>
  <c r="L16" i="1"/>
  <c r="O16" i="1" s="1"/>
  <c r="M271" i="1"/>
  <c r="M37" i="9"/>
  <c r="P37" i="9" s="1"/>
  <c r="P41" i="7"/>
  <c r="M37" i="7"/>
  <c r="L20" i="14"/>
  <c r="L12" i="14"/>
  <c r="O22" i="14"/>
  <c r="P12" i="17"/>
  <c r="M37" i="3" l="1"/>
  <c r="P37" i="3" s="1"/>
  <c r="P94" i="3"/>
  <c r="P140" i="1"/>
  <c r="L8" i="4"/>
  <c r="O8" i="4" s="1"/>
  <c r="P37" i="6"/>
  <c r="P37" i="7"/>
  <c r="O12" i="16"/>
  <c r="P118" i="1"/>
  <c r="P250" i="1"/>
  <c r="L18" i="5"/>
  <c r="O18" i="5" s="1"/>
  <c r="L37" i="16"/>
  <c r="O37" i="16" s="1"/>
  <c r="M37" i="4"/>
  <c r="P37" i="4" s="1"/>
  <c r="O12" i="15"/>
  <c r="O12" i="12"/>
  <c r="P220" i="1"/>
  <c r="N8" i="1"/>
  <c r="L18" i="15"/>
  <c r="O18" i="15" s="1"/>
  <c r="M8" i="6"/>
  <c r="P8" i="6" s="1"/>
  <c r="M8" i="13"/>
  <c r="P8" i="13" s="1"/>
  <c r="M18" i="4"/>
  <c r="P18" i="4" s="1"/>
  <c r="L18" i="12"/>
  <c r="O18" i="12" s="1"/>
  <c r="P310" i="1"/>
  <c r="O12" i="7"/>
  <c r="M10" i="10"/>
  <c r="P10" i="10" s="1"/>
  <c r="O12" i="6"/>
  <c r="N37" i="1"/>
  <c r="M10" i="7"/>
  <c r="P10" i="7" s="1"/>
  <c r="O20" i="6"/>
  <c r="P37" i="14"/>
  <c r="P8" i="2"/>
  <c r="M18" i="10"/>
  <c r="P18" i="10" s="1"/>
  <c r="M8" i="14"/>
  <c r="P8" i="14" s="1"/>
  <c r="P271" i="1"/>
  <c r="L8" i="6"/>
  <c r="O8" i="6" s="1"/>
  <c r="M37" i="12"/>
  <c r="P37" i="12" s="1"/>
  <c r="O10" i="4"/>
  <c r="P37" i="15"/>
  <c r="O12" i="18"/>
  <c r="M66" i="1"/>
  <c r="P66" i="1" s="1"/>
  <c r="M329" i="1"/>
  <c r="P329" i="1" s="1"/>
  <c r="O20" i="4"/>
  <c r="O12" i="5"/>
  <c r="M8" i="16"/>
  <c r="P8" i="16" s="1"/>
  <c r="P37" i="5"/>
  <c r="M10" i="8"/>
  <c r="P10" i="8" s="1"/>
  <c r="M10" i="12"/>
  <c r="P10" i="12" s="1"/>
  <c r="M10" i="17"/>
  <c r="P10" i="17" s="1"/>
  <c r="O28" i="2"/>
  <c r="L37" i="4"/>
  <c r="O37" i="4" s="1"/>
  <c r="P37" i="2"/>
  <c r="L94" i="1"/>
  <c r="O94" i="1" s="1"/>
  <c r="M8" i="15"/>
  <c r="P8" i="15" s="1"/>
  <c r="P37" i="11"/>
  <c r="O53" i="2"/>
  <c r="L37" i="2"/>
  <c r="O37" i="2" s="1"/>
  <c r="O20" i="14"/>
  <c r="L18" i="14"/>
  <c r="O18" i="14" s="1"/>
  <c r="O66" i="2"/>
  <c r="L66" i="1"/>
  <c r="O66" i="1" s="1"/>
  <c r="P10" i="18"/>
  <c r="M8" i="18"/>
  <c r="P8" i="18" s="1"/>
  <c r="P20" i="7"/>
  <c r="M18" i="7"/>
  <c r="P18" i="7" s="1"/>
  <c r="L310" i="1"/>
  <c r="O310" i="1" s="1"/>
  <c r="P18" i="16"/>
  <c r="O22" i="1"/>
  <c r="L12" i="1"/>
  <c r="L20" i="1"/>
  <c r="L37" i="12"/>
  <c r="O37" i="12" s="1"/>
  <c r="O41" i="17"/>
  <c r="L37" i="17"/>
  <c r="O37" i="17" s="1"/>
  <c r="O9" i="18"/>
  <c r="L8" i="18"/>
  <c r="O8" i="18" s="1"/>
  <c r="O94" i="7"/>
  <c r="L37" i="7"/>
  <c r="O37" i="7" s="1"/>
  <c r="O9" i="13"/>
  <c r="L10" i="3"/>
  <c r="O12" i="3"/>
  <c r="P20" i="9"/>
  <c r="M18" i="9"/>
  <c r="P18" i="9" s="1"/>
  <c r="P20" i="12"/>
  <c r="M18" i="12"/>
  <c r="P18" i="12" s="1"/>
  <c r="L53" i="1"/>
  <c r="O53" i="1" s="1"/>
  <c r="O55" i="1"/>
  <c r="P12" i="1"/>
  <c r="O43" i="1"/>
  <c r="L41" i="1"/>
  <c r="L10" i="2"/>
  <c r="O10" i="2" s="1"/>
  <c r="O12" i="2"/>
  <c r="M10" i="11"/>
  <c r="O12" i="13"/>
  <c r="L10" i="13"/>
  <c r="O10" i="13" s="1"/>
  <c r="O12" i="8"/>
  <c r="L10" i="8"/>
  <c r="O10" i="8" s="1"/>
  <c r="O9" i="16"/>
  <c r="L8" i="16"/>
  <c r="O8" i="16" s="1"/>
  <c r="L37" i="10"/>
  <c r="O37" i="10" s="1"/>
  <c r="O53" i="5"/>
  <c r="L37" i="5"/>
  <c r="O37" i="5" s="1"/>
  <c r="P20" i="11"/>
  <c r="M18" i="11"/>
  <c r="P18" i="11" s="1"/>
  <c r="L37" i="8"/>
  <c r="O37" i="8" s="1"/>
  <c r="P20" i="1"/>
  <c r="M18" i="1"/>
  <c r="P18" i="1" s="1"/>
  <c r="P37" i="18"/>
  <c r="L8" i="15"/>
  <c r="O8" i="15" s="1"/>
  <c r="O20" i="3"/>
  <c r="L18" i="3"/>
  <c r="O18" i="3" s="1"/>
  <c r="O12" i="10"/>
  <c r="L10" i="10"/>
  <c r="P16" i="9"/>
  <c r="M10" i="9"/>
  <c r="L329" i="1"/>
  <c r="O329" i="1" s="1"/>
  <c r="O250" i="2"/>
  <c r="L250" i="1"/>
  <c r="O250" i="1" s="1"/>
  <c r="L37" i="9"/>
  <c r="O37" i="9" s="1"/>
  <c r="O41" i="9"/>
  <c r="L37" i="14"/>
  <c r="O37" i="14" s="1"/>
  <c r="O20" i="2"/>
  <c r="L18" i="2"/>
  <c r="O18" i="2" s="1"/>
  <c r="P10" i="4"/>
  <c r="M8" i="4"/>
  <c r="P8" i="4" s="1"/>
  <c r="P43" i="1"/>
  <c r="M41" i="1"/>
  <c r="M8" i="3"/>
  <c r="P8" i="3" s="1"/>
  <c r="O20" i="13"/>
  <c r="L18" i="13"/>
  <c r="O18" i="13" s="1"/>
  <c r="O20" i="8"/>
  <c r="L18" i="8"/>
  <c r="O18" i="8" s="1"/>
  <c r="O118" i="5"/>
  <c r="L118" i="1"/>
  <c r="O118" i="1" s="1"/>
  <c r="L10" i="17"/>
  <c r="O12" i="17"/>
  <c r="O20" i="9"/>
  <c r="L18" i="9"/>
  <c r="O18" i="9" s="1"/>
  <c r="O29" i="1"/>
  <c r="L28" i="1"/>
  <c r="O28" i="1" s="1"/>
  <c r="M16" i="1"/>
  <c r="P16" i="1" s="1"/>
  <c r="P26" i="1"/>
  <c r="O9" i="7"/>
  <c r="L8" i="7"/>
  <c r="O8" i="7" s="1"/>
  <c r="L37" i="15"/>
  <c r="O37" i="15" s="1"/>
  <c r="O41" i="13"/>
  <c r="L37" i="13"/>
  <c r="O37" i="13" s="1"/>
  <c r="O20" i="10"/>
  <c r="L18" i="10"/>
  <c r="O18" i="10" s="1"/>
  <c r="O41" i="3"/>
  <c r="L37" i="3"/>
  <c r="O37" i="3" s="1"/>
  <c r="L37" i="11"/>
  <c r="O37" i="11" s="1"/>
  <c r="O12" i="9"/>
  <c r="L10" i="9"/>
  <c r="L10" i="11"/>
  <c r="O12" i="11"/>
  <c r="O9" i="5"/>
  <c r="L8" i="5"/>
  <c r="O8" i="5" s="1"/>
  <c r="O9" i="1"/>
  <c r="L10" i="14"/>
  <c r="O12" i="14"/>
  <c r="O53" i="6"/>
  <c r="L37" i="6"/>
  <c r="O37" i="6" s="1"/>
  <c r="L220" i="1"/>
  <c r="O220" i="1" s="1"/>
  <c r="O53" i="18"/>
  <c r="L37" i="18"/>
  <c r="O37" i="18" s="1"/>
  <c r="L8" i="12"/>
  <c r="O8" i="12" s="1"/>
  <c r="L140" i="1"/>
  <c r="O140" i="1" s="1"/>
  <c r="O140" i="2"/>
  <c r="O20" i="17"/>
  <c r="L18" i="17"/>
  <c r="O18" i="17" s="1"/>
  <c r="O9" i="8"/>
  <c r="P10" i="5"/>
  <c r="M8" i="5"/>
  <c r="P8" i="5" s="1"/>
  <c r="O9" i="2"/>
  <c r="L290" i="1"/>
  <c r="O290" i="1" s="1"/>
  <c r="L271" i="1"/>
  <c r="O271" i="1" s="1"/>
  <c r="O20" i="11"/>
  <c r="L18" i="11"/>
  <c r="O18" i="11" s="1"/>
  <c r="P41" i="8"/>
  <c r="M37" i="8"/>
  <c r="P37" i="8" s="1"/>
  <c r="M8" i="10" l="1"/>
  <c r="P8" i="10" s="1"/>
  <c r="M8" i="7"/>
  <c r="P8" i="7" s="1"/>
  <c r="M8" i="12"/>
  <c r="P8" i="12" s="1"/>
  <c r="M8" i="8"/>
  <c r="P8" i="8" s="1"/>
  <c r="M8" i="17"/>
  <c r="P8" i="17" s="1"/>
  <c r="L8" i="13"/>
  <c r="O8" i="13" s="1"/>
  <c r="O20" i="1"/>
  <c r="L18" i="1"/>
  <c r="O18" i="1" s="1"/>
  <c r="L8" i="8"/>
  <c r="O8" i="8" s="1"/>
  <c r="O10" i="17"/>
  <c r="L8" i="17"/>
  <c r="O8" i="17" s="1"/>
  <c r="P41" i="1"/>
  <c r="M37" i="1"/>
  <c r="P37" i="1" s="1"/>
  <c r="O41" i="1"/>
  <c r="L37" i="1"/>
  <c r="O37" i="1" s="1"/>
  <c r="L10" i="1"/>
  <c r="O12" i="1"/>
  <c r="M10" i="1"/>
  <c r="O10" i="3"/>
  <c r="L8" i="3"/>
  <c r="O8" i="3" s="1"/>
  <c r="P10" i="9"/>
  <c r="M8" i="9"/>
  <c r="P8" i="9" s="1"/>
  <c r="L8" i="2"/>
  <c r="O8" i="2" s="1"/>
  <c r="O10" i="11"/>
  <c r="L8" i="11"/>
  <c r="O8" i="11" s="1"/>
  <c r="O10" i="9"/>
  <c r="L8" i="9"/>
  <c r="O8" i="9" s="1"/>
  <c r="P10" i="11"/>
  <c r="M8" i="11"/>
  <c r="P8" i="11" s="1"/>
  <c r="O10" i="14"/>
  <c r="L8" i="14"/>
  <c r="O8" i="14" s="1"/>
  <c r="O10" i="10"/>
  <c r="L8" i="10"/>
  <c r="O8" i="10" s="1"/>
  <c r="P10" i="1" l="1"/>
  <c r="M8" i="1"/>
  <c r="P8" i="1" s="1"/>
  <c r="O10" i="1"/>
  <c r="L8" i="1"/>
  <c r="O8" i="1" s="1"/>
</calcChain>
</file>

<file path=xl/sharedStrings.xml><?xml version="1.0" encoding="utf-8"?>
<sst xmlns="http://schemas.openxmlformats.org/spreadsheetml/2006/main" count="22500" uniqueCount="273">
  <si>
    <t>รายละเอียดแผนงาน/โครงการ ผลผลิต/กิจกรรม ปีงบประมาณ พ.ศ. 2565</t>
  </si>
  <si>
    <t>ภาคเหนือ</t>
  </si>
  <si>
    <t>แผนงาน/โครงการ/กิจกรรม</t>
  </si>
  <si>
    <t>หน่วย</t>
  </si>
  <si>
    <t>แผนงาน-ผลงาน</t>
  </si>
  <si>
    <t>งบประมาณ (บาท)</t>
  </si>
  <si>
    <t>ผลการเบิกจ่าย</t>
  </si>
  <si>
    <t>แผนงาน</t>
  </si>
  <si>
    <t>ผลงาน</t>
  </si>
  <si>
    <t>ร้อยละ</t>
  </si>
  <si>
    <t>ได้รับ</t>
  </si>
  <si>
    <t>จัดสรร</t>
  </si>
  <si>
    <t>บาท</t>
  </si>
  <si>
    <t>ร้อยละ(ได้รับ)</t>
  </si>
  <si>
    <t>ร้อยละ(จัดสรร)</t>
  </si>
  <si>
    <t>รวม งบประมาณตาม พรบ.+ งบประมาณกองทุน</t>
  </si>
  <si>
    <t>◾</t>
  </si>
  <si>
    <t>รวมงบประมาณ</t>
  </si>
  <si>
    <t>- ส.ป.ก.ส่วนกลาง</t>
  </si>
  <si>
    <t>- ส.ป.ก.จังหวัด</t>
  </si>
  <si>
    <t>งบดำเนินงาน</t>
  </si>
  <si>
    <t>- งบบริหารสำนักงาน</t>
  </si>
  <si>
    <t>- งบเนื้องาน</t>
  </si>
  <si>
    <t>งบลงทุน</t>
  </si>
  <si>
    <t>รวม งบประมาณตาม พรบ.</t>
  </si>
  <si>
    <t>รวม งบประมาณกองทุน</t>
  </si>
  <si>
    <t>งบประมาณตาม พรบ.งบประมาณ 2565</t>
  </si>
  <si>
    <t>แผนงานพื้นฐานด้านการสร้างความสามารถในการแข่งขัน</t>
  </si>
  <si>
    <t>ผลผลิตที่ 1 การปฏิรูปที่ดินเพื่อเกษตรกรรม</t>
  </si>
  <si>
    <t>กิจกรรมบริหารจัดการ</t>
  </si>
  <si>
    <t>แผนงานบุคลากรภาครัฐ</t>
  </si>
  <si>
    <t>รายการค่าใช้จ่ายบุคลากรภาครัฐ</t>
  </si>
  <si>
    <t>กิจกรรมพัฒนาการเกษตรยั่งยืน</t>
  </si>
  <si>
    <t>แผนงานยุทธศาสตร์การเกษตรสร้างมูลค่า</t>
  </si>
  <si>
    <t>โครงการที่ 1 : โครงการระบบส่งเสริมเกษตรแบบแปลงใหญ่</t>
  </si>
  <si>
    <t>กิจกรรมส่งเสริมการเกษตรแบบแปลงใหญ่</t>
  </si>
  <si>
    <t>แปลง</t>
  </si>
  <si>
    <t>ราย</t>
  </si>
  <si>
    <t>งบประมาณ</t>
  </si>
  <si>
    <t xml:space="preserve"> - ส.ป.ก.ส่วนกลาง </t>
  </si>
  <si>
    <t xml:space="preserve"> </t>
  </si>
  <si>
    <t xml:space="preserve"> - ส.ป.ก.จังหวัด  </t>
  </si>
  <si>
    <t xml:space="preserve"> - งบบริหารสำนักงาน</t>
  </si>
  <si>
    <t xml:space="preserve"> - งบเนื้องาน</t>
  </si>
  <si>
    <t>ขั้นตอนการดำเนินงาน (ระบุ 1 ในช่อง 1 2  หรือ 3 เพียงข้อเดียว เท่านั้น)</t>
  </si>
  <si>
    <t>ยังไม่ดำเนินการ</t>
  </si>
  <si>
    <t xml:space="preserve">อยู่ระหว่างดำเนินการ </t>
  </si>
  <si>
    <t>2.1 จัดทำโครงการ (ดำเนินการแล้วเสร็จให้ระบุ 1)</t>
  </si>
  <si>
    <t>2.2 อยู่ระหว่างดำเนินการตามโครงการ (ถ้าอยู่ระหว่างดำเนินการให้ระบุ 1)</t>
  </si>
  <si>
    <t xml:space="preserve"> - อบรมเกษตรกร  </t>
  </si>
  <si>
    <t xml:space="preserve"> - แปลงใหญ่ ปี 2565</t>
  </si>
  <si>
    <t xml:space="preserve"> - แปลงใหญ่ ปี 2564</t>
  </si>
  <si>
    <t xml:space="preserve"> - แปลงใหญ่ ปี 2563</t>
  </si>
  <si>
    <t xml:space="preserve"> - สนับสนุนปัจจัยการผลิต</t>
  </si>
  <si>
    <t>2.3 ประเมินผล (ดำเนินการแล้วเสร็จให้ระบุ 1)</t>
  </si>
  <si>
    <t>ดำเนินการแล้วเสร็จ</t>
  </si>
  <si>
    <t>โครงการที่ 2 : โครงการส่งเสริมการผลิตสินค้าเกษตรเศรษฐกิจชีวภาพ
ตามความต้องการของตลาด (พืชสมุนไพร แมลงเศรษฐกิจ และไม้มีค่า)</t>
  </si>
  <si>
    <t>กิจกรรม ส่งเสริมการแปรรูปสมุนไพรด้วยโรงอบพลังงานแสงอาทิตย์ต้นทุนต่ำ
ในเขตปฏิรูปที่ดิน</t>
  </si>
  <si>
    <t xml:space="preserve">  จัดทำโรงอบ (งบลงทุน)</t>
  </si>
  <si>
    <t>แห่ง</t>
  </si>
  <si>
    <t>1. การเตรียมการ (การจัดทำฐานข้อมูลสมุนไพรและแผนการผลิตคามความต้องการตลาด)</t>
  </si>
  <si>
    <t>จังหวัด</t>
  </si>
  <si>
    <t>2. อบรมเกษตรกรผู้เข้าร่วมโครงการ (หลักสูตรที่ 1-3 เป้าหมายเดียวกัน)</t>
  </si>
  <si>
    <t>หลักสูตรที่ 1 การใช้ประโยชน์และการดูแลรักษาโรงอบพลังงานแสงอาทิตย์ต้นทุนต่ำ</t>
  </si>
  <si>
    <t>หลักสูตรที่ 2 การเพิ่มมูลค่าผลิตภัณฑ์สมุนไพรและมาตรฐานสินค้า</t>
  </si>
  <si>
    <t>หลักสูตรที่ 3 การส่งเสริมด้านการตลาดผลิตภัณฑ์สมุนไพ</t>
  </si>
  <si>
    <t>3. จัดทำโรงอบ (งบลงทุน)</t>
  </si>
  <si>
    <t xml:space="preserve">โครงการที่ 3 : โครงการส่งเสริมสินค้าเกษตรเข้าสู่ระบบรับรองมาตรฐานเกษตรปลอดภัย เกษตรอินทรีย์ และระบบตรวจสอบย้อนกลับ </t>
  </si>
  <si>
    <t xml:space="preserve"> กิจกรรมเตรียมความพร้อมเกษตรกรเข้าสู่ระบบรับรองมาตรฐานเกษตรปลอดภัยและการตรวจรับรองมาตรฐาน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</si>
  <si>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</si>
  <si>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 xml:space="preserve"> - อบรมเกษตรกร</t>
  </si>
  <si>
    <t xml:space="preserve"> - เกษตรกรยื่นขอรับการรับรองมาตรฐานสินค้า</t>
  </si>
  <si>
    <t>แผนงานยุทธศาสตร์เสริมสร้างพลังทางสังคม</t>
  </si>
  <si>
    <t>โครงการที่ 1 : โครงการส่งเสริมการดำเนินงานอันเนื่องมาจากพระราชดำริ</t>
  </si>
  <si>
    <t>กิจกรรมพัฒนาตามแนวทางพระราชดำริ</t>
  </si>
  <si>
    <t>(เป้าหมายโครงการ เกษตรกรผู้เข้ารับการอบรมจากโครงการหญ้าแฝก และโครงการพระราชดำริ 11 พื้นที่)</t>
  </si>
  <si>
    <t>(1) โครงการคลินิกเกษตรเคลื่อนที่ในพระราชานุเคราะห์ ฯ</t>
  </si>
  <si>
    <t>ครั้ง</t>
  </si>
  <si>
    <t xml:space="preserve"> - ออกหน่วยบริการคลินิกเกษตรเคลื่อนที่</t>
  </si>
  <si>
    <t>- เกษตรกรใช้บริการคลินิก</t>
  </si>
  <si>
    <t>- บริการเบ็ดเสร็จ</t>
  </si>
  <si>
    <t>- บริการต่อเนื่อง</t>
  </si>
  <si>
    <t>(2) โครงการอนุรักษ์พันธุกรรมพืชฯ (อพ.สธ.)</t>
  </si>
  <si>
    <t>โรงเรียน</t>
  </si>
  <si>
    <t xml:space="preserve"> - จัดฝึกอบรม</t>
  </si>
  <si>
    <t>(3) โครงการเพิ่มศักยภาพระบบงานเกษตรภายใต้แผนพัฒนาเด็กและเยาวชนในถิ่นทุรกันดารฯ</t>
  </si>
  <si>
    <t xml:space="preserve"> - สนับสนุนวัสดุการเกษตร</t>
  </si>
  <si>
    <t xml:space="preserve"> - ฝึกอบรมเด็กและเยาวชน</t>
  </si>
  <si>
    <t xml:space="preserve">(4) โครงการพัฒนาและรณรงค์การใช้หญ้าแฝก </t>
  </si>
  <si>
    <t>กล้า</t>
  </si>
  <si>
    <t xml:space="preserve"> - ส่งเสริมการปลูกหญ้าแฝก</t>
  </si>
  <si>
    <t xml:space="preserve"> - ประสานขอรับพันธุ์กล้าจากสำนักงานพัฒนาที่ดิน</t>
  </si>
  <si>
    <t xml:space="preserve"> - ปลูกหญ้าแฝก</t>
  </si>
  <si>
    <t xml:space="preserve"> - การฝึกอบรมจัดทำแปลงเรียนรู้
ประโยชน์จากหญ้าแฝก </t>
  </si>
  <si>
    <t>(5) โครงการอันเนื่องมาจากพระราชดำริพัฒนาความรู้ 12 โครงการ</t>
  </si>
  <si>
    <t xml:space="preserve"> - อบรมเกษตรกรในพื้นที่โครงการ</t>
  </si>
  <si>
    <t xml:space="preserve"> - รายบุคคล</t>
  </si>
  <si>
    <t xml:space="preserve"> - แปลง/ศูนย์/แห่ง</t>
  </si>
  <si>
    <t xml:space="preserve">กิจกรรมพัฒนาและส่งเสริมศิลปหัตถกรรม  </t>
  </si>
  <si>
    <t xml:space="preserve">(1) หลักสูตรศิลปาชีพเพื่อเกษตรในเขตปฏิรูปที่ดิน  (อบรมโดย ส.ป.ก.จังหวัด)  </t>
  </si>
  <si>
    <t xml:space="preserve">(2) หลักสูตรศิลปาชีพเพื่อผู้สนใจ (อบรมโดย ศพส.)  </t>
  </si>
  <si>
    <t xml:space="preserve"> - อบรมเกษตรกร </t>
  </si>
  <si>
    <t>แผนงานบูรณาการพัฒนาและส่งเสริมเศรษฐกิจฐานราก</t>
  </si>
  <si>
    <t>โครงการที่ 1 : โครงการพัฒนาเกษตรกรปราดเปรื่อง (Smart Farmer)</t>
  </si>
  <si>
    <t>กิจกรรมสร้างและพัฒนาเกษตรกรรุ่นใหม่</t>
  </si>
  <si>
    <t>1. พัฒนาพื้นที่/จัดตั้งศูนย์ต้นแบบ/องค์ความรู้</t>
  </si>
  <si>
    <t>2. พัฒนาเกษตรกร (ฝึกอบรมและขยายผลองค์ความรู้ฯ)</t>
  </si>
  <si>
    <t>3. สนับสนุนปัจจัยการผลิต</t>
  </si>
  <si>
    <t>4. คัดเลือกเกษตรกรต้นแบบ (จังหวัดละ 1 ราย)</t>
  </si>
  <si>
    <t>กิจกรรมพัฒนาเกษตรกรปราดเปรื่องในเขตปฏิรูปที่ดิน (Smart Farmer)</t>
  </si>
  <si>
    <t xml:space="preserve"> - พัฒนาเกษตรกร (ฝึกอบรมและขยายผลองค์ความรู้ฯ)</t>
  </si>
  <si>
    <t>โครงการที่ 2 : โครงการส่งเสริมและพัฒนาอาชีพเพื่อแก้ไขปัญหาที่ดินทำกินของเกษตรกร</t>
  </si>
  <si>
    <t>กิจกรรมยกระดับรายได้เกษตรกรในเขตปฏิรูปที่ดินเพื่อลดความเหลื่อมล้ำ</t>
  </si>
  <si>
    <t xml:space="preserve"> - อบรมเชิงปฏิบัติการเพื่อถ่ายทอดองค์ความรู้สร้างความเข้มแข็งของสหกรณ์</t>
  </si>
  <si>
    <t xml:space="preserve">   และการเพิ่มมูลค่าสินค้าทางการเกษตร</t>
  </si>
  <si>
    <t>กิจกรรมบริหารจัดการพื้นที่ที่ดินแปลงรวม</t>
  </si>
  <si>
    <t>พื้นที่</t>
  </si>
  <si>
    <t xml:space="preserve"> - ประสาน/สำรวจพื้นที่/ประสานหน่วยงานที่เกี่ยวข้อง</t>
  </si>
  <si>
    <t>โครงการที่ 3 : โครงการบริหารจัดการที่ดินทำกินแก่เกษตรกรรายย่อยและผู้ด้อยโอกาส</t>
  </si>
  <si>
    <t>กิจกรรมจัดที่ดิน (ข้อมูลจาก ALRO Land Online)</t>
  </si>
  <si>
    <t>แปลงเกษตรกรรม</t>
  </si>
  <si>
    <t>- รังวัด</t>
  </si>
  <si>
    <t>ไร่</t>
  </si>
  <si>
    <t>- สอบสวนสิทธิ</t>
  </si>
  <si>
    <t>- คปจ.</t>
  </si>
  <si>
    <t>- มอบ ส.ป.ก. 4-01</t>
  </si>
  <si>
    <t>งบประมาณกองทุนการปฏิรูปที่ดินเพื่อเกษตรกรรม</t>
  </si>
  <si>
    <t>โครงการเพื่อการปฏิรูปที่ดินเพื่อเกษตรกรรมที่เร่งด่วนและเป็นภารกิจของ ส.ป.ก.</t>
  </si>
  <si>
    <t>โครงการส่งเสริมเกษตรอินทรีย์ในเขตปฏิรูปที่ดิน</t>
  </si>
  <si>
    <t xml:space="preserve">    - งบบริหารสำนักงาน</t>
  </si>
  <si>
    <t xml:space="preserve">    - งบเนื้องาน</t>
  </si>
  <si>
    <t xml:space="preserve">       1) ฝึกอบรม </t>
  </si>
  <si>
    <t xml:space="preserve">       2) วัสดุการเกษตร </t>
  </si>
  <si>
    <t xml:space="preserve">       3) จ้างเหมาบริการ</t>
  </si>
  <si>
    <t xml:space="preserve">       4) ดำเนินงาน (ค่าใช้สอย เบี้ยเลี้ยง ที่พัก พาหนะ วัสดุสำนักงาน วัสดุเชื้อเพลิง วัสดุคอมพิวเตอร์)</t>
  </si>
  <si>
    <t xml:space="preserve">   1. หลักสูตรสำหรับสร้างและพัฒนากลไลเพื่อขับเคลื่อนงานเกษตรอินทรีย์ </t>
  </si>
  <si>
    <t xml:space="preserve">      ในเขตปฏิรูปที่ดิน  โดย : สพท. </t>
  </si>
  <si>
    <t xml:space="preserve">   2. หลักสูตรสำหรับส่งเสริมเกษตรอินทรีย์โดยใช้กระบวนการโรงเรียนเกษตรกร</t>
  </si>
  <si>
    <t>- จัดฝึกอบรมโดยใช้กระบวนการโรงเรียนเกษตรกร</t>
  </si>
  <si>
    <t>- ครั้งที่ 1 (อบรมรายละ 2 หลักสูตร)</t>
  </si>
  <si>
    <t>- ครั้งที่ 2</t>
  </si>
  <si>
    <t xml:space="preserve">   3. หลักสูตรสำหรับการเพิ่มช่องทางบริหารจัดการตลาดสินค้าเกษตรอินทรีย์</t>
  </si>
  <si>
    <t xml:space="preserve">      โดยตรงถึงผู้บริโภค โดย : สพท. </t>
  </si>
  <si>
    <t xml:space="preserve"> - พื้นที่ใหม่ (ขั้นที่ 1)</t>
  </si>
  <si>
    <t xml:space="preserve"> - พื้นที่เดิม (ขั้นที่ 2-3)</t>
  </si>
  <si>
    <t>โครงการส่งเสริมระบบวนเกษตรในเขตปฏิรูปที่ดิน</t>
  </si>
  <si>
    <t>ส่งเสริมระบบวนเกษตรในเขตปฏิรูปที่ดิน</t>
  </si>
  <si>
    <t>โครงการส่งเสริมและพัฒนาเกษตรทฤษฎีใหม่ในเขตปฏิรูปที่ดิน</t>
  </si>
  <si>
    <t>ขั้นที่ 1 (อบรมรายละ 2 หลักสูตร)</t>
  </si>
  <si>
    <t xml:space="preserve"> -หลักสูตร ศึกษาดูงาน "สร้างแรงบันดาลใจในการเปลี่ยนเป็นเกษตรทฤษฏีใหม่</t>
  </si>
  <si>
    <t xml:space="preserve"> -หลักสูตร การเปลี่ยนแปลงวิธีทำเกษตรแบบเดิมสู่เกษตรทฤษฏีใหม่</t>
  </si>
  <si>
    <t>ขั้นที่ 2 (เป้าหมาย ร้อยละ 50 ของเกษตรกรผู้เข้าร่วม ปี 2564) (อบรมรายละ 3 หลักสูตร)</t>
  </si>
  <si>
    <t xml:space="preserve"> -หลักสูตร หลักสสูตรการส่งเสริมการรวมกลุ่ม</t>
  </si>
  <si>
    <t xml:space="preserve"> -หลักสูตร หลักสูตรการเพิ่มมูลค่าผลผลผลิตและการแปรรูปในรูปแบบกลุ่ม</t>
  </si>
  <si>
    <t xml:space="preserve"> -หลักสูตร หลักสูตรการบริหารจัดการตลาด</t>
  </si>
  <si>
    <t>ขั้นที่ 3 (เป้าหมาย ร้อยละ 50 ของเกษตรกรผู้เข้าร่วม ปี 2564) (อบรมรายละ 2 หลักสูตร)</t>
  </si>
  <si>
    <t xml:space="preserve"> -หลักสูตร หลักสูตรมาตรฐานการผลิต</t>
  </si>
  <si>
    <t xml:space="preserve"> -หลักสูตร หลักสูตรการพัฒนาบรรจุภัณฑ์</t>
  </si>
  <si>
    <t>ขั้นที่ 1</t>
  </si>
  <si>
    <t>ขั้นที่ 2</t>
  </si>
  <si>
    <t>โครงการพัฒนาธุรกิจชุมชนในเขตปฏิรูปที่ดิน</t>
  </si>
  <si>
    <t>2.1 จัดทำโครงการ (ดำเนินการแล้วให้ระบุ 1)</t>
  </si>
  <si>
    <t xml:space="preserve"> - หลักสูตรการแปรรูปและการพัฒนาสินค้า การตลาดและการบริหารจัดการธุรกิจ โดย ส.ป.ก.จังหวัด</t>
  </si>
  <si>
    <t xml:space="preserve"> - หลักสูตรการสร้างความเข้มแข็งและพัฒธุรกิจของสหกรณ์การเกษตรในเขตปฏิรูปที่ดิน โดย ส.ป.ก. จังหวัด</t>
  </si>
  <si>
    <t xml:space="preserve"> - หลักสูตร การพัฒนาช่องทางด้านการตลาดสินค้าเกษตรออนไลน์ โดย สพท.</t>
  </si>
  <si>
    <t>โครงการตรวจสอบที่ดินในเขตปฏิรูปที่ดิน</t>
  </si>
  <si>
    <t>ตรวจสอบการถือครอง (กรณีแผนงานปกติ)</t>
  </si>
  <si>
    <t>1. ผลการลงพื้นที่หาข้อมูลเบื้องต้นจากผู้ที่น่าเชื่อถือได้</t>
  </si>
  <si>
    <t>1.1'ใช้ประโยชน์ด้วยตนเอง</t>
  </si>
  <si>
    <t>1.2 ไม่ใช้ประโยชน์ในที่ดิน (รวมไม่ทราบข้อมูล)</t>
  </si>
  <si>
    <t>1.3' เสียชีวิต</t>
  </si>
  <si>
    <t>2. ผลการพิจารณาของคณะอนุกรรมการ</t>
  </si>
  <si>
    <t>2.1 ใช้ประโยชน์ด้วยตนเอง</t>
  </si>
  <si>
    <t>2.2 ไม่ใช้ประโยชน์ในที่ดิน (รวมไม่ทราบข้อมูล)</t>
  </si>
  <si>
    <t>2.3 เสียชีวิต</t>
  </si>
  <si>
    <t>3. สรุปผลการตรวจสอบการถือครอง</t>
  </si>
  <si>
    <t>3.1 'ใช้ประโยชน์ด้วยตนเอง</t>
  </si>
  <si>
    <t>3.2 ไม่ใช้ประโยชน์ในที่ดิน (รวมไม่ทราบข้อมูล)</t>
  </si>
  <si>
    <t>3.3 เสียชีวิต</t>
  </si>
  <si>
    <t xml:space="preserve"> - เสียชีวิต ทายาททำประโยชน์</t>
  </si>
  <si>
    <t xml:space="preserve"> - เสียชีวิต บุคคลอื่นทำประโยชน์</t>
  </si>
  <si>
    <t>3.4 ไม่มาให้ข้อเท็จจริง</t>
  </si>
  <si>
    <t>บอกเลิกสัญญาเช่า/เช่าซื้อ</t>
  </si>
  <si>
    <t>ตรวจสอบการถือครอง (กรณีผิดปกติ)</t>
  </si>
  <si>
    <t>สรุป</t>
  </si>
  <si>
    <t>1. เกษตรกรมีชีวิตอยู่</t>
  </si>
  <si>
    <t>1.1 ปฏิบัติตามระเบียบ (ผลจากการลงพื้นที่/ยุติเรื่อง)</t>
  </si>
  <si>
    <t>1.2 ไม่ปฏิบัติตามระเบียบ (หลังจากทำหนังสือแจ้งเตือน/แจ้งสิทธิ)</t>
  </si>
  <si>
    <t>1.3 คปจ.สั่งให้สิ้นสิทธิ</t>
  </si>
  <si>
    <t>2. เกษตรกรเสียชีวิต</t>
  </si>
  <si>
    <t>2.1 เสียชีวิต ทายาททำประโยชน์</t>
  </si>
  <si>
    <t>2.2  เสียชีวิต บุคคลอื่นทำประโยชน์</t>
  </si>
  <si>
    <t xml:space="preserve">  3. กรณีอื่นๆ ( เช่น พื้นที่นอกเขตฯ ฐานข้อมูลคลาดเคลื่อน)</t>
  </si>
  <si>
    <t>ตรวจสอบการใช้ที่ดินผิดวัตถุประสงค์ โดยแผนที่ภาพถ่ายทางอากาศ/ดาวเทียม</t>
  </si>
  <si>
    <t xml:space="preserve"> - สผส. ตรวจสอบ ติดตามการใช้ประโยชน์ที่ดินรายแปลงในเขตปฏิรูปที่ดิน  </t>
  </si>
  <si>
    <t>ด้วยภาพถ่ายทางอากาศและ/หรือภาพดาวเทียมรายละเอียดสูง</t>
  </si>
  <si>
    <t>- ใช้ที่ดินตามวัตถุประสงค์</t>
  </si>
  <si>
    <t>- ใช้ที่ผิดวัตถุประสงค์</t>
  </si>
  <si>
    <t>- ส่งข้อมูลกรณีใช้ที่ผิดวัตถุประสงค์ให้ ส.ป.ก.จังหวัด ตรวจสอบ</t>
  </si>
  <si>
    <t xml:space="preserve"> - ส.ป.ก.จังหวัด ตรวจสอบ ติดตามการใช้ประโยชน์ที่ดินรายแปลงในเขตปฏิรูปที่ดิน </t>
  </si>
  <si>
    <t xml:space="preserve">  แปลงที่ใช้ที่ดินผิดวัตถุประสงค์ จากการตรวจพบของ สผส.</t>
  </si>
  <si>
    <t>- อื่น ๆ</t>
  </si>
  <si>
    <t>โครงการพัฒนาผู้แทนเกษตรกร</t>
  </si>
  <si>
    <t xml:space="preserve"> - อบรม หลักสูตรสำหรับการพัฒนาผู้แทนเกษตรกรในระดับพื้นที่ โดย : ส.ป.ก.จังหวัด </t>
  </si>
  <si>
    <t xml:space="preserve"> - อบรม หลักสูตรสำหรับการพัฒนาภาวะผู้นำแก่ผู้นำเกษตรกร โดย สพท. </t>
  </si>
  <si>
    <t>โครงการสำรวจรังวัดการปรับปรุงแผนที่แปลงที่ดินตามมาตรฐาน RTK GNSS NETWORK ในเขตปฏิรูปที่ดิน</t>
  </si>
  <si>
    <t>ดำเนินการโดย ส.ป.ก. จังหวัด (ข้อมูลจาก สผส.)</t>
  </si>
  <si>
    <t>ดำเนินการโดย สผส.</t>
  </si>
  <si>
    <t>โครงการศูนย์บริการประชาชนในเขตปฏิรูปที่ดินเพื่อเกษตรกรรม*</t>
  </si>
  <si>
    <t>รวม แผนงานบริการประชาชน/เกษตรกรในเขตปฏิรูปที่ดิน 72 จังหวัด</t>
  </si>
  <si>
    <t>1. ศูนย์บริการประชาชนเคลื่อนที่</t>
  </si>
  <si>
    <t xml:space="preserve">    - จำนวนครั้งที่ออกให้บริการ</t>
  </si>
  <si>
    <t xml:space="preserve">    - จำนวนผู้มารับบริการ</t>
  </si>
  <si>
    <t>2.  จำนวนผู้มารับบริการศูนย์บริการประชาชน (Service Center)</t>
  </si>
  <si>
    <t>3. จำนวนผู้รับบริการจากระบบออนไลน์</t>
  </si>
  <si>
    <t>4.  จำนวนผู้รับบริการจากการออกรับบริการร่วมกับหน่วยงานภายนอกอื่น ๆ</t>
  </si>
  <si>
    <t>โครงการจัดที่ดินชุมชนแปลงที่อยู่อาศัยของเกษตรกรในเขตปฏิรูปที่ดิน (ข้อมูลจาก ALRO Land Online)</t>
  </si>
  <si>
    <t>- สำรวจรังวัด</t>
  </si>
  <si>
    <t>โครงการจัดหาที่ดินเอกชนเพื่อนำมาดำเนินการปฎิรูปที่ดินเพื่อเกษตรกรรม</t>
  </si>
  <si>
    <t>1. การจัดหาที่ดินเพื่อการจัดซื้อที่ดินเอกชน ปี 2565</t>
  </si>
  <si>
    <t xml:space="preserve"> - รับคำเสนอขาย</t>
  </si>
  <si>
    <t xml:space="preserve"> - ตรวจสอบความถูกต้องหนังสือแสดงสิทธิในที่ดินที่ สนง.ที่ดิน หรือ สนง.สาขา</t>
  </si>
  <si>
    <t xml:space="preserve"> - ตรวจสอบสภาพพื้นที่ แปลงที่ดิน การทำประโยชน์</t>
  </si>
  <si>
    <t xml:space="preserve"> - ต่อรองราคาที่ดิน</t>
  </si>
  <si>
    <t xml:space="preserve"> - คณะอนุกรรมการจัดซื้อที่ดินพิจารณาความเหมาะสมของที่ดิน</t>
  </si>
  <si>
    <t xml:space="preserve"> - นำเสนอ คปจ.</t>
  </si>
  <si>
    <t xml:space="preserve">           - อำนาจ คปจ. เห็นชอบและอนุมัติ กรณีราคาไม่เกิน 1.5 เท่า</t>
  </si>
  <si>
    <t xml:space="preserve">           - อำนาจ คปจ. เห็นชอบ กรณีราคาเกิน 1.5 เท่า</t>
  </si>
  <si>
    <t xml:space="preserve"> 2. จัดซื้อที่ดินงานต่อเนื่อง (ระหว่างปี พ.ศ. 2560 - 2564)</t>
  </si>
  <si>
    <t xml:space="preserve"> - ประกาศเขตปฏิรูปที่ดินแล้ว</t>
  </si>
  <si>
    <t xml:space="preserve">           - รังวัดสอบเขต</t>
  </si>
  <si>
    <t xml:space="preserve">           - จดทะเบียนสิทธิและนิติกรรม และชำระมูลค่าที่ดิน</t>
  </si>
  <si>
    <t>การดำเนินงานกองทุนการปฏิรูปที่ดินเพื่อเกษตรกรรม</t>
  </si>
  <si>
    <t>แผนการจัดเก็บหนี้ต้นเงินกู้ที่ครบกำหนดชำระ</t>
  </si>
  <si>
    <t>แผนการจัดเก็บหนี้ต้นเงินกู้ค้างชำระ</t>
  </si>
  <si>
    <t>แผนการจัดเก็บรายได้ค่าเช่าและเงินต้นค่าเช่าซื้อ</t>
  </si>
  <si>
    <t>แผนการให้สินเชื่อเงินกองทุนฯ</t>
  </si>
  <si>
    <t>หมายเหตุ * เป็นโครงการที่มีงบลงทุนอยู่ในกิจกรรมตาม พรบ.</t>
  </si>
  <si>
    <t>สำนักงานการปฏิรูปที่ดินจังหวัด กำแพงเพชร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</si>
  <si>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</si>
  <si>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เชียงราย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</si>
  <si>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</si>
  <si>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เชียงใหม่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</si>
  <si>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</si>
  <si>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ตาก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</si>
  <si>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</si>
  <si>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นครสวรรค์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</si>
  <si>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</si>
  <si>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น่าน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</si>
  <si>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</si>
  <si>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พะเยา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</si>
  <si>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</si>
  <si>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พิจิตร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</si>
  <si>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</si>
  <si>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พิษณุโลก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</si>
  <si>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</si>
  <si>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เพชรบูรณ์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</si>
  <si>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</si>
  <si>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แพร่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</si>
  <si>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</si>
  <si>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แม่ฮ่องสอน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</si>
  <si>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</si>
  <si>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ลำปาง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</si>
  <si>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</si>
  <si>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ลำพูน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</si>
  <si>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</si>
  <si>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สุโขทัย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</si>
  <si>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</si>
  <si>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อุตรดิตถ์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</si>
  <si>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</si>
  <si>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อุทัยธานี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</si>
  <si>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</si>
  <si>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ข้อมูล ณ วันที่ 28 กุมภาพันธ์ 2565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</si>
</sst>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87" formatCode="_-* #,##0_-;\-* #,##0_-;_-* &quot;-&quot;??_-;_-@"/>
    <numFmt numFmtId="188" formatCode="_-* #,##0.00_-;\-* #,##0.00_-;_-* &quot;-&quot;??_-;_-@"/>
    <numFmt numFmtId="189" formatCode="_-* #,##0_-;\-* #,##0_-;_-* &quot;-&quot;_-;_-@"/>
    <numFmt numFmtId="190" formatCode="_(* #,##0_);_(* \(#,##0\);_(* &quot;-&quot;??_);_(@_)"/>
    <numFmt numFmtId="191" formatCode="_-* #,##0.00_-;\-* #,##0.00_-;_-* &quot;-&quot;????_-;_-@"/>
  </numFmts>
  <fonts count="15" x14ac:knownFonts="1">
    <font>
      <sz val="11"/>
      <color theme="1"/>
      <name val="Arial"/>
    </font>
    <font>
      <b/>
      <sz val="15"/>
      <color theme="1"/>
      <name val="Calibri"/>
    </font>
    <font>
      <sz val="15"/>
      <color theme="1"/>
      <name val="Calibri"/>
    </font>
    <font>
      <sz val="11"/>
      <name val="Arial"/>
    </font>
    <font>
      <b/>
      <u/>
      <sz val="15"/>
      <color theme="1"/>
      <name val="Calibri"/>
    </font>
    <font>
      <b/>
      <u/>
      <sz val="15"/>
      <color theme="1"/>
      <name val="Calibri"/>
    </font>
    <font>
      <b/>
      <u/>
      <sz val="15"/>
      <color theme="1"/>
      <name val="Calibri"/>
    </font>
    <font>
      <b/>
      <u/>
      <sz val="15"/>
      <color theme="1"/>
      <name val="Calibri"/>
    </font>
    <font>
      <b/>
      <u/>
      <sz val="15"/>
      <color theme="1"/>
      <name val="Calibri"/>
    </font>
    <font>
      <b/>
      <u/>
      <sz val="15"/>
      <color theme="1"/>
      <name val="Calibri"/>
    </font>
    <font>
      <b/>
      <u/>
      <sz val="15"/>
      <color theme="1"/>
      <name val="Calibri"/>
    </font>
    <font>
      <b/>
      <u/>
      <sz val="15"/>
      <color theme="1"/>
      <name val="Calibri"/>
    </font>
    <font>
      <b/>
      <u/>
      <sz val="15"/>
      <color theme="1"/>
      <name val="Calibri"/>
    </font>
    <font>
      <b/>
      <u/>
      <sz val="15"/>
      <color theme="1"/>
      <name val="Calibri"/>
    </font>
    <font>
      <b/>
      <u/>
      <sz val="15"/>
      <color theme="1"/>
      <name val="Calibri"/>
    </font>
  </fonts>
  <fills count="32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rgb="FF548135"/>
        <bgColor rgb="FF548135"/>
      </patternFill>
    </fill>
    <fill>
      <patternFill patternType="solid">
        <fgColor rgb="FFFCFAB0"/>
        <bgColor rgb="FFFCFAB0"/>
      </patternFill>
    </fill>
    <fill>
      <patternFill patternType="solid">
        <fgColor rgb="FFDADADA"/>
        <bgColor rgb="FFDADADA"/>
      </patternFill>
    </fill>
    <fill>
      <patternFill patternType="solid">
        <fgColor rgb="FFFAE6F6"/>
        <bgColor rgb="FFFAE6F6"/>
      </patternFill>
    </fill>
    <fill>
      <patternFill patternType="solid">
        <fgColor rgb="FFA8D08D"/>
        <bgColor rgb="FFA8D08D"/>
      </patternFill>
    </fill>
    <fill>
      <patternFill patternType="solid">
        <fgColor rgb="FF9BC2E6"/>
        <bgColor rgb="FF9BC2E6"/>
      </patternFill>
    </fill>
    <fill>
      <patternFill patternType="solid">
        <fgColor rgb="FFD9E2F3"/>
        <bgColor rgb="FFD9E2F3"/>
      </patternFill>
    </fill>
    <fill>
      <patternFill patternType="solid">
        <fgColor rgb="FFFFFF00"/>
        <bgColor rgb="FFFFFF00"/>
      </patternFill>
    </fill>
    <fill>
      <patternFill patternType="solid">
        <fgColor rgb="FFC776D4"/>
        <bgColor rgb="FFC776D4"/>
      </patternFill>
    </fill>
    <fill>
      <patternFill patternType="solid">
        <fgColor rgb="FFDB8DBF"/>
        <bgColor rgb="FFDB8DBF"/>
      </patternFill>
    </fill>
    <fill>
      <patternFill patternType="solid">
        <fgColor rgb="FFE9B9D8"/>
        <bgColor rgb="FFE9B9D8"/>
      </patternFill>
    </fill>
    <fill>
      <patternFill patternType="solid">
        <fgColor rgb="FFFCD8F3"/>
        <bgColor rgb="FFFCD8F3"/>
      </patternFill>
    </fill>
    <fill>
      <patternFill patternType="solid">
        <fgColor rgb="FFFFFFFF"/>
        <bgColor rgb="FFFFFFFF"/>
      </patternFill>
    </fill>
    <fill>
      <patternFill patternType="solid">
        <fgColor rgb="FFF4B084"/>
        <bgColor rgb="FFF4B084"/>
      </patternFill>
    </fill>
    <fill>
      <patternFill patternType="solid">
        <fgColor rgb="FFF9CB9C"/>
        <bgColor rgb="FFF9CB9C"/>
      </patternFill>
    </fill>
    <fill>
      <patternFill patternType="solid">
        <fgColor rgb="FFF8CBAD"/>
        <bgColor rgb="FFF8CBAD"/>
      </patternFill>
    </fill>
    <fill>
      <patternFill patternType="solid">
        <fgColor rgb="FFFCE4D6"/>
        <bgColor rgb="FFFCE4D6"/>
      </patternFill>
    </fill>
    <fill>
      <patternFill patternType="solid">
        <fgColor rgb="FF8EAADB"/>
        <bgColor rgb="FF8EAADB"/>
      </patternFill>
    </fill>
    <fill>
      <patternFill patternType="solid">
        <fgColor rgb="FFB4C6E7"/>
        <bgColor rgb="FFB4C6E7"/>
      </patternFill>
    </fill>
    <fill>
      <patternFill patternType="solid">
        <fgColor rgb="FFE2EFD9"/>
        <bgColor rgb="FFE2EFD9"/>
      </patternFill>
    </fill>
    <fill>
      <patternFill patternType="solid">
        <fgColor rgb="FFFF9B9B"/>
        <bgColor rgb="FFFF9B9B"/>
      </patternFill>
    </fill>
    <fill>
      <patternFill patternType="solid">
        <fgColor rgb="FFC5E0B3"/>
        <bgColor rgb="FFC5E0B3"/>
      </patternFill>
    </fill>
    <fill>
      <patternFill patternType="solid">
        <fgColor rgb="FFFEF2CB"/>
        <bgColor rgb="FFFEF2CB"/>
      </patternFill>
    </fill>
    <fill>
      <patternFill patternType="solid">
        <fgColor rgb="FFE072D8"/>
        <bgColor rgb="FFE072D8"/>
      </patternFill>
    </fill>
    <fill>
      <patternFill patternType="solid">
        <fgColor rgb="FFF0A6F0"/>
        <bgColor rgb="FFF0A6F0"/>
      </patternFill>
    </fill>
    <fill>
      <patternFill patternType="solid">
        <fgColor rgb="FFF5C7EC"/>
        <bgColor rgb="FFF5C7EC"/>
      </patternFill>
    </fill>
    <fill>
      <patternFill patternType="solid">
        <fgColor rgb="FFFF9933"/>
        <bgColor rgb="FFFF9933"/>
      </patternFill>
    </fill>
    <fill>
      <patternFill patternType="solid">
        <fgColor rgb="FFF4B083"/>
        <bgColor rgb="FFF4B083"/>
      </patternFill>
    </fill>
    <fill>
      <patternFill patternType="solid">
        <fgColor rgb="FFF7CAAC"/>
        <bgColor rgb="FFF7CAAC"/>
      </patternFill>
    </fill>
  </fills>
  <borders count="50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hair">
        <color rgb="FF000000"/>
      </bottom>
      <diagonal/>
    </border>
    <border>
      <left/>
      <right/>
      <top/>
      <bottom style="hair">
        <color rgb="FF000000"/>
      </bottom>
      <diagonal/>
    </border>
    <border>
      <left style="thin">
        <color rgb="FF000000"/>
      </left>
      <right style="thin">
        <color rgb="FF000000"/>
      </right>
      <top/>
      <bottom style="hair">
        <color rgb="FF000000"/>
      </bottom>
      <diagonal/>
    </border>
    <border>
      <left/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/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/>
      <diagonal/>
    </border>
    <border>
      <left/>
      <right/>
      <top style="hair">
        <color rgb="FF000000"/>
      </top>
      <bottom/>
      <diagonal/>
    </border>
    <border>
      <left/>
      <right style="thin">
        <color rgb="FF000000"/>
      </right>
      <top style="hair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/>
      <right style="thin">
        <color rgb="FF000000"/>
      </right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/>
      <diagonal/>
    </border>
    <border>
      <left/>
      <right style="thin">
        <color rgb="FF000000"/>
      </right>
      <top style="hair">
        <color rgb="FF000000"/>
      </top>
      <bottom/>
      <diagonal/>
    </border>
    <border>
      <left style="thin">
        <color rgb="FF000000"/>
      </left>
      <right style="thin">
        <color rgb="FF000000"/>
      </right>
      <top style="hair">
        <color rgb="FF000000"/>
      </top>
      <bottom/>
      <diagonal/>
    </border>
    <border>
      <left style="thin">
        <color rgb="FF000000"/>
      </left>
      <right/>
      <top style="medium">
        <color rgb="FF000000"/>
      </top>
      <bottom style="hair">
        <color rgb="FF000000"/>
      </bottom>
      <diagonal/>
    </border>
    <border>
      <left/>
      <right/>
      <top style="medium">
        <color rgb="FF000000"/>
      </top>
      <bottom style="hair">
        <color rgb="FF000000"/>
      </bottom>
      <diagonal/>
    </border>
    <border>
      <left/>
      <right style="thin">
        <color rgb="FF000000"/>
      </right>
      <top style="medium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hair">
        <color rgb="FF000000"/>
      </bottom>
      <diagonal/>
    </border>
    <border>
      <left style="thin">
        <color rgb="FF000000"/>
      </left>
      <right/>
      <top/>
      <bottom style="hair">
        <color rgb="FF000000"/>
      </bottom>
      <diagonal/>
    </border>
    <border>
      <left/>
      <right/>
      <top/>
      <bottom style="hair">
        <color rgb="FF000000"/>
      </bottom>
      <diagonal/>
    </border>
    <border>
      <left/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thin">
        <color rgb="FF000000"/>
      </bottom>
      <diagonal/>
    </border>
    <border>
      <left/>
      <right/>
      <top style="hair">
        <color rgb="FF000000"/>
      </top>
      <bottom style="thin">
        <color rgb="FF000000"/>
      </bottom>
      <diagonal/>
    </border>
    <border>
      <left/>
      <right style="thin">
        <color rgb="FF000000"/>
      </right>
      <top style="hair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thin">
        <color rgb="FF000000"/>
      </bottom>
      <diagonal/>
    </border>
    <border>
      <left/>
      <right/>
      <top style="hair">
        <color rgb="FF000000"/>
      </top>
      <bottom style="thin">
        <color rgb="FF000000"/>
      </bottom>
      <diagonal/>
    </border>
    <border>
      <left/>
      <right style="thin">
        <color rgb="FF000000"/>
      </right>
      <top style="hair">
        <color rgb="FF000000"/>
      </top>
      <bottom style="thin">
        <color rgb="FF000000"/>
      </bottom>
      <diagonal/>
    </border>
    <border>
      <left style="thin">
        <color rgb="FF000000"/>
      </left>
      <right/>
      <top style="hair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538">
    <xf numFmtId="0" fontId="0" fillId="0" borderId="0" xfId="0" applyFont="1" applyAlignment="1"/>
    <xf numFmtId="0" fontId="1" fillId="2" borderId="0" xfId="0" applyFont="1" applyFill="1" applyAlignment="1">
      <alignment horizontal="center" vertical="center"/>
    </xf>
    <xf numFmtId="187" fontId="2" fillId="2" borderId="0" xfId="0" applyNumberFormat="1" applyFont="1" applyFill="1" applyAlignment="1">
      <alignment horizontal="center" vertical="center" wrapText="1"/>
    </xf>
    <xf numFmtId="188" fontId="2" fillId="2" borderId="0" xfId="0" applyNumberFormat="1" applyFont="1" applyFill="1" applyAlignment="1">
      <alignment vertical="center" wrapText="1"/>
    </xf>
    <xf numFmtId="187" fontId="2" fillId="2" borderId="0" xfId="0" applyNumberFormat="1" applyFont="1" applyFill="1" applyAlignment="1">
      <alignment vertical="center" wrapText="1"/>
    </xf>
    <xf numFmtId="188" fontId="1" fillId="4" borderId="12" xfId="0" applyNumberFormat="1" applyFont="1" applyFill="1" applyBorder="1" applyAlignment="1">
      <alignment horizontal="center" vertical="center"/>
    </xf>
    <xf numFmtId="187" fontId="1" fillId="4" borderId="12" xfId="0" applyNumberFormat="1" applyFont="1" applyFill="1" applyBorder="1" applyAlignment="1">
      <alignment horizontal="center" vertical="center" wrapText="1"/>
    </xf>
    <xf numFmtId="188" fontId="1" fillId="5" borderId="12" xfId="0" applyNumberFormat="1" applyFont="1" applyFill="1" applyBorder="1" applyAlignment="1">
      <alignment horizontal="center" vertical="center" wrapText="1"/>
    </xf>
    <xf numFmtId="188" fontId="1" fillId="7" borderId="12" xfId="0" applyNumberFormat="1" applyFont="1" applyFill="1" applyBorder="1" applyAlignment="1">
      <alignment horizontal="center" vertical="center" wrapText="1"/>
    </xf>
    <xf numFmtId="188" fontId="1" fillId="6" borderId="12" xfId="0" applyNumberFormat="1" applyFont="1" applyFill="1" applyBorder="1" applyAlignment="1">
      <alignment horizontal="center" vertical="center"/>
    </xf>
    <xf numFmtId="188" fontId="1" fillId="5" borderId="12" xfId="0" applyNumberFormat="1" applyFont="1" applyFill="1" applyBorder="1" applyAlignment="1">
      <alignment horizontal="center" vertical="center"/>
    </xf>
    <xf numFmtId="188" fontId="1" fillId="7" borderId="12" xfId="0" applyNumberFormat="1" applyFont="1" applyFill="1" applyBorder="1" applyAlignment="1">
      <alignment horizontal="center" vertical="center"/>
    </xf>
    <xf numFmtId="0" fontId="1" fillId="8" borderId="12" xfId="0" applyFont="1" applyFill="1" applyBorder="1" applyAlignment="1"/>
    <xf numFmtId="189" fontId="1" fillId="8" borderId="12" xfId="0" applyNumberFormat="1" applyFont="1" applyFill="1" applyBorder="1" applyAlignment="1"/>
    <xf numFmtId="188" fontId="1" fillId="8" borderId="12" xfId="0" applyNumberFormat="1" applyFont="1" applyFill="1" applyBorder="1" applyAlignment="1"/>
    <xf numFmtId="188" fontId="1" fillId="8" borderId="12" xfId="0" applyNumberFormat="1" applyFont="1" applyFill="1" applyBorder="1" applyAlignment="1">
      <alignment horizontal="center"/>
    </xf>
    <xf numFmtId="188" fontId="1" fillId="8" borderId="12" xfId="0" applyNumberFormat="1" applyFont="1" applyFill="1" applyBorder="1" applyAlignment="1">
      <alignment horizontal="right"/>
    </xf>
    <xf numFmtId="0" fontId="1" fillId="9" borderId="13" xfId="0" applyFont="1" applyFill="1" applyBorder="1" applyAlignment="1"/>
    <xf numFmtId="0" fontId="1" fillId="9" borderId="14" xfId="0" applyFont="1" applyFill="1" applyBorder="1" applyAlignment="1"/>
    <xf numFmtId="0" fontId="1" fillId="9" borderId="14" xfId="0" applyFont="1" applyFill="1" applyBorder="1" applyAlignment="1">
      <alignment horizontal="left"/>
    </xf>
    <xf numFmtId="0" fontId="1" fillId="9" borderId="15" xfId="0" applyFont="1" applyFill="1" applyBorder="1" applyAlignment="1">
      <alignment horizontal="center"/>
    </xf>
    <xf numFmtId="189" fontId="1" fillId="9" borderId="16" xfId="0" applyNumberFormat="1" applyFont="1" applyFill="1" applyBorder="1" applyAlignment="1">
      <alignment horizontal="right"/>
    </xf>
    <xf numFmtId="188" fontId="1" fillId="9" borderId="16" xfId="0" applyNumberFormat="1" applyFont="1" applyFill="1" applyBorder="1" applyAlignment="1">
      <alignment horizontal="right"/>
    </xf>
    <xf numFmtId="188" fontId="1" fillId="9" borderId="16" xfId="0" applyNumberFormat="1" applyFont="1" applyFill="1" applyBorder="1" applyAlignment="1"/>
    <xf numFmtId="0" fontId="1" fillId="9" borderId="17" xfId="0" applyFont="1" applyFill="1" applyBorder="1" applyAlignment="1"/>
    <xf numFmtId="0" fontId="1" fillId="9" borderId="18" xfId="0" applyFont="1" applyFill="1" applyBorder="1" applyAlignment="1"/>
    <xf numFmtId="0" fontId="1" fillId="9" borderId="18" xfId="0" applyFont="1" applyFill="1" applyBorder="1" applyAlignment="1">
      <alignment horizontal="left"/>
    </xf>
    <xf numFmtId="0" fontId="1" fillId="9" borderId="19" xfId="0" applyFont="1" applyFill="1" applyBorder="1" applyAlignment="1">
      <alignment horizontal="center"/>
    </xf>
    <xf numFmtId="189" fontId="1" fillId="9" borderId="20" xfId="0" applyNumberFormat="1" applyFont="1" applyFill="1" applyBorder="1" applyAlignment="1">
      <alignment horizontal="right"/>
    </xf>
    <xf numFmtId="188" fontId="1" fillId="9" borderId="20" xfId="0" applyNumberFormat="1" applyFont="1" applyFill="1" applyBorder="1" applyAlignment="1">
      <alignment horizontal="right"/>
    </xf>
    <xf numFmtId="188" fontId="1" fillId="9" borderId="20" xfId="0" applyNumberFormat="1" applyFont="1" applyFill="1" applyBorder="1" applyAlignment="1"/>
    <xf numFmtId="0" fontId="1" fillId="2" borderId="17" xfId="0" applyFont="1" applyFill="1" applyBorder="1" applyAlignment="1"/>
    <xf numFmtId="0" fontId="1" fillId="2" borderId="18" xfId="0" applyFont="1" applyFill="1" applyBorder="1" applyAlignment="1"/>
    <xf numFmtId="0" fontId="1" fillId="2" borderId="18" xfId="0" applyFont="1" applyFill="1" applyBorder="1" applyAlignment="1">
      <alignment horizontal="left"/>
    </xf>
    <xf numFmtId="0" fontId="2" fillId="2" borderId="20" xfId="0" applyFont="1" applyFill="1" applyBorder="1" applyAlignment="1">
      <alignment horizontal="left"/>
    </xf>
    <xf numFmtId="0" fontId="2" fillId="2" borderId="20" xfId="0" applyFont="1" applyFill="1" applyBorder="1" applyAlignment="1">
      <alignment horizontal="center"/>
    </xf>
    <xf numFmtId="189" fontId="2" fillId="2" borderId="20" xfId="0" applyNumberFormat="1" applyFont="1" applyFill="1" applyBorder="1" applyAlignment="1">
      <alignment horizontal="right"/>
    </xf>
    <xf numFmtId="188" fontId="2" fillId="2" borderId="20" xfId="0" applyNumberFormat="1" applyFont="1" applyFill="1" applyBorder="1" applyAlignment="1">
      <alignment horizontal="right"/>
    </xf>
    <xf numFmtId="188" fontId="2" fillId="2" borderId="20" xfId="0" applyNumberFormat="1" applyFont="1" applyFill="1" applyBorder="1" applyAlignment="1">
      <alignment horizontal="left"/>
    </xf>
    <xf numFmtId="0" fontId="2" fillId="2" borderId="18" xfId="0" applyFont="1" applyFill="1" applyBorder="1" applyAlignment="1"/>
    <xf numFmtId="0" fontId="2" fillId="2" borderId="18" xfId="0" applyFont="1" applyFill="1" applyBorder="1" applyAlignment="1">
      <alignment horizontal="left"/>
    </xf>
    <xf numFmtId="188" fontId="2" fillId="2" borderId="20" xfId="0" applyNumberFormat="1" applyFont="1" applyFill="1" applyBorder="1" applyAlignment="1"/>
    <xf numFmtId="0" fontId="1" fillId="2" borderId="21" xfId="0" applyFont="1" applyFill="1" applyBorder="1" applyAlignment="1"/>
    <xf numFmtId="0" fontId="1" fillId="2" borderId="22" xfId="0" applyFont="1" applyFill="1" applyBorder="1" applyAlignment="1"/>
    <xf numFmtId="0" fontId="2" fillId="2" borderId="22" xfId="0" applyFont="1" applyFill="1" applyBorder="1" applyAlignment="1"/>
    <xf numFmtId="0" fontId="2" fillId="2" borderId="23" xfId="0" applyFont="1" applyFill="1" applyBorder="1" applyAlignment="1">
      <alignment horizontal="left"/>
    </xf>
    <xf numFmtId="0" fontId="2" fillId="2" borderId="23" xfId="0" applyFont="1" applyFill="1" applyBorder="1" applyAlignment="1">
      <alignment horizontal="center"/>
    </xf>
    <xf numFmtId="189" fontId="2" fillId="2" borderId="23" xfId="0" applyNumberFormat="1" applyFont="1" applyFill="1" applyBorder="1" applyAlignment="1">
      <alignment horizontal="right"/>
    </xf>
    <xf numFmtId="188" fontId="2" fillId="2" borderId="23" xfId="0" applyNumberFormat="1" applyFont="1" applyFill="1" applyBorder="1" applyAlignment="1">
      <alignment horizontal="right"/>
    </xf>
    <xf numFmtId="188" fontId="2" fillId="2" borderId="23" xfId="0" applyNumberFormat="1" applyFont="1" applyFill="1" applyBorder="1" applyAlignment="1"/>
    <xf numFmtId="188" fontId="2" fillId="2" borderId="20" xfId="0" applyNumberFormat="1" applyFont="1" applyFill="1" applyBorder="1" applyAlignment="1"/>
    <xf numFmtId="188" fontId="2" fillId="2" borderId="23" xfId="0" applyNumberFormat="1" applyFont="1" applyFill="1" applyBorder="1" applyAlignment="1"/>
    <xf numFmtId="0" fontId="1" fillId="10" borderId="12" xfId="0" applyFont="1" applyFill="1" applyBorder="1" applyAlignment="1">
      <alignment vertical="center"/>
    </xf>
    <xf numFmtId="189" fontId="1" fillId="10" borderId="12" xfId="0" applyNumberFormat="1" applyFont="1" applyFill="1" applyBorder="1" applyAlignment="1">
      <alignment vertical="center"/>
    </xf>
    <xf numFmtId="188" fontId="1" fillId="10" borderId="12" xfId="0" applyNumberFormat="1" applyFont="1" applyFill="1" applyBorder="1" applyAlignment="1">
      <alignment vertical="center"/>
    </xf>
    <xf numFmtId="188" fontId="1" fillId="10" borderId="12" xfId="0" applyNumberFormat="1" applyFont="1" applyFill="1" applyBorder="1" applyAlignment="1">
      <alignment horizontal="right" vertical="center" wrapText="1"/>
    </xf>
    <xf numFmtId="0" fontId="2" fillId="11" borderId="12" xfId="0" applyFont="1" applyFill="1" applyBorder="1" applyAlignment="1">
      <alignment horizontal="left"/>
    </xf>
    <xf numFmtId="189" fontId="2" fillId="11" borderId="12" xfId="0" applyNumberFormat="1" applyFont="1" applyFill="1" applyBorder="1" applyAlignment="1">
      <alignment horizontal="left"/>
    </xf>
    <xf numFmtId="188" fontId="2" fillId="11" borderId="12" xfId="0" applyNumberFormat="1" applyFont="1" applyFill="1" applyBorder="1" applyAlignment="1">
      <alignment horizontal="left"/>
    </xf>
    <xf numFmtId="188" fontId="2" fillId="11" borderId="12" xfId="0" applyNumberFormat="1" applyFont="1" applyFill="1" applyBorder="1" applyAlignment="1"/>
    <xf numFmtId="0" fontId="1" fillId="12" borderId="13" xfId="0" applyFont="1" applyFill="1" applyBorder="1" applyAlignment="1"/>
    <xf numFmtId="0" fontId="1" fillId="12" borderId="15" xfId="0" applyFont="1" applyFill="1" applyBorder="1" applyAlignment="1">
      <alignment horizontal="center"/>
    </xf>
    <xf numFmtId="189" fontId="1" fillId="12" borderId="16" xfId="0" applyNumberFormat="1" applyFont="1" applyFill="1" applyBorder="1" applyAlignment="1">
      <alignment horizontal="right"/>
    </xf>
    <xf numFmtId="188" fontId="1" fillId="12" borderId="16" xfId="0" applyNumberFormat="1" applyFont="1" applyFill="1" applyBorder="1" applyAlignment="1">
      <alignment horizontal="right"/>
    </xf>
    <xf numFmtId="188" fontId="1" fillId="12" borderId="16" xfId="0" applyNumberFormat="1" applyFont="1" applyFill="1" applyBorder="1" applyAlignment="1"/>
    <xf numFmtId="0" fontId="1" fillId="13" borderId="17" xfId="0" applyFont="1" applyFill="1" applyBorder="1" applyAlignment="1"/>
    <xf numFmtId="0" fontId="1" fillId="13" borderId="18" xfId="0" applyFont="1" applyFill="1" applyBorder="1" applyAlignment="1">
      <alignment horizontal="left"/>
    </xf>
    <xf numFmtId="0" fontId="1" fillId="13" borderId="18" xfId="0" applyFont="1" applyFill="1" applyBorder="1" applyAlignment="1"/>
    <xf numFmtId="0" fontId="1" fillId="13" borderId="19" xfId="0" applyFont="1" applyFill="1" applyBorder="1" applyAlignment="1">
      <alignment horizontal="center"/>
    </xf>
    <xf numFmtId="189" fontId="1" fillId="13" borderId="20" xfId="0" applyNumberFormat="1" applyFont="1" applyFill="1" applyBorder="1" applyAlignment="1">
      <alignment horizontal="right"/>
    </xf>
    <xf numFmtId="188" fontId="1" fillId="13" borderId="20" xfId="0" applyNumberFormat="1" applyFont="1" applyFill="1" applyBorder="1" applyAlignment="1">
      <alignment horizontal="right"/>
    </xf>
    <xf numFmtId="188" fontId="1" fillId="13" borderId="20" xfId="0" applyNumberFormat="1" applyFont="1" applyFill="1" applyBorder="1" applyAlignment="1"/>
    <xf numFmtId="0" fontId="1" fillId="14" borderId="17" xfId="0" applyFont="1" applyFill="1" applyBorder="1" applyAlignment="1"/>
    <xf numFmtId="0" fontId="1" fillId="14" borderId="18" xfId="0" applyFont="1" applyFill="1" applyBorder="1" applyAlignment="1"/>
    <xf numFmtId="0" fontId="1" fillId="14" borderId="18" xfId="0" applyFont="1" applyFill="1" applyBorder="1" applyAlignment="1">
      <alignment horizontal="left"/>
    </xf>
    <xf numFmtId="0" fontId="1" fillId="14" borderId="19" xfId="0" applyFont="1" applyFill="1" applyBorder="1" applyAlignment="1">
      <alignment horizontal="center"/>
    </xf>
    <xf numFmtId="189" fontId="1" fillId="14" borderId="20" xfId="0" applyNumberFormat="1" applyFont="1" applyFill="1" applyBorder="1" applyAlignment="1">
      <alignment horizontal="right"/>
    </xf>
    <xf numFmtId="188" fontId="1" fillId="14" borderId="20" xfId="0" applyNumberFormat="1" applyFont="1" applyFill="1" applyBorder="1" applyAlignment="1">
      <alignment horizontal="right"/>
    </xf>
    <xf numFmtId="188" fontId="1" fillId="14" borderId="20" xfId="0" applyNumberFormat="1" applyFont="1" applyFill="1" applyBorder="1" applyAlignment="1"/>
    <xf numFmtId="0" fontId="1" fillId="15" borderId="17" xfId="0" applyFont="1" applyFill="1" applyBorder="1" applyAlignment="1"/>
    <xf numFmtId="0" fontId="1" fillId="15" borderId="18" xfId="0" applyFont="1" applyFill="1" applyBorder="1" applyAlignment="1"/>
    <xf numFmtId="0" fontId="1" fillId="15" borderId="18" xfId="0" applyFont="1" applyFill="1" applyBorder="1" applyAlignment="1">
      <alignment horizontal="left"/>
    </xf>
    <xf numFmtId="0" fontId="2" fillId="15" borderId="20" xfId="0" applyFont="1" applyFill="1" applyBorder="1" applyAlignment="1">
      <alignment horizontal="left"/>
    </xf>
    <xf numFmtId="0" fontId="2" fillId="0" borderId="20" xfId="0" applyFont="1" applyBorder="1" applyAlignment="1">
      <alignment horizontal="center"/>
    </xf>
    <xf numFmtId="189" fontId="2" fillId="0" borderId="20" xfId="0" applyNumberFormat="1" applyFont="1" applyBorder="1" applyAlignment="1">
      <alignment horizontal="right"/>
    </xf>
    <xf numFmtId="188" fontId="2" fillId="0" borderId="20" xfId="0" applyNumberFormat="1" applyFont="1" applyBorder="1" applyAlignment="1">
      <alignment horizontal="right"/>
    </xf>
    <xf numFmtId="188" fontId="1" fillId="2" borderId="20" xfId="0" applyNumberFormat="1" applyFont="1" applyFill="1" applyBorder="1" applyAlignment="1">
      <alignment horizontal="left"/>
    </xf>
    <xf numFmtId="188" fontId="1" fillId="2" borderId="20" xfId="0" applyNumberFormat="1" applyFont="1" applyFill="1" applyBorder="1" applyAlignment="1"/>
    <xf numFmtId="0" fontId="2" fillId="15" borderId="18" xfId="0" applyFont="1" applyFill="1" applyBorder="1" applyAlignment="1"/>
    <xf numFmtId="0" fontId="2" fillId="15" borderId="18" xfId="0" applyFont="1" applyFill="1" applyBorder="1" applyAlignment="1">
      <alignment horizontal="left"/>
    </xf>
    <xf numFmtId="0" fontId="1" fillId="15" borderId="21" xfId="0" applyFont="1" applyFill="1" applyBorder="1" applyAlignment="1"/>
    <xf numFmtId="0" fontId="1" fillId="15" borderId="22" xfId="0" applyFont="1" applyFill="1" applyBorder="1" applyAlignment="1"/>
    <xf numFmtId="0" fontId="2" fillId="15" borderId="22" xfId="0" applyFont="1" applyFill="1" applyBorder="1" applyAlignment="1"/>
    <xf numFmtId="0" fontId="2" fillId="15" borderId="23" xfId="0" applyFont="1" applyFill="1" applyBorder="1" applyAlignment="1">
      <alignment horizontal="left"/>
    </xf>
    <xf numFmtId="0" fontId="2" fillId="0" borderId="23" xfId="0" applyFont="1" applyBorder="1" applyAlignment="1">
      <alignment horizontal="center"/>
    </xf>
    <xf numFmtId="189" fontId="2" fillId="0" borderId="23" xfId="0" applyNumberFormat="1" applyFont="1" applyBorder="1" applyAlignment="1">
      <alignment horizontal="right"/>
    </xf>
    <xf numFmtId="188" fontId="2" fillId="0" borderId="23" xfId="0" applyNumberFormat="1" applyFont="1" applyBorder="1" applyAlignment="1">
      <alignment horizontal="right"/>
    </xf>
    <xf numFmtId="0" fontId="1" fillId="16" borderId="12" xfId="0" applyFont="1" applyFill="1" applyBorder="1" applyAlignment="1"/>
    <xf numFmtId="0" fontId="1" fillId="16" borderId="12" xfId="0" applyFont="1" applyFill="1" applyBorder="1" applyAlignment="1">
      <alignment horizontal="left"/>
    </xf>
    <xf numFmtId="0" fontId="1" fillId="16" borderId="12" xfId="0" applyFont="1" applyFill="1" applyBorder="1" applyAlignment="1">
      <alignment horizontal="center"/>
    </xf>
    <xf numFmtId="189" fontId="1" fillId="16" borderId="12" xfId="0" applyNumberFormat="1" applyFont="1" applyFill="1" applyBorder="1" applyAlignment="1">
      <alignment horizontal="right"/>
    </xf>
    <xf numFmtId="188" fontId="1" fillId="16" borderId="12" xfId="0" applyNumberFormat="1" applyFont="1" applyFill="1" applyBorder="1" applyAlignment="1">
      <alignment horizontal="right"/>
    </xf>
    <xf numFmtId="188" fontId="1" fillId="16" borderId="12" xfId="0" applyNumberFormat="1" applyFont="1" applyFill="1" applyBorder="1" applyAlignment="1"/>
    <xf numFmtId="0" fontId="1" fillId="17" borderId="13" xfId="0" applyFont="1" applyFill="1" applyBorder="1" applyAlignment="1"/>
    <xf numFmtId="0" fontId="1" fillId="17" borderId="14" xfId="0" applyFont="1" applyFill="1" applyBorder="1" applyAlignment="1">
      <alignment horizontal="left"/>
    </xf>
    <xf numFmtId="0" fontId="1" fillId="17" borderId="15" xfId="0" applyFont="1" applyFill="1" applyBorder="1" applyAlignment="1">
      <alignment horizontal="center"/>
    </xf>
    <xf numFmtId="189" fontId="1" fillId="17" borderId="16" xfId="0" applyNumberFormat="1" applyFont="1" applyFill="1" applyBorder="1" applyAlignment="1">
      <alignment horizontal="right"/>
    </xf>
    <xf numFmtId="188" fontId="1" fillId="17" borderId="16" xfId="0" applyNumberFormat="1" applyFont="1" applyFill="1" applyBorder="1" applyAlignment="1">
      <alignment horizontal="right"/>
    </xf>
    <xf numFmtId="188" fontId="1" fillId="17" borderId="16" xfId="0" applyNumberFormat="1" applyFont="1" applyFill="1" applyBorder="1" applyAlignment="1"/>
    <xf numFmtId="0" fontId="1" fillId="18" borderId="17" xfId="0" applyFont="1" applyFill="1" applyBorder="1" applyAlignment="1"/>
    <xf numFmtId="0" fontId="1" fillId="18" borderId="19" xfId="0" applyFont="1" applyFill="1" applyBorder="1" applyAlignment="1">
      <alignment horizontal="center"/>
    </xf>
    <xf numFmtId="189" fontId="1" fillId="18" borderId="20" xfId="0" applyNumberFormat="1" applyFont="1" applyFill="1" applyBorder="1" applyAlignment="1">
      <alignment horizontal="right"/>
    </xf>
    <xf numFmtId="188" fontId="1" fillId="18" borderId="20" xfId="0" applyNumberFormat="1" applyFont="1" applyFill="1" applyBorder="1" applyAlignment="1">
      <alignment horizontal="right"/>
    </xf>
    <xf numFmtId="188" fontId="1" fillId="18" borderId="20" xfId="0" applyNumberFormat="1" applyFont="1" applyFill="1" applyBorder="1" applyAlignment="1"/>
    <xf numFmtId="0" fontId="1" fillId="19" borderId="17" xfId="0" applyFont="1" applyFill="1" applyBorder="1" applyAlignment="1"/>
    <xf numFmtId="0" fontId="1" fillId="19" borderId="18" xfId="0" applyFont="1" applyFill="1" applyBorder="1" applyAlignment="1"/>
    <xf numFmtId="0" fontId="1" fillId="19" borderId="18" xfId="0" applyFont="1" applyFill="1" applyBorder="1" applyAlignment="1">
      <alignment horizontal="left"/>
    </xf>
    <xf numFmtId="0" fontId="1" fillId="19" borderId="19" xfId="0" applyFont="1" applyFill="1" applyBorder="1" applyAlignment="1">
      <alignment horizontal="center"/>
    </xf>
    <xf numFmtId="189" fontId="1" fillId="19" borderId="20" xfId="0" applyNumberFormat="1" applyFont="1" applyFill="1" applyBorder="1" applyAlignment="1">
      <alignment horizontal="right"/>
    </xf>
    <xf numFmtId="188" fontId="1" fillId="19" borderId="20" xfId="0" applyNumberFormat="1" applyFont="1" applyFill="1" applyBorder="1" applyAlignment="1">
      <alignment horizontal="right"/>
    </xf>
    <xf numFmtId="188" fontId="1" fillId="19" borderId="20" xfId="0" applyNumberFormat="1" applyFont="1" applyFill="1" applyBorder="1" applyAlignment="1"/>
    <xf numFmtId="187" fontId="1" fillId="20" borderId="24" xfId="0" applyNumberFormat="1" applyFont="1" applyFill="1" applyBorder="1" applyAlignment="1">
      <alignment vertical="center"/>
    </xf>
    <xf numFmtId="187" fontId="1" fillId="20" borderId="25" xfId="0" applyNumberFormat="1" applyFont="1" applyFill="1" applyBorder="1" applyAlignment="1">
      <alignment vertical="center"/>
    </xf>
    <xf numFmtId="0" fontId="2" fillId="20" borderId="26" xfId="0" applyFont="1" applyFill="1" applyBorder="1" applyAlignment="1">
      <alignment vertical="center"/>
    </xf>
    <xf numFmtId="0" fontId="2" fillId="20" borderId="27" xfId="0" applyFont="1" applyFill="1" applyBorder="1" applyAlignment="1">
      <alignment horizontal="left" vertical="center"/>
    </xf>
    <xf numFmtId="189" fontId="2" fillId="20" borderId="27" xfId="0" applyNumberFormat="1" applyFont="1" applyFill="1" applyBorder="1" applyAlignment="1">
      <alignment horizontal="left" vertical="center"/>
    </xf>
    <xf numFmtId="188" fontId="2" fillId="20" borderId="27" xfId="0" applyNumberFormat="1" applyFont="1" applyFill="1" applyBorder="1" applyAlignment="1">
      <alignment horizontal="left" vertical="center"/>
    </xf>
    <xf numFmtId="188" fontId="2" fillId="20" borderId="27" xfId="0" applyNumberFormat="1" applyFont="1" applyFill="1" applyBorder="1" applyAlignment="1">
      <alignment vertical="center"/>
    </xf>
    <xf numFmtId="187" fontId="1" fillId="21" borderId="24" xfId="0" applyNumberFormat="1" applyFont="1" applyFill="1" applyBorder="1" applyAlignment="1">
      <alignment vertical="center"/>
    </xf>
    <xf numFmtId="0" fontId="1" fillId="21" borderId="25" xfId="0" applyFont="1" applyFill="1" applyBorder="1" applyAlignment="1">
      <alignment vertical="center"/>
    </xf>
    <xf numFmtId="187" fontId="1" fillId="21" borderId="25" xfId="0" applyNumberFormat="1" applyFont="1" applyFill="1" applyBorder="1" applyAlignment="1">
      <alignment vertical="center"/>
    </xf>
    <xf numFmtId="0" fontId="1" fillId="21" borderId="26" xfId="0" applyFont="1" applyFill="1" applyBorder="1" applyAlignment="1">
      <alignment vertical="center"/>
    </xf>
    <xf numFmtId="0" fontId="1" fillId="21" borderId="28" xfId="0" applyFont="1" applyFill="1" applyBorder="1" applyAlignment="1">
      <alignment horizontal="left" vertical="center"/>
    </xf>
    <xf numFmtId="189" fontId="1" fillId="21" borderId="28" xfId="0" applyNumberFormat="1" applyFont="1" applyFill="1" applyBorder="1" applyAlignment="1">
      <alignment horizontal="left" vertical="center"/>
    </xf>
    <xf numFmtId="188" fontId="1" fillId="21" borderId="28" xfId="0" applyNumberFormat="1" applyFont="1" applyFill="1" applyBorder="1" applyAlignment="1">
      <alignment horizontal="left" vertical="center"/>
    </xf>
    <xf numFmtId="188" fontId="1" fillId="21" borderId="28" xfId="0" applyNumberFormat="1" applyFont="1" applyFill="1" applyBorder="1" applyAlignment="1">
      <alignment horizontal="center" vertical="center"/>
    </xf>
    <xf numFmtId="188" fontId="2" fillId="21" borderId="28" xfId="0" applyNumberFormat="1" applyFont="1" applyFill="1" applyBorder="1" applyAlignment="1">
      <alignment vertical="center"/>
    </xf>
    <xf numFmtId="190" fontId="1" fillId="9" borderId="29" xfId="0" applyNumberFormat="1" applyFont="1" applyFill="1" applyBorder="1" applyAlignment="1">
      <alignment vertical="center"/>
    </xf>
    <xf numFmtId="0" fontId="1" fillId="9" borderId="30" xfId="0" applyFont="1" applyFill="1" applyBorder="1" applyAlignment="1">
      <alignment vertical="center"/>
    </xf>
    <xf numFmtId="187" fontId="1" fillId="9" borderId="30" xfId="0" applyNumberFormat="1" applyFont="1" applyFill="1" applyBorder="1" applyAlignment="1">
      <alignment vertical="center"/>
    </xf>
    <xf numFmtId="0" fontId="1" fillId="9" borderId="19" xfId="0" applyFont="1" applyFill="1" applyBorder="1" applyAlignment="1">
      <alignment horizontal="center" vertical="center" wrapText="1"/>
    </xf>
    <xf numFmtId="189" fontId="1" fillId="9" borderId="19" xfId="0" applyNumberFormat="1" applyFont="1" applyFill="1" applyBorder="1" applyAlignment="1">
      <alignment horizontal="right" vertical="center" wrapText="1"/>
    </xf>
    <xf numFmtId="188" fontId="1" fillId="9" borderId="19" xfId="0" applyNumberFormat="1" applyFont="1" applyFill="1" applyBorder="1" applyAlignment="1">
      <alignment horizontal="right" vertical="center" wrapText="1"/>
    </xf>
    <xf numFmtId="188" fontId="1" fillId="9" borderId="19" xfId="0" applyNumberFormat="1" applyFont="1" applyFill="1" applyBorder="1" applyAlignment="1">
      <alignment vertical="center"/>
    </xf>
    <xf numFmtId="188" fontId="1" fillId="9" borderId="19" xfId="0" applyNumberFormat="1" applyFont="1" applyFill="1" applyBorder="1" applyAlignment="1">
      <alignment vertical="center"/>
    </xf>
    <xf numFmtId="190" fontId="1" fillId="2" borderId="13" xfId="0" applyNumberFormat="1" applyFont="1" applyFill="1" applyBorder="1" applyAlignment="1"/>
    <xf numFmtId="0" fontId="1" fillId="2" borderId="14" xfId="0" applyFont="1" applyFill="1" applyBorder="1" applyAlignment="1"/>
    <xf numFmtId="0" fontId="1" fillId="2" borderId="14" xfId="0" applyFont="1" applyFill="1" applyBorder="1" applyAlignment="1">
      <alignment horizontal="left"/>
    </xf>
    <xf numFmtId="187" fontId="1" fillId="2" borderId="15" xfId="0" applyNumberFormat="1" applyFont="1" applyFill="1" applyBorder="1" applyAlignment="1">
      <alignment horizontal="center"/>
    </xf>
    <xf numFmtId="189" fontId="1" fillId="2" borderId="16" xfId="0" applyNumberFormat="1" applyFont="1" applyFill="1" applyBorder="1" applyAlignment="1">
      <alignment horizontal="right"/>
    </xf>
    <xf numFmtId="188" fontId="1" fillId="2" borderId="16" xfId="0" applyNumberFormat="1" applyFont="1" applyFill="1" applyBorder="1" applyAlignment="1">
      <alignment horizontal="right"/>
    </xf>
    <xf numFmtId="188" fontId="1" fillId="2" borderId="16" xfId="0" applyNumberFormat="1" applyFont="1" applyFill="1" applyBorder="1" applyAlignment="1"/>
    <xf numFmtId="190" fontId="1" fillId="2" borderId="17" xfId="0" applyNumberFormat="1" applyFont="1" applyFill="1" applyBorder="1" applyAlignment="1"/>
    <xf numFmtId="187" fontId="1" fillId="2" borderId="19" xfId="0" applyNumberFormat="1" applyFont="1" applyFill="1" applyBorder="1" applyAlignment="1">
      <alignment horizontal="center"/>
    </xf>
    <xf numFmtId="189" fontId="1" fillId="2" borderId="20" xfId="0" applyNumberFormat="1" applyFont="1" applyFill="1" applyBorder="1" applyAlignment="1">
      <alignment horizontal="right"/>
    </xf>
    <xf numFmtId="188" fontId="1" fillId="2" borderId="20" xfId="0" applyNumberFormat="1" applyFont="1" applyFill="1" applyBorder="1" applyAlignment="1">
      <alignment horizontal="right"/>
    </xf>
    <xf numFmtId="190" fontId="1" fillId="2" borderId="29" xfId="0" applyNumberFormat="1" applyFont="1" applyFill="1" applyBorder="1" applyAlignment="1">
      <alignment vertical="center"/>
    </xf>
    <xf numFmtId="0" fontId="1" fillId="2" borderId="30" xfId="0" applyFont="1" applyFill="1" applyBorder="1" applyAlignment="1">
      <alignment vertical="center"/>
    </xf>
    <xf numFmtId="0" fontId="10" fillId="2" borderId="30" xfId="0" quotePrefix="1" applyFont="1" applyFill="1" applyBorder="1" applyAlignment="1">
      <alignment vertical="center"/>
    </xf>
    <xf numFmtId="0" fontId="2" fillId="2" borderId="30" xfId="0" applyFont="1" applyFill="1" applyBorder="1" applyAlignment="1">
      <alignment vertical="center"/>
    </xf>
    <xf numFmtId="0" fontId="2" fillId="2" borderId="31" xfId="0" applyFont="1" applyFill="1" applyBorder="1" applyAlignment="1">
      <alignment vertical="center"/>
    </xf>
    <xf numFmtId="187" fontId="2" fillId="0" borderId="19" xfId="0" applyNumberFormat="1" applyFont="1" applyBorder="1" applyAlignment="1">
      <alignment horizontal="center" vertical="center" wrapText="1"/>
    </xf>
    <xf numFmtId="189" fontId="2" fillId="0" borderId="19" xfId="0" applyNumberFormat="1" applyFont="1" applyBorder="1" applyAlignment="1">
      <alignment horizontal="right" vertical="center" wrapText="1"/>
    </xf>
    <xf numFmtId="188" fontId="2" fillId="0" borderId="19" xfId="0" applyNumberFormat="1" applyFont="1" applyBorder="1" applyAlignment="1">
      <alignment horizontal="right" vertical="center" wrapText="1"/>
    </xf>
    <xf numFmtId="188" fontId="1" fillId="2" borderId="19" xfId="0" applyNumberFormat="1" applyFont="1" applyFill="1" applyBorder="1" applyAlignment="1">
      <alignment vertical="center"/>
    </xf>
    <xf numFmtId="188" fontId="1" fillId="2" borderId="19" xfId="0" applyNumberFormat="1" applyFont="1" applyFill="1" applyBorder="1" applyAlignment="1">
      <alignment vertical="center"/>
    </xf>
    <xf numFmtId="187" fontId="1" fillId="2" borderId="30" xfId="0" applyNumberFormat="1" applyFont="1" applyFill="1" applyBorder="1" applyAlignment="1">
      <alignment vertical="center"/>
    </xf>
    <xf numFmtId="188" fontId="2" fillId="2" borderId="19" xfId="0" applyNumberFormat="1" applyFont="1" applyFill="1" applyBorder="1" applyAlignment="1">
      <alignment vertical="center"/>
    </xf>
    <xf numFmtId="188" fontId="2" fillId="2" borderId="19" xfId="0" applyNumberFormat="1" applyFont="1" applyFill="1" applyBorder="1" applyAlignment="1">
      <alignment vertical="center"/>
    </xf>
    <xf numFmtId="0" fontId="2" fillId="2" borderId="31" xfId="0" applyFont="1" applyFill="1" applyBorder="1" applyAlignment="1">
      <alignment horizontal="left" vertical="center"/>
    </xf>
    <xf numFmtId="190" fontId="1" fillId="15" borderId="17" xfId="0" applyNumberFormat="1" applyFont="1" applyFill="1" applyBorder="1" applyAlignment="1"/>
    <xf numFmtId="187" fontId="2" fillId="0" borderId="20" xfId="0" applyNumberFormat="1" applyFont="1" applyBorder="1" applyAlignment="1">
      <alignment horizontal="center"/>
    </xf>
    <xf numFmtId="190" fontId="1" fillId="15" borderId="21" xfId="0" applyNumberFormat="1" applyFont="1" applyFill="1" applyBorder="1" applyAlignment="1"/>
    <xf numFmtId="187" fontId="1" fillId="15" borderId="22" xfId="0" applyNumberFormat="1" applyFont="1" applyFill="1" applyBorder="1" applyAlignment="1"/>
    <xf numFmtId="187" fontId="2" fillId="0" borderId="23" xfId="0" applyNumberFormat="1" applyFont="1" applyBorder="1" applyAlignment="1">
      <alignment horizontal="center"/>
    </xf>
    <xf numFmtId="187" fontId="1" fillId="0" borderId="17" xfId="0" applyNumberFormat="1" applyFont="1" applyBorder="1" applyAlignment="1">
      <alignment vertical="center"/>
    </xf>
    <xf numFmtId="187" fontId="1" fillId="0" borderId="18" xfId="0" applyNumberFormat="1" applyFont="1" applyBorder="1" applyAlignment="1">
      <alignment vertical="center"/>
    </xf>
    <xf numFmtId="0" fontId="11" fillId="22" borderId="30" xfId="0" quotePrefix="1" applyFont="1" applyFill="1" applyBorder="1" applyAlignment="1">
      <alignment vertical="center"/>
    </xf>
    <xf numFmtId="0" fontId="2" fillId="22" borderId="30" xfId="0" applyFont="1" applyFill="1" applyBorder="1" applyAlignment="1">
      <alignment vertical="center"/>
    </xf>
    <xf numFmtId="0" fontId="2" fillId="22" borderId="31" xfId="0" applyFont="1" applyFill="1" applyBorder="1" applyAlignment="1">
      <alignment vertical="center"/>
    </xf>
    <xf numFmtId="0" fontId="2" fillId="0" borderId="19" xfId="0" applyFont="1" applyBorder="1" applyAlignment="1">
      <alignment horizontal="center" vertical="center" wrapText="1"/>
    </xf>
    <xf numFmtId="188" fontId="2" fillId="0" borderId="19" xfId="0" applyNumberFormat="1" applyFont="1" applyBorder="1" applyAlignment="1">
      <alignment vertical="center"/>
    </xf>
    <xf numFmtId="0" fontId="2" fillId="23" borderId="30" xfId="0" applyFont="1" applyFill="1" applyBorder="1" applyAlignment="1">
      <alignment horizontal="right" vertical="center"/>
    </xf>
    <xf numFmtId="0" fontId="2" fillId="23" borderId="30" xfId="0" quotePrefix="1" applyFont="1" applyFill="1" applyBorder="1" applyAlignment="1">
      <alignment vertical="center"/>
    </xf>
    <xf numFmtId="0" fontId="2" fillId="23" borderId="30" xfId="0" applyFont="1" applyFill="1" applyBorder="1" applyAlignment="1">
      <alignment vertical="center"/>
    </xf>
    <xf numFmtId="0" fontId="2" fillId="23" borderId="31" xfId="0" applyFont="1" applyFill="1" applyBorder="1" applyAlignment="1">
      <alignment vertical="center"/>
    </xf>
    <xf numFmtId="0" fontId="2" fillId="2" borderId="19" xfId="0" applyFont="1" applyFill="1" applyBorder="1" applyAlignment="1">
      <alignment horizontal="center" vertical="center" wrapText="1"/>
    </xf>
    <xf numFmtId="189" fontId="2" fillId="2" borderId="19" xfId="0" applyNumberFormat="1" applyFont="1" applyFill="1" applyBorder="1" applyAlignment="1">
      <alignment horizontal="right" vertical="center" wrapText="1"/>
    </xf>
    <xf numFmtId="189" fontId="2" fillId="4" borderId="19" xfId="0" applyNumberFormat="1" applyFont="1" applyFill="1" applyBorder="1" applyAlignment="1">
      <alignment horizontal="right" vertical="center" wrapText="1"/>
    </xf>
    <xf numFmtId="0" fontId="2" fillId="10" borderId="30" xfId="0" applyFont="1" applyFill="1" applyBorder="1" applyAlignment="1">
      <alignment horizontal="right" vertical="center"/>
    </xf>
    <xf numFmtId="0" fontId="2" fillId="10" borderId="30" xfId="0" quotePrefix="1" applyFont="1" applyFill="1" applyBorder="1" applyAlignment="1">
      <alignment vertical="center"/>
    </xf>
    <xf numFmtId="0" fontId="2" fillId="10" borderId="30" xfId="0" applyFont="1" applyFill="1" applyBorder="1" applyAlignment="1">
      <alignment vertical="center"/>
    </xf>
    <xf numFmtId="0" fontId="2" fillId="10" borderId="31" xfId="0" applyFont="1" applyFill="1" applyBorder="1" applyAlignment="1">
      <alignment vertical="center"/>
    </xf>
    <xf numFmtId="187" fontId="1" fillId="0" borderId="18" xfId="0" applyNumberFormat="1" applyFont="1" applyBorder="1" applyAlignment="1">
      <alignment horizontal="left" vertical="center"/>
    </xf>
    <xf numFmtId="0" fontId="2" fillId="0" borderId="18" xfId="0" quotePrefix="1" applyFont="1" applyBorder="1" applyAlignment="1">
      <alignment vertical="center"/>
    </xf>
    <xf numFmtId="0" fontId="2" fillId="0" borderId="18" xfId="0" applyFont="1" applyBorder="1" applyAlignment="1">
      <alignment vertical="center"/>
    </xf>
    <xf numFmtId="0" fontId="2" fillId="0" borderId="20" xfId="0" applyFont="1" applyBorder="1" applyAlignment="1">
      <alignment vertical="center"/>
    </xf>
    <xf numFmtId="189" fontId="2" fillId="4" borderId="19" xfId="0" applyNumberFormat="1" applyFont="1" applyFill="1" applyBorder="1" applyAlignment="1">
      <alignment horizontal="right" vertical="center" wrapText="1"/>
    </xf>
    <xf numFmtId="0" fontId="2" fillId="0" borderId="18" xfId="0" applyFont="1" applyBorder="1" applyAlignment="1">
      <alignment horizontal="right" vertical="center"/>
    </xf>
    <xf numFmtId="0" fontId="1" fillId="0" borderId="19" xfId="0" applyFont="1" applyBorder="1" applyAlignment="1">
      <alignment horizontal="center" vertical="center" wrapText="1"/>
    </xf>
    <xf numFmtId="189" fontId="1" fillId="2" borderId="19" xfId="0" applyNumberFormat="1" applyFont="1" applyFill="1" applyBorder="1" applyAlignment="1">
      <alignment horizontal="right" vertical="center" wrapText="1"/>
    </xf>
    <xf numFmtId="188" fontId="1" fillId="0" borderId="19" xfId="0" applyNumberFormat="1" applyFont="1" applyBorder="1" applyAlignment="1">
      <alignment horizontal="right" vertical="center" wrapText="1"/>
    </xf>
    <xf numFmtId="189" fontId="2" fillId="0" borderId="19" xfId="0" applyNumberFormat="1" applyFont="1" applyBorder="1" applyAlignment="1">
      <alignment horizontal="right" vertical="center" wrapText="1"/>
    </xf>
    <xf numFmtId="189" fontId="2" fillId="2" borderId="19" xfId="0" applyNumberFormat="1" applyFont="1" applyFill="1" applyBorder="1" applyAlignment="1">
      <alignment horizontal="right" vertical="center" wrapText="1"/>
    </xf>
    <xf numFmtId="0" fontId="2" fillId="0" borderId="18" xfId="0" quotePrefix="1" applyFont="1" applyBorder="1" applyAlignment="1">
      <alignment vertical="center"/>
    </xf>
    <xf numFmtId="0" fontId="2" fillId="7" borderId="30" xfId="0" applyFont="1" applyFill="1" applyBorder="1" applyAlignment="1">
      <alignment horizontal="right" vertical="center"/>
    </xf>
    <xf numFmtId="0" fontId="2" fillId="7" borderId="30" xfId="0" quotePrefix="1" applyFont="1" applyFill="1" applyBorder="1" applyAlignment="1">
      <alignment vertical="center"/>
    </xf>
    <xf numFmtId="0" fontId="2" fillId="7" borderId="30" xfId="0" applyFont="1" applyFill="1" applyBorder="1" applyAlignment="1">
      <alignment vertical="center"/>
    </xf>
    <xf numFmtId="0" fontId="2" fillId="7" borderId="31" xfId="0" applyFont="1" applyFill="1" applyBorder="1" applyAlignment="1">
      <alignment vertical="center"/>
    </xf>
    <xf numFmtId="189" fontId="2" fillId="4" borderId="30" xfId="0" applyNumberFormat="1" applyFont="1" applyFill="1" applyBorder="1" applyAlignment="1">
      <alignment horizontal="right" vertical="center"/>
    </xf>
    <xf numFmtId="187" fontId="1" fillId="21" borderId="29" xfId="0" applyNumberFormat="1" applyFont="1" applyFill="1" applyBorder="1" applyAlignment="1">
      <alignment vertical="center"/>
    </xf>
    <xf numFmtId="0" fontId="1" fillId="21" borderId="30" xfId="0" applyFont="1" applyFill="1" applyBorder="1" applyAlignment="1">
      <alignment vertical="center" wrapText="1"/>
    </xf>
    <xf numFmtId="187" fontId="1" fillId="21" borderId="30" xfId="0" applyNumberFormat="1" applyFont="1" applyFill="1" applyBorder="1" applyAlignment="1">
      <alignment vertical="center" wrapText="1"/>
    </xf>
    <xf numFmtId="0" fontId="2" fillId="21" borderId="30" xfId="0" applyFont="1" applyFill="1" applyBorder="1" applyAlignment="1">
      <alignment vertical="center" wrapText="1"/>
    </xf>
    <xf numFmtId="0" fontId="2" fillId="21" borderId="31" xfId="0" applyFont="1" applyFill="1" applyBorder="1" applyAlignment="1">
      <alignment vertical="center" wrapText="1"/>
    </xf>
    <xf numFmtId="0" fontId="2" fillId="21" borderId="19" xfId="0" applyFont="1" applyFill="1" applyBorder="1" applyAlignment="1">
      <alignment horizontal="center" vertical="center" wrapText="1"/>
    </xf>
    <xf numFmtId="189" fontId="2" fillId="21" borderId="19" xfId="0" applyNumberFormat="1" applyFont="1" applyFill="1" applyBorder="1" applyAlignment="1">
      <alignment horizontal="right" vertical="center" wrapText="1"/>
    </xf>
    <xf numFmtId="188" fontId="2" fillId="21" borderId="19" xfId="0" applyNumberFormat="1" applyFont="1" applyFill="1" applyBorder="1" applyAlignment="1">
      <alignment horizontal="right" vertical="center" wrapText="1"/>
    </xf>
    <xf numFmtId="188" fontId="2" fillId="21" borderId="19" xfId="0" applyNumberFormat="1" applyFont="1" applyFill="1" applyBorder="1" applyAlignment="1">
      <alignment vertical="center" wrapText="1"/>
    </xf>
    <xf numFmtId="188" fontId="2" fillId="21" borderId="19" xfId="0" applyNumberFormat="1" applyFont="1" applyFill="1" applyBorder="1" applyAlignment="1">
      <alignment vertical="center"/>
    </xf>
    <xf numFmtId="0" fontId="1" fillId="9" borderId="31" xfId="0" applyFont="1" applyFill="1" applyBorder="1" applyAlignment="1">
      <alignment vertical="center"/>
    </xf>
    <xf numFmtId="188" fontId="1" fillId="9" borderId="19" xfId="0" applyNumberFormat="1" applyFont="1" applyFill="1" applyBorder="1" applyAlignment="1">
      <alignment vertical="center" wrapText="1"/>
    </xf>
    <xf numFmtId="188" fontId="1" fillId="9" borderId="19" xfId="0" applyNumberFormat="1" applyFont="1" applyFill="1" applyBorder="1" applyAlignment="1">
      <alignment vertical="center" wrapText="1"/>
    </xf>
    <xf numFmtId="188" fontId="2" fillId="2" borderId="19" xfId="0" applyNumberFormat="1" applyFont="1" applyFill="1" applyBorder="1" applyAlignment="1">
      <alignment horizontal="right" vertical="center" wrapText="1"/>
    </xf>
    <xf numFmtId="0" fontId="2" fillId="0" borderId="20" xfId="0" quotePrefix="1" applyFont="1" applyBorder="1" applyAlignment="1">
      <alignment vertical="center" wrapText="1"/>
    </xf>
    <xf numFmtId="0" fontId="2" fillId="0" borderId="20" xfId="0" quotePrefix="1" applyFont="1" applyBorder="1" applyAlignment="1">
      <alignment vertical="center"/>
    </xf>
    <xf numFmtId="189" fontId="2" fillId="2" borderId="30" xfId="0" applyNumberFormat="1" applyFont="1" applyFill="1" applyBorder="1" applyAlignment="1">
      <alignment horizontal="right" vertical="center"/>
    </xf>
    <xf numFmtId="0" fontId="1" fillId="21" borderId="30" xfId="0" applyFont="1" applyFill="1" applyBorder="1" applyAlignment="1">
      <alignment vertical="center"/>
    </xf>
    <xf numFmtId="190" fontId="1" fillId="21" borderId="30" xfId="0" applyNumberFormat="1" applyFont="1" applyFill="1" applyBorder="1" applyAlignment="1">
      <alignment vertical="center"/>
    </xf>
    <xf numFmtId="0" fontId="2" fillId="21" borderId="30" xfId="0" applyFont="1" applyFill="1" applyBorder="1" applyAlignment="1">
      <alignment vertical="center"/>
    </xf>
    <xf numFmtId="0" fontId="2" fillId="21" borderId="31" xfId="0" applyFont="1" applyFill="1" applyBorder="1" applyAlignment="1">
      <alignment vertical="center"/>
    </xf>
    <xf numFmtId="190" fontId="1" fillId="9" borderId="30" xfId="0" applyNumberFormat="1" applyFont="1" applyFill="1" applyBorder="1" applyAlignment="1">
      <alignment vertical="center"/>
    </xf>
    <xf numFmtId="0" fontId="12" fillId="22" borderId="30" xfId="0" quotePrefix="1" applyFont="1" applyFill="1" applyBorder="1" applyAlignment="1">
      <alignment vertical="center"/>
    </xf>
    <xf numFmtId="187" fontId="1" fillId="0" borderId="21" xfId="0" applyNumberFormat="1" applyFont="1" applyBorder="1" applyAlignment="1">
      <alignment vertical="center"/>
    </xf>
    <xf numFmtId="187" fontId="1" fillId="0" borderId="22" xfId="0" applyNumberFormat="1" applyFont="1" applyBorder="1" applyAlignment="1">
      <alignment vertical="center"/>
    </xf>
    <xf numFmtId="0" fontId="2" fillId="7" borderId="32" xfId="0" applyFont="1" applyFill="1" applyBorder="1" applyAlignment="1">
      <alignment horizontal="right" vertical="center"/>
    </xf>
    <xf numFmtId="0" fontId="2" fillId="7" borderId="32" xfId="0" quotePrefix="1" applyFont="1" applyFill="1" applyBorder="1" applyAlignment="1">
      <alignment vertical="center"/>
    </xf>
    <xf numFmtId="0" fontId="2" fillId="7" borderId="32" xfId="0" applyFont="1" applyFill="1" applyBorder="1" applyAlignment="1">
      <alignment vertical="center"/>
    </xf>
    <xf numFmtId="0" fontId="2" fillId="7" borderId="33" xfId="0" applyFont="1" applyFill="1" applyBorder="1" applyAlignment="1">
      <alignment vertical="center"/>
    </xf>
    <xf numFmtId="0" fontId="2" fillId="2" borderId="34" xfId="0" applyFont="1" applyFill="1" applyBorder="1" applyAlignment="1">
      <alignment horizontal="center" vertical="center" wrapText="1"/>
    </xf>
    <xf numFmtId="189" fontId="2" fillId="2" borderId="34" xfId="0" applyNumberFormat="1" applyFont="1" applyFill="1" applyBorder="1" applyAlignment="1">
      <alignment horizontal="right" vertical="center" wrapText="1"/>
    </xf>
    <xf numFmtId="189" fontId="2" fillId="2" borderId="32" xfId="0" applyNumberFormat="1" applyFont="1" applyFill="1" applyBorder="1" applyAlignment="1">
      <alignment horizontal="right" vertical="center"/>
    </xf>
    <xf numFmtId="188" fontId="2" fillId="2" borderId="34" xfId="0" applyNumberFormat="1" applyFont="1" applyFill="1" applyBorder="1" applyAlignment="1">
      <alignment horizontal="right" vertical="center" wrapText="1"/>
    </xf>
    <xf numFmtId="188" fontId="2" fillId="2" borderId="34" xfId="0" applyNumberFormat="1" applyFont="1" applyFill="1" applyBorder="1" applyAlignment="1">
      <alignment vertical="center"/>
    </xf>
    <xf numFmtId="188" fontId="2" fillId="0" borderId="34" xfId="0" applyNumberFormat="1" applyFont="1" applyBorder="1" applyAlignment="1">
      <alignment vertical="center"/>
    </xf>
    <xf numFmtId="187" fontId="1" fillId="7" borderId="35" xfId="0" applyNumberFormat="1" applyFont="1" applyFill="1" applyBorder="1" applyAlignment="1">
      <alignment vertical="center"/>
    </xf>
    <xf numFmtId="187" fontId="1" fillId="7" borderId="36" xfId="0" applyNumberFormat="1" applyFont="1" applyFill="1" applyBorder="1" applyAlignment="1">
      <alignment vertical="center"/>
    </xf>
    <xf numFmtId="0" fontId="2" fillId="7" borderId="36" xfId="0" applyFont="1" applyFill="1" applyBorder="1" applyAlignment="1">
      <alignment vertical="center"/>
    </xf>
    <xf numFmtId="0" fontId="2" fillId="7" borderId="37" xfId="0" applyFont="1" applyFill="1" applyBorder="1" applyAlignment="1">
      <alignment vertical="center"/>
    </xf>
    <xf numFmtId="0" fontId="2" fillId="7" borderId="38" xfId="0" applyFont="1" applyFill="1" applyBorder="1" applyAlignment="1">
      <alignment horizontal="left" vertical="center"/>
    </xf>
    <xf numFmtId="189" fontId="2" fillId="7" borderId="38" xfId="0" applyNumberFormat="1" applyFont="1" applyFill="1" applyBorder="1" applyAlignment="1">
      <alignment horizontal="left" vertical="center"/>
    </xf>
    <xf numFmtId="188" fontId="2" fillId="7" borderId="38" xfId="0" applyNumberFormat="1" applyFont="1" applyFill="1" applyBorder="1" applyAlignment="1">
      <alignment horizontal="left" vertical="center"/>
    </xf>
    <xf numFmtId="188" fontId="2" fillId="7" borderId="38" xfId="0" applyNumberFormat="1" applyFont="1" applyFill="1" applyBorder="1" applyAlignment="1">
      <alignment vertical="center"/>
    </xf>
    <xf numFmtId="187" fontId="1" fillId="24" borderId="29" xfId="0" applyNumberFormat="1" applyFont="1" applyFill="1" applyBorder="1" applyAlignment="1">
      <alignment vertical="center"/>
    </xf>
    <xf numFmtId="187" fontId="1" fillId="24" borderId="30" xfId="0" applyNumberFormat="1" applyFont="1" applyFill="1" applyBorder="1" applyAlignment="1">
      <alignment vertical="center"/>
    </xf>
    <xf numFmtId="0" fontId="1" fillId="24" borderId="30" xfId="0" applyFont="1" applyFill="1" applyBorder="1" applyAlignment="1">
      <alignment vertical="center"/>
    </xf>
    <xf numFmtId="0" fontId="1" fillId="24" borderId="31" xfId="0" applyFont="1" applyFill="1" applyBorder="1" applyAlignment="1">
      <alignment vertical="center"/>
    </xf>
    <xf numFmtId="0" fontId="1" fillId="24" borderId="19" xfId="0" applyFont="1" applyFill="1" applyBorder="1" applyAlignment="1">
      <alignment horizontal="center" vertical="center"/>
    </xf>
    <xf numFmtId="189" fontId="1" fillId="24" borderId="19" xfId="0" applyNumberFormat="1" applyFont="1" applyFill="1" applyBorder="1" applyAlignment="1">
      <alignment horizontal="center" vertical="center"/>
    </xf>
    <xf numFmtId="188" fontId="1" fillId="24" borderId="19" xfId="0" applyNumberFormat="1" applyFont="1" applyFill="1" applyBorder="1" applyAlignment="1">
      <alignment horizontal="center" vertical="center"/>
    </xf>
    <xf numFmtId="188" fontId="2" fillId="24" borderId="19" xfId="0" applyNumberFormat="1" applyFont="1" applyFill="1" applyBorder="1" applyAlignment="1">
      <alignment horizontal="right" vertical="center" wrapText="1"/>
    </xf>
    <xf numFmtId="187" fontId="1" fillId="22" borderId="29" xfId="0" applyNumberFormat="1" applyFont="1" applyFill="1" applyBorder="1" applyAlignment="1">
      <alignment vertical="center"/>
    </xf>
    <xf numFmtId="0" fontId="1" fillId="22" borderId="30" xfId="0" applyFont="1" applyFill="1" applyBorder="1" applyAlignment="1">
      <alignment vertical="center"/>
    </xf>
    <xf numFmtId="187" fontId="1" fillId="22" borderId="30" xfId="0" applyNumberFormat="1" applyFont="1" applyFill="1" applyBorder="1" applyAlignment="1">
      <alignment vertical="center"/>
    </xf>
    <xf numFmtId="0" fontId="1" fillId="22" borderId="31" xfId="0" applyFont="1" applyFill="1" applyBorder="1" applyAlignment="1">
      <alignment vertical="center"/>
    </xf>
    <xf numFmtId="0" fontId="1" fillId="22" borderId="19" xfId="0" applyFont="1" applyFill="1" applyBorder="1" applyAlignment="1">
      <alignment horizontal="center" vertical="center" wrapText="1"/>
    </xf>
    <xf numFmtId="189" fontId="1" fillId="22" borderId="19" xfId="0" applyNumberFormat="1" applyFont="1" applyFill="1" applyBorder="1" applyAlignment="1">
      <alignment horizontal="right" vertical="center" wrapText="1"/>
    </xf>
    <xf numFmtId="188" fontId="1" fillId="22" borderId="19" xfId="0" applyNumberFormat="1" applyFont="1" applyFill="1" applyBorder="1" applyAlignment="1">
      <alignment horizontal="right" vertical="center" wrapText="1"/>
    </xf>
    <xf numFmtId="188" fontId="1" fillId="22" borderId="19" xfId="0" applyNumberFormat="1" applyFont="1" applyFill="1" applyBorder="1" applyAlignment="1">
      <alignment vertical="center"/>
    </xf>
    <xf numFmtId="187" fontId="1" fillId="25" borderId="29" xfId="0" applyNumberFormat="1" applyFont="1" applyFill="1" applyBorder="1" applyAlignment="1">
      <alignment vertical="center"/>
    </xf>
    <xf numFmtId="187" fontId="1" fillId="25" borderId="30" xfId="0" applyNumberFormat="1" applyFont="1" applyFill="1" applyBorder="1" applyAlignment="1">
      <alignment vertical="center"/>
    </xf>
    <xf numFmtId="0" fontId="1" fillId="25" borderId="30" xfId="0" applyFont="1" applyFill="1" applyBorder="1" applyAlignment="1">
      <alignment vertical="center"/>
    </xf>
    <xf numFmtId="0" fontId="1" fillId="25" borderId="31" xfId="0" applyFont="1" applyFill="1" applyBorder="1" applyAlignment="1">
      <alignment vertical="center"/>
    </xf>
    <xf numFmtId="0" fontId="2" fillId="25" borderId="19" xfId="0" applyFont="1" applyFill="1" applyBorder="1" applyAlignment="1">
      <alignment horizontal="center" vertical="center" wrapText="1"/>
    </xf>
    <xf numFmtId="189" fontId="2" fillId="25" borderId="19" xfId="0" applyNumberFormat="1" applyFont="1" applyFill="1" applyBorder="1" applyAlignment="1">
      <alignment horizontal="right" vertical="center" wrapText="1"/>
    </xf>
    <xf numFmtId="188" fontId="2" fillId="25" borderId="19" xfId="0" applyNumberFormat="1" applyFont="1" applyFill="1" applyBorder="1" applyAlignment="1">
      <alignment horizontal="right" vertical="center" wrapText="1"/>
    </xf>
    <xf numFmtId="188" fontId="1" fillId="25" borderId="19" xfId="0" applyNumberFormat="1" applyFont="1" applyFill="1" applyBorder="1" applyAlignment="1">
      <alignment vertical="center"/>
    </xf>
    <xf numFmtId="0" fontId="2" fillId="0" borderId="18" xfId="0" applyFont="1" applyBorder="1" applyAlignment="1">
      <alignment vertical="center"/>
    </xf>
    <xf numFmtId="0" fontId="2" fillId="2" borderId="19" xfId="0" applyFont="1" applyFill="1" applyBorder="1" applyAlignment="1">
      <alignment horizontal="center" vertical="center" wrapText="1"/>
    </xf>
    <xf numFmtId="0" fontId="2" fillId="0" borderId="20" xfId="0" applyFont="1" applyBorder="1" applyAlignment="1">
      <alignment vertical="center"/>
    </xf>
    <xf numFmtId="189" fontId="2" fillId="4" borderId="19" xfId="0" applyNumberFormat="1" applyFont="1" applyFill="1" applyBorder="1" applyAlignment="1">
      <alignment horizontal="right" wrapText="1"/>
    </xf>
    <xf numFmtId="0" fontId="1" fillId="25" borderId="19" xfId="0" applyFont="1" applyFill="1" applyBorder="1" applyAlignment="1">
      <alignment horizontal="center" vertical="center" shrinkToFit="1"/>
    </xf>
    <xf numFmtId="189" fontId="1" fillId="25" borderId="19" xfId="0" applyNumberFormat="1" applyFont="1" applyFill="1" applyBorder="1" applyAlignment="1">
      <alignment horizontal="right" vertical="center" wrapText="1"/>
    </xf>
    <xf numFmtId="188" fontId="1" fillId="25" borderId="19" xfId="0" applyNumberFormat="1" applyFont="1" applyFill="1" applyBorder="1" applyAlignment="1">
      <alignment horizontal="right" vertical="center" wrapText="1"/>
    </xf>
    <xf numFmtId="0" fontId="1" fillId="25" borderId="19" xfId="0" applyFont="1" applyFill="1" applyBorder="1" applyAlignment="1">
      <alignment horizontal="center" vertical="center" wrapText="1"/>
    </xf>
    <xf numFmtId="189" fontId="2" fillId="4" borderId="32" xfId="0" applyNumberFormat="1" applyFont="1" applyFill="1" applyBorder="1" applyAlignment="1">
      <alignment horizontal="right" vertical="center"/>
    </xf>
    <xf numFmtId="188" fontId="2" fillId="0" borderId="34" xfId="0" applyNumberFormat="1" applyFont="1" applyBorder="1" applyAlignment="1">
      <alignment horizontal="right" vertical="center" wrapText="1"/>
    </xf>
    <xf numFmtId="187" fontId="1" fillId="25" borderId="30" xfId="0" applyNumberFormat="1" applyFont="1" applyFill="1" applyBorder="1" applyAlignment="1">
      <alignment horizontal="left" vertical="center"/>
    </xf>
    <xf numFmtId="188" fontId="1" fillId="2" borderId="19" xfId="0" applyNumberFormat="1" applyFont="1" applyFill="1" applyBorder="1" applyAlignment="1">
      <alignment horizontal="right" vertical="center" wrapText="1"/>
    </xf>
    <xf numFmtId="0" fontId="1" fillId="0" borderId="18" xfId="0" applyFont="1" applyBorder="1" applyAlignment="1">
      <alignment vertical="center"/>
    </xf>
    <xf numFmtId="188" fontId="1" fillId="0" borderId="19" xfId="0" applyNumberFormat="1" applyFont="1" applyBorder="1" applyAlignment="1">
      <alignment vertical="center"/>
    </xf>
    <xf numFmtId="0" fontId="2" fillId="0" borderId="20" xfId="0" quotePrefix="1" applyFont="1" applyBorder="1" applyAlignment="1">
      <alignment vertical="center"/>
    </xf>
    <xf numFmtId="187" fontId="1" fillId="22" borderId="30" xfId="0" applyNumberFormat="1" applyFont="1" applyFill="1" applyBorder="1" applyAlignment="1">
      <alignment horizontal="left" vertical="center"/>
    </xf>
    <xf numFmtId="187" fontId="1" fillId="26" borderId="35" xfId="0" applyNumberFormat="1" applyFont="1" applyFill="1" applyBorder="1" applyAlignment="1">
      <alignment vertical="center"/>
    </xf>
    <xf numFmtId="187" fontId="1" fillId="26" borderId="36" xfId="0" applyNumberFormat="1" applyFont="1" applyFill="1" applyBorder="1" applyAlignment="1">
      <alignment vertical="center"/>
    </xf>
    <xf numFmtId="0" fontId="1" fillId="26" borderId="36" xfId="0" applyFont="1" applyFill="1" applyBorder="1" applyAlignment="1">
      <alignment vertical="center"/>
    </xf>
    <xf numFmtId="0" fontId="1" fillId="26" borderId="37" xfId="0" applyFont="1" applyFill="1" applyBorder="1" applyAlignment="1">
      <alignment vertical="center"/>
    </xf>
    <xf numFmtId="0" fontId="1" fillId="26" borderId="38" xfId="0" applyFont="1" applyFill="1" applyBorder="1" applyAlignment="1">
      <alignment horizontal="left" vertical="center"/>
    </xf>
    <xf numFmtId="189" fontId="1" fillId="26" borderId="38" xfId="0" applyNumberFormat="1" applyFont="1" applyFill="1" applyBorder="1" applyAlignment="1">
      <alignment horizontal="left" vertical="center"/>
    </xf>
    <xf numFmtId="188" fontId="1" fillId="26" borderId="38" xfId="0" applyNumberFormat="1" applyFont="1" applyFill="1" applyBorder="1" applyAlignment="1">
      <alignment horizontal="left" vertical="center"/>
    </xf>
    <xf numFmtId="188" fontId="1" fillId="26" borderId="38" xfId="0" applyNumberFormat="1" applyFont="1" applyFill="1" applyBorder="1" applyAlignment="1">
      <alignment vertical="center"/>
    </xf>
    <xf numFmtId="188" fontId="2" fillId="26" borderId="38" xfId="0" applyNumberFormat="1" applyFont="1" applyFill="1" applyBorder="1" applyAlignment="1">
      <alignment vertical="center"/>
    </xf>
    <xf numFmtId="187" fontId="1" fillId="27" borderId="29" xfId="0" applyNumberFormat="1" applyFont="1" applyFill="1" applyBorder="1" applyAlignment="1">
      <alignment vertical="center"/>
    </xf>
    <xf numFmtId="187" fontId="1" fillId="27" borderId="30" xfId="0" applyNumberFormat="1" applyFont="1" applyFill="1" applyBorder="1" applyAlignment="1">
      <alignment vertical="center"/>
    </xf>
    <xf numFmtId="0" fontId="1" fillId="27" borderId="30" xfId="0" applyFont="1" applyFill="1" applyBorder="1" applyAlignment="1">
      <alignment vertical="center"/>
    </xf>
    <xf numFmtId="0" fontId="1" fillId="27" borderId="31" xfId="0" applyFont="1" applyFill="1" applyBorder="1" applyAlignment="1">
      <alignment vertical="center"/>
    </xf>
    <xf numFmtId="0" fontId="1" fillId="27" borderId="19" xfId="0" applyFont="1" applyFill="1" applyBorder="1" applyAlignment="1">
      <alignment horizontal="center" vertical="center"/>
    </xf>
    <xf numFmtId="189" fontId="1" fillId="27" borderId="19" xfId="0" applyNumberFormat="1" applyFont="1" applyFill="1" applyBorder="1" applyAlignment="1">
      <alignment vertical="center"/>
    </xf>
    <xf numFmtId="188" fontId="1" fillId="27" borderId="19" xfId="0" applyNumberFormat="1" applyFont="1" applyFill="1" applyBorder="1" applyAlignment="1">
      <alignment vertical="center"/>
    </xf>
    <xf numFmtId="188" fontId="2" fillId="27" borderId="19" xfId="0" applyNumberFormat="1" applyFont="1" applyFill="1" applyBorder="1" applyAlignment="1">
      <alignment horizontal="right" vertical="center" wrapText="1"/>
    </xf>
    <xf numFmtId="187" fontId="1" fillId="28" borderId="29" xfId="0" applyNumberFormat="1" applyFont="1" applyFill="1" applyBorder="1" applyAlignment="1">
      <alignment vertical="center"/>
    </xf>
    <xf numFmtId="0" fontId="1" fillId="28" borderId="30" xfId="0" applyFont="1" applyFill="1" applyBorder="1" applyAlignment="1">
      <alignment vertical="center"/>
    </xf>
    <xf numFmtId="0" fontId="1" fillId="28" borderId="31" xfId="0" applyFont="1" applyFill="1" applyBorder="1" applyAlignment="1">
      <alignment vertical="center"/>
    </xf>
    <xf numFmtId="0" fontId="1" fillId="28" borderId="19" xfId="0" applyFont="1" applyFill="1" applyBorder="1" applyAlignment="1">
      <alignment horizontal="center" vertical="center" wrapText="1"/>
    </xf>
    <xf numFmtId="189" fontId="1" fillId="28" borderId="19" xfId="0" applyNumberFormat="1" applyFont="1" applyFill="1" applyBorder="1" applyAlignment="1">
      <alignment horizontal="right" vertical="center" wrapText="1"/>
    </xf>
    <xf numFmtId="188" fontId="1" fillId="28" borderId="19" xfId="0" applyNumberFormat="1" applyFont="1" applyFill="1" applyBorder="1" applyAlignment="1">
      <alignment horizontal="right" vertical="center" wrapText="1"/>
    </xf>
    <xf numFmtId="188" fontId="1" fillId="28" borderId="19" xfId="0" applyNumberFormat="1" applyFont="1" applyFill="1" applyBorder="1" applyAlignment="1">
      <alignment vertical="center"/>
    </xf>
    <xf numFmtId="187" fontId="1" fillId="27" borderId="31" xfId="0" applyNumberFormat="1" applyFont="1" applyFill="1" applyBorder="1" applyAlignment="1">
      <alignment vertical="center"/>
    </xf>
    <xf numFmtId="0" fontId="1" fillId="27" borderId="19" xfId="0" applyFont="1" applyFill="1" applyBorder="1" applyAlignment="1">
      <alignment horizontal="left" vertical="center"/>
    </xf>
    <xf numFmtId="189" fontId="1" fillId="27" borderId="19" xfId="0" applyNumberFormat="1" applyFont="1" applyFill="1" applyBorder="1" applyAlignment="1">
      <alignment horizontal="right" vertical="center"/>
    </xf>
    <xf numFmtId="188" fontId="1" fillId="27" borderId="19" xfId="0" applyNumberFormat="1" applyFont="1" applyFill="1" applyBorder="1" applyAlignment="1">
      <alignment horizontal="right" vertical="center"/>
    </xf>
    <xf numFmtId="190" fontId="1" fillId="28" borderId="29" xfId="0" applyNumberFormat="1" applyFont="1" applyFill="1" applyBorder="1" applyAlignment="1">
      <alignment vertical="center"/>
    </xf>
    <xf numFmtId="190" fontId="1" fillId="28" borderId="30" xfId="0" applyNumberFormat="1" applyFont="1" applyFill="1" applyBorder="1" applyAlignment="1">
      <alignment vertical="center"/>
    </xf>
    <xf numFmtId="187" fontId="1" fillId="28" borderId="30" xfId="0" applyNumberFormat="1" applyFont="1" applyFill="1" applyBorder="1" applyAlignment="1">
      <alignment vertical="center"/>
    </xf>
    <xf numFmtId="189" fontId="2" fillId="2" borderId="31" xfId="0" applyNumberFormat="1" applyFont="1" applyFill="1" applyBorder="1" applyAlignment="1">
      <alignment horizontal="right" vertical="center"/>
    </xf>
    <xf numFmtId="190" fontId="1" fillId="28" borderId="39" xfId="0" applyNumberFormat="1" applyFont="1" applyFill="1" applyBorder="1" applyAlignment="1">
      <alignment vertical="center"/>
    </xf>
    <xf numFmtId="0" fontId="1" fillId="28" borderId="40" xfId="0" applyFont="1" applyFill="1" applyBorder="1" applyAlignment="1">
      <alignment vertical="center"/>
    </xf>
    <xf numFmtId="190" fontId="1" fillId="28" borderId="40" xfId="0" applyNumberFormat="1" applyFont="1" applyFill="1" applyBorder="1" applyAlignment="1">
      <alignment vertical="center"/>
    </xf>
    <xf numFmtId="187" fontId="1" fillId="28" borderId="40" xfId="0" applyNumberFormat="1" applyFont="1" applyFill="1" applyBorder="1" applyAlignment="1">
      <alignment vertical="center"/>
    </xf>
    <xf numFmtId="0" fontId="1" fillId="28" borderId="41" xfId="0" applyFont="1" applyFill="1" applyBorder="1" applyAlignment="1">
      <alignment vertical="center"/>
    </xf>
    <xf numFmtId="0" fontId="1" fillId="28" borderId="42" xfId="0" applyFont="1" applyFill="1" applyBorder="1" applyAlignment="1">
      <alignment horizontal="center" vertical="center" wrapText="1"/>
    </xf>
    <xf numFmtId="189" fontId="1" fillId="28" borderId="42" xfId="0" applyNumberFormat="1" applyFont="1" applyFill="1" applyBorder="1" applyAlignment="1">
      <alignment horizontal="right" vertical="center" wrapText="1"/>
    </xf>
    <xf numFmtId="188" fontId="1" fillId="28" borderId="42" xfId="0" applyNumberFormat="1" applyFont="1" applyFill="1" applyBorder="1" applyAlignment="1">
      <alignment horizontal="right" vertical="center" wrapText="1"/>
    </xf>
    <xf numFmtId="188" fontId="1" fillId="28" borderId="42" xfId="0" applyNumberFormat="1" applyFont="1" applyFill="1" applyBorder="1" applyAlignment="1">
      <alignment vertical="center"/>
    </xf>
    <xf numFmtId="189" fontId="2" fillId="0" borderId="15" xfId="0" applyNumberFormat="1" applyFont="1" applyBorder="1" applyAlignment="1">
      <alignment horizontal="right" vertical="center" wrapText="1"/>
    </xf>
    <xf numFmtId="188" fontId="2" fillId="0" borderId="15" xfId="0" applyNumberFormat="1" applyFont="1" applyBorder="1" applyAlignment="1">
      <alignment horizontal="right" vertical="center" wrapText="1"/>
    </xf>
    <xf numFmtId="0" fontId="1" fillId="28" borderId="30" xfId="0" applyFont="1" applyFill="1" applyBorder="1" applyAlignment="1">
      <alignment vertical="center"/>
    </xf>
    <xf numFmtId="189" fontId="1" fillId="28" borderId="19" xfId="0" applyNumberFormat="1" applyFont="1" applyFill="1" applyBorder="1" applyAlignment="1">
      <alignment horizontal="center" vertical="center"/>
    </xf>
    <xf numFmtId="0" fontId="13" fillId="0" borderId="18" xfId="0" applyFont="1" applyBorder="1" applyAlignment="1">
      <alignment vertical="center"/>
    </xf>
    <xf numFmtId="189" fontId="2" fillId="2" borderId="19" xfId="0" applyNumberFormat="1" applyFont="1" applyFill="1" applyBorder="1" applyAlignment="1">
      <alignment horizontal="center" vertical="center"/>
    </xf>
    <xf numFmtId="188" fontId="2" fillId="2" borderId="19" xfId="0" applyNumberFormat="1" applyFont="1" applyFill="1" applyBorder="1" applyAlignment="1">
      <alignment horizontal="center" vertical="center"/>
    </xf>
    <xf numFmtId="188" fontId="2" fillId="0" borderId="19" xfId="0" applyNumberFormat="1" applyFont="1" applyBorder="1" applyAlignment="1">
      <alignment horizontal="left" vertical="center" shrinkToFit="1"/>
    </xf>
    <xf numFmtId="0" fontId="2" fillId="0" borderId="19" xfId="0" applyFont="1" applyBorder="1" applyAlignment="1">
      <alignment horizontal="center" vertical="center" wrapText="1"/>
    </xf>
    <xf numFmtId="189" fontId="2" fillId="2" borderId="19" xfId="0" applyNumberFormat="1" applyFont="1" applyFill="1" applyBorder="1" applyAlignment="1">
      <alignment horizontal="center" vertical="center"/>
    </xf>
    <xf numFmtId="0" fontId="1" fillId="0" borderId="22" xfId="0" applyFont="1" applyBorder="1" applyAlignment="1">
      <alignment vertical="center"/>
    </xf>
    <xf numFmtId="0" fontId="2" fillId="0" borderId="22" xfId="0" applyFont="1" applyBorder="1" applyAlignment="1">
      <alignment vertical="center"/>
    </xf>
    <xf numFmtId="0" fontId="2" fillId="0" borderId="23" xfId="0" applyFont="1" applyBorder="1" applyAlignment="1">
      <alignment vertical="center"/>
    </xf>
    <xf numFmtId="0" fontId="2" fillId="0" borderId="34" xfId="0" applyFont="1" applyBorder="1" applyAlignment="1">
      <alignment horizontal="center" vertical="center" wrapText="1"/>
    </xf>
    <xf numFmtId="189" fontId="2" fillId="2" borderId="34" xfId="0" applyNumberFormat="1" applyFont="1" applyFill="1" applyBorder="1" applyAlignment="1">
      <alignment horizontal="center" vertical="center"/>
    </xf>
    <xf numFmtId="188" fontId="2" fillId="2" borderId="34" xfId="0" applyNumberFormat="1" applyFont="1" applyFill="1" applyBorder="1" applyAlignment="1">
      <alignment horizontal="center" vertical="center"/>
    </xf>
    <xf numFmtId="188" fontId="2" fillId="0" borderId="34" xfId="0" applyNumberFormat="1" applyFont="1" applyBorder="1" applyAlignment="1">
      <alignment horizontal="left" vertical="center" shrinkToFit="1"/>
    </xf>
    <xf numFmtId="0" fontId="1" fillId="29" borderId="35" xfId="0" applyFont="1" applyFill="1" applyBorder="1" applyAlignment="1">
      <alignment vertical="center"/>
    </xf>
    <xf numFmtId="0" fontId="1" fillId="29" borderId="36" xfId="0" applyFont="1" applyFill="1" applyBorder="1" applyAlignment="1">
      <alignment vertical="center"/>
    </xf>
    <xf numFmtId="0" fontId="1" fillId="29" borderId="37" xfId="0" applyFont="1" applyFill="1" applyBorder="1" applyAlignment="1">
      <alignment vertical="center"/>
    </xf>
    <xf numFmtId="0" fontId="1" fillId="29" borderId="38" xfId="0" applyFont="1" applyFill="1" applyBorder="1" applyAlignment="1">
      <alignment vertical="center"/>
    </xf>
    <xf numFmtId="189" fontId="1" fillId="29" borderId="38" xfId="0" applyNumberFormat="1" applyFont="1" applyFill="1" applyBorder="1" applyAlignment="1">
      <alignment vertical="center"/>
    </xf>
    <xf numFmtId="188" fontId="1" fillId="29" borderId="38" xfId="0" applyNumberFormat="1" applyFont="1" applyFill="1" applyBorder="1" applyAlignment="1">
      <alignment vertical="center"/>
    </xf>
    <xf numFmtId="0" fontId="1" fillId="30" borderId="29" xfId="0" applyFont="1" applyFill="1" applyBorder="1" applyAlignment="1">
      <alignment vertical="center"/>
    </xf>
    <xf numFmtId="0" fontId="1" fillId="30" borderId="30" xfId="0" applyFont="1" applyFill="1" applyBorder="1" applyAlignment="1">
      <alignment vertical="center"/>
    </xf>
    <xf numFmtId="0" fontId="1" fillId="30" borderId="31" xfId="0" applyFont="1" applyFill="1" applyBorder="1" applyAlignment="1">
      <alignment vertical="center"/>
    </xf>
    <xf numFmtId="0" fontId="1" fillId="30" borderId="19" xfId="0" applyFont="1" applyFill="1" applyBorder="1" applyAlignment="1">
      <alignment horizontal="left" vertical="center"/>
    </xf>
    <xf numFmtId="189" fontId="1" fillId="30" borderId="19" xfId="0" applyNumberFormat="1" applyFont="1" applyFill="1" applyBorder="1" applyAlignment="1">
      <alignment horizontal="left" vertical="center"/>
    </xf>
    <xf numFmtId="188" fontId="1" fillId="30" borderId="19" xfId="0" applyNumberFormat="1" applyFont="1" applyFill="1" applyBorder="1" applyAlignment="1">
      <alignment horizontal="left" vertical="center"/>
    </xf>
    <xf numFmtId="188" fontId="1" fillId="30" borderId="19" xfId="0" applyNumberFormat="1" applyFont="1" applyFill="1" applyBorder="1" applyAlignment="1">
      <alignment vertical="center"/>
    </xf>
    <xf numFmtId="0" fontId="1" fillId="31" borderId="29" xfId="0" applyFont="1" applyFill="1" applyBorder="1" applyAlignment="1">
      <alignment vertical="center"/>
    </xf>
    <xf numFmtId="187" fontId="1" fillId="31" borderId="30" xfId="0" applyNumberFormat="1" applyFont="1" applyFill="1" applyBorder="1" applyAlignment="1">
      <alignment vertical="center"/>
    </xf>
    <xf numFmtId="0" fontId="1" fillId="31" borderId="30" xfId="0" applyFont="1" applyFill="1" applyBorder="1" applyAlignment="1">
      <alignment vertical="center"/>
    </xf>
    <xf numFmtId="0" fontId="1" fillId="31" borderId="31" xfId="0" applyFont="1" applyFill="1" applyBorder="1" applyAlignment="1">
      <alignment vertical="center"/>
    </xf>
    <xf numFmtId="0" fontId="1" fillId="31" borderId="19" xfId="0" applyFont="1" applyFill="1" applyBorder="1" applyAlignment="1">
      <alignment horizontal="center" vertical="center"/>
    </xf>
    <xf numFmtId="189" fontId="1" fillId="31" borderId="19" xfId="0" applyNumberFormat="1" applyFont="1" applyFill="1" applyBorder="1" applyAlignment="1">
      <alignment horizontal="center" vertical="center"/>
    </xf>
    <xf numFmtId="188" fontId="1" fillId="31" borderId="19" xfId="0" applyNumberFormat="1" applyFont="1" applyFill="1" applyBorder="1" applyAlignment="1">
      <alignment horizontal="right" vertical="center" wrapText="1"/>
    </xf>
    <xf numFmtId="188" fontId="1" fillId="31" borderId="19" xfId="0" applyNumberFormat="1" applyFont="1" applyFill="1" applyBorder="1" applyAlignment="1">
      <alignment vertical="center"/>
    </xf>
    <xf numFmtId="0" fontId="2" fillId="2" borderId="31" xfId="0" applyFont="1" applyFill="1" applyBorder="1" applyAlignment="1">
      <alignment horizontal="left" vertical="center"/>
    </xf>
    <xf numFmtId="187" fontId="1" fillId="2" borderId="17" xfId="0" applyNumberFormat="1" applyFont="1" applyFill="1" applyBorder="1" applyAlignment="1">
      <alignment vertical="center"/>
    </xf>
    <xf numFmtId="187" fontId="1" fillId="2" borderId="18" xfId="0" applyNumberFormat="1" applyFont="1" applyFill="1" applyBorder="1" applyAlignment="1">
      <alignment vertical="center"/>
    </xf>
    <xf numFmtId="0" fontId="14" fillId="2" borderId="30" xfId="0" applyFont="1" applyFill="1" applyBorder="1" applyAlignment="1">
      <alignment vertical="center"/>
    </xf>
    <xf numFmtId="0" fontId="2" fillId="2" borderId="31" xfId="0" applyFont="1" applyFill="1" applyBorder="1" applyAlignment="1">
      <alignment vertical="center"/>
    </xf>
    <xf numFmtId="188" fontId="2" fillId="6" borderId="19" xfId="0" applyNumberFormat="1" applyFont="1" applyFill="1" applyBorder="1" applyAlignment="1">
      <alignment vertical="center"/>
    </xf>
    <xf numFmtId="0" fontId="2" fillId="2" borderId="20" xfId="0" quotePrefix="1" applyFont="1" applyFill="1" applyBorder="1" applyAlignment="1">
      <alignment vertical="center"/>
    </xf>
    <xf numFmtId="0" fontId="2" fillId="2" borderId="20" xfId="0" applyFont="1" applyFill="1" applyBorder="1" applyAlignment="1">
      <alignment vertical="center"/>
    </xf>
    <xf numFmtId="0" fontId="2" fillId="31" borderId="30" xfId="0" applyFont="1" applyFill="1" applyBorder="1" applyAlignment="1">
      <alignment vertical="center"/>
    </xf>
    <xf numFmtId="0" fontId="2" fillId="31" borderId="31" xfId="0" applyFont="1" applyFill="1" applyBorder="1" applyAlignment="1">
      <alignment vertical="center"/>
    </xf>
    <xf numFmtId="0" fontId="1" fillId="31" borderId="18" xfId="0" applyFont="1" applyFill="1" applyBorder="1" applyAlignment="1">
      <alignment vertical="center"/>
    </xf>
    <xf numFmtId="0" fontId="2" fillId="31" borderId="18" xfId="0" applyFont="1" applyFill="1" applyBorder="1" applyAlignment="1">
      <alignment vertical="center"/>
    </xf>
    <xf numFmtId="0" fontId="2" fillId="31" borderId="20" xfId="0" applyFont="1" applyFill="1" applyBorder="1" applyAlignment="1">
      <alignment vertical="center"/>
    </xf>
    <xf numFmtId="0" fontId="1" fillId="31" borderId="20" xfId="0" applyFont="1" applyFill="1" applyBorder="1" applyAlignment="1">
      <alignment vertical="center"/>
    </xf>
    <xf numFmtId="0" fontId="1" fillId="0" borderId="20" xfId="0" applyFont="1" applyBorder="1" applyAlignment="1">
      <alignment vertical="center"/>
    </xf>
    <xf numFmtId="0" fontId="1" fillId="2" borderId="19" xfId="0" applyFont="1" applyFill="1" applyBorder="1" applyAlignment="1">
      <alignment horizontal="center" vertical="center" wrapText="1"/>
    </xf>
    <xf numFmtId="0" fontId="2" fillId="0" borderId="18" xfId="0" quotePrefix="1" applyFont="1" applyBorder="1" applyAlignment="1">
      <alignment horizontal="left" vertical="center"/>
    </xf>
    <xf numFmtId="189" fontId="1" fillId="2" borderId="19" xfId="0" applyNumberFormat="1" applyFont="1" applyFill="1" applyBorder="1" applyAlignment="1">
      <alignment horizontal="center" vertical="center"/>
    </xf>
    <xf numFmtId="189" fontId="1" fillId="15" borderId="19" xfId="0" applyNumberFormat="1" applyFont="1" applyFill="1" applyBorder="1" applyAlignment="1">
      <alignment horizontal="right" wrapText="1"/>
    </xf>
    <xf numFmtId="189" fontId="1" fillId="4" borderId="19" xfId="0" applyNumberFormat="1" applyFont="1" applyFill="1" applyBorder="1" applyAlignment="1">
      <alignment horizontal="right" wrapText="1"/>
    </xf>
    <xf numFmtId="189" fontId="2" fillId="4" borderId="19" xfId="0" applyNumberFormat="1" applyFont="1" applyFill="1" applyBorder="1" applyAlignment="1">
      <alignment horizontal="right" wrapText="1"/>
    </xf>
    <xf numFmtId="187" fontId="1" fillId="0" borderId="22" xfId="0" applyNumberFormat="1" applyFont="1" applyBorder="1" applyAlignment="1">
      <alignment horizontal="left" vertical="center"/>
    </xf>
    <xf numFmtId="0" fontId="2" fillId="0" borderId="22" xfId="0" applyFont="1" applyBorder="1" applyAlignment="1">
      <alignment horizontal="right" vertical="center"/>
    </xf>
    <xf numFmtId="0" fontId="2" fillId="0" borderId="23" xfId="0" quotePrefix="1" applyFont="1" applyBorder="1" applyAlignment="1">
      <alignment vertical="center"/>
    </xf>
    <xf numFmtId="189" fontId="2" fillId="2" borderId="34" xfId="0" applyNumberFormat="1" applyFont="1" applyFill="1" applyBorder="1" applyAlignment="1">
      <alignment horizontal="center" vertical="center"/>
    </xf>
    <xf numFmtId="0" fontId="2" fillId="0" borderId="18" xfId="0" quotePrefix="1" applyFont="1" applyBorder="1" applyAlignment="1">
      <alignment horizontal="left" vertical="center"/>
    </xf>
    <xf numFmtId="189" fontId="2" fillId="0" borderId="19" xfId="0" applyNumberFormat="1" applyFont="1" applyBorder="1" applyAlignment="1">
      <alignment horizontal="center" vertical="center"/>
    </xf>
    <xf numFmtId="0" fontId="1" fillId="2" borderId="19" xfId="0" applyFont="1" applyFill="1" applyBorder="1" applyAlignment="1">
      <alignment horizontal="center" vertical="center" wrapText="1"/>
    </xf>
    <xf numFmtId="187" fontId="2" fillId="0" borderId="17" xfId="0" applyNumberFormat="1" applyFont="1" applyBorder="1" applyAlignment="1">
      <alignment vertical="center"/>
    </xf>
    <xf numFmtId="187" fontId="2" fillId="0" borderId="18" xfId="0" applyNumberFormat="1" applyFont="1" applyBorder="1" applyAlignment="1">
      <alignment vertical="center"/>
    </xf>
    <xf numFmtId="187" fontId="2" fillId="0" borderId="18" xfId="0" applyNumberFormat="1" applyFont="1" applyBorder="1" applyAlignment="1">
      <alignment horizontal="left" vertical="center"/>
    </xf>
    <xf numFmtId="0" fontId="1" fillId="31" borderId="39" xfId="0" applyFont="1" applyFill="1" applyBorder="1" applyAlignment="1">
      <alignment vertical="center"/>
    </xf>
    <xf numFmtId="187" fontId="1" fillId="31" borderId="40" xfId="0" applyNumberFormat="1" applyFont="1" applyFill="1" applyBorder="1" applyAlignment="1">
      <alignment vertical="center"/>
    </xf>
    <xf numFmtId="0" fontId="1" fillId="31" borderId="40" xfId="0" applyFont="1" applyFill="1" applyBorder="1" applyAlignment="1">
      <alignment vertical="center"/>
    </xf>
    <xf numFmtId="0" fontId="1" fillId="31" borderId="41" xfId="0" applyFont="1" applyFill="1" applyBorder="1" applyAlignment="1">
      <alignment vertical="center"/>
    </xf>
    <xf numFmtId="0" fontId="1" fillId="31" borderId="42" xfId="0" applyFont="1" applyFill="1" applyBorder="1" applyAlignment="1">
      <alignment horizontal="center" vertical="center"/>
    </xf>
    <xf numFmtId="189" fontId="1" fillId="31" borderId="42" xfId="0" applyNumberFormat="1" applyFont="1" applyFill="1" applyBorder="1" applyAlignment="1">
      <alignment horizontal="center" vertical="center"/>
    </xf>
    <xf numFmtId="188" fontId="1" fillId="31" borderId="42" xfId="0" applyNumberFormat="1" applyFont="1" applyFill="1" applyBorder="1" applyAlignment="1">
      <alignment horizontal="right" vertical="center" wrapText="1"/>
    </xf>
    <xf numFmtId="188" fontId="1" fillId="31" borderId="42" xfId="0" applyNumberFormat="1" applyFont="1" applyFill="1" applyBorder="1" applyAlignment="1">
      <alignment vertical="center"/>
    </xf>
    <xf numFmtId="189" fontId="2" fillId="4" borderId="30" xfId="0" applyNumberFormat="1" applyFont="1" applyFill="1" applyBorder="1" applyAlignment="1">
      <alignment horizontal="right" vertical="center"/>
    </xf>
    <xf numFmtId="0" fontId="1" fillId="0" borderId="18" xfId="0" quotePrefix="1" applyFont="1" applyBorder="1" applyAlignment="1">
      <alignment vertical="center"/>
    </xf>
    <xf numFmtId="187" fontId="1" fillId="22" borderId="18" xfId="0" applyNumberFormat="1" applyFont="1" applyFill="1" applyBorder="1" applyAlignment="1">
      <alignment horizontal="left" vertical="center"/>
    </xf>
    <xf numFmtId="0" fontId="1" fillId="22" borderId="18" xfId="0" applyFont="1" applyFill="1" applyBorder="1" applyAlignment="1">
      <alignment vertical="center"/>
    </xf>
    <xf numFmtId="0" fontId="1" fillId="22" borderId="20" xfId="0" applyFont="1" applyFill="1" applyBorder="1" applyAlignment="1">
      <alignment vertical="center"/>
    </xf>
    <xf numFmtId="0" fontId="1" fillId="0" borderId="17" xfId="0" applyFont="1" applyBorder="1" applyAlignment="1">
      <alignment horizontal="center" vertical="center"/>
    </xf>
    <xf numFmtId="189" fontId="1" fillId="0" borderId="19" xfId="0" applyNumberFormat="1" applyFont="1" applyBorder="1" applyAlignment="1">
      <alignment horizontal="right" vertical="center" wrapText="1"/>
    </xf>
    <xf numFmtId="189" fontId="1" fillId="0" borderId="19" xfId="0" applyNumberFormat="1" applyFont="1" applyBorder="1" applyAlignment="1">
      <alignment horizontal="right" vertical="center" wrapText="1"/>
    </xf>
    <xf numFmtId="0" fontId="2" fillId="0" borderId="20" xfId="0" applyFont="1" applyBorder="1" applyAlignment="1">
      <alignment horizontal="left" vertical="center"/>
    </xf>
    <xf numFmtId="0" fontId="2" fillId="0" borderId="17" xfId="0" applyFont="1" applyBorder="1" applyAlignment="1">
      <alignment horizontal="center" vertical="center"/>
    </xf>
    <xf numFmtId="187" fontId="2" fillId="0" borderId="13" xfId="0" applyNumberFormat="1" applyFont="1" applyBorder="1" applyAlignment="1">
      <alignment vertical="center"/>
    </xf>
    <xf numFmtId="187" fontId="2" fillId="0" borderId="14" xfId="0" applyNumberFormat="1" applyFont="1" applyBorder="1" applyAlignment="1">
      <alignment vertical="center"/>
    </xf>
    <xf numFmtId="187" fontId="2" fillId="0" borderId="14" xfId="0" applyNumberFormat="1" applyFont="1" applyBorder="1" applyAlignment="1">
      <alignment horizontal="left" vertical="center"/>
    </xf>
    <xf numFmtId="187" fontId="1" fillId="0" borderId="14" xfId="0" applyNumberFormat="1" applyFont="1" applyBorder="1" applyAlignment="1">
      <alignment horizontal="left" vertical="center"/>
    </xf>
    <xf numFmtId="0" fontId="2" fillId="0" borderId="14" xfId="0" applyFont="1" applyBorder="1" applyAlignment="1">
      <alignment vertical="center"/>
    </xf>
    <xf numFmtId="0" fontId="2" fillId="0" borderId="16" xfId="0" applyFont="1" applyBorder="1" applyAlignment="1">
      <alignment vertical="center"/>
    </xf>
    <xf numFmtId="0" fontId="1" fillId="0" borderId="13" xfId="0" applyFont="1" applyBorder="1" applyAlignment="1">
      <alignment horizontal="center" vertical="center"/>
    </xf>
    <xf numFmtId="188" fontId="2" fillId="0" borderId="15" xfId="0" applyNumberFormat="1" applyFont="1" applyBorder="1" applyAlignment="1">
      <alignment vertical="center"/>
    </xf>
    <xf numFmtId="187" fontId="2" fillId="0" borderId="21" xfId="0" applyNumberFormat="1" applyFont="1" applyBorder="1" applyAlignment="1">
      <alignment vertical="center"/>
    </xf>
    <xf numFmtId="187" fontId="2" fillId="0" borderId="22" xfId="0" applyNumberFormat="1" applyFont="1" applyBorder="1" applyAlignment="1">
      <alignment vertical="center"/>
    </xf>
    <xf numFmtId="187" fontId="2" fillId="0" borderId="22" xfId="0" applyNumberFormat="1" applyFont="1" applyBorder="1" applyAlignment="1">
      <alignment horizontal="left" vertical="center"/>
    </xf>
    <xf numFmtId="0" fontId="2" fillId="0" borderId="21" xfId="0" applyFont="1" applyBorder="1" applyAlignment="1">
      <alignment horizontal="center" vertical="center"/>
    </xf>
    <xf numFmtId="189" fontId="2" fillId="0" borderId="34" xfId="0" applyNumberFormat="1" applyFont="1" applyBorder="1" applyAlignment="1">
      <alignment horizontal="right" vertical="center" wrapText="1"/>
    </xf>
    <xf numFmtId="189" fontId="2" fillId="4" borderId="34" xfId="0" applyNumberFormat="1" applyFont="1" applyFill="1" applyBorder="1" applyAlignment="1">
      <alignment horizontal="right" vertical="center" wrapText="1"/>
    </xf>
    <xf numFmtId="187" fontId="1" fillId="0" borderId="13" xfId="0" applyNumberFormat="1" applyFont="1" applyBorder="1" applyAlignment="1">
      <alignment vertical="center"/>
    </xf>
    <xf numFmtId="187" fontId="1" fillId="0" borderId="14" xfId="0" applyNumberFormat="1" applyFont="1" applyBorder="1" applyAlignment="1">
      <alignment vertical="center"/>
    </xf>
    <xf numFmtId="187" fontId="1" fillId="22" borderId="14" xfId="0" applyNumberFormat="1" applyFont="1" applyFill="1" applyBorder="1" applyAlignment="1">
      <alignment horizontal="left" vertical="center"/>
    </xf>
    <xf numFmtId="0" fontId="1" fillId="22" borderId="14" xfId="0" applyFont="1" applyFill="1" applyBorder="1" applyAlignment="1">
      <alignment vertical="center"/>
    </xf>
    <xf numFmtId="0" fontId="1" fillId="22" borderId="16" xfId="0" applyFont="1" applyFill="1" applyBorder="1" applyAlignment="1">
      <alignment vertical="center"/>
    </xf>
    <xf numFmtId="0" fontId="1" fillId="22" borderId="15" xfId="0" applyFont="1" applyFill="1" applyBorder="1" applyAlignment="1">
      <alignment horizontal="center" vertical="center" wrapText="1"/>
    </xf>
    <xf numFmtId="189" fontId="1" fillId="22" borderId="15" xfId="0" applyNumberFormat="1" applyFont="1" applyFill="1" applyBorder="1" applyAlignment="1">
      <alignment horizontal="right" vertical="center" wrapText="1"/>
    </xf>
    <xf numFmtId="188" fontId="1" fillId="22" borderId="15" xfId="0" applyNumberFormat="1" applyFont="1" applyFill="1" applyBorder="1" applyAlignment="1">
      <alignment horizontal="right" vertical="center" wrapText="1"/>
    </xf>
    <xf numFmtId="188" fontId="1" fillId="0" borderId="15" xfId="0" applyNumberFormat="1" applyFont="1" applyBorder="1" applyAlignment="1">
      <alignment vertical="center"/>
    </xf>
    <xf numFmtId="187" fontId="1" fillId="0" borderId="30" xfId="0" applyNumberFormat="1" applyFont="1" applyBorder="1" applyAlignment="1">
      <alignment horizontal="left" vertical="center"/>
    </xf>
    <xf numFmtId="0" fontId="1" fillId="0" borderId="30" xfId="0" applyFont="1" applyBorder="1" applyAlignment="1">
      <alignment vertical="center"/>
    </xf>
    <xf numFmtId="0" fontId="1" fillId="0" borderId="31" xfId="0" applyFont="1" applyBorder="1" applyAlignment="1">
      <alignment vertical="center"/>
    </xf>
    <xf numFmtId="0" fontId="1" fillId="0" borderId="29" xfId="0" applyFont="1" applyBorder="1" applyAlignment="1">
      <alignment horizontal="center" vertical="center"/>
    </xf>
    <xf numFmtId="187" fontId="2" fillId="0" borderId="18" xfId="0" applyNumberFormat="1" applyFont="1" applyBorder="1" applyAlignment="1">
      <alignment horizontal="left" vertical="center"/>
    </xf>
    <xf numFmtId="0" fontId="2" fillId="22" borderId="18" xfId="0" applyFont="1" applyFill="1" applyBorder="1" applyAlignment="1">
      <alignment vertical="center"/>
    </xf>
    <xf numFmtId="0" fontId="2" fillId="22" borderId="20" xfId="0" applyFont="1" applyFill="1" applyBorder="1" applyAlignment="1">
      <alignment vertical="center"/>
    </xf>
    <xf numFmtId="0" fontId="2" fillId="22" borderId="17" xfId="0" applyFont="1" applyFill="1" applyBorder="1" applyAlignment="1">
      <alignment horizontal="center" vertical="center"/>
    </xf>
    <xf numFmtId="187" fontId="1" fillId="25" borderId="18" xfId="0" applyNumberFormat="1" applyFont="1" applyFill="1" applyBorder="1" applyAlignment="1">
      <alignment horizontal="left" vertical="center"/>
    </xf>
    <xf numFmtId="0" fontId="2" fillId="25" borderId="18" xfId="0" applyFont="1" applyFill="1" applyBorder="1" applyAlignment="1">
      <alignment vertical="center"/>
    </xf>
    <xf numFmtId="0" fontId="2" fillId="25" borderId="20" xfId="0" applyFont="1" applyFill="1" applyBorder="1" applyAlignment="1">
      <alignment vertical="center"/>
    </xf>
    <xf numFmtId="0" fontId="2" fillId="25" borderId="17" xfId="0" applyFont="1" applyFill="1" applyBorder="1" applyAlignment="1">
      <alignment horizontal="center" vertical="center"/>
    </xf>
    <xf numFmtId="0" fontId="2" fillId="0" borderId="20" xfId="0" quotePrefix="1" applyFont="1" applyBorder="1" applyAlignment="1">
      <alignment vertical="center"/>
    </xf>
    <xf numFmtId="187" fontId="1" fillId="0" borderId="43" xfId="0" applyNumberFormat="1" applyFont="1" applyBorder="1" applyAlignment="1">
      <alignment vertical="center"/>
    </xf>
    <xf numFmtId="187" fontId="1" fillId="0" borderId="44" xfId="0" applyNumberFormat="1" applyFont="1" applyBorder="1" applyAlignment="1">
      <alignment vertical="center"/>
    </xf>
    <xf numFmtId="187" fontId="1" fillId="0" borderId="44" xfId="0" applyNumberFormat="1" applyFont="1" applyBorder="1" applyAlignment="1">
      <alignment horizontal="left" vertical="center"/>
    </xf>
    <xf numFmtId="0" fontId="2" fillId="0" borderId="44" xfId="0" applyFont="1" applyBorder="1" applyAlignment="1">
      <alignment vertical="center"/>
    </xf>
    <xf numFmtId="0" fontId="2" fillId="0" borderId="45" xfId="0" applyFont="1" applyBorder="1" applyAlignment="1">
      <alignment vertical="center"/>
    </xf>
    <xf numFmtId="0" fontId="2" fillId="0" borderId="43" xfId="0" applyFont="1" applyBorder="1" applyAlignment="1">
      <alignment horizontal="center" vertical="center"/>
    </xf>
    <xf numFmtId="189" fontId="2" fillId="2" borderId="46" xfId="0" applyNumberFormat="1" applyFont="1" applyFill="1" applyBorder="1" applyAlignment="1">
      <alignment horizontal="right" vertical="center" wrapText="1"/>
    </xf>
    <xf numFmtId="189" fontId="2" fillId="4" borderId="46" xfId="0" applyNumberFormat="1" applyFont="1" applyFill="1" applyBorder="1" applyAlignment="1">
      <alignment horizontal="right" vertical="center" wrapText="1"/>
    </xf>
    <xf numFmtId="188" fontId="2" fillId="0" borderId="46" xfId="0" applyNumberFormat="1" applyFont="1" applyBorder="1" applyAlignment="1">
      <alignment horizontal="right" vertical="center" wrapText="1"/>
    </xf>
    <xf numFmtId="188" fontId="2" fillId="0" borderId="46" xfId="0" applyNumberFormat="1" applyFont="1" applyBorder="1" applyAlignment="1">
      <alignment vertical="center"/>
    </xf>
    <xf numFmtId="0" fontId="2" fillId="7" borderId="47" xfId="0" applyFont="1" applyFill="1" applyBorder="1" applyAlignment="1">
      <alignment horizontal="right" vertical="center"/>
    </xf>
    <xf numFmtId="0" fontId="2" fillId="7" borderId="47" xfId="0" quotePrefix="1" applyFont="1" applyFill="1" applyBorder="1" applyAlignment="1">
      <alignment vertical="center"/>
    </xf>
    <xf numFmtId="0" fontId="2" fillId="7" borderId="47" xfId="0" applyFont="1" applyFill="1" applyBorder="1" applyAlignment="1">
      <alignment vertical="center"/>
    </xf>
    <xf numFmtId="0" fontId="2" fillId="7" borderId="48" xfId="0" applyFont="1" applyFill="1" applyBorder="1" applyAlignment="1">
      <alignment vertical="center"/>
    </xf>
    <xf numFmtId="0" fontId="2" fillId="2" borderId="46" xfId="0" applyFont="1" applyFill="1" applyBorder="1" applyAlignment="1">
      <alignment horizontal="center" vertical="center" wrapText="1"/>
    </xf>
    <xf numFmtId="189" fontId="2" fillId="4" borderId="47" xfId="0" applyNumberFormat="1" applyFont="1" applyFill="1" applyBorder="1" applyAlignment="1">
      <alignment horizontal="right" vertical="center"/>
    </xf>
    <xf numFmtId="0" fontId="2" fillId="0" borderId="17" xfId="0" applyFont="1" applyBorder="1" applyAlignment="1">
      <alignment horizontal="center" vertical="center" wrapText="1"/>
    </xf>
    <xf numFmtId="0" fontId="1" fillId="0" borderId="17" xfId="0" applyFont="1" applyBorder="1" applyAlignment="1">
      <alignment horizontal="center" vertical="center" wrapText="1"/>
    </xf>
    <xf numFmtId="0" fontId="1" fillId="31" borderId="30" xfId="0" applyFont="1" applyFill="1" applyBorder="1" applyAlignment="1">
      <alignment vertical="center"/>
    </xf>
    <xf numFmtId="0" fontId="1" fillId="2" borderId="29" xfId="0" applyFont="1" applyFill="1" applyBorder="1" applyAlignment="1">
      <alignment vertical="center"/>
    </xf>
    <xf numFmtId="188" fontId="2" fillId="2" borderId="19" xfId="0" applyNumberFormat="1" applyFont="1" applyFill="1" applyBorder="1" applyAlignment="1">
      <alignment horizontal="center" vertical="center"/>
    </xf>
    <xf numFmtId="0" fontId="1" fillId="2" borderId="49" xfId="0" applyFont="1" applyFill="1" applyBorder="1" applyAlignment="1">
      <alignment vertical="center"/>
    </xf>
    <xf numFmtId="187" fontId="1" fillId="2" borderId="47" xfId="0" applyNumberFormat="1" applyFont="1" applyFill="1" applyBorder="1" applyAlignment="1">
      <alignment vertical="center"/>
    </xf>
    <xf numFmtId="0" fontId="1" fillId="2" borderId="47" xfId="0" applyFont="1" applyFill="1" applyBorder="1" applyAlignment="1">
      <alignment vertical="center"/>
    </xf>
    <xf numFmtId="0" fontId="1" fillId="0" borderId="44" xfId="0" applyFont="1" applyBorder="1" applyAlignment="1">
      <alignment vertical="center"/>
    </xf>
    <xf numFmtId="0" fontId="2" fillId="0" borderId="46" xfId="0" applyFont="1" applyBorder="1" applyAlignment="1">
      <alignment horizontal="center" vertical="center" wrapText="1"/>
    </xf>
    <xf numFmtId="189" fontId="2" fillId="2" borderId="46" xfId="0" applyNumberFormat="1" applyFont="1" applyFill="1" applyBorder="1" applyAlignment="1">
      <alignment horizontal="center" vertical="center"/>
    </xf>
    <xf numFmtId="188" fontId="2" fillId="2" borderId="46" xfId="0" applyNumberFormat="1" applyFont="1" applyFill="1" applyBorder="1" applyAlignment="1">
      <alignment horizontal="center" vertical="center"/>
    </xf>
    <xf numFmtId="189" fontId="1" fillId="31" borderId="28" xfId="0" applyNumberFormat="1" applyFont="1" applyFill="1" applyBorder="1" applyAlignment="1">
      <alignment horizontal="center" vertical="center"/>
    </xf>
    <xf numFmtId="187" fontId="1" fillId="2" borderId="18" xfId="0" applyNumberFormat="1" applyFont="1" applyFill="1" applyBorder="1" applyAlignment="1">
      <alignment horizontal="left" vertical="center"/>
    </xf>
    <xf numFmtId="0" fontId="2" fillId="2" borderId="18" xfId="0" quotePrefix="1" applyFont="1" applyFill="1" applyBorder="1" applyAlignment="1">
      <alignment vertical="center"/>
    </xf>
    <xf numFmtId="0" fontId="2" fillId="2" borderId="18" xfId="0" applyFont="1" applyFill="1" applyBorder="1" applyAlignment="1">
      <alignment vertical="center"/>
    </xf>
    <xf numFmtId="0" fontId="2" fillId="0" borderId="20" xfId="0" quotePrefix="1" applyFont="1" applyBorder="1" applyAlignment="1">
      <alignment horizontal="left" vertical="center"/>
    </xf>
    <xf numFmtId="0" fontId="1" fillId="10" borderId="29" xfId="0" applyFont="1" applyFill="1" applyBorder="1" applyAlignment="1">
      <alignment vertical="center"/>
    </xf>
    <xf numFmtId="0" fontId="1" fillId="10" borderId="30" xfId="0" applyFont="1" applyFill="1" applyBorder="1" applyAlignment="1">
      <alignment vertical="center"/>
    </xf>
    <xf numFmtId="0" fontId="1" fillId="10" borderId="31" xfId="0" applyFont="1" applyFill="1" applyBorder="1" applyAlignment="1">
      <alignment vertical="center"/>
    </xf>
    <xf numFmtId="0" fontId="1" fillId="10" borderId="19" xfId="0" applyFont="1" applyFill="1" applyBorder="1" applyAlignment="1">
      <alignment horizontal="left" vertical="center"/>
    </xf>
    <xf numFmtId="189" fontId="1" fillId="10" borderId="19" xfId="0" applyNumberFormat="1" applyFont="1" applyFill="1" applyBorder="1" applyAlignment="1">
      <alignment horizontal="left" vertical="center"/>
    </xf>
    <xf numFmtId="188" fontId="1" fillId="10" borderId="19" xfId="0" applyNumberFormat="1" applyFont="1" applyFill="1" applyBorder="1" applyAlignment="1">
      <alignment horizontal="left" vertical="center"/>
    </xf>
    <xf numFmtId="188" fontId="2" fillId="10" borderId="19" xfId="0" applyNumberFormat="1" applyFont="1" applyFill="1" applyBorder="1" applyAlignment="1">
      <alignment vertical="center"/>
    </xf>
    <xf numFmtId="0" fontId="2" fillId="2" borderId="30" xfId="0" applyFont="1" applyFill="1" applyBorder="1" applyAlignment="1">
      <alignment vertical="center"/>
    </xf>
    <xf numFmtId="0" fontId="2" fillId="2" borderId="19" xfId="0" applyFont="1" applyFill="1" applyBorder="1" applyAlignment="1">
      <alignment horizontal="center" vertical="center"/>
    </xf>
    <xf numFmtId="0" fontId="2" fillId="2" borderId="47" xfId="0" applyFont="1" applyFill="1" applyBorder="1" applyAlignment="1">
      <alignment vertical="center"/>
    </xf>
    <xf numFmtId="0" fontId="2" fillId="2" borderId="48" xfId="0" applyFont="1" applyFill="1" applyBorder="1" applyAlignment="1">
      <alignment vertical="center"/>
    </xf>
    <xf numFmtId="0" fontId="2" fillId="2" borderId="46" xfId="0" applyFont="1" applyFill="1" applyBorder="1" applyAlignment="1">
      <alignment horizontal="center" vertical="center"/>
    </xf>
    <xf numFmtId="189" fontId="2" fillId="2" borderId="46" xfId="0" applyNumberFormat="1" applyFont="1" applyFill="1" applyBorder="1" applyAlignment="1">
      <alignment horizontal="center" vertical="center"/>
    </xf>
    <xf numFmtId="188" fontId="2" fillId="2" borderId="46" xfId="0" applyNumberFormat="1" applyFont="1" applyFill="1" applyBorder="1" applyAlignment="1">
      <alignment vertical="center"/>
    </xf>
    <xf numFmtId="0" fontId="1" fillId="0" borderId="0" xfId="0" applyFont="1" applyAlignment="1">
      <alignment vertical="center"/>
    </xf>
    <xf numFmtId="0" fontId="2" fillId="0" borderId="0" xfId="0" applyFont="1" applyAlignment="1">
      <alignment horizontal="left" vertical="center"/>
    </xf>
    <xf numFmtId="0" fontId="2" fillId="0" borderId="0" xfId="0" applyFont="1" applyAlignment="1">
      <alignment horizontal="center" vertical="center"/>
    </xf>
    <xf numFmtId="188" fontId="2" fillId="0" borderId="0" xfId="0" applyNumberFormat="1" applyFont="1" applyAlignment="1">
      <alignment horizontal="center" vertical="center"/>
    </xf>
    <xf numFmtId="191" fontId="2" fillId="0" borderId="0" xfId="0" applyNumberFormat="1" applyFont="1" applyAlignment="1">
      <alignment horizontal="center" vertical="center"/>
    </xf>
    <xf numFmtId="188" fontId="2" fillId="0" borderId="0" xfId="0" applyNumberFormat="1" applyFont="1" applyAlignment="1">
      <alignment vertical="center"/>
    </xf>
    <xf numFmtId="188" fontId="1" fillId="15" borderId="20" xfId="0" applyNumberFormat="1" applyFont="1" applyFill="1" applyBorder="1" applyAlignment="1"/>
    <xf numFmtId="188" fontId="1" fillId="15" borderId="20" xfId="0" applyNumberFormat="1" applyFont="1" applyFill="1" applyBorder="1" applyAlignment="1">
      <alignment horizontal="left"/>
    </xf>
    <xf numFmtId="0" fontId="1" fillId="0" borderId="0" xfId="0" applyFont="1" applyAlignment="1">
      <alignment horizontal="center" vertical="center"/>
    </xf>
    <xf numFmtId="0" fontId="1" fillId="3" borderId="4" xfId="0" applyFont="1" applyFill="1" applyBorder="1" applyAlignment="1">
      <alignment horizontal="center" vertical="center"/>
    </xf>
    <xf numFmtId="0" fontId="3" fillId="0" borderId="11" xfId="0" applyFont="1" applyBorder="1"/>
    <xf numFmtId="0" fontId="1" fillId="4" borderId="5" xfId="0" applyFont="1" applyFill="1" applyBorder="1" applyAlignment="1">
      <alignment horizontal="center" vertical="center"/>
    </xf>
    <xf numFmtId="0" fontId="3" fillId="0" borderId="6" xfId="0" applyFont="1" applyBorder="1"/>
    <xf numFmtId="0" fontId="3" fillId="0" borderId="7" xfId="0" applyFont="1" applyBorder="1"/>
    <xf numFmtId="188" fontId="1" fillId="5" borderId="5" xfId="0" applyNumberFormat="1" applyFont="1" applyFill="1" applyBorder="1" applyAlignment="1">
      <alignment horizontal="center" vertical="center" wrapText="1"/>
    </xf>
    <xf numFmtId="188" fontId="1" fillId="6" borderId="5" xfId="0" applyNumberFormat="1" applyFont="1" applyFill="1" applyBorder="1" applyAlignment="1">
      <alignment horizontal="center" vertical="center"/>
    </xf>
    <xf numFmtId="0" fontId="1" fillId="3" borderId="1" xfId="0" applyFont="1" applyFill="1" applyBorder="1" applyAlignment="1">
      <alignment horizontal="center" vertical="center"/>
    </xf>
    <xf numFmtId="0" fontId="3" fillId="0" borderId="2" xfId="0" applyFont="1" applyBorder="1"/>
    <xf numFmtId="0" fontId="3" fillId="0" borderId="3" xfId="0" applyFont="1" applyBorder="1"/>
    <xf numFmtId="0" fontId="3" fillId="0" borderId="8" xfId="0" applyFont="1" applyBorder="1"/>
    <xf numFmtId="0" fontId="3" fillId="0" borderId="9" xfId="0" applyFont="1" applyBorder="1"/>
    <xf numFmtId="0" fontId="3" fillId="0" borderId="10" xfId="0" applyFont="1" applyBorder="1"/>
    <xf numFmtId="0" fontId="1" fillId="8" borderId="5" xfId="0" applyFont="1" applyFill="1" applyBorder="1" applyAlignment="1">
      <alignment horizontal="left"/>
    </xf>
    <xf numFmtId="0" fontId="4" fillId="9" borderId="14" xfId="0" applyFont="1" applyFill="1" applyBorder="1" applyAlignment="1">
      <alignment horizontal="left"/>
    </xf>
    <xf numFmtId="0" fontId="3" fillId="0" borderId="14" xfId="0" applyFont="1" applyBorder="1"/>
    <xf numFmtId="0" fontId="5" fillId="2" borderId="18" xfId="0" applyFont="1" applyFill="1" applyBorder="1" applyAlignment="1">
      <alignment horizontal="left"/>
    </xf>
    <xf numFmtId="0" fontId="3" fillId="0" borderId="18" xfId="0" applyFont="1" applyBorder="1"/>
    <xf numFmtId="0" fontId="1" fillId="11" borderId="5" xfId="0" applyFont="1" applyFill="1" applyBorder="1" applyAlignment="1">
      <alignment horizontal="left"/>
    </xf>
    <xf numFmtId="0" fontId="1" fillId="12" borderId="14" xfId="0" applyFont="1" applyFill="1" applyBorder="1" applyAlignment="1">
      <alignment horizontal="left"/>
    </xf>
    <xf numFmtId="0" fontId="6" fillId="14" borderId="18" xfId="0" applyFont="1" applyFill="1" applyBorder="1" applyAlignment="1">
      <alignment horizontal="left"/>
    </xf>
    <xf numFmtId="0" fontId="7" fillId="15" borderId="18" xfId="0" applyFont="1" applyFill="1" applyBorder="1" applyAlignment="1">
      <alignment horizontal="left"/>
    </xf>
    <xf numFmtId="0" fontId="1" fillId="18" borderId="18" xfId="0" applyFont="1" applyFill="1" applyBorder="1" applyAlignment="1">
      <alignment horizontal="left"/>
    </xf>
    <xf numFmtId="0" fontId="8" fillId="19" borderId="18" xfId="0" applyFont="1" applyFill="1" applyBorder="1" applyAlignment="1">
      <alignment horizontal="left"/>
    </xf>
    <xf numFmtId="0" fontId="9" fillId="2" borderId="14" xfId="0" applyFont="1" applyFill="1" applyBorder="1" applyAlignment="1">
      <alignment horizontal="left"/>
    </xf>
  </cellXfs>
  <cellStyles count="1">
    <cellStyle name="ปกติ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FF"/>
    <pageSetUpPr fitToPage="1"/>
  </sheetPr>
  <dimension ref="A1:P1143"/>
  <sheetViews>
    <sheetView tabSelected="1" view="pageBreakPreview" zoomScale="60" zoomScaleNormal="100" workbookViewId="0">
      <pane ySplit="6" topLeftCell="A7" activePane="bottomLeft" state="frozen"/>
      <selection pane="bottomLeft" activeCell="A3" sqref="A3:P3"/>
    </sheetView>
  </sheetViews>
  <sheetFormatPr defaultColWidth="12.6640625" defaultRowHeight="15" customHeight="1" x14ac:dyDescent="0.3"/>
  <cols>
    <col min="1" max="3" width="2.75" customWidth="1"/>
    <col min="4" max="6" width="5" customWidth="1"/>
    <col min="7" max="7" width="70.9140625" customWidth="1"/>
    <col min="8" max="8" width="9.5" customWidth="1"/>
    <col min="9" max="9" width="15.33203125" bestFit="1" customWidth="1"/>
    <col min="10" max="10" width="13.9140625" customWidth="1"/>
    <col min="11" max="11" width="9.4140625" bestFit="1" customWidth="1"/>
    <col min="12" max="12" width="19" bestFit="1" customWidth="1"/>
    <col min="13" max="13" width="17.6640625" customWidth="1"/>
    <col min="14" max="14" width="19.5" customWidth="1"/>
    <col min="15" max="15" width="16.5" customWidth="1"/>
    <col min="16" max="16" width="18" customWidth="1"/>
  </cols>
  <sheetData>
    <row r="1" spans="1:16" ht="18" customHeight="1" x14ac:dyDescent="0.3">
      <c r="A1" s="512" t="s">
        <v>0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</row>
    <row r="2" spans="1:16" ht="18" customHeight="1" x14ac:dyDescent="0.3">
      <c r="A2" s="512" t="s">
        <v>1</v>
      </c>
      <c r="B2" s="512"/>
      <c r="C2" s="512"/>
      <c r="D2" s="512"/>
      <c r="E2" s="512"/>
      <c r="F2" s="512"/>
      <c r="G2" s="512"/>
      <c r="H2" s="512"/>
      <c r="I2" s="512"/>
      <c r="J2" s="512"/>
      <c r="K2" s="512"/>
      <c r="L2" s="512"/>
      <c r="M2" s="512"/>
      <c r="N2" s="512"/>
      <c r="O2" s="512"/>
      <c r="P2" s="512"/>
    </row>
    <row r="3" spans="1:16" ht="18" customHeight="1" x14ac:dyDescent="0.3">
      <c r="A3" s="512" t="s">
        <v>272</v>
      </c>
      <c r="B3" s="512"/>
      <c r="C3" s="512"/>
      <c r="D3" s="512"/>
      <c r="E3" s="512"/>
      <c r="F3" s="512"/>
      <c r="G3" s="512"/>
      <c r="H3" s="512"/>
      <c r="I3" s="512"/>
      <c r="J3" s="512"/>
      <c r="K3" s="512"/>
      <c r="L3" s="512"/>
      <c r="M3" s="512"/>
      <c r="N3" s="512"/>
      <c r="O3" s="512"/>
      <c r="P3" s="512"/>
    </row>
    <row r="4" spans="1:16" ht="33.75" customHeight="1" x14ac:dyDescent="0.3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3">
      <c r="A5" s="520" t="s">
        <v>2</v>
      </c>
      <c r="B5" s="521"/>
      <c r="C5" s="521"/>
      <c r="D5" s="521"/>
      <c r="E5" s="521"/>
      <c r="F5" s="521"/>
      <c r="G5" s="522"/>
      <c r="H5" s="513" t="s">
        <v>3</v>
      </c>
      <c r="I5" s="515" t="s">
        <v>4</v>
      </c>
      <c r="J5" s="516"/>
      <c r="K5" s="517"/>
      <c r="L5" s="518" t="s">
        <v>5</v>
      </c>
      <c r="M5" s="517"/>
      <c r="N5" s="519" t="s">
        <v>6</v>
      </c>
      <c r="O5" s="516"/>
      <c r="P5" s="517"/>
    </row>
    <row r="6" spans="1:16" ht="21.75" customHeight="1" x14ac:dyDescent="0.3">
      <c r="A6" s="523"/>
      <c r="B6" s="524"/>
      <c r="C6" s="524"/>
      <c r="D6" s="524"/>
      <c r="E6" s="524"/>
      <c r="F6" s="524"/>
      <c r="G6" s="525"/>
      <c r="H6" s="514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45">
      <c r="A7" s="526" t="s">
        <v>15</v>
      </c>
      <c r="B7" s="516"/>
      <c r="C7" s="516"/>
      <c r="D7" s="516"/>
      <c r="E7" s="516"/>
      <c r="F7" s="516"/>
      <c r="G7" s="517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45">
      <c r="A8" s="17"/>
      <c r="B8" s="18"/>
      <c r="C8" s="19" t="s">
        <v>16</v>
      </c>
      <c r="D8" s="527" t="s">
        <v>17</v>
      </c>
      <c r="E8" s="528"/>
      <c r="F8" s="528"/>
      <c r="G8" s="528"/>
      <c r="H8" s="20" t="s">
        <v>12</v>
      </c>
      <c r="I8" s="21"/>
      <c r="J8" s="21"/>
      <c r="K8" s="22"/>
      <c r="L8" s="23">
        <f t="shared" ref="L8:N8" ca="1" si="0">L9+L10</f>
        <v>119253344</v>
      </c>
      <c r="M8" s="23">
        <f t="shared" ca="1" si="0"/>
        <v>53486491</v>
      </c>
      <c r="N8" s="23">
        <f t="shared" ca="1" si="0"/>
        <v>45631607.950000003</v>
      </c>
      <c r="O8" s="22">
        <f t="shared" ref="O8:O16" ca="1" si="1">IF(L8&gt;0,N8*100/L8,0)</f>
        <v>38.264426320825017</v>
      </c>
      <c r="P8" s="22">
        <f t="shared" ref="P8:P16" ca="1" si="2">IF(M8&gt;0,N8*100/M8,0)</f>
        <v>85.314267391368034</v>
      </c>
    </row>
    <row r="9" spans="1:16" ht="21.75" customHeight="1" x14ac:dyDescent="0.45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45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119253344</v>
      </c>
      <c r="M10" s="30">
        <f t="shared" ca="1" si="4"/>
        <v>53486491</v>
      </c>
      <c r="N10" s="30">
        <f t="shared" ca="1" si="4"/>
        <v>45631607.950000003</v>
      </c>
      <c r="O10" s="29">
        <f t="shared" ca="1" si="1"/>
        <v>38.264426320825017</v>
      </c>
      <c r="P10" s="29">
        <f t="shared" ca="1" si="2"/>
        <v>85.314267391368034</v>
      </c>
    </row>
    <row r="11" spans="1:16" ht="21.75" customHeight="1" x14ac:dyDescent="0.45">
      <c r="A11" s="31"/>
      <c r="B11" s="32"/>
      <c r="C11" s="33" t="s">
        <v>16</v>
      </c>
      <c r="D11" s="529" t="s">
        <v>20</v>
      </c>
      <c r="E11" s="530"/>
      <c r="F11" s="530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45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97968624</v>
      </c>
      <c r="M12" s="38">
        <f t="shared" ca="1" si="6"/>
        <v>32201771</v>
      </c>
      <c r="N12" s="38">
        <f t="shared" ca="1" si="6"/>
        <v>31284257.949999999</v>
      </c>
      <c r="O12" s="38">
        <f t="shared" ca="1" si="1"/>
        <v>31.932935946921127</v>
      </c>
      <c r="P12" s="38">
        <f t="shared" ca="1" si="2"/>
        <v>97.150737299510638</v>
      </c>
    </row>
    <row r="13" spans="1:16" ht="21.75" customHeight="1" x14ac:dyDescent="0.45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35134700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45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62833924</v>
      </c>
      <c r="M14" s="38">
        <f t="shared" si="8"/>
        <v>0</v>
      </c>
      <c r="N14" s="38">
        <f t="shared" ca="1" si="8"/>
        <v>7896520.9500000002</v>
      </c>
      <c r="O14" s="38">
        <f t="shared" ca="1" si="1"/>
        <v>12.567289208294552</v>
      </c>
      <c r="P14" s="38">
        <f t="shared" si="2"/>
        <v>0</v>
      </c>
    </row>
    <row r="15" spans="1:16" ht="21.75" customHeight="1" x14ac:dyDescent="0.45">
      <c r="A15" s="31"/>
      <c r="B15" s="32"/>
      <c r="C15" s="33" t="s">
        <v>16</v>
      </c>
      <c r="D15" s="529" t="s">
        <v>23</v>
      </c>
      <c r="E15" s="530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45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21284720</v>
      </c>
      <c r="M16" s="38">
        <f t="shared" ca="1" si="10"/>
        <v>21284720</v>
      </c>
      <c r="N16" s="38">
        <f t="shared" ca="1" si="10"/>
        <v>14347350</v>
      </c>
      <c r="O16" s="49">
        <f t="shared" ca="1" si="1"/>
        <v>67.406806385049933</v>
      </c>
      <c r="P16" s="49">
        <f t="shared" ca="1" si="2"/>
        <v>67.406806385049933</v>
      </c>
    </row>
    <row r="17" spans="1:16" ht="21.75" customHeight="1" x14ac:dyDescent="0.45">
      <c r="A17" s="526" t="s">
        <v>24</v>
      </c>
      <c r="B17" s="516"/>
      <c r="C17" s="516"/>
      <c r="D17" s="516"/>
      <c r="E17" s="516"/>
      <c r="F17" s="516"/>
      <c r="G17" s="517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45">
      <c r="A18" s="17"/>
      <c r="B18" s="18"/>
      <c r="C18" s="19" t="s">
        <v>16</v>
      </c>
      <c r="D18" s="527" t="s">
        <v>17</v>
      </c>
      <c r="E18" s="528"/>
      <c r="F18" s="528"/>
      <c r="G18" s="528"/>
      <c r="H18" s="20" t="s">
        <v>12</v>
      </c>
      <c r="I18" s="21"/>
      <c r="J18" s="21"/>
      <c r="K18" s="22"/>
      <c r="L18" s="23">
        <f t="shared" ref="L18:N18" ca="1" si="11">L19+L20</f>
        <v>79544560</v>
      </c>
      <c r="M18" s="23">
        <f t="shared" ca="1" si="11"/>
        <v>53486491</v>
      </c>
      <c r="N18" s="23">
        <f t="shared" ca="1" si="11"/>
        <v>37735087</v>
      </c>
      <c r="O18" s="22">
        <f t="shared" ref="O18:O26" ca="1" si="12">IF(L18&gt;0,N18*100/L18,0)</f>
        <v>47.43892857035101</v>
      </c>
      <c r="P18" s="22">
        <f t="shared" ref="P18:P26" ca="1" si="13">IF(M18&gt;0,N18*100/M18,0)</f>
        <v>70.550687275409416</v>
      </c>
    </row>
    <row r="19" spans="1:16" ht="21.75" customHeight="1" x14ac:dyDescent="0.45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45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79544560</v>
      </c>
      <c r="M20" s="30">
        <f t="shared" ca="1" si="15"/>
        <v>53486491</v>
      </c>
      <c r="N20" s="30">
        <f t="shared" ca="1" si="15"/>
        <v>37735087</v>
      </c>
      <c r="O20" s="29">
        <f t="shared" ca="1" si="12"/>
        <v>47.43892857035101</v>
      </c>
      <c r="P20" s="29">
        <f t="shared" ca="1" si="13"/>
        <v>70.550687275409416</v>
      </c>
    </row>
    <row r="21" spans="1:16" ht="21.75" customHeight="1" x14ac:dyDescent="0.45">
      <c r="A21" s="31"/>
      <c r="B21" s="32"/>
      <c r="C21" s="33" t="s">
        <v>16</v>
      </c>
      <c r="D21" s="529" t="s">
        <v>20</v>
      </c>
      <c r="E21" s="530"/>
      <c r="F21" s="530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si="12"/>
        <v>0</v>
      </c>
      <c r="P21" s="38">
        <f t="shared" si="13"/>
        <v>0</v>
      </c>
    </row>
    <row r="22" spans="1:16" ht="21.75" customHeight="1" x14ac:dyDescent="0.45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7">L45+L57+L70+L98+L122+L144+L224+L254+L275+L294+L314+L333</f>
        <v>58259840</v>
      </c>
      <c r="M22" s="41">
        <f t="shared" ca="1" si="17"/>
        <v>32201771</v>
      </c>
      <c r="N22" s="38">
        <f t="shared" ca="1" si="17"/>
        <v>23387737</v>
      </c>
      <c r="O22" s="38">
        <f t="shared" ca="1" si="12"/>
        <v>40.143840079203791</v>
      </c>
      <c r="P22" s="38">
        <f t="shared" ca="1" si="13"/>
        <v>72.628729022388242</v>
      </c>
    </row>
    <row r="23" spans="1:16" ht="21.75" customHeight="1" x14ac:dyDescent="0.45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8">L46+L58+L71+L99+L123+L145+L225+L255+L276+L295+L315+L334</f>
        <v>35134700</v>
      </c>
      <c r="M23" s="41">
        <f t="shared" si="18"/>
        <v>0</v>
      </c>
      <c r="N23" s="38">
        <f t="shared" si="18"/>
        <v>0</v>
      </c>
      <c r="O23" s="38">
        <f t="shared" ca="1" si="12"/>
        <v>0</v>
      </c>
      <c r="P23" s="38">
        <f t="shared" si="13"/>
        <v>0</v>
      </c>
    </row>
    <row r="24" spans="1:16" ht="21.75" customHeight="1" x14ac:dyDescent="0.45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19">L47+L59+L72+L100+L124+L146+L226+L256+L277+L296+L316+L335</f>
        <v>23125140</v>
      </c>
      <c r="M24" s="41">
        <f t="shared" si="19"/>
        <v>0</v>
      </c>
      <c r="N24" s="38">
        <f t="shared" si="19"/>
        <v>0</v>
      </c>
      <c r="O24" s="38">
        <f t="shared" ca="1" si="12"/>
        <v>0</v>
      </c>
      <c r="P24" s="38">
        <f t="shared" si="13"/>
        <v>0</v>
      </c>
    </row>
    <row r="25" spans="1:16" ht="21.75" customHeight="1" x14ac:dyDescent="0.45">
      <c r="A25" s="31"/>
      <c r="B25" s="32"/>
      <c r="C25" s="33" t="s">
        <v>16</v>
      </c>
      <c r="D25" s="529" t="s">
        <v>23</v>
      </c>
      <c r="E25" s="530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0">L48+L60+L73+L101+L125+L147+L227+L257+L278+L297+L317+L336</f>
        <v>0</v>
      </c>
      <c r="M25" s="41">
        <f t="shared" si="20"/>
        <v>0</v>
      </c>
      <c r="N25" s="41">
        <f t="shared" si="20"/>
        <v>0</v>
      </c>
      <c r="O25" s="41">
        <f t="shared" si="12"/>
        <v>0</v>
      </c>
      <c r="P25" s="41">
        <f t="shared" si="13"/>
        <v>0</v>
      </c>
    </row>
    <row r="26" spans="1:16" ht="21.75" customHeight="1" x14ac:dyDescent="0.45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1">L49+L61+L74+L102+L126+L148+L228+L258+L279+L298+L318+L337</f>
        <v>21284720</v>
      </c>
      <c r="M26" s="49">
        <f t="shared" ca="1" si="21"/>
        <v>21284720</v>
      </c>
      <c r="N26" s="49">
        <f t="shared" ca="1" si="21"/>
        <v>14347350</v>
      </c>
      <c r="O26" s="49">
        <f t="shared" ca="1" si="12"/>
        <v>67.406806385049933</v>
      </c>
      <c r="P26" s="49">
        <f t="shared" ca="1" si="13"/>
        <v>67.406806385049933</v>
      </c>
    </row>
    <row r="27" spans="1:16" ht="21.75" customHeight="1" x14ac:dyDescent="0.45">
      <c r="A27" s="526" t="s">
        <v>25</v>
      </c>
      <c r="B27" s="516"/>
      <c r="C27" s="516"/>
      <c r="D27" s="516"/>
      <c r="E27" s="516"/>
      <c r="F27" s="516"/>
      <c r="G27" s="517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45">
      <c r="A28" s="17"/>
      <c r="B28" s="18"/>
      <c r="C28" s="19" t="s">
        <v>16</v>
      </c>
      <c r="D28" s="527" t="s">
        <v>17</v>
      </c>
      <c r="E28" s="528"/>
      <c r="F28" s="528"/>
      <c r="G28" s="528"/>
      <c r="H28" s="20" t="s">
        <v>12</v>
      </c>
      <c r="I28" s="21"/>
      <c r="J28" s="21"/>
      <c r="K28" s="22"/>
      <c r="L28" s="23">
        <f t="shared" ref="L28:N28" ca="1" si="22">L29+L30</f>
        <v>39708784</v>
      </c>
      <c r="M28" s="23">
        <f t="shared" si="22"/>
        <v>0</v>
      </c>
      <c r="N28" s="23">
        <f t="shared" ca="1" si="22"/>
        <v>7896520.9500000002</v>
      </c>
      <c r="O28" s="22">
        <f t="shared" ref="O28:O30" ca="1" si="23">IF(L28&gt;0,N28*100/L28,0)</f>
        <v>19.886080999105889</v>
      </c>
      <c r="P28" s="22">
        <f t="shared" ref="P28:P37" si="24">IF(M28&gt;0,N28*100/M28,0)</f>
        <v>0</v>
      </c>
    </row>
    <row r="29" spans="1:16" ht="21.75" customHeight="1" x14ac:dyDescent="0.45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5">L31+L35</f>
        <v>0</v>
      </c>
      <c r="M29" s="30">
        <f t="shared" si="25"/>
        <v>0</v>
      </c>
      <c r="N29" s="30">
        <f t="shared" ca="1" si="25"/>
        <v>0</v>
      </c>
      <c r="O29" s="29">
        <f t="shared" ca="1" si="23"/>
        <v>0</v>
      </c>
      <c r="P29" s="29">
        <f t="shared" si="24"/>
        <v>0</v>
      </c>
    </row>
    <row r="30" spans="1:16" ht="21.75" customHeight="1" x14ac:dyDescent="0.45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6">L32+L36</f>
        <v>39708784</v>
      </c>
      <c r="M30" s="30">
        <f t="shared" si="26"/>
        <v>0</v>
      </c>
      <c r="N30" s="30">
        <f t="shared" ca="1" si="26"/>
        <v>7896520.9500000002</v>
      </c>
      <c r="O30" s="29">
        <f t="shared" ca="1" si="23"/>
        <v>19.886080999105889</v>
      </c>
      <c r="P30" s="29">
        <f t="shared" si="24"/>
        <v>0</v>
      </c>
    </row>
    <row r="31" spans="1:16" ht="21.75" customHeight="1" x14ac:dyDescent="0.45">
      <c r="A31" s="31"/>
      <c r="B31" s="32"/>
      <c r="C31" s="33" t="s">
        <v>16</v>
      </c>
      <c r="D31" s="529" t="s">
        <v>20</v>
      </c>
      <c r="E31" s="530"/>
      <c r="F31" s="530"/>
      <c r="G31" s="34" t="s">
        <v>18</v>
      </c>
      <c r="H31" s="35" t="s">
        <v>12</v>
      </c>
      <c r="I31" s="36"/>
      <c r="J31" s="36"/>
      <c r="K31" s="37"/>
      <c r="L31" s="38">
        <f t="shared" ref="L31:N31" ca="1" si="27">L351+L382+L403+L436+L456+L534+L552+L565+L581+L598</f>
        <v>0</v>
      </c>
      <c r="M31" s="38">
        <f t="shared" si="27"/>
        <v>0</v>
      </c>
      <c r="N31" s="38">
        <f t="shared" ca="1" si="27"/>
        <v>0</v>
      </c>
      <c r="O31" s="38">
        <f t="shared" ref="O31:O37" ca="1" si="28">IF(L31&gt;0,N31*100/L31,0)</f>
        <v>0</v>
      </c>
      <c r="P31" s="38">
        <f t="shared" si="24"/>
        <v>0</v>
      </c>
    </row>
    <row r="32" spans="1:16" ht="21.75" customHeight="1" x14ac:dyDescent="0.45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29">L352+L383+L404+L437+L457+L535+L553+L566+L582+L599</f>
        <v>39708784</v>
      </c>
      <c r="M32" s="38">
        <f t="shared" si="29"/>
        <v>0</v>
      </c>
      <c r="N32" s="38">
        <f t="shared" ca="1" si="29"/>
        <v>7896520.9500000002</v>
      </c>
      <c r="O32" s="38">
        <f t="shared" ca="1" si="28"/>
        <v>19.886080999105889</v>
      </c>
      <c r="P32" s="38">
        <f t="shared" si="24"/>
        <v>0</v>
      </c>
    </row>
    <row r="33" spans="1:16" ht="21.75" customHeight="1" x14ac:dyDescent="0.45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0">L353+L384+L405+L438+L458+L536+L554+L567+L583+L600</f>
        <v>0</v>
      </c>
      <c r="M33" s="38">
        <f t="shared" si="30"/>
        <v>0</v>
      </c>
      <c r="N33" s="38">
        <f t="shared" ca="1" si="30"/>
        <v>0</v>
      </c>
      <c r="O33" s="38">
        <f t="shared" ca="1" si="28"/>
        <v>0</v>
      </c>
      <c r="P33" s="38">
        <f t="shared" si="24"/>
        <v>0</v>
      </c>
    </row>
    <row r="34" spans="1:16" ht="21.75" customHeight="1" x14ac:dyDescent="0.45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1">L354+L385+L406+L439+L459+L537+L555+L568+L584+L601</f>
        <v>39708784</v>
      </c>
      <c r="M34" s="38">
        <f t="shared" si="31"/>
        <v>0</v>
      </c>
      <c r="N34" s="38">
        <f t="shared" ca="1" si="31"/>
        <v>7896520.9500000002</v>
      </c>
      <c r="O34" s="38">
        <f t="shared" ca="1" si="28"/>
        <v>19.886080999105889</v>
      </c>
      <c r="P34" s="38">
        <f t="shared" si="24"/>
        <v>0</v>
      </c>
    </row>
    <row r="35" spans="1:16" ht="21.75" customHeight="1" x14ac:dyDescent="0.45">
      <c r="A35" s="31"/>
      <c r="B35" s="32"/>
      <c r="C35" s="33" t="s">
        <v>16</v>
      </c>
      <c r="D35" s="529" t="s">
        <v>23</v>
      </c>
      <c r="E35" s="530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8"/>
        <v>0</v>
      </c>
      <c r="P35" s="41">
        <f t="shared" si="24"/>
        <v>0</v>
      </c>
    </row>
    <row r="36" spans="1:16" ht="21.75" customHeight="1" x14ac:dyDescent="0.45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8"/>
        <v>0</v>
      </c>
      <c r="P36" s="49">
        <f t="shared" si="24"/>
        <v>0</v>
      </c>
    </row>
    <row r="37" spans="1:16" ht="21.75" customHeight="1" x14ac:dyDescent="0.3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2">L41+L53+L66+L94+L118+L140+L220+L250+L271+L290+L310+L329</f>
        <v>79544560</v>
      </c>
      <c r="M37" s="54">
        <f t="shared" ca="1" si="32"/>
        <v>53486491</v>
      </c>
      <c r="N37" s="54">
        <f t="shared" ca="1" si="32"/>
        <v>37735087</v>
      </c>
      <c r="O37" s="55">
        <f t="shared" ca="1" si="28"/>
        <v>47.43892857035101</v>
      </c>
      <c r="P37" s="55">
        <f t="shared" ca="1" si="24"/>
        <v>70.550687275409416</v>
      </c>
    </row>
    <row r="38" spans="1:16" ht="21.75" customHeight="1" x14ac:dyDescent="0.45">
      <c r="A38" s="531" t="s">
        <v>27</v>
      </c>
      <c r="B38" s="516"/>
      <c r="C38" s="516"/>
      <c r="D38" s="516"/>
      <c r="E38" s="516"/>
      <c r="F38" s="516"/>
      <c r="G38" s="517"/>
      <c r="H38" s="56"/>
      <c r="I38" s="57"/>
      <c r="J38" s="57"/>
      <c r="K38" s="58"/>
      <c r="L38" s="59"/>
      <c r="M38" s="59"/>
      <c r="N38" s="59"/>
      <c r="O38" s="59"/>
      <c r="P38" s="59"/>
    </row>
    <row r="39" spans="1:16" ht="21.75" customHeight="1" x14ac:dyDescent="0.45">
      <c r="A39" s="60"/>
      <c r="B39" s="532" t="s">
        <v>28</v>
      </c>
      <c r="C39" s="528"/>
      <c r="D39" s="528"/>
      <c r="E39" s="528"/>
      <c r="F39" s="528"/>
      <c r="G39" s="528"/>
      <c r="H39" s="61"/>
      <c r="I39" s="62"/>
      <c r="J39" s="62"/>
      <c r="K39" s="63"/>
      <c r="L39" s="64"/>
      <c r="M39" s="64"/>
      <c r="N39" s="64"/>
      <c r="O39" s="63"/>
      <c r="P39" s="63"/>
    </row>
    <row r="40" spans="1:16" ht="21.75" customHeight="1" x14ac:dyDescent="0.45">
      <c r="A40" s="65"/>
      <c r="B40" s="66" t="s">
        <v>29</v>
      </c>
      <c r="C40" s="67"/>
      <c r="D40" s="67"/>
      <c r="E40" s="67"/>
      <c r="F40" s="67"/>
      <c r="G40" s="67"/>
      <c r="H40" s="68"/>
      <c r="I40" s="69"/>
      <c r="J40" s="69"/>
      <c r="K40" s="70"/>
      <c r="L40" s="71"/>
      <c r="M40" s="71"/>
      <c r="N40" s="71"/>
      <c r="O40" s="70"/>
      <c r="P40" s="70"/>
    </row>
    <row r="41" spans="1:16" ht="21.75" customHeight="1" x14ac:dyDescent="0.45">
      <c r="A41" s="72"/>
      <c r="B41" s="73"/>
      <c r="C41" s="74" t="s">
        <v>16</v>
      </c>
      <c r="D41" s="533" t="s">
        <v>17</v>
      </c>
      <c r="E41" s="530"/>
      <c r="F41" s="530"/>
      <c r="G41" s="530"/>
      <c r="H41" s="75" t="s">
        <v>12</v>
      </c>
      <c r="I41" s="76"/>
      <c r="J41" s="76"/>
      <c r="K41" s="77"/>
      <c r="L41" s="78">
        <f t="shared" ref="L41:N41" ca="1" si="33">L42+L43</f>
        <v>28081700</v>
      </c>
      <c r="M41" s="78">
        <f t="shared" ca="1" si="33"/>
        <v>21791140</v>
      </c>
      <c r="N41" s="78">
        <f t="shared" ca="1" si="33"/>
        <v>13676156</v>
      </c>
      <c r="O41" s="77">
        <f t="shared" ref="O41:O43" ca="1" si="34">IF(L41&gt;0,N41*100/L41,0)</f>
        <v>48.701310818077253</v>
      </c>
      <c r="P41" s="77">
        <f t="shared" ref="P41:P43" ca="1" si="35">IF(M41&gt;0,N41*100/M41,0)</f>
        <v>62.76016766447281</v>
      </c>
    </row>
    <row r="42" spans="1:16" ht="21.75" customHeight="1" x14ac:dyDescent="0.45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6">L44+L48</f>
        <v>0</v>
      </c>
      <c r="M42" s="78">
        <f t="shared" si="36"/>
        <v>0</v>
      </c>
      <c r="N42" s="78">
        <f t="shared" si="36"/>
        <v>0</v>
      </c>
      <c r="O42" s="77">
        <f t="shared" si="34"/>
        <v>0</v>
      </c>
      <c r="P42" s="77">
        <f t="shared" si="35"/>
        <v>0</v>
      </c>
    </row>
    <row r="43" spans="1:16" ht="21.75" customHeight="1" x14ac:dyDescent="0.45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7">L45+L49</f>
        <v>28081700</v>
      </c>
      <c r="M43" s="78">
        <f t="shared" ca="1" si="37"/>
        <v>21791140</v>
      </c>
      <c r="N43" s="78">
        <f t="shared" ca="1" si="37"/>
        <v>13676156</v>
      </c>
      <c r="O43" s="77">
        <f t="shared" ca="1" si="34"/>
        <v>48.701310818077253</v>
      </c>
      <c r="P43" s="77">
        <f t="shared" ca="1" si="35"/>
        <v>62.76016766447281</v>
      </c>
    </row>
    <row r="44" spans="1:16" ht="21.75" customHeight="1" x14ac:dyDescent="0.45">
      <c r="A44" s="79"/>
      <c r="B44" s="80"/>
      <c r="C44" s="81" t="s">
        <v>16</v>
      </c>
      <c r="D44" s="534" t="s">
        <v>20</v>
      </c>
      <c r="E44" s="530"/>
      <c r="F44" s="530"/>
      <c r="G44" s="82" t="s">
        <v>18</v>
      </c>
      <c r="H44" s="83" t="s">
        <v>12</v>
      </c>
      <c r="I44" s="84"/>
      <c r="J44" s="84"/>
      <c r="K44" s="85"/>
      <c r="L44" s="86">
        <f>กำแพงเพชร!L44+เชียงราย!L44+เชียงใหม่!L44+ตาก!L44+นครสวรรค์!L44+น่าน!L44+พะเยา!L44+พิจิตร!L44+พิษณุโลก!L44+เพชรบูรณ์!L44+แพร่!L44+แม่ฮ่องสอน!L44+ลำปาง!L44+ลำพูน!L44+สุโขทัย!L44+อุตรดิตถ์!L44+อุทัยธานี!L44</f>
        <v>0</v>
      </c>
      <c r="M44" s="87"/>
      <c r="N44" s="86"/>
      <c r="O44" s="86"/>
      <c r="P44" s="86"/>
    </row>
    <row r="45" spans="1:16" ht="21.75" customHeight="1" x14ac:dyDescent="0.45">
      <c r="A45" s="79"/>
      <c r="B45" s="80"/>
      <c r="C45" s="80"/>
      <c r="D45" s="80"/>
      <c r="E45" s="88"/>
      <c r="F45" s="89"/>
      <c r="G45" s="82" t="s">
        <v>19</v>
      </c>
      <c r="H45" s="83" t="s">
        <v>12</v>
      </c>
      <c r="I45" s="84"/>
      <c r="J45" s="84"/>
      <c r="K45" s="85"/>
      <c r="L45" s="38">
        <f ca="1">กำแพงเพชร!L45+เชียงราย!L45+เชียงใหม่!L45+ตาก!L45+นครสวรรค์!L45+น่าน!L45+พะเยา!L45+พิจิตร!L45+พิษณุโลก!L45+เพชรบูรณ์!L45+แพร่!L45+แม่ฮ่องสอน!L45+ลำปาง!L45+ลำพูน!L45+สุโขทัย!L45+อุตรดิตถ์!L45+อุทัยธานี!L45</f>
        <v>12766200</v>
      </c>
      <c r="M45" s="49">
        <f ca="1">กำแพงเพชร!M45+เชียงราย!M45+เชียงใหม่!M45+ตาก!M45+นครสวรรค์!M45+น่าน!M45+พะเยา!M45+พิจิตร!M45+พิษณุโลก!M45+เพชรบูรณ์!M45+แพร่!M45+แม่ฮ่องสอน!M45+ลำปาง!M45+ลำพูน!M45+สุโขทัย!M45+อุตรดิตถ์!M45+อุทัยธานี!M45</f>
        <v>6475640</v>
      </c>
      <c r="N45" s="49">
        <f ca="1">กำแพงเพชร!N45+เชียงราย!N45+เชียงใหม่!N45+ตาก!N45+นครสวรรค์!N45+น่าน!N45+พะเยา!N45+พิจิตร!N45+พิษณุโลก!N45+เพชรบูรณ์!N45+แพร่!N45+แม่ฮ่องสอน!N45+ลำปาง!N45+ลำพูน!N45+สุโขทัย!N45+อุตรดิตถ์!N45+อุทัยธานี!N45</f>
        <v>5205626</v>
      </c>
      <c r="O45" s="38">
        <f ca="1">IF(L45&gt;0,N45*100/L45,0)</f>
        <v>40.776628910717363</v>
      </c>
      <c r="P45" s="38">
        <f ca="1">IF(M45&gt;0,N45*100/M45,0)</f>
        <v>80.387822670809371</v>
      </c>
    </row>
    <row r="46" spans="1:16" ht="21.75" customHeight="1" x14ac:dyDescent="0.45">
      <c r="A46" s="79"/>
      <c r="B46" s="80"/>
      <c r="C46" s="80"/>
      <c r="D46" s="80"/>
      <c r="E46" s="88"/>
      <c r="F46" s="88"/>
      <c r="G46" s="82" t="s">
        <v>21</v>
      </c>
      <c r="H46" s="83" t="s">
        <v>12</v>
      </c>
      <c r="I46" s="84"/>
      <c r="J46" s="84"/>
      <c r="K46" s="85"/>
      <c r="L46" s="49">
        <f ca="1">กำแพงเพชร!L46+เชียงราย!L46+เชียงใหม่!L46+ตาก!L46+นครสวรรค์!L46+น่าน!L46+พะเยา!L46+พิจิตร!L46+พิษณุโลก!L46+เพชรบูรณ์!L46+แพร่!L46+แม่ฮ่องสอน!L46+ลำปาง!L46+ลำพูน!L46+สุโขทัย!L46+อุตรดิตถ์!L46+อุทัยธานี!L46</f>
        <v>12766200</v>
      </c>
      <c r="M46" s="41"/>
      <c r="N46" s="38"/>
      <c r="O46" s="38"/>
      <c r="P46" s="38"/>
    </row>
    <row r="47" spans="1:16" ht="21.75" customHeight="1" x14ac:dyDescent="0.45">
      <c r="A47" s="79"/>
      <c r="B47" s="80"/>
      <c r="C47" s="80"/>
      <c r="D47" s="80"/>
      <c r="E47" s="88"/>
      <c r="F47" s="88"/>
      <c r="G47" s="82" t="s">
        <v>22</v>
      </c>
      <c r="H47" s="83" t="s">
        <v>12</v>
      </c>
      <c r="I47" s="84"/>
      <c r="J47" s="84"/>
      <c r="K47" s="85"/>
      <c r="L47" s="49">
        <f ca="1">กำแพงเพชร!L47+เชียงราย!L47+เชียงใหม่!L47+ตาก!L47+นครสวรรค์!L47+น่าน!L47+พะเยา!L47+พิจิตร!L47+พิษณุโลก!L47+เพชรบูรณ์!L47+แพร่!L47+แม่ฮ่องสอน!L47+ลำปาง!L47+ลำพูน!L47+สุโขทัย!L47+อุตรดิตถ์!L47+อุทัยธานี!L47</f>
        <v>0</v>
      </c>
      <c r="M47" s="41"/>
      <c r="N47" s="38"/>
      <c r="O47" s="38"/>
      <c r="P47" s="38"/>
    </row>
    <row r="48" spans="1:16" ht="21.75" customHeight="1" x14ac:dyDescent="0.45">
      <c r="A48" s="79"/>
      <c r="B48" s="80"/>
      <c r="C48" s="81" t="s">
        <v>16</v>
      </c>
      <c r="D48" s="534" t="s">
        <v>23</v>
      </c>
      <c r="E48" s="530"/>
      <c r="F48" s="88"/>
      <c r="G48" s="82" t="s">
        <v>18</v>
      </c>
      <c r="H48" s="83" t="s">
        <v>12</v>
      </c>
      <c r="I48" s="84"/>
      <c r="J48" s="84"/>
      <c r="K48" s="85"/>
      <c r="L48" s="50">
        <f>กำแพงเพชร!L48+เชียงราย!L48+เชียงใหม่!L48+ตาก!L48+นครสวรรค์!L48+น่าน!L48+พะเยา!L48+พิจิตร!L48+พิษณุโลก!L48+เพชรบูรณ์!L48+แพร่!L48+แม่ฮ่องสอน!L48+ลำปาง!L48+ลำพูน!L48+สุโขทัย!L48+อุตรดิตถ์!L48+อุทัยธานี!L48</f>
        <v>0</v>
      </c>
      <c r="M48" s="41"/>
      <c r="N48" s="41"/>
      <c r="O48" s="41"/>
      <c r="P48" s="41"/>
    </row>
    <row r="49" spans="1:16" ht="21.75" customHeight="1" x14ac:dyDescent="0.45">
      <c r="A49" s="90"/>
      <c r="B49" s="91"/>
      <c r="C49" s="91"/>
      <c r="D49" s="91"/>
      <c r="E49" s="92"/>
      <c r="F49" s="92"/>
      <c r="G49" s="93" t="s">
        <v>19</v>
      </c>
      <c r="H49" s="94" t="s">
        <v>12</v>
      </c>
      <c r="I49" s="95"/>
      <c r="J49" s="95"/>
      <c r="K49" s="96"/>
      <c r="L49" s="49">
        <f ca="1">กำแพงเพชร!L49+เชียงราย!L49+เชียงใหม่!L49+ตาก!L49+นครสวรรค์!L49+น่าน!L49+พะเยา!L49+พิจิตร!L49+พิษณุโลก!L49+เพชรบูรณ์!L49+แพร่!L49+แม่ฮ่องสอน!L49+ลำปาง!L49+ลำพูน!L49+สุโขทัย!L49+อุตรดิตถ์!L49+อุทัยธานี!L49</f>
        <v>15315500</v>
      </c>
      <c r="M49" s="49">
        <f ca="1">กำแพงเพชร!M49+เชียงราย!M49+เชียงใหม่!M49+ตาก!M49+นครสวรรค์!M49+น่าน!M49+พะเยา!M49+พิจิตร!M49+พิษณุโลก!M49+เพชรบูรณ์!M49+แพร่!M49+แม่ฮ่องสอน!M49+ลำปาง!M49+ลำพูน!M49+สุโขทัย!M49+อุตรดิตถ์!M49+อุทัยธานี!M49</f>
        <v>15315500</v>
      </c>
      <c r="N49" s="49">
        <f ca="1">กำแพงเพชร!N49+เชียงราย!N49+เชียงใหม่!N49+ตาก!N49+นครสวรรค์!N49+น่าน!N49+พะเยา!N49+พิจิตร!N49+พิษณุโลก!N49+เพชรบูรณ์!N49+แพร่!N49+แม่ฮ่องสอน!N49+ลำปาง!N49+ลำพูน!N49+สุโขทัย!N49+อุตรดิตถ์!N49+อุทัยธานี!N49</f>
        <v>8470530</v>
      </c>
      <c r="O49" s="49">
        <f ca="1">IF(L49&gt;0,N49*100/L49,0)</f>
        <v>55.306911299010807</v>
      </c>
      <c r="P49" s="49">
        <f ca="1">IF(M49&gt;0,N49*100/M49,0)</f>
        <v>55.306911299010807</v>
      </c>
    </row>
    <row r="50" spans="1:16" ht="21.75" customHeight="1" x14ac:dyDescent="0.45">
      <c r="A50" s="97" t="s">
        <v>30</v>
      </c>
      <c r="B50" s="98"/>
      <c r="C50" s="98"/>
      <c r="D50" s="98"/>
      <c r="E50" s="98"/>
      <c r="F50" s="98"/>
      <c r="G50" s="98"/>
      <c r="H50" s="99"/>
      <c r="I50" s="100"/>
      <c r="J50" s="100"/>
      <c r="K50" s="101"/>
      <c r="L50" s="102"/>
      <c r="M50" s="102"/>
      <c r="N50" s="102"/>
      <c r="O50" s="101"/>
      <c r="P50" s="101"/>
    </row>
    <row r="51" spans="1:16" ht="21.75" customHeight="1" x14ac:dyDescent="0.45">
      <c r="A51" s="103"/>
      <c r="B51" s="104" t="s">
        <v>31</v>
      </c>
      <c r="C51" s="104"/>
      <c r="D51" s="104"/>
      <c r="E51" s="104"/>
      <c r="F51" s="104"/>
      <c r="G51" s="104"/>
      <c r="H51" s="105"/>
      <c r="I51" s="106"/>
      <c r="J51" s="106"/>
      <c r="K51" s="107"/>
      <c r="L51" s="108"/>
      <c r="M51" s="108"/>
      <c r="N51" s="108"/>
      <c r="O51" s="107"/>
      <c r="P51" s="107"/>
    </row>
    <row r="52" spans="1:16" ht="21.75" customHeight="1" x14ac:dyDescent="0.45">
      <c r="A52" s="109"/>
      <c r="B52" s="535" t="s">
        <v>32</v>
      </c>
      <c r="C52" s="530"/>
      <c r="D52" s="530"/>
      <c r="E52" s="530"/>
      <c r="F52" s="530"/>
      <c r="G52" s="530"/>
      <c r="H52" s="110"/>
      <c r="I52" s="111"/>
      <c r="J52" s="111"/>
      <c r="K52" s="112"/>
      <c r="L52" s="113"/>
      <c r="M52" s="113"/>
      <c r="N52" s="113"/>
      <c r="O52" s="112"/>
      <c r="P52" s="112"/>
    </row>
    <row r="53" spans="1:16" ht="21.75" customHeight="1" x14ac:dyDescent="0.45">
      <c r="A53" s="114"/>
      <c r="B53" s="115"/>
      <c r="C53" s="116" t="s">
        <v>16</v>
      </c>
      <c r="D53" s="536" t="s">
        <v>17</v>
      </c>
      <c r="E53" s="530"/>
      <c r="F53" s="530"/>
      <c r="G53" s="530"/>
      <c r="H53" s="117" t="s">
        <v>12</v>
      </c>
      <c r="I53" s="118"/>
      <c r="J53" s="118"/>
      <c r="K53" s="119"/>
      <c r="L53" s="120">
        <f t="shared" ref="L53:N53" ca="1" si="38">L54+L55</f>
        <v>8935700</v>
      </c>
      <c r="M53" s="120">
        <f t="shared" ca="1" si="38"/>
        <v>4946501</v>
      </c>
      <c r="N53" s="120">
        <f t="shared" ca="1" si="38"/>
        <v>4083833</v>
      </c>
      <c r="O53" s="119">
        <f t="shared" ref="O53:O55" ca="1" si="39">IF(L53&gt;0,N53*100/L53,0)</f>
        <v>45.702440771288202</v>
      </c>
      <c r="P53" s="119">
        <f t="shared" ref="P53:P55" ca="1" si="40">IF(M53&gt;0,N53*100/M53,0)</f>
        <v>82.560035871821313</v>
      </c>
    </row>
    <row r="54" spans="1:16" ht="21.75" customHeight="1" x14ac:dyDescent="0.45">
      <c r="A54" s="114"/>
      <c r="B54" s="115"/>
      <c r="C54" s="115"/>
      <c r="D54" s="115"/>
      <c r="E54" s="115"/>
      <c r="F54" s="115"/>
      <c r="G54" s="116" t="s">
        <v>18</v>
      </c>
      <c r="H54" s="117" t="s">
        <v>12</v>
      </c>
      <c r="I54" s="118"/>
      <c r="J54" s="118"/>
      <c r="K54" s="119"/>
      <c r="L54" s="120">
        <f t="shared" ref="L54:N54" si="41">L56+L60</f>
        <v>0</v>
      </c>
      <c r="M54" s="120">
        <f t="shared" si="41"/>
        <v>0</v>
      </c>
      <c r="N54" s="120">
        <f t="shared" si="41"/>
        <v>0</v>
      </c>
      <c r="O54" s="119">
        <f t="shared" si="39"/>
        <v>0</v>
      </c>
      <c r="P54" s="119">
        <f t="shared" si="40"/>
        <v>0</v>
      </c>
    </row>
    <row r="55" spans="1:16" ht="21.75" customHeight="1" x14ac:dyDescent="0.45">
      <c r="A55" s="114"/>
      <c r="B55" s="115"/>
      <c r="C55" s="115"/>
      <c r="D55" s="115"/>
      <c r="E55" s="115"/>
      <c r="F55" s="115"/>
      <c r="G55" s="116" t="s">
        <v>19</v>
      </c>
      <c r="H55" s="117" t="s">
        <v>12</v>
      </c>
      <c r="I55" s="118"/>
      <c r="J55" s="118"/>
      <c r="K55" s="119"/>
      <c r="L55" s="120">
        <f t="shared" ref="L55:N55" ca="1" si="42">L57+L61</f>
        <v>8935700</v>
      </c>
      <c r="M55" s="120">
        <f t="shared" ca="1" si="42"/>
        <v>4946501</v>
      </c>
      <c r="N55" s="120">
        <f t="shared" ca="1" si="42"/>
        <v>4083833</v>
      </c>
      <c r="O55" s="119">
        <f t="shared" ca="1" si="39"/>
        <v>45.702440771288202</v>
      </c>
      <c r="P55" s="119">
        <f t="shared" ca="1" si="40"/>
        <v>82.560035871821313</v>
      </c>
    </row>
    <row r="56" spans="1:16" ht="21.75" customHeight="1" x14ac:dyDescent="0.45">
      <c r="A56" s="79"/>
      <c r="B56" s="80"/>
      <c r="C56" s="81" t="s">
        <v>16</v>
      </c>
      <c r="D56" s="534" t="s">
        <v>20</v>
      </c>
      <c r="E56" s="530"/>
      <c r="F56" s="530"/>
      <c r="G56" s="82" t="s">
        <v>18</v>
      </c>
      <c r="H56" s="83" t="s">
        <v>12</v>
      </c>
      <c r="I56" s="84"/>
      <c r="J56" s="84"/>
      <c r="K56" s="85"/>
      <c r="L56" s="86">
        <f>กำแพงเพชร!L56+เชียงราย!L56+เชียงใหม่!L56+ตาก!L56+นครสวรรค์!L56+น่าน!L56+พะเยา!L56+พิจิตร!L56+พิษณุโลก!L56+เพชรบูรณ์!L56+แพร่!L56+แม่ฮ่องสอน!L56+ลำปาง!L56+ลำพูน!L56+สุโขทัย!L56+อุตรดิตถ์!L56+อุทัยธานี!L56</f>
        <v>0</v>
      </c>
      <c r="M56" s="87"/>
      <c r="N56" s="86"/>
      <c r="O56" s="86"/>
      <c r="P56" s="86"/>
    </row>
    <row r="57" spans="1:16" ht="21.75" customHeight="1" x14ac:dyDescent="0.45">
      <c r="A57" s="79"/>
      <c r="B57" s="80"/>
      <c r="C57" s="80"/>
      <c r="D57" s="80"/>
      <c r="E57" s="88"/>
      <c r="F57" s="89"/>
      <c r="G57" s="82" t="s">
        <v>19</v>
      </c>
      <c r="H57" s="83" t="s">
        <v>12</v>
      </c>
      <c r="I57" s="84"/>
      <c r="J57" s="84"/>
      <c r="K57" s="85"/>
      <c r="L57" s="38">
        <f ca="1">กำแพงเพชร!L57+เชียงราย!L57+เชียงใหม่!L57+ตาก!L57+นครสวรรค์!L57+น่าน!L57+พะเยา!L57+พิจิตร!L57+พิษณุโลก!L57+เพชรบูรณ์!L57+แพร่!L57+แม่ฮ่องสอน!L57+ลำปาง!L57+ลำพูน!L57+สุโขทัย!L57+อุตรดิตถ์!L57+อุทัยธานี!L57</f>
        <v>8935700</v>
      </c>
      <c r="M57" s="49">
        <f ca="1">กำแพงเพชร!M57+เชียงราย!M57+เชียงใหม่!M57+ตาก!M57+นครสวรรค์!M57+น่าน!M57+พะเยา!M57+พิจิตร!M57+พิษณุโลก!M57+เพชรบูรณ์!M57+แพร่!M57+แม่ฮ่องสอน!M57+ลำปาง!M57+ลำพูน!M57+สุโขทัย!M57+อุตรดิตถ์!M57+อุทัยธานี!M57</f>
        <v>4946501</v>
      </c>
      <c r="N57" s="49">
        <f ca="1">กำแพงเพชร!N57+เชียงราย!N57+เชียงใหม่!N57+ตาก!N57+นครสวรรค์!N57+น่าน!N57+พะเยา!N57+พิจิตร!N57+พิษณุโลก!N57+เพชรบูรณ์!N57+แพร่!N57+แม่ฮ่องสอน!N57+ลำปาง!N57+ลำพูน!N57+สุโขทัย!N57+อุตรดิตถ์!N57+อุทัยธานี!N57</f>
        <v>4083833</v>
      </c>
      <c r="O57" s="38">
        <f ca="1">IF(L57&gt;0,N57*100/L57,0)</f>
        <v>45.702440771288202</v>
      </c>
      <c r="P57" s="38">
        <f ca="1">IF(M57&gt;0,N57*100/M57,0)</f>
        <v>82.560035871821313</v>
      </c>
    </row>
    <row r="58" spans="1:16" ht="21.75" customHeight="1" x14ac:dyDescent="0.45">
      <c r="A58" s="79"/>
      <c r="B58" s="80"/>
      <c r="C58" s="80"/>
      <c r="D58" s="80"/>
      <c r="E58" s="88"/>
      <c r="F58" s="88"/>
      <c r="G58" s="82" t="s">
        <v>21</v>
      </c>
      <c r="H58" s="83" t="s">
        <v>12</v>
      </c>
      <c r="I58" s="84"/>
      <c r="J58" s="84"/>
      <c r="K58" s="85"/>
      <c r="L58" s="49">
        <f ca="1">กำแพงเพชร!L58+เชียงราย!L58+เชียงใหม่!L58+ตาก!L58+นครสวรรค์!L58+น่าน!L58+พะเยา!L58+พิจิตร!L58+พิษณุโลก!L58+เพชรบูรณ์!L58+แพร่!L58+แม่ฮ่องสอน!L58+ลำปาง!L58+ลำพูน!L58+สุโขทัย!L58+อุตรดิตถ์!L58+อุทัยธานี!L58</f>
        <v>8935700</v>
      </c>
      <c r="M58" s="41"/>
      <c r="N58" s="38"/>
      <c r="O58" s="38"/>
      <c r="P58" s="38"/>
    </row>
    <row r="59" spans="1:16" ht="21.75" customHeight="1" x14ac:dyDescent="0.45">
      <c r="A59" s="79"/>
      <c r="B59" s="80"/>
      <c r="C59" s="80"/>
      <c r="D59" s="80"/>
      <c r="E59" s="88"/>
      <c r="F59" s="88"/>
      <c r="G59" s="82" t="s">
        <v>22</v>
      </c>
      <c r="H59" s="83" t="s">
        <v>12</v>
      </c>
      <c r="I59" s="84"/>
      <c r="J59" s="84"/>
      <c r="K59" s="85"/>
      <c r="L59" s="49">
        <f ca="1">กำแพงเพชร!L59+เชียงราย!L59+เชียงใหม่!L59+ตาก!L59+นครสวรรค์!L59+น่าน!L59+พะเยา!L59+พิจิตร!L59+พิษณุโลก!L59+เพชรบูรณ์!L59+แพร่!L59+แม่ฮ่องสอน!L59+ลำปาง!L59+ลำพูน!L59+สุโขทัย!L59+อุตรดิตถ์!L59+อุทัยธานี!L59</f>
        <v>0</v>
      </c>
      <c r="M59" s="41"/>
      <c r="N59" s="38"/>
      <c r="O59" s="38"/>
      <c r="P59" s="38"/>
    </row>
    <row r="60" spans="1:16" ht="21.75" customHeight="1" x14ac:dyDescent="0.45">
      <c r="A60" s="79"/>
      <c r="B60" s="80"/>
      <c r="C60" s="81" t="s">
        <v>16</v>
      </c>
      <c r="D60" s="534" t="s">
        <v>23</v>
      </c>
      <c r="E60" s="530"/>
      <c r="F60" s="88"/>
      <c r="G60" s="82" t="s">
        <v>18</v>
      </c>
      <c r="H60" s="83" t="s">
        <v>12</v>
      </c>
      <c r="I60" s="84"/>
      <c r="J60" s="84"/>
      <c r="K60" s="85"/>
      <c r="L60" s="50">
        <f>กำแพงเพชร!L60+เชียงราย!L60+เชียงใหม่!L60+ตาก!L60+นครสวรรค์!L60+น่าน!L60+พะเยา!L60+พิจิตร!L60+พิษณุโลก!L60+เพชรบูรณ์!L60+แพร่!L60+แม่ฮ่องสอน!L60+ลำปาง!L60+ลำพูน!L60+สุโขทัย!L60+อุตรดิตถ์!L60+อุทัยธานี!L60</f>
        <v>0</v>
      </c>
      <c r="M60" s="41"/>
      <c r="N60" s="41"/>
      <c r="O60" s="41"/>
      <c r="P60" s="41"/>
    </row>
    <row r="61" spans="1:16" ht="21.75" customHeight="1" x14ac:dyDescent="0.45">
      <c r="A61" s="90"/>
      <c r="B61" s="91"/>
      <c r="C61" s="91"/>
      <c r="D61" s="91"/>
      <c r="E61" s="92"/>
      <c r="F61" s="92"/>
      <c r="G61" s="93" t="s">
        <v>19</v>
      </c>
      <c r="H61" s="94" t="s">
        <v>12</v>
      </c>
      <c r="I61" s="95"/>
      <c r="J61" s="95"/>
      <c r="K61" s="96"/>
      <c r="L61" s="49">
        <f ca="1">กำแพงเพชร!L61+เชียงราย!L61+เชียงใหม่!L61+ตาก!L61+นครสวรรค์!L61+น่าน!L61+พะเยา!L61+พิจิตร!L61+พิษณุโลก!L61+เพชรบูรณ์!L61+แพร่!L61+แม่ฮ่องสอน!L61+ลำปาง!L61+ลำพูน!L61+สุโขทัย!L61+อุตรดิตถ์!L61+อุทัยธานี!L61</f>
        <v>0</v>
      </c>
      <c r="M61" s="49"/>
      <c r="N61" s="49">
        <f ca="1">กำแพงเพชร!N61+เชียงราย!N61+เชียงใหม่!N61+ตาก!N61+นครสวรรค์!N61+น่าน!N61+พะเยา!N61+พิจิตร!N61+พิษณุโลก!N61+เพชรบูรณ์!N61+แพร่!N61+แม่ฮ่องสอน!N61+ลำปาง!N61+ลำพูน!N61+สุโขทัย!N61+อุตรดิตถ์!N61+อุทัยธานี!N61</f>
        <v>0</v>
      </c>
      <c r="O61" s="49">
        <f ca="1">IF(L61&gt;0,N61*100/L61,0)</f>
        <v>0</v>
      </c>
      <c r="P61" s="49"/>
    </row>
    <row r="62" spans="1:16" ht="21.75" customHeight="1" x14ac:dyDescent="0.3">
      <c r="A62" s="121" t="s">
        <v>33</v>
      </c>
      <c r="B62" s="122"/>
      <c r="C62" s="122"/>
      <c r="D62" s="122"/>
      <c r="E62" s="123"/>
      <c r="F62" s="123"/>
      <c r="G62" s="123"/>
      <c r="H62" s="124"/>
      <c r="I62" s="125"/>
      <c r="J62" s="125"/>
      <c r="K62" s="126"/>
      <c r="L62" s="127"/>
      <c r="M62" s="127"/>
      <c r="N62" s="127"/>
      <c r="O62" s="127"/>
      <c r="P62" s="127"/>
    </row>
    <row r="63" spans="1:16" ht="21.75" customHeight="1" x14ac:dyDescent="0.3">
      <c r="A63" s="128" t="s">
        <v>34</v>
      </c>
      <c r="B63" s="129"/>
      <c r="C63" s="130"/>
      <c r="D63" s="129"/>
      <c r="E63" s="131"/>
      <c r="F63" s="131"/>
      <c r="G63" s="131"/>
      <c r="H63" s="132"/>
      <c r="I63" s="133"/>
      <c r="J63" s="133"/>
      <c r="K63" s="134"/>
      <c r="L63" s="135"/>
      <c r="M63" s="135"/>
      <c r="N63" s="135"/>
      <c r="O63" s="136"/>
      <c r="P63" s="136"/>
    </row>
    <row r="64" spans="1:16" ht="21.75" customHeight="1" x14ac:dyDescent="0.3">
      <c r="A64" s="137"/>
      <c r="B64" s="138" t="s">
        <v>35</v>
      </c>
      <c r="C64" s="138"/>
      <c r="D64" s="139"/>
      <c r="E64" s="138"/>
      <c r="F64" s="138"/>
      <c r="G64" s="138"/>
      <c r="H64" s="140" t="s">
        <v>36</v>
      </c>
      <c r="I64" s="141">
        <f ca="1">กำแพงเพชร!I64+เชียงราย!I64+เชียงใหม่!I64+ตาก!I64+นครสวรรค์!I64+น่าน!I64+พะเยา!I64+พิจิตร!I64+พิษณุโลก!I64+เพชรบูรณ์!I64+แพร่!I64+แม่ฮ่องสอน!I64+ลำปาง!I64+ลำพูน!I64+สุโขทัย!I64+อุตรดิตถ์!I64+อุทัยธานี!I64</f>
        <v>13</v>
      </c>
      <c r="J64" s="141">
        <f ca="1">กำแพงเพชร!J64+เชียงราย!J64+เชียงใหม่!J64+ตาก!J64+นครสวรรค์!J64+น่าน!J64+พะเยา!J64+พิจิตร!J64+พิษณุโลก!J64+เพชรบูรณ์!J64+แพร่!J64+แม่ฮ่องสอน!J64+ลำปาง!J64+ลำพูน!J64+สุโขทัย!J64+อุตรดิตถ์!J64+อุทัยธานี!J64</f>
        <v>11</v>
      </c>
      <c r="K64" s="142">
        <f t="shared" ref="K64:K65" ca="1" si="43">IF(I64&gt;0,J64*100/I64,0)</f>
        <v>84.615384615384613</v>
      </c>
      <c r="L64" s="143"/>
      <c r="M64" s="143"/>
      <c r="N64" s="144"/>
      <c r="O64" s="142"/>
      <c r="P64" s="142"/>
    </row>
    <row r="65" spans="1:16" ht="21.75" customHeight="1" x14ac:dyDescent="0.3">
      <c r="A65" s="137"/>
      <c r="B65" s="138"/>
      <c r="C65" s="138"/>
      <c r="D65" s="139"/>
      <c r="E65" s="138"/>
      <c r="F65" s="138"/>
      <c r="G65" s="138"/>
      <c r="H65" s="140" t="s">
        <v>37</v>
      </c>
      <c r="I65" s="141">
        <f ca="1">กำแพงเพชร!I65+เชียงราย!I65+เชียงใหม่!I65+ตาก!I65+นครสวรรค์!I65+น่าน!I65+พะเยา!I65+พิจิตร!I65+พิษณุโลก!I65+เพชรบูรณ์!I65+แพร่!I65+แม่ฮ่องสอน!I65+ลำปาง!I65+ลำพูน!I65+สุโขทัย!I65+อุตรดิตถ์!I65+อุทัยธานี!I65</f>
        <v>646</v>
      </c>
      <c r="J65" s="141">
        <f ca="1">กำแพงเพชร!J65+เชียงราย!J65+เชียงใหม่!J65+ตาก!J65+นครสวรรค์!J65+น่าน!J65+พะเยา!J65+พิจิตร!J65+พิษณุโลก!J65+เพชรบูรณ์!J65+แพร่!J65+แม่ฮ่องสอน!J65+ลำปาง!J65+ลำพูน!J65+สุโขทัย!J65+อุตรดิตถ์!J65+อุทัยธานี!J65</f>
        <v>548</v>
      </c>
      <c r="K65" s="142">
        <f t="shared" ca="1" si="43"/>
        <v>84.829721362229108</v>
      </c>
      <c r="L65" s="144"/>
      <c r="M65" s="144"/>
      <c r="N65" s="144"/>
      <c r="O65" s="142"/>
      <c r="P65" s="142"/>
    </row>
    <row r="66" spans="1:16" ht="21.75" customHeight="1" x14ac:dyDescent="0.45">
      <c r="A66" s="145"/>
      <c r="B66" s="146"/>
      <c r="C66" s="147" t="s">
        <v>16</v>
      </c>
      <c r="D66" s="537" t="s">
        <v>17</v>
      </c>
      <c r="E66" s="528"/>
      <c r="F66" s="528"/>
      <c r="G66" s="528"/>
      <c r="H66" s="148" t="s">
        <v>12</v>
      </c>
      <c r="I66" s="149"/>
      <c r="J66" s="149"/>
      <c r="K66" s="150"/>
      <c r="L66" s="151">
        <f ca="1">กำแพงเพชร!L66+เชียงราย!L66+เชียงใหม่!L66+ตาก!L66+นครสวรรค์!L66+น่าน!L66+พะเยา!L66+พิจิตร!L66+พิษณุโลก!L66+เพชรบูรณ์!L66+แพร่!L66+แม่ฮ่องสอน!L66+ลำปาง!L66+ลำพูน!L66+สุโขทัย!L66+อุตรดิตถ์!L66+อุทัยธานี!L66</f>
        <v>10891500</v>
      </c>
      <c r="M66" s="151">
        <f ca="1">กำแพงเพชร!M66+เชียงราย!M66+เชียงใหม่!M66+ตาก!M66+นครสวรรค์!M66+น่าน!M66+พะเยา!M66+พิจิตร!M66+พิษณุโลก!M66+เพชรบูรณ์!M66+แพร่!M66+แม่ฮ่องสอน!M66+ลำปาง!M66+ลำพูน!M66+สุโขทัย!M66+อุตรดิตถ์!M66+อุทัยธานี!M66</f>
        <v>7781940</v>
      </c>
      <c r="N66" s="151">
        <f ca="1">กำแพงเพชร!N66+เชียงราย!N66+เชียงใหม่!N66+ตาก!N66+นครสวรรค์!N66+น่าน!N66+พะเยา!N66+พิจิตร!N66+พิษณุโลก!N66+เพชรบูรณ์!N66+แพร่!N66+แม่ฮ่องสอน!N66+ลำปาง!N66+ลำพูน!N66+สุโขทัย!N66+อุตรดิตถ์!N66+อุทัยธานี!N66</f>
        <v>6205096</v>
      </c>
      <c r="O66" s="150">
        <f t="shared" ref="O66:O68" ca="1" si="44">IF(L66&gt;0,N66*100/L66,0)</f>
        <v>56.971913877794613</v>
      </c>
      <c r="P66" s="150">
        <f t="shared" ref="P66:P68" ca="1" si="45">IF(M66&gt;0,N66*100/M66,0)</f>
        <v>79.737134956064935</v>
      </c>
    </row>
    <row r="67" spans="1:16" ht="21.75" customHeight="1" x14ac:dyDescent="0.45">
      <c r="A67" s="152"/>
      <c r="B67" s="32"/>
      <c r="C67" s="32"/>
      <c r="D67" s="32"/>
      <c r="E67" s="32"/>
      <c r="F67" s="32"/>
      <c r="G67" s="33" t="s">
        <v>18</v>
      </c>
      <c r="H67" s="153" t="s">
        <v>12</v>
      </c>
      <c r="I67" s="154"/>
      <c r="J67" s="154"/>
      <c r="K67" s="155"/>
      <c r="L67" s="87">
        <f>กำแพงเพชร!L67+เชียงราย!L67+เชียงใหม่!L67+ตาก!L67+นครสวรรค์!L67+น่าน!L67+พะเยา!L67+พิจิตร!L67+พิษณุโลก!L67+เพชรบูรณ์!L67+แพร่!L67+แม่ฮ่องสอน!L67+ลำปาง!L67+ลำพูน!L67+สุโขทัย!L67+อุตรดิตถ์!L67+อุทัยธานี!L67</f>
        <v>0</v>
      </c>
      <c r="M67" s="87">
        <f>กำแพงเพชร!M67+เชียงราย!M67+เชียงใหม่!M67+ตาก!M67+นครสวรรค์!M67+น่าน!M67+พะเยา!M67+พิจิตร!M67+พิษณุโลก!M67+เพชรบูรณ์!M67+แพร่!M67+แม่ฮ่องสอน!M67+ลำปาง!M67+ลำพูน!M67+สุโขทัย!M67+อุตรดิตถ์!M67+อุทัยธานี!M67</f>
        <v>0</v>
      </c>
      <c r="N67" s="87">
        <f>กำแพงเพชร!N67+เชียงราย!N67+เชียงใหม่!N67+ตาก!N67+นครสวรรค์!N67+น่าน!N67+พะเยา!N67+พิจิตร!N67+พิษณุโลก!N67+เพชรบูรณ์!N67+แพร่!N67+แม่ฮ่องสอน!N67+ลำปาง!N67+ลำพูน!N67+สุโขทัย!N67+อุตรดิตถ์!N67+อุทัยธานี!N67</f>
        <v>0</v>
      </c>
      <c r="O67" s="155">
        <f t="shared" si="44"/>
        <v>0</v>
      </c>
      <c r="P67" s="155">
        <f t="shared" si="45"/>
        <v>0</v>
      </c>
    </row>
    <row r="68" spans="1:16" ht="21.75" customHeight="1" x14ac:dyDescent="0.45">
      <c r="A68" s="152"/>
      <c r="B68" s="32"/>
      <c r="C68" s="32"/>
      <c r="D68" s="32"/>
      <c r="E68" s="32"/>
      <c r="F68" s="32"/>
      <c r="G68" s="33" t="s">
        <v>19</v>
      </c>
      <c r="H68" s="153" t="s">
        <v>12</v>
      </c>
      <c r="I68" s="154"/>
      <c r="J68" s="154"/>
      <c r="K68" s="155"/>
      <c r="L68" s="87">
        <f ca="1">กำแพงเพชร!L68+เชียงราย!L68+เชียงใหม่!L68+ตาก!L68+นครสวรรค์!L68+น่าน!L68+พะเยา!L68+พิจิตร!L68+พิษณุโลก!L68+เพชรบูรณ์!L68+แพร่!L68+แม่ฮ่องสอน!L68+ลำปาง!L68+ลำพูน!L68+สุโขทัย!L68+อุตรดิตถ์!L68+อุทัยธานี!L68</f>
        <v>10891500</v>
      </c>
      <c r="M68" s="87">
        <f ca="1">กำแพงเพชร!M68+เชียงราย!M68+เชียงใหม่!M68+ตาก!M68+นครสวรรค์!M68+น่าน!M68+พะเยา!M68+พิจิตร!M68+พิษณุโลก!M68+เพชรบูรณ์!M68+แพร่!M68+แม่ฮ่องสอน!M68+ลำปาง!M68+ลำพูน!M68+สุโขทัย!M68+อุตรดิตถ์!M68+อุทัยธานี!M68</f>
        <v>7781940</v>
      </c>
      <c r="N68" s="87">
        <f ca="1">กำแพงเพชร!N68+เชียงราย!N68+เชียงใหม่!N68+ตาก!N68+นครสวรรค์!N68+น่าน!N68+พะเยา!N68+พิจิตร!N68+พิษณุโลก!N68+เพชรบูรณ์!N68+แพร่!N68+แม่ฮ่องสอน!N68+ลำปาง!N68+ลำพูน!N68+สุโขทัย!N68+อุตรดิตถ์!N68+อุทัยธานี!N68</f>
        <v>6205096</v>
      </c>
      <c r="O68" s="155">
        <f t="shared" ca="1" si="44"/>
        <v>56.971913877794613</v>
      </c>
      <c r="P68" s="155">
        <f t="shared" ca="1" si="45"/>
        <v>79.737134956064935</v>
      </c>
    </row>
    <row r="69" spans="1:16" ht="21.75" customHeight="1" x14ac:dyDescent="0.3">
      <c r="A69" s="156"/>
      <c r="B69" s="157"/>
      <c r="C69" s="157" t="s">
        <v>16</v>
      </c>
      <c r="D69" s="158" t="s">
        <v>38</v>
      </c>
      <c r="E69" s="159"/>
      <c r="F69" s="159"/>
      <c r="G69" s="160" t="s">
        <v>39</v>
      </c>
      <c r="H69" s="161" t="s">
        <v>12</v>
      </c>
      <c r="I69" s="162" t="s">
        <v>40</v>
      </c>
      <c r="J69" s="162"/>
      <c r="K69" s="163"/>
      <c r="L69" s="164">
        <f>กำแพงเพชร!L69+เชียงราย!L69+เชียงใหม่!L69+ตาก!L69+นครสวรรค์!L69+น่าน!L69+พะเยา!L69+พิจิตร!L69+พิษณุโลก!L69+เพชรบูรณ์!L69+แพร่!L69+แม่ฮ่องสอน!L69+ลำปาง!L69+ลำพูน!L69+สุโขทัย!L69+อุตรดิตถ์!L69+อุทัยธานี!L69</f>
        <v>0</v>
      </c>
      <c r="M69" s="164">
        <f>กำแพงเพชร!M69+เชียงราย!M69+เชียงใหม่!M69+ตาก!M69+นครสวรรค์!M69+น่าน!M69+พะเยา!M69+พิจิตร!M69+พิษณุโลก!M69+เพชรบูรณ์!M69+แพร่!M69+แม่ฮ่องสอน!M69+ลำปาง!M69+ลำพูน!M69+สุโขทัย!M69+อุตรดิตถ์!M69+อุทัยธานี!M69</f>
        <v>0</v>
      </c>
      <c r="N69" s="164">
        <f>กำแพงเพชร!N69+เชียงราย!N69+เชียงใหม่!N69+ตาก!N69+นครสวรรค์!N69+น่าน!N69+พะเยา!N69+พิจิตร!N69+พิษณุโลก!N69+เพชรบูรณ์!N69+แพร่!N69+แม่ฮ่องสอน!N69+ลำปาง!N69+ลำพูน!N69+สุโขทัย!N69+อุตรดิตถ์!N69+อุทัยธานี!N69</f>
        <v>0</v>
      </c>
      <c r="O69" s="165">
        <f>+IF(L69&gt;0,N69*100/L69,0)</f>
        <v>0</v>
      </c>
      <c r="P69" s="165"/>
    </row>
    <row r="70" spans="1:16" ht="21.75" customHeight="1" x14ac:dyDescent="0.3">
      <c r="A70" s="156"/>
      <c r="B70" s="157"/>
      <c r="C70" s="157"/>
      <c r="D70" s="166"/>
      <c r="E70" s="159"/>
      <c r="F70" s="159" t="s">
        <v>40</v>
      </c>
      <c r="G70" s="160" t="s">
        <v>41</v>
      </c>
      <c r="H70" s="161" t="s">
        <v>12</v>
      </c>
      <c r="I70" s="162"/>
      <c r="J70" s="162"/>
      <c r="K70" s="163"/>
      <c r="L70" s="167">
        <f ca="1">กำแพงเพชร!L70+เชียงราย!L70+เชียงใหม่!L70+ตาก!L70+นครสวรรค์!L70+น่าน!L70+พะเยา!L70+พิจิตร!L70+พิษณุโลก!L70+เพชรบูรณ์!L70+แพร่!L70+แม่ฮ่องสอน!L70+ลำปาง!L70+ลำพูน!L70+สุโขทัย!L70+อุตรดิตถ์!L70+อุทัยธานี!L70</f>
        <v>7166900</v>
      </c>
      <c r="M70" s="167">
        <f ca="1">กำแพงเพชร!M70+เชียงราย!M70+เชียงใหม่!M70+ตาก!M70+นครสวรรค์!M70+น่าน!M70+พะเยา!M70+พิจิตร!M70+พิษณุโลก!M70+เพชรบูรณ์!M70+แพร่!M70+แม่ฮ่องสอน!M70+ลำปาง!M70+ลำพูน!M70+สุโขทัย!M70+อุตรดิตถ์!M70+อุทัยธานี!M70</f>
        <v>4057340</v>
      </c>
      <c r="N70" s="168">
        <f ca="1">กำแพงเพชร!N70+เชียงราย!N70+เชียงใหม่!N70+ตาก!N70+นครสวรรค์!N70+น่าน!N70+พะเยา!N70+พิจิตร!N70+พิษณุโลก!N70+เพชรบูรณ์!N70+แพร่!N70+แม่ฮ่องสอน!N70+ลำปาง!N70+ลำพูน!N70+สุโขทัย!N70+อุตรดิตถ์!N70+อุทัยธานี!N70</f>
        <v>2480496</v>
      </c>
      <c r="O70" s="168">
        <f ca="1">IF(L70&gt;0,N70*100/L70,0)</f>
        <v>34.610445241317727</v>
      </c>
      <c r="P70" s="168">
        <f ca="1">IF(M70&gt;0,N70*100/M70,0)</f>
        <v>61.13601522179556</v>
      </c>
    </row>
    <row r="71" spans="1:16" ht="21.75" customHeight="1" x14ac:dyDescent="0.3">
      <c r="A71" s="156"/>
      <c r="B71" s="157"/>
      <c r="C71" s="157"/>
      <c r="D71" s="166"/>
      <c r="E71" s="159"/>
      <c r="F71" s="159"/>
      <c r="G71" s="169" t="s">
        <v>42</v>
      </c>
      <c r="H71" s="161" t="s">
        <v>12</v>
      </c>
      <c r="I71" s="162"/>
      <c r="J71" s="162"/>
      <c r="K71" s="163"/>
      <c r="L71" s="167">
        <f ca="1">กำแพงเพชร!L71+เชียงราย!L71+เชียงใหม่!L71+ตาก!L71+นครสวรรค์!L71+น่าน!L71+พะเยา!L71+พิจิตร!L71+พิษณุโลก!L71+เพชรบูรณ์!L71+แพร่!L71+แม่ฮ่องสอน!L71+ลำปาง!L71+ลำพูน!L71+สุโขทัย!L71+อุตรดิตถ์!L71+อุทัยธานี!L71</f>
        <v>1246700</v>
      </c>
      <c r="M71" s="167"/>
      <c r="N71" s="167"/>
      <c r="O71" s="168"/>
      <c r="P71" s="168"/>
    </row>
    <row r="72" spans="1:16" ht="21.75" customHeight="1" x14ac:dyDescent="0.3">
      <c r="A72" s="156"/>
      <c r="B72" s="157"/>
      <c r="C72" s="157"/>
      <c r="D72" s="166"/>
      <c r="E72" s="159"/>
      <c r="F72" s="159"/>
      <c r="G72" s="169" t="s">
        <v>43</v>
      </c>
      <c r="H72" s="161" t="s">
        <v>12</v>
      </c>
      <c r="I72" s="162"/>
      <c r="J72" s="162"/>
      <c r="K72" s="163"/>
      <c r="L72" s="167">
        <f ca="1">กำแพงเพชร!L72+เชียงราย!L72+เชียงใหม่!L72+ตาก!L72+นครสวรรค์!L72+น่าน!L72+พะเยา!L72+พิจิตร!L72+พิษณุโลก!L72+เพชรบูรณ์!L72+แพร่!L72+แม่ฮ่องสอน!L72+ลำปาง!L72+ลำพูน!L72+สุโขทัย!L72+อุตรดิตถ์!L72+อุทัยธานี!L72</f>
        <v>5920200</v>
      </c>
      <c r="M72" s="167"/>
      <c r="N72" s="167"/>
      <c r="O72" s="168"/>
      <c r="P72" s="168"/>
    </row>
    <row r="73" spans="1:16" ht="21.75" customHeight="1" x14ac:dyDescent="0.45">
      <c r="A73" s="170"/>
      <c r="B73" s="80"/>
      <c r="C73" s="81" t="s">
        <v>16</v>
      </c>
      <c r="D73" s="534" t="s">
        <v>23</v>
      </c>
      <c r="E73" s="530"/>
      <c r="F73" s="88"/>
      <c r="G73" s="82" t="s">
        <v>18</v>
      </c>
      <c r="H73" s="171" t="s">
        <v>12</v>
      </c>
      <c r="I73" s="84"/>
      <c r="J73" s="84"/>
      <c r="K73" s="85"/>
      <c r="L73" s="41">
        <f>กำแพงเพชร!L73+เชียงราย!L73+เชียงใหม่!L73+ตาก!L73+นครสวรรค์!L73+น่าน!L73+พะเยา!L73+พิจิตร!L73+พิษณุโลก!L73+เพชรบูรณ์!L73+แพร่!L73+แม่ฮ่องสอน!L73+ลำปาง!L73+ลำพูน!L73+สุโขทัย!L73+อุตรดิตถ์!L73+อุทัยธานี!L73</f>
        <v>0</v>
      </c>
      <c r="M73" s="41"/>
      <c r="N73" s="41"/>
      <c r="O73" s="41"/>
      <c r="P73" s="41"/>
    </row>
    <row r="74" spans="1:16" ht="21.75" customHeight="1" x14ac:dyDescent="0.45">
      <c r="A74" s="172"/>
      <c r="B74" s="91"/>
      <c r="C74" s="91"/>
      <c r="D74" s="173"/>
      <c r="E74" s="92"/>
      <c r="F74" s="92"/>
      <c r="G74" s="93" t="s">
        <v>19</v>
      </c>
      <c r="H74" s="174" t="s">
        <v>12</v>
      </c>
      <c r="I74" s="95"/>
      <c r="J74" s="95"/>
      <c r="K74" s="96"/>
      <c r="L74" s="49">
        <f ca="1">กำแพงเพชร!L74+เชียงราย!L74+เชียงใหม่!L74+ตาก!L74+นครสวรรค์!L74+น่าน!L74+พะเยา!L74+พิจิตร!L74+พิษณุโลก!L74+เพชรบูรณ์!L74+แพร่!L74+แม่ฮ่องสอน!L74+ลำปาง!L74+ลำพูน!L74+สุโขทัย!L74+อุตรดิตถ์!L74+อุทัยธานี!L74</f>
        <v>3724600</v>
      </c>
      <c r="M74" s="49">
        <f ca="1">กำแพงเพชร!M74+เชียงราย!M74+เชียงใหม่!M74+ตาก!M74+นครสวรรค์!M74+น่าน!M74+พะเยา!M74+พิจิตร!M74+พิษณุโลก!M74+เพชรบูรณ์!M74+แพร่!M74+แม่ฮ่องสอน!M74+ลำปาง!M74+ลำพูน!M74+สุโขทัย!M74+อุตรดิตถ์!M74+อุทัยธานี!M74</f>
        <v>3724600</v>
      </c>
      <c r="N74" s="49">
        <f ca="1">กำแพงเพชร!N74+เชียงราย!N74+เชียงใหม่!N74+ตาก!N74+นครสวรรค์!N74+น่าน!N74+พะเยา!N74+พิจิตร!N74+พิษณุโลก!N74+เพชรบูรณ์!N74+แพร่!N74+แม่ฮ่องสอน!N74+ลำปาง!N74+ลำพูน!N74+สุโขทัย!N74+อุตรดิตถ์!N74+อุทัยธานี!N74</f>
        <v>3724600</v>
      </c>
      <c r="O74" s="49">
        <f ca="1">IF(L74&gt;0,N74*100/L74,0)</f>
        <v>100</v>
      </c>
      <c r="P74" s="49">
        <f ca="1">IF(M74&gt;0,N74*100/M74,0)</f>
        <v>100</v>
      </c>
    </row>
    <row r="75" spans="1:16" ht="21.75" customHeight="1" x14ac:dyDescent="0.3">
      <c r="A75" s="175"/>
      <c r="B75" s="176"/>
      <c r="C75" s="157" t="s">
        <v>16</v>
      </c>
      <c r="D75" s="177" t="s">
        <v>44</v>
      </c>
      <c r="E75" s="178"/>
      <c r="F75" s="178"/>
      <c r="G75" s="179"/>
      <c r="H75" s="180"/>
      <c r="I75" s="162"/>
      <c r="J75" s="162"/>
      <c r="K75" s="163"/>
      <c r="L75" s="181"/>
      <c r="M75" s="181"/>
      <c r="N75" s="181"/>
      <c r="O75" s="181"/>
      <c r="P75" s="181"/>
    </row>
    <row r="76" spans="1:16" ht="21.75" customHeight="1" x14ac:dyDescent="0.3">
      <c r="A76" s="175"/>
      <c r="B76" s="176"/>
      <c r="C76" s="176"/>
      <c r="D76" s="182">
        <v>1</v>
      </c>
      <c r="E76" s="183" t="s">
        <v>45</v>
      </c>
      <c r="F76" s="184"/>
      <c r="G76" s="185"/>
      <c r="H76" s="186"/>
      <c r="I76" s="187"/>
      <c r="J76" s="188">
        <f ca="1">กำแพงเพชร!J76+เชียงราย!J76+เชียงใหม่!J76+ตาก!J76+นครสวรรค์!J76+น่าน!J76+พะเยา!J76+พิจิตร!J76+พิษณุโลก!J76+เพชรบูรณ์!J76+แพร่!J76+แม่ฮ่องสอน!J76+ลำปาง!J76+ลำพูน!J76+สุโขทัย!J76+อุตรดิตถ์!J76+อุทัยธานี!J76</f>
        <v>0</v>
      </c>
      <c r="K76" s="163"/>
      <c r="L76" s="181"/>
      <c r="M76" s="181"/>
      <c r="N76" s="181"/>
      <c r="O76" s="181"/>
      <c r="P76" s="181"/>
    </row>
    <row r="77" spans="1:16" ht="21.75" customHeight="1" x14ac:dyDescent="0.3">
      <c r="A77" s="175"/>
      <c r="B77" s="176"/>
      <c r="C77" s="176"/>
      <c r="D77" s="189">
        <v>2</v>
      </c>
      <c r="E77" s="190" t="s">
        <v>46</v>
      </c>
      <c r="F77" s="191"/>
      <c r="G77" s="192"/>
      <c r="H77" s="186"/>
      <c r="I77" s="187"/>
      <c r="J77" s="188">
        <f ca="1">กำแพงเพชร!J77+เชียงราย!J77+เชียงใหม่!J77+ตาก!J77+นครสวรรค์!J77+น่าน!J77+พะเยา!J77+พิจิตร!J77+พิษณุโลก!J77+เพชรบูรณ์!J77+แพร่!J77+แม่ฮ่องสอน!J77+ลำปาง!J77+ลำพูน!J77+สุโขทัย!J77+อุตรดิตถ์!J77+อุทัยธานี!J77</f>
        <v>10</v>
      </c>
      <c r="K77" s="163"/>
      <c r="L77" s="181" t="s">
        <v>40</v>
      </c>
      <c r="M77" s="181"/>
      <c r="N77" s="181" t="s">
        <v>40</v>
      </c>
      <c r="O77" s="181"/>
      <c r="P77" s="181"/>
    </row>
    <row r="78" spans="1:16" ht="21.75" customHeight="1" x14ac:dyDescent="0.3">
      <c r="A78" s="175"/>
      <c r="B78" s="176"/>
      <c r="C78" s="176"/>
      <c r="D78" s="193"/>
      <c r="E78" s="194" t="s">
        <v>47</v>
      </c>
      <c r="F78" s="195"/>
      <c r="G78" s="196"/>
      <c r="H78" s="186"/>
      <c r="I78" s="187"/>
      <c r="J78" s="188">
        <f ca="1">กำแพงเพชร!J78+เชียงราย!J78+เชียงใหม่!J78+ตาก!J78+นครสวรรค์!J78+น่าน!J78+พะเยา!J78+พิจิตร!J78+พิษณุโลก!J78+เพชรบูรณ์!J78+แพร่!J78+แม่ฮ่องสอน!J78+ลำปาง!J78+ลำพูน!J78+สุโขทัย!J78+อุตรดิตถ์!J78+อุทัยธานี!J78</f>
        <v>10</v>
      </c>
      <c r="K78" s="163"/>
      <c r="L78" s="181"/>
      <c r="M78" s="181"/>
      <c r="N78" s="181"/>
      <c r="O78" s="181"/>
      <c r="P78" s="181"/>
    </row>
    <row r="79" spans="1:16" ht="21.75" customHeight="1" x14ac:dyDescent="0.3">
      <c r="A79" s="175"/>
      <c r="B79" s="176"/>
      <c r="C79" s="176"/>
      <c r="D79" s="193"/>
      <c r="E79" s="194" t="s">
        <v>48</v>
      </c>
      <c r="F79" s="195"/>
      <c r="G79" s="196"/>
      <c r="H79" s="186"/>
      <c r="I79" s="187"/>
      <c r="J79" s="197">
        <f ca="1">กำแพงเพชร!J79+เชียงราย!J79+เชียงใหม่!J79+ตาก!J79+นครสวรรค์!J79+น่าน!J79+พะเยา!J79+พิจิตร!J79+พิษณุโลก!J79+เพชรบูรณ์!J79+แพร่!J79+แม่ฮ่องสอน!J79+ลำปาง!J79+ลำพูน!J79+สุโขทัย!J79+อุตรดิตถ์!J79+อุทัยธานี!J79</f>
        <v>10</v>
      </c>
      <c r="K79" s="163"/>
      <c r="L79" s="181"/>
      <c r="M79" s="181"/>
      <c r="N79" s="181"/>
      <c r="O79" s="181"/>
      <c r="P79" s="181"/>
    </row>
    <row r="80" spans="1:16" ht="21.75" customHeight="1" x14ac:dyDescent="0.3">
      <c r="A80" s="175"/>
      <c r="B80" s="176"/>
      <c r="C80" s="176"/>
      <c r="D80" s="193"/>
      <c r="E80" s="198"/>
      <c r="F80" s="194" t="s">
        <v>49</v>
      </c>
      <c r="G80" s="195"/>
      <c r="H80" s="199" t="s">
        <v>36</v>
      </c>
      <c r="I80" s="200">
        <f ca="1">กำแพงเพชร!I80+เชียงราย!I80+เชียงใหม่!I80+ตาก!I80+นครสวรรค์!I80+น่าน!I80+พะเยา!I80+พิจิตร!I80+พิษณุโลก!I80+เพชรบูรณ์!I80+แพร่!I80+แม่ฮ่องสอน!I80+ลำปาง!I80+ลำพูน!I80+สุโขทัย!I80+อุตรดิตถ์!I80+อุทัยธานี!I80</f>
        <v>13</v>
      </c>
      <c r="J80" s="200">
        <f ca="1">กำแพงเพชร!J80+เชียงราย!J80+เชียงใหม่!J80+ตาก!J80+นครสวรรค์!J80+น่าน!J80+พะเยา!J80+พิจิตร!J80+พิษณุโลก!J80+เพชรบูรณ์!J80+แพร่!J80+แม่ฮ่องสอน!J80+ลำปาง!J80+ลำพูน!J80+สุโขทัย!J80+อุตรดิตถ์!J80+อุทัยธานี!J80</f>
        <v>11</v>
      </c>
      <c r="K80" s="201">
        <f t="shared" ref="K80:K88" ca="1" si="46">IF(I80&gt;0,J80*100/I80,0)</f>
        <v>84.615384615384613</v>
      </c>
      <c r="L80" s="181"/>
      <c r="M80" s="181"/>
      <c r="N80" s="181"/>
      <c r="O80" s="181"/>
      <c r="P80" s="181"/>
    </row>
    <row r="81" spans="1:16" ht="21.75" customHeight="1" x14ac:dyDescent="0.3">
      <c r="A81" s="175"/>
      <c r="B81" s="176"/>
      <c r="C81" s="176"/>
      <c r="D81" s="193"/>
      <c r="E81" s="198"/>
      <c r="F81" s="195"/>
      <c r="G81" s="196"/>
      <c r="H81" s="199" t="s">
        <v>37</v>
      </c>
      <c r="I81" s="200">
        <f ca="1">กำแพงเพชร!I81+เชียงราย!I81+เชียงใหม่!I81+ตาก!I81+นครสวรรค์!I81+น่าน!I81+พะเยา!I81+พิจิตร!I81+พิษณุโลก!I81+เพชรบูรณ์!I81+แพร่!I81+แม่ฮ่องสอน!I81+ลำปาง!I81+ลำพูน!I81+สุโขทัย!I81+อุตรดิตถ์!I81+อุทัยธานี!I81</f>
        <v>646</v>
      </c>
      <c r="J81" s="200">
        <f ca="1">กำแพงเพชร!J81+เชียงราย!J81+เชียงใหม่!J81+ตาก!J81+นครสวรรค์!J81+น่าน!J81+พะเยา!J81+พิจิตร!J81+พิษณุโลก!J81+เพชรบูรณ์!J81+แพร่!J81+แม่ฮ่องสอน!J81+ลำปาง!J81+ลำพูน!J81+สุโขทัย!J81+อุตรดิตถ์!J81+อุทัยธานี!J81</f>
        <v>548</v>
      </c>
      <c r="K81" s="201">
        <f t="shared" ca="1" si="46"/>
        <v>84.829721362229108</v>
      </c>
      <c r="L81" s="181"/>
      <c r="M81" s="181"/>
      <c r="N81" s="181"/>
      <c r="O81" s="181"/>
      <c r="P81" s="181"/>
    </row>
    <row r="82" spans="1:16" ht="21.75" customHeight="1" x14ac:dyDescent="0.3">
      <c r="A82" s="175"/>
      <c r="B82" s="176"/>
      <c r="C82" s="176"/>
      <c r="D82" s="193"/>
      <c r="E82" s="198"/>
      <c r="F82" s="195"/>
      <c r="G82" s="195" t="s">
        <v>50</v>
      </c>
      <c r="H82" s="180" t="s">
        <v>36</v>
      </c>
      <c r="I82" s="202">
        <f ca="1">กำแพงเพชร!I82+เชียงราย!I82+เชียงใหม่!I82+ตาก!I82+นครสวรรค์!I82+น่าน!I82+พะเยา!I82+พิจิตร!I82+พิษณุโลก!I82+เพชรบูรณ์!I82+แพร่!I82+แม่ฮ่องสอน!I82+ลำปาง!I82+ลำพูน!I82+สุโขทัย!I82+อุตรดิตถ์!I82+อุทัยธานี!I82</f>
        <v>4</v>
      </c>
      <c r="J82" s="203">
        <f ca="1">กำแพงเพชร!J82+เชียงราย!J82+เชียงใหม่!J82+ตาก!J82+นครสวรรค์!J82+น่าน!J82+พะเยา!J82+พิจิตร!J82+พิษณุโลก!J82+เพชรบูรณ์!J82+แพร่!J82+แม่ฮ่องสอน!J82+ลำปาง!J82+ลำพูน!J82+สุโขทัย!J82+อุตรดิตถ์!J82+อุทัยธานี!J82</f>
        <v>3</v>
      </c>
      <c r="K82" s="163">
        <f t="shared" ca="1" si="46"/>
        <v>75</v>
      </c>
      <c r="L82" s="181"/>
      <c r="M82" s="181"/>
      <c r="N82" s="181"/>
      <c r="O82" s="181"/>
      <c r="P82" s="181"/>
    </row>
    <row r="83" spans="1:16" ht="21.75" customHeight="1" x14ac:dyDescent="0.3">
      <c r="A83" s="175"/>
      <c r="B83" s="176"/>
      <c r="C83" s="176"/>
      <c r="D83" s="193"/>
      <c r="E83" s="198"/>
      <c r="F83" s="195"/>
      <c r="G83" s="196"/>
      <c r="H83" s="180" t="s">
        <v>37</v>
      </c>
      <c r="I83" s="202">
        <f ca="1">กำแพงเพชร!I83+เชียงราย!I83+เชียงใหม่!I83+ตาก!I83+นครสวรรค์!I83+น่าน!I83+พะเยา!I83+พิจิตร!I83+พิษณุโลก!I83+เพชรบูรณ์!I83+แพร่!I83+แม่ฮ่องสอน!I83+ลำปาง!I83+ลำพูน!I83+สุโขทัย!I83+อุตรดิตถ์!I83+อุทัยธานี!I83</f>
        <v>155</v>
      </c>
      <c r="J83" s="203">
        <f ca="1">กำแพงเพชร!J83+เชียงราย!J83+เชียงใหม่!J83+ตาก!J83+นครสวรรค์!J83+น่าน!J83+พะเยา!J83+พิจิตร!J83+พิษณุโลก!J83+เพชรบูรณ์!J83+แพร่!J83+แม่ฮ่องสอน!J83+ลำปาง!J83+ลำพูน!J83+สุโขทัย!J83+อุตรดิตถ์!J83+อุทัยธานี!J83</f>
        <v>125</v>
      </c>
      <c r="K83" s="163">
        <f t="shared" ca="1" si="46"/>
        <v>80.645161290322577</v>
      </c>
      <c r="L83" s="181"/>
      <c r="M83" s="181"/>
      <c r="N83" s="181"/>
      <c r="O83" s="181"/>
      <c r="P83" s="181"/>
    </row>
    <row r="84" spans="1:16" ht="21.75" customHeight="1" x14ac:dyDescent="0.3">
      <c r="A84" s="175"/>
      <c r="B84" s="176"/>
      <c r="C84" s="176"/>
      <c r="D84" s="193"/>
      <c r="E84" s="198"/>
      <c r="F84" s="195"/>
      <c r="G84" s="195" t="s">
        <v>51</v>
      </c>
      <c r="H84" s="180" t="s">
        <v>36</v>
      </c>
      <c r="I84" s="202">
        <f ca="1">กำแพงเพชร!I84+เชียงราย!I84+เชียงใหม่!I84+ตาก!I84+นครสวรรค์!I84+น่าน!I84+พะเยา!I84+พิจิตร!I84+พิษณุโลก!I84+เพชรบูรณ์!I84+แพร่!I84+แม่ฮ่องสอน!I84+ลำปาง!I84+ลำพูน!I84+สุโขทัย!I84+อุตรดิตถ์!I84+อุทัยธานี!I84</f>
        <v>3</v>
      </c>
      <c r="J84" s="188">
        <f ca="1">กำแพงเพชร!J84+เชียงราย!J84+เชียงใหม่!J84+ตาก!J84+นครสวรรค์!J84+น่าน!J84+พะเยา!J84+พิจิตร!J84+พิษณุโลก!J84+เพชรบูรณ์!J84+แพร่!J84+แม่ฮ่องสอน!J84+ลำปาง!J84+ลำพูน!J84+สุโขทัย!J84+อุตรดิตถ์!J84+อุทัยธานี!J84</f>
        <v>3</v>
      </c>
      <c r="K84" s="163">
        <f t="shared" ca="1" si="46"/>
        <v>100</v>
      </c>
      <c r="L84" s="181"/>
      <c r="M84" s="181"/>
      <c r="N84" s="181"/>
      <c r="O84" s="181"/>
      <c r="P84" s="181"/>
    </row>
    <row r="85" spans="1:16" ht="21.75" customHeight="1" x14ac:dyDescent="0.3">
      <c r="A85" s="175"/>
      <c r="B85" s="176"/>
      <c r="C85" s="176"/>
      <c r="D85" s="193"/>
      <c r="E85" s="198"/>
      <c r="F85" s="195"/>
      <c r="G85" s="196"/>
      <c r="H85" s="180" t="s">
        <v>37</v>
      </c>
      <c r="I85" s="202">
        <f ca="1">กำแพงเพชร!I85+เชียงราย!I85+เชียงใหม่!I85+ตาก!I85+นครสวรรค์!I85+น่าน!I85+พะเยา!I85+พิจิตร!I85+พิษณุโลก!I85+เพชรบูรณ์!I85+แพร่!I85+แม่ฮ่องสอน!I85+ลำปาง!I85+ลำพูน!I85+สุโขทัย!I85+อุตรดิตถ์!I85+อุทัยธานี!I85</f>
        <v>150</v>
      </c>
      <c r="J85" s="188">
        <f ca="1">กำแพงเพชร!J85+เชียงราย!J85+เชียงใหม่!J85+ตาก!J85+นครสวรรค์!J85+น่าน!J85+พะเยา!J85+พิจิตร!J85+พิษณุโลก!J85+เพชรบูรณ์!J85+แพร่!J85+แม่ฮ่องสอน!J85+ลำปาง!J85+ลำพูน!J85+สุโขทัย!J85+อุตรดิตถ์!J85+อุทัยธานี!J85</f>
        <v>145</v>
      </c>
      <c r="K85" s="163">
        <f t="shared" ca="1" si="46"/>
        <v>96.666666666666671</v>
      </c>
      <c r="L85" s="181"/>
      <c r="M85" s="181"/>
      <c r="N85" s="181"/>
      <c r="O85" s="181"/>
      <c r="P85" s="181"/>
    </row>
    <row r="86" spans="1:16" ht="21.75" customHeight="1" x14ac:dyDescent="0.3">
      <c r="A86" s="175"/>
      <c r="B86" s="176"/>
      <c r="C86" s="176"/>
      <c r="D86" s="193"/>
      <c r="E86" s="198"/>
      <c r="F86" s="195"/>
      <c r="G86" s="195" t="s">
        <v>52</v>
      </c>
      <c r="H86" s="180" t="s">
        <v>36</v>
      </c>
      <c r="I86" s="202">
        <f ca="1">กำแพงเพชร!I86+เชียงราย!I86+เชียงใหม่!I86+ตาก!I86+นครสวรรค์!I86+น่าน!I86+พะเยา!I86+พิจิตร!I86+พิษณุโลก!I86+เพชรบูรณ์!I86+แพร่!I86+แม่ฮ่องสอน!I86+ลำปาง!I86+ลำพูน!I86+สุโขทัย!I86+อุตรดิตถ์!I86+อุทัยธานี!I86</f>
        <v>6</v>
      </c>
      <c r="J86" s="203">
        <f ca="1">กำแพงเพชร!J86+เชียงราย!J86+เชียงใหม่!J86+ตาก!J86+นครสวรรค์!J86+น่าน!J86+พะเยา!J86+พิจิตร!J86+พิษณุโลก!J86+เพชรบูรณ์!J86+แพร่!J86+แม่ฮ่องสอน!J86+ลำปาง!J86+ลำพูน!J86+สุโขทัย!J86+อุตรดิตถ์!J86+อุทัยธานี!J86</f>
        <v>5</v>
      </c>
      <c r="K86" s="163">
        <f t="shared" ca="1" si="46"/>
        <v>83.333333333333329</v>
      </c>
      <c r="L86" s="181"/>
      <c r="M86" s="181"/>
      <c r="N86" s="181"/>
      <c r="O86" s="181"/>
      <c r="P86" s="181"/>
    </row>
    <row r="87" spans="1:16" ht="21.75" customHeight="1" x14ac:dyDescent="0.3">
      <c r="A87" s="175"/>
      <c r="B87" s="176"/>
      <c r="C87" s="176"/>
      <c r="D87" s="193"/>
      <c r="E87" s="198"/>
      <c r="F87" s="195"/>
      <c r="G87" s="196"/>
      <c r="H87" s="180" t="s">
        <v>37</v>
      </c>
      <c r="I87" s="202">
        <f ca="1">กำแพงเพชร!I87+เชียงราย!I87+เชียงใหม่!I87+ตาก!I87+นครสวรรค์!I87+น่าน!I87+พะเยา!I87+พิจิตร!I87+พิษณุโลก!I87+เพชรบูรณ์!I87+แพร่!I87+แม่ฮ่องสอน!I87+ลำปาง!I87+ลำพูน!I87+สุโขทัย!I87+อุตรดิตถ์!I87+อุทัยธานี!I87</f>
        <v>341</v>
      </c>
      <c r="J87" s="203">
        <f ca="1">กำแพงเพชร!J87+เชียงราย!J87+เชียงใหม่!J87+ตาก!J87+นครสวรรค์!J87+น่าน!J87+พะเยา!J87+พิจิตร!J87+พิษณุโลก!J87+เพชรบูรณ์!J87+แพร่!J87+แม่ฮ่องสอน!J87+ลำปาง!J87+ลำพูน!J87+สุโขทัย!J87+อุตรดิตถ์!J87+อุทัยธานี!J87</f>
        <v>278</v>
      </c>
      <c r="K87" s="163">
        <f t="shared" ca="1" si="46"/>
        <v>81.524926686217015</v>
      </c>
      <c r="L87" s="181"/>
      <c r="M87" s="181"/>
      <c r="N87" s="181"/>
      <c r="O87" s="181"/>
      <c r="P87" s="181"/>
    </row>
    <row r="88" spans="1:16" ht="21.75" customHeight="1" x14ac:dyDescent="0.3">
      <c r="A88" s="175"/>
      <c r="B88" s="176"/>
      <c r="C88" s="176"/>
      <c r="D88" s="193"/>
      <c r="E88" s="198"/>
      <c r="F88" s="204" t="s">
        <v>53</v>
      </c>
      <c r="G88" s="195"/>
      <c r="H88" s="180" t="s">
        <v>37</v>
      </c>
      <c r="I88" s="202">
        <f ca="1">กำแพงเพชร!I88+เชียงราย!I88+เชียงใหม่!I88+ตาก!I88+นครสวรรค์!I88+น่าน!I88+พะเยา!I88+พิจิตร!I88+พิษณุโลก!I88+เพชรบูรณ์!I88+แพร่!I88+แม่ฮ่องสอน!I88+ลำปาง!I88+ลำพูน!I88+สุโขทัย!I88+อุตรดิตถ์!I88+อุทัยธานี!I88</f>
        <v>155</v>
      </c>
      <c r="J88" s="203">
        <f ca="1">กำแพงเพชร!J88+เชียงราย!J88+เชียงใหม่!J88+ตาก!J88+นครสวรรค์!J88+น่าน!J88+พะเยา!J88+พิจิตร!J88+พิษณุโลก!J88+เพชรบูรณ์!J88+แพร่!J88+แม่ฮ่องสอน!J88+ลำปาง!J88+ลำพูน!J88+สุโขทัย!J88+อุตรดิตถ์!J88+อุทัยธานี!J88</f>
        <v>0</v>
      </c>
      <c r="K88" s="163">
        <f t="shared" ca="1" si="46"/>
        <v>0</v>
      </c>
      <c r="L88" s="181"/>
      <c r="M88" s="181"/>
      <c r="N88" s="181"/>
      <c r="O88" s="181"/>
      <c r="P88" s="181"/>
    </row>
    <row r="89" spans="1:16" ht="21.75" customHeight="1" x14ac:dyDescent="0.3">
      <c r="A89" s="175"/>
      <c r="B89" s="176"/>
      <c r="C89" s="176"/>
      <c r="D89" s="193"/>
      <c r="E89" s="194" t="s">
        <v>54</v>
      </c>
      <c r="F89" s="195"/>
      <c r="G89" s="196"/>
      <c r="H89" s="186"/>
      <c r="I89" s="187"/>
      <c r="J89" s="197">
        <f ca="1">กำแพงเพชร!J89+เชียงราย!J89+เชียงใหม่!J89+ตาก!J89+นครสวรรค์!J89+น่าน!J89+พะเยา!J89+พิจิตร!J89+พิษณุโลก!J89+เพชรบูรณ์!J89+แพร่!J89+แม่ฮ่องสอน!J89+ลำปาง!J89+ลำพูน!J89+สุโขทัย!J89+อุตรดิตถ์!J89+อุทัยธานี!J89</f>
        <v>0</v>
      </c>
      <c r="K89" s="163"/>
      <c r="L89" s="181"/>
      <c r="M89" s="181"/>
      <c r="N89" s="181"/>
      <c r="O89" s="181"/>
      <c r="P89" s="181"/>
    </row>
    <row r="90" spans="1:16" ht="21.75" customHeight="1" x14ac:dyDescent="0.3">
      <c r="A90" s="175"/>
      <c r="B90" s="176"/>
      <c r="C90" s="176"/>
      <c r="D90" s="205">
        <v>3</v>
      </c>
      <c r="E90" s="206" t="s">
        <v>55</v>
      </c>
      <c r="F90" s="207"/>
      <c r="G90" s="208"/>
      <c r="H90" s="186"/>
      <c r="I90" s="187"/>
      <c r="J90" s="209">
        <f ca="1">กำแพงเพชร!J90+เชียงราย!J90+เชียงใหม่!J90+ตาก!J90+นครสวรรค์!J90+น่าน!J90+พะเยา!J90+พิจิตร!J90+พิษณุโลก!J90+เพชรบูรณ์!J90+แพร่!J90+แม่ฮ่องสอน!J90+ลำปาง!J90+ลำพูน!J90+สุโขทัย!J90+อุตรดิตถ์!J90+อุทัยธานี!J90</f>
        <v>0</v>
      </c>
      <c r="K90" s="163"/>
      <c r="L90" s="181"/>
      <c r="M90" s="181"/>
      <c r="N90" s="181"/>
      <c r="O90" s="181"/>
      <c r="P90" s="181"/>
    </row>
    <row r="91" spans="1:16" ht="21.75" customHeight="1" x14ac:dyDescent="0.3">
      <c r="A91" s="210" t="s">
        <v>56</v>
      </c>
      <c r="B91" s="211"/>
      <c r="C91" s="212"/>
      <c r="D91" s="211"/>
      <c r="E91" s="213"/>
      <c r="F91" s="213"/>
      <c r="G91" s="214"/>
      <c r="H91" s="215"/>
      <c r="I91" s="216"/>
      <c r="J91" s="216"/>
      <c r="K91" s="217"/>
      <c r="L91" s="218"/>
      <c r="M91" s="218"/>
      <c r="N91" s="218"/>
      <c r="O91" s="219"/>
      <c r="P91" s="219"/>
    </row>
    <row r="92" spans="1:16" ht="21.75" customHeight="1" x14ac:dyDescent="0.3">
      <c r="A92" s="137"/>
      <c r="B92" s="138" t="s">
        <v>57</v>
      </c>
      <c r="C92" s="138"/>
      <c r="D92" s="139"/>
      <c r="E92" s="138"/>
      <c r="F92" s="138"/>
      <c r="G92" s="220"/>
      <c r="H92" s="140" t="s">
        <v>37</v>
      </c>
      <c r="I92" s="141">
        <f ca="1">กำแพงเพชร!I92+เชียงราย!I92+เชียงใหม่!I92+ตาก!I92+นครสวรรค์!I92+น่าน!I92+พะเยา!I92+พิจิตร!I92+พิษณุโลก!I92+เพชรบูรณ์!I92+แพร่!I92+แม่ฮ่องสอน!I92+ลำปาง!I92+ลำพูน!I92+สุโขทัย!I92+อุตรดิตถ์!I92+อุทัยธานี!I92</f>
        <v>49</v>
      </c>
      <c r="J92" s="141">
        <f ca="1">กำแพงเพชร!J92+เชียงราย!J92+เชียงใหม่!J92+ตาก!J92+นครสวรรค์!J92+น่าน!J92+พะเยา!J92+พิจิตร!J92+พิษณุโลก!J92+เพชรบูรณ์!J92+แพร่!J92+แม่ฮ่องสอน!J92+ลำปาง!J92+ลำพูน!J92+สุโขทัย!J92+อุตรดิตถ์!J92+อุทัยธานี!J92</f>
        <v>23</v>
      </c>
      <c r="K92" s="142">
        <f t="shared" ref="K92:K93" ca="1" si="47">IF(I92&gt;0,J92*100/I92,0)</f>
        <v>46.938775510204081</v>
      </c>
      <c r="L92" s="221"/>
      <c r="M92" s="221"/>
      <c r="N92" s="222"/>
      <c r="O92" s="142"/>
      <c r="P92" s="142"/>
    </row>
    <row r="93" spans="1:16" ht="21.75" customHeight="1" x14ac:dyDescent="0.3">
      <c r="A93" s="137"/>
      <c r="B93" s="138"/>
      <c r="C93" s="138"/>
      <c r="D93" s="139" t="s">
        <v>58</v>
      </c>
      <c r="E93" s="138"/>
      <c r="F93" s="138"/>
      <c r="G93" s="220"/>
      <c r="H93" s="140" t="s">
        <v>59</v>
      </c>
      <c r="I93" s="141">
        <f ca="1">กำแพงเพชร!I93+เชียงราย!I93+เชียงใหม่!I93+ตาก!I93+นครสวรรค์!I93+น่าน!I93+พะเยา!I93+พิจิตร!I93+พิษณุโลก!I93+เพชรบูรณ์!I93+แพร่!I93+แม่ฮ่องสอน!I93+ลำปาง!I93+ลำพูน!I93+สุโขทัย!I93+อุตรดิตถ์!I93+อุทัยธานี!I93</f>
        <v>13</v>
      </c>
      <c r="J93" s="141">
        <f ca="1">กำแพงเพชร!J93+เชียงราย!J93+เชียงใหม่!J93+ตาก!J93+นครสวรรค์!J93+น่าน!J93+พะเยา!J93+พิจิตร!J93+พิษณุโลก!J93+เพชรบูรณ์!J93+แพร่!J93+แม่ฮ่องสอน!J93+ลำปาง!J93+ลำพูน!J93+สุโขทัย!J93+อุตรดิตถ์!J93+อุทัยธานี!J93</f>
        <v>5</v>
      </c>
      <c r="K93" s="142">
        <f t="shared" ca="1" si="47"/>
        <v>38.46153846153846</v>
      </c>
      <c r="L93" s="222"/>
      <c r="M93" s="222"/>
      <c r="N93" s="222"/>
      <c r="O93" s="142"/>
      <c r="P93" s="142"/>
    </row>
    <row r="94" spans="1:16" ht="21.75" customHeight="1" x14ac:dyDescent="0.45">
      <c r="A94" s="145"/>
      <c r="B94" s="146"/>
      <c r="C94" s="147" t="s">
        <v>16</v>
      </c>
      <c r="D94" s="537" t="s">
        <v>17</v>
      </c>
      <c r="E94" s="528"/>
      <c r="F94" s="528"/>
      <c r="G94" s="528"/>
      <c r="H94" s="148" t="s">
        <v>12</v>
      </c>
      <c r="I94" s="162"/>
      <c r="J94" s="162"/>
      <c r="K94" s="163"/>
      <c r="L94" s="151">
        <f ca="1">กำแพงเพชร!L94+เชียงราย!L94+เชียงใหม่!L94+ตาก!L94+นครสวรรค์!L94+น่าน!L94+พะเยา!L94+พิจิตร!L94+พิษณุโลก!L94+เพชรบูรณ์!L94+แพร่!L94+แม่ฮ่องสอน!L94+ลำปาง!L94+ลำพูน!L94+สุโขทัย!L94+อุตรดิตถ์!L94+อุทัยธานี!L94</f>
        <v>2457980</v>
      </c>
      <c r="M94" s="151">
        <f ca="1">กำแพงเพชร!M94+เชียงราย!M94+เชียงใหม่!M94+ตาก!M94+นครสวรรค์!M94+น่าน!M94+พะเยา!M94+พิจิตร!M94+พิษณุโลก!M94+เพชรบูรณ์!M94+แพร่!M94+แม่ฮ่องสอน!M94+ลำปาง!M94+ลำพูน!M94+สุโขทัย!M94+อุตรดิตถ์!M94+อุทัยธานี!M94</f>
        <v>1924280</v>
      </c>
      <c r="N94" s="151">
        <f ca="1">กำแพงเพชร!N94+เชียงราย!N94+เชียงใหม่!N94+ตาก!N94+นครสวรรค์!N94+น่าน!N94+พะเยา!N94+พิจิตร!N94+พิษณุโลก!N94+เพชรบูรณ์!N94+แพร่!N94+แม่ฮ่องสอน!N94+ลำปาง!N94+ลำพูน!N94+สุโขทัย!N94+อุตรดิตถ์!N94+อุทัยธานี!N94</f>
        <v>1362707</v>
      </c>
      <c r="O94" s="150">
        <f t="shared" ref="O94:O96" ca="1" si="48">IF(L94&gt;0,N94*100/L94,0)</f>
        <v>55.440117494853496</v>
      </c>
      <c r="P94" s="150">
        <f t="shared" ref="P94:P96" ca="1" si="49">IF(M94&gt;0,N94*100/M94,0)</f>
        <v>70.816461221859598</v>
      </c>
    </row>
    <row r="95" spans="1:16" ht="21.75" customHeight="1" x14ac:dyDescent="0.45">
      <c r="A95" s="152"/>
      <c r="B95" s="32"/>
      <c r="C95" s="32"/>
      <c r="D95" s="32"/>
      <c r="E95" s="32"/>
      <c r="F95" s="32"/>
      <c r="G95" s="33" t="s">
        <v>18</v>
      </c>
      <c r="H95" s="153" t="s">
        <v>12</v>
      </c>
      <c r="I95" s="162"/>
      <c r="J95" s="162"/>
      <c r="K95" s="163"/>
      <c r="L95" s="87">
        <f>กำแพงเพชร!L95+เชียงราย!L95+เชียงใหม่!L95+ตาก!L95+นครสวรรค์!L95+น่าน!L95+พะเยา!L95+พิจิตร!L95+พิษณุโลก!L95+เพชรบูรณ์!L95+แพร่!L95+แม่ฮ่องสอน!L95+ลำปาง!L95+ลำพูน!L95+สุโขทัย!L95+อุตรดิตถ์!L95+อุทัยธานี!L95</f>
        <v>0</v>
      </c>
      <c r="M95" s="87">
        <f>กำแพงเพชร!M95+เชียงราย!M95+เชียงใหม่!M95+ตาก!M95+นครสวรรค์!M95+น่าน!M95+พะเยา!M95+พิจิตร!M95+พิษณุโลก!M95+เพชรบูรณ์!M95+แพร่!M95+แม่ฮ่องสอน!M95+ลำปาง!M95+ลำพูน!M95+สุโขทัย!M95+อุตรดิตถ์!M95+อุทัยธานี!M95</f>
        <v>0</v>
      </c>
      <c r="N95" s="87">
        <f>กำแพงเพชร!N95+เชียงราย!N95+เชียงใหม่!N95+ตาก!N95+นครสวรรค์!N95+น่าน!N95+พะเยา!N95+พิจิตร!N95+พิษณุโลก!N95+เพชรบูรณ์!N95+แพร่!N95+แม่ฮ่องสอน!N95+ลำปาง!N95+ลำพูน!N95+สุโขทัย!N95+อุตรดิตถ์!N95+อุทัยธานี!N95</f>
        <v>0</v>
      </c>
      <c r="O95" s="155">
        <f t="shared" si="48"/>
        <v>0</v>
      </c>
      <c r="P95" s="155">
        <f t="shared" si="49"/>
        <v>0</v>
      </c>
    </row>
    <row r="96" spans="1:16" ht="21.75" customHeight="1" x14ac:dyDescent="0.45">
      <c r="A96" s="152"/>
      <c r="B96" s="32"/>
      <c r="C96" s="32"/>
      <c r="D96" s="32"/>
      <c r="E96" s="32"/>
      <c r="F96" s="32"/>
      <c r="G96" s="33" t="s">
        <v>19</v>
      </c>
      <c r="H96" s="153" t="s">
        <v>12</v>
      </c>
      <c r="I96" s="162"/>
      <c r="J96" s="162"/>
      <c r="K96" s="163"/>
      <c r="L96" s="87">
        <f ca="1">กำแพงเพชร!L96+เชียงราย!L96+เชียงใหม่!L96+ตาก!L96+นครสวรรค์!L96+น่าน!L96+พะเยา!L96+พิจิตร!L96+พิษณุโลก!L96+เพชรบูรณ์!L96+แพร่!L96+แม่ฮ่องสอน!L96+ลำปาง!L96+ลำพูน!L96+สุโขทัย!L96+อุตรดิตถ์!L96+อุทัยธานี!L96</f>
        <v>2457980</v>
      </c>
      <c r="M96" s="87">
        <f ca="1">กำแพงเพชร!M96+เชียงราย!M96+เชียงใหม่!M96+ตาก!M96+นครสวรรค์!M96+น่าน!M96+พะเยา!M96+พิจิตร!M96+พิษณุโลก!M96+เพชรบูรณ์!M96+แพร่!M96+แม่ฮ่องสอน!M96+ลำปาง!M96+ลำพูน!M96+สุโขทัย!M96+อุตรดิตถ์!M96+อุทัยธานี!M96</f>
        <v>1924280</v>
      </c>
      <c r="N96" s="87">
        <f ca="1">กำแพงเพชร!N96+เชียงราย!N96+เชียงใหม่!N96+ตาก!N96+นครสวรรค์!N96+น่าน!N96+พะเยา!N96+พิจิตร!N96+พิษณุโลก!N96+เพชรบูรณ์!N96+แพร่!N96+แม่ฮ่องสอน!N96+ลำปาง!N96+ลำพูน!N96+สุโขทัย!N96+อุตรดิตถ์!N96+อุทัยธานี!N96</f>
        <v>1362707</v>
      </c>
      <c r="O96" s="155">
        <f t="shared" ca="1" si="48"/>
        <v>55.440117494853496</v>
      </c>
      <c r="P96" s="155">
        <f t="shared" ca="1" si="49"/>
        <v>70.816461221859598</v>
      </c>
    </row>
    <row r="97" spans="1:16" ht="21.75" customHeight="1" x14ac:dyDescent="0.3">
      <c r="A97" s="156"/>
      <c r="B97" s="157"/>
      <c r="C97" s="157" t="s">
        <v>16</v>
      </c>
      <c r="D97" s="158" t="s">
        <v>38</v>
      </c>
      <c r="E97" s="159"/>
      <c r="F97" s="159"/>
      <c r="G97" s="160" t="s">
        <v>39</v>
      </c>
      <c r="H97" s="161" t="s">
        <v>12</v>
      </c>
      <c r="I97" s="162" t="s">
        <v>40</v>
      </c>
      <c r="J97" s="162"/>
      <c r="K97" s="163"/>
      <c r="L97" s="164">
        <f>กำแพงเพชร!L97+เชียงราย!L97+เชียงใหม่!L97+ตาก!L97+นครสวรรค์!L97+น่าน!L97+พะเยา!L97+พิจิตร!L97+พิษณุโลก!L97+เพชรบูรณ์!L97+แพร่!L97+แม่ฮ่องสอน!L97+ลำปาง!L97+ลำพูน!L97+สุโขทัย!L97+อุตรดิตถ์!L97+อุทัยธานี!L97</f>
        <v>0</v>
      </c>
      <c r="M97" s="164">
        <f>กำแพงเพชร!M97+เชียงราย!M97+เชียงใหม่!M97+ตาก!M97+นครสวรรค์!M97+น่าน!M97+พะเยา!M97+พิจิตร!M97+พิษณุโลก!M97+เพชรบูรณ์!M97+แพร่!M97+แม่ฮ่องสอน!M97+ลำปาง!M97+ลำพูน!M97+สุโขทัย!M97+อุตรดิตถ์!M97+อุทัยธานี!M97</f>
        <v>0</v>
      </c>
      <c r="N97" s="164">
        <f>กำแพงเพชร!N97+เชียงราย!N97+เชียงใหม่!N97+ตาก!N97+นครสวรรค์!N97+น่าน!N97+พะเยา!N97+พิจิตร!N97+พิษณุโลก!N97+เพชรบูรณ์!N97+แพร่!N97+แม่ฮ่องสอน!N97+ลำปาง!N97+ลำพูน!N97+สุโขทัย!N97+อุตรดิตถ์!N97+อุทัยธานี!N97</f>
        <v>0</v>
      </c>
      <c r="O97" s="165">
        <f>+IF(L97&gt;0,N97*100/L97,0)</f>
        <v>0</v>
      </c>
      <c r="P97" s="165"/>
    </row>
    <row r="98" spans="1:16" ht="21.75" customHeight="1" x14ac:dyDescent="0.3">
      <c r="A98" s="156"/>
      <c r="B98" s="157"/>
      <c r="C98" s="157"/>
      <c r="D98" s="166"/>
      <c r="E98" s="159"/>
      <c r="F98" s="159" t="s">
        <v>40</v>
      </c>
      <c r="G98" s="160" t="s">
        <v>41</v>
      </c>
      <c r="H98" s="161" t="s">
        <v>12</v>
      </c>
      <c r="I98" s="162"/>
      <c r="J98" s="162"/>
      <c r="K98" s="163"/>
      <c r="L98" s="167">
        <f ca="1">กำแพงเพชร!L98+เชียงราย!L98+เชียงใหม่!L98+ตาก!L98+นครสวรรค์!L98+น่าน!L98+พะเยา!L98+พิจิตร!L98+พิษณุโลก!L98+เพชรบูรณ์!L98+แพร่!L98+แม่ฮ่องสอน!L98+ลำปาง!L98+ลำพูน!L98+สุโขทัย!L98+อุตรดิตถ์!L98+อุทัยธานี!L98</f>
        <v>1257180</v>
      </c>
      <c r="M98" s="167">
        <f ca="1">กำแพงเพชร!M98+เชียงราย!M98+เชียงใหม่!M98+ตาก!M98+นครสวรรค์!M98+น่าน!M98+พะเยา!M98+พิจิตร!M98+พิษณุโลก!M98+เพชรบูรณ์!M98+แพร่!M98+แม่ฮ่องสอน!M98+ลำปาง!M98+ลำพูน!M98+สุโขทัย!M98+อุตรดิตถ์!M98+อุทัยธานี!M98</f>
        <v>723480</v>
      </c>
      <c r="N98" s="168">
        <f ca="1">กำแพงเพชร!N98+เชียงราย!N98+เชียงใหม่!N98+ตาก!N98+นครสวรรค์!N98+น่าน!N98+พะเยา!N98+พิจิตร!N98+พิษณุโลก!N98+เพชรบูรณ์!N98+แพร่!N98+แม่ฮ่องสอน!N98+ลำปาง!N98+ลำพูน!N98+สุโขทัย!N98+อุตรดิตถ์!N98+อุทัยธานี!N98</f>
        <v>254307</v>
      </c>
      <c r="O98" s="168">
        <f ca="1">IF(L98&gt;0,N98*100/L98,0)</f>
        <v>20.228368252756169</v>
      </c>
      <c r="P98" s="168">
        <f ca="1">IF(M98&gt;0,N98*100/M98,0)</f>
        <v>35.150522474705589</v>
      </c>
    </row>
    <row r="99" spans="1:16" ht="21.75" customHeight="1" x14ac:dyDescent="0.3">
      <c r="A99" s="156"/>
      <c r="B99" s="157"/>
      <c r="C99" s="157"/>
      <c r="D99" s="166"/>
      <c r="E99" s="159"/>
      <c r="F99" s="159"/>
      <c r="G99" s="169" t="s">
        <v>42</v>
      </c>
      <c r="H99" s="161" t="s">
        <v>12</v>
      </c>
      <c r="I99" s="162"/>
      <c r="J99" s="162"/>
      <c r="K99" s="163"/>
      <c r="L99" s="167">
        <f ca="1">กำแพงเพชร!L99+เชียงราย!L99+เชียงใหม่!L99+ตาก!L99+นครสวรรค์!L99+น่าน!L99+พะเยา!L99+พิจิตร!L99+พิษณุโลก!L99+เพชรบูรณ์!L99+แพร่!L99+แม่ฮ่องสอน!L99+ลำปาง!L99+ลำพูน!L99+สุโขทัย!L99+อุตรดิตถ์!L99+อุทัยธานี!L99</f>
        <v>0</v>
      </c>
      <c r="M99" s="167"/>
      <c r="N99" s="167"/>
      <c r="O99" s="168"/>
      <c r="P99" s="168"/>
    </row>
    <row r="100" spans="1:16" ht="21.75" customHeight="1" x14ac:dyDescent="0.3">
      <c r="A100" s="156"/>
      <c r="B100" s="157"/>
      <c r="C100" s="157"/>
      <c r="D100" s="166"/>
      <c r="E100" s="159"/>
      <c r="F100" s="159"/>
      <c r="G100" s="169" t="s">
        <v>43</v>
      </c>
      <c r="H100" s="161" t="s">
        <v>12</v>
      </c>
      <c r="I100" s="162"/>
      <c r="J100" s="187"/>
      <c r="K100" s="223"/>
      <c r="L100" s="167">
        <f ca="1">กำแพงเพชร!L100+เชียงราย!L100+เชียงใหม่!L100+ตาก!L100+นครสวรรค์!L100+น่าน!L100+พะเยา!L100+พิจิตร!L100+พิษณุโลก!L100+เพชรบูรณ์!L100+แพร่!L100+แม่ฮ่องสอน!L100+ลำปาง!L100+ลำพูน!L100+สุโขทัย!L100+อุตรดิตถ์!L100+อุทัยธานี!L100</f>
        <v>1257180</v>
      </c>
      <c r="M100" s="167"/>
      <c r="N100" s="167"/>
      <c r="O100" s="168"/>
      <c r="P100" s="168"/>
    </row>
    <row r="101" spans="1:16" ht="21.75" customHeight="1" x14ac:dyDescent="0.45">
      <c r="A101" s="170"/>
      <c r="B101" s="80"/>
      <c r="C101" s="81" t="s">
        <v>16</v>
      </c>
      <c r="D101" s="534" t="s">
        <v>23</v>
      </c>
      <c r="E101" s="530"/>
      <c r="F101" s="88"/>
      <c r="G101" s="82" t="s">
        <v>18</v>
      </c>
      <c r="H101" s="171" t="s">
        <v>12</v>
      </c>
      <c r="I101" s="187"/>
      <c r="J101" s="187"/>
      <c r="K101" s="223"/>
      <c r="L101" s="41">
        <f>กำแพงเพชร!L101+เชียงราย!L101+เชียงใหม่!L101+ตาก!L101+นครสวรรค์!L101+น่าน!L101+พะเยา!L101+พิจิตร!L101+พิษณุโลก!L101+เพชรบูรณ์!L101+แพร่!L101+แม่ฮ่องสอน!L101+ลำปาง!L101+ลำพูน!L101+สุโขทัย!L101+อุตรดิตถ์!L101+อุทัยธานี!L101</f>
        <v>0</v>
      </c>
      <c r="M101" s="41"/>
      <c r="N101" s="41"/>
      <c r="O101" s="41"/>
      <c r="P101" s="41"/>
    </row>
    <row r="102" spans="1:16" ht="21.75" customHeight="1" x14ac:dyDescent="0.45">
      <c r="A102" s="172"/>
      <c r="B102" s="91"/>
      <c r="C102" s="91"/>
      <c r="D102" s="173"/>
      <c r="E102" s="92"/>
      <c r="F102" s="92"/>
      <c r="G102" s="93" t="s">
        <v>19</v>
      </c>
      <c r="H102" s="174" t="s">
        <v>12</v>
      </c>
      <c r="I102" s="187"/>
      <c r="J102" s="187"/>
      <c r="K102" s="223"/>
      <c r="L102" s="49">
        <f ca="1">กำแพงเพชร!L102+เชียงราย!L102+เชียงใหม่!L102+ตาก!L102+นครสวรรค์!L102+น่าน!L102+พะเยา!L102+พิจิตร!L102+พิษณุโลก!L102+เพชรบูรณ์!L102+แพร่!L102+แม่ฮ่องสอน!L102+ลำปาง!L102+ลำพูน!L102+สุโขทัย!L102+อุตรดิตถ์!L102+อุทัยธานี!L102</f>
        <v>1200800</v>
      </c>
      <c r="M102" s="49">
        <f ca="1">กำแพงเพชร!M102+เชียงราย!M102+เชียงใหม่!M102+ตาก!M102+นครสวรรค์!M102+น่าน!M102+พะเยา!M102+พิจิตร!M102+พิษณุโลก!M102+เพชรบูรณ์!M102+แพร่!M102+แม่ฮ่องสอน!M102+ลำปาง!M102+ลำพูน!M102+สุโขทัย!M102+อุตรดิตถ์!M102+อุทัยธานี!M102</f>
        <v>1200800</v>
      </c>
      <c r="N102" s="49">
        <f ca="1">กำแพงเพชร!N102+เชียงราย!N102+เชียงใหม่!N102+ตาก!N102+นครสวรรค์!N102+น่าน!N102+พะเยา!N102+พิจิตร!N102+พิษณุโลก!N102+เพชรบูรณ์!N102+แพร่!N102+แม่ฮ่องสอน!N102+ลำปาง!N102+ลำพูน!N102+สุโขทัย!N102+อุตรดิตถ์!N102+อุทัยธานี!N102</f>
        <v>1108400</v>
      </c>
      <c r="O102" s="49">
        <f ca="1">IF(L102&gt;0,N102*100/L102,0)</f>
        <v>92.30512991339107</v>
      </c>
      <c r="P102" s="49">
        <f ca="1">IF(M102&gt;0,N102*100/M102,0)</f>
        <v>92.30512991339107</v>
      </c>
    </row>
    <row r="103" spans="1:16" ht="21.75" customHeight="1" x14ac:dyDescent="0.3">
      <c r="A103" s="175"/>
      <c r="B103" s="176"/>
      <c r="C103" s="157" t="s">
        <v>16</v>
      </c>
      <c r="D103" s="177" t="s">
        <v>44</v>
      </c>
      <c r="E103" s="178"/>
      <c r="F103" s="178"/>
      <c r="G103" s="179"/>
      <c r="H103" s="180"/>
      <c r="I103" s="162"/>
      <c r="J103" s="187"/>
      <c r="K103" s="223"/>
      <c r="L103" s="168"/>
      <c r="M103" s="168"/>
      <c r="N103" s="168"/>
      <c r="O103" s="181"/>
      <c r="P103" s="181"/>
    </row>
    <row r="104" spans="1:16" ht="21.75" customHeight="1" x14ac:dyDescent="0.3">
      <c r="A104" s="175"/>
      <c r="B104" s="176"/>
      <c r="C104" s="176"/>
      <c r="D104" s="182">
        <v>1</v>
      </c>
      <c r="E104" s="183" t="s">
        <v>45</v>
      </c>
      <c r="F104" s="184"/>
      <c r="G104" s="185"/>
      <c r="H104" s="186"/>
      <c r="I104" s="187"/>
      <c r="J104" s="187">
        <f ca="1">กำแพงเพชร!J104+เชียงราย!J104+เชียงใหม่!J104+ตาก!J104+นครสวรรค์!J104+น่าน!J104+พะเยา!J104+พิจิตร!J104+พิษณุโลก!J104+เพชรบูรณ์!J104+แพร่!J104+แม่ฮ่องสอน!J104+ลำปาง!J104+ลำพูน!J104+สุโขทัย!J104+อุตรดิตถ์!J104+อุทัยธานี!J104</f>
        <v>0</v>
      </c>
      <c r="K104" s="223"/>
      <c r="L104" s="168"/>
      <c r="M104" s="168"/>
      <c r="N104" s="168"/>
      <c r="O104" s="181"/>
      <c r="P104" s="181"/>
    </row>
    <row r="105" spans="1:16" ht="21.75" customHeight="1" x14ac:dyDescent="0.3">
      <c r="A105" s="175"/>
      <c r="B105" s="176"/>
      <c r="C105" s="176"/>
      <c r="D105" s="189">
        <v>2</v>
      </c>
      <c r="E105" s="190" t="s">
        <v>46</v>
      </c>
      <c r="F105" s="191"/>
      <c r="G105" s="192"/>
      <c r="H105" s="186"/>
      <c r="I105" s="187"/>
      <c r="J105" s="187">
        <f ca="1">กำแพงเพชร!J105+เชียงราย!J105+เชียงใหม่!J105+ตาก!J105+นครสวรรค์!J105+น่าน!J105+พะเยา!J105+พิจิตร!J105+พิษณุโลก!J105+เพชรบูรณ์!J105+แพร่!J105+แม่ฮ่องสอน!J105+ลำปาง!J105+ลำพูน!J105+สุโขทัย!J105+อุตรดิตถ์!J105+อุทัยธานี!J105</f>
        <v>10</v>
      </c>
      <c r="K105" s="223"/>
      <c r="L105" s="168" t="s">
        <v>40</v>
      </c>
      <c r="M105" s="168"/>
      <c r="N105" s="168" t="s">
        <v>40</v>
      </c>
      <c r="O105" s="181"/>
      <c r="P105" s="181"/>
    </row>
    <row r="106" spans="1:16" ht="21.75" customHeight="1" x14ac:dyDescent="0.3">
      <c r="A106" s="175"/>
      <c r="B106" s="176"/>
      <c r="C106" s="176"/>
      <c r="D106" s="193"/>
      <c r="E106" s="194" t="s">
        <v>47</v>
      </c>
      <c r="F106" s="195"/>
      <c r="G106" s="196"/>
      <c r="H106" s="186"/>
      <c r="I106" s="187"/>
      <c r="J106" s="187">
        <f ca="1">กำแพงเพชร!J106+เชียงราย!J106+เชียงใหม่!J106+ตาก!J106+นครสวรรค์!J106+น่าน!J106+พะเยา!J106+พิจิตร!J106+พิษณุโลก!J106+เพชรบูรณ์!J106+แพร่!J106+แม่ฮ่องสอน!J106+ลำปาง!J106+ลำพูน!J106+สุโขทัย!J106+อุตรดิตถ์!J106+อุทัยธานี!J106</f>
        <v>9</v>
      </c>
      <c r="K106" s="223"/>
      <c r="L106" s="168"/>
      <c r="M106" s="168"/>
      <c r="N106" s="168"/>
      <c r="O106" s="181"/>
      <c r="P106" s="181"/>
    </row>
    <row r="107" spans="1:16" ht="21.75" customHeight="1" x14ac:dyDescent="0.3">
      <c r="A107" s="175"/>
      <c r="B107" s="176"/>
      <c r="C107" s="176"/>
      <c r="D107" s="193"/>
      <c r="E107" s="194" t="s">
        <v>48</v>
      </c>
      <c r="F107" s="195"/>
      <c r="G107" s="196"/>
      <c r="H107" s="186"/>
      <c r="I107" s="187"/>
      <c r="J107" s="187">
        <f ca="1">กำแพงเพชร!J107+เชียงราย!J107+เชียงใหม่!J107+ตาก!J107+นครสวรรค์!J107+น่าน!J107+พะเยา!J107+พิจิตร!J107+พิษณุโลก!J107+เพชรบูรณ์!J107+แพร่!J107+แม่ฮ่องสอน!J107+ลำปาง!J107+ลำพูน!J107+สุโขทัย!J107+อุตรดิตถ์!J107+อุทัยธานี!J107</f>
        <v>9</v>
      </c>
      <c r="K107" s="223"/>
      <c r="L107" s="168"/>
      <c r="M107" s="168"/>
      <c r="N107" s="168"/>
      <c r="O107" s="181"/>
      <c r="P107" s="181"/>
    </row>
    <row r="108" spans="1:16" ht="21.75" customHeight="1" x14ac:dyDescent="0.3">
      <c r="A108" s="175"/>
      <c r="B108" s="176"/>
      <c r="C108" s="176"/>
      <c r="D108" s="193"/>
      <c r="E108" s="195"/>
      <c r="F108" s="195" t="s">
        <v>60</v>
      </c>
      <c r="G108" s="195"/>
      <c r="H108" s="180" t="s">
        <v>61</v>
      </c>
      <c r="I108" s="202">
        <f ca="1">กำแพงเพชร!I108+เชียงราย!I108+เชียงใหม่!I108+ตาก!I108+นครสวรรค์!I108+น่าน!I108+พะเยา!I108+พิจิตร!I108+พิษณุโลก!I108+เพชรบูรณ์!I108+แพร่!I108+แม่ฮ่องสอน!I108+ลำปาง!I108+ลำพูน!I108+สุโขทัย!I108+อุตรดิตถ์!I108+อุทัยธานี!I108</f>
        <v>10</v>
      </c>
      <c r="J108" s="203">
        <f ca="1">กำแพงเพชร!J108+เชียงราย!J108+เชียงใหม่!J108+ตาก!J108+นครสวรรค์!J108+น่าน!J108+พะเยา!J108+พิจิตร!J108+พิษณุโลก!J108+เพชรบูรณ์!J108+แพร่!J108+แม่ฮ่องสอน!J108+ลำปาง!J108+ลำพูน!J108+สุโขทัย!J108+อุตรดิตถ์!J108+อุทัยธานี!J108</f>
        <v>6</v>
      </c>
      <c r="K108" s="223">
        <f t="shared" ref="K108:K113" ca="1" si="50">IF(I108&gt;0,J108*100/I108,0)</f>
        <v>60</v>
      </c>
      <c r="L108" s="168"/>
      <c r="M108" s="168"/>
      <c r="N108" s="168"/>
      <c r="O108" s="181"/>
      <c r="P108" s="181"/>
    </row>
    <row r="109" spans="1:16" ht="21.75" customHeight="1" x14ac:dyDescent="0.3">
      <c r="A109" s="175"/>
      <c r="B109" s="176"/>
      <c r="C109" s="176"/>
      <c r="D109" s="193"/>
      <c r="E109" s="198"/>
      <c r="F109" s="194" t="s">
        <v>62</v>
      </c>
      <c r="G109" s="195"/>
      <c r="H109" s="180" t="s">
        <v>37</v>
      </c>
      <c r="I109" s="202">
        <f ca="1">กำแพงเพชร!I109+เชียงราย!I109+เชียงใหม่!I109+ตาก!I109+นครสวรรค์!I109+น่าน!I109+พะเยา!I109+พิจิตร!I109+พิษณุโลก!I109+เพชรบูรณ์!I109+แพร่!I109+แม่ฮ่องสอน!I109+ลำปาง!I109+ลำพูน!I109+สุโขทัย!I109+อุตรดิตถ์!I109+อุทัยธานี!I109</f>
        <v>49</v>
      </c>
      <c r="J109" s="203">
        <f ca="1">กำแพงเพชร!J109+เชียงราย!J109+เชียงใหม่!J109+ตาก!J109+นครสวรรค์!J109+น่าน!J109+พะเยา!J109+พิจิตร!J109+พิษณุโลก!J109+เพชรบูรณ์!J109+แพร่!J109+แม่ฮ่องสอน!J109+ลำปาง!J109+ลำพูน!J109+สุโขทัย!J109+อุตรดิตถ์!J109+อุทัยธานี!J109</f>
        <v>23</v>
      </c>
      <c r="K109" s="223">
        <f t="shared" ca="1" si="50"/>
        <v>46.938775510204081</v>
      </c>
      <c r="L109" s="168"/>
      <c r="M109" s="168"/>
      <c r="N109" s="168"/>
      <c r="O109" s="181"/>
      <c r="P109" s="181"/>
    </row>
    <row r="110" spans="1:16" ht="21.75" customHeight="1" x14ac:dyDescent="0.3">
      <c r="A110" s="175"/>
      <c r="B110" s="176"/>
      <c r="C110" s="176"/>
      <c r="D110" s="193"/>
      <c r="E110" s="198"/>
      <c r="F110" s="195"/>
      <c r="G110" s="224" t="s">
        <v>63</v>
      </c>
      <c r="H110" s="180" t="s">
        <v>37</v>
      </c>
      <c r="I110" s="202">
        <f ca="1">กำแพงเพชร!I110+เชียงราย!I110+เชียงใหม่!I110+ตาก!I110+นครสวรรค์!I110+น่าน!I110+พะเยา!I110+พิจิตร!I110+พิษณุโลก!I110+เพชรบูรณ์!I110+แพร่!I110+แม่ฮ่องสอน!I110+ลำปาง!I110+ลำพูน!I110+สุโขทัย!I110+อุตรดิตถ์!I110+อุทัยธานี!I110</f>
        <v>49</v>
      </c>
      <c r="J110" s="203">
        <f ca="1">กำแพงเพชร!J110+เชียงราย!J110+เชียงใหม่!J110+ตาก!J110+นครสวรรค์!J110+น่าน!J110+พะเยา!J110+พิจิตร!J110+พิษณุโลก!J110+เพชรบูรณ์!J110+แพร่!J110+แม่ฮ่องสอน!J110+ลำปาง!J110+ลำพูน!J110+สุโขทัย!J110+อุตรดิตถ์!J110+อุทัยธานี!J110</f>
        <v>49</v>
      </c>
      <c r="K110" s="223">
        <f t="shared" ca="1" si="50"/>
        <v>100</v>
      </c>
      <c r="L110" s="168"/>
      <c r="M110" s="168"/>
      <c r="N110" s="168"/>
      <c r="O110" s="181"/>
      <c r="P110" s="181"/>
    </row>
    <row r="111" spans="1:16" ht="21.75" customHeight="1" x14ac:dyDescent="0.3">
      <c r="A111" s="175"/>
      <c r="B111" s="176"/>
      <c r="C111" s="176"/>
      <c r="D111" s="193"/>
      <c r="E111" s="198"/>
      <c r="F111" s="195"/>
      <c r="G111" s="224" t="s">
        <v>64</v>
      </c>
      <c r="H111" s="180" t="s">
        <v>37</v>
      </c>
      <c r="I111" s="202">
        <f ca="1">กำแพงเพชร!I111+เชียงราย!I111+เชียงใหม่!I111+ตาก!I111+นครสวรรค์!I111+น่าน!I111+พะเยา!I111+พิจิตร!I111+พิษณุโลก!I111+เพชรบูรณ์!I111+แพร่!I111+แม่ฮ่องสอน!I111+ลำปาง!I111+ลำพูน!I111+สุโขทัย!I111+อุตรดิตถ์!I111+อุทัยธานี!I111</f>
        <v>49</v>
      </c>
      <c r="J111" s="203">
        <f ca="1">กำแพงเพชร!J111+เชียงราย!J111+เชียงใหม่!J111+ตาก!J111+นครสวรรค์!J111+น่าน!J111+พะเยา!J111+พิจิตร!J111+พิษณุโลก!J111+เพชรบูรณ์!J111+แพร่!J111+แม่ฮ่องสอน!J111+ลำปาง!J111+ลำพูน!J111+สุโขทัย!J111+อุตรดิตถ์!J111+อุทัยธานี!J111</f>
        <v>12</v>
      </c>
      <c r="K111" s="223">
        <f t="shared" ca="1" si="50"/>
        <v>24.489795918367346</v>
      </c>
      <c r="L111" s="168"/>
      <c r="M111" s="168"/>
      <c r="N111" s="168"/>
      <c r="O111" s="181"/>
      <c r="P111" s="181"/>
    </row>
    <row r="112" spans="1:16" ht="21.75" customHeight="1" x14ac:dyDescent="0.3">
      <c r="A112" s="175"/>
      <c r="B112" s="176"/>
      <c r="C112" s="176"/>
      <c r="D112" s="193"/>
      <c r="E112" s="198"/>
      <c r="F112" s="195"/>
      <c r="G112" s="225" t="s">
        <v>65</v>
      </c>
      <c r="H112" s="180" t="s">
        <v>37</v>
      </c>
      <c r="I112" s="202">
        <f ca="1">กำแพงเพชร!I112+เชียงราย!I112+เชียงใหม่!I112+ตาก!I112+นครสวรรค์!I112+น่าน!I112+พะเยา!I112+พิจิตร!I112+พิษณุโลก!I112+เพชรบูรณ์!I112+แพร่!I112+แม่ฮ่องสอน!I112+ลำปาง!I112+ลำพูน!I112+สุโขทัย!I112+อุตรดิตถ์!I112+อุทัยธานี!I112</f>
        <v>49</v>
      </c>
      <c r="J112" s="203">
        <f ca="1">กำแพงเพชร!J112+เชียงราย!J112+เชียงใหม่!J112+ตาก!J112+นครสวรรค์!J112+น่าน!J112+พะเยา!J112+พิจิตร!J112+พิษณุโลก!J112+เพชรบูรณ์!J112+แพร่!J112+แม่ฮ่องสอน!J112+ลำปาง!J112+ลำพูน!J112+สุโขทัย!J112+อุตรดิตถ์!J112+อุทัยธานี!J112</f>
        <v>0</v>
      </c>
      <c r="K112" s="223">
        <f t="shared" ca="1" si="50"/>
        <v>0</v>
      </c>
      <c r="L112" s="168"/>
      <c r="M112" s="168"/>
      <c r="N112" s="168"/>
      <c r="O112" s="181"/>
      <c r="P112" s="181"/>
    </row>
    <row r="113" spans="1:16" ht="21.75" customHeight="1" x14ac:dyDescent="0.3">
      <c r="A113" s="175"/>
      <c r="B113" s="176"/>
      <c r="C113" s="176"/>
      <c r="D113" s="193"/>
      <c r="E113" s="198"/>
      <c r="F113" s="195" t="s">
        <v>66</v>
      </c>
      <c r="G113" s="195"/>
      <c r="H113" s="180" t="s">
        <v>59</v>
      </c>
      <c r="I113" s="202">
        <f ca="1">กำแพงเพชร!I113+เชียงราย!I113+เชียงใหม่!I113+ตาก!I113+นครสวรรค์!I113+น่าน!I113+พะเยา!I113+พิจิตร!I113+พิษณุโลก!I113+เพชรบูรณ์!I113+แพร่!I113+แม่ฮ่องสอน!I113+ลำปาง!I113+ลำพูน!I113+สุโขทัย!I113+อุตรดิตถ์!I113+อุทัยธานี!I113</f>
        <v>13</v>
      </c>
      <c r="J113" s="203">
        <f ca="1">กำแพงเพชร!J113+เชียงราย!J113+เชียงใหม่!J113+ตาก!J113+นครสวรรค์!J113+น่าน!J113+พะเยา!J113+พิจิตร!J113+พิษณุโลก!J113+เพชรบูรณ์!J113+แพร่!J113+แม่ฮ่องสอน!J113+ลำปาง!J113+ลำพูน!J113+สุโขทัย!J113+อุตรดิตถ์!J113+อุทัยธานี!J113</f>
        <v>5</v>
      </c>
      <c r="K113" s="223">
        <f t="shared" ca="1" si="50"/>
        <v>38.46153846153846</v>
      </c>
      <c r="L113" s="168"/>
      <c r="M113" s="168"/>
      <c r="N113" s="168"/>
      <c r="O113" s="181"/>
      <c r="P113" s="181"/>
    </row>
    <row r="114" spans="1:16" ht="21.75" customHeight="1" x14ac:dyDescent="0.3">
      <c r="A114" s="175"/>
      <c r="B114" s="176"/>
      <c r="C114" s="176"/>
      <c r="D114" s="193"/>
      <c r="E114" s="194" t="s">
        <v>54</v>
      </c>
      <c r="F114" s="195"/>
      <c r="G114" s="196"/>
      <c r="H114" s="186"/>
      <c r="I114" s="187"/>
      <c r="J114" s="187">
        <f ca="1">กำแพงเพชร!J114+เชียงราย!J114+เชียงใหม่!J114+ตาก!J114+นครสวรรค์!J114+น่าน!J114+พะเยา!J114+พิจิตร!J114+พิษณุโลก!J114+เพชรบูรณ์!J114+แพร่!J114+แม่ฮ่องสอน!J114+ลำปาง!J114+ลำพูน!J114+สุโขทัย!J114+อุตรดิตถ์!J114+อุทัยธานี!J114</f>
        <v>0</v>
      </c>
      <c r="K114" s="223"/>
      <c r="L114" s="168"/>
      <c r="M114" s="168"/>
      <c r="N114" s="168"/>
      <c r="O114" s="181"/>
      <c r="P114" s="181"/>
    </row>
    <row r="115" spans="1:16" ht="21.75" customHeight="1" x14ac:dyDescent="0.3">
      <c r="A115" s="175"/>
      <c r="B115" s="176"/>
      <c r="C115" s="176"/>
      <c r="D115" s="205">
        <v>3</v>
      </c>
      <c r="E115" s="206" t="s">
        <v>55</v>
      </c>
      <c r="F115" s="207"/>
      <c r="G115" s="208"/>
      <c r="H115" s="186"/>
      <c r="I115" s="187"/>
      <c r="J115" s="226">
        <f ca="1">กำแพงเพชร!J115+เชียงราย!J115+เชียงใหม่!J115+ตาก!J115+นครสวรรค์!J115+น่าน!J115+พะเยา!J115+พิจิตร!J115+พิษณุโลก!J115+เพชรบูรณ์!J115+แพร่!J115+แม่ฮ่องสอน!J115+ลำปาง!J115+ลำพูน!J115+สุโขทัย!J115+อุตรดิตถ์!J115+อุทัยธานี!J115</f>
        <v>0</v>
      </c>
      <c r="K115" s="223"/>
      <c r="L115" s="168"/>
      <c r="M115" s="168"/>
      <c r="N115" s="168"/>
      <c r="O115" s="181"/>
      <c r="P115" s="181"/>
    </row>
    <row r="116" spans="1:16" ht="21.75" customHeight="1" x14ac:dyDescent="0.3">
      <c r="A116" s="210" t="s">
        <v>67</v>
      </c>
      <c r="B116" s="227"/>
      <c r="C116" s="228"/>
      <c r="D116" s="227"/>
      <c r="E116" s="229"/>
      <c r="F116" s="229"/>
      <c r="G116" s="230"/>
      <c r="H116" s="215"/>
      <c r="I116" s="216"/>
      <c r="J116" s="216"/>
      <c r="K116" s="217"/>
      <c r="L116" s="218"/>
      <c r="M116" s="218"/>
      <c r="N116" s="218"/>
      <c r="O116" s="219"/>
      <c r="P116" s="219"/>
    </row>
    <row r="117" spans="1:16" ht="21.75" customHeight="1" x14ac:dyDescent="0.3">
      <c r="A117" s="137"/>
      <c r="B117" s="138" t="s">
        <v>68</v>
      </c>
      <c r="C117" s="231"/>
      <c r="D117" s="139"/>
      <c r="E117" s="138"/>
      <c r="F117" s="138"/>
      <c r="G117" s="220"/>
      <c r="H117" s="140" t="s">
        <v>37</v>
      </c>
      <c r="I117" s="141">
        <f ca="1">กำแพงเพชร!I117+เชียงราย!I117+เชียงใหม่!I117+ตาก!I117+นครสวรรค์!I117+น่าน!I117+พะเยา!I117+พิจิตร!I117+พิษณุโลก!I117+เพชรบูรณ์!I117+แพร่!I117+แม่ฮ่องสอน!I117+ลำปาง!I117+ลำพูน!I117+สุโขทัย!I117+อุตรดิตถ์!I117+อุทัยธานี!I117</f>
        <v>200</v>
      </c>
      <c r="J117" s="141">
        <f ca="1">กำแพงเพชร!J117+เชียงราย!J117+เชียงใหม่!J117+ตาก!J117+นครสวรรค์!J117+น่าน!J117+พะเยา!J117+พิจิตร!J117+พิษณุโลก!J117+เพชรบูรณ์!J117+แพร่!J117+แม่ฮ่องสอน!J117+ลำปาง!J117+ลำพูน!J117+สุโขทัย!J117+อุตรดิตถ์!J117+อุทัยธานี!J117</f>
        <v>210</v>
      </c>
      <c r="K117" s="142">
        <f ca="1">IF(I117&gt;0,J117*100/I117,0)</f>
        <v>105</v>
      </c>
      <c r="L117" s="143"/>
      <c r="M117" s="143"/>
      <c r="N117" s="144"/>
      <c r="O117" s="142"/>
      <c r="P117" s="142"/>
    </row>
    <row r="118" spans="1:16" ht="21.75" customHeight="1" x14ac:dyDescent="0.45">
      <c r="A118" s="145"/>
      <c r="B118" s="146"/>
      <c r="C118" s="147" t="s">
        <v>16</v>
      </c>
      <c r="D118" s="537" t="s">
        <v>17</v>
      </c>
      <c r="E118" s="528"/>
      <c r="F118" s="528"/>
      <c r="G118" s="528"/>
      <c r="H118" s="148" t="s">
        <v>12</v>
      </c>
      <c r="I118" s="162"/>
      <c r="J118" s="162"/>
      <c r="K118" s="163"/>
      <c r="L118" s="151">
        <f ca="1">กำแพงเพชร!L118+เชียงราย!L118+เชียงใหม่!L118+ตาก!L118+นครสวรรค์!L118+น่าน!L118+พะเยา!L118+พิจิตร!L118+พิษณุโลก!L118+เพชรบูรณ์!L118+แพร่!L118+แม่ฮ่องสอน!L118+ลำปาง!L118+ลำพูน!L118+สุโขทัย!L118+อุตรดิตถ์!L118+อุทัยธานี!L118</f>
        <v>824400</v>
      </c>
      <c r="M118" s="151">
        <f ca="1">กำแพงเพชร!M118+เชียงราย!M118+เชียงใหม่!M118+ตาก!M118+นครสวรรค์!M118+น่าน!M118+พะเยา!M118+พิจิตร!M118+พิษณุโลก!M118+เพชรบูรณ์!M118+แพร่!M118+แม่ฮ่องสอน!M118+ลำปาง!M118+ลำพูน!M118+สุโขทัย!M118+อุตรดิตถ์!M118+อุทัยธานี!M118</f>
        <v>664400</v>
      </c>
      <c r="N118" s="151">
        <f ca="1">กำแพงเพชร!N118+เชียงราย!N118+เชียงใหม่!N118+ตาก!N118+นครสวรรค์!N118+น่าน!N118+พะเยา!N118+พิจิตร!N118+พิษณุโลก!N118+เพชรบูรณ์!N118+แพร่!N118+แม่ฮ่องสอน!N118+ลำปาง!N118+ลำพูน!N118+สุโขทัย!N118+อุตรดิตถ์!N118+อุทัยธานี!N118</f>
        <v>534321</v>
      </c>
      <c r="O118" s="150">
        <f t="shared" ref="O118:O120" ca="1" si="51">IF(L118&gt;0,N118*100/L118,0)</f>
        <v>64.813318777292579</v>
      </c>
      <c r="P118" s="150">
        <f t="shared" ref="P118:P120" ca="1" si="52">IF(M118&gt;0,N118*100/M118,0)</f>
        <v>80.421583383503915</v>
      </c>
    </row>
    <row r="119" spans="1:16" ht="21.75" customHeight="1" x14ac:dyDescent="0.45">
      <c r="A119" s="152"/>
      <c r="B119" s="32"/>
      <c r="C119" s="32"/>
      <c r="D119" s="32"/>
      <c r="E119" s="32"/>
      <c r="F119" s="32"/>
      <c r="G119" s="33" t="s">
        <v>18</v>
      </c>
      <c r="H119" s="153" t="s">
        <v>12</v>
      </c>
      <c r="I119" s="162"/>
      <c r="J119" s="162"/>
      <c r="K119" s="163"/>
      <c r="L119" s="87">
        <f>กำแพงเพชร!L119+เชียงราย!L119+เชียงใหม่!L119+ตาก!L119+นครสวรรค์!L119+น่าน!L119+พะเยา!L119+พิจิตร!L119+พิษณุโลก!L119+เพชรบูรณ์!L119+แพร่!L119+แม่ฮ่องสอน!L119+ลำปาง!L119+ลำพูน!L119+สุโขทัย!L119+อุตรดิตถ์!L119+อุทัยธานี!L119</f>
        <v>0</v>
      </c>
      <c r="M119" s="87">
        <f>กำแพงเพชร!M119+เชียงราย!M119+เชียงใหม่!M119+ตาก!M119+นครสวรรค์!M119+น่าน!M119+พะเยา!M119+พิจิตร!M119+พิษณุโลก!M119+เพชรบูรณ์!M119+แพร่!M119+แม่ฮ่องสอน!M119+ลำปาง!M119+ลำพูน!M119+สุโขทัย!M119+อุตรดิตถ์!M119+อุทัยธานี!M119</f>
        <v>0</v>
      </c>
      <c r="N119" s="87">
        <f>กำแพงเพชร!N119+เชียงราย!N119+เชียงใหม่!N119+ตาก!N119+นครสวรรค์!N119+น่าน!N119+พะเยา!N119+พิจิตร!N119+พิษณุโลก!N119+เพชรบูรณ์!N119+แพร่!N119+แม่ฮ่องสอน!N119+ลำปาง!N119+ลำพูน!N119+สุโขทัย!N119+อุตรดิตถ์!N119+อุทัยธานี!N119</f>
        <v>0</v>
      </c>
      <c r="O119" s="155">
        <f t="shared" si="51"/>
        <v>0</v>
      </c>
      <c r="P119" s="155">
        <f t="shared" si="52"/>
        <v>0</v>
      </c>
    </row>
    <row r="120" spans="1:16" ht="21.75" customHeight="1" x14ac:dyDescent="0.45">
      <c r="A120" s="152"/>
      <c r="B120" s="32"/>
      <c r="C120" s="32"/>
      <c r="D120" s="32"/>
      <c r="E120" s="32"/>
      <c r="F120" s="32"/>
      <c r="G120" s="33" t="s">
        <v>19</v>
      </c>
      <c r="H120" s="153" t="s">
        <v>12</v>
      </c>
      <c r="I120" s="162"/>
      <c r="J120" s="162"/>
      <c r="K120" s="163"/>
      <c r="L120" s="87">
        <f ca="1">กำแพงเพชร!L120+เชียงราย!L120+เชียงใหม่!L120+ตาก!L120+นครสวรรค์!L120+น่าน!L120+พะเยา!L120+พิจิตร!L120+พิษณุโลก!L120+เพชรบูรณ์!L120+แพร่!L120+แม่ฮ่องสอน!L120+ลำปาง!L120+ลำพูน!L120+สุโขทัย!L120+อุตรดิตถ์!L120+อุทัยธานี!L120</f>
        <v>824400</v>
      </c>
      <c r="M120" s="87">
        <f ca="1">กำแพงเพชร!M120+เชียงราย!M120+เชียงใหม่!M120+ตาก!M120+นครสวรรค์!M120+น่าน!M120+พะเยา!M120+พิจิตร!M120+พิษณุโลก!M120+เพชรบูรณ์!M120+แพร่!M120+แม่ฮ่องสอน!M120+ลำปาง!M120+ลำพูน!M120+สุโขทัย!M120+อุตรดิตถ์!M120+อุทัยธานี!M120</f>
        <v>664400</v>
      </c>
      <c r="N120" s="87">
        <f ca="1">กำแพงเพชร!N120+เชียงราย!N120+เชียงใหม่!N120+ตาก!N120+นครสวรรค์!N120+น่าน!N120+พะเยา!N120+พิจิตร!N120+พิษณุโลก!N120+เพชรบูรณ์!N120+แพร่!N120+แม่ฮ่องสอน!N120+ลำปาง!N120+ลำพูน!N120+สุโขทัย!N120+อุตรดิตถ์!N120+อุทัยธานี!N120</f>
        <v>534321</v>
      </c>
      <c r="O120" s="155">
        <f t="shared" ca="1" si="51"/>
        <v>64.813318777292579</v>
      </c>
      <c r="P120" s="155">
        <f t="shared" ca="1" si="52"/>
        <v>80.421583383503915</v>
      </c>
    </row>
    <row r="121" spans="1:16" ht="21.75" customHeight="1" x14ac:dyDescent="0.3">
      <c r="A121" s="156"/>
      <c r="B121" s="157"/>
      <c r="C121" s="157" t="s">
        <v>16</v>
      </c>
      <c r="D121" s="158" t="s">
        <v>38</v>
      </c>
      <c r="E121" s="159"/>
      <c r="F121" s="159"/>
      <c r="G121" s="160" t="s">
        <v>39</v>
      </c>
      <c r="H121" s="161" t="s">
        <v>12</v>
      </c>
      <c r="I121" s="162" t="s">
        <v>40</v>
      </c>
      <c r="J121" s="162"/>
      <c r="K121" s="163"/>
      <c r="L121" s="164">
        <f>กำแพงเพชร!L121+เชียงราย!L121+เชียงใหม่!L121+ตาก!L121+นครสวรรค์!L121+น่าน!L121+พะเยา!L121+พิจิตร!L121+พิษณุโลก!L121+เพชรบูรณ์!L121+แพร่!L121+แม่ฮ่องสอน!L121+ลำปาง!L121+ลำพูน!L121+สุโขทัย!L121+อุตรดิตถ์!L121+อุทัยธานี!L121</f>
        <v>0</v>
      </c>
      <c r="M121" s="164">
        <f>กำแพงเพชร!M121+เชียงราย!M121+เชียงใหม่!M121+ตาก!M121+นครสวรรค์!M121+น่าน!M121+พะเยา!M121+พิจิตร!M121+พิษณุโลก!M121+เพชรบูรณ์!M121+แพร่!M121+แม่ฮ่องสอน!M121+ลำปาง!M121+ลำพูน!M121+สุโขทัย!M121+อุตรดิตถ์!M121+อุทัยธานี!M121</f>
        <v>0</v>
      </c>
      <c r="N121" s="164">
        <f>กำแพงเพชร!N121+เชียงราย!N121+เชียงใหม่!N121+ตาก!N121+นครสวรรค์!N121+น่าน!N121+พะเยา!N121+พิจิตร!N121+พิษณุโลก!N121+เพชรบูรณ์!N121+แพร่!N121+แม่ฮ่องสอน!N121+ลำปาง!N121+ลำพูน!N121+สุโขทัย!N121+อุตรดิตถ์!N121+อุทัยธานี!N121</f>
        <v>0</v>
      </c>
      <c r="O121" s="165">
        <f>+IF(L121&gt;0,N121*100/L121,0)</f>
        <v>0</v>
      </c>
      <c r="P121" s="165"/>
    </row>
    <row r="122" spans="1:16" ht="21.75" customHeight="1" x14ac:dyDescent="0.3">
      <c r="A122" s="156"/>
      <c r="B122" s="157"/>
      <c r="C122" s="157"/>
      <c r="D122" s="166"/>
      <c r="E122" s="159"/>
      <c r="F122" s="159" t="s">
        <v>40</v>
      </c>
      <c r="G122" s="160" t="s">
        <v>41</v>
      </c>
      <c r="H122" s="161" t="s">
        <v>12</v>
      </c>
      <c r="I122" s="162"/>
      <c r="J122" s="162"/>
      <c r="K122" s="163"/>
      <c r="L122" s="167">
        <f ca="1">กำแพงเพชร!L122+เชียงราย!L122+เชียงใหม่!L122+ตาก!L122+นครสวรรค์!L122+น่าน!L122+พะเยา!L122+พิจิตร!L122+พิษณุโลก!L122+เพชรบูรณ์!L122+แพร่!L122+แม่ฮ่องสอน!L122+ลำปาง!L122+ลำพูน!L122+สุโขทัย!L122+อุตรดิตถ์!L122+อุทัยธานี!L122</f>
        <v>824400</v>
      </c>
      <c r="M122" s="167">
        <f ca="1">กำแพงเพชร!M122+เชียงราย!M122+เชียงใหม่!M122+ตาก!M122+นครสวรรค์!M122+น่าน!M122+พะเยา!M122+พิจิตร!M122+พิษณุโลก!M122+เพชรบูรณ์!M122+แพร่!M122+แม่ฮ่องสอน!M122+ลำปาง!M122+ลำพูน!M122+สุโขทัย!M122+อุตรดิตถ์!M122+อุทัยธานี!M122</f>
        <v>664400</v>
      </c>
      <c r="N122" s="168">
        <f ca="1">กำแพงเพชร!N122+เชียงราย!N122+เชียงใหม่!N122+ตาก!N122+นครสวรรค์!N122+น่าน!N122+พะเยา!N122+พิจิตร!N122+พิษณุโลก!N122+เพชรบูรณ์!N122+แพร่!N122+แม่ฮ่องสอน!N122+ลำปาง!N122+ลำพูน!N122+สุโขทัย!N122+อุตรดิตถ์!N122+อุทัยธานี!N122</f>
        <v>534321</v>
      </c>
      <c r="O122" s="168">
        <f ca="1">IF(L122&gt;0,N122*100/L122,0)</f>
        <v>64.813318777292579</v>
      </c>
      <c r="P122" s="168">
        <f ca="1">IF(M122&gt;0,N122*100/M122,0)</f>
        <v>80.421583383503915</v>
      </c>
    </row>
    <row r="123" spans="1:16" ht="21.75" customHeight="1" x14ac:dyDescent="0.3">
      <c r="A123" s="156"/>
      <c r="B123" s="157"/>
      <c r="C123" s="157"/>
      <c r="D123" s="166"/>
      <c r="E123" s="159"/>
      <c r="F123" s="159"/>
      <c r="G123" s="169" t="s">
        <v>42</v>
      </c>
      <c r="H123" s="161" t="s">
        <v>12</v>
      </c>
      <c r="I123" s="162"/>
      <c r="J123" s="162"/>
      <c r="K123" s="163"/>
      <c r="L123" s="167">
        <f ca="1">กำแพงเพชร!L123+เชียงราย!L123+เชียงใหม่!L123+ตาก!L123+นครสวรรค์!L123+น่าน!L123+พะเยา!L123+พิจิตร!L123+พิษณุโลก!L123+เพชรบูรณ์!L123+แพร่!L123+แม่ฮ่องสอน!L123+ลำปาง!L123+ลำพูน!L123+สุโขทัย!L123+อุตรดิตถ์!L123+อุทัยธานี!L123</f>
        <v>0</v>
      </c>
      <c r="M123" s="167"/>
      <c r="N123" s="167"/>
      <c r="O123" s="168"/>
      <c r="P123" s="168"/>
    </row>
    <row r="124" spans="1:16" ht="21.75" customHeight="1" x14ac:dyDescent="0.3">
      <c r="A124" s="156"/>
      <c r="B124" s="157"/>
      <c r="C124" s="157"/>
      <c r="D124" s="166"/>
      <c r="E124" s="159"/>
      <c r="F124" s="159"/>
      <c r="G124" s="169" t="s">
        <v>43</v>
      </c>
      <c r="H124" s="161" t="s">
        <v>12</v>
      </c>
      <c r="I124" s="162"/>
      <c r="J124" s="187"/>
      <c r="K124" s="223"/>
      <c r="L124" s="167">
        <f ca="1">กำแพงเพชร!L124+เชียงราย!L124+เชียงใหม่!L124+ตาก!L124+นครสวรรค์!L124+น่าน!L124+พะเยา!L124+พิจิตร!L124+พิษณุโลก!L124+เพชรบูรณ์!L124+แพร่!L124+แม่ฮ่องสอน!L124+ลำปาง!L124+ลำพูน!L124+สุโขทัย!L124+อุตรดิตถ์!L124+อุทัยธานี!L124</f>
        <v>824400</v>
      </c>
      <c r="M124" s="167"/>
      <c r="N124" s="167"/>
      <c r="O124" s="168"/>
      <c r="P124" s="168"/>
    </row>
    <row r="125" spans="1:16" ht="21.75" customHeight="1" x14ac:dyDescent="0.45">
      <c r="A125" s="170"/>
      <c r="B125" s="80"/>
      <c r="C125" s="81" t="s">
        <v>16</v>
      </c>
      <c r="D125" s="534" t="s">
        <v>23</v>
      </c>
      <c r="E125" s="530"/>
      <c r="F125" s="88"/>
      <c r="G125" s="82" t="s">
        <v>18</v>
      </c>
      <c r="H125" s="171" t="s">
        <v>12</v>
      </c>
      <c r="I125" s="187"/>
      <c r="J125" s="187"/>
      <c r="K125" s="223"/>
      <c r="L125" s="41">
        <f>กำแพงเพชร!L125+เชียงราย!L125+เชียงใหม่!L125+ตาก!L125+นครสวรรค์!L125+น่าน!L125+พะเยา!L125+พิจิตร!L125+พิษณุโลก!L125+เพชรบูรณ์!L125+แพร่!L125+แม่ฮ่องสอน!L125+ลำปาง!L125+ลำพูน!L125+สุโขทัย!L125+อุตรดิตถ์!L125+อุทัยธานี!L125</f>
        <v>0</v>
      </c>
      <c r="M125" s="41"/>
      <c r="N125" s="41"/>
      <c r="O125" s="41"/>
      <c r="P125" s="41"/>
    </row>
    <row r="126" spans="1:16" ht="21.75" customHeight="1" x14ac:dyDescent="0.45">
      <c r="A126" s="172"/>
      <c r="B126" s="91"/>
      <c r="C126" s="91"/>
      <c r="D126" s="173"/>
      <c r="E126" s="92"/>
      <c r="F126" s="92"/>
      <c r="G126" s="93" t="s">
        <v>19</v>
      </c>
      <c r="H126" s="174" t="s">
        <v>12</v>
      </c>
      <c r="I126" s="187"/>
      <c r="J126" s="187"/>
      <c r="K126" s="223"/>
      <c r="L126" s="49">
        <f ca="1">กำแพงเพชร!L126+เชียงราย!L126+เชียงใหม่!L126+ตาก!L126+นครสวรรค์!L126+น่าน!L126+พะเยา!L126+พิจิตร!L126+พิษณุโลก!L126+เพชรบูรณ์!L126+แพร่!L126+แม่ฮ่องสอน!L126+ลำปาง!L126+ลำพูน!L126+สุโขทัย!L126+อุตรดิตถ์!L126+อุทัยธานี!L126</f>
        <v>0</v>
      </c>
      <c r="M126" s="49"/>
      <c r="N126" s="49">
        <f ca="1">กำแพงเพชร!N126+เชียงราย!N126+เชียงใหม่!N126+ตาก!N126+นครสวรรค์!N126+น่าน!N126+พะเยา!N126+พิจิตร!N126+พิษณุโลก!N126+เพชรบูรณ์!N126+แพร่!N126+แม่ฮ่องสอน!N126+ลำปาง!N126+ลำพูน!N126+สุโขทัย!N126+อุตรดิตถ์!N126+อุทัยธานี!N126</f>
        <v>0</v>
      </c>
      <c r="O126" s="49">
        <f ca="1">IF(L126&gt;0,N126*100/L126,0)</f>
        <v>0</v>
      </c>
      <c r="P126" s="49"/>
    </row>
    <row r="127" spans="1:16" ht="21.75" customHeight="1" x14ac:dyDescent="0.3">
      <c r="A127" s="175"/>
      <c r="B127" s="176"/>
      <c r="C127" s="157" t="s">
        <v>16</v>
      </c>
      <c r="D127" s="232" t="s">
        <v>69</v>
      </c>
      <c r="E127" s="178"/>
      <c r="F127" s="178"/>
      <c r="G127" s="179"/>
      <c r="H127" s="180"/>
      <c r="I127" s="162"/>
      <c r="J127" s="187"/>
      <c r="K127" s="223"/>
      <c r="L127" s="168"/>
      <c r="M127" s="168"/>
      <c r="N127" s="168"/>
      <c r="O127" s="181"/>
      <c r="P127" s="181"/>
    </row>
    <row r="128" spans="1:16" ht="21.75" customHeight="1" x14ac:dyDescent="0.3">
      <c r="A128" s="175"/>
      <c r="B128" s="176"/>
      <c r="C128" s="176"/>
      <c r="D128" s="182">
        <v>1</v>
      </c>
      <c r="E128" s="183" t="s">
        <v>45</v>
      </c>
      <c r="F128" s="184"/>
      <c r="G128" s="185"/>
      <c r="H128" s="186"/>
      <c r="I128" s="187"/>
      <c r="J128" s="203">
        <f ca="1">กำแพงเพชร!J128+เชียงราย!J128+เชียงใหม่!J128+ตาก!J128+นครสวรรค์!J128+น่าน!J128+พะเยา!J128+พิจิตร!J128+พิษณุโลก!J128+เพชรบูรณ์!J128+แพร่!J128+แม่ฮ่องสอน!J128+ลำปาง!J128+ลำพูน!J128+สุโขทัย!J128+อุตรดิตถ์!J128+อุทัยธานี!J128</f>
        <v>0</v>
      </c>
      <c r="K128" s="223"/>
      <c r="L128" s="168"/>
      <c r="M128" s="168"/>
      <c r="N128" s="168"/>
      <c r="O128" s="181"/>
      <c r="P128" s="181"/>
    </row>
    <row r="129" spans="1:16" ht="21.75" customHeight="1" x14ac:dyDescent="0.3">
      <c r="A129" s="175"/>
      <c r="B129" s="176"/>
      <c r="C129" s="176"/>
      <c r="D129" s="189">
        <v>2</v>
      </c>
      <c r="E129" s="190" t="s">
        <v>46</v>
      </c>
      <c r="F129" s="191"/>
      <c r="G129" s="192"/>
      <c r="H129" s="186"/>
      <c r="I129" s="187"/>
      <c r="J129" s="187">
        <f ca="1">กำแพงเพชร!J129+เชียงราย!J129+เชียงใหม่!J129+ตาก!J129+นครสวรรค์!J129+น่าน!J129+พะเยา!J129+พิจิตร!J129+พิษณุโลก!J129+เพชรบูรณ์!J129+แพร่!J129+แม่ฮ่องสอน!J129+ลำปาง!J129+ลำพูน!J129+สุโขทัย!J129+อุตรดิตถ์!J129+อุทัยธานี!J129</f>
        <v>10</v>
      </c>
      <c r="K129" s="223"/>
      <c r="L129" s="168" t="s">
        <v>40</v>
      </c>
      <c r="M129" s="168"/>
      <c r="N129" s="168" t="s">
        <v>40</v>
      </c>
      <c r="O129" s="181"/>
      <c r="P129" s="181"/>
    </row>
    <row r="130" spans="1:16" ht="21.75" customHeight="1" x14ac:dyDescent="0.3">
      <c r="A130" s="175"/>
      <c r="B130" s="176"/>
      <c r="C130" s="176"/>
      <c r="D130" s="193"/>
      <c r="E130" s="194" t="s">
        <v>47</v>
      </c>
      <c r="F130" s="195"/>
      <c r="G130" s="196"/>
      <c r="H130" s="186"/>
      <c r="I130" s="187"/>
      <c r="J130" s="187">
        <f ca="1">กำแพงเพชร!J130+เชียงราย!J130+เชียงใหม่!J130+ตาก!J130+นครสวรรค์!J130+น่าน!J130+พะเยา!J130+พิจิตร!J130+พิษณุโลก!J130+เพชรบูรณ์!J130+แพร่!J130+แม่ฮ่องสอน!J130+ลำปาง!J130+ลำพูน!J130+สุโขทัย!J130+อุตรดิตถ์!J130+อุทัยธานี!J130</f>
        <v>10</v>
      </c>
      <c r="K130" s="223"/>
      <c r="L130" s="168"/>
      <c r="M130" s="168"/>
      <c r="N130" s="168"/>
      <c r="O130" s="181"/>
      <c r="P130" s="181"/>
    </row>
    <row r="131" spans="1:16" ht="21.75" customHeight="1" x14ac:dyDescent="0.3">
      <c r="A131" s="175"/>
      <c r="B131" s="176"/>
      <c r="C131" s="176"/>
      <c r="D131" s="193"/>
      <c r="E131" s="194" t="s">
        <v>48</v>
      </c>
      <c r="F131" s="195"/>
      <c r="G131" s="196"/>
      <c r="H131" s="186"/>
      <c r="I131" s="187"/>
      <c r="J131" s="187">
        <f ca="1">กำแพงเพชร!J131+เชียงราย!J131+เชียงใหม่!J131+ตาก!J131+นครสวรรค์!J131+น่าน!J131+พะเยา!J131+พิจิตร!J131+พิษณุโลก!J131+เพชรบูรณ์!J131+แพร่!J131+แม่ฮ่องสอน!J131+ลำปาง!J131+ลำพูน!J131+สุโขทัย!J131+อุตรดิตถ์!J131+อุทัยธานี!J131</f>
        <v>8</v>
      </c>
      <c r="K131" s="223"/>
      <c r="L131" s="168"/>
      <c r="M131" s="168"/>
      <c r="N131" s="168"/>
      <c r="O131" s="181"/>
      <c r="P131" s="181"/>
    </row>
    <row r="132" spans="1:16" ht="21.75" customHeight="1" x14ac:dyDescent="0.3">
      <c r="A132" s="175"/>
      <c r="B132" s="176"/>
      <c r="C132" s="176"/>
      <c r="D132" s="193"/>
      <c r="E132" s="198"/>
      <c r="F132" s="194" t="s">
        <v>70</v>
      </c>
      <c r="G132" s="196"/>
      <c r="H132" s="180" t="s">
        <v>37</v>
      </c>
      <c r="I132" s="187">
        <f ca="1">กำแพงเพชร!I132+เชียงราย!I132+เชียงใหม่!I132+ตาก!I132+นครสวรรค์!I132+น่าน!I132+พะเยา!I132+พิจิตร!I132+พิษณุโลก!I132+เพชรบูรณ์!I132+แพร่!I132+แม่ฮ่องสอน!I132+ลำปาง!I132+ลำพูน!I132+สุโขทัย!I132+อุตรดิตถ์!I132+อุทัยธานี!I132</f>
        <v>200</v>
      </c>
      <c r="J132" s="203">
        <f ca="1">กำแพงเพชร!J132+เชียงราย!J132+เชียงใหม่!J132+ตาก!J132+นครสวรรค์!J132+น่าน!J132+พะเยา!J132+พิจิตร!J132+พิษณุโลก!J132+เพชรบูรณ์!J132+แพร่!J132+แม่ฮ่องสอน!J132+ลำปาง!J132+ลำพูน!J132+สุโขทัย!J132+อุตรดิตถ์!J132+อุทัยธานี!J132</f>
        <v>210</v>
      </c>
      <c r="K132" s="223">
        <f t="shared" ref="K132:K133" ca="1" si="53">IF(I132&gt;0,J132*100/I132,0)</f>
        <v>105</v>
      </c>
      <c r="L132" s="168"/>
      <c r="M132" s="168"/>
      <c r="N132" s="168"/>
      <c r="O132" s="181"/>
      <c r="P132" s="181"/>
    </row>
    <row r="133" spans="1:16" ht="21.75" customHeight="1" x14ac:dyDescent="0.3">
      <c r="A133" s="175"/>
      <c r="B133" s="176"/>
      <c r="C133" s="176"/>
      <c r="D133" s="193"/>
      <c r="E133" s="198"/>
      <c r="F133" s="194" t="s">
        <v>71</v>
      </c>
      <c r="G133" s="196"/>
      <c r="H133" s="180" t="s">
        <v>37</v>
      </c>
      <c r="I133" s="187">
        <f ca="1">กำแพงเพชร!I133+เชียงราย!I133+เชียงใหม่!I133+ตาก!I133+นครสวรรค์!I133+น่าน!I133+พะเยา!I133+พิจิตร!I133+พิษณุโลก!I133+เพชรบูรณ์!I133+แพร่!I133+แม่ฮ่องสอน!I133+ลำปาง!I133+ลำพูน!I133+สุโขทัย!I133+อุตรดิตถ์!I133+อุทัยธานี!I133</f>
        <v>200</v>
      </c>
      <c r="J133" s="203">
        <f ca="1">กำแพงเพชร!J133+เชียงราย!J133+เชียงใหม่!J133+ตาก!J133+นครสวรรค์!J133+น่าน!J133+พะเยา!J133+พิจิตร!J133+พิษณุโลก!J133+เพชรบูรณ์!J133+แพร่!J133+แม่ฮ่องสอน!J133+ลำปาง!J133+ลำพูน!J133+สุโขทัย!J133+อุตรดิตถ์!J133+อุทัยธานี!J133</f>
        <v>78</v>
      </c>
      <c r="K133" s="223">
        <f t="shared" ca="1" si="53"/>
        <v>39</v>
      </c>
      <c r="L133" s="168"/>
      <c r="M133" s="168"/>
      <c r="N133" s="168"/>
      <c r="O133" s="181"/>
      <c r="P133" s="181"/>
    </row>
    <row r="134" spans="1:16" ht="21.75" customHeight="1" x14ac:dyDescent="0.3">
      <c r="A134" s="175"/>
      <c r="B134" s="176"/>
      <c r="C134" s="176"/>
      <c r="D134" s="193"/>
      <c r="E134" s="194" t="s">
        <v>54</v>
      </c>
      <c r="F134" s="195"/>
      <c r="G134" s="196"/>
      <c r="H134" s="186"/>
      <c r="I134" s="187"/>
      <c r="J134" s="187">
        <f ca="1">กำแพงเพชร!J134+เชียงราย!J134+เชียงใหม่!J134+ตาก!J134+นครสวรรค์!J134+น่าน!J134+พะเยา!J134+พิจิตร!J134+พิษณุโลก!J134+เพชรบูรณ์!J134+แพร่!J134+แม่ฮ่องสอน!J134+ลำปาง!J134+ลำพูน!J134+สุโขทัย!J134+อุตรดิตถ์!J134+อุทัยธานี!J134</f>
        <v>0</v>
      </c>
      <c r="K134" s="223"/>
      <c r="L134" s="168"/>
      <c r="M134" s="168"/>
      <c r="N134" s="168"/>
      <c r="O134" s="181"/>
      <c r="P134" s="181"/>
    </row>
    <row r="135" spans="1:16" ht="21.75" customHeight="1" x14ac:dyDescent="0.3">
      <c r="A135" s="233"/>
      <c r="B135" s="234"/>
      <c r="C135" s="234"/>
      <c r="D135" s="235">
        <v>3</v>
      </c>
      <c r="E135" s="236" t="s">
        <v>55</v>
      </c>
      <c r="F135" s="237"/>
      <c r="G135" s="238"/>
      <c r="H135" s="239"/>
      <c r="I135" s="240"/>
      <c r="J135" s="241">
        <f ca="1">กำแพงเพชร!J135+เชียงราย!J135+เชียงใหม่!J135+ตาก!J135+นครสวรรค์!J135+น่าน!J135+พะเยา!J135+พิจิตร!J135+พิษณุโลก!J135+เพชรบูรณ์!J135+แพร่!J135+แม่ฮ่องสอน!J135+ลำปาง!J135+ลำพูน!J135+สุโขทัย!J135+อุตรดิตถ์!J135+อุทัยธานี!J135</f>
        <v>0</v>
      </c>
      <c r="K135" s="242"/>
      <c r="L135" s="243"/>
      <c r="M135" s="243"/>
      <c r="N135" s="243"/>
      <c r="O135" s="244"/>
      <c r="P135" s="244"/>
    </row>
    <row r="136" spans="1:16" ht="21.75" customHeight="1" x14ac:dyDescent="0.3">
      <c r="A136" s="245" t="s">
        <v>72</v>
      </c>
      <c r="B136" s="246"/>
      <c r="C136" s="246"/>
      <c r="D136" s="246"/>
      <c r="E136" s="247"/>
      <c r="F136" s="247"/>
      <c r="G136" s="248"/>
      <c r="H136" s="249"/>
      <c r="I136" s="250"/>
      <c r="J136" s="250"/>
      <c r="K136" s="251"/>
      <c r="L136" s="252"/>
      <c r="M136" s="252"/>
      <c r="N136" s="252"/>
      <c r="O136" s="252"/>
      <c r="P136" s="252"/>
    </row>
    <row r="137" spans="1:16" ht="21.75" customHeight="1" x14ac:dyDescent="0.3">
      <c r="A137" s="253" t="s">
        <v>73</v>
      </c>
      <c r="B137" s="254"/>
      <c r="C137" s="254"/>
      <c r="D137" s="255"/>
      <c r="E137" s="255"/>
      <c r="F137" s="255"/>
      <c r="G137" s="256"/>
      <c r="H137" s="257"/>
      <c r="I137" s="258"/>
      <c r="J137" s="258"/>
      <c r="K137" s="259"/>
      <c r="L137" s="259"/>
      <c r="M137" s="259"/>
      <c r="N137" s="259"/>
      <c r="O137" s="260"/>
      <c r="P137" s="260"/>
    </row>
    <row r="138" spans="1:16" ht="21.75" customHeight="1" x14ac:dyDescent="0.3">
      <c r="A138" s="261"/>
      <c r="B138" s="262" t="s">
        <v>74</v>
      </c>
      <c r="C138" s="263"/>
      <c r="D138" s="262"/>
      <c r="E138" s="262"/>
      <c r="F138" s="262"/>
      <c r="G138" s="264"/>
      <c r="H138" s="265" t="s">
        <v>37</v>
      </c>
      <c r="I138" s="266">
        <f ca="1">กำแพงเพชร!I138+เชียงราย!I138+เชียงใหม่!I138+ตาก!I138+นครสวรรค์!I138+น่าน!I138+พะเยา!I138+พิจิตร!I138+พิษณุโลก!I138+เพชรบูรณ์!I138+แพร่!I138+แม่ฮ่องสอน!I138+ลำปาง!I138+ลำพูน!I138+สุโขทัย!I138+อุตรดิตถ์!I138+อุทัยธานี!I138</f>
        <v>440</v>
      </c>
      <c r="J138" s="266">
        <f ca="1">กำแพงเพชร!J138+เชียงราย!J138+เชียงใหม่!J138+ตาก!J138+นครสวรรค์!J138+น่าน!J138+พะเยา!J138+พิจิตร!J138+พิษณุโลก!J138+เพชรบูรณ์!J138+แพร่!J138+แม่ฮ่องสอน!J138+ลำปาง!J138+ลำพูน!J138+สุโขทัย!J138+อุตรดิตถ์!J138+อุทัยธานี!J138</f>
        <v>440</v>
      </c>
      <c r="K138" s="267">
        <f ca="1">IF(I138&gt;0,J138*100/I138,0)</f>
        <v>100</v>
      </c>
      <c r="L138" s="268"/>
      <c r="M138" s="268"/>
      <c r="N138" s="268"/>
      <c r="O138" s="267"/>
      <c r="P138" s="267"/>
    </row>
    <row r="139" spans="1:16" ht="21.75" customHeight="1" x14ac:dyDescent="0.3">
      <c r="A139" s="261"/>
      <c r="B139" s="262" t="s">
        <v>75</v>
      </c>
      <c r="C139" s="263"/>
      <c r="D139" s="262"/>
      <c r="E139" s="262"/>
      <c r="F139" s="262"/>
      <c r="G139" s="264"/>
      <c r="H139" s="265"/>
      <c r="I139" s="266"/>
      <c r="J139" s="266"/>
      <c r="K139" s="267"/>
      <c r="L139" s="268"/>
      <c r="M139" s="268"/>
      <c r="N139" s="268"/>
      <c r="O139" s="267"/>
      <c r="P139" s="267"/>
    </row>
    <row r="140" spans="1:16" ht="21.75" customHeight="1" x14ac:dyDescent="0.45">
      <c r="A140" s="145"/>
      <c r="B140" s="146"/>
      <c r="C140" s="147" t="s">
        <v>16</v>
      </c>
      <c r="D140" s="537" t="s">
        <v>17</v>
      </c>
      <c r="E140" s="528"/>
      <c r="F140" s="528"/>
      <c r="G140" s="528"/>
      <c r="H140" s="148" t="s">
        <v>12</v>
      </c>
      <c r="I140" s="162"/>
      <c r="J140" s="162"/>
      <c r="K140" s="163"/>
      <c r="L140" s="151">
        <f ca="1">กำแพงเพชร!L140+เชียงราย!L140+เชียงใหม่!L140+ตาก!L140+นครสวรรค์!L140+น่าน!L140+พะเยา!L140+พิจิตร!L140+พิษณุโลก!L140+เพชรบูรณ์!L140+แพร่!L140+แม่ฮ่องสอน!L140+ลำปาง!L140+ลำพูน!L140+สุโขทัย!L140+อุตรดิตถ์!L140+อุทัยธานี!L140</f>
        <v>5884000</v>
      </c>
      <c r="M140" s="151">
        <f ca="1">กำแพงเพชร!M140+เชียงราย!M140+เชียงใหม่!M140+ตาก!M140+นครสวรรค์!M140+น่าน!M140+พะเยา!M140+พิจิตร!M140+พิษณุโลก!M140+เพชรบูรณ์!M140+แพร่!M140+แม่ฮ่องสอน!M140+ลำปาง!M140+ลำพูน!M140+สุโขทัย!M140+อุตรดิตถ์!M140+อุทัยธานี!M140</f>
        <v>3582850</v>
      </c>
      <c r="N140" s="151">
        <f ca="1">กำแพงเพชร!N140+เชียงราย!N140+เชียงใหม่!N140+ตาก!N140+นครสวรรค์!N140+น่าน!N140+พะเยา!N140+พิจิตร!N140+พิษณุโลก!N140+เพชรบูรณ์!N140+แพร่!N140+แม่ฮ่องสอน!N140+ลำปาง!N140+ลำพูน!N140+สุโขทัย!N140+อุตรดิตถ์!N140+อุทัยธานี!N140</f>
        <v>2502353</v>
      </c>
      <c r="O140" s="150">
        <f t="shared" ref="O140:O142" ca="1" si="54">IF(L140&gt;0,N140*100/L140,0)</f>
        <v>42.528093133922503</v>
      </c>
      <c r="P140" s="150">
        <f t="shared" ref="P140:P142" ca="1" si="55">IF(M140&gt;0,N140*100/M140,0)</f>
        <v>69.842527596745612</v>
      </c>
    </row>
    <row r="141" spans="1:16" ht="21.75" customHeight="1" x14ac:dyDescent="0.45">
      <c r="A141" s="152"/>
      <c r="B141" s="32"/>
      <c r="C141" s="32"/>
      <c r="D141" s="32"/>
      <c r="E141" s="32"/>
      <c r="F141" s="32"/>
      <c r="G141" s="33" t="s">
        <v>18</v>
      </c>
      <c r="H141" s="153" t="s">
        <v>12</v>
      </c>
      <c r="I141" s="162"/>
      <c r="J141" s="162"/>
      <c r="K141" s="163"/>
      <c r="L141" s="87">
        <f>กำแพงเพชร!L141+เชียงราย!L141+เชียงใหม่!L141+ตาก!L141+นครสวรรค์!L141+น่าน!L141+พะเยา!L141+พิจิตร!L141+พิษณุโลก!L141+เพชรบูรณ์!L141+แพร่!L141+แม่ฮ่องสอน!L141+ลำปาง!L141+ลำพูน!L141+สุโขทัย!L141+อุตรดิตถ์!L141+อุทัยธานี!L141</f>
        <v>0</v>
      </c>
      <c r="M141" s="87">
        <f>กำแพงเพชร!M141+เชียงราย!M141+เชียงใหม่!M141+ตาก!M141+นครสวรรค์!M141+น่าน!M141+พะเยา!M141+พิจิตร!M141+พิษณุโลก!M141+เพชรบูรณ์!M141+แพร่!M141+แม่ฮ่องสอน!M141+ลำปาง!M141+ลำพูน!M141+สุโขทัย!M141+อุตรดิตถ์!M141+อุทัยธานี!M141</f>
        <v>0</v>
      </c>
      <c r="N141" s="87">
        <f>กำแพงเพชร!N141+เชียงราย!N141+เชียงใหม่!N141+ตาก!N141+นครสวรรค์!N141+น่าน!N141+พะเยา!N141+พิจิตร!N141+พิษณุโลก!N141+เพชรบูรณ์!N141+แพร่!N141+แม่ฮ่องสอน!N141+ลำปาง!N141+ลำพูน!N141+สุโขทัย!N141+อุตรดิตถ์!N141+อุทัยธานี!N141</f>
        <v>0</v>
      </c>
      <c r="O141" s="155">
        <f t="shared" si="54"/>
        <v>0</v>
      </c>
      <c r="P141" s="155">
        <f t="shared" si="55"/>
        <v>0</v>
      </c>
    </row>
    <row r="142" spans="1:16" ht="21.75" customHeight="1" x14ac:dyDescent="0.45">
      <c r="A142" s="152"/>
      <c r="B142" s="32"/>
      <c r="C142" s="32"/>
      <c r="D142" s="32"/>
      <c r="E142" s="32"/>
      <c r="F142" s="32"/>
      <c r="G142" s="33" t="s">
        <v>19</v>
      </c>
      <c r="H142" s="153" t="s">
        <v>12</v>
      </c>
      <c r="I142" s="162"/>
      <c r="J142" s="162"/>
      <c r="K142" s="163"/>
      <c r="L142" s="87">
        <f ca="1">กำแพงเพชร!L142+เชียงราย!L142+เชียงใหม่!L142+ตาก!L142+นครสวรรค์!L142+น่าน!L142+พะเยา!L142+พิจิตร!L142+พิษณุโลก!L142+เพชรบูรณ์!L142+แพร่!L142+แม่ฮ่องสอน!L142+ลำปาง!L142+ลำพูน!L142+สุโขทัย!L142+อุตรดิตถ์!L142+อุทัยธานี!L142</f>
        <v>5884000</v>
      </c>
      <c r="M142" s="87">
        <f ca="1">กำแพงเพชร!M142+เชียงราย!M142+เชียงใหม่!M142+ตาก!M142+นครสวรรค์!M142+น่าน!M142+พะเยา!M142+พิจิตร!M142+พิษณุโลก!M142+เพชรบูรณ์!M142+แพร่!M142+แม่ฮ่องสอน!M142+ลำปาง!M142+ลำพูน!M142+สุโขทัย!M142+อุตรดิตถ์!M142+อุทัยธานี!M142</f>
        <v>3582850</v>
      </c>
      <c r="N142" s="87">
        <f ca="1">กำแพงเพชร!N142+เชียงราย!N142+เชียงใหม่!N142+ตาก!N142+นครสวรรค์!N142+น่าน!N142+พะเยา!N142+พิจิตร!N142+พิษณุโลก!N142+เพชรบูรณ์!N142+แพร่!N142+แม่ฮ่องสอน!N142+ลำปาง!N142+ลำพูน!N142+สุโขทัย!N142+อุตรดิตถ์!N142+อุทัยธานี!N142</f>
        <v>2502353</v>
      </c>
      <c r="O142" s="155">
        <f t="shared" ca="1" si="54"/>
        <v>42.528093133922503</v>
      </c>
      <c r="P142" s="155">
        <f t="shared" ca="1" si="55"/>
        <v>69.842527596745612</v>
      </c>
    </row>
    <row r="143" spans="1:16" ht="21.75" customHeight="1" x14ac:dyDescent="0.3">
      <c r="A143" s="156"/>
      <c r="B143" s="157"/>
      <c r="C143" s="157" t="s">
        <v>16</v>
      </c>
      <c r="D143" s="158" t="s">
        <v>38</v>
      </c>
      <c r="E143" s="159"/>
      <c r="F143" s="159"/>
      <c r="G143" s="160" t="s">
        <v>39</v>
      </c>
      <c r="H143" s="161" t="s">
        <v>12</v>
      </c>
      <c r="I143" s="162" t="s">
        <v>40</v>
      </c>
      <c r="J143" s="162"/>
      <c r="K143" s="163"/>
      <c r="L143" s="164">
        <f>กำแพงเพชร!L143+เชียงราย!L143+เชียงใหม่!L143+ตาก!L143+นครสวรรค์!L143+น่าน!L143+พะเยา!L143+พิจิตร!L143+พิษณุโลก!L143+เพชรบูรณ์!L143+แพร่!L143+แม่ฮ่องสอน!L143+ลำปาง!L143+ลำพูน!L143+สุโขทัย!L143+อุตรดิตถ์!L143+อุทัยธานี!L143</f>
        <v>0</v>
      </c>
      <c r="M143" s="164">
        <f>กำแพงเพชร!M143+เชียงราย!M143+เชียงใหม่!M143+ตาก!M143+นครสวรรค์!M143+น่าน!M143+พะเยา!M143+พิจิตร!M143+พิษณุโลก!M143+เพชรบูรณ์!M143+แพร่!M143+แม่ฮ่องสอน!M143+ลำปาง!M143+ลำพูน!M143+สุโขทัย!M143+อุตรดิตถ์!M143+อุทัยธานี!M143</f>
        <v>0</v>
      </c>
      <c r="N143" s="164">
        <f>กำแพงเพชร!N143+เชียงราย!N143+เชียงใหม่!N143+ตาก!N143+นครสวรรค์!N143+น่าน!N143+พะเยา!N143+พิจิตร!N143+พิษณุโลก!N143+เพชรบูรณ์!N143+แพร่!N143+แม่ฮ่องสอน!N143+ลำปาง!N143+ลำพูน!N143+สุโขทัย!N143+อุตรดิตถ์!N143+อุทัยธานี!N143</f>
        <v>0</v>
      </c>
      <c r="O143" s="165">
        <f>+IF(L143&gt;0,N143*100/L143,0)</f>
        <v>0</v>
      </c>
      <c r="P143" s="165"/>
    </row>
    <row r="144" spans="1:16" ht="21.75" customHeight="1" x14ac:dyDescent="0.3">
      <c r="A144" s="156"/>
      <c r="B144" s="157"/>
      <c r="C144" s="157"/>
      <c r="D144" s="166"/>
      <c r="E144" s="159"/>
      <c r="F144" s="159" t="s">
        <v>40</v>
      </c>
      <c r="G144" s="160" t="s">
        <v>41</v>
      </c>
      <c r="H144" s="161" t="s">
        <v>12</v>
      </c>
      <c r="I144" s="162"/>
      <c r="J144" s="162"/>
      <c r="K144" s="163"/>
      <c r="L144" s="167">
        <f ca="1">กำแพงเพชร!L144+เชียงราย!L144+เชียงใหม่!L144+ตาก!L144+นครสวรรค์!L144+น่าน!L144+พะเยา!L144+พิจิตร!L144+พิษณุโลก!L144+เพชรบูรณ์!L144+แพร่!L144+แม่ฮ่องสอน!L144+ลำปาง!L144+ลำพูน!L144+สุโขทัย!L144+อุตรดิตถ์!L144+อุทัยธานี!L144</f>
        <v>5646000</v>
      </c>
      <c r="M144" s="167">
        <f ca="1">กำแพงเพชร!M144+เชียงราย!M144+เชียงใหม่!M144+ตาก!M144+นครสวรรค์!M144+น่าน!M144+พะเยา!M144+พิจิตร!M144+พิษณุโลก!M144+เพชรบูรณ์!M144+แพร่!M144+แม่ฮ่องสอน!M144+ลำปาง!M144+ลำพูน!M144+สุโขทัย!M144+อุตรดิตถ์!M144+อุทัยธานี!M144</f>
        <v>3344850</v>
      </c>
      <c r="N144" s="168">
        <f ca="1">กำแพงเพชร!N144+เชียงราย!N144+เชียงใหม่!N144+ตาก!N144+นครสวรรค์!N144+น่าน!N144+พะเยา!N144+พิจิตร!N144+พิษณุโลก!N144+เพชรบูรณ์!N144+แพร่!N144+แม่ฮ่องสอน!N144+ลำปาง!N144+ลำพูน!N144+สุโขทัย!N144+อุตรดิตถ์!N144+อุทัยธานี!N144</f>
        <v>2264353</v>
      </c>
      <c r="O144" s="168">
        <f ca="1">IF(L144&gt;0,N144*100/L144,0)</f>
        <v>40.105437477860434</v>
      </c>
      <c r="P144" s="168">
        <f ca="1">IF(M144&gt;0,N144*100/M144,0)</f>
        <v>67.696697908725355</v>
      </c>
    </row>
    <row r="145" spans="1:16" ht="21.75" customHeight="1" x14ac:dyDescent="0.3">
      <c r="A145" s="156"/>
      <c r="B145" s="157"/>
      <c r="C145" s="157"/>
      <c r="D145" s="166"/>
      <c r="E145" s="159"/>
      <c r="F145" s="159"/>
      <c r="G145" s="169" t="s">
        <v>42</v>
      </c>
      <c r="H145" s="161" t="s">
        <v>12</v>
      </c>
      <c r="I145" s="162"/>
      <c r="J145" s="162"/>
      <c r="K145" s="163"/>
      <c r="L145" s="167">
        <f ca="1">กำแพงเพชร!L145+เชียงราย!L145+เชียงใหม่!L145+ตาก!L145+นครสวรรค์!L145+น่าน!L145+พะเยา!L145+พิจิตร!L145+พิษณุโลก!L145+เพชรบูรณ์!L145+แพร่!L145+แม่ฮ่องสอน!L145+ลำปาง!L145+ลำพูน!L145+สุโขทัย!L145+อุตรดิตถ์!L145+อุทัยธานี!L145</f>
        <v>2232800</v>
      </c>
      <c r="M145" s="167"/>
      <c r="N145" s="167"/>
      <c r="O145" s="168"/>
      <c r="P145" s="168"/>
    </row>
    <row r="146" spans="1:16" ht="21.75" customHeight="1" x14ac:dyDescent="0.3">
      <c r="A146" s="156"/>
      <c r="B146" s="157"/>
      <c r="C146" s="157"/>
      <c r="D146" s="166"/>
      <c r="E146" s="159"/>
      <c r="F146" s="159"/>
      <c r="G146" s="169" t="s">
        <v>43</v>
      </c>
      <c r="H146" s="161" t="s">
        <v>12</v>
      </c>
      <c r="I146" s="162"/>
      <c r="J146" s="162"/>
      <c r="K146" s="163"/>
      <c r="L146" s="167">
        <f ca="1">กำแพงเพชร!L146+เชียงราย!L146+เชียงใหม่!L146+ตาก!L146+นครสวรรค์!L146+น่าน!L146+พะเยา!L146+พิจิตร!L146+พิษณุโลก!L146+เพชรบูรณ์!L146+แพร่!L146+แม่ฮ่องสอน!L146+ลำปาง!L146+ลำพูน!L146+สุโขทัย!L146+อุตรดิตถ์!L146+อุทัยธานี!L146</f>
        <v>3413200</v>
      </c>
      <c r="M146" s="167"/>
      <c r="N146" s="167"/>
      <c r="O146" s="168"/>
      <c r="P146" s="168"/>
    </row>
    <row r="147" spans="1:16" ht="21.75" customHeight="1" x14ac:dyDescent="0.45">
      <c r="A147" s="170"/>
      <c r="B147" s="80"/>
      <c r="C147" s="81" t="s">
        <v>16</v>
      </c>
      <c r="D147" s="534" t="s">
        <v>23</v>
      </c>
      <c r="E147" s="530"/>
      <c r="F147" s="88"/>
      <c r="G147" s="82" t="s">
        <v>18</v>
      </c>
      <c r="H147" s="171" t="s">
        <v>12</v>
      </c>
      <c r="I147" s="187"/>
      <c r="J147" s="187"/>
      <c r="K147" s="223"/>
      <c r="L147" s="41">
        <f>กำแพงเพชร!L147+เชียงราย!L147+เชียงใหม่!L147+ตาก!L147+นครสวรรค์!L147+น่าน!L147+พะเยา!L147+พิจิตร!L147+พิษณุโลก!L147+เพชรบูรณ์!L147+แพร่!L147+แม่ฮ่องสอน!L147+ลำปาง!L147+ลำพูน!L147+สุโขทัย!L147+อุตรดิตถ์!L147+อุทัยธานี!L147</f>
        <v>0</v>
      </c>
      <c r="M147" s="41"/>
      <c r="N147" s="41"/>
      <c r="O147" s="41"/>
      <c r="P147" s="41"/>
    </row>
    <row r="148" spans="1:16" ht="21.75" customHeight="1" x14ac:dyDescent="0.45">
      <c r="A148" s="172"/>
      <c r="B148" s="91"/>
      <c r="C148" s="91"/>
      <c r="D148" s="173"/>
      <c r="E148" s="92"/>
      <c r="F148" s="92"/>
      <c r="G148" s="93" t="s">
        <v>19</v>
      </c>
      <c r="H148" s="174" t="s">
        <v>12</v>
      </c>
      <c r="I148" s="187"/>
      <c r="J148" s="187"/>
      <c r="K148" s="223"/>
      <c r="L148" s="49">
        <f ca="1">กำแพงเพชร!L148+เชียงราย!L148+เชียงใหม่!L148+ตาก!L148+นครสวรรค์!L148+น่าน!L148+พะเยา!L148+พิจิตร!L148+พิษณุโลก!L148+เพชรบูรณ์!L148+แพร่!L148+แม่ฮ่องสอน!L148+ลำปาง!L148+ลำพูน!L148+สุโขทัย!L148+อุตรดิตถ์!L148+อุทัยธานี!L148</f>
        <v>238000</v>
      </c>
      <c r="M148" s="49">
        <f ca="1">กำแพงเพชร!M148+เชียงราย!M148+เชียงใหม่!M148+ตาก!M148+นครสวรรค์!M148+น่าน!M148+พะเยา!M148+พิจิตร!M148+พิษณุโลก!M148+เพชรบูรณ์!M148+แพร่!M148+แม่ฮ่องสอน!M148+ลำปาง!M148+ลำพูน!M148+สุโขทัย!M148+อุตรดิตถ์!M148+อุทัยธานี!M148</f>
        <v>238000</v>
      </c>
      <c r="N148" s="49">
        <f ca="1">กำแพงเพชร!N148+เชียงราย!N148+เชียงใหม่!N148+ตาก!N148+นครสวรรค์!N148+น่าน!N148+พะเยา!N148+พิจิตร!N148+พิษณุโลก!N148+เพชรบูรณ์!N148+แพร่!N148+แม่ฮ่องสอน!N148+ลำปาง!N148+ลำพูน!N148+สุโขทัย!N148+อุตรดิตถ์!N148+อุทัยธานี!N148</f>
        <v>238000</v>
      </c>
      <c r="O148" s="49">
        <f ca="1">IF(L148&gt;0,N148*100/L148,0)</f>
        <v>100</v>
      </c>
      <c r="P148" s="49">
        <f ca="1">IF(M148&gt;0,N148*100/M148,0)</f>
        <v>100</v>
      </c>
    </row>
    <row r="149" spans="1:16" ht="21.75" customHeight="1" x14ac:dyDescent="0.3">
      <c r="A149" s="269"/>
      <c r="B149" s="270"/>
      <c r="C149" s="271" t="s">
        <v>76</v>
      </c>
      <c r="D149" s="271"/>
      <c r="E149" s="271"/>
      <c r="F149" s="271"/>
      <c r="G149" s="272"/>
      <c r="H149" s="273" t="s">
        <v>77</v>
      </c>
      <c r="I149" s="274">
        <f ca="1">กำแพงเพชร!I149+เชียงราย!I149+เชียงใหม่!I149+ตาก!I149+นครสวรรค์!I149+น่าน!I149+พะเยา!I149+พิจิตร!I149+พิษณุโลก!I149+เพชรบูรณ์!I149+แพร่!I149+แม่ฮ่องสอน!I149+ลำปาง!I149+ลำพูน!I149+สุโขทัย!I149+อุตรดิตถ์!I149+อุทัยธานี!I149</f>
        <v>68</v>
      </c>
      <c r="J149" s="274">
        <f ca="1">กำแพงเพชร!J149+เชียงราย!J149+เชียงใหม่!J149+ตาก!J149+นครสวรรค์!J149+น่าน!J149+พะเยา!J149+พิจิตร!J149+พิษณุโลก!J149+เพชรบูรณ์!J149+แพร่!J149+แม่ฮ่องสอน!J149+ลำปาง!J149+ลำพูน!J149+สุโขทัย!J149+อุตรดิตถ์!J149+อุทัยธานี!J149</f>
        <v>23</v>
      </c>
      <c r="K149" s="275">
        <f ca="1">IF(I149&gt;0,J149*100/I149,0)</f>
        <v>33.823529411764703</v>
      </c>
      <c r="L149" s="276"/>
      <c r="M149" s="276"/>
      <c r="N149" s="276"/>
      <c r="O149" s="276"/>
      <c r="P149" s="276"/>
    </row>
    <row r="150" spans="1:16" ht="21.75" customHeight="1" x14ac:dyDescent="0.3">
      <c r="A150" s="156"/>
      <c r="B150" s="157"/>
      <c r="C150" s="157" t="s">
        <v>16</v>
      </c>
      <c r="D150" s="158" t="s">
        <v>38</v>
      </c>
      <c r="E150" s="159"/>
      <c r="F150" s="159"/>
      <c r="G150" s="160" t="s">
        <v>39</v>
      </c>
      <c r="H150" s="161" t="s">
        <v>12</v>
      </c>
      <c r="I150" s="162" t="s">
        <v>40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3">
      <c r="A151" s="156"/>
      <c r="B151" s="157"/>
      <c r="C151" s="157"/>
      <c r="D151" s="166"/>
      <c r="E151" s="159"/>
      <c r="F151" s="159" t="s">
        <v>40</v>
      </c>
      <c r="G151" s="160" t="s">
        <v>41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3">
      <c r="A152" s="156"/>
      <c r="B152" s="157"/>
      <c r="C152" s="157"/>
      <c r="D152" s="166"/>
      <c r="E152" s="159"/>
      <c r="F152" s="159"/>
      <c r="G152" s="169" t="s">
        <v>43</v>
      </c>
      <c r="H152" s="161" t="s">
        <v>12</v>
      </c>
      <c r="I152" s="162"/>
      <c r="J152" s="162"/>
      <c r="K152" s="163"/>
      <c r="L152" s="168"/>
      <c r="M152" s="168"/>
      <c r="N152" s="167"/>
      <c r="O152" s="168"/>
      <c r="P152" s="168"/>
    </row>
    <row r="153" spans="1:16" ht="21.75" customHeight="1" x14ac:dyDescent="0.3">
      <c r="A153" s="175"/>
      <c r="B153" s="176"/>
      <c r="C153" s="157" t="s">
        <v>16</v>
      </c>
      <c r="D153" s="177" t="s">
        <v>44</v>
      </c>
      <c r="E153" s="178"/>
      <c r="F153" s="178"/>
      <c r="G153" s="179"/>
      <c r="H153" s="180"/>
      <c r="I153" s="162"/>
      <c r="J153" s="162"/>
      <c r="K153" s="163"/>
      <c r="L153" s="181"/>
      <c r="M153" s="181"/>
      <c r="N153" s="181"/>
      <c r="O153" s="181"/>
      <c r="P153" s="181"/>
    </row>
    <row r="154" spans="1:16" ht="21.75" customHeight="1" x14ac:dyDescent="0.3">
      <c r="A154" s="175"/>
      <c r="B154" s="176"/>
      <c r="C154" s="176"/>
      <c r="D154" s="182">
        <v>1</v>
      </c>
      <c r="E154" s="183" t="s">
        <v>45</v>
      </c>
      <c r="F154" s="184"/>
      <c r="G154" s="185"/>
      <c r="H154" s="186"/>
      <c r="I154" s="187"/>
      <c r="J154" s="188">
        <f ca="1">กำแพงเพชร!J154+เชียงราย!J154+เชียงใหม่!J154+ตาก!J154+นครสวรรค์!J154+น่าน!J154+พะเยา!J154+พิจิตร!J154+พิษณุโลก!J154+เพชรบูรณ์!J154+แพร่!J154+แม่ฮ่องสอน!J154+ลำปาง!J154+ลำพูน!J154+สุโขทัย!J154+อุตรดิตถ์!J154+อุทัยธานี!J154</f>
        <v>0</v>
      </c>
      <c r="K154" s="163"/>
      <c r="L154" s="181"/>
      <c r="M154" s="181"/>
      <c r="N154" s="181"/>
      <c r="O154" s="181"/>
      <c r="P154" s="181"/>
    </row>
    <row r="155" spans="1:16" ht="21.75" customHeight="1" x14ac:dyDescent="0.3">
      <c r="A155" s="175"/>
      <c r="B155" s="176"/>
      <c r="C155" s="176"/>
      <c r="D155" s="189">
        <v>2</v>
      </c>
      <c r="E155" s="190" t="s">
        <v>46</v>
      </c>
      <c r="F155" s="191"/>
      <c r="G155" s="192"/>
      <c r="H155" s="186"/>
      <c r="I155" s="187"/>
      <c r="J155" s="197">
        <f ca="1">กำแพงเพชร!J155+เชียงราย!J155+เชียงใหม่!J155+ตาก!J155+นครสวรรค์!J155+น่าน!J155+พะเยา!J155+พิจิตร!J155+พิษณุโลก!J155+เพชรบูรณ์!J155+แพร่!J155+แม่ฮ่องสอน!J155+ลำปาง!J155+ลำพูน!J155+สุโขทัย!J155+อุตรดิตถ์!J155+อุทัยธานี!J155</f>
        <v>16</v>
      </c>
      <c r="K155" s="163"/>
      <c r="L155" s="181"/>
      <c r="M155" s="181"/>
      <c r="N155" s="181"/>
      <c r="O155" s="181"/>
      <c r="P155" s="181"/>
    </row>
    <row r="156" spans="1:16" ht="21.75" customHeight="1" x14ac:dyDescent="0.3">
      <c r="A156" s="175"/>
      <c r="B156" s="176"/>
      <c r="C156" s="176"/>
      <c r="D156" s="193"/>
      <c r="E156" s="194" t="s">
        <v>47</v>
      </c>
      <c r="F156" s="195"/>
      <c r="G156" s="196"/>
      <c r="H156" s="186"/>
      <c r="I156" s="187"/>
      <c r="J156" s="197">
        <f ca="1">กำแพงเพชร!J156+เชียงราย!J156+เชียงใหม่!J156+ตาก!J156+นครสวรรค์!J156+น่าน!J156+พะเยา!J156+พิจิตร!J156+พิษณุโลก!J156+เพชรบูรณ์!J156+แพร่!J156+แม่ฮ่องสอน!J156+ลำปาง!J156+ลำพูน!J156+สุโขทัย!J156+อุตรดิตถ์!J156+อุทัยธานี!J156</f>
        <v>12</v>
      </c>
      <c r="K156" s="163"/>
      <c r="L156" s="181"/>
      <c r="M156" s="181"/>
      <c r="N156" s="181"/>
      <c r="O156" s="181"/>
      <c r="P156" s="181"/>
    </row>
    <row r="157" spans="1:16" ht="21.75" customHeight="1" x14ac:dyDescent="0.3">
      <c r="A157" s="175"/>
      <c r="B157" s="176"/>
      <c r="C157" s="176"/>
      <c r="D157" s="193"/>
      <c r="E157" s="194" t="s">
        <v>48</v>
      </c>
      <c r="F157" s="195"/>
      <c r="G157" s="196"/>
      <c r="H157" s="186"/>
      <c r="I157" s="187"/>
      <c r="J157" s="197">
        <f ca="1">กำแพงเพชร!J157+เชียงราย!J157+เชียงใหม่!J157+ตาก!J157+นครสวรรค์!J157+น่าน!J157+พะเยา!J157+พิจิตร!J157+พิษณุโลก!J157+เพชรบูรณ์!J157+แพร่!J157+แม่ฮ่องสอน!J157+ลำปาง!J157+ลำพูน!J157+สุโขทัย!J157+อุตรดิตถ์!J157+อุทัยธานี!J157</f>
        <v>13</v>
      </c>
      <c r="K157" s="163"/>
      <c r="L157" s="181"/>
      <c r="M157" s="181"/>
      <c r="N157" s="181"/>
      <c r="O157" s="181"/>
      <c r="P157" s="181"/>
    </row>
    <row r="158" spans="1:16" ht="21.75" customHeight="1" x14ac:dyDescent="0.3">
      <c r="A158" s="175"/>
      <c r="B158" s="176"/>
      <c r="C158" s="176"/>
      <c r="D158" s="193"/>
      <c r="E158" s="198"/>
      <c r="F158" s="194" t="s">
        <v>78</v>
      </c>
      <c r="G158" s="196"/>
      <c r="H158" s="180" t="s">
        <v>77</v>
      </c>
      <c r="I158" s="187">
        <f ca="1">กำแพงเพชร!I158+เชียงราย!I158+เชียงใหม่!I158+ตาก!I158+นครสวรรค์!I158+น่าน!I158+พะเยา!I158+พิจิตร!I158+พิษณุโลก!I158+เพชรบูรณ์!I158+แพร่!I158+แม่ฮ่องสอน!I158+ลำปาง!I158+ลำพูน!I158+สุโขทัย!I158+อุตรดิตถ์!I158+อุทัยธานี!I158</f>
        <v>68</v>
      </c>
      <c r="J158" s="188">
        <f ca="1">กำแพงเพชร!J158+เชียงราย!J158+เชียงใหม่!J158+ตาก!J158+นครสวรรค์!J158+น่าน!J158+พะเยา!J158+พิจิตร!J158+พิษณุโลก!J158+เพชรบูรณ์!J158+แพร่!J158+แม่ฮ่องสอน!J158+ลำปาง!J158+ลำพูน!J158+สุโขทัย!J158+อุตรดิตถ์!J158+อุทัยธานี!J158</f>
        <v>23</v>
      </c>
      <c r="K158" s="163">
        <f ca="1">IF(I158&gt;0,J158*100/I158,0)</f>
        <v>33.823529411764703</v>
      </c>
      <c r="L158" s="181"/>
      <c r="M158" s="181"/>
      <c r="N158" s="181"/>
      <c r="O158" s="181"/>
      <c r="P158" s="181"/>
    </row>
    <row r="159" spans="1:16" ht="21.75" customHeight="1" x14ac:dyDescent="0.3">
      <c r="A159" s="175"/>
      <c r="B159" s="176"/>
      <c r="C159" s="176"/>
      <c r="D159" s="193"/>
      <c r="E159" s="195"/>
      <c r="F159" s="277" t="s">
        <v>79</v>
      </c>
      <c r="G159" s="196"/>
      <c r="H159" s="278" t="s">
        <v>37</v>
      </c>
      <c r="I159" s="187"/>
      <c r="J159" s="203">
        <f ca="1">กำแพงเพชร!J159+เชียงราย!J159+เชียงใหม่!J159+ตาก!J159+นครสวรรค์!J159+น่าน!J159+พะเยา!J159+พิจิตร!J159+พิษณุโลก!J159+เพชรบูรณ์!J159+แพร่!J159+แม่ฮ่องสอน!J159+ลำปาง!J159+ลำพูน!J159+สุโขทัย!J159+อุตรดิตถ์!J159+อุทัยธานี!J159</f>
        <v>1020</v>
      </c>
      <c r="K159" s="163"/>
      <c r="L159" s="181"/>
      <c r="M159" s="181"/>
      <c r="N159" s="181"/>
      <c r="O159" s="181"/>
      <c r="P159" s="181"/>
    </row>
    <row r="160" spans="1:16" ht="21.75" customHeight="1" x14ac:dyDescent="0.45">
      <c r="A160" s="175"/>
      <c r="B160" s="176"/>
      <c r="C160" s="176"/>
      <c r="D160" s="193"/>
      <c r="E160" s="195"/>
      <c r="F160" s="195"/>
      <c r="G160" s="279" t="s">
        <v>80</v>
      </c>
      <c r="H160" s="278" t="s">
        <v>37</v>
      </c>
      <c r="I160" s="187"/>
      <c r="J160" s="280">
        <f ca="1">กำแพงเพชร!J160+เชียงราย!J160+เชียงใหม่!J160+ตาก!J160+นครสวรรค์!J160+น่าน!J160+พะเยา!J160+พิจิตร!J160+พิษณุโลก!J160+เพชรบูรณ์!J160+แพร่!J160+แม่ฮ่องสอน!J160+ลำปาง!J160+ลำพูน!J160+สุโขทัย!J160+อุตรดิตถ์!J160+อุทัยธานี!J160</f>
        <v>1018</v>
      </c>
      <c r="K160" s="163"/>
      <c r="L160" s="181"/>
      <c r="M160" s="181"/>
      <c r="N160" s="181"/>
      <c r="O160" s="181"/>
      <c r="P160" s="181"/>
    </row>
    <row r="161" spans="1:16" ht="21.75" customHeight="1" x14ac:dyDescent="0.45">
      <c r="A161" s="175"/>
      <c r="B161" s="176"/>
      <c r="C161" s="176"/>
      <c r="D161" s="193"/>
      <c r="E161" s="195"/>
      <c r="F161" s="195"/>
      <c r="G161" s="279" t="s">
        <v>81</v>
      </c>
      <c r="H161" s="278" t="s">
        <v>37</v>
      </c>
      <c r="I161" s="187"/>
      <c r="J161" s="280">
        <f ca="1">กำแพงเพชร!J161+เชียงราย!J161+เชียงใหม่!J161+ตาก!J161+นครสวรรค์!J161+น่าน!J161+พะเยา!J161+พิจิตร!J161+พิษณุโลก!J161+เพชรบูรณ์!J161+แพร่!J161+แม่ฮ่องสอน!J161+ลำปาง!J161+ลำพูน!J161+สุโขทัย!J161+อุตรดิตถ์!J161+อุทัยธานี!J161</f>
        <v>2</v>
      </c>
      <c r="K161" s="163"/>
      <c r="L161" s="181"/>
      <c r="M161" s="181"/>
      <c r="N161" s="181"/>
      <c r="O161" s="181"/>
      <c r="P161" s="181"/>
    </row>
    <row r="162" spans="1:16" ht="21.75" customHeight="1" x14ac:dyDescent="0.3">
      <c r="A162" s="175"/>
      <c r="B162" s="176"/>
      <c r="C162" s="176"/>
      <c r="D162" s="193"/>
      <c r="E162" s="194" t="s">
        <v>54</v>
      </c>
      <c r="F162" s="195"/>
      <c r="G162" s="196"/>
      <c r="H162" s="186"/>
      <c r="I162" s="187"/>
      <c r="J162" s="197">
        <f ca="1">กำแพงเพชร!J162+เชียงราย!J162+เชียงใหม่!J162+ตาก!J162+นครสวรรค์!J162+น่าน!J162+พะเยา!J162+พิจิตร!J162+พิษณุโลก!J162+เพชรบูรณ์!J162+แพร่!J162+แม่ฮ่องสอน!J162+ลำปาง!J162+ลำพูน!J162+สุโขทัย!J162+อุตรดิตถ์!J162+อุทัยธานี!J162</f>
        <v>0</v>
      </c>
      <c r="K162" s="163"/>
      <c r="L162" s="181"/>
      <c r="M162" s="181"/>
      <c r="N162" s="181"/>
      <c r="O162" s="181"/>
      <c r="P162" s="181"/>
    </row>
    <row r="163" spans="1:16" ht="21.75" customHeight="1" x14ac:dyDescent="0.3">
      <c r="A163" s="175"/>
      <c r="B163" s="176"/>
      <c r="C163" s="176"/>
      <c r="D163" s="205">
        <v>3</v>
      </c>
      <c r="E163" s="206" t="s">
        <v>55</v>
      </c>
      <c r="F163" s="207"/>
      <c r="G163" s="208"/>
      <c r="H163" s="186"/>
      <c r="I163" s="187"/>
      <c r="J163" s="209">
        <f ca="1">กำแพงเพชร!J163+เชียงราย!J163+เชียงใหม่!J163+ตาก!J163+นครสวรรค์!J163+น่าน!J163+พะเยา!J163+พิจิตร!J163+พิษณุโลก!J163+เพชรบูรณ์!J163+แพร่!J163+แม่ฮ่องสอน!J163+ลำปาง!J163+ลำพูน!J163+สุโขทัย!J163+อุตรดิตถ์!J163+อุทัยธานี!J163</f>
        <v>0</v>
      </c>
      <c r="K163" s="163"/>
      <c r="L163" s="181"/>
      <c r="M163" s="181"/>
      <c r="N163" s="181"/>
      <c r="O163" s="181"/>
      <c r="P163" s="181"/>
    </row>
    <row r="164" spans="1:16" ht="21.75" customHeight="1" x14ac:dyDescent="0.3">
      <c r="A164" s="269"/>
      <c r="B164" s="270"/>
      <c r="C164" s="271" t="s">
        <v>82</v>
      </c>
      <c r="D164" s="271"/>
      <c r="E164" s="271"/>
      <c r="F164" s="271"/>
      <c r="G164" s="272"/>
      <c r="H164" s="281" t="s">
        <v>83</v>
      </c>
      <c r="I164" s="282">
        <f ca="1">กำแพงเพชร!I164+เชียงราย!I164+เชียงใหม่!I164+ตาก!I164+นครสวรรค์!I164+น่าน!I164+พะเยา!I164+พิจิตร!I164+พิษณุโลก!I164+เพชรบูรณ์!I164+แพร่!I164+แม่ฮ่องสอน!I164+ลำปาง!I164+ลำพูน!I164+สุโขทัย!I164+อุตรดิตถ์!I164+อุทัยธานี!I164</f>
        <v>52</v>
      </c>
      <c r="J164" s="282">
        <f ca="1">กำแพงเพชร!J164+เชียงราย!J164+เชียงใหม่!J164+ตาก!J164+นครสวรรค์!J164+น่าน!J164+พะเยา!J164+พิจิตร!J164+พิษณุโลก!J164+เพชรบูรณ์!J164+แพร่!J164+แม่ฮ่องสอน!J164+ลำปาง!J164+ลำพูน!J164+สุโขทัย!J164+อุตรดิตถ์!J164+อุทัยธานี!J164</f>
        <v>27</v>
      </c>
      <c r="K164" s="283">
        <f ca="1">IF(I164&gt;0,J164*100/I164,0)</f>
        <v>51.92307692307692</v>
      </c>
      <c r="L164" s="276"/>
      <c r="M164" s="276"/>
      <c r="N164" s="276"/>
      <c r="O164" s="276"/>
      <c r="P164" s="276"/>
    </row>
    <row r="165" spans="1:16" ht="21.75" customHeight="1" x14ac:dyDescent="0.3">
      <c r="A165" s="156"/>
      <c r="B165" s="157"/>
      <c r="C165" s="157" t="s">
        <v>16</v>
      </c>
      <c r="D165" s="158" t="s">
        <v>38</v>
      </c>
      <c r="E165" s="159"/>
      <c r="F165" s="159"/>
      <c r="G165" s="160" t="s">
        <v>39</v>
      </c>
      <c r="H165" s="161" t="s">
        <v>12</v>
      </c>
      <c r="I165" s="162" t="s">
        <v>40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3">
      <c r="A166" s="156"/>
      <c r="B166" s="157"/>
      <c r="C166" s="157"/>
      <c r="D166" s="166"/>
      <c r="E166" s="159"/>
      <c r="F166" s="159" t="s">
        <v>40</v>
      </c>
      <c r="G166" s="160" t="s">
        <v>41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3">
      <c r="A167" s="156"/>
      <c r="B167" s="157"/>
      <c r="C167" s="157"/>
      <c r="D167" s="166"/>
      <c r="E167" s="159"/>
      <c r="F167" s="159"/>
      <c r="G167" s="169" t="s">
        <v>43</v>
      </c>
      <c r="H167" s="161" t="s">
        <v>12</v>
      </c>
      <c r="I167" s="162"/>
      <c r="J167" s="162"/>
      <c r="K167" s="163"/>
      <c r="L167" s="168"/>
      <c r="M167" s="168"/>
      <c r="N167" s="167"/>
      <c r="O167" s="168"/>
      <c r="P167" s="168"/>
    </row>
    <row r="168" spans="1:16" ht="21.75" customHeight="1" x14ac:dyDescent="0.3">
      <c r="A168" s="175"/>
      <c r="B168" s="176"/>
      <c r="C168" s="157" t="s">
        <v>16</v>
      </c>
      <c r="D168" s="177" t="s">
        <v>44</v>
      </c>
      <c r="E168" s="178"/>
      <c r="F168" s="178"/>
      <c r="G168" s="179"/>
      <c r="H168" s="180"/>
      <c r="I168" s="162"/>
      <c r="J168" s="162"/>
      <c r="K168" s="163"/>
      <c r="L168" s="181"/>
      <c r="M168" s="181"/>
      <c r="N168" s="181"/>
      <c r="O168" s="181"/>
      <c r="P168" s="181"/>
    </row>
    <row r="169" spans="1:16" ht="21.75" customHeight="1" x14ac:dyDescent="0.3">
      <c r="A169" s="175"/>
      <c r="B169" s="176"/>
      <c r="C169" s="176"/>
      <c r="D169" s="182">
        <v>1</v>
      </c>
      <c r="E169" s="183" t="s">
        <v>45</v>
      </c>
      <c r="F169" s="184"/>
      <c r="G169" s="185"/>
      <c r="H169" s="186"/>
      <c r="I169" s="187"/>
      <c r="J169" s="188">
        <f ca="1">กำแพงเพชร!J169+เชียงราย!J169+เชียงใหม่!J169+ตาก!J169+นครสวรรค์!J169+น่าน!J169+พะเยา!J169+พิจิตร!J169+พิษณุโลก!J169+เพชรบูรณ์!J169+แพร่!J169+แม่ฮ่องสอน!J169+ลำปาง!J169+ลำพูน!J169+สุโขทัย!J169+อุตรดิตถ์!J169+อุทัยธานี!J169</f>
        <v>0</v>
      </c>
      <c r="K169" s="163"/>
      <c r="L169" s="181"/>
      <c r="M169" s="181"/>
      <c r="N169" s="181"/>
      <c r="O169" s="181"/>
      <c r="P169" s="181"/>
    </row>
    <row r="170" spans="1:16" ht="21.75" customHeight="1" x14ac:dyDescent="0.3">
      <c r="A170" s="175"/>
      <c r="B170" s="176"/>
      <c r="C170" s="176"/>
      <c r="D170" s="189">
        <v>2</v>
      </c>
      <c r="E170" s="190" t="s">
        <v>46</v>
      </c>
      <c r="F170" s="191"/>
      <c r="G170" s="192"/>
      <c r="H170" s="186"/>
      <c r="I170" s="187"/>
      <c r="J170" s="197">
        <f ca="1">กำแพงเพชร!J170+เชียงราย!J170+เชียงใหม่!J170+ตาก!J170+นครสวรรค์!J170+น่าน!J170+พะเยา!J170+พิจิตร!J170+พิษณุโลก!J170+เพชรบูรณ์!J170+แพร่!J170+แม่ฮ่องสอน!J170+ลำปาง!J170+ลำพูน!J170+สุโขทัย!J170+อุตรดิตถ์!J170+อุทัยธานี!J170</f>
        <v>17</v>
      </c>
      <c r="K170" s="163"/>
      <c r="L170" s="181"/>
      <c r="M170" s="181"/>
      <c r="N170" s="181"/>
      <c r="O170" s="181"/>
      <c r="P170" s="181"/>
    </row>
    <row r="171" spans="1:16" ht="21.75" customHeight="1" x14ac:dyDescent="0.3">
      <c r="A171" s="175"/>
      <c r="B171" s="176"/>
      <c r="C171" s="176"/>
      <c r="D171" s="193"/>
      <c r="E171" s="194" t="s">
        <v>47</v>
      </c>
      <c r="F171" s="195"/>
      <c r="G171" s="196"/>
      <c r="H171" s="186"/>
      <c r="I171" s="187"/>
      <c r="J171" s="197">
        <f ca="1">กำแพงเพชร!J171+เชียงราย!J171+เชียงใหม่!J171+ตาก!J171+นครสวรรค์!J171+น่าน!J171+พะเยา!J171+พิจิตร!J171+พิษณุโลก!J171+เพชรบูรณ์!J171+แพร่!J171+แม่ฮ่องสอน!J171+ลำปาง!J171+ลำพูน!J171+สุโขทัย!J171+อุตรดิตถ์!J171+อุทัยธานี!J171</f>
        <v>14</v>
      </c>
      <c r="K171" s="163"/>
      <c r="L171" s="181"/>
      <c r="M171" s="181"/>
      <c r="N171" s="181"/>
      <c r="O171" s="181"/>
      <c r="P171" s="181"/>
    </row>
    <row r="172" spans="1:16" ht="21.75" customHeight="1" x14ac:dyDescent="0.3">
      <c r="A172" s="175"/>
      <c r="B172" s="176"/>
      <c r="C172" s="176"/>
      <c r="D172" s="193"/>
      <c r="E172" s="194" t="s">
        <v>48</v>
      </c>
      <c r="F172" s="195"/>
      <c r="G172" s="196"/>
      <c r="H172" s="186"/>
      <c r="I172" s="187"/>
      <c r="J172" s="197">
        <f ca="1">กำแพงเพชร!J172+เชียงราย!J172+เชียงใหม่!J172+ตาก!J172+นครสวรรค์!J172+น่าน!J172+พะเยา!J172+พิจิตร!J172+พิษณุโลก!J172+เพชรบูรณ์!J172+แพร่!J172+แม่ฮ่องสอน!J172+ลำปาง!J172+ลำพูน!J172+สุโขทัย!J172+อุตรดิตถ์!J172+อุทัยธานี!J172</f>
        <v>12</v>
      </c>
      <c r="K172" s="163"/>
      <c r="L172" s="181"/>
      <c r="M172" s="181"/>
      <c r="N172" s="181"/>
      <c r="O172" s="181"/>
      <c r="P172" s="181"/>
    </row>
    <row r="173" spans="1:16" ht="21.75" customHeight="1" x14ac:dyDescent="0.3">
      <c r="A173" s="175"/>
      <c r="B173" s="176"/>
      <c r="C173" s="176"/>
      <c r="D173" s="193"/>
      <c r="E173" s="198"/>
      <c r="F173" s="204" t="s">
        <v>84</v>
      </c>
      <c r="G173" s="196"/>
      <c r="H173" s="180" t="s">
        <v>83</v>
      </c>
      <c r="I173" s="187">
        <f ca="1">กำแพงเพชร!I173+เชียงราย!I173+เชียงใหม่!I173+ตาก!I173+นครสวรรค์!I173+น่าน!I173+พะเยา!I173+พิจิตร!I173+พิษณุโลก!I173+เพชรบูรณ์!I173+แพร่!I173+แม่ฮ่องสอน!I173+ลำปาง!I173+ลำพูน!I173+สุโขทัย!I173+อุตรดิตถ์!I173+อุทัยธานี!I173</f>
        <v>52</v>
      </c>
      <c r="J173" s="188">
        <f ca="1">กำแพงเพชร!J173+เชียงราย!J173+เชียงใหม่!J173+ตาก!J173+นครสวรรค์!J173+น่าน!J173+พะเยา!J173+พิจิตร!J173+พิษณุโลก!J173+เพชรบูรณ์!J173+แพร่!J173+แม่ฮ่องสอน!J173+ลำปาง!J173+ลำพูน!J173+สุโขทัย!J173+อุตรดิตถ์!J173+อุทัยธานี!J173</f>
        <v>27</v>
      </c>
      <c r="K173" s="163">
        <f ca="1">IF(I173&gt;0,J173*100/I173,0)</f>
        <v>51.92307692307692</v>
      </c>
      <c r="L173" s="168"/>
      <c r="M173" s="168"/>
      <c r="N173" s="167"/>
      <c r="O173" s="168"/>
      <c r="P173" s="168"/>
    </row>
    <row r="174" spans="1:16" ht="21.75" customHeight="1" x14ac:dyDescent="0.3">
      <c r="A174" s="175"/>
      <c r="B174" s="176"/>
      <c r="C174" s="176"/>
      <c r="D174" s="193"/>
      <c r="E174" s="194" t="s">
        <v>54</v>
      </c>
      <c r="F174" s="195"/>
      <c r="G174" s="196"/>
      <c r="H174" s="186"/>
      <c r="I174" s="187"/>
      <c r="J174" s="197">
        <f ca="1">กำแพงเพชร!J174+เชียงราย!J174+เชียงใหม่!J174+ตาก!J174+นครสวรรค์!J174+น่าน!J174+พะเยา!J174+พิจิตร!J174+พิษณุโลก!J174+เพชรบูรณ์!J174+แพร่!J174+แม่ฮ่องสอน!J174+ลำปาง!J174+ลำพูน!J174+สุโขทัย!J174+อุตรดิตถ์!J174+อุทัยธานี!J174</f>
        <v>0</v>
      </c>
      <c r="K174" s="163"/>
      <c r="L174" s="181"/>
      <c r="M174" s="181"/>
      <c r="N174" s="181"/>
      <c r="O174" s="181"/>
      <c r="P174" s="181"/>
    </row>
    <row r="175" spans="1:16" ht="21.75" customHeight="1" x14ac:dyDescent="0.3">
      <c r="A175" s="175"/>
      <c r="B175" s="176"/>
      <c r="C175" s="176"/>
      <c r="D175" s="205">
        <v>3</v>
      </c>
      <c r="E175" s="206" t="s">
        <v>55</v>
      </c>
      <c r="F175" s="207"/>
      <c r="G175" s="208"/>
      <c r="H175" s="186"/>
      <c r="I175" s="187"/>
      <c r="J175" s="209">
        <f ca="1">กำแพงเพชร!J175+เชียงราย!J175+เชียงใหม่!J175+ตาก!J175+นครสวรรค์!J175+น่าน!J175+พะเยา!J175+พิจิตร!J175+พิษณุโลก!J175+เพชรบูรณ์!J175+แพร่!J175+แม่ฮ่องสอน!J175+ลำปาง!J175+ลำพูน!J175+สุโขทัย!J175+อุตรดิตถ์!J175+อุทัยธานี!J175</f>
        <v>0</v>
      </c>
      <c r="K175" s="163"/>
      <c r="L175" s="181"/>
      <c r="M175" s="181"/>
      <c r="N175" s="181"/>
      <c r="O175" s="181"/>
      <c r="P175" s="181"/>
    </row>
    <row r="176" spans="1:16" ht="21.75" customHeight="1" x14ac:dyDescent="0.3">
      <c r="A176" s="269"/>
      <c r="B176" s="270"/>
      <c r="C176" s="271" t="s">
        <v>85</v>
      </c>
      <c r="D176" s="271"/>
      <c r="E176" s="271"/>
      <c r="F176" s="271"/>
      <c r="G176" s="272"/>
      <c r="H176" s="281" t="s">
        <v>83</v>
      </c>
      <c r="I176" s="282">
        <f ca="1">กำแพงเพชร!I176+เชียงราย!I176+เชียงใหม่!I176+ตาก!I176+นครสวรรค์!I176+น่าน!I176+พะเยา!I176+พิจิตร!I176+พิษณุโลก!I176+เพชรบูรณ์!I176+แพร่!I176+แม่ฮ่องสอน!I176+ลำปาง!I176+ลำพูน!I176+สุโขทัย!I176+อุตรดิตถ์!I176+อุทัยธานี!I176</f>
        <v>4</v>
      </c>
      <c r="J176" s="282">
        <f ca="1">กำแพงเพชร!J176+เชียงราย!J176+เชียงใหม่!J176+ตาก!J176+นครสวรรค์!J176+น่าน!J176+พะเยา!J176+พิจิตร!J176+พิษณุโลก!J176+เพชรบูรณ์!J176+แพร่!J176+แม่ฮ่องสอน!J176+ลำปาง!J176+ลำพูน!J176+สุโขทัย!J176+อุตรดิตถ์!J176+อุทัยธานี!J176</f>
        <v>3</v>
      </c>
      <c r="K176" s="283">
        <f ca="1">IF(I176&gt;0,J176*100/I176,0)</f>
        <v>75</v>
      </c>
      <c r="L176" s="276"/>
      <c r="M176" s="276"/>
      <c r="N176" s="276"/>
      <c r="O176" s="276"/>
      <c r="P176" s="276"/>
    </row>
    <row r="177" spans="1:16" ht="21.75" customHeight="1" x14ac:dyDescent="0.3">
      <c r="A177" s="156"/>
      <c r="B177" s="157"/>
      <c r="C177" s="157" t="s">
        <v>16</v>
      </c>
      <c r="D177" s="158" t="s">
        <v>38</v>
      </c>
      <c r="E177" s="159"/>
      <c r="F177" s="159"/>
      <c r="G177" s="160" t="s">
        <v>39</v>
      </c>
      <c r="H177" s="161" t="s">
        <v>12</v>
      </c>
      <c r="I177" s="162" t="s">
        <v>40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3">
      <c r="A178" s="156"/>
      <c r="B178" s="157"/>
      <c r="C178" s="157"/>
      <c r="D178" s="166"/>
      <c r="E178" s="159"/>
      <c r="F178" s="159" t="s">
        <v>40</v>
      </c>
      <c r="G178" s="160" t="s">
        <v>41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3">
      <c r="A179" s="156"/>
      <c r="B179" s="157"/>
      <c r="C179" s="157"/>
      <c r="D179" s="166"/>
      <c r="E179" s="159"/>
      <c r="F179" s="159"/>
      <c r="G179" s="169" t="s">
        <v>43</v>
      </c>
      <c r="H179" s="161" t="s">
        <v>12</v>
      </c>
      <c r="I179" s="162"/>
      <c r="J179" s="187"/>
      <c r="K179" s="223"/>
      <c r="L179" s="168"/>
      <c r="M179" s="168"/>
      <c r="N179" s="167"/>
      <c r="O179" s="168"/>
      <c r="P179" s="168"/>
    </row>
    <row r="180" spans="1:16" ht="21.75" customHeight="1" x14ac:dyDescent="0.3">
      <c r="A180" s="175"/>
      <c r="B180" s="176"/>
      <c r="C180" s="157" t="s">
        <v>16</v>
      </c>
      <c r="D180" s="177" t="s">
        <v>44</v>
      </c>
      <c r="E180" s="178"/>
      <c r="F180" s="178"/>
      <c r="G180" s="179"/>
      <c r="H180" s="180"/>
      <c r="I180" s="162"/>
      <c r="J180" s="187"/>
      <c r="K180" s="223"/>
      <c r="L180" s="168"/>
      <c r="M180" s="168"/>
      <c r="N180" s="168"/>
      <c r="O180" s="181"/>
      <c r="P180" s="181"/>
    </row>
    <row r="181" spans="1:16" ht="21.75" customHeight="1" x14ac:dyDescent="0.3">
      <c r="A181" s="175"/>
      <c r="B181" s="176"/>
      <c r="C181" s="176"/>
      <c r="D181" s="182">
        <v>1</v>
      </c>
      <c r="E181" s="183" t="s">
        <v>45</v>
      </c>
      <c r="F181" s="184"/>
      <c r="G181" s="185"/>
      <c r="H181" s="186"/>
      <c r="I181" s="187"/>
      <c r="J181" s="187">
        <f ca="1">กำแพงเพชร!J181+เชียงราย!J181+เชียงใหม่!J181+ตาก!J181+นครสวรรค์!J181+น่าน!J181+พะเยา!J181+พิจิตร!J181+พิษณุโลก!J181+เพชรบูรณ์!J181+แพร่!J181+แม่ฮ่องสอน!J181+ลำปาง!J181+ลำพูน!J181+สุโขทัย!J181+อุตรดิตถ์!J181+อุทัยธานี!J181</f>
        <v>0</v>
      </c>
      <c r="K181" s="223"/>
      <c r="L181" s="168"/>
      <c r="M181" s="168"/>
      <c r="N181" s="168"/>
      <c r="O181" s="181"/>
      <c r="P181" s="181"/>
    </row>
    <row r="182" spans="1:16" ht="21.75" customHeight="1" x14ac:dyDescent="0.3">
      <c r="A182" s="175"/>
      <c r="B182" s="176"/>
      <c r="C182" s="176"/>
      <c r="D182" s="189">
        <v>2</v>
      </c>
      <c r="E182" s="190" t="s">
        <v>46</v>
      </c>
      <c r="F182" s="191"/>
      <c r="G182" s="192"/>
      <c r="H182" s="186"/>
      <c r="I182" s="187"/>
      <c r="J182" s="187">
        <f ca="1">กำแพงเพชร!J182+เชียงราย!J182+เชียงใหม่!J182+ตาก!J182+นครสวรรค์!J182+น่าน!J182+พะเยา!J182+พิจิตร!J182+พิษณุโลก!J182+เพชรบูรณ์!J182+แพร่!J182+แม่ฮ่องสอน!J182+ลำปาง!J182+ลำพูน!J182+สุโขทัย!J182+อุตรดิตถ์!J182+อุทัยธานี!J182</f>
        <v>3</v>
      </c>
      <c r="K182" s="223"/>
      <c r="L182" s="168"/>
      <c r="M182" s="168"/>
      <c r="N182" s="168"/>
      <c r="O182" s="181"/>
      <c r="P182" s="181"/>
    </row>
    <row r="183" spans="1:16" ht="21.75" customHeight="1" x14ac:dyDescent="0.3">
      <c r="A183" s="175"/>
      <c r="B183" s="176"/>
      <c r="C183" s="176"/>
      <c r="D183" s="193"/>
      <c r="E183" s="194" t="s">
        <v>47</v>
      </c>
      <c r="F183" s="195"/>
      <c r="G183" s="196"/>
      <c r="H183" s="186"/>
      <c r="I183" s="187"/>
      <c r="J183" s="187">
        <f ca="1">กำแพงเพชร!J183+เชียงราย!J183+เชียงใหม่!J183+ตาก!J183+นครสวรรค์!J183+น่าน!J183+พะเยา!J183+พิจิตร!J183+พิษณุโลก!J183+เพชรบูรณ์!J183+แพร่!J183+แม่ฮ่องสอน!J183+ลำปาง!J183+ลำพูน!J183+สุโขทัย!J183+อุตรดิตถ์!J183+อุทัยธานี!J183</f>
        <v>2</v>
      </c>
      <c r="K183" s="223"/>
      <c r="L183" s="168"/>
      <c r="M183" s="168"/>
      <c r="N183" s="168"/>
      <c r="O183" s="181"/>
      <c r="P183" s="181"/>
    </row>
    <row r="184" spans="1:16" ht="21.75" customHeight="1" x14ac:dyDescent="0.3">
      <c r="A184" s="175"/>
      <c r="B184" s="176"/>
      <c r="C184" s="176"/>
      <c r="D184" s="193"/>
      <c r="E184" s="194" t="s">
        <v>48</v>
      </c>
      <c r="F184" s="195"/>
      <c r="G184" s="196"/>
      <c r="H184" s="186"/>
      <c r="I184" s="187"/>
      <c r="J184" s="187">
        <f ca="1">กำแพงเพชร!J184+เชียงราย!J184+เชียงใหม่!J184+ตาก!J184+นครสวรรค์!J184+น่าน!J184+พะเยา!J184+พิจิตร!J184+พิษณุโลก!J184+เพชรบูรณ์!J184+แพร่!J184+แม่ฮ่องสอน!J184+ลำปาง!J184+ลำพูน!J184+สุโขทัย!J184+อุตรดิตถ์!J184+อุทัยธานี!J184</f>
        <v>2</v>
      </c>
      <c r="K184" s="223"/>
      <c r="L184" s="168"/>
      <c r="M184" s="168"/>
      <c r="N184" s="168"/>
      <c r="O184" s="181"/>
      <c r="P184" s="181"/>
    </row>
    <row r="185" spans="1:16" ht="21.75" customHeight="1" x14ac:dyDescent="0.3">
      <c r="A185" s="175"/>
      <c r="B185" s="176"/>
      <c r="C185" s="176"/>
      <c r="D185" s="193"/>
      <c r="E185" s="198"/>
      <c r="F185" s="194" t="s">
        <v>86</v>
      </c>
      <c r="G185" s="196"/>
      <c r="H185" s="180" t="s">
        <v>83</v>
      </c>
      <c r="I185" s="187">
        <f ca="1">กำแพงเพชร!I185+เชียงราย!I185+เชียงใหม่!I185+ตาก!I185+นครสวรรค์!I185+น่าน!I185+พะเยา!I185+พิจิตร!I185+พิษณุโลก!I185+เพชรบูรณ์!I185+แพร่!I185+แม่ฮ่องสอน!I185+ลำปาง!I185+ลำพูน!I185+สุโขทัย!I185+อุตรดิตถ์!I185+อุทัยธานี!I185</f>
        <v>4</v>
      </c>
      <c r="J185" s="203">
        <f ca="1">กำแพงเพชร!J185+เชียงราย!J185+เชียงใหม่!J185+ตาก!J185+นครสวรรค์!J185+น่าน!J185+พะเยา!J185+พิจิตร!J185+พิษณุโลก!J185+เพชรบูรณ์!J185+แพร่!J185+แม่ฮ่องสอน!J185+ลำปาง!J185+ลำพูน!J185+สุโขทัย!J185+อุตรดิตถ์!J185+อุทัยธานี!J185</f>
        <v>2</v>
      </c>
      <c r="K185" s="223">
        <f t="shared" ref="K185:K186" ca="1" si="56">IF(I185&gt;0,J185*100/I185,0)</f>
        <v>50</v>
      </c>
      <c r="L185" s="168"/>
      <c r="M185" s="168"/>
      <c r="N185" s="167"/>
      <c r="O185" s="168"/>
      <c r="P185" s="168"/>
    </row>
    <row r="186" spans="1:16" ht="21.75" customHeight="1" x14ac:dyDescent="0.3">
      <c r="A186" s="175"/>
      <c r="B186" s="176"/>
      <c r="C186" s="176"/>
      <c r="D186" s="193"/>
      <c r="E186" s="198"/>
      <c r="F186" s="194" t="s">
        <v>87</v>
      </c>
      <c r="G186" s="196"/>
      <c r="H186" s="180" t="s">
        <v>83</v>
      </c>
      <c r="I186" s="187">
        <f ca="1">กำแพงเพชร!I186+เชียงราย!I186+เชียงใหม่!I186+ตาก!I186+นครสวรรค์!I186+น่าน!I186+พะเยา!I186+พิจิตร!I186+พิษณุโลก!I186+เพชรบูรณ์!I186+แพร่!I186+แม่ฮ่องสอน!I186+ลำปาง!I186+ลำพูน!I186+สุโขทัย!I186+อุตรดิตถ์!I186+อุทัยธานี!I186</f>
        <v>4</v>
      </c>
      <c r="J186" s="203">
        <f ca="1">กำแพงเพชร!J186+เชียงราย!J186+เชียงใหม่!J186+ตาก!J186+นครสวรรค์!J186+น่าน!J186+พะเยา!J186+พิจิตร!J186+พิษณุโลก!J186+เพชรบูรณ์!J186+แพร่!J186+แม่ฮ่องสอน!J186+ลำปาง!J186+ลำพูน!J186+สุโขทัย!J186+อุตรดิตถ์!J186+อุทัยธานี!J186</f>
        <v>3</v>
      </c>
      <c r="K186" s="223">
        <f t="shared" ca="1" si="56"/>
        <v>75</v>
      </c>
      <c r="L186" s="168"/>
      <c r="M186" s="168"/>
      <c r="N186" s="167"/>
      <c r="O186" s="168"/>
      <c r="P186" s="168"/>
    </row>
    <row r="187" spans="1:16" ht="21.75" customHeight="1" x14ac:dyDescent="0.3">
      <c r="A187" s="175"/>
      <c r="B187" s="176"/>
      <c r="C187" s="176"/>
      <c r="D187" s="193"/>
      <c r="E187" s="194" t="s">
        <v>54</v>
      </c>
      <c r="F187" s="195"/>
      <c r="G187" s="196"/>
      <c r="H187" s="186"/>
      <c r="I187" s="187"/>
      <c r="J187" s="187">
        <f ca="1">กำแพงเพชร!J187+เชียงราย!J187+เชียงใหม่!J187+ตาก!J187+นครสวรรค์!J187+น่าน!J187+พะเยา!J187+พิจิตร!J187+พิษณุโลก!J187+เพชรบูรณ์!J187+แพร่!J187+แม่ฮ่องสอน!J187+ลำปาง!J187+ลำพูน!J187+สุโขทัย!J187+อุตรดิตถ์!J187+อุทัยธานี!J187</f>
        <v>0</v>
      </c>
      <c r="K187" s="223"/>
      <c r="L187" s="168"/>
      <c r="M187" s="168"/>
      <c r="N187" s="168"/>
      <c r="O187" s="181"/>
      <c r="P187" s="181"/>
    </row>
    <row r="188" spans="1:16" ht="21.75" customHeight="1" x14ac:dyDescent="0.3">
      <c r="A188" s="175"/>
      <c r="B188" s="176"/>
      <c r="C188" s="176"/>
      <c r="D188" s="205">
        <v>3</v>
      </c>
      <c r="E188" s="206" t="s">
        <v>55</v>
      </c>
      <c r="F188" s="207"/>
      <c r="G188" s="208"/>
      <c r="H188" s="186"/>
      <c r="I188" s="187"/>
      <c r="J188" s="226">
        <f ca="1">กำแพงเพชร!J188+เชียงราย!J188+เชียงใหม่!J188+ตาก!J188+นครสวรรค์!J188+น่าน!J188+พะเยา!J188+พิจิตร!J188+พิษณุโลก!J188+เพชรบูรณ์!J188+แพร่!J188+แม่ฮ่องสอน!J188+ลำปาง!J188+ลำพูน!J188+สุโขทัย!J188+อุตรดิตถ์!J188+อุทัยธานี!J188</f>
        <v>0</v>
      </c>
      <c r="K188" s="223"/>
      <c r="L188" s="168"/>
      <c r="M188" s="168"/>
      <c r="N188" s="168"/>
      <c r="O188" s="181"/>
      <c r="P188" s="181"/>
    </row>
    <row r="189" spans="1:16" ht="21.75" customHeight="1" x14ac:dyDescent="0.3">
      <c r="A189" s="269"/>
      <c r="B189" s="270"/>
      <c r="C189" s="271" t="s">
        <v>88</v>
      </c>
      <c r="D189" s="271"/>
      <c r="E189" s="271"/>
      <c r="F189" s="271"/>
      <c r="G189" s="272"/>
      <c r="H189" s="284" t="s">
        <v>89</v>
      </c>
      <c r="I189" s="282">
        <f ca="1">กำแพงเพชร!I189+เชียงราย!I189+เชียงใหม่!I189+ตาก!I189+นครสวรรค์!I189+น่าน!I189+พะเยา!I189+พิจิตร!I189+พิษณุโลก!I189+เพชรบูรณ์!I189+แพร่!I189+แม่ฮ่องสอน!I189+ลำปาง!I189+ลำพูน!I189+สุโขทัย!I189+อุตรดิตถ์!I189+อุทัยธานี!I189</f>
        <v>1224000</v>
      </c>
      <c r="J189" s="282">
        <f ca="1">กำแพงเพชร!J189+เชียงราย!J189+เชียงใหม่!J189+ตาก!J189+นครสวรรค์!J189+น่าน!J189+พะเยา!J189+พิจิตร!J189+พิษณุโลก!J189+เพชรบูรณ์!J189+แพร่!J189+แม่ฮ่องสอน!J189+ลำปาง!J189+ลำพูน!J189+สุโขทัย!J189+อุตรดิตถ์!J189+อุทัยธานี!J189</f>
        <v>0</v>
      </c>
      <c r="K189" s="283">
        <f ca="1">IF(I189&gt;0,J189*100/I189,0)</f>
        <v>0</v>
      </c>
      <c r="L189" s="276"/>
      <c r="M189" s="276"/>
      <c r="N189" s="276"/>
      <c r="O189" s="276"/>
      <c r="P189" s="276"/>
    </row>
    <row r="190" spans="1:16" ht="21.75" customHeight="1" x14ac:dyDescent="0.3">
      <c r="A190" s="156"/>
      <c r="B190" s="157"/>
      <c r="C190" s="157" t="s">
        <v>16</v>
      </c>
      <c r="D190" s="158" t="s">
        <v>38</v>
      </c>
      <c r="E190" s="159"/>
      <c r="F190" s="159"/>
      <c r="G190" s="160" t="s">
        <v>39</v>
      </c>
      <c r="H190" s="161" t="s">
        <v>12</v>
      </c>
      <c r="I190" s="162" t="s">
        <v>40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3">
      <c r="A191" s="156"/>
      <c r="B191" s="157"/>
      <c r="C191" s="157"/>
      <c r="D191" s="166"/>
      <c r="E191" s="159"/>
      <c r="F191" s="159" t="s">
        <v>40</v>
      </c>
      <c r="G191" s="160" t="s">
        <v>41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3">
      <c r="A192" s="156"/>
      <c r="B192" s="157"/>
      <c r="C192" s="157"/>
      <c r="D192" s="166"/>
      <c r="E192" s="159"/>
      <c r="F192" s="159"/>
      <c r="G192" s="169" t="s">
        <v>43</v>
      </c>
      <c r="H192" s="161" t="s">
        <v>12</v>
      </c>
      <c r="I192" s="162"/>
      <c r="J192" s="162"/>
      <c r="K192" s="163"/>
      <c r="L192" s="168"/>
      <c r="M192" s="168"/>
      <c r="N192" s="167"/>
      <c r="O192" s="168"/>
      <c r="P192" s="168"/>
    </row>
    <row r="193" spans="1:16" ht="21.75" customHeight="1" x14ac:dyDescent="0.3">
      <c r="A193" s="175"/>
      <c r="B193" s="176"/>
      <c r="C193" s="157" t="s">
        <v>16</v>
      </c>
      <c r="D193" s="177" t="s">
        <v>44</v>
      </c>
      <c r="E193" s="178"/>
      <c r="F193" s="178"/>
      <c r="G193" s="179"/>
      <c r="H193" s="180"/>
      <c r="I193" s="162"/>
      <c r="J193" s="162"/>
      <c r="K193" s="163"/>
      <c r="L193" s="181"/>
      <c r="M193" s="181"/>
      <c r="N193" s="181"/>
      <c r="O193" s="181"/>
      <c r="P193" s="181"/>
    </row>
    <row r="194" spans="1:16" ht="21.75" customHeight="1" x14ac:dyDescent="0.3">
      <c r="A194" s="175"/>
      <c r="B194" s="176"/>
      <c r="C194" s="176"/>
      <c r="D194" s="182">
        <v>1</v>
      </c>
      <c r="E194" s="183" t="s">
        <v>45</v>
      </c>
      <c r="F194" s="184"/>
      <c r="G194" s="185"/>
      <c r="H194" s="186"/>
      <c r="I194" s="187"/>
      <c r="J194" s="197">
        <f ca="1">กำแพงเพชร!J194+เชียงราย!J194+เชียงใหม่!J194+ตาก!J194+นครสวรรค์!J194+น่าน!J194+พะเยา!J194+พิจิตร!J194+พิษณุโลก!J194+เพชรบูรณ์!J194+แพร่!J194+แม่ฮ่องสอน!J194+ลำปาง!J194+ลำพูน!J194+สุโขทัย!J194+อุตรดิตถ์!J194+อุทัยธานี!J194</f>
        <v>3</v>
      </c>
      <c r="K194" s="163"/>
      <c r="L194" s="181"/>
      <c r="M194" s="181"/>
      <c r="N194" s="181"/>
      <c r="O194" s="181"/>
      <c r="P194" s="181"/>
    </row>
    <row r="195" spans="1:16" ht="21.75" customHeight="1" x14ac:dyDescent="0.3">
      <c r="A195" s="175"/>
      <c r="B195" s="176"/>
      <c r="C195" s="176"/>
      <c r="D195" s="189">
        <v>2</v>
      </c>
      <c r="E195" s="190" t="s">
        <v>46</v>
      </c>
      <c r="F195" s="191"/>
      <c r="G195" s="192"/>
      <c r="H195" s="186"/>
      <c r="I195" s="187"/>
      <c r="J195" s="188">
        <f ca="1">กำแพงเพชร!J195+เชียงราย!J195+เชียงใหม่!J195+ตาก!J195+นครสวรรค์!J195+น่าน!J195+พะเยา!J195+พิจิตร!J195+พิษณุโลก!J195+เพชรบูรณ์!J195+แพร่!J195+แม่ฮ่องสอน!J195+ลำปาง!J195+ลำพูน!J195+สุโขทัย!J195+อุตรดิตถ์!J195+อุทัยธานี!J195</f>
        <v>14</v>
      </c>
      <c r="K195" s="163"/>
      <c r="L195" s="181"/>
      <c r="M195" s="181"/>
      <c r="N195" s="181"/>
      <c r="O195" s="181"/>
      <c r="P195" s="181"/>
    </row>
    <row r="196" spans="1:16" ht="21.75" customHeight="1" x14ac:dyDescent="0.3">
      <c r="A196" s="175"/>
      <c r="B196" s="176"/>
      <c r="C196" s="176"/>
      <c r="D196" s="193"/>
      <c r="E196" s="194" t="s">
        <v>47</v>
      </c>
      <c r="F196" s="195"/>
      <c r="G196" s="196"/>
      <c r="H196" s="186"/>
      <c r="I196" s="187"/>
      <c r="J196" s="188">
        <f ca="1">กำแพงเพชร!J196+เชียงราย!J196+เชียงใหม่!J196+ตาก!J196+นครสวรรค์!J196+น่าน!J196+พะเยา!J196+พิจิตร!J196+พิษณุโลก!J196+เพชรบูรณ์!J196+แพร่!J196+แม่ฮ่องสอน!J196+ลำปาง!J196+ลำพูน!J196+สุโขทัย!J196+อุตรดิตถ์!J196+อุทัยธานี!J196</f>
        <v>11</v>
      </c>
      <c r="K196" s="163"/>
      <c r="L196" s="181"/>
      <c r="M196" s="181"/>
      <c r="N196" s="181"/>
      <c r="O196" s="181"/>
      <c r="P196" s="181"/>
    </row>
    <row r="197" spans="1:16" ht="21.75" customHeight="1" x14ac:dyDescent="0.3">
      <c r="A197" s="175"/>
      <c r="B197" s="176"/>
      <c r="C197" s="176"/>
      <c r="D197" s="193"/>
      <c r="E197" s="194" t="s">
        <v>48</v>
      </c>
      <c r="F197" s="195"/>
      <c r="G197" s="196"/>
      <c r="H197" s="186"/>
      <c r="I197" s="187"/>
      <c r="J197" s="197">
        <f ca="1">กำแพงเพชร!J197+เชียงราย!J197+เชียงใหม่!J197+ตาก!J197+นครสวรรค์!J197+น่าน!J197+พะเยา!J197+พิจิตร!J197+พิษณุโลก!J197+เพชรบูรณ์!J197+แพร่!J197+แม่ฮ่องสอน!J197+ลำปาง!J197+ลำพูน!J197+สุโขทัย!J197+อุตรดิตถ์!J197+อุทัยธานี!J197</f>
        <v>9</v>
      </c>
      <c r="K197" s="163"/>
      <c r="L197" s="181"/>
      <c r="M197" s="181"/>
      <c r="N197" s="181"/>
      <c r="O197" s="181"/>
      <c r="P197" s="181"/>
    </row>
    <row r="198" spans="1:16" ht="21.75" customHeight="1" x14ac:dyDescent="0.3">
      <c r="A198" s="175"/>
      <c r="B198" s="176"/>
      <c r="C198" s="176"/>
      <c r="D198" s="193"/>
      <c r="E198" s="195"/>
      <c r="F198" s="195" t="s">
        <v>90</v>
      </c>
      <c r="G198" s="196"/>
      <c r="H198" s="180"/>
      <c r="I198" s="187"/>
      <c r="J198" s="187">
        <f>กำแพงเพชร!J198+เชียงราย!J198+เชียงใหม่!J198+ตาก!J198+นครสวรรค์!J198+น่าน!J198+พะเยา!J198+พิจิตร!J198+พิษณุโลก!J198+เพชรบูรณ์!J198+แพร่!J198+แม่ฮ่องสอน!J198+ลำปาง!J198+ลำพูน!J198+สุโขทัย!J198+อุตรดิตถ์!J198+อุทัยธานี!J198</f>
        <v>0</v>
      </c>
      <c r="K198" s="163"/>
      <c r="L198" s="181"/>
      <c r="M198" s="181"/>
      <c r="N198" s="181"/>
      <c r="O198" s="181"/>
      <c r="P198" s="181"/>
    </row>
    <row r="199" spans="1:16" ht="21.75" customHeight="1" x14ac:dyDescent="0.3">
      <c r="A199" s="175"/>
      <c r="B199" s="176"/>
      <c r="C199" s="176"/>
      <c r="D199" s="193"/>
      <c r="E199" s="198"/>
      <c r="F199" s="195"/>
      <c r="G199" s="194" t="s">
        <v>91</v>
      </c>
      <c r="H199" s="180" t="s">
        <v>89</v>
      </c>
      <c r="I199" s="187">
        <f ca="1">กำแพงเพชร!I199+เชียงราย!I199+เชียงใหม่!I199+ตาก!I199+นครสวรรค์!I199+น่าน!I199+พะเยา!I199+พิจิตร!I199+พิษณุโลก!I199+เพชรบูรณ์!I199+แพร่!I199+แม่ฮ่องสอน!I199+ลำปาง!I199+ลำพูน!I199+สุโขทัย!I199+อุตรดิตถ์!I199+อุทัยธานี!I199</f>
        <v>1224000</v>
      </c>
      <c r="J199" s="188">
        <f ca="1">กำแพงเพชร!J199+เชียงราย!J199+เชียงใหม่!J199+ตาก!J199+นครสวรรค์!J199+น่าน!J199+พะเยา!J199+พิจิตร!J199+พิษณุโลก!J199+เพชรบูรณ์!J199+แพร่!J199+แม่ฮ่องสอน!J199+ลำปาง!J199+ลำพูน!J199+สุโขทัย!J199+อุตรดิตถ์!J199+อุทัยธานี!J199</f>
        <v>614000</v>
      </c>
      <c r="K199" s="163">
        <f t="shared" ref="K199:K201" ca="1" si="57">IF(I199&gt;0,J199*100/I199,0)</f>
        <v>50.16339869281046</v>
      </c>
      <c r="L199" s="181"/>
      <c r="M199" s="181"/>
      <c r="N199" s="181"/>
      <c r="O199" s="181"/>
      <c r="P199" s="181"/>
    </row>
    <row r="200" spans="1:16" ht="21.75" customHeight="1" x14ac:dyDescent="0.3">
      <c r="A200" s="175"/>
      <c r="B200" s="176"/>
      <c r="C200" s="176"/>
      <c r="D200" s="193"/>
      <c r="E200" s="198"/>
      <c r="F200" s="195"/>
      <c r="G200" s="194" t="s">
        <v>92</v>
      </c>
      <c r="H200" s="180" t="s">
        <v>89</v>
      </c>
      <c r="I200" s="187">
        <f ca="1">กำแพงเพชร!I200+เชียงราย!I200+เชียงใหม่!I200+ตาก!I200+นครสวรรค์!I200+น่าน!I200+พะเยา!I200+พิจิตร!I200+พิษณุโลก!I200+เพชรบูรณ์!I200+แพร่!I200+แม่ฮ่องสอน!I200+ลำปาง!I200+ลำพูน!I200+สุโขทัย!I200+อุตรดิตถ์!I200+อุทัยธานี!I200</f>
        <v>1224000</v>
      </c>
      <c r="J200" s="188">
        <f ca="1">กำแพงเพชร!J200+เชียงราย!J200+เชียงใหม่!J200+ตาก!J200+นครสวรรค์!J200+น่าน!J200+พะเยา!J200+พิจิตร!J200+พิษณุโลก!J200+เพชรบูรณ์!J200+แพร่!J200+แม่ฮ่องสอน!J200+ลำปาง!J200+ลำพูน!J200+สุโขทัย!J200+อุตรดิตถ์!J200+อุทัยธานี!J200</f>
        <v>0</v>
      </c>
      <c r="K200" s="163">
        <f t="shared" ca="1" si="57"/>
        <v>0</v>
      </c>
      <c r="L200" s="168"/>
      <c r="M200" s="168"/>
      <c r="N200" s="167"/>
      <c r="O200" s="168"/>
      <c r="P200" s="168"/>
    </row>
    <row r="201" spans="1:16" ht="21.75" customHeight="1" x14ac:dyDescent="0.3">
      <c r="A201" s="175"/>
      <c r="B201" s="176"/>
      <c r="C201" s="176"/>
      <c r="D201" s="193"/>
      <c r="E201" s="198"/>
      <c r="F201" s="195" t="s">
        <v>93</v>
      </c>
      <c r="G201" s="196"/>
      <c r="H201" s="180" t="s">
        <v>37</v>
      </c>
      <c r="I201" s="187">
        <f ca="1">กำแพงเพชร!I201+เชียงราย!I201+เชียงใหม่!I201+ตาก!I201+นครสวรรค์!I201+น่าน!I201+พะเยา!I201+พิจิตร!I201+พิษณุโลก!I201+เพชรบูรณ์!I201+แพร่!I201+แม่ฮ่องสอน!I201+ลำปาง!I201+ลำพูน!I201+สุโขทัย!I201+อุตรดิตถ์!I201+อุทัยธานี!I201</f>
        <v>60</v>
      </c>
      <c r="J201" s="188">
        <f ca="1">กำแพงเพชร!J201+เชียงราย!J201+เชียงใหม่!J201+ตาก!J201+นครสวรรค์!J201+น่าน!J201+พะเยา!J201+พิจิตร!J201+พิษณุโลก!J201+เพชรบูรณ์!J201+แพร่!J201+แม่ฮ่องสอน!J201+ลำปาง!J201+ลำพูน!J201+สุโขทัย!J201+อุตรดิตถ์!J201+อุทัยธานี!J201</f>
        <v>60</v>
      </c>
      <c r="K201" s="163">
        <f t="shared" ca="1" si="57"/>
        <v>100</v>
      </c>
      <c r="L201" s="168"/>
      <c r="M201" s="168"/>
      <c r="N201" s="167"/>
      <c r="O201" s="168"/>
      <c r="P201" s="168"/>
    </row>
    <row r="202" spans="1:16" ht="21.75" customHeight="1" x14ac:dyDescent="0.3">
      <c r="A202" s="175"/>
      <c r="B202" s="176"/>
      <c r="C202" s="176"/>
      <c r="D202" s="193"/>
      <c r="E202" s="194" t="s">
        <v>54</v>
      </c>
      <c r="F202" s="195"/>
      <c r="G202" s="196"/>
      <c r="H202" s="186"/>
      <c r="I202" s="187"/>
      <c r="J202" s="197">
        <f ca="1">กำแพงเพชร!J202+เชียงราย!J202+เชียงใหม่!J202+ตาก!J202+นครสวรรค์!J202+น่าน!J202+พะเยา!J202+พิจิตร!J202+พิษณุโลก!J202+เพชรบูรณ์!J202+แพร่!J202+แม่ฮ่องสอน!J202+ลำปาง!J202+ลำพูน!J202+สุโขทัย!J202+อุตรดิตถ์!J202+อุทัยธานี!J202</f>
        <v>0</v>
      </c>
      <c r="K202" s="163"/>
      <c r="L202" s="181"/>
      <c r="M202" s="181"/>
      <c r="N202" s="181"/>
      <c r="O202" s="181"/>
      <c r="P202" s="181"/>
    </row>
    <row r="203" spans="1:16" ht="21.75" customHeight="1" x14ac:dyDescent="0.3">
      <c r="A203" s="233"/>
      <c r="B203" s="234"/>
      <c r="C203" s="234"/>
      <c r="D203" s="235">
        <v>3</v>
      </c>
      <c r="E203" s="236" t="s">
        <v>55</v>
      </c>
      <c r="F203" s="237"/>
      <c r="G203" s="238"/>
      <c r="H203" s="239"/>
      <c r="I203" s="240"/>
      <c r="J203" s="285">
        <f ca="1">กำแพงเพชร!J203+เชียงราย!J203+เชียงใหม่!J203+ตาก!J203+นครสวรรค์!J203+น่าน!J203+พะเยา!J203+พิจิตร!J203+พิษณุโลก!J203+เพชรบูรณ์!J203+แพร่!J203+แม่ฮ่องสอน!J203+ลำปาง!J203+ลำพูน!J203+สุโขทัย!J203+อุตรดิตถ์!J203+อุทัยธานี!J203</f>
        <v>0</v>
      </c>
      <c r="K203" s="286"/>
      <c r="L203" s="244"/>
      <c r="M203" s="244"/>
      <c r="N203" s="244"/>
      <c r="O203" s="244"/>
      <c r="P203" s="244"/>
    </row>
    <row r="204" spans="1:16" ht="21.75" customHeight="1" x14ac:dyDescent="0.3">
      <c r="A204" s="269"/>
      <c r="B204" s="270"/>
      <c r="C204" s="287" t="s">
        <v>94</v>
      </c>
      <c r="D204" s="271"/>
      <c r="E204" s="271"/>
      <c r="F204" s="271"/>
      <c r="G204" s="272"/>
      <c r="H204" s="284" t="s">
        <v>37</v>
      </c>
      <c r="I204" s="282">
        <f ca="1">กำแพงเพชร!I204+เชียงราย!I204+เชียงใหม่!I204+ตาก!I204+นครสวรรค์!I204+น่าน!I204+พะเยา!I204+พิจิตร!I204+พิษณุโลก!I204+เพชรบูรณ์!I204+แพร่!I204+แม่ฮ่องสอน!I204+ลำปาง!I204+ลำพูน!I204+สุโขทัย!I204+อุตรดิตถ์!I204+อุทัยธานี!I204</f>
        <v>380</v>
      </c>
      <c r="J204" s="282">
        <f ca="1">กำแพงเพชร!J204+เชียงราย!J204+เชียงใหม่!J204+ตาก!J204+นครสวรรค์!J204+น่าน!J204+พะเยา!J204+พิจิตร!J204+พิษณุโลก!J204+เพชรบูรณ์!J204+แพร่!J204+แม่ฮ่องสอน!J204+ลำปาง!J204+ลำพูน!J204+สุโขทัย!J204+อุตรดิตถ์!J204+อุทัยธานี!J204</f>
        <v>380</v>
      </c>
      <c r="K204" s="283">
        <f ca="1">IF(I204&gt;0,J204*100/I204,0)</f>
        <v>100</v>
      </c>
      <c r="L204" s="276"/>
      <c r="M204" s="276"/>
      <c r="N204" s="276"/>
      <c r="O204" s="276"/>
      <c r="P204" s="276"/>
    </row>
    <row r="205" spans="1:16" ht="21.75" customHeight="1" x14ac:dyDescent="0.3">
      <c r="A205" s="156"/>
      <c r="B205" s="157"/>
      <c r="C205" s="157" t="s">
        <v>16</v>
      </c>
      <c r="D205" s="158" t="s">
        <v>38</v>
      </c>
      <c r="E205" s="159"/>
      <c r="F205" s="159"/>
      <c r="G205" s="160" t="s">
        <v>39</v>
      </c>
      <c r="H205" s="161" t="s">
        <v>12</v>
      </c>
      <c r="I205" s="162" t="s">
        <v>40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3">
      <c r="A206" s="156"/>
      <c r="B206" s="157"/>
      <c r="C206" s="157"/>
      <c r="D206" s="166"/>
      <c r="E206" s="159"/>
      <c r="F206" s="159" t="s">
        <v>40</v>
      </c>
      <c r="G206" s="160" t="s">
        <v>41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3">
      <c r="A207" s="156"/>
      <c r="B207" s="157"/>
      <c r="C207" s="157"/>
      <c r="D207" s="166"/>
      <c r="E207" s="159"/>
      <c r="F207" s="159"/>
      <c r="G207" s="169" t="s">
        <v>43</v>
      </c>
      <c r="H207" s="161" t="s">
        <v>12</v>
      </c>
      <c r="I207" s="162"/>
      <c r="J207" s="187"/>
      <c r="K207" s="223"/>
      <c r="L207" s="168"/>
      <c r="M207" s="168"/>
      <c r="N207" s="167"/>
      <c r="O207" s="168"/>
      <c r="P207" s="168"/>
    </row>
    <row r="208" spans="1:16" ht="21.75" customHeight="1" x14ac:dyDescent="0.3">
      <c r="A208" s="175"/>
      <c r="B208" s="176"/>
      <c r="C208" s="157" t="s">
        <v>16</v>
      </c>
      <c r="D208" s="177" t="s">
        <v>44</v>
      </c>
      <c r="E208" s="178"/>
      <c r="F208" s="178"/>
      <c r="G208" s="179"/>
      <c r="H208" s="180"/>
      <c r="I208" s="162"/>
      <c r="J208" s="187"/>
      <c r="K208" s="223"/>
      <c r="L208" s="168"/>
      <c r="M208" s="168"/>
      <c r="N208" s="168"/>
      <c r="O208" s="181"/>
      <c r="P208" s="181"/>
    </row>
    <row r="209" spans="1:16" ht="21.75" customHeight="1" x14ac:dyDescent="0.3">
      <c r="A209" s="175"/>
      <c r="B209" s="176"/>
      <c r="C209" s="176"/>
      <c r="D209" s="182">
        <v>1</v>
      </c>
      <c r="E209" s="183" t="s">
        <v>45</v>
      </c>
      <c r="F209" s="184"/>
      <c r="G209" s="185"/>
      <c r="H209" s="186"/>
      <c r="I209" s="187"/>
      <c r="J209" s="187">
        <f ca="1">กำแพงเพชร!J209+เชียงราย!J209+เชียงใหม่!J209+ตาก!J209+นครสวรรค์!J209+น่าน!J209+พะเยา!J209+พิจิตร!J209+พิษณุโลก!J209+เพชรบูรณ์!J209+แพร่!J209+แม่ฮ่องสอน!J209+ลำปาง!J209+ลำพูน!J209+สุโขทัย!J209+อุตรดิตถ์!J209+อุทัยธานี!J209</f>
        <v>0</v>
      </c>
      <c r="K209" s="223"/>
      <c r="L209" s="168"/>
      <c r="M209" s="168"/>
      <c r="N209" s="168"/>
      <c r="O209" s="181"/>
      <c r="P209" s="181"/>
    </row>
    <row r="210" spans="1:16" ht="21.75" customHeight="1" x14ac:dyDescent="0.3">
      <c r="A210" s="175"/>
      <c r="B210" s="176"/>
      <c r="C210" s="176"/>
      <c r="D210" s="189">
        <v>2</v>
      </c>
      <c r="E210" s="190" t="s">
        <v>46</v>
      </c>
      <c r="F210" s="191"/>
      <c r="G210" s="192"/>
      <c r="H210" s="186"/>
      <c r="I210" s="187"/>
      <c r="J210" s="187">
        <f ca="1">กำแพงเพชร!J210+เชียงราย!J210+เชียงใหม่!J210+ตาก!J210+นครสวรรค์!J210+น่าน!J210+พะเยา!J210+พิจิตร!J210+พิษณุโลก!J210+เพชรบูรณ์!J210+แพร่!J210+แม่ฮ่องสอน!J210+ลำปาง!J210+ลำพูน!J210+สุโขทัย!J210+อุตรดิตถ์!J210+อุทัยธานี!J210</f>
        <v>4</v>
      </c>
      <c r="K210" s="223"/>
      <c r="L210" s="168"/>
      <c r="M210" s="168"/>
      <c r="N210" s="168"/>
      <c r="O210" s="181"/>
      <c r="P210" s="181"/>
    </row>
    <row r="211" spans="1:16" ht="21.75" customHeight="1" x14ac:dyDescent="0.3">
      <c r="A211" s="175"/>
      <c r="B211" s="176"/>
      <c r="C211" s="176"/>
      <c r="D211" s="193"/>
      <c r="E211" s="194" t="s">
        <v>47</v>
      </c>
      <c r="F211" s="195"/>
      <c r="G211" s="196"/>
      <c r="H211" s="186"/>
      <c r="I211" s="187"/>
      <c r="J211" s="187">
        <f ca="1">กำแพงเพชร!J211+เชียงราย!J211+เชียงใหม่!J211+ตาก!J211+นครสวรรค์!J211+น่าน!J211+พะเยา!J211+พิจิตร!J211+พิษณุโลก!J211+เพชรบูรณ์!J211+แพร่!J211+แม่ฮ่องสอน!J211+ลำปาง!J211+ลำพูน!J211+สุโขทัย!J211+อุตรดิตถ์!J211+อุทัยธานี!J211</f>
        <v>3</v>
      </c>
      <c r="K211" s="223"/>
      <c r="L211" s="168"/>
      <c r="M211" s="168"/>
      <c r="N211" s="168"/>
      <c r="O211" s="181"/>
      <c r="P211" s="181"/>
    </row>
    <row r="212" spans="1:16" ht="21.75" customHeight="1" x14ac:dyDescent="0.3">
      <c r="A212" s="175"/>
      <c r="B212" s="176"/>
      <c r="C212" s="176"/>
      <c r="D212" s="193"/>
      <c r="E212" s="194" t="s">
        <v>48</v>
      </c>
      <c r="F212" s="195"/>
      <c r="G212" s="196"/>
      <c r="H212" s="186"/>
      <c r="I212" s="187"/>
      <c r="J212" s="187">
        <f ca="1">กำแพงเพชร!J212+เชียงราย!J212+เชียงใหม่!J212+ตาก!J212+นครสวรรค์!J212+น่าน!J212+พะเยา!J212+พิจิตร!J212+พิษณุโลก!J212+เพชรบูรณ์!J212+แพร่!J212+แม่ฮ่องสอน!J212+ลำปาง!J212+ลำพูน!J212+สุโขทัย!J212+อุตรดิตถ์!J212+อุทัยธานี!J212</f>
        <v>4</v>
      </c>
      <c r="K212" s="223"/>
      <c r="L212" s="168"/>
      <c r="M212" s="168"/>
      <c r="N212" s="168"/>
      <c r="O212" s="181"/>
      <c r="P212" s="181"/>
    </row>
    <row r="213" spans="1:16" ht="21.75" customHeight="1" x14ac:dyDescent="0.3">
      <c r="A213" s="175"/>
      <c r="B213" s="176"/>
      <c r="C213" s="176"/>
      <c r="D213" s="193"/>
      <c r="E213" s="198"/>
      <c r="F213" s="195" t="s">
        <v>95</v>
      </c>
      <c r="G213" s="196"/>
      <c r="H213" s="180" t="s">
        <v>37</v>
      </c>
      <c r="I213" s="187">
        <f ca="1">กำแพงเพชร!I213+เชียงราย!I213+เชียงใหม่!I213+ตาก!I213+นครสวรรค์!I213+น่าน!I213+พะเยา!I213+พิจิตร!I213+พิษณุโลก!I213+เพชรบูรณ์!I213+แพร่!I213+แม่ฮ่องสอน!I213+ลำปาง!I213+ลำพูน!I213+สุโขทัย!I213+อุตรดิตถ์!I213+อุทัยธานี!I213</f>
        <v>380</v>
      </c>
      <c r="J213" s="203">
        <f ca="1">กำแพงเพชร!J213+เชียงราย!J213+เชียงใหม่!J213+ตาก!J213+นครสวรรค์!J213+น่าน!J213+พะเยา!J213+พิจิตร!J213+พิษณุโลก!J213+เพชรบูรณ์!J213+แพร่!J213+แม่ฮ่องสอน!J213+ลำปาง!J213+ลำพูน!J213+สุโขทัย!J213+อุตรดิตถ์!J213+อุทัยธานี!J213</f>
        <v>380</v>
      </c>
      <c r="K213" s="223">
        <f ca="1">IF(I213&gt;0,J213*100/I213,0)</f>
        <v>100</v>
      </c>
      <c r="L213" s="168"/>
      <c r="M213" s="168"/>
      <c r="N213" s="167"/>
      <c r="O213" s="168"/>
      <c r="P213" s="168"/>
    </row>
    <row r="214" spans="1:16" ht="21.75" customHeight="1" x14ac:dyDescent="0.3">
      <c r="A214" s="175"/>
      <c r="B214" s="176"/>
      <c r="C214" s="176"/>
      <c r="D214" s="193"/>
      <c r="E214" s="198"/>
      <c r="F214" s="194" t="s">
        <v>53</v>
      </c>
      <c r="G214" s="196"/>
      <c r="H214" s="180"/>
      <c r="I214" s="187">
        <f>กำแพงเพชร!I214+เชียงราย!I214+เชียงใหม่!I214+ตาก!I214+นครสวรรค์!I214+น่าน!I214+พะเยา!I214+พิจิตร!I214+พิษณุโลก!I214+เพชรบูรณ์!I214+แพร่!I214+แม่ฮ่องสอน!I214+ลำปาง!I214+ลำพูน!I214+สุโขทัย!I214+อุตรดิตถ์!I214+อุทัยธานี!I214</f>
        <v>0</v>
      </c>
      <c r="J214" s="187">
        <f>กำแพงเพชร!J214+เชียงราย!J214+เชียงใหม่!J214+ตาก!J214+นครสวรรค์!J214+น่าน!J214+พะเยา!J214+พิจิตร!J214+พิษณุโลก!J214+เพชรบูรณ์!J214+แพร่!J214+แม่ฮ่องสอน!J214+ลำปาง!J214+ลำพูน!J214+สุโขทัย!J214+อุตรดิตถ์!J214+อุทัยธานี!J214</f>
        <v>0</v>
      </c>
      <c r="K214" s="223"/>
      <c r="L214" s="168"/>
      <c r="M214" s="168"/>
      <c r="N214" s="168"/>
      <c r="O214" s="181"/>
      <c r="P214" s="181"/>
    </row>
    <row r="215" spans="1:16" ht="21.75" customHeight="1" x14ac:dyDescent="0.3">
      <c r="A215" s="175"/>
      <c r="B215" s="176"/>
      <c r="C215" s="176"/>
      <c r="D215" s="193"/>
      <c r="E215" s="198"/>
      <c r="F215" s="195"/>
      <c r="G215" s="225" t="s">
        <v>96</v>
      </c>
      <c r="H215" s="180" t="s">
        <v>37</v>
      </c>
      <c r="I215" s="187">
        <f ca="1">กำแพงเพชร!I215+เชียงราย!I215+เชียงใหม่!I215+ตาก!I215+นครสวรรค์!I215+น่าน!I215+พะเยา!I215+พิจิตร!I215+พิษณุโลก!I215+เพชรบูรณ์!I215+แพร่!I215+แม่ฮ่องสอน!I215+ลำปาง!I215+ลำพูน!I215+สุโขทัย!I215+อุตรดิตถ์!I215+อุทัยธานี!I215</f>
        <v>130</v>
      </c>
      <c r="J215" s="203">
        <f ca="1">กำแพงเพชร!J215+เชียงราย!J215+เชียงใหม่!J215+ตาก!J215+นครสวรรค์!J215+น่าน!J215+พะเยา!J215+พิจิตร!J215+พิษณุโลก!J215+เพชรบูรณ์!J215+แพร่!J215+แม่ฮ่องสอน!J215+ลำปาง!J215+ลำพูน!J215+สุโขทัย!J215+อุตรดิตถ์!J215+อุทัยธานี!J215</f>
        <v>0</v>
      </c>
      <c r="K215" s="223">
        <f t="shared" ref="K215:K216" ca="1" si="58">IF(I215&gt;0,J215*100/I215,0)</f>
        <v>0</v>
      </c>
      <c r="L215" s="168"/>
      <c r="M215" s="168"/>
      <c r="N215" s="167"/>
      <c r="O215" s="168"/>
      <c r="P215" s="168"/>
    </row>
    <row r="216" spans="1:16" ht="21.75" customHeight="1" x14ac:dyDescent="0.3">
      <c r="A216" s="175"/>
      <c r="B216" s="176"/>
      <c r="C216" s="176"/>
      <c r="D216" s="193"/>
      <c r="E216" s="198"/>
      <c r="F216" s="195"/>
      <c r="G216" s="225" t="s">
        <v>97</v>
      </c>
      <c r="H216" s="180" t="s">
        <v>59</v>
      </c>
      <c r="I216" s="187">
        <f ca="1">กำแพงเพชร!I216+เชียงราย!I216+เชียงใหม่!I216+ตาก!I216+นครสวรรค์!I216+น่าน!I216+พะเยา!I216+พิจิตร!I216+พิษณุโลก!I216+เพชรบูรณ์!I216+แพร่!I216+แม่ฮ่องสอน!I216+ลำปาง!I216+ลำพูน!I216+สุโขทัย!I216+อุตรดิตถ์!I216+อุทัยธานี!I216</f>
        <v>12</v>
      </c>
      <c r="J216" s="203">
        <f ca="1">กำแพงเพชร!J216+เชียงราย!J216+เชียงใหม่!J216+ตาก!J216+นครสวรรค์!J216+น่าน!J216+พะเยา!J216+พิจิตร!J216+พิษณุโลก!J216+เพชรบูรณ์!J216+แพร่!J216+แม่ฮ่องสอน!J216+ลำปาง!J216+ลำพูน!J216+สุโขทัย!J216+อุตรดิตถ์!J216+อุทัยธานี!J216</f>
        <v>0</v>
      </c>
      <c r="K216" s="223">
        <f t="shared" ca="1" si="58"/>
        <v>0</v>
      </c>
      <c r="L216" s="168"/>
      <c r="M216" s="168"/>
      <c r="N216" s="167"/>
      <c r="O216" s="168"/>
      <c r="P216" s="168"/>
    </row>
    <row r="217" spans="1:16" ht="21.75" customHeight="1" x14ac:dyDescent="0.3">
      <c r="A217" s="175"/>
      <c r="B217" s="176"/>
      <c r="C217" s="176"/>
      <c r="D217" s="193"/>
      <c r="E217" s="194" t="s">
        <v>54</v>
      </c>
      <c r="F217" s="195"/>
      <c r="G217" s="196"/>
      <c r="H217" s="186"/>
      <c r="I217" s="187"/>
      <c r="J217" s="187">
        <f ca="1">กำแพงเพชร!J217+เชียงราย!J217+เชียงใหม่!J217+ตาก!J217+นครสวรรค์!J217+น่าน!J217+พะเยา!J217+พิจิตร!J217+พิษณุโลก!J217+เพชรบูรณ์!J217+แพร่!J217+แม่ฮ่องสอน!J217+ลำปาง!J217+ลำพูน!J217+สุโขทัย!J217+อุตรดิตถ์!J217+อุทัยธานี!J217</f>
        <v>0</v>
      </c>
      <c r="K217" s="223"/>
      <c r="L217" s="168"/>
      <c r="M217" s="168"/>
      <c r="N217" s="168"/>
      <c r="O217" s="181"/>
      <c r="P217" s="181"/>
    </row>
    <row r="218" spans="1:16" ht="21.75" customHeight="1" x14ac:dyDescent="0.3">
      <c r="A218" s="233"/>
      <c r="B218" s="234"/>
      <c r="C218" s="234"/>
      <c r="D218" s="235">
        <v>3</v>
      </c>
      <c r="E218" s="236" t="s">
        <v>55</v>
      </c>
      <c r="F218" s="237"/>
      <c r="G218" s="238"/>
      <c r="H218" s="239"/>
      <c r="I218" s="240"/>
      <c r="J218" s="241">
        <f ca="1">กำแพงเพชร!J218+เชียงราย!J218+เชียงใหม่!J218+ตาก!J218+นครสวรรค์!J218+น่าน!J218+พะเยา!J218+พิจิตร!J218+พิษณุโลก!J218+เพชรบูรณ์!J218+แพร่!J218+แม่ฮ่องสอน!J218+ลำปาง!J218+ลำพูน!J218+สุโขทัย!J218+อุตรดิตถ์!J218+อุทัยธานี!J218</f>
        <v>0</v>
      </c>
      <c r="K218" s="242"/>
      <c r="L218" s="243"/>
      <c r="M218" s="243"/>
      <c r="N218" s="243"/>
      <c r="O218" s="244"/>
      <c r="P218" s="244"/>
    </row>
    <row r="219" spans="1:16" ht="21.75" customHeight="1" x14ac:dyDescent="0.3">
      <c r="A219" s="261"/>
      <c r="B219" s="262" t="s">
        <v>98</v>
      </c>
      <c r="C219" s="263"/>
      <c r="D219" s="262"/>
      <c r="E219" s="262"/>
      <c r="F219" s="262"/>
      <c r="G219" s="264"/>
      <c r="H219" s="265" t="s">
        <v>37</v>
      </c>
      <c r="I219" s="266">
        <f ca="1">กำแพงเพชร!I219+เชียงราย!I219+เชียงใหม่!I219+ตาก!I219+นครสวรรค์!I219+น่าน!I219+พะเยา!I219+พิจิตร!I219+พิษณุโลก!I219+เพชรบูรณ์!I219+แพร่!I219+แม่ฮ่องสอน!I219+ลำปาง!I219+ลำพูน!I219+สุโขทัย!I219+อุตรดิตถ์!I219+อุทัยธานี!I219</f>
        <v>234</v>
      </c>
      <c r="J219" s="266">
        <f ca="1">กำแพงเพชร!J219+เชียงราย!J219+เชียงใหม่!J219+ตาก!J219+นครสวรรค์!J219+น่าน!J219+พะเยา!J219+พิจิตร!J219+พิษณุโลก!J219+เพชรบูรณ์!J219+แพร่!J219+แม่ฮ่องสอน!J219+ลำปาง!J219+ลำพูน!J219+สุโขทัย!J219+อุตรดิตถ์!J219+อุทัยธานี!J219</f>
        <v>234</v>
      </c>
      <c r="K219" s="267">
        <f ca="1">IF(I219&gt;0,J219*100/I219,0)</f>
        <v>100</v>
      </c>
      <c r="L219" s="268"/>
      <c r="M219" s="268"/>
      <c r="N219" s="268"/>
      <c r="O219" s="267"/>
      <c r="P219" s="267"/>
    </row>
    <row r="220" spans="1:16" ht="21.75" customHeight="1" x14ac:dyDescent="0.45">
      <c r="A220" s="145"/>
      <c r="B220" s="146"/>
      <c r="C220" s="147" t="s">
        <v>16</v>
      </c>
      <c r="D220" s="537" t="s">
        <v>17</v>
      </c>
      <c r="E220" s="528"/>
      <c r="F220" s="528"/>
      <c r="G220" s="528"/>
      <c r="H220" s="148" t="s">
        <v>12</v>
      </c>
      <c r="I220" s="162"/>
      <c r="J220" s="162"/>
      <c r="K220" s="163"/>
      <c r="L220" s="151">
        <f ca="1">กำแพงเพชร!L220+เชียงราย!L220+เชียงใหม่!L220+ตาก!L220+นครสวรรค์!L220+น่าน!L220+พะเยา!L220+พิจิตร!L220+พิษณุโลก!L220+เพชรบูรณ์!L220+แพร่!L220+แม่ฮ่องสอน!L220+ลำปาง!L220+ลำพูน!L220+สุโขทัย!L220+อุตรดิตถ์!L220+อุทัยธานี!L220</f>
        <v>332510</v>
      </c>
      <c r="M220" s="151">
        <f ca="1">กำแพงเพชร!M220+เชียงราย!M220+เชียงใหม่!M220+ตาก!M220+นครสวรรค์!M220+น่าน!M220+พะเยา!M220+พิจิตร!M220+พิษณุโลก!M220+เพชรบูรณ์!M220+แพร่!M220+แม่ฮ่องสอน!M220+ลำปาง!M220+ลำพูน!M220+สุโขทัย!M220+อุตรดิตถ์!M220+อุทัยธานี!M220</f>
        <v>332510</v>
      </c>
      <c r="N220" s="151">
        <f ca="1">กำแพงเพชร!N220+เชียงราย!N220+เชียงใหม่!N220+ตาก!N220+นครสวรรค์!N220+น่าน!N220+พะเยา!N220+พิจิตร!N220+พิษณุโลก!N220+เพชรบูรณ์!N220+แพร่!N220+แม่ฮ่องสอน!N220+ลำปาง!N220+ลำพูน!N220+สุโขทัย!N220+อุตรดิตถ์!N220+อุทัยธานี!N220</f>
        <v>305926</v>
      </c>
      <c r="O220" s="150">
        <f t="shared" ref="O220:O222" ca="1" si="59">IF(L220&gt;0,N220*100/L220,0)</f>
        <v>92.005052479624666</v>
      </c>
      <c r="P220" s="150">
        <f t="shared" ref="P220:P222" ca="1" si="60">IF(M220&gt;0,N220*100/M220,0)</f>
        <v>92.005052479624666</v>
      </c>
    </row>
    <row r="221" spans="1:16" ht="21.75" customHeight="1" x14ac:dyDescent="0.45">
      <c r="A221" s="152"/>
      <c r="B221" s="32"/>
      <c r="C221" s="32"/>
      <c r="D221" s="32"/>
      <c r="E221" s="32"/>
      <c r="F221" s="32"/>
      <c r="G221" s="33" t="s">
        <v>18</v>
      </c>
      <c r="H221" s="153" t="s">
        <v>12</v>
      </c>
      <c r="I221" s="162"/>
      <c r="J221" s="162"/>
      <c r="K221" s="163"/>
      <c r="L221" s="87">
        <f>กำแพงเพชร!L221+เชียงราย!L221+เชียงใหม่!L221+ตาก!L221+นครสวรรค์!L221+น่าน!L221+พะเยา!L221+พิจิตร!L221+พิษณุโลก!L221+เพชรบูรณ์!L221+แพร่!L221+แม่ฮ่องสอน!L221+ลำปาง!L221+ลำพูน!L221+สุโขทัย!L221+อุตรดิตถ์!L221+อุทัยธานี!L221</f>
        <v>0</v>
      </c>
      <c r="M221" s="87">
        <f>กำแพงเพชร!M221+เชียงราย!M221+เชียงใหม่!M221+ตาก!M221+นครสวรรค์!M221+น่าน!M221+พะเยา!M221+พิจิตร!M221+พิษณุโลก!M221+เพชรบูรณ์!M221+แพร่!M221+แม่ฮ่องสอน!M221+ลำปาง!M221+ลำพูน!M221+สุโขทัย!M221+อุตรดิตถ์!M221+อุทัยธานี!M221</f>
        <v>0</v>
      </c>
      <c r="N221" s="87">
        <f>กำแพงเพชร!N221+เชียงราย!N221+เชียงใหม่!N221+ตาก!N221+นครสวรรค์!N221+น่าน!N221+พะเยา!N221+พิจิตร!N221+พิษณุโลก!N221+เพชรบูรณ์!N221+แพร่!N221+แม่ฮ่องสอน!N221+ลำปาง!N221+ลำพูน!N221+สุโขทัย!N221+อุตรดิตถ์!N221+อุทัยธานี!N221</f>
        <v>0</v>
      </c>
      <c r="O221" s="155">
        <f t="shared" si="59"/>
        <v>0</v>
      </c>
      <c r="P221" s="155">
        <f t="shared" si="60"/>
        <v>0</v>
      </c>
    </row>
    <row r="222" spans="1:16" ht="21.75" customHeight="1" x14ac:dyDescent="0.45">
      <c r="A222" s="152"/>
      <c r="B222" s="32"/>
      <c r="C222" s="32"/>
      <c r="D222" s="32"/>
      <c r="E222" s="32"/>
      <c r="F222" s="32"/>
      <c r="G222" s="33" t="s">
        <v>19</v>
      </c>
      <c r="H222" s="153" t="s">
        <v>12</v>
      </c>
      <c r="I222" s="162"/>
      <c r="J222" s="162"/>
      <c r="K222" s="163"/>
      <c r="L222" s="87">
        <f ca="1">กำแพงเพชร!L222+เชียงราย!L222+เชียงใหม่!L222+ตาก!L222+นครสวรรค์!L222+น่าน!L222+พะเยา!L222+พิจิตร!L222+พิษณุโลก!L222+เพชรบูรณ์!L222+แพร่!L222+แม่ฮ่องสอน!L222+ลำปาง!L222+ลำพูน!L222+สุโขทัย!L222+อุตรดิตถ์!L222+อุทัยธานี!L222</f>
        <v>332510</v>
      </c>
      <c r="M222" s="87">
        <f ca="1">กำแพงเพชร!M222+เชียงราย!M222+เชียงใหม่!M222+ตาก!M222+นครสวรรค์!M222+น่าน!M222+พะเยา!M222+พิจิตร!M222+พิษณุโลก!M222+เพชรบูรณ์!M222+แพร่!M222+แม่ฮ่องสอน!M222+ลำปาง!M222+ลำพูน!M222+สุโขทัย!M222+อุตรดิตถ์!M222+อุทัยธานี!M222</f>
        <v>332510</v>
      </c>
      <c r="N222" s="87">
        <f ca="1">กำแพงเพชร!N222+เชียงราย!N222+เชียงใหม่!N222+ตาก!N222+นครสวรรค์!N222+น่าน!N222+พะเยา!N222+พิจิตร!N222+พิษณุโลก!N222+เพชรบูรณ์!N222+แพร่!N222+แม่ฮ่องสอน!N222+ลำปาง!N222+ลำพูน!N222+สุโขทัย!N222+อุตรดิตถ์!N222+อุทัยธานี!N222</f>
        <v>305926</v>
      </c>
      <c r="O222" s="155">
        <f t="shared" ca="1" si="59"/>
        <v>92.005052479624666</v>
      </c>
      <c r="P222" s="155">
        <f t="shared" ca="1" si="60"/>
        <v>92.005052479624666</v>
      </c>
    </row>
    <row r="223" spans="1:16" ht="21.75" customHeight="1" x14ac:dyDescent="0.3">
      <c r="A223" s="156"/>
      <c r="B223" s="157"/>
      <c r="C223" s="157" t="s">
        <v>16</v>
      </c>
      <c r="D223" s="158" t="s">
        <v>38</v>
      </c>
      <c r="E223" s="159"/>
      <c r="F223" s="159"/>
      <c r="G223" s="160" t="s">
        <v>39</v>
      </c>
      <c r="H223" s="161" t="s">
        <v>12</v>
      </c>
      <c r="I223" s="162" t="s">
        <v>40</v>
      </c>
      <c r="J223" s="162"/>
      <c r="K223" s="163"/>
      <c r="L223" s="164">
        <f>กำแพงเพชร!L223+เชียงราย!L223+เชียงใหม่!L223+ตาก!L223+นครสวรรค์!L223+น่าน!L223+พะเยา!L223+พิจิตร!L223+พิษณุโลก!L223+เพชรบูรณ์!L223+แพร่!L223+แม่ฮ่องสอน!L223+ลำปาง!L223+ลำพูน!L223+สุโขทัย!L223+อุตรดิตถ์!L223+อุทัยธานี!L223</f>
        <v>0</v>
      </c>
      <c r="M223" s="164">
        <f>กำแพงเพชร!M223+เชียงราย!M223+เชียงใหม่!M223+ตาก!M223+นครสวรรค์!M223+น่าน!M223+พะเยา!M223+พิจิตร!M223+พิษณุโลก!M223+เพชรบูรณ์!M223+แพร่!M223+แม่ฮ่องสอน!M223+ลำปาง!M223+ลำพูน!M223+สุโขทัย!M223+อุตรดิตถ์!M223+อุทัยธานี!M223</f>
        <v>0</v>
      </c>
      <c r="N223" s="164">
        <f>กำแพงเพชร!N223+เชียงราย!N223+เชียงใหม่!N223+ตาก!N223+นครสวรรค์!N223+น่าน!N223+พะเยา!N223+พิจิตร!N223+พิษณุโลก!N223+เพชรบูรณ์!N223+แพร่!N223+แม่ฮ่องสอน!N223+ลำปาง!N223+ลำพูน!N223+สุโขทัย!N223+อุตรดิตถ์!N223+อุทัยธานี!N223</f>
        <v>0</v>
      </c>
      <c r="O223" s="165">
        <f>+IF(L223&gt;0,N223*100/L223,0)</f>
        <v>0</v>
      </c>
      <c r="P223" s="165"/>
    </row>
    <row r="224" spans="1:16" ht="21.75" customHeight="1" x14ac:dyDescent="0.3">
      <c r="A224" s="156"/>
      <c r="B224" s="157"/>
      <c r="C224" s="157"/>
      <c r="D224" s="166"/>
      <c r="E224" s="159"/>
      <c r="F224" s="159" t="s">
        <v>40</v>
      </c>
      <c r="G224" s="160" t="s">
        <v>41</v>
      </c>
      <c r="H224" s="161" t="s">
        <v>12</v>
      </c>
      <c r="I224" s="162"/>
      <c r="J224" s="162"/>
      <c r="K224" s="163"/>
      <c r="L224" s="167">
        <f ca="1">กำแพงเพชร!L224+เชียงราย!L224+เชียงใหม่!L224+ตาก!L224+นครสวรรค์!L224+น่าน!L224+พะเยา!L224+พิจิตร!L224+พิษณุโลก!L224+เพชรบูรณ์!L224+แพร่!L224+แม่ฮ่องสอน!L224+ลำปาง!L224+ลำพูน!L224+สุโขทัย!L224+อุตรดิตถ์!L224+อุทัยธานี!L224</f>
        <v>332510</v>
      </c>
      <c r="M224" s="167">
        <f ca="1">กำแพงเพชร!M224+เชียงราย!M224+เชียงใหม่!M224+ตาก!M224+นครสวรรค์!M224+น่าน!M224+พะเยา!M224+พิจิตร!M224+พิษณุโลก!M224+เพชรบูรณ์!M224+แพร่!M224+แม่ฮ่องสอน!M224+ลำปาง!M224+ลำพูน!M224+สุโขทัย!M224+อุตรดิตถ์!M224+อุทัยธานี!M224</f>
        <v>332510</v>
      </c>
      <c r="N224" s="168">
        <f ca="1">กำแพงเพชร!N224+เชียงราย!N224+เชียงใหม่!N224+ตาก!N224+นครสวรรค์!N224+น่าน!N224+พะเยา!N224+พิจิตร!N224+พิษณุโลก!N224+เพชรบูรณ์!N224+แพร่!N224+แม่ฮ่องสอน!N224+ลำปาง!N224+ลำพูน!N224+สุโขทัย!N224+อุตรดิตถ์!N224+อุทัยธานี!N224</f>
        <v>305926</v>
      </c>
      <c r="O224" s="168">
        <f ca="1">IF(L224&gt;0,N224*100/L224,0)</f>
        <v>92.005052479624666</v>
      </c>
      <c r="P224" s="168">
        <f ca="1">IF(M224&gt;0,N224*100/M224,0)</f>
        <v>92.005052479624666</v>
      </c>
    </row>
    <row r="225" spans="1:16" ht="21.75" customHeight="1" x14ac:dyDescent="0.3">
      <c r="A225" s="156"/>
      <c r="B225" s="157"/>
      <c r="C225" s="157"/>
      <c r="D225" s="166"/>
      <c r="E225" s="159"/>
      <c r="F225" s="159"/>
      <c r="G225" s="169" t="s">
        <v>42</v>
      </c>
      <c r="H225" s="161" t="s">
        <v>12</v>
      </c>
      <c r="I225" s="162"/>
      <c r="J225" s="162"/>
      <c r="K225" s="163"/>
      <c r="L225" s="167">
        <f ca="1">กำแพงเพชร!L225+เชียงราย!L225+เชียงใหม่!L225+ตาก!L225+นครสวรรค์!L225+น่าน!L225+พะเยา!L225+พิจิตร!L225+พิษณุโลก!L225+เพชรบูรณ์!L225+แพร่!L225+แม่ฮ่องสอน!L225+ลำปาง!L225+ลำพูน!L225+สุโขทัย!L225+อุตรดิตถ์!L225+อุทัยธานี!L225</f>
        <v>0</v>
      </c>
      <c r="M225" s="167"/>
      <c r="N225" s="167"/>
      <c r="O225" s="168"/>
      <c r="P225" s="168"/>
    </row>
    <row r="226" spans="1:16" ht="21.75" customHeight="1" x14ac:dyDescent="0.3">
      <c r="A226" s="156"/>
      <c r="B226" s="157"/>
      <c r="C226" s="157"/>
      <c r="D226" s="166"/>
      <c r="E226" s="159"/>
      <c r="F226" s="159"/>
      <c r="G226" s="169" t="s">
        <v>43</v>
      </c>
      <c r="H226" s="161" t="s">
        <v>12</v>
      </c>
      <c r="I226" s="162"/>
      <c r="J226" s="162"/>
      <c r="K226" s="163"/>
      <c r="L226" s="167">
        <f ca="1">กำแพงเพชร!L226+เชียงราย!L226+เชียงใหม่!L226+ตาก!L226+นครสวรรค์!L226+น่าน!L226+พะเยา!L226+พิจิตร!L226+พิษณุโลก!L226+เพชรบูรณ์!L226+แพร่!L226+แม่ฮ่องสอน!L226+ลำปาง!L226+ลำพูน!L226+สุโขทัย!L226+อุตรดิตถ์!L226+อุทัยธานี!L226</f>
        <v>332510</v>
      </c>
      <c r="M226" s="167"/>
      <c r="N226" s="167"/>
      <c r="O226" s="168"/>
      <c r="P226" s="168"/>
    </row>
    <row r="227" spans="1:16" ht="21.75" customHeight="1" x14ac:dyDescent="0.45">
      <c r="A227" s="170"/>
      <c r="B227" s="80"/>
      <c r="C227" s="81" t="s">
        <v>16</v>
      </c>
      <c r="D227" s="534" t="s">
        <v>23</v>
      </c>
      <c r="E227" s="530"/>
      <c r="F227" s="88"/>
      <c r="G227" s="82" t="s">
        <v>18</v>
      </c>
      <c r="H227" s="171" t="s">
        <v>12</v>
      </c>
      <c r="I227" s="200"/>
      <c r="J227" s="200"/>
      <c r="K227" s="288"/>
      <c r="L227" s="41">
        <f>กำแพงเพชร!L227+เชียงราย!L227+เชียงใหม่!L227+ตาก!L227+นครสวรรค์!L227+น่าน!L227+พะเยา!L227+พิจิตร!L227+พิษณุโลก!L227+เพชรบูรณ์!L227+แพร่!L227+แม่ฮ่องสอน!L227+ลำปาง!L227+ลำพูน!L227+สุโขทัย!L227+อุตรดิตถ์!L227+อุทัยธานี!L227</f>
        <v>0</v>
      </c>
      <c r="M227" s="41"/>
      <c r="N227" s="41"/>
      <c r="O227" s="41"/>
      <c r="P227" s="41"/>
    </row>
    <row r="228" spans="1:16" ht="21.75" customHeight="1" x14ac:dyDescent="0.45">
      <c r="A228" s="172"/>
      <c r="B228" s="91"/>
      <c r="C228" s="91"/>
      <c r="D228" s="173"/>
      <c r="E228" s="92"/>
      <c r="F228" s="92"/>
      <c r="G228" s="93" t="s">
        <v>19</v>
      </c>
      <c r="H228" s="174" t="s">
        <v>12</v>
      </c>
      <c r="I228" s="200"/>
      <c r="J228" s="200"/>
      <c r="K228" s="288"/>
      <c r="L228" s="49">
        <f ca="1">กำแพงเพชร!L228+เชียงราย!L228+เชียงใหม่!L228+ตาก!L228+นครสวรรค์!L228+น่าน!L228+พะเยา!L228+พิจิตร!L228+พิษณุโลก!L228+เพชรบูรณ์!L228+แพร่!L228+แม่ฮ่องสอน!L228+ลำปาง!L228+ลำพูน!L228+สุโขทัย!L228+อุตรดิตถ์!L228+อุทัยธานี!L228</f>
        <v>0</v>
      </c>
      <c r="M228" s="49"/>
      <c r="N228" s="49">
        <f ca="1">กำแพงเพชร!N228+เชียงราย!N228+เชียงใหม่!N228+ตาก!N228+นครสวรรค์!N228+น่าน!N228+พะเยา!N228+พิจิตร!N228+พิษณุโลก!N228+เพชรบูรณ์!N228+แพร่!N228+แม่ฮ่องสอน!N228+ลำปาง!N228+ลำพูน!N228+สุโขทัย!N228+อุตรดิตถ์!N228+อุทัยธานี!N228</f>
        <v>0</v>
      </c>
      <c r="O228" s="49">
        <f ca="1">IF(L228&gt;0,N228*100/L228,0)</f>
        <v>0</v>
      </c>
      <c r="P228" s="49"/>
    </row>
    <row r="229" spans="1:16" ht="21.75" customHeight="1" x14ac:dyDescent="0.3">
      <c r="A229" s="175"/>
      <c r="B229" s="289"/>
      <c r="C229" s="263" t="s">
        <v>99</v>
      </c>
      <c r="D229" s="262"/>
      <c r="E229" s="262"/>
      <c r="F229" s="262"/>
      <c r="G229" s="264"/>
      <c r="H229" s="265" t="s">
        <v>37</v>
      </c>
      <c r="I229" s="266">
        <f ca="1">กำแพงเพชร!I229+เชียงราย!I229+เชียงใหม่!I229+ตาก!I229+นครสวรรค์!I229+น่าน!I229+พะเยา!I229+พิจิตร!I229+พิษณุโลก!I229+เพชรบูรณ์!I229+แพร่!I229+แม่ฮ่องสอน!I229+ลำปาง!I229+ลำพูน!I229+สุโขทัย!I229+อุตรดิตถ์!I229+อุทัยธานี!I229</f>
        <v>234</v>
      </c>
      <c r="J229" s="266">
        <f ca="1">กำแพงเพชร!J229+เชียงราย!J229+เชียงใหม่!J229+ตาก!J229+นครสวรรค์!J229+น่าน!J229+พะเยา!J229+พิจิตร!J229+พิษณุโลก!J229+เพชรบูรณ์!J229+แพร่!J229+แม่ฮ่องสอน!J229+ลำปาง!J229+ลำพูน!J229+สุโขทัย!J229+อุตรดิตถ์!J229+อุทัยธานี!J229</f>
        <v>234</v>
      </c>
      <c r="K229" s="267">
        <f ca="1">IF(I229&gt;0,J229*100/I229,0)</f>
        <v>100</v>
      </c>
      <c r="L229" s="290"/>
      <c r="M229" s="290"/>
      <c r="N229" s="290"/>
      <c r="O229" s="290"/>
      <c r="P229" s="290"/>
    </row>
    <row r="230" spans="1:16" ht="21.75" customHeight="1" x14ac:dyDescent="0.3">
      <c r="A230" s="175"/>
      <c r="B230" s="176"/>
      <c r="C230" s="157" t="s">
        <v>16</v>
      </c>
      <c r="D230" s="177" t="s">
        <v>44</v>
      </c>
      <c r="E230" s="178"/>
      <c r="F230" s="178"/>
      <c r="G230" s="179"/>
      <c r="H230" s="180"/>
      <c r="I230" s="162"/>
      <c r="J230" s="162"/>
      <c r="K230" s="163"/>
      <c r="L230" s="181"/>
      <c r="M230" s="181"/>
      <c r="N230" s="181"/>
      <c r="O230" s="181"/>
      <c r="P230" s="181"/>
    </row>
    <row r="231" spans="1:16" ht="21.75" customHeight="1" x14ac:dyDescent="0.3">
      <c r="A231" s="175"/>
      <c r="B231" s="176"/>
      <c r="C231" s="176"/>
      <c r="D231" s="182">
        <v>1</v>
      </c>
      <c r="E231" s="183" t="s">
        <v>45</v>
      </c>
      <c r="F231" s="184"/>
      <c r="G231" s="185"/>
      <c r="H231" s="186"/>
      <c r="I231" s="187"/>
      <c r="J231" s="197">
        <f ca="1">กำแพงเพชร!J231+เชียงราย!J231+เชียงใหม่!J231+ตาก!J231+นครสวรรค์!J231+น่าน!J231+พะเยา!J231+พิจิตร!J231+พิษณุโลก!J231+เพชรบูรณ์!J231+แพร่!J231+แม่ฮ่องสอน!J231+ลำปาง!J231+ลำพูน!J231+สุโขทัย!J231+อุตรดิตถ์!J231+อุทัยธานี!J231</f>
        <v>0</v>
      </c>
      <c r="K231" s="163"/>
      <c r="L231" s="181"/>
      <c r="M231" s="181"/>
      <c r="N231" s="181"/>
      <c r="O231" s="181"/>
      <c r="P231" s="181"/>
    </row>
    <row r="232" spans="1:16" ht="21.75" customHeight="1" x14ac:dyDescent="0.3">
      <c r="A232" s="175"/>
      <c r="B232" s="176"/>
      <c r="C232" s="176"/>
      <c r="D232" s="189">
        <v>2</v>
      </c>
      <c r="E232" s="190" t="s">
        <v>46</v>
      </c>
      <c r="F232" s="191"/>
      <c r="G232" s="192"/>
      <c r="H232" s="186"/>
      <c r="I232" s="187"/>
      <c r="J232" s="188">
        <f ca="1">กำแพงเพชร!J232+เชียงราย!J232+เชียงใหม่!J232+ตาก!J232+นครสวรรค์!J232+น่าน!J232+พะเยา!J232+พิจิตร!J232+พิษณุโลก!J232+เพชรบูรณ์!J232+แพร่!J232+แม่ฮ่องสอน!J232+ลำปาง!J232+ลำพูน!J232+สุโขทัย!J232+อุตรดิตถ์!J232+อุทัยธานี!J232</f>
        <v>12</v>
      </c>
      <c r="K232" s="163"/>
      <c r="L232" s="181" t="s">
        <v>40</v>
      </c>
      <c r="M232" s="181"/>
      <c r="N232" s="181" t="s">
        <v>40</v>
      </c>
      <c r="O232" s="181"/>
      <c r="P232" s="181"/>
    </row>
    <row r="233" spans="1:16" ht="21.75" customHeight="1" x14ac:dyDescent="0.3">
      <c r="A233" s="175"/>
      <c r="B233" s="176"/>
      <c r="C233" s="176"/>
      <c r="D233" s="193"/>
      <c r="E233" s="194" t="s">
        <v>47</v>
      </c>
      <c r="F233" s="195"/>
      <c r="G233" s="196"/>
      <c r="H233" s="186"/>
      <c r="I233" s="187"/>
      <c r="J233" s="188">
        <f ca="1">กำแพงเพชร!J233+เชียงราย!J233+เชียงใหม่!J233+ตาก!J233+นครสวรรค์!J233+น่าน!J233+พะเยา!J233+พิจิตร!J233+พิษณุโลก!J233+เพชรบูรณ์!J233+แพร่!J233+แม่ฮ่องสอน!J233+ลำปาง!J233+ลำพูน!J233+สุโขทัย!J233+อุตรดิตถ์!J233+อุทัยธานี!J233</f>
        <v>16</v>
      </c>
      <c r="K233" s="163"/>
      <c r="L233" s="181"/>
      <c r="M233" s="181"/>
      <c r="N233" s="181"/>
      <c r="O233" s="181"/>
      <c r="P233" s="181"/>
    </row>
    <row r="234" spans="1:16" ht="21.75" customHeight="1" x14ac:dyDescent="0.3">
      <c r="A234" s="175"/>
      <c r="B234" s="176"/>
      <c r="C234" s="176"/>
      <c r="D234" s="193"/>
      <c r="E234" s="194" t="s">
        <v>48</v>
      </c>
      <c r="F234" s="195"/>
      <c r="G234" s="196"/>
      <c r="H234" s="186"/>
      <c r="I234" s="187"/>
      <c r="J234" s="197">
        <f ca="1">กำแพงเพชร!J234+เชียงราย!J234+เชียงใหม่!J234+ตาก!J234+นครสวรรค์!J234+น่าน!J234+พะเยา!J234+พิจิตร!J234+พิษณุโลก!J234+เพชรบูรณ์!J234+แพร่!J234+แม่ฮ่องสอน!J234+ลำปาง!J234+ลำพูน!J234+สุโขทัย!J234+อุตรดิตถ์!J234+อุทัยธานี!J234</f>
        <v>15</v>
      </c>
      <c r="K234" s="163"/>
      <c r="L234" s="181"/>
      <c r="M234" s="181"/>
      <c r="N234" s="181"/>
      <c r="O234" s="181"/>
      <c r="P234" s="181"/>
    </row>
    <row r="235" spans="1:16" ht="21.75" customHeight="1" x14ac:dyDescent="0.3">
      <c r="A235" s="175"/>
      <c r="B235" s="176"/>
      <c r="C235" s="176"/>
      <c r="D235" s="193"/>
      <c r="E235" s="198"/>
      <c r="F235" s="195"/>
      <c r="G235" s="291" t="s">
        <v>70</v>
      </c>
      <c r="H235" s="186" t="s">
        <v>37</v>
      </c>
      <c r="I235" s="187">
        <f ca="1">กำแพงเพชร!I235+เชียงราย!I235+เชียงใหม่!I235+ตาก!I235+นครสวรรค์!I235+น่าน!I235+พะเยา!I235+พิจิตร!I235+พิษณุโลก!I235+เพชรบูรณ์!I235+แพร่!I235+แม่ฮ่องสอน!I235+ลำปาง!I235+ลำพูน!I235+สุโขทัย!I235+อุตรดิตถ์!I235+อุทัยธานี!I235</f>
        <v>234</v>
      </c>
      <c r="J235" s="188">
        <f ca="1">กำแพงเพชร!J235+เชียงราย!J235+เชียงใหม่!J235+ตาก!J235+นครสวรรค์!J235+น่าน!J235+พะเยา!J235+พิจิตร!J235+พิษณุโลก!J235+เพชรบูรณ์!J235+แพร่!J235+แม่ฮ่องสอน!J235+ลำปาง!J235+ลำพูน!J235+สุโขทัย!J235+อุตรดิตถ์!J235+อุทัยธานี!J235</f>
        <v>234</v>
      </c>
      <c r="K235" s="163">
        <f ca="1">IF(I235&gt;0,J235*100/I235,0)</f>
        <v>100</v>
      </c>
      <c r="L235" s="181"/>
      <c r="M235" s="181"/>
      <c r="N235" s="181"/>
      <c r="O235" s="181"/>
      <c r="P235" s="181"/>
    </row>
    <row r="236" spans="1:16" ht="21.75" customHeight="1" x14ac:dyDescent="0.3">
      <c r="A236" s="175"/>
      <c r="B236" s="176"/>
      <c r="C236" s="176"/>
      <c r="D236" s="193"/>
      <c r="E236" s="194" t="s">
        <v>54</v>
      </c>
      <c r="F236" s="195"/>
      <c r="G236" s="196"/>
      <c r="H236" s="186"/>
      <c r="I236" s="187"/>
      <c r="J236" s="197">
        <f ca="1">กำแพงเพชร!J236+เชียงราย!J236+เชียงใหม่!J236+ตาก!J236+นครสวรรค์!J236+น่าน!J236+พะเยา!J236+พิจิตร!J236+พิษณุโลก!J236+เพชรบูรณ์!J236+แพร่!J236+แม่ฮ่องสอน!J236+ลำปาง!J236+ลำพูน!J236+สุโขทัย!J236+อุตรดิตถ์!J236+อุทัยธานี!J236</f>
        <v>5</v>
      </c>
      <c r="K236" s="163"/>
      <c r="L236" s="181"/>
      <c r="M236" s="181"/>
      <c r="N236" s="181"/>
      <c r="O236" s="181"/>
      <c r="P236" s="181"/>
    </row>
    <row r="237" spans="1:16" ht="21.75" customHeight="1" x14ac:dyDescent="0.3">
      <c r="A237" s="175"/>
      <c r="B237" s="176"/>
      <c r="C237" s="176"/>
      <c r="D237" s="205">
        <v>3</v>
      </c>
      <c r="E237" s="206" t="s">
        <v>55</v>
      </c>
      <c r="F237" s="207"/>
      <c r="G237" s="208"/>
      <c r="H237" s="186"/>
      <c r="I237" s="187"/>
      <c r="J237" s="209">
        <f ca="1">กำแพงเพชร!J237+เชียงราย!J237+เชียงใหม่!J237+ตาก!J237+นครสวรรค์!J237+น่าน!J237+พะเยา!J237+พิจิตร!J237+พิษณุโลก!J237+เพชรบูรณ์!J237+แพร่!J237+แม่ฮ่องสอน!J237+ลำปาง!J237+ลำพูน!J237+สุโขทัย!J237+อุตรดิตถ์!J237+อุทัยธานี!J237</f>
        <v>4</v>
      </c>
      <c r="K237" s="163"/>
      <c r="L237" s="181"/>
      <c r="M237" s="181"/>
      <c r="N237" s="181"/>
      <c r="O237" s="181"/>
      <c r="P237" s="181"/>
    </row>
    <row r="238" spans="1:16" ht="21.75" customHeight="1" x14ac:dyDescent="0.3">
      <c r="A238" s="175"/>
      <c r="B238" s="176"/>
      <c r="C238" s="263" t="s">
        <v>100</v>
      </c>
      <c r="D238" s="292"/>
      <c r="E238" s="262"/>
      <c r="F238" s="262"/>
      <c r="G238" s="264"/>
      <c r="H238" s="265" t="s">
        <v>37</v>
      </c>
      <c r="I238" s="266">
        <f ca="1">กำแพงเพชร!I238+เชียงราย!I238+เชียงใหม่!I238+ตาก!I238+นครสวรรค์!I238+น่าน!I238+พะเยา!I238+พิจิตร!I238+พิษณุโลก!I238+เพชรบูรณ์!I238+แพร่!I238+แม่ฮ่องสอน!I238+ลำปาง!I238+ลำพูน!I238+สุโขทัย!I238+อุตรดิตถ์!I238+อุทัยธานี!I238</f>
        <v>0</v>
      </c>
      <c r="J238" s="266">
        <f ca="1">กำแพงเพชร!J238+เชียงราย!J238+เชียงใหม่!J238+ตาก!J238+นครสวรรค์!J238+น่าน!J238+พะเยา!J238+พิจิตร!J238+พิษณุโลก!J238+เพชรบูรณ์!J238+แพร่!J238+แม่ฮ่องสอน!J238+ลำปาง!J238+ลำพูน!J238+สุโขทัย!J238+อุตรดิตถ์!J238+อุทัยธานี!J238</f>
        <v>0</v>
      </c>
      <c r="K238" s="267">
        <f ca="1">IF(I238&gt;0,J238*100/I238,0)</f>
        <v>0</v>
      </c>
      <c r="L238" s="181"/>
      <c r="M238" s="181"/>
      <c r="N238" s="181"/>
      <c r="O238" s="181"/>
      <c r="P238" s="181"/>
    </row>
    <row r="239" spans="1:16" ht="21.75" customHeight="1" x14ac:dyDescent="0.3">
      <c r="A239" s="175"/>
      <c r="B239" s="176"/>
      <c r="C239" s="157" t="s">
        <v>16</v>
      </c>
      <c r="D239" s="177" t="s">
        <v>44</v>
      </c>
      <c r="E239" s="178"/>
      <c r="F239" s="178"/>
      <c r="G239" s="179"/>
      <c r="H239" s="180"/>
      <c r="I239" s="162"/>
      <c r="J239" s="162"/>
      <c r="K239" s="163"/>
      <c r="L239" s="181"/>
      <c r="M239" s="181"/>
      <c r="N239" s="181"/>
      <c r="O239" s="181"/>
      <c r="P239" s="181"/>
    </row>
    <row r="240" spans="1:16" ht="21.75" customHeight="1" x14ac:dyDescent="0.3">
      <c r="A240" s="175"/>
      <c r="B240" s="176"/>
      <c r="C240" s="176"/>
      <c r="D240" s="182">
        <v>1</v>
      </c>
      <c r="E240" s="183" t="s">
        <v>45</v>
      </c>
      <c r="F240" s="184"/>
      <c r="G240" s="185"/>
      <c r="H240" s="186"/>
      <c r="I240" s="187"/>
      <c r="J240" s="187" t="str">
        <f ca="1">IFERROR(__xludf.DUMMYFUNCTION("IMPORTRANGE(""https://docs.google.com/spreadsheets/d/1SX6NBoVAgQJ6U1MVXOaj8PK2l7WJ3RER9xtqwdhxkhw/edit?usp=sharing"",""กาญจนบุรี!J159"")"),"")</f>
        <v/>
      </c>
      <c r="K240" s="163"/>
      <c r="L240" s="181"/>
      <c r="M240" s="181"/>
      <c r="N240" s="181"/>
      <c r="O240" s="181"/>
      <c r="P240" s="181"/>
    </row>
    <row r="241" spans="1:16" ht="21.75" customHeight="1" x14ac:dyDescent="0.3">
      <c r="A241" s="175"/>
      <c r="B241" s="176"/>
      <c r="C241" s="176"/>
      <c r="D241" s="189">
        <v>2</v>
      </c>
      <c r="E241" s="190" t="s">
        <v>46</v>
      </c>
      <c r="F241" s="191"/>
      <c r="G241" s="192"/>
      <c r="H241" s="186"/>
      <c r="I241" s="187"/>
      <c r="J241" s="187">
        <f ca="1">กำแพงเพชร!J241+เชียงราย!J241+เชียงใหม่!J241+ตาก!J241+นครสวรรค์!J241+น่าน!J241+พะเยา!J241+พิจิตร!J241+พิษณุโลก!J241+เพชรบูรณ์!J241+แพร่!J241+แม่ฮ่องสอน!J241+ลำปาง!J241+ลำพูน!J241+สุโขทัย!J241+อุตรดิตถ์!J241+อุทัยธานี!J241</f>
        <v>0</v>
      </c>
      <c r="K241" s="163"/>
      <c r="L241" s="181" t="s">
        <v>40</v>
      </c>
      <c r="M241" s="181"/>
      <c r="N241" s="181" t="s">
        <v>40</v>
      </c>
      <c r="O241" s="181"/>
      <c r="P241" s="181"/>
    </row>
    <row r="242" spans="1:16" ht="21.75" customHeight="1" x14ac:dyDescent="0.3">
      <c r="A242" s="175"/>
      <c r="B242" s="176"/>
      <c r="C242" s="176"/>
      <c r="D242" s="193"/>
      <c r="E242" s="194" t="s">
        <v>47</v>
      </c>
      <c r="F242" s="195"/>
      <c r="G242" s="196"/>
      <c r="H242" s="186"/>
      <c r="I242" s="187"/>
      <c r="J242" s="187">
        <f ca="1">กำแพงเพชร!J242+เชียงราย!J242+เชียงใหม่!J242+ตาก!J242+นครสวรรค์!J242+น่าน!J242+พะเยา!J242+พิจิตร!J242+พิษณุโลก!J242+เพชรบูรณ์!J242+แพร่!J242+แม่ฮ่องสอน!J242+ลำปาง!J242+ลำพูน!J242+สุโขทัย!J242+อุตรดิตถ์!J242+อุทัยธานี!J242</f>
        <v>0</v>
      </c>
      <c r="K242" s="163"/>
      <c r="L242" s="181"/>
      <c r="M242" s="181"/>
      <c r="N242" s="181"/>
      <c r="O242" s="181"/>
      <c r="P242" s="181"/>
    </row>
    <row r="243" spans="1:16" ht="21.75" customHeight="1" x14ac:dyDescent="0.3">
      <c r="A243" s="175"/>
      <c r="B243" s="176"/>
      <c r="C243" s="176"/>
      <c r="D243" s="193"/>
      <c r="E243" s="194" t="s">
        <v>48</v>
      </c>
      <c r="F243" s="195"/>
      <c r="G243" s="196"/>
      <c r="H243" s="186"/>
      <c r="I243" s="187"/>
      <c r="J243" s="187">
        <f ca="1">กำแพงเพชร!J243+เชียงราย!J243+เชียงใหม่!J243+ตาก!J243+นครสวรรค์!J243+น่าน!J243+พะเยา!J243+พิจิตร!J243+พิษณุโลก!J243+เพชรบูรณ์!J243+แพร่!J243+แม่ฮ่องสอน!J243+ลำปาง!J243+ลำพูน!J243+สุโขทัย!J243+อุตรดิตถ์!J243+อุทัยธานี!J243</f>
        <v>0</v>
      </c>
      <c r="K243" s="163"/>
      <c r="L243" s="181"/>
      <c r="M243" s="181"/>
      <c r="N243" s="181"/>
      <c r="O243" s="181"/>
      <c r="P243" s="181"/>
    </row>
    <row r="244" spans="1:16" ht="21.75" customHeight="1" x14ac:dyDescent="0.3">
      <c r="A244" s="175"/>
      <c r="B244" s="176"/>
      <c r="C244" s="176"/>
      <c r="D244" s="193"/>
      <c r="E244" s="195"/>
      <c r="F244" s="194" t="s">
        <v>101</v>
      </c>
      <c r="G244" s="195"/>
      <c r="H244" s="186" t="s">
        <v>37</v>
      </c>
      <c r="I244" s="203">
        <f ca="1">กำแพงเพชร!I244+เชียงราย!I244+เชียงใหม่!I244+ตาก!I244+นครสวรรค์!I244+น่าน!I244+พะเยา!I244+พิจิตร!I244+พิษณุโลก!I244+เพชรบูรณ์!I244+แพร่!I244+แม่ฮ่องสอน!I244+ลำปาง!I244+ลำพูน!I244+สุโขทัย!I244+อุตรดิตถ์!I244+อุทัยธานี!I244</f>
        <v>0</v>
      </c>
      <c r="J244" s="187">
        <f ca="1">กำแพงเพชร!J244+เชียงราย!J244+เชียงใหม่!J244+ตาก!J244+นครสวรรค์!J244+น่าน!J244+พะเยา!J244+พิจิตร!J244+พิษณุโลก!J244+เพชรบูรณ์!J244+แพร่!J244+แม่ฮ่องสอน!J244+ลำปาง!J244+ลำพูน!J244+สุโขทัย!J244+อุตรดิตถ์!J244+อุทัยธานี!J244</f>
        <v>0</v>
      </c>
      <c r="K244" s="163">
        <f ca="1">IF(I244&gt;0,J244*100/I244,0)</f>
        <v>0</v>
      </c>
      <c r="L244" s="181"/>
      <c r="M244" s="181"/>
      <c r="N244" s="181"/>
      <c r="O244" s="181"/>
      <c r="P244" s="181"/>
    </row>
    <row r="245" spans="1:16" ht="21.75" customHeight="1" x14ac:dyDescent="0.3">
      <c r="A245" s="175"/>
      <c r="B245" s="176"/>
      <c r="C245" s="176"/>
      <c r="D245" s="193"/>
      <c r="E245" s="194" t="s">
        <v>54</v>
      </c>
      <c r="F245" s="195"/>
      <c r="G245" s="196"/>
      <c r="H245" s="186"/>
      <c r="I245" s="187"/>
      <c r="J245" s="187">
        <f ca="1">กำแพงเพชร!J245+เชียงราย!J245+เชียงใหม่!J245+ตาก!J245+นครสวรรค์!J245+น่าน!J245+พะเยา!J245+พิจิตร!J245+พิษณุโลก!J245+เพชรบูรณ์!J245+แพร่!J245+แม่ฮ่องสอน!J245+ลำปาง!J245+ลำพูน!J245+สุโขทัย!J245+อุตรดิตถ์!J245+อุทัยธานี!J245</f>
        <v>0</v>
      </c>
      <c r="K245" s="163"/>
      <c r="L245" s="181"/>
      <c r="M245" s="181"/>
      <c r="N245" s="181"/>
      <c r="O245" s="181"/>
      <c r="P245" s="181"/>
    </row>
    <row r="246" spans="1:16" ht="21.75" customHeight="1" x14ac:dyDescent="0.3">
      <c r="A246" s="233"/>
      <c r="B246" s="234"/>
      <c r="C246" s="234"/>
      <c r="D246" s="235">
        <v>3</v>
      </c>
      <c r="E246" s="236" t="s">
        <v>55</v>
      </c>
      <c r="F246" s="237"/>
      <c r="G246" s="238"/>
      <c r="H246" s="239"/>
      <c r="I246" s="240"/>
      <c r="J246" s="241">
        <f ca="1">กำแพงเพชร!J246+เชียงราย!J246+เชียงใหม่!J246+ตาก!J246+นครสวรรค์!J246+น่าน!J246+พะเยา!J246+พิจิตร!J246+พิษณุโลก!J246+เพชรบูรณ์!J246+แพร่!J246+แม่ฮ่องสอน!J246+ลำปาง!J246+ลำพูน!J246+สุโขทัย!J246+อุตรดิตถ์!J246+อุทัยธานี!J246</f>
        <v>0</v>
      </c>
      <c r="K246" s="286"/>
      <c r="L246" s="244"/>
      <c r="M246" s="244"/>
      <c r="N246" s="244"/>
      <c r="O246" s="244"/>
      <c r="P246" s="244"/>
    </row>
    <row r="247" spans="1:16" ht="21.75" customHeight="1" x14ac:dyDescent="0.3">
      <c r="A247" s="293" t="s">
        <v>102</v>
      </c>
      <c r="B247" s="294"/>
      <c r="C247" s="294"/>
      <c r="D247" s="294"/>
      <c r="E247" s="295"/>
      <c r="F247" s="295"/>
      <c r="G247" s="296"/>
      <c r="H247" s="297"/>
      <c r="I247" s="298"/>
      <c r="J247" s="298"/>
      <c r="K247" s="299"/>
      <c r="L247" s="300"/>
      <c r="M247" s="300"/>
      <c r="N247" s="300"/>
      <c r="O247" s="301"/>
      <c r="P247" s="301"/>
    </row>
    <row r="248" spans="1:16" ht="21.75" customHeight="1" x14ac:dyDescent="0.3">
      <c r="A248" s="302" t="s">
        <v>103</v>
      </c>
      <c r="B248" s="303"/>
      <c r="C248" s="303"/>
      <c r="D248" s="304"/>
      <c r="E248" s="304"/>
      <c r="F248" s="304"/>
      <c r="G248" s="305"/>
      <c r="H248" s="306"/>
      <c r="I248" s="307"/>
      <c r="J248" s="307"/>
      <c r="K248" s="308"/>
      <c r="L248" s="308"/>
      <c r="M248" s="308"/>
      <c r="N248" s="308"/>
      <c r="O248" s="309"/>
      <c r="P248" s="309"/>
    </row>
    <row r="249" spans="1:16" ht="21.75" customHeight="1" x14ac:dyDescent="0.3">
      <c r="A249" s="310"/>
      <c r="B249" s="311" t="s">
        <v>104</v>
      </c>
      <c r="C249" s="311"/>
      <c r="D249" s="311"/>
      <c r="E249" s="311"/>
      <c r="F249" s="311"/>
      <c r="G249" s="312"/>
      <c r="H249" s="313" t="s">
        <v>37</v>
      </c>
      <c r="I249" s="314">
        <f ca="1">กำแพงเพชร!I249+เชียงราย!I249+เชียงใหม่!I249+ตาก!I249+นครสวรรค์!I249+น่าน!I249+พะเยา!I249+พิจิตร!I249+พิษณุโลก!I249+เพชรบูรณ์!I249+แพร่!I249+แม่ฮ่องสอน!I249+ลำปาง!I249+ลำพูน!I249+สุโขทัย!I249+อุตรดิตถ์!I249+อุทัยธานี!I249</f>
        <v>180</v>
      </c>
      <c r="J249" s="314">
        <f ca="1">กำแพงเพชร!J249+เชียงราย!J249+เชียงใหม่!J249+ตาก!J249+นครสวรรค์!J249+น่าน!J249+พะเยา!J249+พิจิตร!J249+พิษณุโลก!J249+เพชรบูรณ์!J249+แพร่!J249+แม่ฮ่องสอน!J249+ลำปาง!J249+ลำพูน!J249+สุโขทัย!J249+อุตรดิตถ์!J249+อุทัยธานี!J249</f>
        <v>120</v>
      </c>
      <c r="K249" s="315">
        <f ca="1">IF(I249&gt;0,J249*100/I249,0)</f>
        <v>66.666666666666671</v>
      </c>
      <c r="L249" s="316"/>
      <c r="M249" s="316"/>
      <c r="N249" s="316"/>
      <c r="O249" s="315"/>
      <c r="P249" s="315"/>
    </row>
    <row r="250" spans="1:16" ht="21.75" customHeight="1" x14ac:dyDescent="0.45">
      <c r="A250" s="145"/>
      <c r="B250" s="146"/>
      <c r="C250" s="147" t="s">
        <v>16</v>
      </c>
      <c r="D250" s="537" t="s">
        <v>17</v>
      </c>
      <c r="E250" s="528"/>
      <c r="F250" s="528"/>
      <c r="G250" s="528"/>
      <c r="H250" s="148" t="s">
        <v>12</v>
      </c>
      <c r="I250" s="162"/>
      <c r="J250" s="162"/>
      <c r="K250" s="163"/>
      <c r="L250" s="151">
        <f ca="1">กำแพงเพชร!L250+เชียงราย!L250+เชียงใหม่!L250+ตาก!L250+นครสวรรค์!L250+น่าน!L250+พะเยา!L250+พิจิตร!L250+พิษณุโลก!L250+เพชรบูรณ์!L250+แพร่!L250+แม่ฮ่องสอน!L250+ลำปาง!L250+ลำพูน!L250+สุโขทัย!L250+อุตรดิตถ์!L250+อุทัยธานี!L250</f>
        <v>1126000</v>
      </c>
      <c r="M250" s="151">
        <f ca="1">กำแพงเพชร!M250+เชียงราย!M250+เชียงใหม่!M250+ตาก!M250+นครสวรรค์!M250+น่าน!M250+พะเยา!M250+พิจิตร!M250+พิษณุโลก!M250+เพชรบูรณ์!M250+แพร่!M250+แม่ฮ่องสอน!M250+ลำปาง!M250+ลำพูน!M250+สุโขทัย!M250+อุตรดิตถ์!M250+อุทัยธานี!M250</f>
        <v>570000</v>
      </c>
      <c r="N250" s="151">
        <f ca="1">กำแพงเพชร!N250+เชียงราย!N250+เชียงใหม่!N250+ตาก!N250+นครสวรรค์!N250+น่าน!N250+พะเยา!N250+พิจิตร!N250+พิษณุโลก!N250+เพชรบูรณ์!N250+แพร่!N250+แม่ฮ่องสอน!N250+ลำปาง!N250+ลำพูน!N250+สุโขทัย!N250+อุตรดิตถ์!N250+อุทัยธานี!N250</f>
        <v>419749</v>
      </c>
      <c r="O250" s="150">
        <f t="shared" ref="O250:O252" ca="1" si="61">IF(L250&gt;0,N250*100/L250,0)</f>
        <v>37.277886323268206</v>
      </c>
      <c r="P250" s="150">
        <f t="shared" ref="P250:P252" ca="1" si="62">IF(M250&gt;0,N250*100/M250,0)</f>
        <v>73.640175438596486</v>
      </c>
    </row>
    <row r="251" spans="1:16" ht="21.75" customHeight="1" x14ac:dyDescent="0.45">
      <c r="A251" s="152"/>
      <c r="B251" s="32"/>
      <c r="C251" s="32"/>
      <c r="D251" s="32"/>
      <c r="E251" s="32"/>
      <c r="F251" s="32"/>
      <c r="G251" s="33" t="s">
        <v>18</v>
      </c>
      <c r="H251" s="153" t="s">
        <v>12</v>
      </c>
      <c r="I251" s="162"/>
      <c r="J251" s="162"/>
      <c r="K251" s="163"/>
      <c r="L251" s="87">
        <f>กำแพงเพชร!L251+เชียงราย!L251+เชียงใหม่!L251+ตาก!L251+นครสวรรค์!L251+น่าน!L251+พะเยา!L251+พิจิตร!L251+พิษณุโลก!L251+เพชรบูรณ์!L251+แพร่!L251+แม่ฮ่องสอน!L251+ลำปาง!L251+ลำพูน!L251+สุโขทัย!L251+อุตรดิตถ์!L251+อุทัยธานี!L251</f>
        <v>0</v>
      </c>
      <c r="M251" s="87">
        <f>กำแพงเพชร!M251+เชียงราย!M251+เชียงใหม่!M251+ตาก!M251+นครสวรรค์!M251+น่าน!M251+พะเยา!M251+พิจิตร!M251+พิษณุโลก!M251+เพชรบูรณ์!M251+แพร่!M251+แม่ฮ่องสอน!M251+ลำปาง!M251+ลำพูน!M251+สุโขทัย!M251+อุตรดิตถ์!M251+อุทัยธานี!M251</f>
        <v>0</v>
      </c>
      <c r="N251" s="87">
        <f>กำแพงเพชร!N251+เชียงราย!N251+เชียงใหม่!N251+ตาก!N251+นครสวรรค์!N251+น่าน!N251+พะเยา!N251+พิจิตร!N251+พิษณุโลก!N251+เพชรบูรณ์!N251+แพร่!N251+แม่ฮ่องสอน!N251+ลำปาง!N251+ลำพูน!N251+สุโขทัย!N251+อุตรดิตถ์!N251+อุทัยธานี!N251</f>
        <v>0</v>
      </c>
      <c r="O251" s="155">
        <f t="shared" si="61"/>
        <v>0</v>
      </c>
      <c r="P251" s="155">
        <f t="shared" si="62"/>
        <v>0</v>
      </c>
    </row>
    <row r="252" spans="1:16" ht="21.75" customHeight="1" x14ac:dyDescent="0.45">
      <c r="A252" s="152"/>
      <c r="B252" s="32"/>
      <c r="C252" s="32"/>
      <c r="D252" s="32"/>
      <c r="E252" s="32"/>
      <c r="F252" s="32"/>
      <c r="G252" s="33" t="s">
        <v>19</v>
      </c>
      <c r="H252" s="153" t="s">
        <v>12</v>
      </c>
      <c r="I252" s="162"/>
      <c r="J252" s="162"/>
      <c r="K252" s="163"/>
      <c r="L252" s="87">
        <f ca="1">กำแพงเพชร!L252+เชียงราย!L252+เชียงใหม่!L252+ตาก!L252+นครสวรรค์!L252+น่าน!L252+พะเยา!L252+พิจิตร!L252+พิษณุโลก!L252+เพชรบูรณ์!L252+แพร่!L252+แม่ฮ่องสอน!L252+ลำปาง!L252+ลำพูน!L252+สุโขทัย!L252+อุตรดิตถ์!L252+อุทัยธานี!L252</f>
        <v>1126000</v>
      </c>
      <c r="M252" s="87">
        <f ca="1">กำแพงเพชร!M252+เชียงราย!M252+เชียงใหม่!M252+ตาก!M252+นครสวรรค์!M252+น่าน!M252+พะเยา!M252+พิจิตร!M252+พิษณุโลก!M252+เพชรบูรณ์!M252+แพร่!M252+แม่ฮ่องสอน!M252+ลำปาง!M252+ลำพูน!M252+สุโขทัย!M252+อุตรดิตถ์!M252+อุทัยธานี!M252</f>
        <v>570000</v>
      </c>
      <c r="N252" s="87">
        <f ca="1">กำแพงเพชร!N252+เชียงราย!N252+เชียงใหม่!N252+ตาก!N252+นครสวรรค์!N252+น่าน!N252+พะเยา!N252+พิจิตร!N252+พิษณุโลก!N252+เพชรบูรณ์!N252+แพร่!N252+แม่ฮ่องสอน!N252+ลำปาง!N252+ลำพูน!N252+สุโขทัย!N252+อุตรดิตถ์!N252+อุทัยธานี!N252</f>
        <v>419749</v>
      </c>
      <c r="O252" s="155">
        <f t="shared" ca="1" si="61"/>
        <v>37.277886323268206</v>
      </c>
      <c r="P252" s="155">
        <f t="shared" ca="1" si="62"/>
        <v>73.640175438596486</v>
      </c>
    </row>
    <row r="253" spans="1:16" ht="21.75" customHeight="1" x14ac:dyDescent="0.3">
      <c r="A253" s="156"/>
      <c r="B253" s="157"/>
      <c r="C253" s="157" t="s">
        <v>16</v>
      </c>
      <c r="D253" s="158" t="s">
        <v>38</v>
      </c>
      <c r="E253" s="159"/>
      <c r="F253" s="159"/>
      <c r="G253" s="160" t="s">
        <v>39</v>
      </c>
      <c r="H253" s="161" t="s">
        <v>12</v>
      </c>
      <c r="I253" s="162" t="s">
        <v>40</v>
      </c>
      <c r="J253" s="162"/>
      <c r="K253" s="163"/>
      <c r="L253" s="164">
        <f>กำแพงเพชร!L253+เชียงราย!L253+เชียงใหม่!L253+ตาก!L253+นครสวรรค์!L253+น่าน!L253+พะเยา!L253+พิจิตร!L253+พิษณุโลก!L253+เพชรบูรณ์!L253+แพร่!L253+แม่ฮ่องสอน!L253+ลำปาง!L253+ลำพูน!L253+สุโขทัย!L253+อุตรดิตถ์!L253+อุทัยธานี!L253</f>
        <v>0</v>
      </c>
      <c r="M253" s="164">
        <f>กำแพงเพชร!M253+เชียงราย!M253+เชียงใหม่!M253+ตาก!M253+นครสวรรค์!M253+น่าน!M253+พะเยา!M253+พิจิตร!M253+พิษณุโลก!M253+เพชรบูรณ์!M253+แพร่!M253+แม่ฮ่องสอน!M253+ลำปาง!M253+ลำพูน!M253+สุโขทัย!M253+อุตรดิตถ์!M253+อุทัยธานี!M253</f>
        <v>0</v>
      </c>
      <c r="N253" s="164">
        <f>กำแพงเพชร!N253+เชียงราย!N253+เชียงใหม่!N253+ตาก!N253+นครสวรรค์!N253+น่าน!N253+พะเยา!N253+พิจิตร!N253+พิษณุโลก!N253+เพชรบูรณ์!N253+แพร่!N253+แม่ฮ่องสอน!N253+ลำปาง!N253+ลำพูน!N253+สุโขทัย!N253+อุตรดิตถ์!N253+อุทัยธานี!N253</f>
        <v>0</v>
      </c>
      <c r="O253" s="165">
        <f>+IF(L253&gt;0,N253*100/L253,0)</f>
        <v>0</v>
      </c>
      <c r="P253" s="165"/>
    </row>
    <row r="254" spans="1:16" ht="21.75" customHeight="1" x14ac:dyDescent="0.3">
      <c r="A254" s="156"/>
      <c r="B254" s="157"/>
      <c r="C254" s="157"/>
      <c r="D254" s="166"/>
      <c r="E254" s="159"/>
      <c r="F254" s="159" t="s">
        <v>40</v>
      </c>
      <c r="G254" s="160" t="s">
        <v>41</v>
      </c>
      <c r="H254" s="161" t="s">
        <v>12</v>
      </c>
      <c r="I254" s="162"/>
      <c r="J254" s="162"/>
      <c r="K254" s="163"/>
      <c r="L254" s="167">
        <f ca="1">กำแพงเพชร!L254+เชียงราย!L254+เชียงใหม่!L254+ตาก!L254+นครสวรรค์!L254+น่าน!L254+พะเยา!L254+พิจิตร!L254+พิษณุโลก!L254+เพชรบูรณ์!L254+แพร่!L254+แม่ฮ่องสอน!L254+ลำปาง!L254+ลำพูน!L254+สุโขทัย!L254+อุตรดิตถ์!L254+อุทัยธานี!L254</f>
        <v>1126000</v>
      </c>
      <c r="M254" s="167">
        <f ca="1">กำแพงเพชร!M254+เชียงราย!M254+เชียงใหม่!M254+ตาก!M254+นครสวรรค์!M254+น่าน!M254+พะเยา!M254+พิจิตร!M254+พิษณุโลก!M254+เพชรบูรณ์!M254+แพร่!M254+แม่ฮ่องสอน!M254+ลำปาง!M254+ลำพูน!M254+สุโขทัย!M254+อุตรดิตถ์!M254+อุทัยธานี!M254</f>
        <v>570000</v>
      </c>
      <c r="N254" s="168">
        <f ca="1">กำแพงเพชร!N254+เชียงราย!N254+เชียงใหม่!N254+ตาก!N254+นครสวรรค์!N254+น่าน!N254+พะเยา!N254+พิจิตร!N254+พิษณุโลก!N254+เพชรบูรณ์!N254+แพร่!N254+แม่ฮ่องสอน!N254+ลำปาง!N254+ลำพูน!N254+สุโขทัย!N254+อุตรดิตถ์!N254+อุทัยธานี!N254</f>
        <v>419749</v>
      </c>
      <c r="O254" s="168">
        <f ca="1">IF(L254&gt;0,N254*100/L254,0)</f>
        <v>37.277886323268206</v>
      </c>
      <c r="P254" s="168">
        <f ca="1">IF(M254&gt;0,N254*100/M254,0)</f>
        <v>73.640175438596486</v>
      </c>
    </row>
    <row r="255" spans="1:16" ht="21.75" customHeight="1" x14ac:dyDescent="0.3">
      <c r="A255" s="156"/>
      <c r="B255" s="157"/>
      <c r="C255" s="157"/>
      <c r="D255" s="166"/>
      <c r="E255" s="159"/>
      <c r="F255" s="159"/>
      <c r="G255" s="169" t="s">
        <v>42</v>
      </c>
      <c r="H255" s="161" t="s">
        <v>12</v>
      </c>
      <c r="I255" s="162"/>
      <c r="J255" s="162"/>
      <c r="K255" s="163"/>
      <c r="L255" s="167">
        <f ca="1">กำแพงเพชร!L255+เชียงราย!L255+เชียงใหม่!L255+ตาก!L255+นครสวรรค์!L255+น่าน!L255+พะเยา!L255+พิจิตร!L255+พิษณุโลก!L255+เพชรบูรณ์!L255+แพร่!L255+แม่ฮ่องสอน!L255+ลำปาง!L255+ลำพูน!L255+สุโขทัย!L255+อุตรดิตถ์!L255+อุทัยธานี!L255</f>
        <v>264000</v>
      </c>
      <c r="M255" s="167"/>
      <c r="N255" s="167"/>
      <c r="O255" s="168"/>
      <c r="P255" s="168"/>
    </row>
    <row r="256" spans="1:16" ht="21.75" customHeight="1" x14ac:dyDescent="0.3">
      <c r="A256" s="156"/>
      <c r="B256" s="157"/>
      <c r="C256" s="157"/>
      <c r="D256" s="166"/>
      <c r="E256" s="159"/>
      <c r="F256" s="159"/>
      <c r="G256" s="169" t="s">
        <v>43</v>
      </c>
      <c r="H256" s="161" t="s">
        <v>12</v>
      </c>
      <c r="I256" s="162"/>
      <c r="J256" s="162"/>
      <c r="K256" s="163"/>
      <c r="L256" s="167">
        <f ca="1">กำแพงเพชร!L256+เชียงราย!L256+เชียงใหม่!L256+ตาก!L256+นครสวรรค์!L256+น่าน!L256+พะเยา!L256+พิจิตร!L256+พิษณุโลก!L256+เพชรบูรณ์!L256+แพร่!L256+แม่ฮ่องสอน!L256+ลำปาง!L256+ลำพูน!L256+สุโขทัย!L256+อุตรดิตถ์!L256+อุทัยธานี!L256</f>
        <v>862000</v>
      </c>
      <c r="M256" s="167"/>
      <c r="N256" s="167"/>
      <c r="O256" s="168"/>
      <c r="P256" s="168"/>
    </row>
    <row r="257" spans="1:16" ht="21.75" customHeight="1" x14ac:dyDescent="0.45">
      <c r="A257" s="170"/>
      <c r="B257" s="80"/>
      <c r="C257" s="81" t="s">
        <v>16</v>
      </c>
      <c r="D257" s="534" t="s">
        <v>23</v>
      </c>
      <c r="E257" s="530"/>
      <c r="F257" s="88"/>
      <c r="G257" s="82" t="s">
        <v>18</v>
      </c>
      <c r="H257" s="171" t="s">
        <v>12</v>
      </c>
      <c r="I257" s="162"/>
      <c r="J257" s="162"/>
      <c r="K257" s="163"/>
      <c r="L257" s="41">
        <f>กำแพงเพชร!L257+เชียงราย!L257+เชียงใหม่!L257+ตาก!L257+นครสวรรค์!L257+น่าน!L257+พะเยา!L257+พิจิตร!L257+พิษณุโลก!L257+เพชรบูรณ์!L257+แพร่!L257+แม่ฮ่องสอน!L257+ลำปาง!L257+ลำพูน!L257+สุโขทัย!L257+อุตรดิตถ์!L257+อุทัยธานี!L257</f>
        <v>0</v>
      </c>
      <c r="M257" s="41"/>
      <c r="N257" s="41"/>
      <c r="O257" s="41"/>
      <c r="P257" s="41"/>
    </row>
    <row r="258" spans="1:16" ht="21.75" customHeight="1" x14ac:dyDescent="0.45">
      <c r="A258" s="172"/>
      <c r="B258" s="91"/>
      <c r="C258" s="91"/>
      <c r="D258" s="173"/>
      <c r="E258" s="92"/>
      <c r="F258" s="92"/>
      <c r="G258" s="93" t="s">
        <v>19</v>
      </c>
      <c r="H258" s="174" t="s">
        <v>12</v>
      </c>
      <c r="I258" s="162"/>
      <c r="J258" s="162"/>
      <c r="K258" s="163"/>
      <c r="L258" s="49">
        <f ca="1">กำแพงเพชร!L258+เชียงราย!L258+เชียงใหม่!L258+ตาก!L258+นครสวรรค์!L258+น่าน!L258+พะเยา!L258+พิจิตร!L258+พิษณุโลก!L258+เพชรบูรณ์!L258+แพร่!L258+แม่ฮ่องสอน!L258+ลำปาง!L258+ลำพูน!L258+สุโขทัย!L258+อุตรดิตถ์!L258+อุทัยธานี!L258</f>
        <v>0</v>
      </c>
      <c r="M258" s="49"/>
      <c r="N258" s="49">
        <f ca="1">กำแพงเพชร!N258+เชียงราย!N258+เชียงใหม่!N258+ตาก!N258+นครสวรรค์!N258+น่าน!N258+พะเยา!N258+พิจิตร!N258+พิษณุโลก!N258+เพชรบูรณ์!N258+แพร่!N258+แม่ฮ่องสอน!N258+ลำปาง!N258+ลำพูน!N258+สุโขทัย!N258+อุตรดิตถ์!N258+อุทัยธานี!N258</f>
        <v>0</v>
      </c>
      <c r="O258" s="49">
        <f ca="1">IF(L258&gt;0,N258*100/L258,0)</f>
        <v>0</v>
      </c>
      <c r="P258" s="49"/>
    </row>
    <row r="259" spans="1:16" ht="21.75" customHeight="1" x14ac:dyDescent="0.3">
      <c r="A259" s="175"/>
      <c r="B259" s="176"/>
      <c r="C259" s="157" t="s">
        <v>16</v>
      </c>
      <c r="D259" s="177" t="s">
        <v>44</v>
      </c>
      <c r="E259" s="178"/>
      <c r="F259" s="178"/>
      <c r="G259" s="179"/>
      <c r="H259" s="180"/>
      <c r="I259" s="162"/>
      <c r="J259" s="162"/>
      <c r="K259" s="163"/>
      <c r="L259" s="181"/>
      <c r="M259" s="181"/>
      <c r="N259" s="181"/>
      <c r="O259" s="181"/>
      <c r="P259" s="181"/>
    </row>
    <row r="260" spans="1:16" ht="21.75" customHeight="1" x14ac:dyDescent="0.3">
      <c r="A260" s="175"/>
      <c r="B260" s="176"/>
      <c r="C260" s="176"/>
      <c r="D260" s="182">
        <v>1</v>
      </c>
      <c r="E260" s="183" t="s">
        <v>45</v>
      </c>
      <c r="F260" s="184"/>
      <c r="G260" s="185"/>
      <c r="H260" s="186"/>
      <c r="I260" s="187"/>
      <c r="J260" s="188">
        <f ca="1">กำแพงเพชร!J260+เชียงราย!J260+เชียงใหม่!J260+ตาก!J260+นครสวรรค์!J260+น่าน!J260+พะเยา!J260+พิจิตร!J260+พิษณุโลก!J260+เพชรบูรณ์!J260+แพร่!J260+แม่ฮ่องสอน!J260+ลำปาง!J260+ลำพูน!J260+สุโขทัย!J260+อุตรดิตถ์!J260+อุทัยธานี!J260</f>
        <v>0</v>
      </c>
      <c r="K260" s="163"/>
      <c r="L260" s="181"/>
      <c r="M260" s="181"/>
      <c r="N260" s="181"/>
      <c r="O260" s="181"/>
      <c r="P260" s="181"/>
    </row>
    <row r="261" spans="1:16" ht="21.75" customHeight="1" x14ac:dyDescent="0.3">
      <c r="A261" s="175"/>
      <c r="B261" s="176"/>
      <c r="C261" s="176"/>
      <c r="D261" s="189">
        <v>2</v>
      </c>
      <c r="E261" s="190" t="s">
        <v>46</v>
      </c>
      <c r="F261" s="191"/>
      <c r="G261" s="192"/>
      <c r="H261" s="186"/>
      <c r="I261" s="187"/>
      <c r="J261" s="197">
        <f ca="1">กำแพงเพชร!J261+เชียงราย!J261+เชียงใหม่!J261+ตาก!J261+นครสวรรค์!J261+น่าน!J261+พะเยา!J261+พิจิตร!J261+พิษณุโลก!J261+เพชรบูรณ์!J261+แพร่!J261+แม่ฮ่องสอน!J261+ลำปาง!J261+ลำพูน!J261+สุโขทัย!J261+อุตรดิตถ์!J261+อุทัยธานี!J261</f>
        <v>8</v>
      </c>
      <c r="K261" s="163"/>
      <c r="L261" s="181" t="s">
        <v>40</v>
      </c>
      <c r="M261" s="181"/>
      <c r="N261" s="181" t="s">
        <v>40</v>
      </c>
      <c r="O261" s="181"/>
      <c r="P261" s="181"/>
    </row>
    <row r="262" spans="1:16" ht="21.75" customHeight="1" x14ac:dyDescent="0.3">
      <c r="A262" s="175"/>
      <c r="B262" s="176"/>
      <c r="C262" s="176"/>
      <c r="D262" s="193"/>
      <c r="E262" s="194" t="s">
        <v>47</v>
      </c>
      <c r="F262" s="195"/>
      <c r="G262" s="196"/>
      <c r="H262" s="186"/>
      <c r="I262" s="187"/>
      <c r="J262" s="197">
        <f ca="1">กำแพงเพชร!J262+เชียงราย!J262+เชียงใหม่!J262+ตาก!J262+นครสวรรค์!J262+น่าน!J262+พะเยา!J262+พิจิตร!J262+พิษณุโลก!J262+เพชรบูรณ์!J262+แพร่!J262+แม่ฮ่องสอน!J262+ลำปาง!J262+ลำพูน!J262+สุโขทัย!J262+อุตรดิตถ์!J262+อุทัยธานี!J262</f>
        <v>7</v>
      </c>
      <c r="K262" s="163"/>
      <c r="L262" s="181"/>
      <c r="M262" s="181"/>
      <c r="N262" s="181"/>
      <c r="O262" s="181"/>
      <c r="P262" s="181"/>
    </row>
    <row r="263" spans="1:16" ht="21.75" customHeight="1" x14ac:dyDescent="0.3">
      <c r="A263" s="175"/>
      <c r="B263" s="176"/>
      <c r="C263" s="176"/>
      <c r="D263" s="193"/>
      <c r="E263" s="194" t="s">
        <v>48</v>
      </c>
      <c r="F263" s="195"/>
      <c r="G263" s="196"/>
      <c r="H263" s="186"/>
      <c r="I263" s="187"/>
      <c r="J263" s="197">
        <f ca="1">กำแพงเพชร!J263+เชียงราย!J263+เชียงใหม่!J263+ตาก!J263+นครสวรรค์!J263+น่าน!J263+พะเยา!J263+พิจิตร!J263+พิษณุโลก!J263+เพชรบูรณ์!J263+แพร่!J263+แม่ฮ่องสอน!J263+ลำปาง!J263+ลำพูน!J263+สุโขทัย!J263+อุตรดิตถ์!J263+อุทัยธานี!J263</f>
        <v>7</v>
      </c>
      <c r="K263" s="163"/>
      <c r="L263" s="181"/>
      <c r="M263" s="181"/>
      <c r="N263" s="181"/>
      <c r="O263" s="181"/>
      <c r="P263" s="181"/>
    </row>
    <row r="264" spans="1:16" ht="21.75" customHeight="1" x14ac:dyDescent="0.3">
      <c r="A264" s="175"/>
      <c r="B264" s="176"/>
      <c r="C264" s="176"/>
      <c r="D264" s="193"/>
      <c r="E264" s="198"/>
      <c r="F264" s="194" t="s">
        <v>105</v>
      </c>
      <c r="G264" s="196"/>
      <c r="H264" s="180" t="s">
        <v>59</v>
      </c>
      <c r="I264" s="187">
        <f ca="1">กำแพงเพชร!I264+เชียงราย!I264+เชียงใหม่!I264+ตาก!I264+นครสวรรค์!I264+น่าน!I264+พะเยา!I264+พิจิตร!I264+พิษณุโลก!I264+เพชรบูรณ์!I264+แพร่!I264+แม่ฮ่องสอน!I264+ลำปาง!I264+ลำพูน!I264+สุโขทัย!I264+อุตรดิตถ์!I264+อุทัยธานี!I264</f>
        <v>8</v>
      </c>
      <c r="J264" s="188">
        <f ca="1">กำแพงเพชร!J264+เชียงราย!J264+เชียงใหม่!J264+ตาก!J264+นครสวรรค์!J264+น่าน!J264+พะเยา!J264+พิจิตร!J264+พิษณุโลก!J264+เพชรบูรณ์!J264+แพร่!J264+แม่ฮ่องสอน!J264+ลำปาง!J264+ลำพูน!J264+สุโขทัย!J264+อุตรดิตถ์!J264+อุทัยธานี!J264</f>
        <v>8</v>
      </c>
      <c r="K264" s="163">
        <f t="shared" ref="K264:K267" ca="1" si="63">IF(I264&gt;0,J264*100/I264,0)</f>
        <v>100</v>
      </c>
      <c r="L264" s="181"/>
      <c r="M264" s="181"/>
      <c r="N264" s="181"/>
      <c r="O264" s="181"/>
      <c r="P264" s="181"/>
    </row>
    <row r="265" spans="1:16" ht="21.75" customHeight="1" x14ac:dyDescent="0.3">
      <c r="A265" s="175"/>
      <c r="B265" s="176"/>
      <c r="C265" s="176"/>
      <c r="D265" s="193"/>
      <c r="E265" s="198"/>
      <c r="F265" s="194" t="s">
        <v>106</v>
      </c>
      <c r="G265" s="196"/>
      <c r="H265" s="180" t="s">
        <v>37</v>
      </c>
      <c r="I265" s="187">
        <f ca="1">กำแพงเพชร!I265+เชียงราย!I265+เชียงใหม่!I265+ตาก!I265+นครสวรรค์!I265+น่าน!I265+พะเยา!I265+พิจิตร!I265+พิษณุโลก!I265+เพชรบูรณ์!I265+แพร่!I265+แม่ฮ่องสอน!I265+ลำปาง!I265+ลำพูน!I265+สุโขทัย!I265+อุตรดิตถ์!I265+อุทัยธานี!I265</f>
        <v>180</v>
      </c>
      <c r="J265" s="188">
        <f ca="1">กำแพงเพชร!J265+เชียงราย!J265+เชียงใหม่!J265+ตาก!J265+นครสวรรค์!J265+น่าน!J265+พะเยา!J265+พิจิตร!J265+พิษณุโลก!J265+เพชรบูรณ์!J265+แพร่!J265+แม่ฮ่องสอน!J265+ลำปาง!J265+ลำพูน!J265+สุโขทัย!J265+อุตรดิตถ์!J265+อุทัยธานี!J265</f>
        <v>120</v>
      </c>
      <c r="K265" s="163">
        <f t="shared" ca="1" si="63"/>
        <v>66.666666666666671</v>
      </c>
      <c r="L265" s="181"/>
      <c r="M265" s="181"/>
      <c r="N265" s="181"/>
      <c r="O265" s="181"/>
      <c r="P265" s="181"/>
    </row>
    <row r="266" spans="1:16" ht="21.75" customHeight="1" x14ac:dyDescent="0.3">
      <c r="A266" s="175"/>
      <c r="B266" s="176"/>
      <c r="C266" s="176"/>
      <c r="D266" s="193"/>
      <c r="E266" s="198"/>
      <c r="F266" s="194" t="s">
        <v>107</v>
      </c>
      <c r="G266" s="196"/>
      <c r="H266" s="180" t="s">
        <v>37</v>
      </c>
      <c r="I266" s="187">
        <f ca="1">กำแพงเพชร!I266+เชียงราย!I266+เชียงใหม่!I266+ตาก!I266+นครสวรรค์!I266+น่าน!I266+พะเยา!I266+พิจิตร!I266+พิษณุโลก!I266+เพชรบูรณ์!I266+แพร่!I266+แม่ฮ่องสอน!I266+ลำปาง!I266+ลำพูน!I266+สุโขทัย!I266+อุตรดิตถ์!I266+อุทัยธานี!I266</f>
        <v>180</v>
      </c>
      <c r="J266" s="188">
        <f ca="1">กำแพงเพชร!J266+เชียงราย!J266+เชียงใหม่!J266+ตาก!J266+นครสวรรค์!J266+น่าน!J266+พะเยา!J266+พิจิตร!J266+พิษณุโลก!J266+เพชรบูรณ์!J266+แพร่!J266+แม่ฮ่องสอน!J266+ลำปาง!J266+ลำพูน!J266+สุโขทัย!J266+อุตรดิตถ์!J266+อุทัยธานี!J266</f>
        <v>25</v>
      </c>
      <c r="K266" s="163">
        <f t="shared" ca="1" si="63"/>
        <v>13.888888888888889</v>
      </c>
      <c r="L266" s="181"/>
      <c r="M266" s="181"/>
      <c r="N266" s="181"/>
      <c r="O266" s="181"/>
      <c r="P266" s="181"/>
    </row>
    <row r="267" spans="1:16" ht="21.75" customHeight="1" x14ac:dyDescent="0.3">
      <c r="A267" s="175"/>
      <c r="B267" s="176"/>
      <c r="C267" s="176"/>
      <c r="D267" s="193"/>
      <c r="E267" s="198"/>
      <c r="F267" s="194" t="s">
        <v>108</v>
      </c>
      <c r="G267" s="196"/>
      <c r="H267" s="180" t="s">
        <v>37</v>
      </c>
      <c r="I267" s="187">
        <f ca="1">กำแพงเพชร!I267+เชียงราย!I267+เชียงใหม่!I267+ตาก!I267+นครสวรรค์!I267+น่าน!I267+พะเยา!I267+พิจิตร!I267+พิษณุโลก!I267+เพชรบูรณ์!I267+แพร่!I267+แม่ฮ่องสอน!I267+ลำปาง!I267+ลำพูน!I267+สุโขทัย!I267+อุตรดิตถ์!I267+อุทัยธานี!I267</f>
        <v>8</v>
      </c>
      <c r="J267" s="188">
        <f ca="1">กำแพงเพชร!J267+เชียงราย!J267+เชียงใหม่!J267+ตาก!J267+นครสวรรค์!J267+น่าน!J267+พะเยา!J267+พิจิตร!J267+พิษณุโลก!J267+เพชรบูรณ์!J267+แพร่!J267+แม่ฮ่องสอน!J267+ลำปาง!J267+ลำพูน!J267+สุโขทัย!J267+อุตรดิตถ์!J267+อุทัยธานี!J267</f>
        <v>6</v>
      </c>
      <c r="K267" s="163">
        <f t="shared" ca="1" si="63"/>
        <v>75</v>
      </c>
      <c r="L267" s="181"/>
      <c r="M267" s="181"/>
      <c r="N267" s="181"/>
      <c r="O267" s="181"/>
      <c r="P267" s="181"/>
    </row>
    <row r="268" spans="1:16" ht="21.75" customHeight="1" x14ac:dyDescent="0.3">
      <c r="A268" s="175"/>
      <c r="B268" s="176"/>
      <c r="C268" s="176"/>
      <c r="D268" s="193"/>
      <c r="E268" s="194" t="s">
        <v>54</v>
      </c>
      <c r="F268" s="195"/>
      <c r="G268" s="196"/>
      <c r="H268" s="186"/>
      <c r="I268" s="187"/>
      <c r="J268" s="197">
        <f ca="1">กำแพงเพชร!J268+เชียงราย!J268+เชียงใหม่!J268+ตาก!J268+นครสวรรค์!J268+น่าน!J268+พะเยา!J268+พิจิตร!J268+พิษณุโลก!J268+เพชรบูรณ์!J268+แพร่!J268+แม่ฮ่องสอน!J268+ลำปาง!J268+ลำพูน!J268+สุโขทัย!J268+อุตรดิตถ์!J268+อุทัยธานี!J268</f>
        <v>0</v>
      </c>
      <c r="K268" s="163"/>
      <c r="L268" s="181"/>
      <c r="M268" s="181"/>
      <c r="N268" s="181"/>
      <c r="O268" s="181"/>
      <c r="P268" s="181"/>
    </row>
    <row r="269" spans="1:16" ht="21.75" customHeight="1" x14ac:dyDescent="0.3">
      <c r="A269" s="233"/>
      <c r="B269" s="234"/>
      <c r="C269" s="234"/>
      <c r="D269" s="235">
        <v>3</v>
      </c>
      <c r="E269" s="236" t="s">
        <v>55</v>
      </c>
      <c r="F269" s="237"/>
      <c r="G269" s="238"/>
      <c r="H269" s="239"/>
      <c r="I269" s="240"/>
      <c r="J269" s="285">
        <f ca="1">กำแพงเพชร!J269+เชียงราย!J269+เชียงใหม่!J269+ตาก!J269+นครสวรรค์!J269+น่าน!J269+พะเยา!J269+พิจิตร!J269+พิษณุโลก!J269+เพชรบูรณ์!J269+แพร่!J269+แม่ฮ่องสอน!J269+ลำปาง!J269+ลำพูน!J269+สุโขทัย!J269+อุตรดิตถ์!J269+อุทัยธานี!J269</f>
        <v>0</v>
      </c>
      <c r="K269" s="286"/>
      <c r="L269" s="244"/>
      <c r="M269" s="244"/>
      <c r="N269" s="244"/>
      <c r="O269" s="244"/>
      <c r="P269" s="244"/>
    </row>
    <row r="270" spans="1:16" ht="21.75" customHeight="1" x14ac:dyDescent="0.3">
      <c r="A270" s="310"/>
      <c r="B270" s="311" t="s">
        <v>109</v>
      </c>
      <c r="C270" s="311"/>
      <c r="D270" s="311"/>
      <c r="E270" s="311"/>
      <c r="F270" s="311"/>
      <c r="G270" s="312"/>
      <c r="H270" s="313" t="s">
        <v>37</v>
      </c>
      <c r="I270" s="314">
        <f ca="1">กำแพงเพชร!I270+เชียงราย!I270+เชียงใหม่!I270+ตาก!I270+นครสวรรค์!I270+น่าน!I270+พะเยา!I270+พิจิตร!I270+พิษณุโลก!I270+เพชรบูรณ์!I270+แพร่!I270+แม่ฮ่องสอน!I270+ลำปาง!I270+ลำพูน!I270+สุโขทัย!I270+อุตรดิตถ์!I270+อุทัยธานี!I270</f>
        <v>255</v>
      </c>
      <c r="J270" s="314">
        <f ca="1">กำแพงเพชร!J270+เชียงราย!J270+เชียงใหม่!J270+ตาก!J270+นครสวรรค์!J270+น่าน!J270+พะเยา!J270+พิจิตร!J270+พิษณุโลก!J270+เพชรบูรณ์!J270+แพร่!J270+แม่ฮ่องสอน!J270+ลำปาง!J270+ลำพูน!J270+สุโขทัย!J270+อุตรดิตถ์!J270+อุทัยธานี!J270</f>
        <v>240</v>
      </c>
      <c r="K270" s="315">
        <f ca="1">IF(I270&gt;0,J270*100/I270,0)</f>
        <v>94.117647058823536</v>
      </c>
      <c r="L270" s="316"/>
      <c r="M270" s="316"/>
      <c r="N270" s="316"/>
      <c r="O270" s="315"/>
      <c r="P270" s="315"/>
    </row>
    <row r="271" spans="1:16" ht="21.75" customHeight="1" x14ac:dyDescent="0.45">
      <c r="A271" s="145"/>
      <c r="B271" s="146"/>
      <c r="C271" s="147" t="s">
        <v>16</v>
      </c>
      <c r="D271" s="537" t="s">
        <v>17</v>
      </c>
      <c r="E271" s="528"/>
      <c r="F271" s="528"/>
      <c r="G271" s="528"/>
      <c r="H271" s="148" t="s">
        <v>12</v>
      </c>
      <c r="I271" s="162"/>
      <c r="J271" s="162"/>
      <c r="K271" s="163"/>
      <c r="L271" s="151">
        <f ca="1">กำแพงเพชร!L271+เชียงราย!L271+เชียงใหม่!L271+ตาก!L271+นครสวรรค์!L271+น่าน!L271+พะเยา!L271+พิจิตร!L271+พิษณุโลก!L271+เพชรบูรณ์!L271+แพร่!L271+แม่ฮ่องสอน!L271+ลำปาง!L271+ลำพูน!L271+สุโขทัย!L271+อุตรดิตถ์!L271+อุทัยธานี!L271</f>
        <v>2476100</v>
      </c>
      <c r="M271" s="151">
        <f ca="1">กำแพงเพชร!M271+เชียงราย!M271+เชียงใหม่!M271+ตาก!M271+นครสวรรค์!M271+น่าน!M271+พะเยา!M271+พิจิตร!M271+พิษณุโลก!M271+เพชรบูรณ์!M271+แพร่!M271+แม่ฮ่องสอน!M271+ลำปาง!M271+ลำพูน!M271+สุโขทัย!M271+อุตรดิตถ์!M271+อุทัยธานี!M271</f>
        <v>1339500</v>
      </c>
      <c r="N271" s="151">
        <f ca="1">กำแพงเพชร!N271+เชียงราย!N271+เชียงใหม่!N271+ตาก!N271+นครสวรรค์!N271+น่าน!N271+พะเยา!N271+พิจิตร!N271+พิษณุโลก!N271+เพชรบูรณ์!N271+แพร่!N271+แม่ฮ่องสอน!N271+ลำปาง!N271+ลำพูน!N271+สุโขทัย!N271+อุตรดิตถ์!N271+อุทัยธานี!N271</f>
        <v>967617</v>
      </c>
      <c r="O271" s="150">
        <f t="shared" ref="O271:O273" ca="1" si="64">IF(L271&gt;0,N271*100/L271,0)</f>
        <v>39.07826824441662</v>
      </c>
      <c r="P271" s="150">
        <f t="shared" ref="P271:P273" ca="1" si="65">IF(M271&gt;0,N271*100/M271,0)</f>
        <v>72.237178051511762</v>
      </c>
    </row>
    <row r="272" spans="1:16" ht="21.75" customHeight="1" x14ac:dyDescent="0.45">
      <c r="A272" s="152"/>
      <c r="B272" s="32"/>
      <c r="C272" s="32"/>
      <c r="D272" s="32"/>
      <c r="E272" s="32"/>
      <c r="F272" s="32"/>
      <c r="G272" s="33" t="s">
        <v>18</v>
      </c>
      <c r="H272" s="153" t="s">
        <v>12</v>
      </c>
      <c r="I272" s="162"/>
      <c r="J272" s="162"/>
      <c r="K272" s="163"/>
      <c r="L272" s="87">
        <f>กำแพงเพชร!L272+เชียงราย!L272+เชียงใหม่!L272+ตาก!L272+นครสวรรค์!L272+น่าน!L272+พะเยา!L272+พิจิตร!L272+พิษณุโลก!L272+เพชรบูรณ์!L272+แพร่!L272+แม่ฮ่องสอน!L272+ลำปาง!L272+ลำพูน!L272+สุโขทัย!L272+อุตรดิตถ์!L272+อุทัยธานี!L272</f>
        <v>0</v>
      </c>
      <c r="M272" s="87">
        <f>กำแพงเพชร!M272+เชียงราย!M272+เชียงใหม่!M272+ตาก!M272+นครสวรรค์!M272+น่าน!M272+พะเยา!M272+พิจิตร!M272+พิษณุโลก!M272+เพชรบูรณ์!M272+แพร่!M272+แม่ฮ่องสอน!M272+ลำปาง!M272+ลำพูน!M272+สุโขทัย!M272+อุตรดิตถ์!M272+อุทัยธานี!M272</f>
        <v>0</v>
      </c>
      <c r="N272" s="87">
        <f>กำแพงเพชร!N272+เชียงราย!N272+เชียงใหม่!N272+ตาก!N272+นครสวรรค์!N272+น่าน!N272+พะเยา!N272+พิจิตร!N272+พิษณุโลก!N272+เพชรบูรณ์!N272+แพร่!N272+แม่ฮ่องสอน!N272+ลำปาง!N272+ลำพูน!N272+สุโขทัย!N272+อุตรดิตถ์!N272+อุทัยธานี!N272</f>
        <v>0</v>
      </c>
      <c r="O272" s="155">
        <f t="shared" si="64"/>
        <v>0</v>
      </c>
      <c r="P272" s="155">
        <f t="shared" si="65"/>
        <v>0</v>
      </c>
    </row>
    <row r="273" spans="1:16" ht="21.75" customHeight="1" x14ac:dyDescent="0.45">
      <c r="A273" s="152"/>
      <c r="B273" s="32"/>
      <c r="C273" s="32"/>
      <c r="D273" s="32"/>
      <c r="E273" s="32"/>
      <c r="F273" s="32"/>
      <c r="G273" s="33" t="s">
        <v>19</v>
      </c>
      <c r="H273" s="153" t="s">
        <v>12</v>
      </c>
      <c r="I273" s="162"/>
      <c r="J273" s="162"/>
      <c r="K273" s="163"/>
      <c r="L273" s="87">
        <f ca="1">กำแพงเพชร!L273+เชียงราย!L273+เชียงใหม่!L273+ตาก!L273+นครสวรรค์!L273+น่าน!L273+พะเยา!L273+พิจิตร!L273+พิษณุโลก!L273+เพชรบูรณ์!L273+แพร่!L273+แม่ฮ่องสอน!L273+ลำปาง!L273+ลำพูน!L273+สุโขทัย!L273+อุตรดิตถ์!L273+อุทัยธานี!L273</f>
        <v>2476100</v>
      </c>
      <c r="M273" s="87">
        <f ca="1">กำแพงเพชร!M273+เชียงราย!M273+เชียงใหม่!M273+ตาก!M273+นครสวรรค์!M273+น่าน!M273+พะเยา!M273+พิจิตร!M273+พิษณุโลก!M273+เพชรบูรณ์!M273+แพร่!M273+แม่ฮ่องสอน!M273+ลำปาง!M273+ลำพูน!M273+สุโขทัย!M273+อุตรดิตถ์!M273+อุทัยธานี!M273</f>
        <v>1339500</v>
      </c>
      <c r="N273" s="87">
        <f ca="1">กำแพงเพชร!N273+เชียงราย!N273+เชียงใหม่!N273+ตาก!N273+นครสวรรค์!N273+น่าน!N273+พะเยา!N273+พิจิตร!N273+พิษณุโลก!N273+เพชรบูรณ์!N273+แพร่!N273+แม่ฮ่องสอน!N273+ลำปาง!N273+ลำพูน!N273+สุโขทัย!N273+อุตรดิตถ์!N273+อุทัยธานี!N273</f>
        <v>967617</v>
      </c>
      <c r="O273" s="155">
        <f t="shared" ca="1" si="64"/>
        <v>39.07826824441662</v>
      </c>
      <c r="P273" s="155">
        <f t="shared" ca="1" si="65"/>
        <v>72.237178051511762</v>
      </c>
    </row>
    <row r="274" spans="1:16" ht="21.75" customHeight="1" x14ac:dyDescent="0.3">
      <c r="A274" s="156"/>
      <c r="B274" s="157"/>
      <c r="C274" s="157" t="s">
        <v>16</v>
      </c>
      <c r="D274" s="158" t="s">
        <v>38</v>
      </c>
      <c r="E274" s="159"/>
      <c r="F274" s="159"/>
      <c r="G274" s="160" t="s">
        <v>39</v>
      </c>
      <c r="H274" s="161" t="s">
        <v>12</v>
      </c>
      <c r="I274" s="162" t="s">
        <v>40</v>
      </c>
      <c r="J274" s="162"/>
      <c r="K274" s="163"/>
      <c r="L274" s="164">
        <f>กำแพงเพชร!L274+เชียงราย!L274+เชียงใหม่!L274+ตาก!L274+นครสวรรค์!L274+น่าน!L274+พะเยา!L274+พิจิตร!L274+พิษณุโลก!L274+เพชรบูรณ์!L274+แพร่!L274+แม่ฮ่องสอน!L274+ลำปาง!L274+ลำพูน!L274+สุโขทัย!L274+อุตรดิตถ์!L274+อุทัยธานี!L274</f>
        <v>0</v>
      </c>
      <c r="M274" s="164">
        <f>กำแพงเพชร!M274+เชียงราย!M274+เชียงใหม่!M274+ตาก!M274+นครสวรรค์!M274+น่าน!M274+พะเยา!M274+พิจิตร!M274+พิษณุโลก!M274+เพชรบูรณ์!M274+แพร่!M274+แม่ฮ่องสอน!M274+ลำปาง!M274+ลำพูน!M274+สุโขทัย!M274+อุตรดิตถ์!M274+อุทัยธานี!M274</f>
        <v>0</v>
      </c>
      <c r="N274" s="164">
        <f>กำแพงเพชร!N274+เชียงราย!N274+เชียงใหม่!N274+ตาก!N274+นครสวรรค์!N274+น่าน!N274+พะเยา!N274+พิจิตร!N274+พิษณุโลก!N274+เพชรบูรณ์!N274+แพร่!N274+แม่ฮ่องสอน!N274+ลำปาง!N274+ลำพูน!N274+สุโขทัย!N274+อุตรดิตถ์!N274+อุทัยธานี!N274</f>
        <v>0</v>
      </c>
      <c r="O274" s="165">
        <f>+IF(L274&gt;0,N274*100/L274,0)</f>
        <v>0</v>
      </c>
      <c r="P274" s="165"/>
    </row>
    <row r="275" spans="1:16" ht="21.75" customHeight="1" x14ac:dyDescent="0.3">
      <c r="A275" s="156"/>
      <c r="B275" s="157"/>
      <c r="C275" s="157"/>
      <c r="D275" s="166"/>
      <c r="E275" s="159"/>
      <c r="F275" s="159" t="s">
        <v>40</v>
      </c>
      <c r="G275" s="160" t="s">
        <v>41</v>
      </c>
      <c r="H275" s="161" t="s">
        <v>12</v>
      </c>
      <c r="I275" s="162"/>
      <c r="J275" s="162"/>
      <c r="K275" s="163"/>
      <c r="L275" s="167">
        <f ca="1">กำแพงเพชร!L275+เชียงราย!L275+เชียงใหม่!L275+ตาก!L275+นครสวรรค์!L275+น่าน!L275+พะเยา!L275+พิจิตร!L275+พิษณุโลก!L275+เพชรบูรณ์!L275+แพร่!L275+แม่ฮ่องสอน!L275+ลำปาง!L275+ลำพูน!L275+สุโขทัย!L275+อุตรดิตถ์!L275+อุทัยธานี!L275</f>
        <v>2476100</v>
      </c>
      <c r="M275" s="167">
        <f ca="1">กำแพงเพชร!M275+เชียงราย!M275+เชียงใหม่!M275+ตาก!M275+นครสวรรค์!M275+น่าน!M275+พะเยา!M275+พิจิตร!M275+พิษณุโลก!M275+เพชรบูรณ์!M275+แพร่!M275+แม่ฮ่องสอน!M275+ลำปาง!M275+ลำพูน!M275+สุโขทัย!M275+อุตรดิตถ์!M275+อุทัยธานี!M275</f>
        <v>1339500</v>
      </c>
      <c r="N275" s="168">
        <f ca="1">กำแพงเพชร!N275+เชียงราย!N275+เชียงใหม่!N275+ตาก!N275+นครสวรรค์!N275+น่าน!N275+พะเยา!N275+พิจิตร!N275+พิษณุโลก!N275+เพชรบูรณ์!N275+แพร่!N275+แม่ฮ่องสอน!N275+ลำปาง!N275+ลำพูน!N275+สุโขทัย!N275+อุตรดิตถ์!N275+อุทัยธานี!N275</f>
        <v>967617</v>
      </c>
      <c r="O275" s="168">
        <f ca="1">IF(L275&gt;0,N275*100/L275,0)</f>
        <v>39.07826824441662</v>
      </c>
      <c r="P275" s="168">
        <f ca="1">IF(M275&gt;0,N275*100/M275,0)</f>
        <v>72.237178051511762</v>
      </c>
    </row>
    <row r="276" spans="1:16" ht="21.75" customHeight="1" x14ac:dyDescent="0.3">
      <c r="A276" s="156"/>
      <c r="B276" s="157"/>
      <c r="C276" s="157"/>
      <c r="D276" s="166"/>
      <c r="E276" s="159"/>
      <c r="F276" s="159"/>
      <c r="G276" s="169" t="s">
        <v>42</v>
      </c>
      <c r="H276" s="161" t="s">
        <v>12</v>
      </c>
      <c r="I276" s="162"/>
      <c r="J276" s="162"/>
      <c r="K276" s="163"/>
      <c r="L276" s="167">
        <f ca="1">กำแพงเพชร!L276+เชียงราย!L276+เชียงใหม่!L276+ตาก!L276+นครสวรรค์!L276+น่าน!L276+พะเยา!L276+พิจิตร!L276+พิษณุโลก!L276+เพชรบูรณ์!L276+แพร่!L276+แม่ฮ่องสอน!L276+ลำปาง!L276+ลำพูน!L276+สุโขทัย!L276+อุตรดิตถ์!L276+อุทัยธานี!L276</f>
        <v>1056000</v>
      </c>
      <c r="M276" s="167"/>
      <c r="N276" s="167"/>
      <c r="O276" s="168"/>
      <c r="P276" s="168"/>
    </row>
    <row r="277" spans="1:16" ht="21.75" customHeight="1" x14ac:dyDescent="0.3">
      <c r="A277" s="156"/>
      <c r="B277" s="157"/>
      <c r="C277" s="157"/>
      <c r="D277" s="166"/>
      <c r="E277" s="159"/>
      <c r="F277" s="159"/>
      <c r="G277" s="169" t="s">
        <v>43</v>
      </c>
      <c r="H277" s="161" t="s">
        <v>12</v>
      </c>
      <c r="I277" s="162"/>
      <c r="J277" s="162"/>
      <c r="K277" s="163"/>
      <c r="L277" s="167">
        <f ca="1">กำแพงเพชร!L277+เชียงราย!L277+เชียงใหม่!L277+ตาก!L277+นครสวรรค์!L277+น่าน!L277+พะเยา!L277+พิจิตร!L277+พิษณุโลก!L277+เพชรบูรณ์!L277+แพร่!L277+แม่ฮ่องสอน!L277+ลำปาง!L277+ลำพูน!L277+สุโขทัย!L277+อุตรดิตถ์!L277+อุทัยธานี!L277</f>
        <v>1420100</v>
      </c>
      <c r="M277" s="167"/>
      <c r="N277" s="167"/>
      <c r="O277" s="168"/>
      <c r="P277" s="168"/>
    </row>
    <row r="278" spans="1:16" ht="21.75" customHeight="1" x14ac:dyDescent="0.45">
      <c r="A278" s="170"/>
      <c r="B278" s="80"/>
      <c r="C278" s="81" t="s">
        <v>16</v>
      </c>
      <c r="D278" s="534" t="s">
        <v>23</v>
      </c>
      <c r="E278" s="530"/>
      <c r="F278" s="88"/>
      <c r="G278" s="82" t="s">
        <v>18</v>
      </c>
      <c r="H278" s="171" t="s">
        <v>12</v>
      </c>
      <c r="I278" s="162"/>
      <c r="J278" s="162"/>
      <c r="K278" s="163"/>
      <c r="L278" s="41">
        <f>กำแพงเพชร!L278+เชียงราย!L278+เชียงใหม่!L278+ตาก!L278+นครสวรรค์!L278+น่าน!L278+พะเยา!L278+พิจิตร!L278+พิษณุโลก!L278+เพชรบูรณ์!L278+แพร่!L278+แม่ฮ่องสอน!L278+ลำปาง!L278+ลำพูน!L278+สุโขทัย!L278+อุตรดิตถ์!L278+อุทัยธานี!L278</f>
        <v>0</v>
      </c>
      <c r="M278" s="41"/>
      <c r="N278" s="41"/>
      <c r="O278" s="41"/>
      <c r="P278" s="41"/>
    </row>
    <row r="279" spans="1:16" ht="21.75" customHeight="1" x14ac:dyDescent="0.45">
      <c r="A279" s="172"/>
      <c r="B279" s="91"/>
      <c r="C279" s="91"/>
      <c r="D279" s="173"/>
      <c r="E279" s="92"/>
      <c r="F279" s="92"/>
      <c r="G279" s="93" t="s">
        <v>19</v>
      </c>
      <c r="H279" s="174" t="s">
        <v>12</v>
      </c>
      <c r="I279" s="162"/>
      <c r="J279" s="162"/>
      <c r="K279" s="163"/>
      <c r="L279" s="49">
        <f ca="1">กำแพงเพชร!L279+เชียงราย!L279+เชียงใหม่!L279+ตาก!L279+นครสวรรค์!L279+น่าน!L279+พะเยา!L279+พิจิตร!L279+พิษณุโลก!L279+เพชรบูรณ์!L279+แพร่!L279+แม่ฮ่องสอน!L279+ลำปาง!L279+ลำพูน!L279+สุโขทัย!L279+อุตรดิตถ์!L279+อุทัยธานี!L279</f>
        <v>0</v>
      </c>
      <c r="M279" s="49"/>
      <c r="N279" s="49">
        <f ca="1">กำแพงเพชร!N279+เชียงราย!N279+เชียงใหม่!N279+ตาก!N279+นครสวรรค์!N279+น่าน!N279+พะเยา!N279+พิจิตร!N279+พิษณุโลก!N279+เพชรบูรณ์!N279+แพร่!N279+แม่ฮ่องสอน!N279+ลำปาง!N279+ลำพูน!N279+สุโขทัย!N279+อุตรดิตถ์!N279+อุทัยธานี!N279</f>
        <v>0</v>
      </c>
      <c r="O279" s="49">
        <f ca="1">IF(L279&gt;0,N279*100/L279,0)</f>
        <v>0</v>
      </c>
      <c r="P279" s="49"/>
    </row>
    <row r="280" spans="1:16" ht="21.75" customHeight="1" x14ac:dyDescent="0.3">
      <c r="A280" s="175"/>
      <c r="B280" s="176"/>
      <c r="C280" s="157" t="s">
        <v>16</v>
      </c>
      <c r="D280" s="177" t="s">
        <v>44</v>
      </c>
      <c r="E280" s="178"/>
      <c r="F280" s="178"/>
      <c r="G280" s="179"/>
      <c r="H280" s="180"/>
      <c r="I280" s="162"/>
      <c r="J280" s="162"/>
      <c r="K280" s="163"/>
      <c r="L280" s="181"/>
      <c r="M280" s="181"/>
      <c r="N280" s="181"/>
      <c r="O280" s="181"/>
      <c r="P280" s="181"/>
    </row>
    <row r="281" spans="1:16" ht="21.75" customHeight="1" x14ac:dyDescent="0.3">
      <c r="A281" s="175"/>
      <c r="B281" s="176"/>
      <c r="C281" s="176"/>
      <c r="D281" s="182">
        <v>1</v>
      </c>
      <c r="E281" s="183" t="s">
        <v>45</v>
      </c>
      <c r="F281" s="184"/>
      <c r="G281" s="185"/>
      <c r="H281" s="186"/>
      <c r="I281" s="187"/>
      <c r="J281" s="188">
        <f ca="1">กำแพงเพชร!J281+เชียงราย!J281+เชียงใหม่!J281+ตาก!J281+นครสวรรค์!J281+น่าน!J281+พะเยา!J281+พิจิตร!J281+พิษณุโลก!J281+เพชรบูรณ์!J281+แพร่!J281+แม่ฮ่องสอน!J281+ลำปาง!J281+ลำพูน!J281+สุโขทัย!J281+อุตรดิตถ์!J281+อุทัยธานี!J281</f>
        <v>0</v>
      </c>
      <c r="K281" s="163"/>
      <c r="L281" s="181"/>
      <c r="M281" s="181"/>
      <c r="N281" s="181"/>
      <c r="O281" s="181"/>
      <c r="P281" s="181"/>
    </row>
    <row r="282" spans="1:16" ht="21.75" customHeight="1" x14ac:dyDescent="0.3">
      <c r="A282" s="175"/>
      <c r="B282" s="176"/>
      <c r="C282" s="176"/>
      <c r="D282" s="189">
        <v>2</v>
      </c>
      <c r="E282" s="190" t="s">
        <v>46</v>
      </c>
      <c r="F282" s="191"/>
      <c r="G282" s="192"/>
      <c r="H282" s="186"/>
      <c r="I282" s="187"/>
      <c r="J282" s="197">
        <f ca="1">กำแพงเพชร!J282+เชียงราย!J282+เชียงใหม่!J282+ตาก!J282+นครสวรรค์!J282+น่าน!J282+พะเยา!J282+พิจิตร!J282+พิษณุโลก!J282+เพชรบูรณ์!J282+แพร่!J282+แม่ฮ่องสอน!J282+ลำปาง!J282+ลำพูน!J282+สุโขทัย!J282+อุตรดิตถ์!J282+อุทัยธานี!J282</f>
        <v>15</v>
      </c>
      <c r="K282" s="163"/>
      <c r="L282" s="181"/>
      <c r="M282" s="181"/>
      <c r="N282" s="181"/>
      <c r="O282" s="181"/>
      <c r="P282" s="181"/>
    </row>
    <row r="283" spans="1:16" ht="21.75" customHeight="1" x14ac:dyDescent="0.3">
      <c r="A283" s="175"/>
      <c r="B283" s="176"/>
      <c r="C283" s="176"/>
      <c r="D283" s="193"/>
      <c r="E283" s="194" t="s">
        <v>47</v>
      </c>
      <c r="F283" s="195"/>
      <c r="G283" s="196"/>
      <c r="H283" s="186"/>
      <c r="I283" s="187"/>
      <c r="J283" s="197">
        <f ca="1">กำแพงเพชร!J283+เชียงราย!J283+เชียงใหม่!J283+ตาก!J283+นครสวรรค์!J283+น่าน!J283+พะเยา!J283+พิจิตร!J283+พิษณุโลก!J283+เพชรบูรณ์!J283+แพร่!J283+แม่ฮ่องสอน!J283+ลำปาง!J283+ลำพูน!J283+สุโขทัย!J283+อุตรดิตถ์!J283+อุทัยธานี!J283</f>
        <v>14</v>
      </c>
      <c r="K283" s="163"/>
      <c r="L283" s="181"/>
      <c r="M283" s="181"/>
      <c r="N283" s="181"/>
      <c r="O283" s="181"/>
      <c r="P283" s="181"/>
    </row>
    <row r="284" spans="1:16" ht="21.75" customHeight="1" x14ac:dyDescent="0.3">
      <c r="A284" s="175"/>
      <c r="B284" s="176"/>
      <c r="C284" s="176"/>
      <c r="D284" s="193"/>
      <c r="E284" s="194" t="s">
        <v>48</v>
      </c>
      <c r="F284" s="195"/>
      <c r="G284" s="196"/>
      <c r="H284" s="186"/>
      <c r="I284" s="187"/>
      <c r="J284" s="197">
        <f ca="1">กำแพงเพชร!J284+เชียงราย!J284+เชียงใหม่!J284+ตาก!J284+นครสวรรค์!J284+น่าน!J284+พะเยา!J284+พิจิตร!J284+พิษณุโลก!J284+เพชรบูรณ์!J284+แพร่!J284+แม่ฮ่องสอน!J284+ลำปาง!J284+ลำพูน!J284+สุโขทัย!J284+อุตรดิตถ์!J284+อุทัยธานี!J284</f>
        <v>13</v>
      </c>
      <c r="K284" s="163"/>
      <c r="L284" s="181"/>
      <c r="M284" s="181"/>
      <c r="N284" s="181"/>
      <c r="O284" s="181"/>
      <c r="P284" s="181"/>
    </row>
    <row r="285" spans="1:16" ht="21.75" customHeight="1" x14ac:dyDescent="0.3">
      <c r="A285" s="175"/>
      <c r="B285" s="176"/>
      <c r="C285" s="176"/>
      <c r="D285" s="193"/>
      <c r="E285" s="195"/>
      <c r="F285" s="194" t="s">
        <v>110</v>
      </c>
      <c r="G285" s="196"/>
      <c r="H285" s="186" t="s">
        <v>37</v>
      </c>
      <c r="I285" s="187">
        <f ca="1">กำแพงเพชร!I285+เชียงราย!I285+เชียงใหม่!I285+ตาก!I285+นครสวรรค์!I285+น่าน!I285+พะเยา!I285+พิจิตร!I285+พิษณุโลก!I285+เพชรบูรณ์!I285+แพร่!I285+แม่ฮ่องสอน!I285+ลำปาง!I285+ลำพูน!I285+สุโขทัย!I285+อุตรดิตถ์!I285+อุทัยธานี!I285</f>
        <v>255</v>
      </c>
      <c r="J285" s="188">
        <f ca="1">กำแพงเพชร!J285+เชียงราย!J285+เชียงใหม่!J285+ตาก!J285+นครสวรรค์!J285+น่าน!J285+พะเยา!J285+พิจิตร!J285+พิษณุโลก!J285+เพชรบูรณ์!J285+แพร่!J285+แม่ฮ่องสอน!J285+ลำปาง!J285+ลำพูน!J285+สุโขทัย!J285+อุตรดิตถ์!J285+อุทัยธานี!J285</f>
        <v>240</v>
      </c>
      <c r="K285" s="163">
        <f ca="1">IF(I285&gt;0,J285*100/I285,0)</f>
        <v>94.117647058823536</v>
      </c>
      <c r="L285" s="181"/>
      <c r="M285" s="181"/>
      <c r="N285" s="181"/>
      <c r="O285" s="181"/>
      <c r="P285" s="181"/>
    </row>
    <row r="286" spans="1:16" ht="21.75" customHeight="1" x14ac:dyDescent="0.3">
      <c r="A286" s="175"/>
      <c r="B286" s="176"/>
      <c r="C286" s="176"/>
      <c r="D286" s="193"/>
      <c r="E286" s="194" t="s">
        <v>54</v>
      </c>
      <c r="F286" s="195"/>
      <c r="G286" s="196"/>
      <c r="H286" s="186"/>
      <c r="I286" s="187"/>
      <c r="J286" s="197">
        <f ca="1">กำแพงเพชร!J286+เชียงราย!J286+เชียงใหม่!J286+ตาก!J286+นครสวรรค์!J286+น่าน!J286+พะเยา!J286+พิจิตร!J286+พิษณุโลก!J286+เพชรบูรณ์!J286+แพร่!J286+แม่ฮ่องสอน!J286+ลำปาง!J286+ลำพูน!J286+สุโขทัย!J286+อุตรดิตถ์!J286+อุทัยธานี!J286</f>
        <v>0</v>
      </c>
      <c r="K286" s="163"/>
      <c r="L286" s="181"/>
      <c r="M286" s="181"/>
      <c r="N286" s="181"/>
      <c r="O286" s="181"/>
      <c r="P286" s="181"/>
    </row>
    <row r="287" spans="1:16" ht="21.75" customHeight="1" x14ac:dyDescent="0.3">
      <c r="A287" s="175"/>
      <c r="B287" s="176"/>
      <c r="C287" s="176"/>
      <c r="D287" s="205">
        <v>3</v>
      </c>
      <c r="E287" s="206" t="s">
        <v>55</v>
      </c>
      <c r="F287" s="207"/>
      <c r="G287" s="208"/>
      <c r="H287" s="186"/>
      <c r="I287" s="187"/>
      <c r="J287" s="209">
        <f ca="1">กำแพงเพชร!J287+เชียงราย!J287+เชียงใหม่!J287+ตาก!J287+นครสวรรค์!J287+น่าน!J287+พะเยา!J287+พิจิตร!J287+พิษณุโลก!J287+เพชรบูรณ์!J287+แพร่!J287+แม่ฮ่องสอน!J287+ลำปาง!J287+ลำพูน!J287+สุโขทัย!J287+อุตรดิตถ์!J287+อุทัยธานี!J287</f>
        <v>0</v>
      </c>
      <c r="K287" s="163"/>
      <c r="L287" s="181"/>
      <c r="M287" s="181"/>
      <c r="N287" s="181"/>
      <c r="O287" s="181"/>
      <c r="P287" s="181"/>
    </row>
    <row r="288" spans="1:16" ht="21.75" customHeight="1" x14ac:dyDescent="0.3">
      <c r="A288" s="302" t="s">
        <v>111</v>
      </c>
      <c r="B288" s="303"/>
      <c r="C288" s="303"/>
      <c r="D288" s="304"/>
      <c r="E288" s="303"/>
      <c r="F288" s="303"/>
      <c r="G288" s="317"/>
      <c r="H288" s="318"/>
      <c r="I288" s="319"/>
      <c r="J288" s="319"/>
      <c r="K288" s="320"/>
      <c r="L288" s="320"/>
      <c r="M288" s="320"/>
      <c r="N288" s="320"/>
      <c r="O288" s="309"/>
      <c r="P288" s="309"/>
    </row>
    <row r="289" spans="1:16" ht="21.75" customHeight="1" x14ac:dyDescent="0.3">
      <c r="A289" s="321"/>
      <c r="B289" s="311" t="s">
        <v>112</v>
      </c>
      <c r="C289" s="322"/>
      <c r="D289" s="323"/>
      <c r="E289" s="311"/>
      <c r="F289" s="311"/>
      <c r="G289" s="312"/>
      <c r="H289" s="313" t="s">
        <v>37</v>
      </c>
      <c r="I289" s="314">
        <f ca="1">กำแพงเพชร!I289+เชียงราย!I289+เชียงใหม่!I289+ตาก!I289+นครสวรรค์!I289+น่าน!I289+พะเยา!I289+พิจิตร!I289+พิษณุโลก!I289+เพชรบูรณ์!I289+แพร่!I289+แม่ฮ่องสอน!I289+ลำปาง!I289+ลำพูน!I289+สุโขทัย!I289+อุตรดิตถ์!I289+อุทัยธานี!I289</f>
        <v>40</v>
      </c>
      <c r="J289" s="314">
        <f ca="1">กำแพงเพชร!J289+เชียงราย!J289+เชียงใหม่!J289+ตาก!J289+นครสวรรค์!J289+น่าน!J289+พะเยา!J289+พิจิตร!J289+พิษณุโลก!J289+เพชรบูรณ์!J289+แพร่!J289+แม่ฮ่องสอน!J289+ลำปาง!J289+ลำพูน!J289+สุโขทัย!J289+อุตรดิตถ์!J289+อุทัยธานี!J289</f>
        <v>0</v>
      </c>
      <c r="K289" s="315">
        <f ca="1">IF(I289&gt;0,J289*100/I289,0)</f>
        <v>0</v>
      </c>
      <c r="L289" s="316"/>
      <c r="M289" s="316"/>
      <c r="N289" s="316"/>
      <c r="O289" s="315"/>
      <c r="P289" s="315"/>
    </row>
    <row r="290" spans="1:16" ht="21.75" customHeight="1" x14ac:dyDescent="0.45">
      <c r="A290" s="145"/>
      <c r="B290" s="146"/>
      <c r="C290" s="147" t="s">
        <v>16</v>
      </c>
      <c r="D290" s="537" t="s">
        <v>17</v>
      </c>
      <c r="E290" s="528"/>
      <c r="F290" s="528"/>
      <c r="G290" s="528"/>
      <c r="H290" s="148" t="s">
        <v>12</v>
      </c>
      <c r="I290" s="187"/>
      <c r="J290" s="187"/>
      <c r="K290" s="223"/>
      <c r="L290" s="151">
        <f ca="1">กำแพงเพชร!L290+เชียงราย!L290+เชียงใหม่!L290+ตาก!L290+นครสวรรค์!L290+น่าน!L290+พะเยา!L290+พิจิตร!L290+พิษณุโลก!L290+เพชรบูรณ์!L290+แพร่!L290+แม่ฮ่องสอน!L290+ลำปาง!L290+ลำพูน!L290+สุโขทัย!L290+อุตรดิตถ์!L290+อุทัยธานี!L290</f>
        <v>120760</v>
      </c>
      <c r="M290" s="151">
        <f ca="1">กำแพงเพชร!M290+เชียงราย!M290+เชียงใหม่!M290+ตาก!M290+นครสวรรค์!M290+น่าน!M290+พะเยา!M290+พิจิตร!M290+พิษณุโลก!M290+เพชรบูรณ์!M290+แพร่!M290+แม่ฮ่องสอน!M290+ลำปาง!M290+ลำพูน!M290+สุโขทัย!M290+อุตรดิตถ์!M290+อุทัยธานี!M290</f>
        <v>120760</v>
      </c>
      <c r="N290" s="151">
        <f ca="1">กำแพงเพชร!N290+เชียงราย!N290+เชียงใหม่!N290+ตาก!N290+นครสวรรค์!N290+น่าน!N290+พะเยา!N290+พิจิตร!N290+พิษณุโลก!N290+เพชรบูรณ์!N290+แพร่!N290+แม่ฮ่องสอน!N290+ลำปาง!N290+ลำพูน!N290+สุโขทัย!N290+อุตรดิตถ์!N290+อุทัยธานี!N290</f>
        <v>18360</v>
      </c>
      <c r="O290" s="150">
        <f t="shared" ref="O290:O292" ca="1" si="66">IF(L290&gt;0,N290*100/L290,0)</f>
        <v>15.203709837694602</v>
      </c>
      <c r="P290" s="150">
        <f t="shared" ref="P290:P292" ca="1" si="67">IF(M290&gt;0,N290*100/M290,0)</f>
        <v>15.203709837694602</v>
      </c>
    </row>
    <row r="291" spans="1:16" ht="21.75" customHeight="1" x14ac:dyDescent="0.45">
      <c r="A291" s="152"/>
      <c r="B291" s="32"/>
      <c r="C291" s="32"/>
      <c r="D291" s="32"/>
      <c r="E291" s="32"/>
      <c r="F291" s="32"/>
      <c r="G291" s="33" t="s">
        <v>18</v>
      </c>
      <c r="H291" s="153" t="s">
        <v>12</v>
      </c>
      <c r="I291" s="187"/>
      <c r="J291" s="187"/>
      <c r="K291" s="223"/>
      <c r="L291" s="87">
        <f>กำแพงเพชร!L291+เชียงราย!L291+เชียงใหม่!L291+ตาก!L291+นครสวรรค์!L291+น่าน!L291+พะเยา!L291+พิจิตร!L291+พิษณุโลก!L291+เพชรบูรณ์!L291+แพร่!L291+แม่ฮ่องสอน!L291+ลำปาง!L291+ลำพูน!L291+สุโขทัย!L291+อุตรดิตถ์!L291+อุทัยธานี!L291</f>
        <v>0</v>
      </c>
      <c r="M291" s="87">
        <f>กำแพงเพชร!M291+เชียงราย!M291+เชียงใหม่!M291+ตาก!M291+นครสวรรค์!M291+น่าน!M291+พะเยา!M291+พิจิตร!M291+พิษณุโลก!M291+เพชรบูรณ์!M291+แพร่!M291+แม่ฮ่องสอน!M291+ลำปาง!M291+ลำพูน!M291+สุโขทัย!M291+อุตรดิตถ์!M291+อุทัยธานี!M291</f>
        <v>0</v>
      </c>
      <c r="N291" s="87">
        <f>กำแพงเพชร!N291+เชียงราย!N291+เชียงใหม่!N291+ตาก!N291+นครสวรรค์!N291+น่าน!N291+พะเยา!N291+พิจิตร!N291+พิษณุโลก!N291+เพชรบูรณ์!N291+แพร่!N291+แม่ฮ่องสอน!N291+ลำปาง!N291+ลำพูน!N291+สุโขทัย!N291+อุตรดิตถ์!N291+อุทัยธานี!N291</f>
        <v>0</v>
      </c>
      <c r="O291" s="155">
        <f t="shared" si="66"/>
        <v>0</v>
      </c>
      <c r="P291" s="155">
        <f t="shared" si="67"/>
        <v>0</v>
      </c>
    </row>
    <row r="292" spans="1:16" ht="21.75" customHeight="1" x14ac:dyDescent="0.45">
      <c r="A292" s="152"/>
      <c r="B292" s="32"/>
      <c r="C292" s="32"/>
      <c r="D292" s="32"/>
      <c r="E292" s="32"/>
      <c r="F292" s="32"/>
      <c r="G292" s="33" t="s">
        <v>19</v>
      </c>
      <c r="H292" s="153" t="s">
        <v>12</v>
      </c>
      <c r="I292" s="187"/>
      <c r="J292" s="187"/>
      <c r="K292" s="223"/>
      <c r="L292" s="87">
        <f ca="1">กำแพงเพชร!L292+เชียงราย!L292+เชียงใหม่!L292+ตาก!L292+นครสวรรค์!L292+น่าน!L292+พะเยา!L292+พิจิตร!L292+พิษณุโลก!L292+เพชรบูรณ์!L292+แพร่!L292+แม่ฮ่องสอน!L292+ลำปาง!L292+ลำพูน!L292+สุโขทัย!L292+อุตรดิตถ์!L292+อุทัยธานี!L292</f>
        <v>120760</v>
      </c>
      <c r="M292" s="87">
        <f ca="1">กำแพงเพชร!M292+เชียงราย!M292+เชียงใหม่!M292+ตาก!M292+นครสวรรค์!M292+น่าน!M292+พะเยา!M292+พิจิตร!M292+พิษณุโลก!M292+เพชรบูรณ์!M292+แพร่!M292+แม่ฮ่องสอน!M292+ลำปาง!M292+ลำพูน!M292+สุโขทัย!M292+อุตรดิตถ์!M292+อุทัยธานี!M292</f>
        <v>120760</v>
      </c>
      <c r="N292" s="87">
        <f ca="1">กำแพงเพชร!N292+เชียงราย!N292+เชียงใหม่!N292+ตาก!N292+นครสวรรค์!N292+น่าน!N292+พะเยา!N292+พิจิตร!N292+พิษณุโลก!N292+เพชรบูรณ์!N292+แพร่!N292+แม่ฮ่องสอน!N292+ลำปาง!N292+ลำพูน!N292+สุโขทัย!N292+อุตรดิตถ์!N292+อุทัยธานี!N292</f>
        <v>18360</v>
      </c>
      <c r="O292" s="155">
        <f t="shared" ca="1" si="66"/>
        <v>15.203709837694602</v>
      </c>
      <c r="P292" s="155">
        <f t="shared" ca="1" si="67"/>
        <v>15.203709837694602</v>
      </c>
    </row>
    <row r="293" spans="1:16" ht="21.75" customHeight="1" x14ac:dyDescent="0.3">
      <c r="A293" s="156"/>
      <c r="B293" s="157"/>
      <c r="C293" s="157" t="s">
        <v>16</v>
      </c>
      <c r="D293" s="158" t="s">
        <v>38</v>
      </c>
      <c r="E293" s="159"/>
      <c r="F293" s="159"/>
      <c r="G293" s="160" t="s">
        <v>39</v>
      </c>
      <c r="H293" s="161" t="s">
        <v>12</v>
      </c>
      <c r="I293" s="187" t="s">
        <v>40</v>
      </c>
      <c r="J293" s="187"/>
      <c r="K293" s="223"/>
      <c r="L293" s="164">
        <f>กำแพงเพชร!L293+เชียงราย!L293+เชียงใหม่!L293+ตาก!L293+นครสวรรค์!L293+น่าน!L293+พะเยา!L293+พิจิตร!L293+พิษณุโลก!L293+เพชรบูรณ์!L293+แพร่!L293+แม่ฮ่องสอน!L293+ลำปาง!L293+ลำพูน!L293+สุโขทัย!L293+อุตรดิตถ์!L293+อุทัยธานี!L293</f>
        <v>0</v>
      </c>
      <c r="M293" s="164">
        <f>กำแพงเพชร!M293+เชียงราย!M293+เชียงใหม่!M293+ตาก!M293+นครสวรรค์!M293+น่าน!M293+พะเยา!M293+พิจิตร!M293+พิษณุโลก!M293+เพชรบูรณ์!M293+แพร่!M293+แม่ฮ่องสอน!M293+ลำปาง!M293+ลำพูน!M293+สุโขทัย!M293+อุตรดิตถ์!M293+อุทัยธานี!M293</f>
        <v>0</v>
      </c>
      <c r="N293" s="164">
        <f>กำแพงเพชร!N293+เชียงราย!N293+เชียงใหม่!N293+ตาก!N293+นครสวรรค์!N293+น่าน!N293+พะเยา!N293+พิจิตร!N293+พิษณุโลก!N293+เพชรบูรณ์!N293+แพร่!N293+แม่ฮ่องสอน!N293+ลำปาง!N293+ลำพูน!N293+สุโขทัย!N293+อุตรดิตถ์!N293+อุทัยธานี!N293</f>
        <v>0</v>
      </c>
      <c r="O293" s="165">
        <f>+IF(L293&gt;0,N293*100/L293,0)</f>
        <v>0</v>
      </c>
      <c r="P293" s="165"/>
    </row>
    <row r="294" spans="1:16" ht="21.75" customHeight="1" x14ac:dyDescent="0.3">
      <c r="A294" s="156"/>
      <c r="B294" s="157"/>
      <c r="C294" s="157"/>
      <c r="D294" s="166"/>
      <c r="E294" s="159"/>
      <c r="F294" s="159" t="s">
        <v>40</v>
      </c>
      <c r="G294" s="160" t="s">
        <v>41</v>
      </c>
      <c r="H294" s="161" t="s">
        <v>12</v>
      </c>
      <c r="I294" s="187"/>
      <c r="J294" s="187"/>
      <c r="K294" s="223"/>
      <c r="L294" s="167">
        <f ca="1">กำแพงเพชร!L294+เชียงราย!L294+เชียงใหม่!L294+ตาก!L294+นครสวรรค์!L294+น่าน!L294+พะเยา!L294+พิจิตร!L294+พิษณุโลก!L294+เพชรบูรณ์!L294+แพร่!L294+แม่ฮ่องสอน!L294+ลำปาง!L294+ลำพูน!L294+สุโขทัย!L294+อุตรดิตถ์!L294+อุทัยธานี!L294</f>
        <v>120760</v>
      </c>
      <c r="M294" s="167">
        <f ca="1">กำแพงเพชร!M294+เชียงราย!M294+เชียงใหม่!M294+ตาก!M294+นครสวรรค์!M294+น่าน!M294+พะเยา!M294+พิจิตร!M294+พิษณุโลก!M294+เพชรบูรณ์!M294+แพร่!M294+แม่ฮ่องสอน!M294+ลำปาง!M294+ลำพูน!M294+สุโขทัย!M294+อุตรดิตถ์!M294+อุทัยธานี!M294</f>
        <v>120760</v>
      </c>
      <c r="N294" s="168">
        <f ca="1">กำแพงเพชร!N294+เชียงราย!N294+เชียงใหม่!N294+ตาก!N294+นครสวรรค์!N294+น่าน!N294+พะเยา!N294+พิจิตร!N294+พิษณุโลก!N294+เพชรบูรณ์!N294+แพร่!N294+แม่ฮ่องสอน!N294+ลำปาง!N294+ลำพูน!N294+สุโขทัย!N294+อุตรดิตถ์!N294+อุทัยธานี!N294</f>
        <v>18360</v>
      </c>
      <c r="O294" s="168">
        <f ca="1">IF(L294&gt;0,N294*100/L294,0)</f>
        <v>15.203709837694602</v>
      </c>
      <c r="P294" s="168">
        <f ca="1">IF(M294&gt;0,N294*100/M294,0)</f>
        <v>15.203709837694602</v>
      </c>
    </row>
    <row r="295" spans="1:16" ht="21.75" customHeight="1" x14ac:dyDescent="0.3">
      <c r="A295" s="156"/>
      <c r="B295" s="157"/>
      <c r="C295" s="157"/>
      <c r="D295" s="166"/>
      <c r="E295" s="159"/>
      <c r="F295" s="159"/>
      <c r="G295" s="169" t="s">
        <v>42</v>
      </c>
      <c r="H295" s="161" t="s">
        <v>12</v>
      </c>
      <c r="I295" s="187"/>
      <c r="J295" s="187"/>
      <c r="K295" s="223"/>
      <c r="L295" s="167">
        <f ca="1">กำแพงเพชร!L295+เชียงราย!L295+เชียงใหม่!L295+ตาก!L295+นครสวรรค์!L295+น่าน!L295+พะเยา!L295+พิจิตร!L295+พิษณุโลก!L295+เพชรบูรณ์!L295+แพร่!L295+แม่ฮ่องสอน!L295+ลำปาง!L295+ลำพูน!L295+สุโขทัย!L295+อุตรดิตถ์!L295+อุทัยธานี!L295</f>
        <v>0</v>
      </c>
      <c r="M295" s="167"/>
      <c r="N295" s="167"/>
      <c r="O295" s="168"/>
      <c r="P295" s="168"/>
    </row>
    <row r="296" spans="1:16" ht="21.75" customHeight="1" x14ac:dyDescent="0.3">
      <c r="A296" s="156"/>
      <c r="B296" s="157"/>
      <c r="C296" s="157"/>
      <c r="D296" s="166"/>
      <c r="E296" s="159"/>
      <c r="F296" s="159"/>
      <c r="G296" s="169" t="s">
        <v>43</v>
      </c>
      <c r="H296" s="161" t="s">
        <v>12</v>
      </c>
      <c r="I296" s="187"/>
      <c r="J296" s="187"/>
      <c r="K296" s="223"/>
      <c r="L296" s="167">
        <f ca="1">กำแพงเพชร!L296+เชียงราย!L296+เชียงใหม่!L296+ตาก!L296+นครสวรรค์!L296+น่าน!L296+พะเยา!L296+พิจิตร!L296+พิษณุโลก!L296+เพชรบูรณ์!L296+แพร่!L296+แม่ฮ่องสอน!L296+ลำปาง!L296+ลำพูน!L296+สุโขทัย!L296+อุตรดิตถ์!L296+อุทัยธานี!L296</f>
        <v>120760</v>
      </c>
      <c r="M296" s="167"/>
      <c r="N296" s="167"/>
      <c r="O296" s="168"/>
      <c r="P296" s="168"/>
    </row>
    <row r="297" spans="1:16" ht="21.75" customHeight="1" x14ac:dyDescent="0.45">
      <c r="A297" s="170"/>
      <c r="B297" s="80"/>
      <c r="C297" s="81" t="s">
        <v>16</v>
      </c>
      <c r="D297" s="534" t="s">
        <v>23</v>
      </c>
      <c r="E297" s="530"/>
      <c r="F297" s="88"/>
      <c r="G297" s="82" t="s">
        <v>18</v>
      </c>
      <c r="H297" s="171" t="s">
        <v>12</v>
      </c>
      <c r="I297" s="187"/>
      <c r="J297" s="187"/>
      <c r="K297" s="223"/>
      <c r="L297" s="41">
        <f>กำแพงเพชร!L297+เชียงราย!L297+เชียงใหม่!L297+ตาก!L297+นครสวรรค์!L297+น่าน!L297+พะเยา!L297+พิจิตร!L297+พิษณุโลก!L297+เพชรบูรณ์!L297+แพร่!L297+แม่ฮ่องสอน!L297+ลำปาง!L297+ลำพูน!L297+สุโขทัย!L297+อุตรดิตถ์!L297+อุทัยธานี!L297</f>
        <v>0</v>
      </c>
      <c r="M297" s="41"/>
      <c r="N297" s="41"/>
      <c r="O297" s="41"/>
      <c r="P297" s="41"/>
    </row>
    <row r="298" spans="1:16" ht="21.75" customHeight="1" x14ac:dyDescent="0.45">
      <c r="A298" s="172"/>
      <c r="B298" s="91"/>
      <c r="C298" s="91"/>
      <c r="D298" s="173"/>
      <c r="E298" s="92"/>
      <c r="F298" s="92"/>
      <c r="G298" s="93" t="s">
        <v>19</v>
      </c>
      <c r="H298" s="174" t="s">
        <v>12</v>
      </c>
      <c r="I298" s="187"/>
      <c r="J298" s="187"/>
      <c r="K298" s="223"/>
      <c r="L298" s="49">
        <f ca="1">กำแพงเพชร!L298+เชียงราย!L298+เชียงใหม่!L298+ตาก!L298+นครสวรรค์!L298+น่าน!L298+พะเยา!L298+พิจิตร!L298+พิษณุโลก!L298+เพชรบูรณ์!L298+แพร่!L298+แม่ฮ่องสอน!L298+ลำปาง!L298+ลำพูน!L298+สุโขทัย!L298+อุตรดิตถ์!L298+อุทัยธานี!L298</f>
        <v>0</v>
      </c>
      <c r="M298" s="49"/>
      <c r="N298" s="49">
        <f ca="1">กำแพงเพชร!N298+เชียงราย!N298+เชียงใหม่!N298+ตาก!N298+นครสวรรค์!N298+น่าน!N298+พะเยา!N298+พิจิตร!N298+พิษณุโลก!N298+เพชรบูรณ์!N298+แพร่!N298+แม่ฮ่องสอน!N298+ลำปาง!N298+ลำพูน!N298+สุโขทัย!N298+อุตรดิตถ์!N298+อุทัยธานี!N298</f>
        <v>0</v>
      </c>
      <c r="O298" s="49">
        <f ca="1">IF(L298&gt;0,N298*100/L298,0)</f>
        <v>0</v>
      </c>
      <c r="P298" s="49"/>
    </row>
    <row r="299" spans="1:16" ht="21.75" customHeight="1" x14ac:dyDescent="0.3">
      <c r="A299" s="175"/>
      <c r="B299" s="176"/>
      <c r="C299" s="157" t="s">
        <v>16</v>
      </c>
      <c r="D299" s="177" t="s">
        <v>44</v>
      </c>
      <c r="E299" s="178"/>
      <c r="F299" s="178"/>
      <c r="G299" s="179"/>
      <c r="H299" s="180"/>
      <c r="I299" s="187"/>
      <c r="J299" s="187"/>
      <c r="K299" s="223"/>
      <c r="L299" s="168"/>
      <c r="M299" s="168"/>
      <c r="N299" s="168"/>
      <c r="O299" s="181"/>
      <c r="P299" s="181"/>
    </row>
    <row r="300" spans="1:16" ht="21.75" customHeight="1" x14ac:dyDescent="0.3">
      <c r="A300" s="175"/>
      <c r="B300" s="176"/>
      <c r="C300" s="176"/>
      <c r="D300" s="182">
        <v>1</v>
      </c>
      <c r="E300" s="183" t="s">
        <v>45</v>
      </c>
      <c r="F300" s="184"/>
      <c r="G300" s="185"/>
      <c r="H300" s="186"/>
      <c r="I300" s="187"/>
      <c r="J300" s="187">
        <f ca="1">กำแพงเพชร!J300+เชียงราย!J300+เชียงใหม่!J300+ตาก!J300+นครสวรรค์!J300+น่าน!J300+พะเยา!J300+พิจิตร!J300+พิษณุโลก!J300+เพชรบูรณ์!J300+แพร่!J300+แม่ฮ่องสอน!J300+ลำปาง!J300+ลำพูน!J300+สุโขทัย!J300+อุตรดิตถ์!J300+อุทัยธานี!J300</f>
        <v>0</v>
      </c>
      <c r="K300" s="223"/>
      <c r="L300" s="168"/>
      <c r="M300" s="168"/>
      <c r="N300" s="168"/>
      <c r="O300" s="181"/>
      <c r="P300" s="181"/>
    </row>
    <row r="301" spans="1:16" ht="21.75" customHeight="1" x14ac:dyDescent="0.3">
      <c r="A301" s="175"/>
      <c r="B301" s="176"/>
      <c r="C301" s="176"/>
      <c r="D301" s="189">
        <v>2</v>
      </c>
      <c r="E301" s="190" t="s">
        <v>46</v>
      </c>
      <c r="F301" s="191"/>
      <c r="G301" s="192"/>
      <c r="H301" s="186"/>
      <c r="I301" s="187"/>
      <c r="J301" s="187">
        <f ca="1">กำแพงเพชร!J301+เชียงราย!J301+เชียงใหม่!J301+ตาก!J301+นครสวรรค์!J301+น่าน!J301+พะเยา!J301+พิจิตร!J301+พิษณุโลก!J301+เพชรบูรณ์!J301+แพร่!J301+แม่ฮ่องสอน!J301+ลำปาง!J301+ลำพูน!J301+สุโขทัย!J301+อุตรดิตถ์!J301+อุทัยธานี!J301</f>
        <v>1</v>
      </c>
      <c r="K301" s="223"/>
      <c r="L301" s="168" t="s">
        <v>40</v>
      </c>
      <c r="M301" s="168"/>
      <c r="N301" s="168" t="s">
        <v>40</v>
      </c>
      <c r="O301" s="181"/>
      <c r="P301" s="181"/>
    </row>
    <row r="302" spans="1:16" ht="21.75" customHeight="1" x14ac:dyDescent="0.3">
      <c r="A302" s="175"/>
      <c r="B302" s="176"/>
      <c r="C302" s="176"/>
      <c r="D302" s="193"/>
      <c r="E302" s="194" t="s">
        <v>47</v>
      </c>
      <c r="F302" s="195"/>
      <c r="G302" s="196"/>
      <c r="H302" s="186"/>
      <c r="I302" s="187"/>
      <c r="J302" s="187">
        <f ca="1">กำแพงเพชร!J302+เชียงราย!J302+เชียงใหม่!J302+ตาก!J302+นครสวรรค์!J302+น่าน!J302+พะเยา!J302+พิจิตร!J302+พิษณุโลก!J302+เพชรบูรณ์!J302+แพร่!J302+แม่ฮ่องสอน!J302+ลำปาง!J302+ลำพูน!J302+สุโขทัย!J302+อุตรดิตถ์!J302+อุทัยธานี!J302</f>
        <v>1</v>
      </c>
      <c r="K302" s="223"/>
      <c r="L302" s="168"/>
      <c r="M302" s="168"/>
      <c r="N302" s="168"/>
      <c r="O302" s="181"/>
      <c r="P302" s="181"/>
    </row>
    <row r="303" spans="1:16" ht="21.75" customHeight="1" x14ac:dyDescent="0.3">
      <c r="A303" s="175"/>
      <c r="B303" s="176"/>
      <c r="C303" s="176"/>
      <c r="D303" s="193"/>
      <c r="E303" s="194" t="s">
        <v>48</v>
      </c>
      <c r="F303" s="195"/>
      <c r="G303" s="196"/>
      <c r="H303" s="186"/>
      <c r="I303" s="187"/>
      <c r="J303" s="187">
        <f ca="1">กำแพงเพชร!J303+เชียงราย!J303+เชียงใหม่!J303+ตาก!J303+นครสวรรค์!J303+น่าน!J303+พะเยา!J303+พิจิตร!J303+พิษณุโลก!J303+เพชรบูรณ์!J303+แพร่!J303+แม่ฮ่องสอน!J303+ลำปาง!J303+ลำพูน!J303+สุโขทัย!J303+อุตรดิตถ์!J303+อุทัยธานี!J303</f>
        <v>1</v>
      </c>
      <c r="K303" s="223"/>
      <c r="L303" s="168"/>
      <c r="M303" s="168"/>
      <c r="N303" s="168"/>
      <c r="O303" s="181"/>
      <c r="P303" s="181"/>
    </row>
    <row r="304" spans="1:16" ht="21.75" customHeight="1" x14ac:dyDescent="0.3">
      <c r="A304" s="175"/>
      <c r="B304" s="176"/>
      <c r="C304" s="176"/>
      <c r="D304" s="193"/>
      <c r="E304" s="198"/>
      <c r="F304" s="194" t="s">
        <v>113</v>
      </c>
      <c r="G304" s="196"/>
      <c r="H304" s="180" t="s">
        <v>37</v>
      </c>
      <c r="I304" s="187">
        <f ca="1">กำแพงเพชร!I304+เชียงราย!I304+เชียงใหม่!I304+ตาก!I304+นครสวรรค์!I304+น่าน!I304+พะเยา!I304+พิจิตร!I304+พิษณุโลก!I304+เพชรบูรณ์!I304+แพร่!I304+แม่ฮ่องสอน!I304+ลำปาง!I304+ลำพูน!I304+สุโขทัย!I304+อุตรดิตถ์!I304+อุทัยธานี!I304</f>
        <v>40</v>
      </c>
      <c r="J304" s="203">
        <f ca="1">กำแพงเพชร!J304+เชียงราย!J304+เชียงใหม่!J304+ตาก!J304+นครสวรรค์!J304+น่าน!J304+พะเยา!J304+พิจิตร!J304+พิษณุโลก!J304+เพชรบูรณ์!J304+แพร่!J304+แม่ฮ่องสอน!J304+ลำปาง!J304+ลำพูน!J304+สุโขทัย!J304+อุตรดิตถ์!J304+อุทัยธานี!J304</f>
        <v>0</v>
      </c>
      <c r="K304" s="223">
        <f ca="1">IF(I304&gt;0,J304*100/I304,0)</f>
        <v>0</v>
      </c>
      <c r="L304" s="168"/>
      <c r="M304" s="168"/>
      <c r="N304" s="168"/>
      <c r="O304" s="181"/>
      <c r="P304" s="181"/>
    </row>
    <row r="305" spans="1:16" ht="21.75" customHeight="1" x14ac:dyDescent="0.3">
      <c r="A305" s="175"/>
      <c r="B305" s="176"/>
      <c r="C305" s="176"/>
      <c r="D305" s="193"/>
      <c r="E305" s="198"/>
      <c r="F305" s="194" t="s">
        <v>114</v>
      </c>
      <c r="G305" s="196"/>
      <c r="H305" s="180"/>
      <c r="I305" s="187"/>
      <c r="J305" s="187"/>
      <c r="K305" s="223"/>
      <c r="L305" s="168"/>
      <c r="M305" s="168"/>
      <c r="N305" s="168"/>
      <c r="O305" s="181"/>
      <c r="P305" s="181"/>
    </row>
    <row r="306" spans="1:16" ht="21.75" customHeight="1" x14ac:dyDescent="0.3">
      <c r="A306" s="175"/>
      <c r="B306" s="176"/>
      <c r="C306" s="176"/>
      <c r="D306" s="193"/>
      <c r="E306" s="198"/>
      <c r="F306" s="195" t="s">
        <v>53</v>
      </c>
      <c r="G306" s="196"/>
      <c r="H306" s="180" t="s">
        <v>37</v>
      </c>
      <c r="I306" s="187">
        <f ca="1">กำแพงเพชร!I306+เชียงราย!I306+เชียงใหม่!I306+ตาก!I306+นครสวรรค์!I306+น่าน!I306+พะเยา!I306+พิจิตร!I306+พิษณุโลก!I306+เพชรบูรณ์!I306+แพร่!I306+แม่ฮ่องสอน!I306+ลำปาง!I306+ลำพูน!I306+สุโขทัย!I306+อุตรดิตถ์!I306+อุทัยธานี!I306</f>
        <v>40</v>
      </c>
      <c r="J306" s="203">
        <f ca="1">กำแพงเพชร!J306+เชียงราย!J306+เชียงใหม่!J306+ตาก!J306+นครสวรรค์!J306+น่าน!J306+พะเยา!J306+พิจิตร!J306+พิษณุโลก!J306+เพชรบูรณ์!J306+แพร่!J306+แม่ฮ่องสอน!J306+ลำปาง!J306+ลำพูน!J306+สุโขทัย!J306+อุตรดิตถ์!J306+อุทัยธานี!J306</f>
        <v>0</v>
      </c>
      <c r="K306" s="223">
        <f ca="1">IF(I306&gt;0,J306*100/I306,0)</f>
        <v>0</v>
      </c>
      <c r="L306" s="168"/>
      <c r="M306" s="168"/>
      <c r="N306" s="168"/>
      <c r="O306" s="181"/>
      <c r="P306" s="181"/>
    </row>
    <row r="307" spans="1:16" ht="21.75" customHeight="1" x14ac:dyDescent="0.3">
      <c r="A307" s="175"/>
      <c r="B307" s="176"/>
      <c r="C307" s="176"/>
      <c r="D307" s="193"/>
      <c r="E307" s="194" t="s">
        <v>54</v>
      </c>
      <c r="F307" s="195"/>
      <c r="G307" s="196"/>
      <c r="H307" s="186"/>
      <c r="I307" s="187"/>
      <c r="J307" s="187">
        <f ca="1">IFERROR(__xludf.DUMMYFUNCTION("IMPORTRANGE(""https://docs.google.com/spreadsheets/d/1SX6NBoVAgQJ6U1MVXOaj8PK2l7WJ3RER9xtqwdhxkhw/edit?usp=sharing"",""กาญจนบุรี!J212"")"),0)</f>
        <v>0</v>
      </c>
      <c r="K307" s="223"/>
      <c r="L307" s="168"/>
      <c r="M307" s="168"/>
      <c r="N307" s="168"/>
      <c r="O307" s="181"/>
      <c r="P307" s="181"/>
    </row>
    <row r="308" spans="1:16" ht="21.75" customHeight="1" x14ac:dyDescent="0.3">
      <c r="A308" s="175"/>
      <c r="B308" s="176"/>
      <c r="C308" s="176"/>
      <c r="D308" s="205">
        <v>3</v>
      </c>
      <c r="E308" s="206" t="s">
        <v>55</v>
      </c>
      <c r="F308" s="207"/>
      <c r="G308" s="208"/>
      <c r="H308" s="186"/>
      <c r="I308" s="187"/>
      <c r="J308" s="324">
        <f ca="1">กำแพงเพชร!J308+เชียงราย!J308+เชียงใหม่!J308+ตาก!J308+นครสวรรค์!J308+น่าน!J308+พะเยา!J308+พิจิตร!J308+พิษณุโลก!J308+เพชรบูรณ์!J308+แพร่!J308+แม่ฮ่องสอน!J308+ลำปาง!J308+ลำพูน!J308+สุโขทัย!J308+อุตรดิตถ์!J308+อุทัยธานี!J308</f>
        <v>0</v>
      </c>
      <c r="K308" s="223"/>
      <c r="L308" s="168"/>
      <c r="M308" s="168"/>
      <c r="N308" s="168"/>
      <c r="O308" s="181"/>
      <c r="P308" s="181"/>
    </row>
    <row r="309" spans="1:16" ht="21.75" customHeight="1" x14ac:dyDescent="0.3">
      <c r="A309" s="325"/>
      <c r="B309" s="326" t="s">
        <v>115</v>
      </c>
      <c r="C309" s="327"/>
      <c r="D309" s="328"/>
      <c r="E309" s="326"/>
      <c r="F309" s="326"/>
      <c r="G309" s="329"/>
      <c r="H309" s="330" t="s">
        <v>116</v>
      </c>
      <c r="I309" s="331">
        <f ca="1">กำแพงเพชร!I309+เชียงราย!I309+เชียงใหม่!I309+ตาก!I309+นครสวรรค์!I309+น่าน!I309+พะเยา!I309+พิจิตร!I309+พิษณุโลก!I309+เพชรบูรณ์!I309+แพร่!I309+แม่ฮ่องสอน!I309+ลำปาง!I309+ลำพูน!I309+สุโขทัย!I309+อุตรดิตถ์!I309+อุทัยธานี!I309</f>
        <v>8</v>
      </c>
      <c r="J309" s="331">
        <f ca="1">กำแพงเพชร!J309+เชียงราย!J309+เชียงใหม่!J309+ตาก!J309+นครสวรรค์!J309+น่าน!J309+พะเยา!J309+พิจิตร!J309+พิษณุโลก!J309+เพชรบูรณ์!J309+แพร่!J309+แม่ฮ่องสอน!J309+ลำปาง!J309+ลำพูน!J309+สุโขทัย!J309+อุตรดิตถ์!J309+อุทัยธานี!J309</f>
        <v>3</v>
      </c>
      <c r="K309" s="332">
        <f ca="1">IF(I309&gt;0,J309*100/I309,0)</f>
        <v>37.5</v>
      </c>
      <c r="L309" s="333"/>
      <c r="M309" s="333"/>
      <c r="N309" s="333"/>
      <c r="O309" s="332"/>
      <c r="P309" s="332"/>
    </row>
    <row r="310" spans="1:16" ht="21.75" customHeight="1" x14ac:dyDescent="0.45">
      <c r="A310" s="145"/>
      <c r="B310" s="146"/>
      <c r="C310" s="147" t="s">
        <v>16</v>
      </c>
      <c r="D310" s="537" t="s">
        <v>17</v>
      </c>
      <c r="E310" s="528"/>
      <c r="F310" s="528"/>
      <c r="G310" s="528"/>
      <c r="H310" s="148" t="s">
        <v>12</v>
      </c>
      <c r="I310" s="334"/>
      <c r="J310" s="334"/>
      <c r="K310" s="335"/>
      <c r="L310" s="151">
        <f ca="1">กำแพงเพชร!L310+เชียงราย!L310+เชียงใหม่!L310+ตาก!L310+นครสวรรค์!L310+น่าน!L310+พะเยา!L310+พิจิตร!L310+พิษณุโลก!L310+เพชรบูรณ์!L310+แพร่!L310+แม่ฮ่องสอน!L310+ลำปาง!L310+ลำพูน!L310+สุโขทัย!L310+อุตรดิตถ์!L310+อุทัยธานี!L310</f>
        <v>772800</v>
      </c>
      <c r="M310" s="151">
        <f ca="1">กำแพงเพชร!M310+เชียงราย!M310+เชียงใหม่!M310+ตาก!M310+นครสวรรค์!M310+น่าน!M310+พะเยา!M310+พิจิตร!M310+พิษณุโลก!M310+เพชรบูรณ์!M310+แพร่!M310+แม่ฮ่องสอน!M310+ลำปาง!M310+ลำพูน!M310+สุโขทัย!M310+อุตรดิตถ์!M310+อุทัยธานี!M310</f>
        <v>506400</v>
      </c>
      <c r="N310" s="151">
        <f ca="1">กำแพงเพชร!N310+เชียงราย!N310+เชียงใหม่!N310+ตาก!N310+นครสวรรค์!N310+น่าน!N310+พะเยา!N310+พิจิตร!N310+พิษณุโลก!N310+เพชรบูรณ์!N310+แพร่!N310+แม่ฮ่องสอน!N310+ลำปาง!N310+ลำพูน!N310+สุโขทัย!N310+อุตรดิตถ์!N310+อุทัยธานี!N310</f>
        <v>214122</v>
      </c>
      <c r="O310" s="150">
        <f t="shared" ref="O310:O312" ca="1" si="68">IF(L310&gt;0,N310*100/L310,0)</f>
        <v>27.707298136645964</v>
      </c>
      <c r="P310" s="150">
        <f t="shared" ref="P310:P312" ca="1" si="69">IF(M310&gt;0,N310*100/M310,0)</f>
        <v>42.28317535545024</v>
      </c>
    </row>
    <row r="311" spans="1:16" ht="21.75" customHeight="1" x14ac:dyDescent="0.45">
      <c r="A311" s="152"/>
      <c r="B311" s="32"/>
      <c r="C311" s="32"/>
      <c r="D311" s="32"/>
      <c r="E311" s="32"/>
      <c r="F311" s="32"/>
      <c r="G311" s="33" t="s">
        <v>18</v>
      </c>
      <c r="H311" s="153" t="s">
        <v>12</v>
      </c>
      <c r="I311" s="334"/>
      <c r="J311" s="334"/>
      <c r="K311" s="335"/>
      <c r="L311" s="87">
        <f>กำแพงเพชร!L311+เชียงราย!L311+เชียงใหม่!L311+ตาก!L311+นครสวรรค์!L311+น่าน!L311+พะเยา!L311+พิจิตร!L311+พิษณุโลก!L311+เพชรบูรณ์!L311+แพร่!L311+แม่ฮ่องสอน!L311+ลำปาง!L311+ลำพูน!L311+สุโขทัย!L311+อุตรดิตถ์!L311+อุทัยธานี!L311</f>
        <v>0</v>
      </c>
      <c r="M311" s="87">
        <f>กำแพงเพชร!M311+เชียงราย!M311+เชียงใหม่!M311+ตาก!M311+นครสวรรค์!M311+น่าน!M311+พะเยา!M311+พิจิตร!M311+พิษณุโลก!M311+เพชรบูรณ์!M311+แพร่!M311+แม่ฮ่องสอน!M311+ลำปาง!M311+ลำพูน!M311+สุโขทัย!M311+อุตรดิตถ์!M311+อุทัยธานี!M311</f>
        <v>0</v>
      </c>
      <c r="N311" s="87">
        <f>กำแพงเพชร!N311+เชียงราย!N311+เชียงใหม่!N311+ตาก!N311+นครสวรรค์!N311+น่าน!N311+พะเยา!N311+พิจิตร!N311+พิษณุโลก!N311+เพชรบูรณ์!N311+แพร่!N311+แม่ฮ่องสอน!N311+ลำปาง!N311+ลำพูน!N311+สุโขทัย!N311+อุตรดิตถ์!N311+อุทัยธานี!N311</f>
        <v>0</v>
      </c>
      <c r="O311" s="155">
        <f t="shared" si="68"/>
        <v>0</v>
      </c>
      <c r="P311" s="155">
        <f t="shared" si="69"/>
        <v>0</v>
      </c>
    </row>
    <row r="312" spans="1:16" ht="21.75" customHeight="1" x14ac:dyDescent="0.45">
      <c r="A312" s="152"/>
      <c r="B312" s="32"/>
      <c r="C312" s="32"/>
      <c r="D312" s="32"/>
      <c r="E312" s="32"/>
      <c r="F312" s="32"/>
      <c r="G312" s="33" t="s">
        <v>19</v>
      </c>
      <c r="H312" s="153" t="s">
        <v>12</v>
      </c>
      <c r="I312" s="334"/>
      <c r="J312" s="334"/>
      <c r="K312" s="335"/>
      <c r="L312" s="87">
        <f ca="1">กำแพงเพชร!L312+เชียงราย!L312+เชียงใหม่!L312+ตาก!L312+นครสวรรค์!L312+น่าน!L312+พะเยา!L312+พิจิตร!L312+พิษณุโลก!L312+เพชรบูรณ์!L312+แพร่!L312+แม่ฮ่องสอน!L312+ลำปาง!L312+ลำพูน!L312+สุโขทัย!L312+อุตรดิตถ์!L312+อุทัยธานี!L312</f>
        <v>772800</v>
      </c>
      <c r="M312" s="87">
        <f ca="1">กำแพงเพชร!M312+เชียงราย!M312+เชียงใหม่!M312+ตาก!M312+นครสวรรค์!M312+น่าน!M312+พะเยา!M312+พิจิตร!M312+พิษณุโลก!M312+เพชรบูรณ์!M312+แพร่!M312+แม่ฮ่องสอน!M312+ลำปาง!M312+ลำพูน!M312+สุโขทัย!M312+อุตรดิตถ์!M312+อุทัยธานี!M312</f>
        <v>506400</v>
      </c>
      <c r="N312" s="87">
        <f ca="1">กำแพงเพชร!N312+เชียงราย!N312+เชียงใหม่!N312+ตาก!N312+นครสวรรค์!N312+น่าน!N312+พะเยา!N312+พิจิตร!N312+พิษณุโลก!N312+เพชรบูรณ์!N312+แพร่!N312+แม่ฮ่องสอน!N312+ลำปาง!N312+ลำพูน!N312+สุโขทัย!N312+อุตรดิตถ์!N312+อุทัยธานี!N312</f>
        <v>214122</v>
      </c>
      <c r="O312" s="155">
        <f t="shared" ca="1" si="68"/>
        <v>27.707298136645964</v>
      </c>
      <c r="P312" s="155">
        <f t="shared" ca="1" si="69"/>
        <v>42.28317535545024</v>
      </c>
    </row>
    <row r="313" spans="1:16" ht="21.75" customHeight="1" x14ac:dyDescent="0.3">
      <c r="A313" s="156"/>
      <c r="B313" s="157"/>
      <c r="C313" s="157" t="s">
        <v>16</v>
      </c>
      <c r="D313" s="158" t="s">
        <v>38</v>
      </c>
      <c r="E313" s="159"/>
      <c r="F313" s="159"/>
      <c r="G313" s="160" t="s">
        <v>39</v>
      </c>
      <c r="H313" s="161" t="s">
        <v>12</v>
      </c>
      <c r="I313" s="162" t="s">
        <v>40</v>
      </c>
      <c r="J313" s="162"/>
      <c r="K313" s="163"/>
      <c r="L313" s="164">
        <f>กำแพงเพชร!L313+เชียงราย!L313+เชียงใหม่!L313+ตาก!L313+นครสวรรค์!L313+น่าน!L313+พะเยา!L313+พิจิตร!L313+พิษณุโลก!L313+เพชรบูรณ์!L313+แพร่!L313+แม่ฮ่องสอน!L313+ลำปาง!L313+ลำพูน!L313+สุโขทัย!L313+อุตรดิตถ์!L313+อุทัยธานี!L313</f>
        <v>0</v>
      </c>
      <c r="M313" s="164">
        <f>กำแพงเพชร!M313+เชียงราย!M313+เชียงใหม่!M313+ตาก!M313+นครสวรรค์!M313+น่าน!M313+พะเยา!M313+พิจิตร!M313+พิษณุโลก!M313+เพชรบูรณ์!M313+แพร่!M313+แม่ฮ่องสอน!M313+ลำปาง!M313+ลำพูน!M313+สุโขทัย!M313+อุตรดิตถ์!M313+อุทัยธานี!M313</f>
        <v>0</v>
      </c>
      <c r="N313" s="164">
        <f>กำแพงเพชร!N313+เชียงราย!N313+เชียงใหม่!N313+ตาก!N313+นครสวรรค์!N313+น่าน!N313+พะเยา!N313+พิจิตร!N313+พิษณุโลก!N313+เพชรบูรณ์!N313+แพร่!N313+แม่ฮ่องสอน!N313+ลำปาง!N313+ลำพูน!N313+สุโขทัย!N313+อุตรดิตถ์!N313+อุทัยธานี!N313</f>
        <v>0</v>
      </c>
      <c r="O313" s="165">
        <f>+IF(L313&gt;0,N313*100/L313,0)</f>
        <v>0</v>
      </c>
      <c r="P313" s="165"/>
    </row>
    <row r="314" spans="1:16" ht="21.75" customHeight="1" x14ac:dyDescent="0.3">
      <c r="A314" s="156"/>
      <c r="B314" s="157"/>
      <c r="C314" s="157"/>
      <c r="D314" s="166"/>
      <c r="E314" s="159"/>
      <c r="F314" s="159" t="s">
        <v>40</v>
      </c>
      <c r="G314" s="160" t="s">
        <v>41</v>
      </c>
      <c r="H314" s="161" t="s">
        <v>12</v>
      </c>
      <c r="I314" s="162"/>
      <c r="J314" s="162"/>
      <c r="K314" s="163"/>
      <c r="L314" s="167">
        <f ca="1">กำแพงเพชร!L314+เชียงราย!L314+เชียงใหม่!L314+ตาก!L314+นครสวรรค์!L314+น่าน!L314+พะเยา!L314+พิจิตร!L314+พิษณุโลก!L314+เพชรบูรณ์!L314+แพร่!L314+แม่ฮ่องสอน!L314+ลำปาง!L314+ลำพูน!L314+สุโขทัย!L314+อุตรดิตถ์!L314+อุทัยธานี!L314</f>
        <v>772800</v>
      </c>
      <c r="M314" s="167">
        <f ca="1">กำแพงเพชร!M314+เชียงราย!M314+เชียงใหม่!M314+ตาก!M314+นครสวรรค์!M314+น่าน!M314+พะเยา!M314+พิจิตร!M314+พิษณุโลก!M314+เพชรบูรณ์!M314+แพร่!M314+แม่ฮ่องสอน!M314+ลำปาง!M314+ลำพูน!M314+สุโขทัย!M314+อุตรดิตถ์!M314+อุทัยธานี!M314</f>
        <v>506400</v>
      </c>
      <c r="N314" s="168">
        <f ca="1">กำแพงเพชร!N314+เชียงราย!N314+เชียงใหม่!N314+ตาก!N314+นครสวรรค์!N314+น่าน!N314+พะเยา!N314+พิจิตร!N314+พิษณุโลก!N314+เพชรบูรณ์!N314+แพร่!N314+แม่ฮ่องสอน!N314+ลำปาง!N314+ลำพูน!N314+สุโขทัย!N314+อุตรดิตถ์!N314+อุทัยธานี!N314</f>
        <v>214122</v>
      </c>
      <c r="O314" s="168">
        <f ca="1">IF(L314&gt;0,N314*100/L314,0)</f>
        <v>27.707298136645964</v>
      </c>
      <c r="P314" s="168">
        <f ca="1">IF(M314&gt;0,N314*100/M314,0)</f>
        <v>42.28317535545024</v>
      </c>
    </row>
    <row r="315" spans="1:16" ht="21.75" customHeight="1" x14ac:dyDescent="0.3">
      <c r="A315" s="156"/>
      <c r="B315" s="157"/>
      <c r="C315" s="157"/>
      <c r="D315" s="166"/>
      <c r="E315" s="159"/>
      <c r="F315" s="159"/>
      <c r="G315" s="169" t="s">
        <v>42</v>
      </c>
      <c r="H315" s="161" t="s">
        <v>12</v>
      </c>
      <c r="I315" s="162"/>
      <c r="J315" s="162"/>
      <c r="K315" s="163"/>
      <c r="L315" s="167">
        <f ca="1">กำแพงเพชร!L315+เชียงราย!L315+เชียงใหม่!L315+ตาก!L315+นครสวรรค์!L315+น่าน!L315+พะเยา!L315+พิจิตร!L315+พิษณุโลก!L315+เพชรบูรณ์!L315+แพร่!L315+แม่ฮ่องสอน!L315+ลำปาง!L315+ลำพูน!L315+สุโขทัย!L315+อุตรดิตถ์!L315+อุทัยธานี!L315</f>
        <v>0</v>
      </c>
      <c r="M315" s="167"/>
      <c r="N315" s="167"/>
      <c r="O315" s="168"/>
      <c r="P315" s="168"/>
    </row>
    <row r="316" spans="1:16" ht="21.75" customHeight="1" x14ac:dyDescent="0.3">
      <c r="A316" s="156"/>
      <c r="B316" s="157"/>
      <c r="C316" s="157"/>
      <c r="D316" s="166"/>
      <c r="E316" s="159"/>
      <c r="F316" s="159"/>
      <c r="G316" s="169" t="s">
        <v>43</v>
      </c>
      <c r="H316" s="161" t="s">
        <v>12</v>
      </c>
      <c r="I316" s="162"/>
      <c r="J316" s="187"/>
      <c r="K316" s="223"/>
      <c r="L316" s="167">
        <f ca="1">กำแพงเพชร!L316+เชียงราย!L316+เชียงใหม่!L316+ตาก!L316+นครสวรรค์!L316+น่าน!L316+พะเยา!L316+พิจิตร!L316+พิษณุโลก!L316+เพชรบูรณ์!L316+แพร่!L316+แม่ฮ่องสอน!L316+ลำปาง!L316+ลำพูน!L316+สุโขทัย!L316+อุตรดิตถ์!L316+อุทัยธานี!L316</f>
        <v>772800</v>
      </c>
      <c r="M316" s="167"/>
      <c r="N316" s="167"/>
      <c r="O316" s="168"/>
      <c r="P316" s="168"/>
    </row>
    <row r="317" spans="1:16" ht="21.75" customHeight="1" x14ac:dyDescent="0.45">
      <c r="A317" s="170"/>
      <c r="B317" s="80"/>
      <c r="C317" s="81" t="s">
        <v>16</v>
      </c>
      <c r="D317" s="534" t="s">
        <v>23</v>
      </c>
      <c r="E317" s="530"/>
      <c r="F317" s="88"/>
      <c r="G317" s="82" t="s">
        <v>18</v>
      </c>
      <c r="H317" s="171" t="s">
        <v>12</v>
      </c>
      <c r="I317" s="162"/>
      <c r="J317" s="187"/>
      <c r="K317" s="223"/>
      <c r="L317" s="41">
        <f>กำแพงเพชร!L317+เชียงราย!L317+เชียงใหม่!L317+ตาก!L317+นครสวรรค์!L317+น่าน!L317+พะเยา!L317+พิจิตร!L317+พิษณุโลก!L317+เพชรบูรณ์!L317+แพร่!L317+แม่ฮ่องสอน!L317+ลำปาง!L317+ลำพูน!L317+สุโขทัย!L317+อุตรดิตถ์!L317+อุทัยธานี!L317</f>
        <v>0</v>
      </c>
      <c r="M317" s="41"/>
      <c r="N317" s="41"/>
      <c r="O317" s="41"/>
      <c r="P317" s="41"/>
    </row>
    <row r="318" spans="1:16" ht="21.75" customHeight="1" x14ac:dyDescent="0.45">
      <c r="A318" s="172"/>
      <c r="B318" s="91"/>
      <c r="C318" s="91"/>
      <c r="D318" s="173"/>
      <c r="E318" s="92"/>
      <c r="F318" s="92"/>
      <c r="G318" s="93" t="s">
        <v>19</v>
      </c>
      <c r="H318" s="174" t="s">
        <v>12</v>
      </c>
      <c r="I318" s="162"/>
      <c r="J318" s="187"/>
      <c r="K318" s="223"/>
      <c r="L318" s="49">
        <f ca="1">กำแพงเพชร!L318+เชียงราย!L318+เชียงใหม่!L318+ตาก!L318+นครสวรรค์!L318+น่าน!L318+พะเยา!L318+พิจิตร!L318+พิษณุโลก!L318+เพชรบูรณ์!L318+แพร่!L318+แม่ฮ่องสอน!L318+ลำปาง!L318+ลำพูน!L318+สุโขทัย!L318+อุตรดิตถ์!L318+อุทัยธานี!L318</f>
        <v>0</v>
      </c>
      <c r="M318" s="49"/>
      <c r="N318" s="49">
        <f ca="1">กำแพงเพชร!N318+เชียงราย!N318+เชียงใหม่!N318+ตาก!N318+นครสวรรค์!N318+น่าน!N318+พะเยา!N318+พิจิตร!N318+พิษณุโลก!N318+เพชรบูรณ์!N318+แพร่!N318+แม่ฮ่องสอน!N318+ลำปาง!N318+ลำพูน!N318+สุโขทัย!N318+อุตรดิตถ์!N318+อุทัยธานี!N318</f>
        <v>0</v>
      </c>
      <c r="O318" s="49">
        <f ca="1">IF(L318&gt;0,N318*100/L318,0)</f>
        <v>0</v>
      </c>
      <c r="P318" s="49"/>
    </row>
    <row r="319" spans="1:16" ht="21.75" customHeight="1" x14ac:dyDescent="0.3">
      <c r="A319" s="175"/>
      <c r="B319" s="176"/>
      <c r="C319" s="157" t="s">
        <v>16</v>
      </c>
      <c r="D319" s="177" t="s">
        <v>44</v>
      </c>
      <c r="E319" s="178"/>
      <c r="F319" s="178"/>
      <c r="G319" s="179"/>
      <c r="H319" s="180"/>
      <c r="I319" s="162"/>
      <c r="J319" s="187"/>
      <c r="K319" s="223"/>
      <c r="L319" s="168"/>
      <c r="M319" s="168"/>
      <c r="N319" s="168"/>
      <c r="O319" s="181"/>
      <c r="P319" s="181"/>
    </row>
    <row r="320" spans="1:16" ht="21.75" customHeight="1" x14ac:dyDescent="0.3">
      <c r="A320" s="175"/>
      <c r="B320" s="176"/>
      <c r="C320" s="176"/>
      <c r="D320" s="182">
        <v>1</v>
      </c>
      <c r="E320" s="183" t="s">
        <v>45</v>
      </c>
      <c r="F320" s="184"/>
      <c r="G320" s="185"/>
      <c r="H320" s="186"/>
      <c r="I320" s="187"/>
      <c r="J320" s="187">
        <f ca="1">กำแพงเพชร!J320+เชียงราย!J320+เชียงใหม่!J320+ตาก!J320+นครสวรรค์!J320+น่าน!J320+พะเยา!J320+พิจิตร!J320+พิษณุโลก!J320+เพชรบูรณ์!J320+แพร่!J320+แม่ฮ่องสอน!J320+ลำปาง!J320+ลำพูน!J320+สุโขทัย!J320+อุตรดิตถ์!J320+อุทัยธานี!J320</f>
        <v>0</v>
      </c>
      <c r="K320" s="223"/>
      <c r="L320" s="168"/>
      <c r="M320" s="168"/>
      <c r="N320" s="168"/>
      <c r="O320" s="181"/>
      <c r="P320" s="181"/>
    </row>
    <row r="321" spans="1:16" ht="21.75" customHeight="1" x14ac:dyDescent="0.3">
      <c r="A321" s="175"/>
      <c r="B321" s="176"/>
      <c r="C321" s="176"/>
      <c r="D321" s="189">
        <v>2</v>
      </c>
      <c r="E321" s="190" t="s">
        <v>46</v>
      </c>
      <c r="F321" s="191"/>
      <c r="G321" s="192"/>
      <c r="H321" s="186"/>
      <c r="I321" s="187"/>
      <c r="J321" s="187">
        <f ca="1">กำแพงเพชร!J321+เชียงราย!J321+เชียงใหม่!J321+ตาก!J321+นครสวรรค์!J321+น่าน!J321+พะเยา!J321+พิจิตร!J321+พิษณุโลก!J321+เพชรบูรณ์!J321+แพร่!J321+แม่ฮ่องสอน!J321+ลำปาง!J321+ลำพูน!J321+สุโขทัย!J321+อุตรดิตถ์!J321+อุทัยธานี!J321</f>
        <v>3</v>
      </c>
      <c r="K321" s="223"/>
      <c r="L321" s="168" t="s">
        <v>40</v>
      </c>
      <c r="M321" s="168"/>
      <c r="N321" s="168" t="s">
        <v>40</v>
      </c>
      <c r="O321" s="181"/>
      <c r="P321" s="181"/>
    </row>
    <row r="322" spans="1:16" ht="21.75" customHeight="1" x14ac:dyDescent="0.3">
      <c r="A322" s="175"/>
      <c r="B322" s="176"/>
      <c r="C322" s="176"/>
      <c r="D322" s="193"/>
      <c r="E322" s="194" t="s">
        <v>47</v>
      </c>
      <c r="F322" s="195"/>
      <c r="G322" s="196"/>
      <c r="H322" s="186"/>
      <c r="I322" s="187"/>
      <c r="J322" s="187">
        <f ca="1">กำแพงเพชร!J322+เชียงราย!J322+เชียงใหม่!J322+ตาก!J322+นครสวรรค์!J322+น่าน!J322+พะเยา!J322+พิจิตร!J322+พิษณุโลก!J322+เพชรบูรณ์!J322+แพร่!J322+แม่ฮ่องสอน!J322+ลำปาง!J322+ลำพูน!J322+สุโขทัย!J322+อุตรดิตถ์!J322+อุทัยธานี!J322</f>
        <v>2</v>
      </c>
      <c r="K322" s="223"/>
      <c r="L322" s="168"/>
      <c r="M322" s="168"/>
      <c r="N322" s="168"/>
      <c r="O322" s="181"/>
      <c r="P322" s="181"/>
    </row>
    <row r="323" spans="1:16" ht="21.75" customHeight="1" x14ac:dyDescent="0.3">
      <c r="A323" s="175"/>
      <c r="B323" s="176"/>
      <c r="C323" s="176"/>
      <c r="D323" s="193"/>
      <c r="E323" s="194" t="s">
        <v>48</v>
      </c>
      <c r="F323" s="195"/>
      <c r="G323" s="196"/>
      <c r="H323" s="186"/>
      <c r="I323" s="187"/>
      <c r="J323" s="187">
        <f ca="1">กำแพงเพชร!J323+เชียงราย!J323+เชียงใหม่!J323+ตาก!J323+นครสวรรค์!J323+น่าน!J323+พะเยา!J323+พิจิตร!J323+พิษณุโลก!J323+เพชรบูรณ์!J323+แพร่!J323+แม่ฮ่องสอน!J323+ลำปาง!J323+ลำพูน!J323+สุโขทัย!J323+อุตรดิตถ์!J323+อุทัยธานี!J323</f>
        <v>3</v>
      </c>
      <c r="K323" s="223"/>
      <c r="L323" s="168"/>
      <c r="M323" s="168"/>
      <c r="N323" s="168"/>
      <c r="O323" s="181"/>
      <c r="P323" s="181"/>
    </row>
    <row r="324" spans="1:16" ht="21.75" customHeight="1" x14ac:dyDescent="0.3">
      <c r="A324" s="175"/>
      <c r="B324" s="176"/>
      <c r="C324" s="176"/>
      <c r="D324" s="193"/>
      <c r="E324" s="198"/>
      <c r="F324" s="194" t="s">
        <v>117</v>
      </c>
      <c r="G324" s="196"/>
      <c r="H324" s="186" t="s">
        <v>116</v>
      </c>
      <c r="I324" s="187">
        <f ca="1">กำแพงเพชร!I324+เชียงราย!I324+เชียงใหม่!I324+ตาก!I324+นครสวรรค์!I324+น่าน!I324+พะเยา!I324+พิจิตร!I324+พิษณุโลก!I324+เพชรบูรณ์!I324+แพร่!I324+แม่ฮ่องสอน!I324+ลำปาง!I324+ลำพูน!I324+สุโขทัย!I324+อุตรดิตถ์!I324+อุทัยธานี!I324</f>
        <v>8</v>
      </c>
      <c r="J324" s="203">
        <f ca="1">กำแพงเพชร!J324+เชียงราย!J324+เชียงใหม่!J324+ตาก!J324+นครสวรรค์!J324+น่าน!J324+พะเยา!J324+พิจิตร!J324+พิษณุโลก!J324+เพชรบูรณ์!J324+แพร่!J324+แม่ฮ่องสอน!J324+ลำปาง!J324+ลำพูน!J324+สุโขทัย!J324+อุตรดิตถ์!J324+อุทัยธานี!J324</f>
        <v>3</v>
      </c>
      <c r="K324" s="223">
        <f ca="1">IF(I324&gt;0,J324*100/I324,0)</f>
        <v>37.5</v>
      </c>
      <c r="L324" s="168"/>
      <c r="M324" s="168"/>
      <c r="N324" s="168"/>
      <c r="O324" s="181"/>
      <c r="P324" s="181"/>
    </row>
    <row r="325" spans="1:16" ht="21.75" customHeight="1" x14ac:dyDescent="0.3">
      <c r="A325" s="175"/>
      <c r="B325" s="176"/>
      <c r="C325" s="176"/>
      <c r="D325" s="193"/>
      <c r="E325" s="194" t="s">
        <v>54</v>
      </c>
      <c r="F325" s="195"/>
      <c r="G325" s="196"/>
      <c r="H325" s="186"/>
      <c r="I325" s="187"/>
      <c r="J325" s="187">
        <f ca="1">กำแพงเพชร!J325+เชียงราย!J325+เชียงใหม่!J325+ตาก!J325+นครสวรรค์!J325+น่าน!J325+พะเยา!J325+พิจิตร!J325+พิษณุโลก!J325+เพชรบูรณ์!J325+แพร่!J325+แม่ฮ่องสอน!J325+ลำปาง!J325+ลำพูน!J325+สุโขทัย!J325+อุตรดิตถ์!J325+อุทัยธานี!J325</f>
        <v>0</v>
      </c>
      <c r="K325" s="223"/>
      <c r="L325" s="168"/>
      <c r="M325" s="168"/>
      <c r="N325" s="168"/>
      <c r="O325" s="181"/>
      <c r="P325" s="181"/>
    </row>
    <row r="326" spans="1:16" ht="21.75" customHeight="1" x14ac:dyDescent="0.3">
      <c r="A326" s="175"/>
      <c r="B326" s="176"/>
      <c r="C326" s="176"/>
      <c r="D326" s="205">
        <v>3</v>
      </c>
      <c r="E326" s="206" t="s">
        <v>55</v>
      </c>
      <c r="F326" s="207"/>
      <c r="G326" s="208"/>
      <c r="H326" s="186"/>
      <c r="I326" s="187"/>
      <c r="J326" s="226">
        <f ca="1">กำแพงเพชร!J326+เชียงราย!J326+เชียงใหม่!J326+ตาก!J326+นครสวรรค์!J326+น่าน!J326+พะเยา!J326+พิจิตร!J326+พิษณุโลก!J326+เพชรบูรณ์!J326+แพร่!J326+แม่ฮ่องสอน!J326+ลำปาง!J326+ลำพูน!J326+สุโขทัย!J326+อุตรดิตถ์!J326+อุทัยธานี!J326</f>
        <v>0</v>
      </c>
      <c r="K326" s="223"/>
      <c r="L326" s="168"/>
      <c r="M326" s="168"/>
      <c r="N326" s="168"/>
      <c r="O326" s="181"/>
      <c r="P326" s="181"/>
    </row>
    <row r="327" spans="1:16" ht="21.75" customHeight="1" x14ac:dyDescent="0.3">
      <c r="A327" s="302" t="s">
        <v>118</v>
      </c>
      <c r="B327" s="303"/>
      <c r="C327" s="303"/>
      <c r="D327" s="304"/>
      <c r="E327" s="303"/>
      <c r="F327" s="303"/>
      <c r="G327" s="317"/>
      <c r="H327" s="306"/>
      <c r="I327" s="307"/>
      <c r="J327" s="307"/>
      <c r="K327" s="308"/>
      <c r="L327" s="308"/>
      <c r="M327" s="308"/>
      <c r="N327" s="308"/>
      <c r="O327" s="309"/>
      <c r="P327" s="309"/>
    </row>
    <row r="328" spans="1:16" ht="21.75" customHeight="1" x14ac:dyDescent="0.3">
      <c r="A328" s="310"/>
      <c r="B328" s="336" t="s">
        <v>119</v>
      </c>
      <c r="C328" s="323"/>
      <c r="D328" s="311"/>
      <c r="E328" s="311"/>
      <c r="F328" s="311"/>
      <c r="G328" s="312"/>
      <c r="H328" s="313" t="s">
        <v>37</v>
      </c>
      <c r="I328" s="337">
        <f ca="1">กำแพงเพชร!I328+เชียงราย!I328+เชียงใหม่!I328+ตาก!I328+นครสวรรค์!I328+น่าน!I328+พะเยา!I328+พิจิตร!I328+พิษณุโลก!I328+เพชรบูรณ์!I328+แพร่!I328+แม่ฮ่องสอน!I328+ลำปาง!I328+ลำพูน!I328+สุโขทัย!I328+อุตรดิตถ์!I328+อุทัยธานี!I328</f>
        <v>6310</v>
      </c>
      <c r="J328" s="337">
        <f ca="1">กำแพงเพชร!J328+เชียงราย!J328+เชียงใหม่!J328+ตาก!J328+นครสวรรค์!J328+น่าน!J328+พะเยา!J328+พิจิตร!J328+พิษณุโลก!J328+เพชรบูรณ์!J328+แพร่!J328+แม่ฮ่องสอน!J328+ลำปาง!J328+ลำพูน!J328+สุโขทัย!J328+อุตรดิตถ์!J328+อุทัยธานี!J328</f>
        <v>1051</v>
      </c>
      <c r="K328" s="315">
        <f ca="1">IF(I328&gt;0,J328*100/I328,0)</f>
        <v>16.656101426307448</v>
      </c>
      <c r="L328" s="316"/>
      <c r="M328" s="316"/>
      <c r="N328" s="316"/>
      <c r="O328" s="315"/>
      <c r="P328" s="315"/>
    </row>
    <row r="329" spans="1:16" ht="21.75" customHeight="1" x14ac:dyDescent="0.45">
      <c r="A329" s="145"/>
      <c r="B329" s="146"/>
      <c r="C329" s="147" t="s">
        <v>16</v>
      </c>
      <c r="D329" s="537" t="s">
        <v>17</v>
      </c>
      <c r="E329" s="528"/>
      <c r="F329" s="528"/>
      <c r="G329" s="528"/>
      <c r="H329" s="148" t="s">
        <v>12</v>
      </c>
      <c r="I329" s="162"/>
      <c r="J329" s="162"/>
      <c r="K329" s="163"/>
      <c r="L329" s="151">
        <f ca="1">กำแพงเพชร!L329+เชียงราย!L329+เชียงใหม่!L329+ตาก!L329+นครสวรรค์!L329+น่าน!L329+พะเยา!L329+พิจิตร!L329+พิษณุโลก!L329+เพชรบูรณ์!L329+แพร่!L329+แม่ฮ่องสอน!L329+ลำปาง!L329+ลำพูน!L329+สุโขทัย!L329+อุตรดิตถ์!L329+อุทัยธานี!L329</f>
        <v>17641110</v>
      </c>
      <c r="M329" s="151">
        <f ca="1">กำแพงเพชร!M329+เชียงราย!M329+เชียงใหม่!M329+ตาก!M329+นครสวรรค์!M329+น่าน!M329+พะเยา!M329+พิจิตร!M329+พิษณุโลก!M329+เพชรบูรณ์!M329+แพร่!M329+แม่ฮ่องสอน!M329+ลำปาง!M329+ลำพูน!M329+สุโขทัย!M329+อุตรดิตถ์!M329+อุทัยธานี!M329</f>
        <v>9926210</v>
      </c>
      <c r="N329" s="151">
        <f ca="1">กำแพงเพชร!N329+เชียงราย!N329+เชียงใหม่!N329+ตาก!N329+นครสวรรค์!N329+น่าน!N329+พะเยา!N329+พิจิตร!N329+พิษณุโลก!N329+เพชรบูรณ์!N329+แพร่!N329+แม่ฮ่องสอน!N329+ลำปาง!N329+ลำพูน!N329+สุโขทัย!N329+อุตรดิตถ์!N329+อุทัยธานี!N329</f>
        <v>7444847</v>
      </c>
      <c r="O329" s="150">
        <f t="shared" ref="O329:O331" ca="1" si="70">IF(L329&gt;0,N329*100/L329,0)</f>
        <v>42.201692523883132</v>
      </c>
      <c r="P329" s="150">
        <f t="shared" ref="P329:P331" ca="1" si="71">IF(M329&gt;0,N329*100/M329,0)</f>
        <v>75.001909087154104</v>
      </c>
    </row>
    <row r="330" spans="1:16" ht="21.75" customHeight="1" x14ac:dyDescent="0.45">
      <c r="A330" s="152"/>
      <c r="B330" s="32"/>
      <c r="C330" s="32"/>
      <c r="D330" s="32"/>
      <c r="E330" s="32"/>
      <c r="F330" s="32"/>
      <c r="G330" s="33" t="s">
        <v>18</v>
      </c>
      <c r="H330" s="153" t="s">
        <v>12</v>
      </c>
      <c r="I330" s="162"/>
      <c r="J330" s="162"/>
      <c r="K330" s="163"/>
      <c r="L330" s="87">
        <f>กำแพงเพชร!L330+เชียงราย!L330+เชียงใหม่!L330+ตาก!L330+นครสวรรค์!L330+น่าน!L330+พะเยา!L330+พิจิตร!L330+พิษณุโลก!L330+เพชรบูรณ์!L330+แพร่!L330+แม่ฮ่องสอน!L330+ลำปาง!L330+ลำพูน!L330+สุโขทัย!L330+อุตรดิตถ์!L330+อุทัยธานี!L330</f>
        <v>0</v>
      </c>
      <c r="M330" s="87">
        <f>กำแพงเพชร!M330+เชียงราย!M330+เชียงใหม่!M330+ตาก!M330+นครสวรรค์!M330+น่าน!M330+พะเยา!M330+พิจิตร!M330+พิษณุโลก!M330+เพชรบูรณ์!M330+แพร่!M330+แม่ฮ่องสอน!M330+ลำปาง!M330+ลำพูน!M330+สุโขทัย!M330+อุตรดิตถ์!M330+อุทัยธานี!M330</f>
        <v>0</v>
      </c>
      <c r="N330" s="87">
        <f>กำแพงเพชร!N330+เชียงราย!N330+เชียงใหม่!N330+ตาก!N330+นครสวรรค์!N330+น่าน!N330+พะเยา!N330+พิจิตร!N330+พิษณุโลก!N330+เพชรบูรณ์!N330+แพร่!N330+แม่ฮ่องสอน!N330+ลำปาง!N330+ลำพูน!N330+สุโขทัย!N330+อุตรดิตถ์!N330+อุทัยธานี!N330</f>
        <v>0</v>
      </c>
      <c r="O330" s="155">
        <f t="shared" si="70"/>
        <v>0</v>
      </c>
      <c r="P330" s="155">
        <f t="shared" si="71"/>
        <v>0</v>
      </c>
    </row>
    <row r="331" spans="1:16" ht="21.75" customHeight="1" x14ac:dyDescent="0.45">
      <c r="A331" s="152"/>
      <c r="B331" s="32"/>
      <c r="C331" s="32"/>
      <c r="D331" s="32"/>
      <c r="E331" s="32"/>
      <c r="F331" s="32"/>
      <c r="G331" s="33" t="s">
        <v>19</v>
      </c>
      <c r="H331" s="153" t="s">
        <v>12</v>
      </c>
      <c r="I331" s="162"/>
      <c r="J331" s="162"/>
      <c r="K331" s="163"/>
      <c r="L331" s="87">
        <f ca="1">กำแพงเพชร!L331+เชียงราย!L331+เชียงใหม่!L331+ตาก!L331+นครสวรรค์!L331+น่าน!L331+พะเยา!L331+พิจิตร!L331+พิษณุโลก!L331+เพชรบูรณ์!L331+แพร่!L331+แม่ฮ่องสอน!L331+ลำปาง!L331+ลำพูน!L331+สุโขทัย!L331+อุตรดิตถ์!L331+อุทัยธานี!L331</f>
        <v>17641110</v>
      </c>
      <c r="M331" s="87">
        <f ca="1">กำแพงเพชร!M331+เชียงราย!M331+เชียงใหม่!M331+ตาก!M331+นครสวรรค์!M331+น่าน!M331+พะเยา!M331+พิจิตร!M331+พิษณุโลก!M331+เพชรบูรณ์!M331+แพร่!M331+แม่ฮ่องสอน!M331+ลำปาง!M331+ลำพูน!M331+สุโขทัย!M331+อุตรดิตถ์!M331+อุทัยธานี!M331</f>
        <v>9926210</v>
      </c>
      <c r="N331" s="87">
        <f ca="1">กำแพงเพชร!N331+เชียงราย!N331+เชียงใหม่!N331+ตาก!N331+นครสวรรค์!N331+น่าน!N331+พะเยา!N331+พิจิตร!N331+พิษณุโลก!N331+เพชรบูรณ์!N331+แพร่!N331+แม่ฮ่องสอน!N331+ลำปาง!N331+ลำพูน!N331+สุโขทัย!N331+อุตรดิตถ์!N331+อุทัยธานี!N331</f>
        <v>7444847</v>
      </c>
      <c r="O331" s="155">
        <f t="shared" ca="1" si="70"/>
        <v>42.201692523883132</v>
      </c>
      <c r="P331" s="155">
        <f t="shared" ca="1" si="71"/>
        <v>75.001909087154104</v>
      </c>
    </row>
    <row r="332" spans="1:16" ht="21.75" customHeight="1" x14ac:dyDescent="0.3">
      <c r="A332" s="156"/>
      <c r="B332" s="157"/>
      <c r="C332" s="157" t="s">
        <v>16</v>
      </c>
      <c r="D332" s="158" t="s">
        <v>38</v>
      </c>
      <c r="E332" s="159"/>
      <c r="F332" s="159"/>
      <c r="G332" s="160" t="s">
        <v>39</v>
      </c>
      <c r="H332" s="161" t="s">
        <v>12</v>
      </c>
      <c r="I332" s="162" t="s">
        <v>40</v>
      </c>
      <c r="J332" s="162"/>
      <c r="K332" s="163"/>
      <c r="L332" s="164">
        <f>กำแพงเพชร!L332+เชียงราย!L332+เชียงใหม่!L332+ตาก!L332+นครสวรรค์!L332+น่าน!L332+พะเยา!L332+พิจิตร!L332+พิษณุโลก!L332+เพชรบูรณ์!L332+แพร่!L332+แม่ฮ่องสอน!L332+ลำปาง!L332+ลำพูน!L332+สุโขทัย!L332+อุตรดิตถ์!L332+อุทัยธานี!L332</f>
        <v>0</v>
      </c>
      <c r="M332" s="164">
        <f>กำแพงเพชร!M332+เชียงราย!M332+เชียงใหม่!M332+ตาก!M332+นครสวรรค์!M332+น่าน!M332+พะเยา!M332+พิจิตร!M332+พิษณุโลก!M332+เพชรบูรณ์!M332+แพร่!M332+แม่ฮ่องสอน!M332+ลำปาง!M332+ลำพูน!M332+สุโขทัย!M332+อุตรดิตถ์!M332+อุทัยธานี!M332</f>
        <v>0</v>
      </c>
      <c r="N332" s="164">
        <f>กำแพงเพชร!N332+เชียงราย!N332+เชียงใหม่!N332+ตาก!N332+นครสวรรค์!N332+น่าน!N332+พะเยา!N332+พิจิตร!N332+พิษณุโลก!N332+เพชรบูรณ์!N332+แพร่!N332+แม่ฮ่องสอน!N332+ลำปาง!N332+ลำพูน!N332+สุโขทัย!N332+อุตรดิตถ์!N332+อุทัยธานี!N332</f>
        <v>0</v>
      </c>
      <c r="O332" s="165">
        <f>+IF(L332&gt;0,N332*100/L332,0)</f>
        <v>0</v>
      </c>
      <c r="P332" s="165"/>
    </row>
    <row r="333" spans="1:16" ht="21.75" customHeight="1" x14ac:dyDescent="0.3">
      <c r="A333" s="156"/>
      <c r="B333" s="157"/>
      <c r="C333" s="157"/>
      <c r="D333" s="166"/>
      <c r="E333" s="159"/>
      <c r="F333" s="159" t="s">
        <v>40</v>
      </c>
      <c r="G333" s="160" t="s">
        <v>41</v>
      </c>
      <c r="H333" s="161" t="s">
        <v>12</v>
      </c>
      <c r="I333" s="162"/>
      <c r="J333" s="162"/>
      <c r="K333" s="163"/>
      <c r="L333" s="167">
        <f ca="1">กำแพงเพชร!L333+เชียงราย!L333+เชียงใหม่!L333+ตาก!L333+นครสวรรค์!L333+น่าน!L333+พะเยา!L333+พิจิตร!L333+พิษณุโลก!L333+เพชรบูรณ์!L333+แพร่!L333+แม่ฮ่องสอน!L333+ลำปาง!L333+ลำพูน!L333+สุโขทัย!L333+อุตรดิตถ์!L333+อุทัยธานี!L333</f>
        <v>16835290</v>
      </c>
      <c r="M333" s="167">
        <f ca="1">กำแพงเพชร!M333+เชียงราย!M333+เชียงใหม่!M333+ตาก!M333+นครสวรรค์!M333+น่าน!M333+พะเยา!M333+พิจิตร!M333+พิษณุโลก!M333+เพชรบูรณ์!M333+แพร่!M333+แม่ฮ่องสอน!M333+ลำปาง!M333+ลำพูน!M333+สุโขทัย!M333+อุตรดิตถ์!M333+อุทัยธานี!M333</f>
        <v>9120390</v>
      </c>
      <c r="N333" s="168">
        <f ca="1">กำแพงเพชร!N333+เชียงราย!N333+เชียงใหม่!N333+ตาก!N333+นครสวรรค์!N333+น่าน!N333+พะเยา!N333+พิจิตร!N333+พิษณุโลก!N333+เพชรบูรณ์!N333+แพร่!N333+แม่ฮ่องสอน!N333+ลำปาง!N333+ลำพูน!N333+สุโขทัย!N333+อุตรดิตถ์!N333+อุทัยธานี!N333</f>
        <v>6639027</v>
      </c>
      <c r="O333" s="168">
        <f ca="1">IF(L333&gt;0,N333*100/L333,0)</f>
        <v>39.435180504761128</v>
      </c>
      <c r="P333" s="168">
        <f ca="1">IF(M333&gt;0,N333*100/M333,0)</f>
        <v>72.793235815573681</v>
      </c>
    </row>
    <row r="334" spans="1:16" ht="21.75" customHeight="1" x14ac:dyDescent="0.3">
      <c r="A334" s="156"/>
      <c r="B334" s="157"/>
      <c r="C334" s="157"/>
      <c r="D334" s="166"/>
      <c r="E334" s="159"/>
      <c r="F334" s="159"/>
      <c r="G334" s="169" t="s">
        <v>42</v>
      </c>
      <c r="H334" s="161" t="s">
        <v>12</v>
      </c>
      <c r="I334" s="162"/>
      <c r="J334" s="162"/>
      <c r="K334" s="163"/>
      <c r="L334" s="167">
        <f ca="1">กำแพงเพชร!L334+เชียงราย!L334+เชียงใหม่!L334+ตาก!L334+นครสวรรค์!L334+น่าน!L334+พะเยา!L334+พิจิตร!L334+พิษณุโลก!L334+เพชรบูรณ์!L334+แพร่!L334+แม่ฮ่องสอน!L334+ลำปาง!L334+ลำพูน!L334+สุโขทัย!L334+อุตรดิตถ์!L334+อุทัยธานี!L334</f>
        <v>8633300</v>
      </c>
      <c r="M334" s="167"/>
      <c r="N334" s="167"/>
      <c r="O334" s="168"/>
      <c r="P334" s="168"/>
    </row>
    <row r="335" spans="1:16" ht="21.75" customHeight="1" x14ac:dyDescent="0.3">
      <c r="A335" s="156"/>
      <c r="B335" s="157"/>
      <c r="C335" s="157"/>
      <c r="D335" s="166"/>
      <c r="E335" s="159"/>
      <c r="F335" s="159"/>
      <c r="G335" s="169" t="s">
        <v>43</v>
      </c>
      <c r="H335" s="161" t="s">
        <v>12</v>
      </c>
      <c r="I335" s="162"/>
      <c r="J335" s="162"/>
      <c r="K335" s="163"/>
      <c r="L335" s="167">
        <f ca="1">กำแพงเพชร!L335+เชียงราย!L335+เชียงใหม่!L335+ตาก!L335+นครสวรรค์!L335+น่าน!L335+พะเยา!L335+พิจิตร!L335+พิษณุโลก!L335+เพชรบูรณ์!L335+แพร่!L335+แม่ฮ่องสอน!L335+ลำปาง!L335+ลำพูน!L335+สุโขทัย!L335+อุตรดิตถ์!L335+อุทัยธานี!L335</f>
        <v>8201990</v>
      </c>
      <c r="M335" s="167"/>
      <c r="N335" s="167"/>
      <c r="O335" s="168"/>
      <c r="P335" s="168"/>
    </row>
    <row r="336" spans="1:16" ht="21.75" customHeight="1" x14ac:dyDescent="0.45">
      <c r="A336" s="170"/>
      <c r="B336" s="80"/>
      <c r="C336" s="81" t="s">
        <v>16</v>
      </c>
      <c r="D336" s="534" t="s">
        <v>23</v>
      </c>
      <c r="E336" s="530"/>
      <c r="F336" s="88"/>
      <c r="G336" s="82" t="s">
        <v>18</v>
      </c>
      <c r="H336" s="171" t="s">
        <v>12</v>
      </c>
      <c r="I336" s="162"/>
      <c r="J336" s="162"/>
      <c r="K336" s="163"/>
      <c r="L336" s="41">
        <f>กำแพงเพชร!L336+เชียงราย!L336+เชียงใหม่!L336+ตาก!L336+นครสวรรค์!L336+น่าน!L336+พะเยา!L336+พิจิตร!L336+พิษณุโลก!L336+เพชรบูรณ์!L336+แพร่!L336+แม่ฮ่องสอน!L336+ลำปาง!L336+ลำพูน!L336+สุโขทัย!L336+อุตรดิตถ์!L336+อุทัยธานี!L336</f>
        <v>0</v>
      </c>
      <c r="M336" s="41"/>
      <c r="N336" s="41"/>
      <c r="O336" s="41"/>
      <c r="P336" s="41"/>
    </row>
    <row r="337" spans="1:16" ht="21.75" customHeight="1" x14ac:dyDescent="0.45">
      <c r="A337" s="172"/>
      <c r="B337" s="91"/>
      <c r="C337" s="91"/>
      <c r="D337" s="173"/>
      <c r="E337" s="92"/>
      <c r="F337" s="92"/>
      <c r="G337" s="93" t="s">
        <v>19</v>
      </c>
      <c r="H337" s="174" t="s">
        <v>12</v>
      </c>
      <c r="I337" s="162"/>
      <c r="J337" s="162"/>
      <c r="K337" s="163"/>
      <c r="L337" s="49">
        <f ca="1">กำแพงเพชร!L337+เชียงราย!L337+เชียงใหม่!L337+ตาก!L337+นครสวรรค์!L337+น่าน!L337+พะเยา!L337+พิจิตร!L337+พิษณุโลก!L337+เพชรบูรณ์!L337+แพร่!L337+แม่ฮ่องสอน!L337+ลำปาง!L337+ลำพูน!L337+สุโขทัย!L337+อุตรดิตถ์!L337+อุทัยธานี!L337</f>
        <v>805820</v>
      </c>
      <c r="M337" s="49">
        <f ca="1">L337</f>
        <v>805820</v>
      </c>
      <c r="N337" s="49">
        <f ca="1">กำแพงเพชร!N337+เชียงราย!N337+เชียงใหม่!N337+ตาก!N337+นครสวรรค์!N337+น่าน!N337+พะเยา!N337+พิจิตร!N337+พิษณุโลก!N337+เพชรบูรณ์!N337+แพร่!N337+แม่ฮ่องสอน!N337+ลำปาง!N337+ลำพูน!N337+สุโขทัย!N337+อุตรดิตถ์!N337+อุทัยธานี!N337</f>
        <v>805820</v>
      </c>
      <c r="O337" s="49">
        <f ca="1">IF(L337&gt;0,N337*100/L337,0)</f>
        <v>100</v>
      </c>
      <c r="P337" s="49">
        <f ca="1">IF(M337&gt;0,N337*100/M337,0)</f>
        <v>100</v>
      </c>
    </row>
    <row r="338" spans="1:16" ht="21.75" customHeight="1" x14ac:dyDescent="0.3">
      <c r="A338" s="175"/>
      <c r="B338" s="289"/>
      <c r="C338" s="338" t="s">
        <v>120</v>
      </c>
      <c r="D338" s="195"/>
      <c r="E338" s="195"/>
      <c r="F338" s="195"/>
      <c r="G338" s="196"/>
      <c r="H338" s="180"/>
      <c r="I338" s="339"/>
      <c r="J338" s="339"/>
      <c r="K338" s="340"/>
      <c r="L338" s="181"/>
      <c r="M338" s="181"/>
      <c r="N338" s="181"/>
      <c r="O338" s="341"/>
      <c r="P338" s="341"/>
    </row>
    <row r="339" spans="1:16" ht="21.75" customHeight="1" x14ac:dyDescent="0.3">
      <c r="A339" s="175"/>
      <c r="B339" s="289"/>
      <c r="C339" s="176"/>
      <c r="D339" s="195"/>
      <c r="E339" s="194" t="s">
        <v>121</v>
      </c>
      <c r="F339" s="195"/>
      <c r="G339" s="196"/>
      <c r="H339" s="342" t="s">
        <v>37</v>
      </c>
      <c r="I339" s="203">
        <f ca="1">กำแพงเพชร!I339+เชียงราย!I339+เชียงใหม่!I339+ตาก!I339+นครสวรรค์!I339+น่าน!I339+พะเยา!I339+พิจิตร!I339+พิษณุโลก!I339+เพชรบูรณ์!I339+แพร่!I339+แม่ฮ่องสอน!I339+ลำปาง!I339+ลำพูน!I339+สุโขทัย!I339+อุตรดิตถ์!I339+อุทัยธานี!I339</f>
        <v>0</v>
      </c>
      <c r="J339" s="187">
        <f ca="1">กำแพงเพชร!J339+เชียงราย!J339+เชียงใหม่!J339+ตาก!J339+นครสวรรค์!J339+น่าน!J339+พะเยา!J339+พิจิตร!J339+พิษณุโลก!J339+เพชรบูรณ์!J339+แพร่!J339+แม่ฮ่องสอน!J339+ลำปาง!J339+ลำพูน!J339+สุโขทัย!J339+อุตรดิตถ์!J339+อุทัยธานี!J339</f>
        <v>1713</v>
      </c>
      <c r="K339" s="340">
        <f t="shared" ref="K339:K346" ca="1" si="72">IF(I339&gt;0,J339*100/I339,0)</f>
        <v>0</v>
      </c>
      <c r="L339" s="181"/>
      <c r="M339" s="181"/>
      <c r="N339" s="181"/>
      <c r="O339" s="341"/>
      <c r="P339" s="341"/>
    </row>
    <row r="340" spans="1:16" ht="21.75" customHeight="1" x14ac:dyDescent="0.3">
      <c r="A340" s="175"/>
      <c r="B340" s="289"/>
      <c r="C340" s="176"/>
      <c r="D340" s="195"/>
      <c r="E340" s="195"/>
      <c r="F340" s="195"/>
      <c r="G340" s="196"/>
      <c r="H340" s="342" t="s">
        <v>122</v>
      </c>
      <c r="I340" s="187">
        <f ca="1">กำแพงเพชร!I340+เชียงราย!I340+เชียงใหม่!I340+ตาก!I340+นครสวรรค์!I340+น่าน!I340+พะเยา!I340+พิจิตร!I340+พิษณุโลก!I340+เพชรบูรณ์!I340+แพร่!I340+แม่ฮ่องสอน!I340+ลำปาง!I340+ลำพูน!I340+สุโขทัย!I340+อุตรดิตถ์!I340+อุทัยธานี!I340</f>
        <v>41170</v>
      </c>
      <c r="J340" s="187">
        <f ca="1">กำแพงเพชร!J340+เชียงราย!J340+เชียงใหม่!J340+ตาก!J340+นครสวรรค์!J340+น่าน!J340+พะเยา!J340+พิจิตร!J340+พิษณุโลก!J340+เพชรบูรณ์!J340+แพร่!J340+แม่ฮ่องสอน!J340+ลำปาง!J340+ลำพูน!J340+สุโขทัย!J340+อุตรดิตถ์!J340+อุทัยธานี!J340</f>
        <v>12760.379999999988</v>
      </c>
      <c r="K340" s="340">
        <f t="shared" ca="1" si="72"/>
        <v>30.994364828758776</v>
      </c>
      <c r="L340" s="181"/>
      <c r="M340" s="181"/>
      <c r="N340" s="181"/>
      <c r="O340" s="341"/>
      <c r="P340" s="341"/>
    </row>
    <row r="341" spans="1:16" ht="21.75" customHeight="1" x14ac:dyDescent="0.3">
      <c r="A341" s="175"/>
      <c r="B341" s="289"/>
      <c r="C341" s="176"/>
      <c r="D341" s="195"/>
      <c r="E341" s="194" t="s">
        <v>123</v>
      </c>
      <c r="F341" s="195"/>
      <c r="G341" s="196"/>
      <c r="H341" s="180" t="s">
        <v>37</v>
      </c>
      <c r="I341" s="187">
        <f ca="1">กำแพงเพชร!I341+เชียงราย!I341+เชียงใหม่!I341+ตาก!I341+นครสวรรค์!I341+น่าน!I341+พะเยา!I341+พิจิตร!I341+พิษณุโลก!I341+เพชรบูรณ์!I341+แพร่!I341+แม่ฮ่องสอน!I341+ลำปาง!I341+ลำพูน!I341+สุโขทัย!I341+อุตรดิตถ์!I341+อุทัยธานี!I341</f>
        <v>6310</v>
      </c>
      <c r="J341" s="187">
        <f ca="1">กำแพงเพชร!J341+เชียงราย!J341+เชียงใหม่!J341+ตาก!J341+นครสวรรค์!J341+น่าน!J341+พะเยา!J341+พิจิตร!J341+พิษณุโลก!J341+เพชรบูรณ์!J341+แพร่!J341+แม่ฮ่องสอน!J341+ลำปาง!J341+ลำพูน!J341+สุโขทัย!J341+อุตรดิตถ์!J341+อุทัยธานี!J341</f>
        <v>2128</v>
      </c>
      <c r="K341" s="340">
        <f t="shared" ca="1" si="72"/>
        <v>33.724247226624406</v>
      </c>
      <c r="L341" s="181"/>
      <c r="M341" s="181"/>
      <c r="N341" s="181"/>
      <c r="O341" s="341"/>
      <c r="P341" s="341"/>
    </row>
    <row r="342" spans="1:16" ht="21.75" customHeight="1" x14ac:dyDescent="0.3">
      <c r="A342" s="175"/>
      <c r="B342" s="289"/>
      <c r="C342" s="176"/>
      <c r="D342" s="195"/>
      <c r="E342" s="195"/>
      <c r="F342" s="195"/>
      <c r="G342" s="196"/>
      <c r="H342" s="180" t="s">
        <v>122</v>
      </c>
      <c r="I342" s="343">
        <f ca="1">กำแพงเพชร!I342+เชียงราย!I342+เชียงใหม่!I342+ตาก!I342+นครสวรรค์!I342+น่าน!I342+พะเยา!I342+พิจิตร!I342+พิษณุโลก!I342+เพชรบูรณ์!I342+แพร่!I342+แม่ฮ่องสอน!I342+ลำปาง!I342+ลำพูน!I342+สุโขทัย!I342+อุตรดิตถ์!I342+อุทัยธานี!I342</f>
        <v>0</v>
      </c>
      <c r="J342" s="187">
        <f ca="1">กำแพงเพชร!J342+เชียงราย!J342+เชียงใหม่!J342+ตาก!J342+นครสวรรค์!J342+น่าน!J342+พะเยา!J342+พิจิตร!J342+พิษณุโลก!J342+เพชรบูรณ์!J342+แพร่!J342+แม่ฮ่องสอน!J342+ลำปาง!J342+ลำพูน!J342+สุโขทัย!J342+อุตรดิตถ์!J342+อุทัยธานี!J342</f>
        <v>19665.34</v>
      </c>
      <c r="K342" s="340">
        <f t="shared" ca="1" si="72"/>
        <v>0</v>
      </c>
      <c r="L342" s="181"/>
      <c r="M342" s="181"/>
      <c r="N342" s="181"/>
      <c r="O342" s="341"/>
      <c r="P342" s="341"/>
    </row>
    <row r="343" spans="1:16" ht="21.75" customHeight="1" x14ac:dyDescent="0.3">
      <c r="A343" s="175"/>
      <c r="B343" s="289"/>
      <c r="C343" s="176"/>
      <c r="D343" s="195"/>
      <c r="E343" s="194" t="s">
        <v>124</v>
      </c>
      <c r="F343" s="195"/>
      <c r="G343" s="196"/>
      <c r="H343" s="180" t="s">
        <v>37</v>
      </c>
      <c r="I343" s="187">
        <f ca="1">กำแพงเพชร!I343+เชียงราย!I343+เชียงใหม่!I343+ตาก!I343+นครสวรรค์!I343+น่าน!I343+พะเยา!I343+พิจิตร!I343+พิษณุโลก!I343+เพชรบูรณ์!I343+แพร่!I343+แม่ฮ่องสอน!I343+ลำปาง!I343+ลำพูน!I343+สุโขทัย!I343+อุตรดิตถ์!I343+อุทัยธานี!I343</f>
        <v>6310</v>
      </c>
      <c r="J343" s="187">
        <f ca="1">กำแพงเพชร!J343+เชียงราย!J343+เชียงใหม่!J343+ตาก!J343+นครสวรรค์!J343+น่าน!J343+พะเยา!J343+พิจิตร!J343+พิษณุโลก!J343+เพชรบูรณ์!J343+แพร่!J343+แม่ฮ่องสอน!J343+ลำปาง!J343+ลำพูน!J343+สุโขทัย!J343+อุตรดิตถ์!J343+อุทัยธานี!J343</f>
        <v>72</v>
      </c>
      <c r="K343" s="340">
        <f t="shared" ca="1" si="72"/>
        <v>1.1410459587955626</v>
      </c>
      <c r="L343" s="181"/>
      <c r="M343" s="181"/>
      <c r="N343" s="181"/>
      <c r="O343" s="341"/>
      <c r="P343" s="341"/>
    </row>
    <row r="344" spans="1:16" ht="21.75" customHeight="1" x14ac:dyDescent="0.3">
      <c r="A344" s="175"/>
      <c r="B344" s="289"/>
      <c r="C344" s="176"/>
      <c r="D344" s="195"/>
      <c r="E344" s="195"/>
      <c r="F344" s="195"/>
      <c r="G344" s="196"/>
      <c r="H344" s="180" t="s">
        <v>122</v>
      </c>
      <c r="I344" s="343">
        <f ca="1">กำแพงเพชร!I344+เชียงราย!I344+เชียงใหม่!I344+ตาก!I344+นครสวรรค์!I344+น่าน!I344+พะเยา!I344+พิจิตร!I344+พิษณุโลก!I344+เพชรบูรณ์!I344+แพร่!I344+แม่ฮ่องสอน!I344+ลำปาง!I344+ลำพูน!I344+สุโขทัย!I344+อุตรดิตถ์!I344+อุทัยธานี!I344</f>
        <v>0</v>
      </c>
      <c r="J344" s="187">
        <f ca="1">กำแพงเพชร!J344+เชียงราย!J344+เชียงใหม่!J344+ตาก!J344+นครสวรรค์!J344+น่าน!J344+พะเยา!J344+พิจิตร!J344+พิษณุโลก!J344+เพชรบูรณ์!J344+แพร่!J344+แม่ฮ่องสอน!J344+ลำปาง!J344+ลำพูน!J344+สุโขทัย!J344+อุตรดิตถ์!J344+อุทัยธานี!J344</f>
        <v>717.96</v>
      </c>
      <c r="K344" s="340">
        <f t="shared" ca="1" si="72"/>
        <v>0</v>
      </c>
      <c r="L344" s="181"/>
      <c r="M344" s="181"/>
      <c r="N344" s="181"/>
      <c r="O344" s="341"/>
      <c r="P344" s="341"/>
    </row>
    <row r="345" spans="1:16" ht="21.75" customHeight="1" x14ac:dyDescent="0.3">
      <c r="A345" s="175"/>
      <c r="B345" s="289"/>
      <c r="C345" s="176"/>
      <c r="D345" s="195"/>
      <c r="E345" s="194" t="s">
        <v>125</v>
      </c>
      <c r="F345" s="195"/>
      <c r="G345" s="196"/>
      <c r="H345" s="180" t="s">
        <v>37</v>
      </c>
      <c r="I345" s="187">
        <f ca="1">กำแพงเพชร!I345+เชียงราย!I345+เชียงใหม่!I345+ตาก!I345+นครสวรรค์!I345+น่าน!I345+พะเยา!I345+พิจิตร!I345+พิษณุโลก!I345+เพชรบูรณ์!I345+แพร่!I345+แม่ฮ่องสอน!I345+ลำปาง!I345+ลำพูน!I345+สุโขทัย!I345+อุตรดิตถ์!I345+อุทัยธานี!I345</f>
        <v>6310</v>
      </c>
      <c r="J345" s="187">
        <f ca="1">กำแพงเพชร!J345+เชียงราย!J345+เชียงใหม่!J345+ตาก!J345+นครสวรรค์!J345+น่าน!J345+พะเยา!J345+พิจิตร!J345+พิษณุโลก!J345+เพชรบูรณ์!J345+แพร่!J345+แม่ฮ่องสอน!J345+ลำปาง!J345+ลำพูน!J345+สุโขทัย!J345+อุตรดิตถ์!J345+อุทัยธานี!J345</f>
        <v>1051</v>
      </c>
      <c r="K345" s="340">
        <f t="shared" ca="1" si="72"/>
        <v>16.656101426307448</v>
      </c>
      <c r="L345" s="181"/>
      <c r="M345" s="181"/>
      <c r="N345" s="181"/>
      <c r="O345" s="341"/>
      <c r="P345" s="341"/>
    </row>
    <row r="346" spans="1:16" ht="21.75" customHeight="1" x14ac:dyDescent="0.3">
      <c r="A346" s="233"/>
      <c r="B346" s="344"/>
      <c r="C346" s="234"/>
      <c r="D346" s="344"/>
      <c r="E346" s="345"/>
      <c r="F346" s="345"/>
      <c r="G346" s="346"/>
      <c r="H346" s="347" t="s">
        <v>122</v>
      </c>
      <c r="I346" s="348">
        <f ca="1">กำแพงเพชร!I346+เชียงราย!I346+เชียงใหม่!I346+ตาก!I346+นครสวรรค์!I346+น่าน!I346+พะเยา!I346+พิจิตร!I346+พิษณุโลก!I346+เพชรบูรณ์!I346+แพร่!I346+แม่ฮ่องสอน!I346+ลำปาง!I346+ลำพูน!I346+สุโขทัย!I346+อุตรดิตถ์!I346+อุทัยธานี!I346</f>
        <v>0</v>
      </c>
      <c r="J346" s="187">
        <f ca="1">กำแพงเพชร!J346+เชียงราย!J346+เชียงใหม่!J346+ตาก!J346+นครสวรรค์!J346+น่าน!J346+พะเยา!J346+พิจิตร!J346+พิษณุโลก!J346+เพชรบูรณ์!J346+แพร่!J346+แม่ฮ่องสอน!J346+ลำปาง!J346+ลำพูน!J346+สุโขทัย!J346+อุตรดิตถ์!J346+อุทัยธานี!J346</f>
        <v>9237.8100000000013</v>
      </c>
      <c r="K346" s="349">
        <f t="shared" ca="1" si="72"/>
        <v>0</v>
      </c>
      <c r="L346" s="244"/>
      <c r="M346" s="244"/>
      <c r="N346" s="244"/>
      <c r="O346" s="350"/>
      <c r="P346" s="350"/>
    </row>
    <row r="347" spans="1:16" ht="21.75" customHeight="1" x14ac:dyDescent="0.3">
      <c r="A347" s="351" t="s">
        <v>126</v>
      </c>
      <c r="B347" s="352"/>
      <c r="C347" s="352"/>
      <c r="D347" s="352"/>
      <c r="E347" s="352"/>
      <c r="F347" s="352"/>
      <c r="G347" s="353"/>
      <c r="H347" s="354"/>
      <c r="I347" s="355"/>
      <c r="J347" s="355"/>
      <c r="K347" s="356"/>
      <c r="L347" s="356">
        <f ca="1">กำแพงเพชร!L347+เชียงราย!L347+เชียงใหม่!L347+ตาก!L347+นครสวรรค์!L347+น่าน!L347+พะเยา!L347+พิจิตร!L347+พิษณุโลก!L347+เพชรบูรณ์!L347+แพร่!L347+แม่ฮ่องสอน!L347+ลำปาง!L347+ลำพูน!L347+สุโขทัย!L347+อุตรดิตถ์!L347+อุทัยธานี!L347</f>
        <v>39708784</v>
      </c>
      <c r="M347" s="356"/>
      <c r="N347" s="356">
        <f ca="1">กำแพงเพชร!N347+เชียงราย!N347+เชียงใหม่!N347+ตาก!N347+นครสวรรค์!N347+น่าน!N347+พะเยา!N347+พิจิตร!N347+พิษณุโลก!N347+เพชรบูรณ์!N347+แพร่!N347+แม่ฮ่องสอน!N347+ลำปาง!N347+ลำพูน!N347+สุโขทัย!N347+อุตรดิตถ์!N347+อุทัยธานี!N347</f>
        <v>7896520.9499999993</v>
      </c>
      <c r="O347" s="356">
        <f ca="1">+IF(L347&gt;0,N347*100/L347,0)</f>
        <v>19.886080999105886</v>
      </c>
      <c r="P347" s="356"/>
    </row>
    <row r="348" spans="1:16" ht="21.75" customHeight="1" x14ac:dyDescent="0.3">
      <c r="A348" s="357" t="s">
        <v>127</v>
      </c>
      <c r="B348" s="358"/>
      <c r="C348" s="358"/>
      <c r="D348" s="358"/>
      <c r="E348" s="358"/>
      <c r="F348" s="358"/>
      <c r="G348" s="359"/>
      <c r="H348" s="360"/>
      <c r="I348" s="361"/>
      <c r="J348" s="361"/>
      <c r="K348" s="362"/>
      <c r="L348" s="362"/>
      <c r="M348" s="362"/>
      <c r="N348" s="362"/>
      <c r="O348" s="363"/>
      <c r="P348" s="363"/>
    </row>
    <row r="349" spans="1:16" ht="21.75" customHeight="1" x14ac:dyDescent="0.3">
      <c r="A349" s="364"/>
      <c r="B349" s="365">
        <v>1</v>
      </c>
      <c r="C349" s="366" t="s">
        <v>128</v>
      </c>
      <c r="D349" s="366"/>
      <c r="E349" s="366"/>
      <c r="F349" s="366"/>
      <c r="G349" s="367"/>
      <c r="H349" s="368" t="s">
        <v>122</v>
      </c>
      <c r="I349" s="369">
        <f ca="1">กำแพงเพชร!I349+เชียงราย!I349+เชียงใหม่!I349+ตาก!I349+นครสวรรค์!I349+น่าน!I349+พะเยา!I349+พิจิตร!I349+พิษณุโลก!I349+เพชรบูรณ์!I349+แพร่!I349+แม่ฮ่องสอน!I349+ลำปาง!I349+ลำพูน!I349+สุโขทัย!I349+อุตรดิตถ์!I349+อุทัยธานี!I349</f>
        <v>1850</v>
      </c>
      <c r="J349" s="369">
        <f ca="1">กำแพงเพชร!J349+เชียงราย!J349+เชียงใหม่!J349+ตาก!J349+นครสวรรค์!J349+น่าน!J349+พะเยา!J349+พิจิตร!J349+พิษณุโลก!J349+เพชรบูรณ์!J349+แพร่!J349+แม่ฮ่องสอน!J349+ลำปาง!J349+ลำพูน!J349+สุโขทัย!J349+อุตรดิตถ์!J349+อุทัยธานี!J349</f>
        <v>460</v>
      </c>
      <c r="K349" s="370">
        <f t="shared" ref="K349:K350" ca="1" si="73">IF(I349&gt;0,J349*100/I349,0)</f>
        <v>24.864864864864863</v>
      </c>
      <c r="L349" s="371">
        <f ca="1">กำแพงเพชร!L349+เชียงราย!L349+เชียงใหม่!L349+ตาก!L349+นครสวรรค์!L349+น่าน!L349+พะเยา!L349+พิจิตร!L349+พิษณุโลก!L349+เพชรบูรณ์!L349+แพร่!L349+แม่ฮ่องสอน!L349+ลำปาง!L349+ลำพูน!L349+สุโขทัย!L349+อุตรดิตถ์!L349+อุทัยธานี!L349</f>
        <v>5304900</v>
      </c>
      <c r="M349" s="371"/>
      <c r="N349" s="371">
        <f ca="1">กำแพงเพชร!N349+เชียงราย!N349+เชียงใหม่!N349+ตาก!N349+นครสวรรค์!N349+น่าน!N349+พะเยา!N349+พิจิตร!N349+พิษณุโลก!N349+เพชรบูรณ์!N349+แพร่!N349+แม่ฮ่องสอน!N349+ลำปาง!N349+ลำพูน!N349+สุโขทัย!N349+อุตรดิตถ์!N349+อุทัยธานี!N349</f>
        <v>1728716.06</v>
      </c>
      <c r="O349" s="371">
        <f ca="1">+IF(L349&gt;0,N349*100/L349,0)</f>
        <v>32.58715640257121</v>
      </c>
      <c r="P349" s="371"/>
    </row>
    <row r="350" spans="1:16" ht="21.75" customHeight="1" x14ac:dyDescent="0.3">
      <c r="A350" s="364"/>
      <c r="B350" s="365"/>
      <c r="C350" s="366"/>
      <c r="D350" s="366"/>
      <c r="E350" s="366"/>
      <c r="F350" s="366"/>
      <c r="G350" s="367"/>
      <c r="H350" s="368" t="s">
        <v>37</v>
      </c>
      <c r="I350" s="369">
        <f ca="1">กำแพงเพชร!I350+เชียงราย!I350+เชียงใหม่!I350+ตาก!I350+นครสวรรค์!I350+น่าน!I350+พะเยา!I350+พิจิตร!I350+พิษณุโลก!I350+เพชรบูรณ์!I350+แพร่!I350+แม่ฮ่องสอน!I350+ลำปาง!I350+ลำพูน!I350+สุโขทัย!I350+อุตรดิตถ์!I350+อุทัยธานี!I350</f>
        <v>790</v>
      </c>
      <c r="J350" s="369">
        <f ca="1">กำแพงเพชร!J350+เชียงราย!J350+เชียงใหม่!J350+ตาก!J350+นครสวรรค์!J350+น่าน!J350+พะเยา!J350+พิจิตร!J350+พิษณุโลก!J350+เพชรบูรณ์!J350+แพร่!J350+แม่ฮ่องสอน!J350+ลำปาง!J350+ลำพูน!J350+สุโขทัย!J350+อุตรดิตถ์!J350+อุทัยธานี!J350</f>
        <v>390</v>
      </c>
      <c r="K350" s="370">
        <f t="shared" ca="1" si="73"/>
        <v>49.367088607594937</v>
      </c>
      <c r="L350" s="371"/>
      <c r="M350" s="371"/>
      <c r="N350" s="371"/>
      <c r="O350" s="371"/>
      <c r="P350" s="371"/>
    </row>
    <row r="351" spans="1:16" ht="21.75" customHeight="1" x14ac:dyDescent="0.3">
      <c r="A351" s="156"/>
      <c r="B351" s="157"/>
      <c r="C351" s="157" t="s">
        <v>16</v>
      </c>
      <c r="D351" s="158" t="s">
        <v>38</v>
      </c>
      <c r="E351" s="159"/>
      <c r="F351" s="159"/>
      <c r="G351" s="160" t="s">
        <v>39</v>
      </c>
      <c r="H351" s="161" t="s">
        <v>12</v>
      </c>
      <c r="I351" s="162" t="s">
        <v>40</v>
      </c>
      <c r="J351" s="162"/>
      <c r="K351" s="163"/>
      <c r="L351" s="164">
        <f ca="1">กำแพงเพชร!L351+เชียงราย!L351+เชียงใหม่!L351+ตาก!L351+นครสวรรค์!L351+น่าน!L351+พะเยา!L351+พิจิตร!L351+พิษณุโลก!L351+เพชรบูรณ์!L351+แพร่!L351+แม่ฮ่องสอน!L351+ลำปาง!L351+ลำพูน!L351+สุโขทัย!L351+อุตรดิตถ์!L351+อุทัยธานี!L351</f>
        <v>0</v>
      </c>
      <c r="M351" s="164"/>
      <c r="N351" s="164">
        <f ca="1">กำแพงเพชร!N351+เชียงราย!N351+เชียงใหม่!N351+ตาก!N351+นครสวรรค์!N351+น่าน!N351+พะเยา!N351+พิจิตร!N351+พิษณุโลก!N351+เพชรบูรณ์!N351+แพร่!N351+แม่ฮ่องสอน!N351+ลำปาง!N351+ลำพูน!N351+สุโขทัย!N351+อุตรดิตถ์!N351+อุทัยธานี!N351</f>
        <v>0</v>
      </c>
      <c r="O351" s="165">
        <f t="shared" ref="O351:O354" ca="1" si="74">+IF(L351&gt;0,N351*100/L351,0)</f>
        <v>0</v>
      </c>
      <c r="P351" s="165"/>
    </row>
    <row r="352" spans="1:16" ht="21.75" customHeight="1" x14ac:dyDescent="0.3">
      <c r="A352" s="156"/>
      <c r="B352" s="157"/>
      <c r="C352" s="157"/>
      <c r="D352" s="166"/>
      <c r="E352" s="159"/>
      <c r="F352" s="159" t="s">
        <v>40</v>
      </c>
      <c r="G352" s="160" t="s">
        <v>41</v>
      </c>
      <c r="H352" s="161" t="s">
        <v>12</v>
      </c>
      <c r="I352" s="162"/>
      <c r="J352" s="162"/>
      <c r="K352" s="163"/>
      <c r="L352" s="165">
        <f ca="1">กำแพงเพชร!L352+เชียงราย!L352+เชียงใหม่!L352+ตาก!L352+นครสวรรค์!L352+น่าน!L352+พะเยา!L352+พิจิตร!L352+พิษณุโลก!L352+เพชรบูรณ์!L352+แพร่!L352+แม่ฮ่องสอน!L352+ลำปาง!L352+ลำพูน!L352+สุโขทัย!L352+อุตรดิตถ์!L352+อุทัยธานี!L352</f>
        <v>5304900</v>
      </c>
      <c r="M352" s="165"/>
      <c r="N352" s="164">
        <f ca="1">กำแพงเพชร!N352+เชียงราย!N352+เชียงใหม่!N352+ตาก!N352+นครสวรรค์!N352+น่าน!N352+พะเยา!N352+พิจิตร!N352+พิษณุโลก!N352+เพชรบูรณ์!N352+แพร่!N352+แม่ฮ่องสอน!N352+ลำปาง!N352+ลำพูน!N352+สุโขทัย!N352+อุตรดิตถ์!N352+อุทัยธานี!N352</f>
        <v>1728716.06</v>
      </c>
      <c r="O352" s="165">
        <f t="shared" ca="1" si="74"/>
        <v>32.58715640257121</v>
      </c>
      <c r="P352" s="165"/>
    </row>
    <row r="353" spans="1:16" ht="21.75" customHeight="1" x14ac:dyDescent="0.3">
      <c r="A353" s="156"/>
      <c r="B353" s="157"/>
      <c r="C353" s="157"/>
      <c r="D353" s="166"/>
      <c r="E353" s="159"/>
      <c r="F353" s="159"/>
      <c r="G353" s="372" t="s">
        <v>129</v>
      </c>
      <c r="H353" s="161" t="s">
        <v>12</v>
      </c>
      <c r="I353" s="162"/>
      <c r="J353" s="162"/>
      <c r="K353" s="163"/>
      <c r="L353" s="168">
        <f ca="1">กำแพงเพชร!L353+เชียงราย!L353+เชียงใหม่!L353+ตาก!L353+นครสวรรค์!L353+น่าน!L353+พะเยา!L353+พิจิตร!L353+พิษณุโลก!L353+เพชรบูรณ์!L353+แพร่!L353+แม่ฮ่องสอน!L353+ลำปาง!L353+ลำพูน!L353+สุโขทัย!L353+อุตรดิตถ์!L353+อุทัยธานี!L353</f>
        <v>0</v>
      </c>
      <c r="M353" s="168"/>
      <c r="N353" s="168">
        <f ca="1">กำแพงเพชร!N353+เชียงราย!N353+เชียงใหม่!N353+ตาก!N353+นครสวรรค์!N353+น่าน!N353+พะเยา!N353+พิจิตร!N353+พิษณุโลก!N353+เพชรบูรณ์!N353+แพร่!N353+แม่ฮ่องสอน!N353+ลำปาง!N353+ลำพูน!N353+สุโขทัย!N353+อุตรดิตถ์!N353+อุทัยธานี!N353</f>
        <v>0</v>
      </c>
      <c r="O353" s="168">
        <f t="shared" ca="1" si="74"/>
        <v>0</v>
      </c>
      <c r="P353" s="168"/>
    </row>
    <row r="354" spans="1:16" ht="21.75" customHeight="1" x14ac:dyDescent="0.3">
      <c r="A354" s="156"/>
      <c r="B354" s="157"/>
      <c r="C354" s="157"/>
      <c r="D354" s="166"/>
      <c r="E354" s="159"/>
      <c r="F354" s="159"/>
      <c r="G354" s="372" t="s">
        <v>130</v>
      </c>
      <c r="H354" s="161" t="s">
        <v>12</v>
      </c>
      <c r="I354" s="162"/>
      <c r="J354" s="162"/>
      <c r="K354" s="163"/>
      <c r="L354" s="168">
        <f ca="1">กำแพงเพชร!L354+เชียงราย!L354+เชียงใหม่!L354+ตาก!L354+นครสวรรค์!L354+น่าน!L354+พะเยา!L354+พิจิตร!L354+พิษณุโลก!L354+เพชรบูรณ์!L354+แพร่!L354+แม่ฮ่องสอน!L354+ลำปาง!L354+ลำพูน!L354+สุโขทัย!L354+อุตรดิตถ์!L354+อุทัยธานี!L354</f>
        <v>5304900</v>
      </c>
      <c r="M354" s="168"/>
      <c r="N354" s="167">
        <f ca="1">กำแพงเพชร!N354+เชียงราย!N354+เชียงใหม่!N354+ตาก!N354+นครสวรรค์!N354+น่าน!N354+พะเยา!N354+พิจิตร!N354+พิษณุโลก!N354+เพชรบูรณ์!N354+แพร่!N354+แม่ฮ่องสอน!N354+ลำปาง!N354+ลำพูน!N354+สุโขทัย!N354+อุตรดิตถ์!N354+อุทัยธานี!N354</f>
        <v>1728716.06</v>
      </c>
      <c r="O354" s="168">
        <f t="shared" ca="1" si="74"/>
        <v>32.58715640257121</v>
      </c>
      <c r="P354" s="168"/>
    </row>
    <row r="355" spans="1:16" ht="21.75" customHeight="1" x14ac:dyDescent="0.3">
      <c r="A355" s="373"/>
      <c r="B355" s="374"/>
      <c r="C355" s="157"/>
      <c r="D355" s="375"/>
      <c r="E355" s="159"/>
      <c r="F355" s="159"/>
      <c r="G355" s="376" t="s">
        <v>131</v>
      </c>
      <c r="H355" s="161" t="s">
        <v>12</v>
      </c>
      <c r="I355" s="187"/>
      <c r="J355" s="187"/>
      <c r="K355" s="223"/>
      <c r="L355" s="168"/>
      <c r="M355" s="168"/>
      <c r="N355" s="377">
        <f ca="1">กำแพงเพชร!N355+เชียงราย!N355+เชียงใหม่!N355+ตาก!N355+นครสวรรค์!N355+น่าน!N355+พะเยา!N355+พิจิตร!N355+พิษณุโลก!N355+เพชรบูรณ์!N355+แพร่!N355+แม่ฮ่องสอน!N355+ลำปาง!N355+ลำพูน!N355+สุโขทัย!N355+อุตรดิตถ์!N355+อุทัยธานี!N355</f>
        <v>639979</v>
      </c>
      <c r="O355" s="168"/>
      <c r="P355" s="168"/>
    </row>
    <row r="356" spans="1:16" ht="21.75" customHeight="1" x14ac:dyDescent="0.3">
      <c r="A356" s="373"/>
      <c r="B356" s="374"/>
      <c r="C356" s="157"/>
      <c r="D356" s="375"/>
      <c r="E356" s="159"/>
      <c r="F356" s="159"/>
      <c r="G356" s="376" t="s">
        <v>132</v>
      </c>
      <c r="H356" s="161" t="s">
        <v>12</v>
      </c>
      <c r="I356" s="187"/>
      <c r="J356" s="187"/>
      <c r="K356" s="223"/>
      <c r="L356" s="168"/>
      <c r="M356" s="168"/>
      <c r="N356" s="377">
        <f ca="1">กำแพงเพชร!N356+เชียงราย!N356+เชียงใหม่!N356+ตาก!N356+นครสวรรค์!N356+น่าน!N356+พะเยา!N356+พิจิตร!N356+พิษณุโลก!N356+เพชรบูรณ์!N356+แพร่!N356+แม่ฮ่องสอน!N356+ลำปาง!N356+ลำพูน!N356+สุโขทัย!N356+อุตรดิตถ์!N356+อุทัยธานี!N356</f>
        <v>416400</v>
      </c>
      <c r="O356" s="168"/>
      <c r="P356" s="168"/>
    </row>
    <row r="357" spans="1:16" ht="21.75" customHeight="1" x14ac:dyDescent="0.3">
      <c r="A357" s="373"/>
      <c r="B357" s="374"/>
      <c r="C357" s="157"/>
      <c r="D357" s="375"/>
      <c r="E357" s="159"/>
      <c r="F357" s="159"/>
      <c r="G357" s="376" t="s">
        <v>133</v>
      </c>
      <c r="H357" s="161" t="s">
        <v>12</v>
      </c>
      <c r="I357" s="187"/>
      <c r="J357" s="187"/>
      <c r="K357" s="223"/>
      <c r="L357" s="168"/>
      <c r="M357" s="168"/>
      <c r="N357" s="377">
        <f ca="1">กำแพงเพชร!N357+เชียงราย!N357+เชียงใหม่!N357+ตาก!N357+นครสวรรค์!N357+น่าน!N357+พะเยา!N357+พิจิตร!N357+พิษณุโลก!N357+เพชรบูรณ์!N357+แพร่!N357+แม่ฮ่องสอน!N357+ลำปาง!N357+ลำพูน!N357+สุโขทัย!N357+อุตรดิตถ์!N357+อุทัยธานี!N357</f>
        <v>532604.06000000006</v>
      </c>
      <c r="O357" s="168"/>
      <c r="P357" s="168"/>
    </row>
    <row r="358" spans="1:16" ht="21.75" customHeight="1" x14ac:dyDescent="0.3">
      <c r="A358" s="373"/>
      <c r="B358" s="374"/>
      <c r="C358" s="157"/>
      <c r="D358" s="375"/>
      <c r="E358" s="159"/>
      <c r="F358" s="159"/>
      <c r="G358" s="376" t="s">
        <v>134</v>
      </c>
      <c r="H358" s="161" t="s">
        <v>12</v>
      </c>
      <c r="I358" s="187"/>
      <c r="J358" s="187"/>
      <c r="K358" s="223"/>
      <c r="L358" s="168"/>
      <c r="M358" s="168"/>
      <c r="N358" s="377">
        <f ca="1">กำแพงเพชร!N358+เชียงราย!N358+เชียงใหม่!N358+ตาก!N358+นครสวรรค์!N358+น่าน!N358+พะเยา!N358+พิจิตร!N358+พิษณุโลก!N358+เพชรบูรณ์!N358+แพร่!N358+แม่ฮ่องสอน!N358+ลำปาง!N358+ลำพูน!N358+สุโขทัย!N358+อุตรดิตถ์!N358+อุทัยธานี!N358</f>
        <v>139733</v>
      </c>
      <c r="O358" s="168"/>
      <c r="P358" s="168"/>
    </row>
    <row r="359" spans="1:16" ht="21.75" customHeight="1" x14ac:dyDescent="0.3">
      <c r="A359" s="175"/>
      <c r="B359" s="176"/>
      <c r="C359" s="157" t="s">
        <v>16</v>
      </c>
      <c r="D359" s="177" t="s">
        <v>44</v>
      </c>
      <c r="E359" s="178"/>
      <c r="F359" s="178"/>
      <c r="G359" s="179"/>
      <c r="H359" s="180"/>
      <c r="I359" s="162"/>
      <c r="J359" s="162"/>
      <c r="K359" s="163"/>
      <c r="L359" s="181"/>
      <c r="M359" s="181"/>
      <c r="N359" s="181"/>
      <c r="O359" s="181"/>
      <c r="P359" s="181"/>
    </row>
    <row r="360" spans="1:16" ht="21.75" customHeight="1" x14ac:dyDescent="0.3">
      <c r="A360" s="175"/>
      <c r="B360" s="176"/>
      <c r="C360" s="176"/>
      <c r="D360" s="182">
        <v>1</v>
      </c>
      <c r="E360" s="183" t="s">
        <v>45</v>
      </c>
      <c r="F360" s="184"/>
      <c r="G360" s="185"/>
      <c r="H360" s="186"/>
      <c r="I360" s="187"/>
      <c r="J360" s="197">
        <f ca="1">กำแพงเพชร!J360+เชียงราย!J360+เชียงใหม่!J360+ตาก!J360+นครสวรรค์!J360+น่าน!J360+พะเยา!J360+พิจิตร!J360+พิษณุโลก!J360+เพชรบูรณ์!J360+แพร่!J360+แม่ฮ่องสอน!J360+ลำปาง!J360+ลำพูน!J360+สุโขทัย!J360+อุตรดิตถ์!J360+อุทัยธานี!J360</f>
        <v>0</v>
      </c>
      <c r="K360" s="163"/>
      <c r="L360" s="181"/>
      <c r="M360" s="181"/>
      <c r="N360" s="181"/>
      <c r="O360" s="181"/>
      <c r="P360" s="181"/>
    </row>
    <row r="361" spans="1:16" ht="21.75" customHeight="1" x14ac:dyDescent="0.3">
      <c r="A361" s="175"/>
      <c r="B361" s="176"/>
      <c r="C361" s="176"/>
      <c r="D361" s="189">
        <v>2</v>
      </c>
      <c r="E361" s="190" t="s">
        <v>46</v>
      </c>
      <c r="F361" s="191"/>
      <c r="G361" s="192"/>
      <c r="H361" s="186"/>
      <c r="I361" s="187"/>
      <c r="J361" s="188">
        <f ca="1">กำแพงเพชร!J361+เชียงราย!J361+เชียงใหม่!J361+ตาก!J361+นครสวรรค์!J361+น่าน!J361+พะเยา!J361+พิจิตร!J361+พิษณุโลก!J361+เพชรบูรณ์!J361+แพร่!J361+แม่ฮ่องสอน!J361+ลำปาง!J361+ลำพูน!J361+สุโขทัย!J361+อุตรดิตถ์!J361+อุทัยธานี!J361</f>
        <v>14</v>
      </c>
      <c r="K361" s="163"/>
      <c r="L361" s="181" t="s">
        <v>40</v>
      </c>
      <c r="M361" s="181"/>
      <c r="N361" s="181" t="s">
        <v>40</v>
      </c>
      <c r="O361" s="181"/>
      <c r="P361" s="181"/>
    </row>
    <row r="362" spans="1:16" ht="21.75" customHeight="1" x14ac:dyDescent="0.3">
      <c r="A362" s="175"/>
      <c r="B362" s="176"/>
      <c r="C362" s="176"/>
      <c r="D362" s="193"/>
      <c r="E362" s="194" t="s">
        <v>47</v>
      </c>
      <c r="F362" s="195"/>
      <c r="G362" s="196"/>
      <c r="H362" s="186"/>
      <c r="I362" s="187"/>
      <c r="J362" s="188">
        <f ca="1">กำแพงเพชร!J362+เชียงราย!J362+เชียงใหม่!J362+ตาก!J362+นครสวรรค์!J362+น่าน!J362+พะเยา!J362+พิจิตร!J362+พิษณุโลก!J362+เพชรบูรณ์!J362+แพร่!J362+แม่ฮ่องสอน!J362+ลำปาง!J362+ลำพูน!J362+สุโขทัย!J362+อุตรดิตถ์!J362+อุทัยธานี!J362</f>
        <v>14</v>
      </c>
      <c r="K362" s="163"/>
      <c r="L362" s="181"/>
      <c r="M362" s="181"/>
      <c r="N362" s="181"/>
      <c r="O362" s="181"/>
      <c r="P362" s="181"/>
    </row>
    <row r="363" spans="1:16" ht="21.75" customHeight="1" x14ac:dyDescent="0.3">
      <c r="A363" s="175"/>
      <c r="B363" s="176"/>
      <c r="C363" s="176"/>
      <c r="D363" s="193"/>
      <c r="E363" s="194" t="s">
        <v>48</v>
      </c>
      <c r="F363" s="195"/>
      <c r="G363" s="196"/>
      <c r="H363" s="186"/>
      <c r="I363" s="187"/>
      <c r="J363" s="197">
        <f ca="1">กำแพงเพชร!J363+เชียงราย!J363+เชียงใหม่!J363+ตาก!J363+นครสวรรค์!J363+น่าน!J363+พะเยา!J363+พิจิตร!J363+พิษณุโลก!J363+เพชรบูรณ์!J363+แพร่!J363+แม่ฮ่องสอน!J363+ลำปาง!J363+ลำพูน!J363+สุโขทัย!J363+อุตรดิตถ์!J363+อุทัยธานี!J363</f>
        <v>14</v>
      </c>
      <c r="K363" s="163"/>
      <c r="L363" s="181"/>
      <c r="M363" s="181"/>
      <c r="N363" s="181"/>
      <c r="O363" s="181"/>
      <c r="P363" s="181"/>
    </row>
    <row r="364" spans="1:16" ht="21.75" hidden="1" customHeight="1" x14ac:dyDescent="0.3">
      <c r="A364" s="175"/>
      <c r="B364" s="176"/>
      <c r="C364" s="176"/>
      <c r="D364" s="193"/>
      <c r="E364" s="198"/>
      <c r="F364" s="194" t="s">
        <v>70</v>
      </c>
      <c r="G364" s="196"/>
      <c r="H364" s="180"/>
      <c r="I364" s="187"/>
      <c r="J364" s="187">
        <f ca="1">กำแพงเพชร!J364+เชียงราย!J364+เชียงใหม่!J364+ตาก!J364+นครสวรรค์!J364+น่าน!J364+พะเยา!J364+พิจิตร!J364+พิษณุโลก!J364+เพชรบูรณ์!J364+แพร่!J364+แม่ฮ่องสอน!J364+ลำปาง!J364+ลำพูน!J364+สุโขทัย!J364+อุตรดิตถ์!J364+อุทัยธานี!J364</f>
        <v>0</v>
      </c>
      <c r="K364" s="163"/>
      <c r="L364" s="181"/>
      <c r="M364" s="181"/>
      <c r="N364" s="181"/>
      <c r="O364" s="181"/>
      <c r="P364" s="181"/>
    </row>
    <row r="365" spans="1:16" ht="21.75" hidden="1" customHeight="1" x14ac:dyDescent="0.3">
      <c r="A365" s="175"/>
      <c r="B365" s="176"/>
      <c r="C365" s="176"/>
      <c r="D365" s="193"/>
      <c r="E365" s="198"/>
      <c r="F365" s="195"/>
      <c r="G365" s="225" t="s">
        <v>135</v>
      </c>
      <c r="H365" s="180" t="s">
        <v>37</v>
      </c>
      <c r="I365" s="187">
        <f ca="1">IFERROR(__xludf.DUMMYFUNCTION("IMPORTRANGE(""https://docs.google.com/spreadsheets/d/1C3CXT74ZlgGe6_JY_1olB1XN4rF0dxEuIIF-xsYjHgg/edit?usp=sharing"",""งบกองทุน!f63"")"),0)</f>
        <v>0</v>
      </c>
      <c r="J365" s="187">
        <f ca="1">กำแพงเพชร!J365+เชียงราย!J365+เชียงใหม่!J365+ตาก!J365+นครสวรรค์!J365+น่าน!J365+พะเยา!J365+พิจิตร!J365+พิษณุโลก!J365+เพชรบูรณ์!J365+แพร่!J365+แม่ฮ่องสอน!J365+ลำปาง!J365+ลำพูน!J365+สุโขทัย!J365+อุตรดิตถ์!J365+อุทัยธานี!J365</f>
        <v>0</v>
      </c>
      <c r="K365" s="163">
        <f ca="1">IF(I365&gt;0,J365*100/I365,0)</f>
        <v>0</v>
      </c>
      <c r="L365" s="181"/>
      <c r="M365" s="181"/>
      <c r="N365" s="181"/>
      <c r="O365" s="181"/>
      <c r="P365" s="181"/>
    </row>
    <row r="366" spans="1:16" ht="21.75" hidden="1" customHeight="1" x14ac:dyDescent="0.3">
      <c r="A366" s="175"/>
      <c r="B366" s="176"/>
      <c r="C366" s="176"/>
      <c r="D366" s="193"/>
      <c r="E366" s="198"/>
      <c r="F366" s="195"/>
      <c r="G366" s="196" t="s">
        <v>136</v>
      </c>
      <c r="H366" s="180"/>
      <c r="I366" s="162"/>
      <c r="J366" s="187">
        <f ca="1">กำแพงเพชร!J366+เชียงราย!J366+เชียงใหม่!J366+ตาก!J366+นครสวรรค์!J366+น่าน!J366+พะเยา!J366+พิจิตร!J366+พิษณุโลก!J366+เพชรบูรณ์!J366+แพร่!J366+แม่ฮ่องสอน!J366+ลำปาง!J366+ลำพูน!J366+สุโขทัย!J366+อุตรดิตถ์!J366+อุทัยธานี!J366</f>
        <v>0</v>
      </c>
      <c r="K366" s="163"/>
      <c r="L366" s="181"/>
      <c r="M366" s="181"/>
      <c r="N366" s="181"/>
      <c r="O366" s="181"/>
      <c r="P366" s="181"/>
    </row>
    <row r="367" spans="1:16" ht="21.75" hidden="1" customHeight="1" x14ac:dyDescent="0.3">
      <c r="A367" s="175"/>
      <c r="B367" s="176"/>
      <c r="C367" s="176"/>
      <c r="D367" s="193"/>
      <c r="E367" s="198"/>
      <c r="F367" s="195"/>
      <c r="G367" s="225" t="s">
        <v>137</v>
      </c>
      <c r="H367" s="186" t="s">
        <v>122</v>
      </c>
      <c r="I367" s="187">
        <f ca="1">SUM(I369,I371)</f>
        <v>0</v>
      </c>
      <c r="J367" s="187">
        <f ca="1">กำแพงเพชร!J367+เชียงราย!J367+เชียงใหม่!J367+ตาก!J367+นครสวรรค์!J367+น่าน!J367+พะเยา!J367+พิจิตร!J367+พิษณุโลก!J367+เพชรบูรณ์!J367+แพร่!J367+แม่ฮ่องสอน!J367+ลำปาง!J367+ลำพูน!J367+สุโขทัย!J367+อุตรดิตถ์!J367+อุทัยธานี!J367</f>
        <v>0</v>
      </c>
      <c r="K367" s="163">
        <f t="shared" ref="K367:K373" ca="1" si="75">IF(I367&gt;0,J367*100/I367,0)</f>
        <v>0</v>
      </c>
      <c r="L367" s="181"/>
      <c r="M367" s="181"/>
      <c r="N367" s="181"/>
      <c r="O367" s="181"/>
      <c r="P367" s="181"/>
    </row>
    <row r="368" spans="1:16" ht="21.75" customHeight="1" x14ac:dyDescent="0.3">
      <c r="A368" s="175"/>
      <c r="B368" s="176"/>
      <c r="C368" s="176"/>
      <c r="D368" s="193"/>
      <c r="E368" s="198"/>
      <c r="F368" s="378" t="s">
        <v>138</v>
      </c>
      <c r="G368" s="379"/>
      <c r="H368" s="186" t="s">
        <v>37</v>
      </c>
      <c r="I368" s="162">
        <f ca="1">กำแพงเพชร!I368+เชียงราย!I368+เชียงใหม่!I368+ตาก!I368+นครสวรรค์!I368+น่าน!I368+พะเยา!I368+พิจิตร!I368+พิษณุโลก!I368+เพชรบูรณ์!I368+แพร่!I368+แม่ฮ่องสอน!I368+ลำปาง!I368+ลำพูน!I368+สุโขทัย!I368+อุตรดิตถ์!I368+อุทัยธานี!I368</f>
        <v>790</v>
      </c>
      <c r="J368" s="187">
        <f ca="1">กำแพงเพชร!J368+เชียงราย!J368+เชียงใหม่!J368+ตาก!J368+นครสวรรค์!J368+น่าน!J368+พะเยา!J368+พิจิตร!J368+พิษณุโลก!J368+เพชรบูรณ์!J368+แพร่!J368+แม่ฮ่องสอน!J368+ลำปาง!J368+ลำพูน!J368+สุโขทัย!J368+อุตรดิตถ์!J368+อุทัยธานี!J368</f>
        <v>390</v>
      </c>
      <c r="K368" s="163">
        <f t="shared" ca="1" si="75"/>
        <v>49.367088607594937</v>
      </c>
      <c r="L368" s="181"/>
      <c r="M368" s="181"/>
      <c r="N368" s="181"/>
      <c r="O368" s="181"/>
      <c r="P368" s="181"/>
    </row>
    <row r="369" spans="1:16" ht="21.75" hidden="1" customHeight="1" x14ac:dyDescent="0.3">
      <c r="A369" s="175"/>
      <c r="B369" s="176"/>
      <c r="C369" s="176"/>
      <c r="D369" s="193"/>
      <c r="E369" s="198"/>
      <c r="F369" s="195"/>
      <c r="G369" s="379"/>
      <c r="H369" s="180" t="s">
        <v>122</v>
      </c>
      <c r="I369" s="162">
        <f ca="1">กำแพงเพชร!I369+เชียงราย!I369+เชียงใหม่!I369+ตาก!I369+นครสวรรค์!I369+น่าน!I369+พะเยา!I369+พิจิตร!I369+พิษณุโลก!I369+เพชรบูรณ์!I369+แพร่!I369+แม่ฮ่องสอน!I369+ลำปาง!I369+ลำพูน!I369+สุโขทัย!I369+อุตรดิตถ์!I369+อุทัยธานี!I369</f>
        <v>0</v>
      </c>
      <c r="J369" s="203">
        <f ca="1">กำแพงเพชร!J369+เชียงราย!J369+เชียงใหม่!J369+ตาก!J369+นครสวรรค์!J369+น่าน!J369+พะเยา!J369+พิจิตร!J369+พิษณุโลก!J369+เพชรบูรณ์!J369+แพร่!J369+แม่ฮ่องสอน!J369+ลำปาง!J369+ลำพูน!J369+สุโขทัย!J369+อุตรดิตถ์!J369+อุทัยธานี!J369</f>
        <v>0</v>
      </c>
      <c r="K369" s="163">
        <f t="shared" ca="1" si="75"/>
        <v>0</v>
      </c>
      <c r="L369" s="181"/>
      <c r="M369" s="181"/>
      <c r="N369" s="181"/>
      <c r="O369" s="181"/>
      <c r="P369" s="181"/>
    </row>
    <row r="370" spans="1:16" ht="21.75" customHeight="1" x14ac:dyDescent="0.3">
      <c r="A370" s="175"/>
      <c r="B370" s="176"/>
      <c r="C370" s="176"/>
      <c r="D370" s="193"/>
      <c r="E370" s="198"/>
      <c r="F370" s="195"/>
      <c r="G370" s="378" t="s">
        <v>139</v>
      </c>
      <c r="H370" s="180" t="s">
        <v>37</v>
      </c>
      <c r="I370" s="162">
        <f ca="1">กำแพงเพชร!I370+เชียงราย!I370+เชียงใหม่!I370+ตาก!I370+นครสวรรค์!I370+น่าน!I370+พะเยา!I370+พิจิตร!I370+พิษณุโลก!I370+เพชรบูรณ์!I370+แพร่!I370+แม่ฮ่องสอน!I370+ลำปาง!I370+ลำพูน!I370+สุโขทัย!I370+อุตรดิตถ์!I370+อุทัยธานี!I370</f>
        <v>790</v>
      </c>
      <c r="J370" s="203">
        <f ca="1">กำแพงเพชร!J370+เชียงราย!J370+เชียงใหม่!J370+ตาก!J370+นครสวรรค์!J370+น่าน!J370+พะเยา!J370+พิจิตร!J370+พิษณุโลก!J370+เพชรบูรณ์!J370+แพร่!J370+แม่ฮ่องสอน!J370+ลำปาง!J370+ลำพูน!J370+สุโขทัย!J370+อุตรดิตถ์!J370+อุทัยธานี!J370</f>
        <v>614</v>
      </c>
      <c r="K370" s="163">
        <f t="shared" ca="1" si="75"/>
        <v>77.721518987341767</v>
      </c>
      <c r="L370" s="181"/>
      <c r="M370" s="181"/>
      <c r="N370" s="181"/>
      <c r="O370" s="181"/>
      <c r="P370" s="181"/>
    </row>
    <row r="371" spans="1:16" ht="21.75" hidden="1" customHeight="1" x14ac:dyDescent="0.3">
      <c r="A371" s="175"/>
      <c r="B371" s="176"/>
      <c r="C371" s="176"/>
      <c r="D371" s="193"/>
      <c r="E371" s="198"/>
      <c r="F371" s="195"/>
      <c r="G371" s="379"/>
      <c r="H371" s="180" t="s">
        <v>122</v>
      </c>
      <c r="I371" s="162">
        <f ca="1">กำแพงเพชร!I371+เชียงราย!I371+เชียงใหม่!I371+ตาก!I371+นครสวรรค์!I371+น่าน!I371+พะเยา!I371+พิจิตร!I371+พิษณุโลก!I371+เพชรบูรณ์!I371+แพร่!I371+แม่ฮ่องสอน!I371+ลำปาง!I371+ลำพูน!I371+สุโขทัย!I371+อุตรดิตถ์!I371+อุทัยธานี!I371</f>
        <v>0</v>
      </c>
      <c r="J371" s="188">
        <f ca="1">กำแพงเพชร!J371+เชียงราย!J371+เชียงใหม่!J371+ตาก!J371+นครสวรรค์!J371+น่าน!J371+พะเยา!J371+พิจิตร!J371+พิษณุโลก!J371+เพชรบูรณ์!J371+แพร่!J371+แม่ฮ่องสอน!J371+ลำปาง!J371+ลำพูน!J371+สุโขทัย!J371+อุตรดิตถ์!J371+อุทัยธานี!J371</f>
        <v>0</v>
      </c>
      <c r="K371" s="163">
        <f t="shared" ca="1" si="75"/>
        <v>0</v>
      </c>
      <c r="L371" s="181"/>
      <c r="M371" s="181"/>
      <c r="N371" s="181"/>
      <c r="O371" s="181"/>
      <c r="P371" s="181"/>
    </row>
    <row r="372" spans="1:16" ht="21.75" customHeight="1" x14ac:dyDescent="0.3">
      <c r="A372" s="175"/>
      <c r="B372" s="176"/>
      <c r="C372" s="176"/>
      <c r="D372" s="193"/>
      <c r="E372" s="198"/>
      <c r="F372" s="195"/>
      <c r="G372" s="378" t="s">
        <v>140</v>
      </c>
      <c r="H372" s="180" t="s">
        <v>37</v>
      </c>
      <c r="I372" s="162">
        <f ca="1">กำแพงเพชร!I372+เชียงราย!I372+เชียงใหม่!I372+ตาก!I372+นครสวรรค์!I372+น่าน!I372+พะเยา!I372+พิจิตร!I372+พิษณุโลก!I372+เพชรบูรณ์!I372+แพร่!I372+แม่ฮ่องสอน!I372+ลำปาง!I372+ลำพูน!I372+สุโขทัย!I372+อุตรดิตถ์!I372+อุทัยธานี!I372</f>
        <v>790</v>
      </c>
      <c r="J372" s="188">
        <f ca="1">กำแพงเพชร!J372+เชียงราย!J372+เชียงใหม่!J372+ตาก!J372+นครสวรรค์!J372+น่าน!J372+พะเยา!J372+พิจิตร!J372+พิษณุโลก!J372+เพชรบูรณ์!J372+แพร่!J372+แม่ฮ่องสอน!J372+ลำปาง!J372+ลำพูน!J372+สุโขทัย!J372+อุตรดิตถ์!J372+อุทัยธานี!J372</f>
        <v>390</v>
      </c>
      <c r="K372" s="163">
        <f t="shared" ca="1" si="75"/>
        <v>49.367088607594937</v>
      </c>
      <c r="L372" s="181"/>
      <c r="M372" s="181"/>
      <c r="N372" s="181"/>
      <c r="O372" s="181"/>
      <c r="P372" s="181"/>
    </row>
    <row r="373" spans="1:16" ht="21.75" hidden="1" customHeight="1" x14ac:dyDescent="0.3">
      <c r="A373" s="175"/>
      <c r="B373" s="176"/>
      <c r="C373" s="176"/>
      <c r="D373" s="193"/>
      <c r="E373" s="198"/>
      <c r="F373" s="195"/>
      <c r="G373" s="225" t="s">
        <v>141</v>
      </c>
      <c r="H373" s="180" t="s">
        <v>37</v>
      </c>
      <c r="I373" s="187">
        <f ca="1">กำแพงเพชร!I373+เชียงราย!I373+เชียงใหม่!I373+ตาก!I373+นครสวรรค์!I373+น่าน!I373+พะเยา!I373+พิจิตร!I373+พิษณุโลก!I373+เพชรบูรณ์!I373+แพร่!I373+แม่ฮ่องสอน!I373+ลำปาง!I373+ลำพูน!I373+สุโขทัย!I373+อุตรดิตถ์!I373+อุทัยธานี!I373</f>
        <v>0</v>
      </c>
      <c r="J373" s="203">
        <f ca="1">กำแพงเพชร!J373+เชียงราย!J373+เชียงใหม่!J373+ตาก!J373+นครสวรรค์!J373+น่าน!J373+พะเยา!J373+พิจิตร!J373+พิษณุโลก!J373+เพชรบูรณ์!J373+แพร่!J373+แม่ฮ่องสอน!J373+ลำปาง!J373+ลำพูน!J373+สุโขทัย!J373+อุตรดิตถ์!J373+อุทัยธานี!J373</f>
        <v>0</v>
      </c>
      <c r="K373" s="163">
        <f t="shared" ca="1" si="75"/>
        <v>0</v>
      </c>
      <c r="L373" s="181"/>
      <c r="M373" s="181"/>
      <c r="N373" s="181"/>
      <c r="O373" s="181"/>
      <c r="P373" s="181"/>
    </row>
    <row r="374" spans="1:16" ht="21.75" hidden="1" customHeight="1" x14ac:dyDescent="0.3">
      <c r="A374" s="175"/>
      <c r="B374" s="176"/>
      <c r="C374" s="176"/>
      <c r="D374" s="193"/>
      <c r="E374" s="198"/>
      <c r="F374" s="195"/>
      <c r="G374" s="196" t="s">
        <v>142</v>
      </c>
      <c r="H374" s="180"/>
      <c r="I374" s="187">
        <f ca="1">กำแพงเพชร!I374+เชียงราย!I374+เชียงใหม่!I374+ตาก!I374+นครสวรรค์!I374+น่าน!I374+พะเยา!I374+พิจิตร!I374+พิษณุโลก!I374+เพชรบูรณ์!I374+แพร่!I374+แม่ฮ่องสอน!I374+ลำปาง!I374+ลำพูน!I374+สุโขทัย!I374+อุตรดิตถ์!I374+อุทัยธานี!I374</f>
        <v>0</v>
      </c>
      <c r="J374" s="187">
        <f ca="1">กำแพงเพชร!J374+เชียงราย!J374+เชียงใหม่!J374+ตาก!J374+นครสวรรค์!J374+น่าน!J374+พะเยา!J374+พิจิตร!J374+พิษณุโลก!J374+เพชรบูรณ์!J374+แพร่!J374+แม่ฮ่องสอน!J374+ลำปาง!J374+ลำพูน!J374+สุโขทัย!J374+อุตรดิตถ์!J374+อุทัยธานี!J374</f>
        <v>0</v>
      </c>
      <c r="K374" s="163"/>
      <c r="L374" s="181"/>
      <c r="M374" s="181"/>
      <c r="N374" s="181"/>
      <c r="O374" s="181"/>
      <c r="P374" s="181"/>
    </row>
    <row r="375" spans="1:16" ht="21.75" customHeight="1" x14ac:dyDescent="0.3">
      <c r="A375" s="175"/>
      <c r="B375" s="176"/>
      <c r="C375" s="176"/>
      <c r="D375" s="193"/>
      <c r="E375" s="195"/>
      <c r="F375" s="204" t="s">
        <v>53</v>
      </c>
      <c r="G375" s="196"/>
      <c r="H375" s="278" t="s">
        <v>122</v>
      </c>
      <c r="I375" s="187">
        <f ca="1">กำแพงเพชร!I375+เชียงราย!I375+เชียงใหม่!I375+ตาก!I375+นครสวรรค์!I375+น่าน!I375+พะเยา!I375+พิจิตร!I375+พิษณุโลก!I375+เพชรบูรณ์!I375+แพร่!I375+แม่ฮ่องสอน!I375+ลำปาง!I375+ลำพูน!I375+สุโขทัย!I375+อุตรดิตถ์!I375+อุทัยธานี!I375</f>
        <v>1850</v>
      </c>
      <c r="J375" s="187">
        <f ca="1">กำแพงเพชร!J375+เชียงราย!J375+เชียงใหม่!J375+ตาก!J375+นครสวรรค์!J375+น่าน!J375+พะเยา!J375+พิจิตร!J375+พิษณุโลก!J375+เพชรบูรณ์!J375+แพร่!J375+แม่ฮ่องสอน!J375+ลำปาง!J375+ลำพูน!J375+สุโขทัย!J375+อุตรดิตถ์!J375+อุทัยธานี!J375</f>
        <v>460</v>
      </c>
      <c r="K375" s="163">
        <f t="shared" ref="K375:K377" ca="1" si="76">IF(I375&gt;0,J375*100/I375,0)</f>
        <v>24.864864864864863</v>
      </c>
      <c r="L375" s="181"/>
      <c r="M375" s="181"/>
      <c r="N375" s="181"/>
      <c r="O375" s="181"/>
      <c r="P375" s="181"/>
    </row>
    <row r="376" spans="1:16" ht="21.75" customHeight="1" x14ac:dyDescent="0.3">
      <c r="A376" s="175"/>
      <c r="B376" s="176"/>
      <c r="C376" s="176"/>
      <c r="D376" s="193"/>
      <c r="E376" s="195"/>
      <c r="F376" s="195"/>
      <c r="G376" s="279" t="s">
        <v>143</v>
      </c>
      <c r="H376" s="278" t="s">
        <v>122</v>
      </c>
      <c r="I376" s="187">
        <f ca="1">กำแพงเพชร!I376+เชียงราย!I376+เชียงใหม่!I376+ตาก!I376+นครสวรรค์!I376+น่าน!I376+พะเยา!I376+พิจิตร!I376+พิษณุโลก!I376+เพชรบูรณ์!I376+แพร่!I376+แม่ฮ่องสอน!I376+ลำปาง!I376+ลำพูน!I376+สุโขทัย!I376+อุตรดิตถ์!I376+อุทัยธานี!I376</f>
        <v>768</v>
      </c>
      <c r="J376" s="188">
        <f ca="1">กำแพงเพชร!J376+เชียงราย!J376+เชียงใหม่!J376+ตาก!J376+นครสวรรค์!J376+น่าน!J376+พะเยา!J376+พิจิตร!J376+พิษณุโลก!J376+เพชรบูรณ์!J376+แพร่!J376+แม่ฮ่องสอน!J376+ลำปาง!J376+ลำพูน!J376+สุโขทัย!J376+อุตรดิตถ์!J376+อุทัยธานี!J376</f>
        <v>270</v>
      </c>
      <c r="K376" s="163">
        <f t="shared" ca="1" si="76"/>
        <v>35.15625</v>
      </c>
      <c r="L376" s="181"/>
      <c r="M376" s="181"/>
      <c r="N376" s="181"/>
      <c r="O376" s="181"/>
      <c r="P376" s="181"/>
    </row>
    <row r="377" spans="1:16" ht="21.75" customHeight="1" x14ac:dyDescent="0.3">
      <c r="A377" s="175"/>
      <c r="B377" s="176"/>
      <c r="C377" s="176"/>
      <c r="D377" s="193"/>
      <c r="E377" s="195"/>
      <c r="F377" s="195"/>
      <c r="G377" s="279" t="s">
        <v>144</v>
      </c>
      <c r="H377" s="278" t="s">
        <v>122</v>
      </c>
      <c r="I377" s="187">
        <f ca="1">กำแพงเพชร!I377+เชียงราย!I377+เชียงใหม่!I377+ตาก!I377+นครสวรรค์!I377+น่าน!I377+พะเยา!I377+พิจิตร!I377+พิษณุโลก!I377+เพชรบูรณ์!I377+แพร่!I377+แม่ฮ่องสอน!I377+ลำปาง!I377+ลำพูน!I377+สุโขทัย!I377+อุตรดิตถ์!I377+อุทัยธานี!I377</f>
        <v>1082</v>
      </c>
      <c r="J377" s="203">
        <f ca="1">กำแพงเพชร!J377+เชียงราย!J377+เชียงใหม่!J377+ตาก!J377+นครสวรรค์!J377+น่าน!J377+พะเยา!J377+พิจิตร!J377+พิษณุโลก!J377+เพชรบูรณ์!J377+แพร่!J377+แม่ฮ่องสอน!J377+ลำปาง!J377+ลำพูน!J377+สุโขทัย!J377+อุตรดิตถ์!J377+อุทัยธานี!J377</f>
        <v>190</v>
      </c>
      <c r="K377" s="163">
        <f t="shared" ca="1" si="76"/>
        <v>17.560073937153419</v>
      </c>
      <c r="L377" s="181"/>
      <c r="M377" s="181"/>
      <c r="N377" s="181"/>
      <c r="O377" s="181"/>
      <c r="P377" s="181"/>
    </row>
    <row r="378" spans="1:16" ht="21.75" customHeight="1" x14ac:dyDescent="0.3">
      <c r="A378" s="175"/>
      <c r="B378" s="176"/>
      <c r="C378" s="176"/>
      <c r="D378" s="193"/>
      <c r="E378" s="194" t="s">
        <v>54</v>
      </c>
      <c r="F378" s="195"/>
      <c r="G378" s="196"/>
      <c r="H378" s="186"/>
      <c r="I378" s="187"/>
      <c r="J378" s="197">
        <f ca="1">กำแพงเพชร!J378+เชียงราย!J378+เชียงใหม่!J378+ตาก!J378+นครสวรรค์!J378+น่าน!J378+พะเยา!J378+พิจิตร!J378+พิษณุโลก!J378+เพชรบูรณ์!J378+แพร่!J378+แม่ฮ่องสอน!J378+ลำปาง!J378+ลำพูน!J378+สุโขทัย!J378+อุตรดิตถ์!J378+อุทัยธานี!J378</f>
        <v>1</v>
      </c>
      <c r="K378" s="163"/>
      <c r="L378" s="181"/>
      <c r="M378" s="181"/>
      <c r="N378" s="181"/>
      <c r="O378" s="181"/>
      <c r="P378" s="181"/>
    </row>
    <row r="379" spans="1:16" ht="21.75" customHeight="1" x14ac:dyDescent="0.3">
      <c r="A379" s="175"/>
      <c r="B379" s="176"/>
      <c r="C379" s="176"/>
      <c r="D379" s="205">
        <v>3</v>
      </c>
      <c r="E379" s="206" t="s">
        <v>55</v>
      </c>
      <c r="F379" s="207"/>
      <c r="G379" s="208"/>
      <c r="H379" s="186"/>
      <c r="I379" s="187"/>
      <c r="J379" s="209">
        <f ca="1">กำแพงเพชร!J379+เชียงราย!J379+เชียงใหม่!J379+ตาก!J379+นครสวรรค์!J379+น่าน!J379+พะเยา!J379+พิจิตร!J379+พิษณุโลก!J379+เพชรบูรณ์!J379+แพร่!J379+แม่ฮ่องสอน!J379+ลำปาง!J379+ลำพูน!J379+สุโขทัย!J379+อุตรดิตถ์!J379+อุทัยธานี!J379</f>
        <v>0</v>
      </c>
      <c r="K379" s="163"/>
      <c r="L379" s="181"/>
      <c r="M379" s="181"/>
      <c r="N379" s="181"/>
      <c r="O379" s="181"/>
      <c r="P379" s="181"/>
    </row>
    <row r="380" spans="1:16" ht="21.75" customHeight="1" x14ac:dyDescent="0.3">
      <c r="A380" s="364"/>
      <c r="B380" s="365">
        <v>2</v>
      </c>
      <c r="C380" s="366" t="s">
        <v>145</v>
      </c>
      <c r="D380" s="366"/>
      <c r="E380" s="380"/>
      <c r="F380" s="380"/>
      <c r="G380" s="381"/>
      <c r="H380" s="368" t="s">
        <v>122</v>
      </c>
      <c r="I380" s="369">
        <f ca="1">กำแพงเพชร!I380+เชียงราย!I380+เชียงใหม่!I380+ตาก!I380+นครสวรรค์!I380+น่าน!I380+พะเยา!I380+พิจิตร!I380+พิษณุโลก!I380+เพชรบูรณ์!I380+แพร่!I380+แม่ฮ่องสอน!I380+ลำปาง!I380+ลำพูน!I380+สุโขทัย!I380+อุตรดิตถ์!I380+อุทัยธานี!I380</f>
        <v>13500</v>
      </c>
      <c r="J380" s="369">
        <f ca="1">กำแพงเพชร!J380+เชียงราย!J380+เชียงใหม่!J380+ตาก!J380+นครสวรรค์!J380+น่าน!J380+พะเยา!J380+พิจิตร!J380+พิษณุโลก!J380+เพชรบูรณ์!J380+แพร่!J380+แม่ฮ่องสอน!J380+ลำปาง!J380+ลำพูน!J380+สุโขทัย!J380+อุตรดิตถ์!J380+อุทัยธานี!J380</f>
        <v>1500</v>
      </c>
      <c r="K380" s="370">
        <f t="shared" ref="K380:K381" ca="1" si="77">IF(I380&gt;0,J380*100/I380,0)</f>
        <v>11.111111111111111</v>
      </c>
      <c r="L380" s="371">
        <f ca="1">กำแพงเพชร!L380+เชียงราย!L380+เชียงใหม่!L380+ตาก!L380+นครสวรรค์!L380+น่าน!L380+พะเยา!L380+พิจิตร!L380+พิษณุโลก!L380+เพชรบูรณ์!L380+แพร่!L380+แม่ฮ่องสอน!L380+ลำปาง!L380+ลำพูน!L380+สุโขทัย!L380+อุตรดิตถ์!L380+อุทัยธานี!L380</f>
        <v>13805300</v>
      </c>
      <c r="M380" s="371"/>
      <c r="N380" s="371">
        <f ca="1">กำแพงเพชร!N380+เชียงราย!N380+เชียงใหม่!N380+ตาก!N380+นครสวรรค์!N380+น่าน!N380+พะเยา!N380+พิจิตร!N380+พิษณุโลก!N380+เพชรบูรณ์!N380+แพร่!N380+แม่ฮ่องสอน!N380+ลำปาง!N380+ลำพูน!N380+สุโขทัย!N380+อุตรดิตถ์!N380+อุทัยธานี!N380</f>
        <v>1673842.3699999999</v>
      </c>
      <c r="O380" s="371">
        <f ca="1">+IF(L380&gt;0,N380*100/L380,0)</f>
        <v>12.12463597314075</v>
      </c>
      <c r="P380" s="371"/>
    </row>
    <row r="381" spans="1:16" ht="21.75" customHeight="1" x14ac:dyDescent="0.3">
      <c r="A381" s="364"/>
      <c r="B381" s="365"/>
      <c r="C381" s="366"/>
      <c r="D381" s="382"/>
      <c r="E381" s="383"/>
      <c r="F381" s="383"/>
      <c r="G381" s="384"/>
      <c r="H381" s="368" t="s">
        <v>37</v>
      </c>
      <c r="I381" s="369">
        <f ca="1">กำแพงเพชร!I381+เชียงราย!I381+เชียงใหม่!I381+ตาก!I381+นครสวรรค์!I381+น่าน!I381+พะเยา!I381+พิจิตร!I381+พิษณุโลก!I381+เพชรบูรณ์!I381+แพร่!I381+แม่ฮ่องสอน!I381+ลำปาง!I381+ลำพูน!I381+สุโขทัย!I381+อุตรดิตถ์!I381+อุทัยธานี!I381</f>
        <v>1350</v>
      </c>
      <c r="J381" s="369">
        <f ca="1">กำแพงเพชร!J381+เชียงราย!J381+เชียงใหม่!J381+ตาก!J381+นครสวรรค์!J381+น่าน!J381+พะเยา!J381+พิจิตร!J381+พิษณุโลก!J381+เพชรบูรณ์!J381+แพร่!J381+แม่ฮ่องสอน!J381+ลำปาง!J381+ลำพูน!J381+สุโขทัย!J381+อุตรดิตถ์!J381+อุทัยธานี!J381</f>
        <v>815</v>
      </c>
      <c r="K381" s="370">
        <f t="shared" ca="1" si="77"/>
        <v>60.370370370370374</v>
      </c>
      <c r="L381" s="371"/>
      <c r="M381" s="371"/>
      <c r="N381" s="371"/>
      <c r="O381" s="371"/>
      <c r="P381" s="371"/>
    </row>
    <row r="382" spans="1:16" ht="21.75" customHeight="1" x14ac:dyDescent="0.3">
      <c r="A382" s="156"/>
      <c r="B382" s="157"/>
      <c r="C382" s="157" t="s">
        <v>16</v>
      </c>
      <c r="D382" s="158" t="s">
        <v>38</v>
      </c>
      <c r="E382" s="159"/>
      <c r="F382" s="159"/>
      <c r="G382" s="160" t="s">
        <v>39</v>
      </c>
      <c r="H382" s="161" t="s">
        <v>12</v>
      </c>
      <c r="I382" s="162" t="s">
        <v>40</v>
      </c>
      <c r="J382" s="162"/>
      <c r="K382" s="163"/>
      <c r="L382" s="164">
        <f ca="1">กำแพงเพชร!L382+เชียงราย!L382+เชียงใหม่!L382+ตาก!L382+นครสวรรค์!L382+น่าน!L382+พะเยา!L382+พิจิตร!L382+พิษณุโลก!L382+เพชรบูรณ์!L382+แพร่!L382+แม่ฮ่องสอน!L382+ลำปาง!L382+ลำพูน!L382+สุโขทัย!L382+อุตรดิตถ์!L382+อุทัยธานี!L382</f>
        <v>0</v>
      </c>
      <c r="M382" s="164"/>
      <c r="N382" s="164">
        <f ca="1">กำแพงเพชร!N382+เชียงราย!N382+เชียงใหม่!N382+ตาก!N382+นครสวรรค์!N382+น่าน!N382+พะเยา!N382+พิจิตร!N382+พิษณุโลก!N382+เพชรบูรณ์!N382+แพร่!N382+แม่ฮ่องสอน!N382+ลำปาง!N382+ลำพูน!N382+สุโขทัย!N382+อุตรดิตถ์!N382+อุทัยธานี!N382</f>
        <v>0</v>
      </c>
      <c r="O382" s="165">
        <f t="shared" ref="O382:O385" ca="1" si="78">+IF(L382&gt;0,N382*100/L382,0)</f>
        <v>0</v>
      </c>
      <c r="P382" s="165"/>
    </row>
    <row r="383" spans="1:16" ht="21.75" customHeight="1" x14ac:dyDescent="0.3">
      <c r="A383" s="156"/>
      <c r="B383" s="157"/>
      <c r="C383" s="157"/>
      <c r="D383" s="166"/>
      <c r="E383" s="159"/>
      <c r="F383" s="159" t="s">
        <v>40</v>
      </c>
      <c r="G383" s="160" t="s">
        <v>41</v>
      </c>
      <c r="H383" s="161" t="s">
        <v>12</v>
      </c>
      <c r="I383" s="162"/>
      <c r="J383" s="162"/>
      <c r="K383" s="163"/>
      <c r="L383" s="165">
        <f ca="1">กำแพงเพชร!L383+เชียงราย!L383+เชียงใหม่!L383+ตาก!L383+นครสวรรค์!L383+น่าน!L383+พะเยา!L383+พิจิตร!L383+พิษณุโลก!L383+เพชรบูรณ์!L383+แพร่!L383+แม่ฮ่องสอน!L383+ลำปาง!L383+ลำพูน!L383+สุโขทัย!L383+อุตรดิตถ์!L383+อุทัยธานี!L383</f>
        <v>13805300</v>
      </c>
      <c r="M383" s="165"/>
      <c r="N383" s="165">
        <f ca="1">กำแพงเพชร!N383+เชียงราย!N383+เชียงใหม่!N383+ตาก!N383+นครสวรรค์!N383+น่าน!N383+พะเยา!N383+พิจิตร!N383+พิษณุโลก!N383+เพชรบูรณ์!N383+แพร่!N383+แม่ฮ่องสอน!N383+ลำปาง!N383+ลำพูน!N383+สุโขทัย!N383+อุตรดิตถ์!N383+อุทัยธานี!N383</f>
        <v>1673842.3699999999</v>
      </c>
      <c r="O383" s="165">
        <f t="shared" ca="1" si="78"/>
        <v>12.12463597314075</v>
      </c>
      <c r="P383" s="165"/>
    </row>
    <row r="384" spans="1:16" ht="21.75" customHeight="1" x14ac:dyDescent="0.3">
      <c r="A384" s="156"/>
      <c r="B384" s="157"/>
      <c r="C384" s="157"/>
      <c r="D384" s="166"/>
      <c r="E384" s="159"/>
      <c r="F384" s="159"/>
      <c r="G384" s="372" t="s">
        <v>129</v>
      </c>
      <c r="H384" s="161" t="s">
        <v>12</v>
      </c>
      <c r="I384" s="162"/>
      <c r="J384" s="162"/>
      <c r="K384" s="163"/>
      <c r="L384" s="168">
        <f ca="1">กำแพงเพชร!L384+เชียงราย!L384+เชียงใหม่!L384+ตาก!L384+นครสวรรค์!L384+น่าน!L384+พะเยา!L384+พิจิตร!L384+พิษณุโลก!L384+เพชรบูรณ์!L384+แพร่!L384+แม่ฮ่องสอน!L384+ลำปาง!L384+ลำพูน!L384+สุโขทัย!L384+อุตรดิตถ์!L384+อุทัยธานี!L384</f>
        <v>0</v>
      </c>
      <c r="M384" s="168"/>
      <c r="N384" s="168">
        <f ca="1">กำแพงเพชร!N384+เชียงราย!N384+เชียงใหม่!N384+ตาก!N384+นครสวรรค์!N384+น่าน!N384+พะเยา!N384+พิจิตร!N384+พิษณุโลก!N384+เพชรบูรณ์!N384+แพร่!N384+แม่ฮ่องสอน!N384+ลำปาง!N384+ลำพูน!N384+สุโขทัย!N384+อุตรดิตถ์!N384+อุทัยธานี!N384</f>
        <v>0</v>
      </c>
      <c r="O384" s="168">
        <f t="shared" ca="1" si="78"/>
        <v>0</v>
      </c>
      <c r="P384" s="168"/>
    </row>
    <row r="385" spans="1:16" ht="21.75" customHeight="1" x14ac:dyDescent="0.3">
      <c r="A385" s="156"/>
      <c r="B385" s="157"/>
      <c r="C385" s="157"/>
      <c r="D385" s="166"/>
      <c r="E385" s="159"/>
      <c r="F385" s="159"/>
      <c r="G385" s="372" t="s">
        <v>130</v>
      </c>
      <c r="H385" s="161" t="s">
        <v>12</v>
      </c>
      <c r="I385" s="162"/>
      <c r="J385" s="162"/>
      <c r="K385" s="163"/>
      <c r="L385" s="168">
        <f ca="1">กำแพงเพชร!L385+เชียงราย!L385+เชียงใหม่!L385+ตาก!L385+นครสวรรค์!L385+น่าน!L385+พะเยา!L385+พิจิตร!L385+พิษณุโลก!L385+เพชรบูรณ์!L385+แพร่!L385+แม่ฮ่องสอน!L385+ลำปาง!L385+ลำพูน!L385+สุโขทัย!L385+อุตรดิตถ์!L385+อุทัยธานี!L385</f>
        <v>13805300</v>
      </c>
      <c r="M385" s="168"/>
      <c r="N385" s="167">
        <f ca="1">กำแพงเพชร!N385+เชียงราย!N385+เชียงใหม่!N385+ตาก!N385+นครสวรรค์!N385+น่าน!N385+พะเยา!N385+พิจิตร!N385+พิษณุโลก!N385+เพชรบูรณ์!N385+แพร่!N385+แม่ฮ่องสอน!N385+ลำปาง!N385+ลำพูน!N385+สุโขทัย!N385+อุตรดิตถ์!N385+อุทัยธานี!N385</f>
        <v>1673842.3699999999</v>
      </c>
      <c r="O385" s="168">
        <f t="shared" ca="1" si="78"/>
        <v>12.12463597314075</v>
      </c>
      <c r="P385" s="168"/>
    </row>
    <row r="386" spans="1:16" ht="21.75" customHeight="1" x14ac:dyDescent="0.3">
      <c r="A386" s="373"/>
      <c r="B386" s="374"/>
      <c r="C386" s="157"/>
      <c r="D386" s="375"/>
      <c r="E386" s="159"/>
      <c r="F386" s="159"/>
      <c r="G386" s="376" t="s">
        <v>131</v>
      </c>
      <c r="H386" s="161" t="s">
        <v>12</v>
      </c>
      <c r="I386" s="187"/>
      <c r="J386" s="187"/>
      <c r="K386" s="223"/>
      <c r="L386" s="168"/>
      <c r="M386" s="168"/>
      <c r="N386" s="377">
        <f ca="1">กำแพงเพชร!N386+เชียงราย!N386+เชียงใหม่!N386+ตาก!N386+นครสวรรค์!N386+น่าน!N386+พะเยา!N386+พิจิตร!N386+พิษณุโลก!N386+เพชรบูรณ์!N386+แพร่!N386+แม่ฮ่องสอน!N386+ลำปาง!N386+ลำพูน!N386+สุโขทัย!N386+อุตรดิตถ์!N386+อุทัยธานี!N386</f>
        <v>778921</v>
      </c>
      <c r="O386" s="168"/>
      <c r="P386" s="168"/>
    </row>
    <row r="387" spans="1:16" ht="21.75" customHeight="1" x14ac:dyDescent="0.3">
      <c r="A387" s="373"/>
      <c r="B387" s="374"/>
      <c r="C387" s="157"/>
      <c r="D387" s="375"/>
      <c r="E387" s="159"/>
      <c r="F387" s="159"/>
      <c r="G387" s="376" t="s">
        <v>132</v>
      </c>
      <c r="H387" s="161" t="s">
        <v>12</v>
      </c>
      <c r="I387" s="187"/>
      <c r="J387" s="187"/>
      <c r="K387" s="223"/>
      <c r="L387" s="168"/>
      <c r="M387" s="168"/>
      <c r="N387" s="377">
        <f ca="1">กำแพงเพชร!N387+เชียงราย!N387+เชียงใหม่!N387+ตาก!N387+นครสวรรค์!N387+น่าน!N387+พะเยา!N387+พิจิตร!N387+พิษณุโลก!N387+เพชรบูรณ์!N387+แพร่!N387+แม่ฮ่องสอน!N387+ลำปาง!N387+ลำพูน!N387+สุโขทัย!N387+อุตรดิตถ์!N387+อุทัยธานี!N387</f>
        <v>312500</v>
      </c>
      <c r="O387" s="168"/>
      <c r="P387" s="168"/>
    </row>
    <row r="388" spans="1:16" ht="21.75" customHeight="1" x14ac:dyDescent="0.3">
      <c r="A388" s="373"/>
      <c r="B388" s="374"/>
      <c r="C388" s="157"/>
      <c r="D388" s="375"/>
      <c r="E388" s="159"/>
      <c r="F388" s="159"/>
      <c r="G388" s="376" t="s">
        <v>133</v>
      </c>
      <c r="H388" s="161" t="s">
        <v>12</v>
      </c>
      <c r="I388" s="187"/>
      <c r="J388" s="187"/>
      <c r="K388" s="223"/>
      <c r="L388" s="168"/>
      <c r="M388" s="168"/>
      <c r="N388" s="377">
        <f ca="1">กำแพงเพชร!N388+เชียงราย!N388+เชียงใหม่!N388+ตาก!N388+นครสวรรค์!N388+น่าน!N388+พะเยา!N388+พิจิตร!N388+พิษณุโลก!N388+เพชรบูรณ์!N388+แพร่!N388+แม่ฮ่องสอน!N388+ลำปาง!N388+ลำพูน!N388+สุโขทัย!N388+อุตรดิตถ์!N388+อุทัยธานี!N388</f>
        <v>459822.37000000005</v>
      </c>
      <c r="O388" s="168"/>
      <c r="P388" s="168"/>
    </row>
    <row r="389" spans="1:16" ht="21.75" customHeight="1" x14ac:dyDescent="0.3">
      <c r="A389" s="373"/>
      <c r="B389" s="374"/>
      <c r="C389" s="157"/>
      <c r="D389" s="375"/>
      <c r="E389" s="159"/>
      <c r="F389" s="159"/>
      <c r="G389" s="376" t="s">
        <v>134</v>
      </c>
      <c r="H389" s="161" t="s">
        <v>12</v>
      </c>
      <c r="I389" s="187"/>
      <c r="J389" s="187"/>
      <c r="K389" s="223"/>
      <c r="L389" s="168"/>
      <c r="M389" s="168"/>
      <c r="N389" s="377">
        <f ca="1">กำแพงเพชร!N389+เชียงราย!N389+เชียงใหม่!N389+ตาก!N389+นครสวรรค์!N389+น่าน!N389+พะเยา!N389+พิจิตร!N389+พิษณุโลก!N389+เพชรบูรณ์!N389+แพร่!N389+แม่ฮ่องสอน!N389+ลำปาง!N389+ลำพูน!N389+สุโขทัย!N389+อุตรดิตถ์!N389+อุทัยธานี!N389</f>
        <v>122599</v>
      </c>
      <c r="O389" s="168"/>
      <c r="P389" s="168"/>
    </row>
    <row r="390" spans="1:16" ht="21.75" customHeight="1" x14ac:dyDescent="0.3">
      <c r="A390" s="175"/>
      <c r="B390" s="176"/>
      <c r="C390" s="157" t="s">
        <v>16</v>
      </c>
      <c r="D390" s="177" t="s">
        <v>44</v>
      </c>
      <c r="E390" s="178"/>
      <c r="F390" s="178"/>
      <c r="G390" s="179"/>
      <c r="H390" s="180"/>
      <c r="I390" s="162"/>
      <c r="J390" s="162"/>
      <c r="K390" s="163"/>
      <c r="L390" s="181"/>
      <c r="M390" s="181"/>
      <c r="N390" s="181"/>
      <c r="O390" s="181"/>
      <c r="P390" s="181"/>
    </row>
    <row r="391" spans="1:16" ht="21.75" customHeight="1" x14ac:dyDescent="0.3">
      <c r="A391" s="175"/>
      <c r="B391" s="176"/>
      <c r="C391" s="176"/>
      <c r="D391" s="182">
        <v>1</v>
      </c>
      <c r="E391" s="183" t="s">
        <v>45</v>
      </c>
      <c r="F391" s="184"/>
      <c r="G391" s="185"/>
      <c r="H391" s="186"/>
      <c r="I391" s="187"/>
      <c r="J391" s="197">
        <f ca="1">กำแพงเพชร!J391+เชียงราย!J391+เชียงใหม่!J391+ตาก!J391+นครสวรรค์!J391+น่าน!J391+พะเยา!J391+พิจิตร!J391+พิษณุโลก!J391+เพชรบูรณ์!J391+แพร่!J391+แม่ฮ่องสอน!J391+ลำปาง!J391+ลำพูน!J391+สุโขทัย!J391+อุตรดิตถ์!J391+อุทัยธานี!J391</f>
        <v>0</v>
      </c>
      <c r="K391" s="163"/>
      <c r="L391" s="181"/>
      <c r="M391" s="181"/>
      <c r="N391" s="181"/>
      <c r="O391" s="181"/>
      <c r="P391" s="181"/>
    </row>
    <row r="392" spans="1:16" ht="21.75" customHeight="1" x14ac:dyDescent="0.3">
      <c r="A392" s="175"/>
      <c r="B392" s="176"/>
      <c r="C392" s="176"/>
      <c r="D392" s="189">
        <v>2</v>
      </c>
      <c r="E392" s="190" t="s">
        <v>46</v>
      </c>
      <c r="F392" s="191"/>
      <c r="G392" s="192"/>
      <c r="H392" s="186"/>
      <c r="I392" s="187"/>
      <c r="J392" s="188">
        <f ca="1">กำแพงเพชร!J392+เชียงราย!J392+เชียงใหม่!J392+ตาก!J392+นครสวรรค์!J392+น่าน!J392+พะเยา!J392+พิจิตร!J392+พิษณุโลก!J392+เพชรบูรณ์!J392+แพร่!J392+แม่ฮ่องสอน!J392+ลำปาง!J392+ลำพูน!J392+สุโขทัย!J392+อุตรดิตถ์!J392+อุทัยธานี!J392</f>
        <v>17</v>
      </c>
      <c r="K392" s="163"/>
      <c r="L392" s="181" t="s">
        <v>40</v>
      </c>
      <c r="M392" s="181"/>
      <c r="N392" s="181" t="s">
        <v>40</v>
      </c>
      <c r="O392" s="181"/>
      <c r="P392" s="181"/>
    </row>
    <row r="393" spans="1:16" ht="21.75" customHeight="1" x14ac:dyDescent="0.3">
      <c r="A393" s="175"/>
      <c r="B393" s="176"/>
      <c r="C393" s="176"/>
      <c r="D393" s="193"/>
      <c r="E393" s="194" t="s">
        <v>47</v>
      </c>
      <c r="F393" s="195"/>
      <c r="G393" s="196"/>
      <c r="H393" s="186"/>
      <c r="I393" s="187"/>
      <c r="J393" s="188">
        <f ca="1">กำแพงเพชร!J393+เชียงราย!J393+เชียงใหม่!J393+ตาก!J393+นครสวรรค์!J393+น่าน!J393+พะเยา!J393+พิจิตร!J393+พิษณุโลก!J393+เพชรบูรณ์!J393+แพร่!J393+แม่ฮ่องสอน!J393+ลำปาง!J393+ลำพูน!J393+สุโขทัย!J393+อุตรดิตถ์!J393+อุทัยธานี!J393</f>
        <v>16</v>
      </c>
      <c r="K393" s="163"/>
      <c r="L393" s="181"/>
      <c r="M393" s="181"/>
      <c r="N393" s="181"/>
      <c r="O393" s="181"/>
      <c r="P393" s="181"/>
    </row>
    <row r="394" spans="1:16" ht="21.75" customHeight="1" x14ac:dyDescent="0.3">
      <c r="A394" s="175"/>
      <c r="B394" s="176"/>
      <c r="C394" s="176"/>
      <c r="D394" s="193"/>
      <c r="E394" s="194" t="s">
        <v>48</v>
      </c>
      <c r="F394" s="195"/>
      <c r="G394" s="196"/>
      <c r="H394" s="186"/>
      <c r="I394" s="187"/>
      <c r="J394" s="197">
        <f ca="1">กำแพงเพชร!J394+เชียงราย!J394+เชียงใหม่!J394+ตาก!J394+นครสวรรค์!J394+น่าน!J394+พะเยา!J394+พิจิตร!J394+พิษณุโลก!J394+เพชรบูรณ์!J394+แพร่!J394+แม่ฮ่องสอน!J394+ลำปาง!J394+ลำพูน!J394+สุโขทัย!J394+อุตรดิตถ์!J394+อุทัยธานี!J394</f>
        <v>15</v>
      </c>
      <c r="K394" s="163"/>
      <c r="L394" s="181"/>
      <c r="M394" s="181"/>
      <c r="N394" s="181"/>
      <c r="O394" s="181"/>
      <c r="P394" s="181"/>
    </row>
    <row r="395" spans="1:16" ht="21.75" customHeight="1" x14ac:dyDescent="0.3">
      <c r="A395" s="175"/>
      <c r="B395" s="176"/>
      <c r="C395" s="176"/>
      <c r="D395" s="193"/>
      <c r="E395" s="198"/>
      <c r="F395" s="194" t="s">
        <v>146</v>
      </c>
      <c r="G395" s="195"/>
      <c r="H395" s="186"/>
      <c r="I395" s="187"/>
      <c r="J395" s="187"/>
      <c r="K395" s="163"/>
      <c r="L395" s="181"/>
      <c r="M395" s="181"/>
      <c r="N395" s="181"/>
      <c r="O395" s="181"/>
      <c r="P395" s="181"/>
    </row>
    <row r="396" spans="1:16" ht="21.75" customHeight="1" x14ac:dyDescent="0.3">
      <c r="A396" s="175"/>
      <c r="B396" s="176"/>
      <c r="C396" s="176"/>
      <c r="D396" s="193"/>
      <c r="E396" s="198"/>
      <c r="F396" s="195"/>
      <c r="G396" s="291" t="s">
        <v>70</v>
      </c>
      <c r="H396" s="186" t="s">
        <v>37</v>
      </c>
      <c r="I396" s="187">
        <f ca="1">กำแพงเพชร!I396+เชียงราย!I396+เชียงใหม่!I396+ตาก!I396+นครสวรรค์!I396+น่าน!I396+พะเยา!I396+พิจิตร!I396+พิษณุโลก!I396+เพชรบูรณ์!I396+แพร่!I396+แม่ฮ่องสอน!I396+ลำปาง!I396+ลำพูน!I396+สุโขทัย!I396+อุตรดิตถ์!I396+อุทัยธานี!I396</f>
        <v>1350</v>
      </c>
      <c r="J396" s="197">
        <f ca="1">กำแพงเพชร!J396+เชียงราย!J396+เชียงใหม่!J396+ตาก!J396+นครสวรรค์!J396+น่าน!J396+พะเยา!J396+พิจิตร!J396+พิษณุโลก!J396+เพชรบูรณ์!J396+แพร่!J396+แม่ฮ่องสอน!J396+ลำปาง!J396+ลำพูน!J396+สุโขทัย!J396+อุตรดิตถ์!J396+อุทัยธานี!J396</f>
        <v>815</v>
      </c>
      <c r="K396" s="163">
        <f t="shared" ref="K396:K398" ca="1" si="79">IF(I396&gt;0,J396*100/I396,0)</f>
        <v>60.370370370370374</v>
      </c>
      <c r="L396" s="181"/>
      <c r="M396" s="181"/>
      <c r="N396" s="181"/>
      <c r="O396" s="181"/>
      <c r="P396" s="181"/>
    </row>
    <row r="397" spans="1:16" ht="21.75" customHeight="1" x14ac:dyDescent="0.3">
      <c r="A397" s="175"/>
      <c r="B397" s="176"/>
      <c r="C397" s="176"/>
      <c r="D397" s="193"/>
      <c r="E397" s="198"/>
      <c r="F397" s="195"/>
      <c r="G397" s="196" t="s">
        <v>53</v>
      </c>
      <c r="H397" s="186" t="s">
        <v>122</v>
      </c>
      <c r="I397" s="187">
        <f ca="1">กำแพงเพชร!I397+เชียงราย!I397+เชียงใหม่!I397+ตาก!I397+นครสวรรค์!I397+น่าน!I397+พะเยา!I397+พิจิตร!I397+พิษณุโลก!I397+เพชรบูรณ์!I397+แพร่!I397+แม่ฮ่องสอน!I397+ลำปาง!I397+ลำพูน!I397+สุโขทัย!I397+อุตรดิตถ์!I397+อุทัยธานี!I397</f>
        <v>13500</v>
      </c>
      <c r="J397" s="197">
        <f ca="1">กำแพงเพชร!J397+เชียงราย!J397+เชียงใหม่!J397+ตาก!J397+นครสวรรค์!J397+น่าน!J397+พะเยา!J397+พิจิตร!J397+พิษณุโลก!J397+เพชรบูรณ์!J397+แพร่!J397+แม่ฮ่องสอน!J397+ลำปาง!J397+ลำพูน!J397+สุโขทัย!J397+อุตรดิตถ์!J397+อุทัยธานี!J397</f>
        <v>1500</v>
      </c>
      <c r="K397" s="163">
        <f t="shared" ca="1" si="79"/>
        <v>11.111111111111111</v>
      </c>
      <c r="L397" s="181"/>
      <c r="M397" s="181"/>
      <c r="N397" s="181"/>
      <c r="O397" s="181"/>
      <c r="P397" s="181"/>
    </row>
    <row r="398" spans="1:16" ht="21.75" customHeight="1" x14ac:dyDescent="0.3">
      <c r="A398" s="175"/>
      <c r="B398" s="176"/>
      <c r="C398" s="176"/>
      <c r="D398" s="193"/>
      <c r="E398" s="198"/>
      <c r="F398" s="195"/>
      <c r="G398" s="196"/>
      <c r="H398" s="186" t="s">
        <v>37</v>
      </c>
      <c r="I398" s="187">
        <f ca="1">กำแพงเพชร!I398+เชียงราย!I398+เชียงใหม่!I398+ตาก!I398+นครสวรรค์!I398+น่าน!I398+พะเยา!I398+พิจิตร!I398+พิษณุโลก!I398+เพชรบูรณ์!I398+แพร่!I398+แม่ฮ่องสอน!I398+ลำปาง!I398+ลำพูน!I398+สุโขทัย!I398+อุตรดิตถ์!I398+อุทัยธานี!I398</f>
        <v>1350</v>
      </c>
      <c r="J398" s="197">
        <f ca="1">กำแพงเพชร!J398+เชียงราย!J398+เชียงใหม่!J398+ตาก!J398+นครสวรรค์!J398+น่าน!J398+พะเยา!J398+พิจิตร!J398+พิษณุโลก!J398+เพชรบูรณ์!J398+แพร่!J398+แม่ฮ่องสอน!J398+ลำปาง!J398+ลำพูน!J398+สุโขทัย!J398+อุตรดิตถ์!J398+อุทัยธานี!J398</f>
        <v>50</v>
      </c>
      <c r="K398" s="163">
        <f t="shared" ca="1" si="79"/>
        <v>3.7037037037037037</v>
      </c>
      <c r="L398" s="181"/>
      <c r="M398" s="181"/>
      <c r="N398" s="181"/>
      <c r="O398" s="181"/>
      <c r="P398" s="181"/>
    </row>
    <row r="399" spans="1:16" ht="21.75" customHeight="1" x14ac:dyDescent="0.3">
      <c r="A399" s="175"/>
      <c r="B399" s="176"/>
      <c r="C399" s="176"/>
      <c r="D399" s="193"/>
      <c r="E399" s="194" t="s">
        <v>54</v>
      </c>
      <c r="F399" s="195"/>
      <c r="G399" s="196"/>
      <c r="H399" s="186"/>
      <c r="I399" s="187"/>
      <c r="J399" s="197">
        <f ca="1">กำแพงเพชร!J399+เชียงราย!J399+เชียงใหม่!J399+ตาก!J399+นครสวรรค์!J399+น่าน!J399+พะเยา!J399+พิจิตร!J399+พิษณุโลก!J399+เพชรบูรณ์!J399+แพร่!J399+แม่ฮ่องสอน!J399+ลำปาง!J399+ลำพูน!J399+สุโขทัย!J399+อุตรดิตถ์!J399+อุทัยธานี!J399</f>
        <v>0</v>
      </c>
      <c r="K399" s="163"/>
      <c r="L399" s="181"/>
      <c r="M399" s="181"/>
      <c r="N399" s="181"/>
      <c r="O399" s="181"/>
      <c r="P399" s="181"/>
    </row>
    <row r="400" spans="1:16" ht="21.75" customHeight="1" x14ac:dyDescent="0.3">
      <c r="A400" s="175"/>
      <c r="B400" s="176"/>
      <c r="C400" s="176"/>
      <c r="D400" s="205">
        <v>3</v>
      </c>
      <c r="E400" s="206" t="s">
        <v>55</v>
      </c>
      <c r="F400" s="207"/>
      <c r="G400" s="208"/>
      <c r="H400" s="186"/>
      <c r="I400" s="187"/>
      <c r="J400" s="209">
        <f ca="1">กำแพงเพชร!J400+เชียงราย!J400+เชียงใหม่!J400+ตาก!J400+นครสวรรค์!J400+น่าน!J400+พะเยา!J400+พิจิตร!J400+พิษณุโลก!J400+เพชรบูรณ์!J400+แพร่!J400+แม่ฮ่องสอน!J400+ลำปาง!J400+ลำพูน!J400+สุโขทัย!J400+อุตรดิตถ์!J400+อุทัยธานี!J400</f>
        <v>0</v>
      </c>
      <c r="K400" s="163"/>
      <c r="L400" s="181"/>
      <c r="M400" s="181"/>
      <c r="N400" s="181"/>
      <c r="O400" s="181"/>
      <c r="P400" s="181"/>
    </row>
    <row r="401" spans="1:16" ht="21.75" customHeight="1" x14ac:dyDescent="0.3">
      <c r="A401" s="364"/>
      <c r="B401" s="365">
        <v>3</v>
      </c>
      <c r="C401" s="365" t="s">
        <v>147</v>
      </c>
      <c r="D401" s="366"/>
      <c r="E401" s="366"/>
      <c r="F401" s="366"/>
      <c r="G401" s="367"/>
      <c r="H401" s="368" t="s">
        <v>122</v>
      </c>
      <c r="I401" s="369">
        <f ca="1">กำแพงเพชร!I401+เชียงราย!I401+เชียงใหม่!I401+ตาก!I401+นครสวรรค์!I401+น่าน!I401+พะเยา!I401+พิจิตร!I401+พิษณุโลก!I401+เพชรบูรณ์!I401+แพร่!I401+แม่ฮ่องสอน!I401+ลำปาง!I401+ลำพูน!I401+สุโขทัย!I401+อุตรดิตถ์!I401+อุทัยธานี!I401</f>
        <v>2871</v>
      </c>
      <c r="J401" s="369">
        <f ca="1">กำแพงเพชร!J401+เชียงราย!J401+เชียงใหม่!J401+ตาก!J401+นครสวรรค์!J401+น่าน!J401+พะเยา!J401+พิจิตร!J401+พิษณุโลก!J401+เพชรบูรณ์!J401+แพร่!J401+แม่ฮ่องสอน!J401+ลำปาง!J401+ลำพูน!J401+สุโขทัย!J401+อุตรดิตถ์!J401+อุทัยธานี!J401</f>
        <v>741</v>
      </c>
      <c r="K401" s="370">
        <f t="shared" ref="K401:K402" ca="1" si="80">IF(I401&gt;0,J401*100/I401,0)</f>
        <v>25.809822361546498</v>
      </c>
      <c r="L401" s="371">
        <f ca="1">กำแพงเพชร!L401+เชียงราย!L401+เชียงใหม่!L401+ตาก!L401+นครสวรรค์!L401+น่าน!L401+พะเยา!L401+พิจิตร!L401+พิษณุโลก!L401+เพชรบูรณ์!L401+แพร่!L401+แม่ฮ่องสอน!L401+ลำปาง!L401+ลำพูน!L401+สุโขทัย!L401+อุตรดิตถ์!L401+อุทัยธานี!L401</f>
        <v>3226520</v>
      </c>
      <c r="M401" s="371"/>
      <c r="N401" s="371">
        <f ca="1">กำแพงเพชร!N401+เชียงราย!N401+เชียงใหม่!N401+ตาก!N401+นครสวรรค์!N401+น่าน!N401+พะเยา!N401+พิจิตร!N401+พิษณุโลก!N401+เพชรบูรณ์!N401+แพร่!N401+แม่ฮ่องสอน!N401+ลำปาง!N401+ลำพูน!N401+สุโขทัย!N401+อุตรดิตถ์!N401+อุทัยธานี!N401</f>
        <v>1126766</v>
      </c>
      <c r="O401" s="371">
        <f ca="1">+IF(L401&gt;0,N401*100/L401,0)</f>
        <v>34.922021248899746</v>
      </c>
      <c r="P401" s="371"/>
    </row>
    <row r="402" spans="1:16" ht="21.75" customHeight="1" x14ac:dyDescent="0.3">
      <c r="A402" s="364"/>
      <c r="B402" s="365"/>
      <c r="C402" s="365"/>
      <c r="D402" s="382"/>
      <c r="E402" s="382"/>
      <c r="F402" s="382"/>
      <c r="G402" s="385"/>
      <c r="H402" s="368" t="s">
        <v>37</v>
      </c>
      <c r="I402" s="369">
        <f ca="1">กำแพงเพชร!I402+เชียงราย!I402+เชียงใหม่!I402+ตาก!I402+นครสวรรค์!I402+น่าน!I402+พะเยา!I402+พิจิตร!I402+พิษณุโลก!I402+เพชรบูรณ์!I402+แพร่!I402+แม่ฮ่องสอน!I402+ลำปาง!I402+ลำพูน!I402+สุโขทัย!I402+อุตรดิตถ์!I402+อุทัยธานี!I402</f>
        <v>957</v>
      </c>
      <c r="J402" s="369">
        <f ca="1">กำแพงเพชร!J402+เชียงราย!J402+เชียงใหม่!J402+ตาก!J402+นครสวรรค์!J402+น่าน!J402+พะเยา!J402+พิจิตร!J402+พิษณุโลก!J402+เพชรบูรณ์!J402+แพร่!J402+แม่ฮ่องสอน!J402+ลำปาง!J402+ลำพูน!J402+สุโขทัย!J402+อุตรดิตถ์!J402+อุทัยธานี!J402</f>
        <v>438</v>
      </c>
      <c r="K402" s="370">
        <f t="shared" ca="1" si="80"/>
        <v>45.768025078369909</v>
      </c>
      <c r="L402" s="371"/>
      <c r="M402" s="371"/>
      <c r="N402" s="371"/>
      <c r="O402" s="371"/>
      <c r="P402" s="371"/>
    </row>
    <row r="403" spans="1:16" ht="21.75" customHeight="1" x14ac:dyDescent="0.3">
      <c r="A403" s="156"/>
      <c r="B403" s="157"/>
      <c r="C403" s="157" t="s">
        <v>16</v>
      </c>
      <c r="D403" s="158" t="s">
        <v>38</v>
      </c>
      <c r="E403" s="159"/>
      <c r="F403" s="159"/>
      <c r="G403" s="160" t="s">
        <v>39</v>
      </c>
      <c r="H403" s="161" t="s">
        <v>12</v>
      </c>
      <c r="I403" s="162" t="s">
        <v>40</v>
      </c>
      <c r="J403" s="162"/>
      <c r="K403" s="163"/>
      <c r="L403" s="164">
        <f ca="1">กำแพงเพชร!L403+เชียงราย!L403+เชียงใหม่!L403+ตาก!L403+นครสวรรค์!L403+น่าน!L403+พะเยา!L403+พิจิตร!L403+พิษณุโลก!L403+เพชรบูรณ์!L403+แพร่!L403+แม่ฮ่องสอน!L403+ลำปาง!L403+ลำพูน!L403+สุโขทัย!L403+อุตรดิตถ์!L403+อุทัยธานี!L403</f>
        <v>0</v>
      </c>
      <c r="M403" s="164"/>
      <c r="N403" s="168">
        <f ca="1">กำแพงเพชร!N403+เชียงราย!N403+เชียงใหม่!N403+ตาก!N403+นครสวรรค์!N403+น่าน!N403+พะเยา!N403+พิจิตร!N403+พิษณุโลก!N403+เพชรบูรณ์!N403+แพร่!N403+แม่ฮ่องสอน!N403+ลำปาง!N403+ลำพูน!N403+สุโขทัย!N403+อุตรดิตถ์!N403+อุทัยธานี!N403</f>
        <v>0</v>
      </c>
      <c r="O403" s="168">
        <f t="shared" ref="O403:O406" ca="1" si="81">+IF(L403&gt;0,N403*100/L403,0)</f>
        <v>0</v>
      </c>
      <c r="P403" s="168"/>
    </row>
    <row r="404" spans="1:16" ht="21.75" customHeight="1" x14ac:dyDescent="0.3">
      <c r="A404" s="156"/>
      <c r="B404" s="157"/>
      <c r="C404" s="157"/>
      <c r="D404" s="166"/>
      <c r="E404" s="159"/>
      <c r="F404" s="159" t="s">
        <v>40</v>
      </c>
      <c r="G404" s="160" t="s">
        <v>41</v>
      </c>
      <c r="H404" s="161" t="s">
        <v>12</v>
      </c>
      <c r="I404" s="162"/>
      <c r="J404" s="162"/>
      <c r="K404" s="163"/>
      <c r="L404" s="165">
        <f ca="1">กำแพงเพชร!L404+เชียงราย!L404+เชียงใหม่!L404+ตาก!L404+นครสวรรค์!L404+น่าน!L404+พะเยา!L404+พิจิตร!L404+พิษณุโลก!L404+เพชรบูรณ์!L404+แพร่!L404+แม่ฮ่องสอน!L404+ลำปาง!L404+ลำพูน!L404+สุโขทัย!L404+อุตรดิตถ์!L404+อุทัยธานี!L404</f>
        <v>3226520</v>
      </c>
      <c r="M404" s="165"/>
      <c r="N404" s="168">
        <f ca="1">กำแพงเพชร!N404+เชียงราย!N404+เชียงใหม่!N404+ตาก!N404+นครสวรรค์!N404+น่าน!N404+พะเยา!N404+พิจิตร!N404+พิษณุโลก!N404+เพชรบูรณ์!N404+แพร่!N404+แม่ฮ่องสอน!N404+ลำปาง!N404+ลำพูน!N404+สุโขทัย!N404+อุตรดิตถ์!N404+อุทัยธานี!N404</f>
        <v>1126766</v>
      </c>
      <c r="O404" s="168">
        <f t="shared" ca="1" si="81"/>
        <v>34.922021248899746</v>
      </c>
      <c r="P404" s="168"/>
    </row>
    <row r="405" spans="1:16" ht="21.75" customHeight="1" x14ac:dyDescent="0.3">
      <c r="A405" s="156"/>
      <c r="B405" s="157"/>
      <c r="C405" s="157"/>
      <c r="D405" s="166"/>
      <c r="E405" s="159"/>
      <c r="F405" s="159"/>
      <c r="G405" s="372" t="s">
        <v>129</v>
      </c>
      <c r="H405" s="161" t="s">
        <v>12</v>
      </c>
      <c r="I405" s="162"/>
      <c r="J405" s="162"/>
      <c r="K405" s="163"/>
      <c r="L405" s="168">
        <f ca="1">กำแพงเพชร!L405+เชียงราย!L405+เชียงใหม่!L405+ตาก!L405+นครสวรรค์!L405+น่าน!L405+พะเยา!L405+พิจิตร!L405+พิษณุโลก!L405+เพชรบูรณ์!L405+แพร่!L405+แม่ฮ่องสอน!L405+ลำปาง!L405+ลำพูน!L405+สุโขทัย!L405+อุตรดิตถ์!L405+อุทัยธานี!L405</f>
        <v>0</v>
      </c>
      <c r="M405" s="168"/>
      <c r="N405" s="168">
        <f ca="1">กำแพงเพชร!N405+เชียงราย!N405+เชียงใหม่!N405+ตาก!N405+นครสวรรค์!N405+น่าน!N405+พะเยา!N405+พิจิตร!N405+พิษณุโลก!N405+เพชรบูรณ์!N405+แพร่!N405+แม่ฮ่องสอน!N405+ลำปาง!N405+ลำพูน!N405+สุโขทัย!N405+อุตรดิตถ์!N405+อุทัยธานี!N405</f>
        <v>0</v>
      </c>
      <c r="O405" s="168">
        <f t="shared" ca="1" si="81"/>
        <v>0</v>
      </c>
      <c r="P405" s="168"/>
    </row>
    <row r="406" spans="1:16" ht="21.75" customHeight="1" x14ac:dyDescent="0.3">
      <c r="A406" s="156"/>
      <c r="B406" s="157"/>
      <c r="C406" s="157"/>
      <c r="D406" s="166"/>
      <c r="E406" s="159"/>
      <c r="F406" s="159"/>
      <c r="G406" s="372" t="s">
        <v>130</v>
      </c>
      <c r="H406" s="161" t="s">
        <v>12</v>
      </c>
      <c r="I406" s="162"/>
      <c r="J406" s="162"/>
      <c r="K406" s="163"/>
      <c r="L406" s="168">
        <f ca="1">กำแพงเพชร!L406+เชียงราย!L406+เชียงใหม่!L406+ตาก!L406+นครสวรรค์!L406+น่าน!L406+พะเยา!L406+พิจิตร!L406+พิษณุโลก!L406+เพชรบูรณ์!L406+แพร่!L406+แม่ฮ่องสอน!L406+ลำปาง!L406+ลำพูน!L406+สุโขทัย!L406+อุตรดิตถ์!L406+อุทัยธานี!L406</f>
        <v>3226520</v>
      </c>
      <c r="M406" s="168"/>
      <c r="N406" s="168">
        <f ca="1">กำแพงเพชร!N406+เชียงราย!N406+เชียงใหม่!N406+ตาก!N406+นครสวรรค์!N406+น่าน!N406+พะเยา!N406+พิจิตร!N406+พิษณุโลก!N406+เพชรบูรณ์!N406+แพร่!N406+แม่ฮ่องสอน!N406+ลำปาง!N406+ลำพูน!N406+สุโขทัย!N406+อุตรดิตถ์!N406+อุทัยธานี!N406</f>
        <v>1126766</v>
      </c>
      <c r="O406" s="168">
        <f t="shared" ca="1" si="81"/>
        <v>34.922021248899746</v>
      </c>
      <c r="P406" s="168"/>
    </row>
    <row r="407" spans="1:16" ht="21.75" customHeight="1" x14ac:dyDescent="0.3">
      <c r="A407" s="373"/>
      <c r="B407" s="374"/>
      <c r="C407" s="157"/>
      <c r="D407" s="375"/>
      <c r="E407" s="159"/>
      <c r="F407" s="159"/>
      <c r="G407" s="376" t="s">
        <v>131</v>
      </c>
      <c r="H407" s="161" t="s">
        <v>12</v>
      </c>
      <c r="I407" s="187"/>
      <c r="J407" s="187"/>
      <c r="K407" s="223"/>
      <c r="L407" s="168"/>
      <c r="M407" s="168"/>
      <c r="N407" s="377">
        <f ca="1">กำแพงเพชร!N407+เชียงราย!N407+เชียงใหม่!N407+ตาก!N407+นครสวรรค์!N407+น่าน!N407+พะเยา!N407+พิจิตร!N407+พิษณุโลก!N407+เพชรบูรณ์!N407+แพร่!N407+แม่ฮ่องสอน!N407+ลำปาง!N407+ลำพูน!N407+สุโขทัย!N407+อุตรดิตถ์!N407+อุทัยธานี!N407</f>
        <v>956852</v>
      </c>
      <c r="O407" s="168"/>
      <c r="P407" s="168"/>
    </row>
    <row r="408" spans="1:16" ht="21.75" customHeight="1" x14ac:dyDescent="0.3">
      <c r="A408" s="373"/>
      <c r="B408" s="374"/>
      <c r="C408" s="157"/>
      <c r="D408" s="375"/>
      <c r="E408" s="159"/>
      <c r="F408" s="159"/>
      <c r="G408" s="376" t="s">
        <v>132</v>
      </c>
      <c r="H408" s="161" t="s">
        <v>12</v>
      </c>
      <c r="I408" s="187"/>
      <c r="J408" s="187"/>
      <c r="K408" s="223"/>
      <c r="L408" s="168"/>
      <c r="M408" s="168"/>
      <c r="N408" s="377">
        <f ca="1">กำแพงเพชร!N408+เชียงราย!N408+เชียงใหม่!N408+ตาก!N408+นครสวรรค์!N408+น่าน!N408+พะเยา!N408+พิจิตร!N408+พิษณุโลก!N408+เพชรบูรณ์!N408+แพร่!N408+แม่ฮ่องสอน!N408+ลำปาง!N408+ลำพูน!N408+สุโขทัย!N408+อุตรดิตถ์!N408+อุทัยธานี!N408</f>
        <v>41975</v>
      </c>
      <c r="O408" s="168"/>
      <c r="P408" s="168"/>
    </row>
    <row r="409" spans="1:16" ht="21.75" customHeight="1" x14ac:dyDescent="0.3">
      <c r="A409" s="373"/>
      <c r="B409" s="374"/>
      <c r="C409" s="157"/>
      <c r="D409" s="375"/>
      <c r="E409" s="159"/>
      <c r="F409" s="159"/>
      <c r="G409" s="376" t="s">
        <v>133</v>
      </c>
      <c r="H409" s="161" t="s">
        <v>12</v>
      </c>
      <c r="I409" s="187"/>
      <c r="J409" s="187"/>
      <c r="K409" s="223"/>
      <c r="L409" s="168"/>
      <c r="M409" s="168"/>
      <c r="N409" s="377">
        <f ca="1">กำแพงเพชร!N409+เชียงราย!N409+เชียงใหม่!N409+ตาก!N409+นครสวรรค์!N409+น่าน!N409+พะเยา!N409+พิจิตร!N409+พิษณุโลก!N409+เพชรบูรณ์!N409+แพร่!N409+แม่ฮ่องสอน!N409+ลำปาง!N409+ลำพูน!N409+สุโขทัย!N409+อุตรดิตถ์!N409+อุทัยธานี!N409</f>
        <v>0</v>
      </c>
      <c r="O409" s="168"/>
      <c r="P409" s="168"/>
    </row>
    <row r="410" spans="1:16" ht="21.75" customHeight="1" x14ac:dyDescent="0.3">
      <c r="A410" s="373"/>
      <c r="B410" s="374"/>
      <c r="C410" s="157"/>
      <c r="D410" s="375"/>
      <c r="E410" s="159"/>
      <c r="F410" s="159"/>
      <c r="G410" s="376" t="s">
        <v>134</v>
      </c>
      <c r="H410" s="161" t="s">
        <v>12</v>
      </c>
      <c r="I410" s="187"/>
      <c r="J410" s="187"/>
      <c r="K410" s="223"/>
      <c r="L410" s="168"/>
      <c r="M410" s="168"/>
      <c r="N410" s="377">
        <f ca="1">กำแพงเพชร!N410+เชียงราย!N410+เชียงใหม่!N410+ตาก!N410+นครสวรรค์!N410+น่าน!N410+พะเยา!N410+พิจิตร!N410+พิษณุโลก!N410+เพชรบูรณ์!N410+แพร่!N410+แม่ฮ่องสอน!N410+ลำปาง!N410+ลำพูน!N410+สุโขทัย!N410+อุตรดิตถ์!N410+อุทัยธานี!N410</f>
        <v>127939</v>
      </c>
      <c r="O410" s="168"/>
      <c r="P410" s="168"/>
    </row>
    <row r="411" spans="1:16" ht="21.75" customHeight="1" x14ac:dyDescent="0.3">
      <c r="A411" s="175"/>
      <c r="B411" s="176"/>
      <c r="C411" s="157" t="s">
        <v>16</v>
      </c>
      <c r="D411" s="177" t="s">
        <v>44</v>
      </c>
      <c r="E411" s="178"/>
      <c r="F411" s="178"/>
      <c r="G411" s="179"/>
      <c r="H411" s="180"/>
      <c r="I411" s="162"/>
      <c r="J411" s="162"/>
      <c r="K411" s="163"/>
      <c r="L411" s="181"/>
      <c r="M411" s="181"/>
      <c r="N411" s="181"/>
      <c r="O411" s="181"/>
      <c r="P411" s="181"/>
    </row>
    <row r="412" spans="1:16" ht="21.75" customHeight="1" x14ac:dyDescent="0.3">
      <c r="A412" s="175"/>
      <c r="B412" s="176"/>
      <c r="C412" s="176"/>
      <c r="D412" s="182">
        <v>1</v>
      </c>
      <c r="E412" s="183" t="s">
        <v>45</v>
      </c>
      <c r="F412" s="184"/>
      <c r="G412" s="185"/>
      <c r="H412" s="186"/>
      <c r="I412" s="187"/>
      <c r="J412" s="197">
        <f ca="1">กำแพงเพชร!J412+เชียงราย!J412+เชียงใหม่!J412+ตาก!J412+นครสวรรค์!J412+น่าน!J412+พะเยา!J412+พิจิตร!J412+พิษณุโลก!J412+เพชรบูรณ์!J412+แพร่!J412+แม่ฮ่องสอน!J412+ลำปาง!J412+ลำพูน!J412+สุโขทัย!J412+อุตรดิตถ์!J412+อุทัยธานี!J412</f>
        <v>0</v>
      </c>
      <c r="K412" s="163"/>
      <c r="L412" s="181"/>
      <c r="M412" s="181"/>
      <c r="N412" s="181"/>
      <c r="O412" s="181"/>
      <c r="P412" s="181"/>
    </row>
    <row r="413" spans="1:16" ht="21.75" customHeight="1" x14ac:dyDescent="0.3">
      <c r="A413" s="175"/>
      <c r="B413" s="176"/>
      <c r="C413" s="176"/>
      <c r="D413" s="189">
        <v>2</v>
      </c>
      <c r="E413" s="190" t="s">
        <v>46</v>
      </c>
      <c r="F413" s="191"/>
      <c r="G413" s="192"/>
      <c r="H413" s="186"/>
      <c r="I413" s="187"/>
      <c r="J413" s="188">
        <f ca="1">กำแพงเพชร!J413+เชียงราย!J413+เชียงใหม่!J413+ตาก!J413+นครสวรรค์!J413+น่าน!J413+พะเยา!J413+พิจิตร!J413+พิษณุโลก!J413+เพชรบูรณ์!J413+แพร่!J413+แม่ฮ่องสอน!J413+ลำปาง!J413+ลำพูน!J413+สุโขทัย!J413+อุตรดิตถ์!J413+อุทัยธานี!J413</f>
        <v>17</v>
      </c>
      <c r="K413" s="163"/>
      <c r="L413" s="181" t="s">
        <v>40</v>
      </c>
      <c r="M413" s="181"/>
      <c r="N413" s="181" t="s">
        <v>40</v>
      </c>
      <c r="O413" s="181"/>
      <c r="P413" s="181"/>
    </row>
    <row r="414" spans="1:16" ht="21.75" customHeight="1" x14ac:dyDescent="0.3">
      <c r="A414" s="175"/>
      <c r="B414" s="176"/>
      <c r="C414" s="176"/>
      <c r="D414" s="193"/>
      <c r="E414" s="194" t="s">
        <v>47</v>
      </c>
      <c r="F414" s="195"/>
      <c r="G414" s="196"/>
      <c r="H414" s="186"/>
      <c r="I414" s="187"/>
      <c r="J414" s="188">
        <f ca="1">กำแพงเพชร!J414+เชียงราย!J414+เชียงใหม่!J414+ตาก!J414+นครสวรรค์!J414+น่าน!J414+พะเยา!J414+พิจิตร!J414+พิษณุโลก!J414+เพชรบูรณ์!J414+แพร่!J414+แม่ฮ่องสอน!J414+ลำปาง!J414+ลำพูน!J414+สุโขทัย!J414+อุตรดิตถ์!J414+อุทัยธานี!J414</f>
        <v>16</v>
      </c>
      <c r="K414" s="163"/>
      <c r="L414" s="181"/>
      <c r="M414" s="181"/>
      <c r="N414" s="181"/>
      <c r="O414" s="181"/>
      <c r="P414" s="181"/>
    </row>
    <row r="415" spans="1:16" ht="21.75" customHeight="1" x14ac:dyDescent="0.3">
      <c r="A415" s="175"/>
      <c r="B415" s="176"/>
      <c r="C415" s="176"/>
      <c r="D415" s="193"/>
      <c r="E415" s="194" t="s">
        <v>48</v>
      </c>
      <c r="F415" s="195"/>
      <c r="G415" s="196"/>
      <c r="H415" s="186"/>
      <c r="I415" s="187"/>
      <c r="J415" s="197">
        <f ca="1">กำแพงเพชร!J415+เชียงราย!J415+เชียงใหม่!J415+ตาก!J415+นครสวรรค์!J415+น่าน!J415+พะเยา!J415+พิจิตร!J415+พิษณุโลก!J415+เพชรบูรณ์!J415+แพร่!J415+แม่ฮ่องสอน!J415+ลำปาง!J415+ลำพูน!J415+สุโขทัย!J415+อุตรดิตถ์!J415+อุทัยธานี!J415</f>
        <v>13</v>
      </c>
      <c r="K415" s="163"/>
      <c r="L415" s="181"/>
      <c r="M415" s="181"/>
      <c r="N415" s="181"/>
      <c r="O415" s="181"/>
      <c r="P415" s="181"/>
    </row>
    <row r="416" spans="1:16" ht="21.75" customHeight="1" x14ac:dyDescent="0.3">
      <c r="A416" s="175"/>
      <c r="B416" s="176"/>
      <c r="C416" s="176"/>
      <c r="D416" s="193"/>
      <c r="E416" s="198"/>
      <c r="F416" s="194" t="s">
        <v>70</v>
      </c>
      <c r="G416" s="386"/>
      <c r="H416" s="387" t="s">
        <v>37</v>
      </c>
      <c r="I416" s="200">
        <f ca="1">กำแพงเพชร!I416+เชียงราย!I416+เชียงใหม่!I416+ตาก!I416+นครสวรรค์!I416+น่าน!I416+พะเยา!I416+พิจิตร!I416+พิษณุโลก!I416+เพชรบูรณ์!I416+แพร่!I416+แม่ฮ่องสอน!I416+ลำปาง!I416+ลำพูน!I416+สุโขทัย!I416+อุตรดิตถ์!I416+อุทัยธานี!I416</f>
        <v>957</v>
      </c>
      <c r="J416" s="200">
        <f ca="1">กำแพงเพชร!J416+เชียงราย!J416+เชียงใหม่!J416+ตาก!J416+นครสวรรค์!J416+น่าน!J416+พะเยา!J416+พิจิตร!J416+พิษณุโลก!J416+เพชรบูรณ์!J416+แพร่!J416+แม่ฮ่องสอน!J416+ลำปาง!J416+ลำพูน!J416+สุโขทัย!J416+อุตรดิตถ์!J416+อุทัยธานี!J416</f>
        <v>438</v>
      </c>
      <c r="K416" s="201">
        <f t="shared" ref="K416:K432" ca="1" si="82">IF(I416&gt;0,J416*100/I416,0)</f>
        <v>45.768025078369909</v>
      </c>
      <c r="L416" s="181"/>
      <c r="M416" s="181"/>
      <c r="N416" s="181"/>
      <c r="O416" s="181"/>
      <c r="P416" s="181"/>
    </row>
    <row r="417" spans="1:16" ht="21.75" customHeight="1" x14ac:dyDescent="0.45">
      <c r="A417" s="175"/>
      <c r="B417" s="176"/>
      <c r="C417" s="176"/>
      <c r="D417" s="193"/>
      <c r="E417" s="198"/>
      <c r="F417" s="388" t="s">
        <v>148</v>
      </c>
      <c r="G417" s="196"/>
      <c r="H417" s="199" t="s">
        <v>37</v>
      </c>
      <c r="I417" s="389">
        <f ca="1">กำแพงเพชร!I417+เชียงราย!I417+เชียงใหม่!I417+ตาก!I417+นครสวรรค์!I417+น่าน!I417+พะเยา!I417+พิจิตร!I417+พิษณุโลก!I417+เพชรบูรณ์!I417+แพร่!I417+แม่ฮ่องสอน!I417+ลำปาง!I417+ลำพูน!I417+สุโขทัย!I417+อุตรดิตถ์!I417+อุทัยธานี!I417</f>
        <v>200</v>
      </c>
      <c r="J417" s="390">
        <f ca="1">กำแพงเพชร!J417+เชียงราย!J417+เชียงใหม่!J417+ตาก!J417+นครสวรรค์!J417+น่าน!J417+พะเยา!J417+พิจิตร!J417+พิษณุโลก!J417+เพชรบูรณ์!J417+แพร่!J417+แม่ฮ่องสอน!J417+ลำปาง!J417+ลำพูน!J417+สุโขทัย!J417+อุตรดิตถ์!J417+อุทัยธานี!J417</f>
        <v>105</v>
      </c>
      <c r="K417" s="201">
        <f t="shared" ca="1" si="82"/>
        <v>52.5</v>
      </c>
      <c r="L417" s="181"/>
      <c r="M417" s="181"/>
      <c r="N417" s="181"/>
      <c r="O417" s="181"/>
      <c r="P417" s="181"/>
    </row>
    <row r="418" spans="1:16" ht="21.75" customHeight="1" x14ac:dyDescent="0.45">
      <c r="A418" s="175"/>
      <c r="B418" s="176"/>
      <c r="C418" s="176"/>
      <c r="D418" s="193"/>
      <c r="E418" s="198"/>
      <c r="F418" s="195"/>
      <c r="G418" s="196"/>
      <c r="H418" s="199" t="s">
        <v>122</v>
      </c>
      <c r="I418" s="389">
        <f ca="1">กำแพงเพชร!I418+เชียงราย!I418+เชียงใหม่!I418+ตาก!I418+นครสวรรค์!I418+น่าน!I418+พะเยา!I418+พิจิตร!I418+พิษณุโลก!I418+เพชรบูรณ์!I418+แพร่!I418+แม่ฮ่องสอน!I418+ลำปาง!I418+ลำพูน!I418+สุโขทัย!I418+อุตรดิตถ์!I418+อุทัยธานี!I418</f>
        <v>600</v>
      </c>
      <c r="J418" s="391">
        <f ca="1">กำแพงเพชร!J418+เชียงราย!J418+เชียงใหม่!J418+ตาก!J418+นครสวรรค์!J418+น่าน!J418+พะเยา!J418+พิจิตร!J418+พิษณุโลก!J418+เพชรบูรณ์!J418+แพร่!J418+แม่ฮ่องสอน!J418+ลำปาง!J418+ลำพูน!J418+สุโขทัย!J418+อุตรดิตถ์!J418+อุทัยธานี!J418</f>
        <v>165</v>
      </c>
      <c r="K418" s="201">
        <f t="shared" ca="1" si="82"/>
        <v>27.5</v>
      </c>
      <c r="L418" s="181"/>
      <c r="M418" s="181"/>
      <c r="N418" s="181"/>
      <c r="O418" s="181"/>
      <c r="P418" s="181"/>
    </row>
    <row r="419" spans="1:16" ht="21.75" customHeight="1" x14ac:dyDescent="0.45">
      <c r="A419" s="175"/>
      <c r="B419" s="176"/>
      <c r="C419" s="176"/>
      <c r="D419" s="193"/>
      <c r="E419" s="198"/>
      <c r="F419" s="195"/>
      <c r="G419" s="225" t="s">
        <v>149</v>
      </c>
      <c r="H419" s="180" t="s">
        <v>37</v>
      </c>
      <c r="I419" s="339">
        <f ca="1">กำแพงเพชร!I419+เชียงราย!I419+เชียงใหม่!I419+ตาก!I419+นครสวรรค์!I419+น่าน!I419+พะเยา!I419+พิจิตร!I419+พิษณุโลก!I419+เพชรบูรณ์!I419+แพร่!I419+แม่ฮ่องสอน!I419+ลำปาง!I419+ลำพูน!I419+สุโขทัย!I419+อุตรดิตถ์!I419+อุทัยธานี!I419</f>
        <v>200</v>
      </c>
      <c r="J419" s="392">
        <f ca="1">กำแพงเพชร!J419+เชียงราย!J419+เชียงใหม่!J419+ตาก!J419+นครสวรรค์!J419+น่าน!J419+พะเยา!J419+พิจิตร!J419+พิษณุโลก!J419+เพชรบูรณ์!J419+แพร่!J419+แม่ฮ่องสอน!J419+ลำปาง!J419+ลำพูน!J419+สุโขทัย!J419+อุตรดิตถ์!J419+อุทัยธานี!J419</f>
        <v>115</v>
      </c>
      <c r="K419" s="163">
        <f t="shared" ca="1" si="82"/>
        <v>57.5</v>
      </c>
      <c r="L419" s="181"/>
      <c r="M419" s="181"/>
      <c r="N419" s="181"/>
      <c r="O419" s="181"/>
      <c r="P419" s="181"/>
    </row>
    <row r="420" spans="1:16" ht="21.75" customHeight="1" x14ac:dyDescent="0.45">
      <c r="A420" s="233"/>
      <c r="B420" s="234"/>
      <c r="C420" s="234"/>
      <c r="D420" s="393"/>
      <c r="E420" s="394"/>
      <c r="F420" s="345"/>
      <c r="G420" s="395" t="s">
        <v>150</v>
      </c>
      <c r="H420" s="347" t="s">
        <v>37</v>
      </c>
      <c r="I420" s="396">
        <f ca="1">กำแพงเพชร!I420+เชียงราย!I420+เชียงใหม่!I420+ตาก!I420+นครสวรรค์!I420+น่าน!I420+พะเยา!I420+พิจิตร!I420+พิษณุโลก!I420+เพชรบูรณ์!I420+แพร่!I420+แม่ฮ่องสอน!I420+ลำปาง!I420+ลำพูน!I420+สุโขทัย!I420+อุตรดิตถ์!I420+อุทัยธานี!I420</f>
        <v>200</v>
      </c>
      <c r="J420" s="392">
        <f ca="1">กำแพงเพชร!J420+เชียงราย!J420+เชียงใหม่!J420+ตาก!J420+นครสวรรค์!J420+น่าน!J420+พะเยา!J420+พิจิตร!J420+พิษณุโลก!J420+เพชรบูรณ์!J420+แพร่!J420+แม่ฮ่องสอน!J420+ลำปาง!J420+ลำพูน!J420+สุโขทัย!J420+อุตรดิตถ์!J420+อุทัยธานี!J420</f>
        <v>160</v>
      </c>
      <c r="K420" s="286">
        <f t="shared" ca="1" si="82"/>
        <v>80</v>
      </c>
      <c r="L420" s="244"/>
      <c r="M420" s="244"/>
      <c r="N420" s="244"/>
      <c r="O420" s="244"/>
      <c r="P420" s="244"/>
    </row>
    <row r="421" spans="1:16" ht="21.75" customHeight="1" x14ac:dyDescent="0.45">
      <c r="A421" s="175"/>
      <c r="B421" s="176"/>
      <c r="C421" s="176"/>
      <c r="D421" s="193"/>
      <c r="E421" s="198"/>
      <c r="F421" s="388" t="s">
        <v>151</v>
      </c>
      <c r="G421" s="196"/>
      <c r="H421" s="199" t="s">
        <v>37</v>
      </c>
      <c r="I421" s="389">
        <f ca="1">กำแพงเพชร!I421+เชียงราย!I421+เชียงใหม่!I421+ตาก!I421+นครสวรรค์!I421+น่าน!I421+พะเยา!I421+พิจิตร!I421+พิษณุโลก!I421+เพชรบูรณ์!I421+แพร่!I421+แม่ฮ่องสอน!I421+ลำปาง!I421+ลำพูน!I421+สุโขทัย!I421+อุตรดิตถ์!I421+อุทัยธานี!I421</f>
        <v>574</v>
      </c>
      <c r="J421" s="390">
        <f ca="1">กำแพงเพชร!J421+เชียงราย!J421+เชียงใหม่!J421+ตาก!J421+นครสวรรค์!J421+น่าน!J421+พะเยา!J421+พิจิตร!J421+พิษณุโลก!J421+เพชรบูรณ์!J421+แพร่!J421+แม่ฮ่องสอน!J421+ลำปาง!J421+ลำพูน!J421+สุโขทัย!J421+อุตรดิตถ์!J421+อุทัยธานี!J421</f>
        <v>291</v>
      </c>
      <c r="K421" s="201">
        <f t="shared" ca="1" si="82"/>
        <v>50.696864111498257</v>
      </c>
      <c r="L421" s="181"/>
      <c r="M421" s="181"/>
      <c r="N421" s="181"/>
      <c r="O421" s="181"/>
      <c r="P421" s="181"/>
    </row>
    <row r="422" spans="1:16" ht="21.75" customHeight="1" x14ac:dyDescent="0.45">
      <c r="A422" s="175"/>
      <c r="B422" s="176"/>
      <c r="C422" s="176"/>
      <c r="D422" s="193"/>
      <c r="E422" s="198"/>
      <c r="F422" s="195"/>
      <c r="G422" s="196"/>
      <c r="H422" s="199" t="s">
        <v>122</v>
      </c>
      <c r="I422" s="389">
        <f ca="1">กำแพงเพชร!I422+เชียงราย!I422+เชียงใหม่!I422+ตาก!I422+นครสวรรค์!I422+น่าน!I422+พะเยา!I422+พิจิตร!I422+พิษณุโลก!I422+เพชรบูรณ์!I422+แพร่!I422+แม่ฮ่องสอน!I422+ลำปาง!I422+ลำพูน!I422+สุโขทัย!I422+อุตรดิตถ์!I422+อุทัยธานี!I422</f>
        <v>1722</v>
      </c>
      <c r="J422" s="391">
        <f ca="1">กำแพงเพชร!J422+เชียงราย!J422+เชียงใหม่!J422+ตาก!J422+นครสวรรค์!J422+น่าน!J422+พะเยา!J422+พิจิตร!J422+พิษณุโลก!J422+เพชรบูรณ์!J422+แพร่!J422+แม่ฮ่องสอน!J422+ลำปาง!J422+ลำพูน!J422+สุโขทัย!J422+อุตรดิตถ์!J422+อุทัยธานี!J422</f>
        <v>510</v>
      </c>
      <c r="K422" s="201">
        <f t="shared" ca="1" si="82"/>
        <v>29.616724738675959</v>
      </c>
      <c r="L422" s="181"/>
      <c r="M422" s="181"/>
      <c r="N422" s="181"/>
      <c r="O422" s="181"/>
      <c r="P422" s="181"/>
    </row>
    <row r="423" spans="1:16" ht="21.75" customHeight="1" x14ac:dyDescent="0.45">
      <c r="A423" s="175"/>
      <c r="B423" s="176"/>
      <c r="C423" s="176"/>
      <c r="D423" s="193"/>
      <c r="E423" s="198"/>
      <c r="F423" s="195"/>
      <c r="G423" s="225" t="s">
        <v>152</v>
      </c>
      <c r="H423" s="180" t="s">
        <v>37</v>
      </c>
      <c r="I423" s="339">
        <f ca="1">กำแพงเพชร!I423+เชียงราย!I423+เชียงใหม่!I423+ตาก!I423+นครสวรรค์!I423+น่าน!I423+พะเยา!I423+พิจิตร!I423+พิษณุโลก!I423+เพชรบูรณ์!I423+แพร่!I423+แม่ฮ่องสอน!I423+ลำปาง!I423+ลำพูน!I423+สุโขทัย!I423+อุตรดิตถ์!I423+อุทัยธานี!I423</f>
        <v>574</v>
      </c>
      <c r="J423" s="392">
        <f ca="1">กำแพงเพชร!J423+เชียงราย!J423+เชียงใหม่!J423+ตาก!J423+นครสวรรค์!J423+น่าน!J423+พะเยา!J423+พิจิตร!J423+พิษณุโลก!J423+เพชรบูรณ์!J423+แพร่!J423+แม่ฮ่องสอน!J423+ลำปาง!J423+ลำพูน!J423+สุโขทัย!J423+อุตรดิตถ์!J423+อุทัยธานี!J423</f>
        <v>305</v>
      </c>
      <c r="K423" s="163">
        <f t="shared" ca="1" si="82"/>
        <v>53.135888501742158</v>
      </c>
      <c r="L423" s="181"/>
      <c r="M423" s="181"/>
      <c r="N423" s="181"/>
      <c r="O423" s="181"/>
      <c r="P423" s="181"/>
    </row>
    <row r="424" spans="1:16" ht="21.75" customHeight="1" x14ac:dyDescent="0.45">
      <c r="A424" s="175"/>
      <c r="B424" s="176"/>
      <c r="C424" s="176"/>
      <c r="D424" s="193"/>
      <c r="E424" s="198"/>
      <c r="F424" s="195"/>
      <c r="G424" s="225" t="s">
        <v>153</v>
      </c>
      <c r="H424" s="180" t="s">
        <v>37</v>
      </c>
      <c r="I424" s="339">
        <f ca="1">กำแพงเพชร!I424+เชียงราย!I424+เชียงใหม่!I424+ตาก!I424+นครสวรรค์!I424+น่าน!I424+พะเยา!I424+พิจิตร!I424+พิษณุโลก!I424+เพชรบูรณ์!I424+แพร่!I424+แม่ฮ่องสอน!I424+ลำปาง!I424+ลำพูน!I424+สุโขทัย!I424+อุตรดิตถ์!I424+อุทัยธานี!I424</f>
        <v>574</v>
      </c>
      <c r="J424" s="392">
        <f ca="1">กำแพงเพชร!J424+เชียงราย!J424+เชียงใหม่!J424+ตาก!J424+นครสวรรค์!J424+น่าน!J424+พะเยา!J424+พิจิตร!J424+พิษณุโลก!J424+เพชรบูรณ์!J424+แพร่!J424+แม่ฮ่องสอน!J424+ลำปาง!J424+ลำพูน!J424+สุโขทัย!J424+อุตรดิตถ์!J424+อุทัยธานี!J424</f>
        <v>291</v>
      </c>
      <c r="K424" s="163">
        <f t="shared" ca="1" si="82"/>
        <v>50.696864111498257</v>
      </c>
      <c r="L424" s="181"/>
      <c r="M424" s="181"/>
      <c r="N424" s="181"/>
      <c r="O424" s="181"/>
      <c r="P424" s="181"/>
    </row>
    <row r="425" spans="1:16" ht="21.75" customHeight="1" x14ac:dyDescent="0.45">
      <c r="A425" s="175"/>
      <c r="B425" s="176"/>
      <c r="C425" s="176"/>
      <c r="D425" s="193"/>
      <c r="E425" s="198"/>
      <c r="F425" s="195"/>
      <c r="G425" s="225" t="s">
        <v>154</v>
      </c>
      <c r="H425" s="180" t="s">
        <v>37</v>
      </c>
      <c r="I425" s="339">
        <f ca="1">กำแพงเพชร!I425+เชียงราย!I425+เชียงใหม่!I425+ตาก!I425+นครสวรรค์!I425+น่าน!I425+พะเยา!I425+พิจิตร!I425+พิษณุโลก!I425+เพชรบูรณ์!I425+แพร่!I425+แม่ฮ่องสอน!I425+ลำปาง!I425+ลำพูน!I425+สุโขทัย!I425+อุตรดิตถ์!I425+อุทัยธานี!I425</f>
        <v>574</v>
      </c>
      <c r="J425" s="392">
        <f ca="1">กำแพงเพชร!J425+เชียงราย!J425+เชียงใหม่!J425+ตาก!J425+นครสวรรค์!J425+น่าน!J425+พะเยา!J425+พิจิตร!J425+พิษณุโลก!J425+เพชรบูรณ์!J425+แพร่!J425+แม่ฮ่องสอน!J425+ลำปาง!J425+ลำพูน!J425+สุโขทัย!J425+อุตรดิตถ์!J425+อุทัยธานี!J425</f>
        <v>291</v>
      </c>
      <c r="K425" s="163">
        <f t="shared" ca="1" si="82"/>
        <v>50.696864111498257</v>
      </c>
      <c r="L425" s="181"/>
      <c r="M425" s="181"/>
      <c r="N425" s="181"/>
      <c r="O425" s="181"/>
      <c r="P425" s="181"/>
    </row>
    <row r="426" spans="1:16" ht="21.75" customHeight="1" x14ac:dyDescent="0.45">
      <c r="A426" s="175"/>
      <c r="B426" s="176"/>
      <c r="C426" s="176"/>
      <c r="D426" s="193"/>
      <c r="E426" s="198"/>
      <c r="F426" s="397" t="s">
        <v>155</v>
      </c>
      <c r="G426" s="196"/>
      <c r="H426" s="199" t="s">
        <v>37</v>
      </c>
      <c r="I426" s="389">
        <f ca="1">กำแพงเพชร!I426+เชียงราย!I426+เชียงใหม่!I426+ตาก!I426+นครสวรรค์!I426+น่าน!I426+พะเยา!I426+พิจิตร!I426+พิษณุโลก!I426+เพชรบูรณ์!I426+แพร่!I426+แม่ฮ่องสอน!I426+ลำปาง!I426+ลำพูน!I426+สุโขทัย!I426+อุตรดิตถ์!I426+อุทัยธานี!I426</f>
        <v>183</v>
      </c>
      <c r="J426" s="390">
        <f ca="1">กำแพงเพชร!J426+เชียงราย!J426+เชียงใหม่!J426+ตาก!J426+นครสวรรค์!J426+น่าน!J426+พะเยา!J426+พิจิตร!J426+พิษณุโลก!J426+เพชรบูรณ์!J426+แพร่!J426+แม่ฮ่องสอน!J426+ลำปาง!J426+ลำพูน!J426+สุโขทัย!J426+อุตรดิตถ์!J426+อุทัยธานี!J426</f>
        <v>42</v>
      </c>
      <c r="K426" s="201">
        <f t="shared" ca="1" si="82"/>
        <v>22.950819672131146</v>
      </c>
      <c r="L426" s="181"/>
      <c r="M426" s="181"/>
      <c r="N426" s="181"/>
      <c r="O426" s="181"/>
      <c r="P426" s="181"/>
    </row>
    <row r="427" spans="1:16" ht="21.75" customHeight="1" x14ac:dyDescent="0.45">
      <c r="A427" s="175"/>
      <c r="B427" s="176"/>
      <c r="C427" s="176"/>
      <c r="D427" s="193"/>
      <c r="E427" s="198"/>
      <c r="F427" s="195"/>
      <c r="G427" s="196"/>
      <c r="H427" s="199" t="s">
        <v>122</v>
      </c>
      <c r="I427" s="389">
        <f ca="1">กำแพงเพชร!I427+เชียงราย!I427+เชียงใหม่!I427+ตาก!I427+นครสวรรค์!I427+น่าน!I427+พะเยา!I427+พิจิตร!I427+พิษณุโลก!I427+เพชรบูรณ์!I427+แพร่!I427+แม่ฮ่องสอน!I427+ลำปาง!I427+ลำพูน!I427+สุโขทัย!I427+อุตรดิตถ์!I427+อุทัยธานี!I427</f>
        <v>549</v>
      </c>
      <c r="J427" s="391">
        <f ca="1">กำแพงเพชร!J427+เชียงราย!J427+เชียงใหม่!J427+ตาก!J427+นครสวรรค์!J427+น่าน!J427+พะเยา!J427+พิจิตร!J427+พิษณุโลก!J427+เพชรบูรณ์!J427+แพร่!J427+แม่ฮ่องสอน!J427+ลำปาง!J427+ลำพูน!J427+สุโขทัย!J427+อุตรดิตถ์!J427+อุทัยธานี!J427</f>
        <v>66</v>
      </c>
      <c r="K427" s="201">
        <f t="shared" ca="1" si="82"/>
        <v>12.021857923497267</v>
      </c>
      <c r="L427" s="181"/>
      <c r="M427" s="181"/>
      <c r="N427" s="181"/>
      <c r="O427" s="181"/>
      <c r="P427" s="181"/>
    </row>
    <row r="428" spans="1:16" ht="21.75" customHeight="1" x14ac:dyDescent="0.45">
      <c r="A428" s="175"/>
      <c r="B428" s="176"/>
      <c r="C428" s="176"/>
      <c r="D428" s="193"/>
      <c r="E428" s="198"/>
      <c r="F428" s="195"/>
      <c r="G428" s="225" t="s">
        <v>156</v>
      </c>
      <c r="H428" s="180" t="s">
        <v>37</v>
      </c>
      <c r="I428" s="398">
        <f ca="1">กำแพงเพชร!I428+เชียงราย!I428+เชียงใหม่!I428+ตาก!I428+นครสวรรค์!I428+น่าน!I428+พะเยา!I428+พิจิตร!I428+พิษณุโลก!I428+เพชรบูรณ์!I428+แพร่!I428+แม่ฮ่องสอน!I428+ลำปาง!I428+ลำพูน!I428+สุโขทัย!I428+อุตรดิตถ์!I428+อุทัยธานี!I428</f>
        <v>183</v>
      </c>
      <c r="J428" s="392">
        <f ca="1">กำแพงเพชร!J428+เชียงราย!J428+เชียงใหม่!J428+ตาก!J428+นครสวรรค์!J428+น่าน!J428+พะเยา!J428+พิจิตร!J428+พิษณุโลก!J428+เพชรบูรณ์!J428+แพร่!J428+แม่ฮ่องสอน!J428+ลำปาง!J428+ลำพูน!J428+สุโขทัย!J428+อุตรดิตถ์!J428+อุทัยธานี!J428</f>
        <v>62</v>
      </c>
      <c r="K428" s="163">
        <f t="shared" ca="1" si="82"/>
        <v>33.879781420765028</v>
      </c>
      <c r="L428" s="181"/>
      <c r="M428" s="181"/>
      <c r="N428" s="181"/>
      <c r="O428" s="181"/>
      <c r="P428" s="181"/>
    </row>
    <row r="429" spans="1:16" ht="21.75" customHeight="1" x14ac:dyDescent="0.45">
      <c r="A429" s="175"/>
      <c r="B429" s="176"/>
      <c r="C429" s="176"/>
      <c r="D429" s="193"/>
      <c r="E429" s="198"/>
      <c r="F429" s="195"/>
      <c r="G429" s="225" t="s">
        <v>157</v>
      </c>
      <c r="H429" s="180" t="s">
        <v>37</v>
      </c>
      <c r="I429" s="398">
        <f ca="1">กำแพงเพชร!I429+เชียงราย!I429+เชียงใหม่!I429+ตาก!I429+นครสวรรค์!I429+น่าน!I429+พะเยา!I429+พิจิตร!I429+พิษณุโลก!I429+เพชรบูรณ์!I429+แพร่!I429+แม่ฮ่องสอน!I429+ลำปาง!I429+ลำพูน!I429+สุโขทัย!I429+อุตรดิตถ์!I429+อุทัยธานี!I429</f>
        <v>183</v>
      </c>
      <c r="J429" s="392">
        <f ca="1">กำแพงเพชร!J429+เชียงราย!J429+เชียงใหม่!J429+ตาก!J429+นครสวรรค์!J429+น่าน!J429+พะเยา!J429+พิจิตร!J429+พิษณุโลก!J429+เพชรบูรณ์!J429+แพร่!J429+แม่ฮ่องสอน!J429+ลำปาง!J429+ลำพูน!J429+สุโขทัย!J429+อุตรดิตถ์!J429+อุทัยธานี!J429</f>
        <v>58</v>
      </c>
      <c r="K429" s="163">
        <f t="shared" ca="1" si="82"/>
        <v>31.693989071038253</v>
      </c>
      <c r="L429" s="181"/>
      <c r="M429" s="181"/>
      <c r="N429" s="181"/>
      <c r="O429" s="181"/>
      <c r="P429" s="181"/>
    </row>
    <row r="430" spans="1:16" ht="21.75" customHeight="1" x14ac:dyDescent="0.45">
      <c r="A430" s="175"/>
      <c r="B430" s="176"/>
      <c r="C430" s="176"/>
      <c r="D430" s="193"/>
      <c r="E430" s="198"/>
      <c r="F430" s="194" t="s">
        <v>53</v>
      </c>
      <c r="G430" s="386"/>
      <c r="H430" s="399" t="s">
        <v>37</v>
      </c>
      <c r="I430" s="200">
        <f ca="1">กำแพงเพชร!I430+เชียงราย!I430+เชียงใหม่!I430+ตาก!I430+นครสวรรค์!I430+น่าน!I430+พะเยา!I430+พิจิตร!I430+พิษณุโลก!I430+เพชรบูรณ์!I430+แพร่!I430+แม่ฮ่องสอน!I430+ลำปาง!I430+ลำพูน!I430+สุโขทัย!I430+อุตรดิตถ์!I430+อุทัยธานี!I430</f>
        <v>774</v>
      </c>
      <c r="J430" s="390">
        <f ca="1">กำแพงเพชร!J430+เชียงราย!J430+เชียงใหม่!J430+ตาก!J430+นครสวรรค์!J430+น่าน!J430+พะเยา!J430+พิจิตร!J430+พิษณุโลก!J430+เพชรบูรณ์!J430+แพร่!J430+แม่ฮ่องสอน!J430+ลำปาง!J430+ลำพูน!J430+สุโขทัย!J430+อุตรดิตถ์!J430+อุทัยธานี!J430</f>
        <v>35</v>
      </c>
      <c r="K430" s="201">
        <f t="shared" ca="1" si="82"/>
        <v>4.521963824289406</v>
      </c>
      <c r="L430" s="181"/>
      <c r="M430" s="181"/>
      <c r="N430" s="181"/>
      <c r="O430" s="181"/>
      <c r="P430" s="181"/>
    </row>
    <row r="431" spans="1:16" ht="21.75" customHeight="1" x14ac:dyDescent="0.45">
      <c r="A431" s="400"/>
      <c r="B431" s="401"/>
      <c r="C431" s="401"/>
      <c r="D431" s="402"/>
      <c r="E431" s="198"/>
      <c r="F431" s="195"/>
      <c r="G431" s="225" t="s">
        <v>158</v>
      </c>
      <c r="H431" s="180" t="s">
        <v>37</v>
      </c>
      <c r="I431" s="398">
        <f ca="1">กำแพงเพชร!I431+เชียงราย!I431+เชียงใหม่!I431+ตาก!I431+นครสวรรค์!I431+น่าน!I431+พะเยา!I431+พิจิตร!I431+พิษณุโลก!I431+เพชรบูรณ์!I431+แพร่!I431+แม่ฮ่องสอน!I431+ลำปาง!I431+ลำพูน!I431+สุโขทัย!I431+อุตรดิตถ์!I431+อุทัยธานี!I431</f>
        <v>200</v>
      </c>
      <c r="J431" s="392">
        <f ca="1">กำแพงเพชร!J431+เชียงราย!J431+เชียงใหม่!J431+ตาก!J431+นครสวรรค์!J431+น่าน!J431+พะเยา!J431+พิจิตร!J431+พิษณุโลก!J431+เพชรบูรณ์!J431+แพร่!J431+แม่ฮ่องสอน!J431+ลำปาง!J431+ลำพูน!J431+สุโขทัย!J431+อุตรดิตถ์!J431+อุทัยธานี!J431</f>
        <v>10</v>
      </c>
      <c r="K431" s="163">
        <f t="shared" ca="1" si="82"/>
        <v>5</v>
      </c>
      <c r="L431" s="181"/>
      <c r="M431" s="181"/>
      <c r="N431" s="181"/>
      <c r="O431" s="181"/>
      <c r="P431" s="181"/>
    </row>
    <row r="432" spans="1:16" ht="21.75" customHeight="1" x14ac:dyDescent="0.45">
      <c r="A432" s="400"/>
      <c r="B432" s="401"/>
      <c r="C432" s="401"/>
      <c r="D432" s="402"/>
      <c r="E432" s="198"/>
      <c r="F432" s="195"/>
      <c r="G432" s="225" t="s">
        <v>159</v>
      </c>
      <c r="H432" s="180" t="s">
        <v>37</v>
      </c>
      <c r="I432" s="398">
        <f ca="1">กำแพงเพชร!I432+เชียงราย!I432+เชียงใหม่!I432+ตาก!I432+นครสวรรค์!I432+น่าน!I432+พะเยา!I432+พิจิตร!I432+พิษณุโลก!I432+เพชรบูรณ์!I432+แพร่!I432+แม่ฮ่องสอน!I432+ลำปาง!I432+ลำพูน!I432+สุโขทัย!I432+อุตรดิตถ์!I432+อุทัยธานี!I432</f>
        <v>574</v>
      </c>
      <c r="J432" s="392">
        <f ca="1">กำแพงเพชร!J432+เชียงราย!J432+เชียงใหม่!J432+ตาก!J432+นครสวรรค์!J432+น่าน!J432+พะเยา!J432+พิจิตร!J432+พิษณุโลก!J432+เพชรบูรณ์!J432+แพร่!J432+แม่ฮ่องสอน!J432+ลำปาง!J432+ลำพูน!J432+สุโขทัย!J432+อุตรดิตถ์!J432+อุทัยธานี!J432</f>
        <v>100</v>
      </c>
      <c r="K432" s="163">
        <f t="shared" ca="1" si="82"/>
        <v>17.421602787456447</v>
      </c>
      <c r="L432" s="181"/>
      <c r="M432" s="181"/>
      <c r="N432" s="181"/>
      <c r="O432" s="181"/>
      <c r="P432" s="181"/>
    </row>
    <row r="433" spans="1:16" ht="21.75" customHeight="1" x14ac:dyDescent="0.3">
      <c r="A433" s="175"/>
      <c r="B433" s="176"/>
      <c r="C433" s="176"/>
      <c r="D433" s="193"/>
      <c r="E433" s="194" t="s">
        <v>54</v>
      </c>
      <c r="F433" s="195"/>
      <c r="G433" s="196"/>
      <c r="H433" s="186"/>
      <c r="I433" s="187"/>
      <c r="J433" s="197">
        <f ca="1">กำแพงเพชร!J433+เชียงราย!J433+เชียงใหม่!J433+ตาก!J433+นครสวรรค์!J433+น่าน!J433+พะเยา!J433+พิจิตร!J433+พิษณุโลก!J433+เพชรบูรณ์!J433+แพร่!J433+แม่ฮ่องสอน!J433+ลำปาง!J433+ลำพูน!J433+สุโขทัย!J433+อุตรดิตถ์!J433+อุทัยธานี!J433</f>
        <v>0</v>
      </c>
      <c r="K433" s="163"/>
      <c r="L433" s="181"/>
      <c r="M433" s="181"/>
      <c r="N433" s="181"/>
      <c r="O433" s="181"/>
      <c r="P433" s="181"/>
    </row>
    <row r="434" spans="1:16" ht="21.75" customHeight="1" x14ac:dyDescent="0.3">
      <c r="A434" s="175"/>
      <c r="B434" s="176"/>
      <c r="C434" s="176"/>
      <c r="D434" s="205">
        <v>3</v>
      </c>
      <c r="E434" s="206" t="s">
        <v>55</v>
      </c>
      <c r="F434" s="207"/>
      <c r="G434" s="208"/>
      <c r="H434" s="186"/>
      <c r="I434" s="187"/>
      <c r="J434" s="209">
        <f ca="1">กำแพงเพชร!J434+เชียงราย!J434+เชียงใหม่!J434+ตาก!J434+นครสวรรค์!J434+น่าน!J434+พะเยา!J434+พิจิตร!J434+พิษณุโลก!J434+เพชรบูรณ์!J434+แพร่!J434+แม่ฮ่องสอน!J434+ลำปาง!J434+ลำพูน!J434+สุโขทัย!J434+อุตรดิตถ์!J434+อุทัยธานี!J434</f>
        <v>0</v>
      </c>
      <c r="K434" s="163"/>
      <c r="L434" s="181"/>
      <c r="M434" s="181"/>
      <c r="N434" s="181"/>
      <c r="O434" s="181"/>
      <c r="P434" s="181"/>
    </row>
    <row r="435" spans="1:16" ht="21.75" customHeight="1" x14ac:dyDescent="0.3">
      <c r="A435" s="403"/>
      <c r="B435" s="404">
        <v>4</v>
      </c>
      <c r="C435" s="404" t="s">
        <v>160</v>
      </c>
      <c r="D435" s="405"/>
      <c r="E435" s="405"/>
      <c r="F435" s="405"/>
      <c r="G435" s="406"/>
      <c r="H435" s="407" t="s">
        <v>37</v>
      </c>
      <c r="I435" s="408">
        <f ca="1">กำแพงเพชร!I435+เชียงราย!I435+เชียงใหม่!I435+ตาก!I435+นครสวรรค์!I435+น่าน!I435+พะเยา!I435+พิจิตร!I435+พิษณุโลก!I435+เพชรบูรณ์!I435+แพร่!I435+แม่ฮ่องสอน!I435+ลำปาง!I435+ลำพูน!I435+สุโขทัย!I435+อุตรดิตถ์!I435+อุทัยธานี!I435</f>
        <v>489</v>
      </c>
      <c r="J435" s="408">
        <f ca="1">กำแพงเพชร!J435+เชียงราย!J435+เชียงใหม่!J435+ตาก!J435+นครสวรรค์!J435+น่าน!J435+พะเยา!J435+พิจิตร!J435+พิษณุโลก!J435+เพชรบูรณ์!J435+แพร่!J435+แม่ฮ่องสอน!J435+ลำปาง!J435+ลำพูน!J435+สุโขทัย!J435+อุตรดิตถ์!J435+อุทัยธานี!J435</f>
        <v>419</v>
      </c>
      <c r="K435" s="409">
        <f ca="1">IF(I435&gt;0,J435*100/I435,0)</f>
        <v>85.685071574642123</v>
      </c>
      <c r="L435" s="410">
        <f ca="1">กำแพงเพชร!L435+เชียงราย!L435+เชียงใหม่!L435+ตาก!L435+นครสวรรค์!L435+น่าน!L435+พะเยา!L435+พิจิตร!L435+พิษณุโลก!L435+เพชรบูรณ์!L435+แพร่!L435+แม่ฮ่องสอน!L435+ลำปาง!L435+ลำพูน!L435+สุโขทัย!L435+อุตรดิตถ์!L435+อุทัยธานี!L435</f>
        <v>1912200</v>
      </c>
      <c r="M435" s="410"/>
      <c r="N435" s="410">
        <f ca="1">กำแพงเพชร!N435+เชียงราย!N435+เชียงใหม่!N435+ตาก!N435+นครสวรรค์!N435+น่าน!N435+พะเยา!N435+พิจิตร!N435+พิษณุโลก!N435+เพชรบูรณ์!N435+แพร่!N435+แม่ฮ่องสอน!N435+ลำปาง!N435+ลำพูน!N435+สุโขทัย!N435+อุตรดิตถ์!N435+อุทัยธานี!N435</f>
        <v>914501.69000000006</v>
      </c>
      <c r="O435" s="410">
        <f t="shared" ref="O435:O439" ca="1" si="83">+IF(L435&gt;0,N435*100/L435,0)</f>
        <v>47.824583725551719</v>
      </c>
      <c r="P435" s="410"/>
    </row>
    <row r="436" spans="1:16" ht="21.75" customHeight="1" x14ac:dyDescent="0.3">
      <c r="A436" s="156"/>
      <c r="B436" s="157"/>
      <c r="C436" s="157" t="s">
        <v>16</v>
      </c>
      <c r="D436" s="158" t="s">
        <v>38</v>
      </c>
      <c r="E436" s="159"/>
      <c r="F436" s="159"/>
      <c r="G436" s="160" t="s">
        <v>39</v>
      </c>
      <c r="H436" s="161" t="s">
        <v>12</v>
      </c>
      <c r="I436" s="162" t="s">
        <v>40</v>
      </c>
      <c r="J436" s="162"/>
      <c r="K436" s="163"/>
      <c r="L436" s="164">
        <f ca="1">กำแพงเพชร!L436+เชียงราย!L436+เชียงใหม่!L436+ตาก!L436+นครสวรรค์!L436+น่าน!L436+พะเยา!L436+พิจิตร!L436+พิษณุโลก!L436+เพชรบูรณ์!L436+แพร่!L436+แม่ฮ่องสอน!L436+ลำปาง!L436+ลำพูน!L436+สุโขทัย!L436+อุตรดิตถ์!L436+อุทัยธานี!L436</f>
        <v>0</v>
      </c>
      <c r="M436" s="164"/>
      <c r="N436" s="168">
        <f ca="1">กำแพงเพชร!N436+เชียงราย!N436+เชียงใหม่!N436+ตาก!N436+นครสวรรค์!N436+น่าน!N436+พะเยา!N436+พิจิตร!N436+พิษณุโลก!N436+เพชรบูรณ์!N436+แพร่!N436+แม่ฮ่องสอน!N436+ลำปาง!N436+ลำพูน!N436+สุโขทัย!N436+อุตรดิตถ์!N436+อุทัยธานี!N436</f>
        <v>0</v>
      </c>
      <c r="O436" s="168">
        <f t="shared" ca="1" si="83"/>
        <v>0</v>
      </c>
      <c r="P436" s="168"/>
    </row>
    <row r="437" spans="1:16" ht="21.75" customHeight="1" x14ac:dyDescent="0.3">
      <c r="A437" s="156"/>
      <c r="B437" s="157"/>
      <c r="C437" s="157"/>
      <c r="D437" s="166"/>
      <c r="E437" s="159"/>
      <c r="F437" s="159" t="s">
        <v>40</v>
      </c>
      <c r="G437" s="160" t="s">
        <v>41</v>
      </c>
      <c r="H437" s="161" t="s">
        <v>12</v>
      </c>
      <c r="I437" s="162"/>
      <c r="J437" s="162"/>
      <c r="K437" s="163"/>
      <c r="L437" s="165">
        <f ca="1">กำแพงเพชร!L437+เชียงราย!L437+เชียงใหม่!L437+ตาก!L437+นครสวรรค์!L437+น่าน!L437+พะเยา!L437+พิจิตร!L437+พิษณุโลก!L437+เพชรบูรณ์!L437+แพร่!L437+แม่ฮ่องสอน!L437+ลำปาง!L437+ลำพูน!L437+สุโขทัย!L437+อุตรดิตถ์!L437+อุทัยธานี!L437</f>
        <v>1912200</v>
      </c>
      <c r="M437" s="165"/>
      <c r="N437" s="168">
        <f ca="1">กำแพงเพชร!N437+เชียงราย!N437+เชียงใหม่!N437+ตาก!N437+นครสวรรค์!N437+น่าน!N437+พะเยา!N437+พิจิตร!N437+พิษณุโลก!N437+เพชรบูรณ์!N437+แพร่!N437+แม่ฮ่องสอน!N437+ลำปาง!N437+ลำพูน!N437+สุโขทัย!N437+อุตรดิตถ์!N437+อุทัยธานี!N437</f>
        <v>914501.69000000006</v>
      </c>
      <c r="O437" s="168">
        <f t="shared" ca="1" si="83"/>
        <v>47.824583725551719</v>
      </c>
      <c r="P437" s="168"/>
    </row>
    <row r="438" spans="1:16" ht="21.75" customHeight="1" x14ac:dyDescent="0.3">
      <c r="A438" s="156"/>
      <c r="B438" s="157"/>
      <c r="C438" s="157"/>
      <c r="D438" s="166"/>
      <c r="E438" s="159"/>
      <c r="F438" s="159"/>
      <c r="G438" s="372" t="s">
        <v>129</v>
      </c>
      <c r="H438" s="161" t="s">
        <v>12</v>
      </c>
      <c r="I438" s="162"/>
      <c r="J438" s="162"/>
      <c r="K438" s="163"/>
      <c r="L438" s="168">
        <f ca="1">กำแพงเพชร!L438+เชียงราย!L438+เชียงใหม่!L438+ตาก!L438+นครสวรรค์!L438+น่าน!L438+พะเยา!L438+พิจิตร!L438+พิษณุโลก!L438+เพชรบูรณ์!L438+แพร่!L438+แม่ฮ่องสอน!L438+ลำปาง!L438+ลำพูน!L438+สุโขทัย!L438+อุตรดิตถ์!L438+อุทัยธานี!L438</f>
        <v>0</v>
      </c>
      <c r="M438" s="168"/>
      <c r="N438" s="168">
        <f ca="1">กำแพงเพชร!N438+เชียงราย!N438+เชียงใหม่!N438+ตาก!N438+นครสวรรค์!N438+น่าน!N438+พะเยา!N438+พิจิตร!N438+พิษณุโลก!N438+เพชรบูรณ์!N438+แพร่!N438+แม่ฮ่องสอน!N438+ลำปาง!N438+ลำพูน!N438+สุโขทัย!N438+อุตรดิตถ์!N438+อุทัยธานี!N438</f>
        <v>0</v>
      </c>
      <c r="O438" s="168">
        <f t="shared" ca="1" si="83"/>
        <v>0</v>
      </c>
      <c r="P438" s="168"/>
    </row>
    <row r="439" spans="1:16" ht="21.75" customHeight="1" x14ac:dyDescent="0.3">
      <c r="A439" s="156"/>
      <c r="B439" s="157"/>
      <c r="C439" s="157"/>
      <c r="D439" s="166"/>
      <c r="E439" s="159"/>
      <c r="F439" s="159"/>
      <c r="G439" s="372" t="s">
        <v>130</v>
      </c>
      <c r="H439" s="161" t="s">
        <v>12</v>
      </c>
      <c r="I439" s="162"/>
      <c r="J439" s="162"/>
      <c r="K439" s="163"/>
      <c r="L439" s="168">
        <f ca="1">กำแพงเพชร!L439+เชียงราย!L439+เชียงใหม่!L439+ตาก!L439+นครสวรรค์!L439+น่าน!L439+พะเยา!L439+พิจิตร!L439+พิษณุโลก!L439+เพชรบูรณ์!L439+แพร่!L439+แม่ฮ่องสอน!L439+ลำปาง!L439+ลำพูน!L439+สุโขทัย!L439+อุตรดิตถ์!L439+อุทัยธานี!L439</f>
        <v>1912200</v>
      </c>
      <c r="M439" s="168"/>
      <c r="N439" s="168">
        <f ca="1">กำแพงเพชร!N439+เชียงราย!N439+เชียงใหม่!N439+ตาก!N439+นครสวรรค์!N439+น่าน!N439+พะเยา!N439+พิจิตร!N439+พิษณุโลก!N439+เพชรบูรณ์!N439+แพร่!N439+แม่ฮ่องสอน!N439+ลำปาง!N439+ลำพูน!N439+สุโขทัย!N439+อุตรดิตถ์!N439+อุทัยธานี!N439</f>
        <v>914501.69000000006</v>
      </c>
      <c r="O439" s="168">
        <f t="shared" ca="1" si="83"/>
        <v>47.824583725551719</v>
      </c>
      <c r="P439" s="168"/>
    </row>
    <row r="440" spans="1:16" ht="21.75" customHeight="1" x14ac:dyDescent="0.3">
      <c r="A440" s="373"/>
      <c r="B440" s="374"/>
      <c r="C440" s="157"/>
      <c r="D440" s="375"/>
      <c r="E440" s="159"/>
      <c r="F440" s="159"/>
      <c r="G440" s="376" t="s">
        <v>131</v>
      </c>
      <c r="H440" s="161" t="s">
        <v>12</v>
      </c>
      <c r="I440" s="187"/>
      <c r="J440" s="187"/>
      <c r="K440" s="223"/>
      <c r="L440" s="168"/>
      <c r="M440" s="168"/>
      <c r="N440" s="377">
        <f ca="1">กำแพงเพชร!N440+เชียงราย!N440+เชียงใหม่!N440+ตาก!N440+นครสวรรค์!N440+น่าน!N440+พะเยา!N440+พิจิตร!N440+พิษณุโลก!N440+เพชรบูรณ์!N440+แพร่!N440+แม่ฮ่องสอน!N440+ลำปาง!N440+ลำพูน!N440+สุโขทัย!N440+อุตรดิตถ์!N440+อุทัยธานี!N440</f>
        <v>744835.9</v>
      </c>
      <c r="O440" s="168"/>
      <c r="P440" s="168"/>
    </row>
    <row r="441" spans="1:16" ht="21.75" customHeight="1" x14ac:dyDescent="0.3">
      <c r="A441" s="373"/>
      <c r="B441" s="374"/>
      <c r="C441" s="157"/>
      <c r="D441" s="375"/>
      <c r="E441" s="159"/>
      <c r="F441" s="159"/>
      <c r="G441" s="376" t="s">
        <v>132</v>
      </c>
      <c r="H441" s="161" t="s">
        <v>12</v>
      </c>
      <c r="I441" s="187"/>
      <c r="J441" s="187"/>
      <c r="K441" s="223"/>
      <c r="L441" s="168"/>
      <c r="M441" s="168"/>
      <c r="N441" s="377">
        <f ca="1">กำแพงเพชร!N441+เชียงราย!N441+เชียงใหม่!N441+ตาก!N441+นครสวรรค์!N441+น่าน!N441+พะเยา!N441+พิจิตร!N441+พิษณุโลก!N441+เพชรบูรณ์!N441+แพร่!N441+แม่ฮ่องสอน!N441+ลำปาง!N441+ลำพูน!N441+สุโขทัย!N441+อุตรดิตถ์!N441+อุทัยธานี!N441</f>
        <v>0</v>
      </c>
      <c r="O441" s="168"/>
      <c r="P441" s="168"/>
    </row>
    <row r="442" spans="1:16" ht="21.75" customHeight="1" x14ac:dyDescent="0.3">
      <c r="A442" s="373"/>
      <c r="B442" s="374"/>
      <c r="C442" s="157"/>
      <c r="D442" s="375"/>
      <c r="E442" s="159"/>
      <c r="F442" s="159"/>
      <c r="G442" s="376" t="s">
        <v>133</v>
      </c>
      <c r="H442" s="161" t="s">
        <v>12</v>
      </c>
      <c r="I442" s="187"/>
      <c r="J442" s="187"/>
      <c r="K442" s="223"/>
      <c r="L442" s="168"/>
      <c r="M442" s="168"/>
      <c r="N442" s="377">
        <f ca="1">กำแพงเพชร!N442+เชียงราย!N442+เชียงใหม่!N442+ตาก!N442+นครสวรรค์!N442+น่าน!N442+พะเยา!N442+พิจิตร!N442+พิษณุโลก!N442+เพชรบูรณ์!N442+แพร่!N442+แม่ฮ่องสอน!N442+ลำปาง!N442+ลำพูน!N442+สุโขทัย!N442+อุตรดิตถ์!N442+อุทัยธานี!N442</f>
        <v>0</v>
      </c>
      <c r="O442" s="168"/>
      <c r="P442" s="168"/>
    </row>
    <row r="443" spans="1:16" ht="21.75" customHeight="1" x14ac:dyDescent="0.3">
      <c r="A443" s="373"/>
      <c r="B443" s="374"/>
      <c r="C443" s="157"/>
      <c r="D443" s="375"/>
      <c r="E443" s="159"/>
      <c r="F443" s="159"/>
      <c r="G443" s="376" t="s">
        <v>134</v>
      </c>
      <c r="H443" s="161" t="s">
        <v>12</v>
      </c>
      <c r="I443" s="187"/>
      <c r="J443" s="187"/>
      <c r="K443" s="223"/>
      <c r="L443" s="168"/>
      <c r="M443" s="168"/>
      <c r="N443" s="377">
        <f ca="1">กำแพงเพชร!N443+เชียงราย!N443+เชียงใหม่!N443+ตาก!N443+นครสวรรค์!N443+น่าน!N443+พะเยา!N443+พิจิตร!N443+พิษณุโลก!N443+เพชรบูรณ์!N443+แพร่!N443+แม่ฮ่องสอน!N443+ลำปาง!N443+ลำพูน!N443+สุโขทัย!N443+อุตรดิตถ์!N443+อุทัยธานี!N443</f>
        <v>169665.79</v>
      </c>
      <c r="O443" s="168"/>
      <c r="P443" s="168"/>
    </row>
    <row r="444" spans="1:16" ht="21.75" customHeight="1" x14ac:dyDescent="0.3">
      <c r="A444" s="175"/>
      <c r="B444" s="176"/>
      <c r="C444" s="157" t="s">
        <v>16</v>
      </c>
      <c r="D444" s="177" t="s">
        <v>44</v>
      </c>
      <c r="E444" s="178"/>
      <c r="F444" s="178"/>
      <c r="G444" s="179"/>
      <c r="H444" s="180"/>
      <c r="I444" s="162"/>
      <c r="J444" s="162"/>
      <c r="K444" s="163"/>
      <c r="L444" s="181"/>
      <c r="M444" s="181"/>
      <c r="N444" s="181"/>
      <c r="O444" s="181"/>
      <c r="P444" s="181"/>
    </row>
    <row r="445" spans="1:16" ht="21.75" customHeight="1" x14ac:dyDescent="0.3">
      <c r="A445" s="175"/>
      <c r="B445" s="176"/>
      <c r="C445" s="176"/>
      <c r="D445" s="182">
        <v>1</v>
      </c>
      <c r="E445" s="183" t="s">
        <v>45</v>
      </c>
      <c r="F445" s="184"/>
      <c r="G445" s="185"/>
      <c r="H445" s="186"/>
      <c r="I445" s="187"/>
      <c r="J445" s="209">
        <f ca="1">กำแพงเพชร!J445+เชียงราย!J445+เชียงใหม่!J445+ตาก!J445+นครสวรรค์!J445+น่าน!J445+พะเยา!J445+พิจิตร!J445+พิษณุโลก!J445+เพชรบูรณ์!J445+แพร่!J445+แม่ฮ่องสอน!J445+ลำปาง!J445+ลำพูน!J445+สุโขทัย!J445+อุตรดิตถ์!J445+อุทัยธานี!J445</f>
        <v>0</v>
      </c>
      <c r="K445" s="163"/>
      <c r="L445" s="181"/>
      <c r="M445" s="181"/>
      <c r="N445" s="181"/>
      <c r="O445" s="181"/>
      <c r="P445" s="181"/>
    </row>
    <row r="446" spans="1:16" ht="21.75" customHeight="1" x14ac:dyDescent="0.3">
      <c r="A446" s="175"/>
      <c r="B446" s="176"/>
      <c r="C446" s="176"/>
      <c r="D446" s="189">
        <v>2</v>
      </c>
      <c r="E446" s="190" t="s">
        <v>46</v>
      </c>
      <c r="F446" s="191"/>
      <c r="G446" s="192"/>
      <c r="H446" s="186"/>
      <c r="I446" s="187"/>
      <c r="J446" s="411">
        <f ca="1">กำแพงเพชร!J446+เชียงราย!J446+เชียงใหม่!J446+ตาก!J446+นครสวรรค์!J446+น่าน!J446+พะเยา!J446+พิจิตร!J446+พิษณุโลก!J446+เพชรบูรณ์!J446+แพร่!J446+แม่ฮ่องสอน!J446+ลำปาง!J446+ลำพูน!J446+สุโขทัย!J446+อุตรดิตถ์!J446+อุทัยธานี!J446</f>
        <v>16</v>
      </c>
      <c r="K446" s="163"/>
      <c r="L446" s="181" t="s">
        <v>40</v>
      </c>
      <c r="M446" s="181"/>
      <c r="N446" s="181" t="s">
        <v>40</v>
      </c>
      <c r="O446" s="181"/>
      <c r="P446" s="181"/>
    </row>
    <row r="447" spans="1:16" ht="21.75" customHeight="1" x14ac:dyDescent="0.3">
      <c r="A447" s="175"/>
      <c r="B447" s="176"/>
      <c r="C447" s="176"/>
      <c r="D447" s="193"/>
      <c r="E447" s="194" t="s">
        <v>161</v>
      </c>
      <c r="F447" s="195"/>
      <c r="G447" s="196"/>
      <c r="H447" s="186"/>
      <c r="I447" s="187"/>
      <c r="J447" s="188">
        <f ca="1">กำแพงเพชร!J447+เชียงราย!J447+เชียงใหม่!J447+ตาก!J447+นครสวรรค์!J447+น่าน!J447+พะเยา!J447+พิจิตร!J447+พิษณุโลก!J447+เพชรบูรณ์!J447+แพร่!J447+แม่ฮ่องสอน!J447+ลำปาง!J447+ลำพูน!J447+สุโขทัย!J447+อุตรดิตถ์!J447+อุทัยธานี!J447</f>
        <v>17</v>
      </c>
      <c r="K447" s="163"/>
      <c r="L447" s="181"/>
      <c r="M447" s="181"/>
      <c r="N447" s="181"/>
      <c r="O447" s="181"/>
      <c r="P447" s="181"/>
    </row>
    <row r="448" spans="1:16" ht="21.75" customHeight="1" x14ac:dyDescent="0.3">
      <c r="A448" s="175"/>
      <c r="B448" s="176"/>
      <c r="C448" s="176"/>
      <c r="D448" s="193"/>
      <c r="E448" s="194" t="s">
        <v>48</v>
      </c>
      <c r="F448" s="195"/>
      <c r="G448" s="196"/>
      <c r="H448" s="186"/>
      <c r="I448" s="187"/>
      <c r="J448" s="188">
        <f ca="1">กำแพงเพชร!J448+เชียงราย!J448+เชียงใหม่!J448+ตาก!J448+นครสวรรค์!J448+น่าน!J448+พะเยา!J448+พิจิตร!J448+พิษณุโลก!J448+เพชรบูรณ์!J448+แพร่!J448+แม่ฮ่องสอน!J448+ลำปาง!J448+ลำพูน!J448+สุโขทัย!J448+อุตรดิตถ์!J448+อุทัยธานี!J448</f>
        <v>16</v>
      </c>
      <c r="K448" s="163"/>
      <c r="L448" s="181"/>
      <c r="M448" s="181"/>
      <c r="N448" s="181"/>
      <c r="O448" s="181"/>
      <c r="P448" s="181"/>
    </row>
    <row r="449" spans="1:16" ht="21.75" customHeight="1" x14ac:dyDescent="0.3">
      <c r="A449" s="175"/>
      <c r="B449" s="176"/>
      <c r="C449" s="176"/>
      <c r="D449" s="193"/>
      <c r="E449" s="198"/>
      <c r="F449" s="412" t="s">
        <v>101</v>
      </c>
      <c r="G449" s="196"/>
      <c r="H449" s="186" t="s">
        <v>37</v>
      </c>
      <c r="I449" s="389">
        <f ca="1">กำแพงเพชร!I449+เชียงราย!I449+เชียงใหม่!I449+ตาก!I449+นครสวรรค์!I449+น่าน!I449+พะเยา!I449+พิจิตร!I449+พิษณุโลก!I449+เพชรบูรณ์!I449+แพร่!I449+แม่ฮ่องสอน!I449+ลำปาง!I449+ลำพูน!I449+สุโขทัย!I449+อุตรดิตถ์!I449+อุทัยธานี!I449</f>
        <v>489</v>
      </c>
      <c r="J449" s="200">
        <f ca="1">กำแพงเพชร!J449+เชียงราย!J449+เชียงใหม่!J449+ตาก!J449+นครสวรรค์!J449+น่าน!J449+พะเยา!J449+พิจิตร!J449+พิษณุโลก!J449+เพชรบูรณ์!J449+แพร่!J449+แม่ฮ่องสอน!J449+ลำปาง!J449+ลำพูน!J449+สุโขทัย!J449+อุตรดิตถ์!J449+อุทัยธานี!J449</f>
        <v>419</v>
      </c>
      <c r="K449" s="163">
        <f t="shared" ref="K449:K452" ca="1" si="84">IF(I449&gt;0,J449*100/I449,0)</f>
        <v>85.685071574642123</v>
      </c>
      <c r="L449" s="181"/>
      <c r="M449" s="181"/>
      <c r="N449" s="181"/>
      <c r="O449" s="181"/>
      <c r="P449" s="181"/>
    </row>
    <row r="450" spans="1:16" ht="21.75" customHeight="1" x14ac:dyDescent="0.3">
      <c r="A450" s="175"/>
      <c r="B450" s="176"/>
      <c r="C450" s="176"/>
      <c r="D450" s="193"/>
      <c r="E450" s="198"/>
      <c r="F450" s="195"/>
      <c r="G450" s="225" t="s">
        <v>162</v>
      </c>
      <c r="H450" s="186" t="s">
        <v>37</v>
      </c>
      <c r="I450" s="339">
        <f ca="1">กำแพงเพชร!I450+เชียงราย!I450+เชียงใหม่!I450+ตาก!I450+นครสวรรค์!I450+น่าน!I450+พะเยา!I450+พิจิตร!I450+พิษณุโลก!I450+เพชรบูรณ์!I450+แพร่!I450+แม่ฮ่องสอน!I450+ลำปาง!I450+ลำพูน!I450+สุโขทัย!I450+อุตรดิตถ์!I450+อุทัยธานี!I450</f>
        <v>360</v>
      </c>
      <c r="J450" s="188">
        <f ca="1">กำแพงเพชร!J450+เชียงราย!J450+เชียงใหม่!J450+ตาก!J450+นครสวรรค์!J450+น่าน!J450+พะเยา!J450+พิจิตร!J450+พิษณุโลก!J450+เพชรบูรณ์!J450+แพร่!J450+แม่ฮ่องสอน!J450+ลำปาง!J450+ลำพูน!J450+สุโขทัย!J450+อุตรดิตถ์!J450+อุทัยธานี!J450</f>
        <v>350</v>
      </c>
      <c r="K450" s="163">
        <f t="shared" ca="1" si="84"/>
        <v>97.222222222222229</v>
      </c>
      <c r="L450" s="181"/>
      <c r="M450" s="181"/>
      <c r="N450" s="181"/>
      <c r="O450" s="181"/>
      <c r="P450" s="181"/>
    </row>
    <row r="451" spans="1:16" ht="21.75" customHeight="1" x14ac:dyDescent="0.3">
      <c r="A451" s="175"/>
      <c r="B451" s="176"/>
      <c r="C451" s="176"/>
      <c r="D451" s="193"/>
      <c r="E451" s="198"/>
      <c r="F451" s="195"/>
      <c r="G451" s="279" t="s">
        <v>163</v>
      </c>
      <c r="H451" s="186" t="s">
        <v>37</v>
      </c>
      <c r="I451" s="339">
        <f ca="1">กำแพงเพชร!I451+เชียงราย!I451+เชียงใหม่!I451+ตาก!I451+นครสวรรค์!I451+น่าน!I451+พะเยา!I451+พิจิตร!I451+พิษณุโลก!I451+เพชรบูรณ์!I451+แพร่!I451+แม่ฮ่องสอน!I451+ลำปาง!I451+ลำพูน!I451+สุโขทัย!I451+อุตรดิตถ์!I451+อุทัยธานี!I451</f>
        <v>129</v>
      </c>
      <c r="J451" s="187">
        <f ca="1">กำแพงเพชร!J451+เชียงราย!J451+เชียงใหม่!J451+ตาก!J451+นครสวรรค์!J451+น่าน!J451+พะเยา!J451+พิจิตร!J451+พิษณุโลก!J451+เพชรบูรณ์!J451+แพร่!J451+แม่ฮ่องสอน!J451+ลำปาง!J451+ลำพูน!J451+สุโขทัย!J451+อุตรดิตถ์!J451+อุทัยธานี!J451</f>
        <v>69</v>
      </c>
      <c r="K451" s="163">
        <f t="shared" ca="1" si="84"/>
        <v>53.488372093023258</v>
      </c>
      <c r="L451" s="181"/>
      <c r="M451" s="181"/>
      <c r="N451" s="181"/>
      <c r="O451" s="181"/>
      <c r="P451" s="181"/>
    </row>
    <row r="452" spans="1:16" ht="21.75" customHeight="1" x14ac:dyDescent="0.3">
      <c r="A452" s="175"/>
      <c r="B452" s="176"/>
      <c r="C452" s="176"/>
      <c r="D452" s="193"/>
      <c r="E452" s="198"/>
      <c r="F452" s="195"/>
      <c r="G452" s="196" t="s">
        <v>164</v>
      </c>
      <c r="H452" s="186" t="s">
        <v>37</v>
      </c>
      <c r="I452" s="187">
        <f ca="1">กำแพงเพชร!I452+เชียงราย!I452+เชียงใหม่!I452+ตาก!I452+นครสวรรค์!I452+น่าน!I452+พะเยา!I452+พิจิตร!I452+พิษณุโลก!I452+เพชรบูรณ์!I452+แพร่!I452+แม่ฮ่องสอน!I452+ลำปาง!I452+ลำพูน!I452+สุโขทัย!I452+อุตรดิตถ์!I452+อุทัยธานี!I452</f>
        <v>0</v>
      </c>
      <c r="J452" s="187">
        <f ca="1">กำแพงเพชร!J452+เชียงราย!J452+เชียงใหม่!J452+ตาก!J452+นครสวรรค์!J452+น่าน!J452+พะเยา!J452+พิจิตร!J452+พิษณุโลก!J452+เพชรบูรณ์!J452+แพร่!J452+แม่ฮ่องสอน!J452+ลำปาง!J452+ลำพูน!J452+สุโขทัย!J452+อุตรดิตถ์!J452+อุทัยธานี!J452</f>
        <v>0</v>
      </c>
      <c r="K452" s="163">
        <f t="shared" ca="1" si="84"/>
        <v>0</v>
      </c>
      <c r="L452" s="181"/>
      <c r="M452" s="181"/>
      <c r="N452" s="181"/>
      <c r="O452" s="181"/>
      <c r="P452" s="181"/>
    </row>
    <row r="453" spans="1:16" ht="21.75" customHeight="1" x14ac:dyDescent="0.3">
      <c r="A453" s="175"/>
      <c r="B453" s="176"/>
      <c r="C453" s="176"/>
      <c r="D453" s="193"/>
      <c r="E453" s="194" t="s">
        <v>54</v>
      </c>
      <c r="F453" s="195"/>
      <c r="G453" s="196"/>
      <c r="H453" s="186"/>
      <c r="I453" s="187"/>
      <c r="J453" s="197">
        <f ca="1">กำแพงเพชร!J453+เชียงราย!J453+เชียงใหม่!J453+ตาก!J453+นครสวรรค์!J453+น่าน!J453+พะเยา!J453+พิจิตร!J453+พิษณุโลก!J453+เพชรบูรณ์!J453+แพร่!J453+แม่ฮ่องสอน!J453+ลำปาง!J453+ลำพูน!J453+สุโขทัย!J453+อุตรดิตถ์!J453+อุทัยธานี!J453</f>
        <v>1</v>
      </c>
      <c r="K453" s="163"/>
      <c r="L453" s="181"/>
      <c r="M453" s="181"/>
      <c r="N453" s="181"/>
      <c r="O453" s="181"/>
      <c r="P453" s="181"/>
    </row>
    <row r="454" spans="1:16" ht="21.75" customHeight="1" x14ac:dyDescent="0.3">
      <c r="A454" s="175"/>
      <c r="B454" s="176"/>
      <c r="C454" s="176"/>
      <c r="D454" s="205">
        <v>3</v>
      </c>
      <c r="E454" s="206" t="s">
        <v>55</v>
      </c>
      <c r="F454" s="207"/>
      <c r="G454" s="208"/>
      <c r="H454" s="186"/>
      <c r="I454" s="187"/>
      <c r="J454" s="209">
        <f ca="1">กำแพงเพชร!J454+เชียงราย!J454+เชียงใหม่!J454+ตาก!J454+นครสวรรค์!J454+น่าน!J454+พะเยา!J454+พิจิตร!J454+พิษณุโลก!J454+เพชรบูรณ์!J454+แพร่!J454+แม่ฮ่องสอน!J454+ลำปาง!J454+ลำพูน!J454+สุโขทัย!J454+อุตรดิตถ์!J454+อุทัยธานี!J454</f>
        <v>1</v>
      </c>
      <c r="K454" s="163"/>
      <c r="L454" s="181"/>
      <c r="M454" s="181"/>
      <c r="N454" s="181"/>
      <c r="O454" s="181"/>
      <c r="P454" s="181"/>
    </row>
    <row r="455" spans="1:16" ht="21.75" customHeight="1" x14ac:dyDescent="0.3">
      <c r="A455" s="364"/>
      <c r="B455" s="365">
        <v>5</v>
      </c>
      <c r="C455" s="366" t="s">
        <v>165</v>
      </c>
      <c r="D455" s="366"/>
      <c r="E455" s="366"/>
      <c r="F455" s="366"/>
      <c r="G455" s="367"/>
      <c r="H455" s="368" t="s">
        <v>122</v>
      </c>
      <c r="I455" s="369">
        <f ca="1">กำแพงเพชร!I455+เชียงราย!I455+เชียงใหม่!I455+ตาก!I455+นครสวรรค์!I455+น่าน!I455+พะเยา!I455+พิจิตร!I455+พิษณุโลก!I455+เพชรบูรณ์!I455+แพร่!I455+แม่ฮ่องสอน!I455+ลำปาง!I455+ลำพูน!I455+สุโขทัย!I455+อุตรดิตถ์!I455+อุทัยธานี!I455</f>
        <v>799598</v>
      </c>
      <c r="J455" s="369">
        <f ca="1">กำแพงเพชร!J455+เชียงราย!J455+เชียงใหม่!J455+ตาก!J455+นครสวรรค์!J455+น่าน!J455+พะเยา!J455+พิจิตร!J455+พิษณุโลก!J455+เพชรบูรณ์!J455+แพร่!J455+แม่ฮ่องสอน!J455+ลำปาง!J455+ลำพูน!J455+สุโขทัย!J455+อุตรดิตถ์!J455+อุทัยธานี!J455</f>
        <v>13987</v>
      </c>
      <c r="K455" s="370">
        <f ca="1">IF(I455&gt;0,J455*100/I455,0)</f>
        <v>1.7492540001350678</v>
      </c>
      <c r="L455" s="371">
        <f ca="1">กำแพงเพชร!L455+เชียงราย!L455+เชียงใหม่!L455+ตาก!L455+นครสวรรค์!L455+น่าน!L455+พะเยา!L455+พิจิตร!L455+พิษณุโลก!L455+เพชรบูรณ์!L455+แพร่!L455+แม่ฮ่องสอน!L455+ลำปาง!L455+ลำพูน!L455+สุโขทัย!L455+อุตรดิตถ์!L455+อุทัยธานี!L455</f>
        <v>7607158</v>
      </c>
      <c r="M455" s="371"/>
      <c r="N455" s="371">
        <f ca="1">กำแพงเพชร!N455+เชียงราย!N455+เชียงใหม่!N455+ตาก!N455+นครสวรรค์!N455+น่าน!N455+พะเยา!N455+พิจิตร!N455+พิษณุโลก!N455+เพชรบูรณ์!N455+แพร่!N455+แม่ฮ่องสอน!N455+ลำปาง!N455+ลำพูน!N455+สุโขทัย!N455+อุตรดิตถ์!N455+อุทัยธานี!N455</f>
        <v>1008540.19</v>
      </c>
      <c r="O455" s="371">
        <f t="shared" ref="O455:O459" ca="1" si="85">+IF(L455&gt;0,N455*100/L455,0)</f>
        <v>13.257778923482331</v>
      </c>
      <c r="P455" s="371"/>
    </row>
    <row r="456" spans="1:16" ht="21.75" customHeight="1" x14ac:dyDescent="0.3">
      <c r="A456" s="156"/>
      <c r="B456" s="157"/>
      <c r="C456" s="157" t="s">
        <v>16</v>
      </c>
      <c r="D456" s="158" t="s">
        <v>38</v>
      </c>
      <c r="E456" s="159"/>
      <c r="F456" s="159"/>
      <c r="G456" s="160" t="s">
        <v>39</v>
      </c>
      <c r="H456" s="161" t="s">
        <v>12</v>
      </c>
      <c r="I456" s="162" t="s">
        <v>40</v>
      </c>
      <c r="J456" s="162"/>
      <c r="K456" s="163"/>
      <c r="L456" s="164">
        <f ca="1">กำแพงเพชร!L456+เชียงราย!L456+เชียงใหม่!L456+ตาก!L456+นครสวรรค์!L456+น่าน!L456+พะเยา!L456+พิจิตร!L456+พิษณุโลก!L456+เพชรบูรณ์!L456+แพร่!L456+แม่ฮ่องสอน!L456+ลำปาง!L456+ลำพูน!L456+สุโขทัย!L456+อุตรดิตถ์!L456+อุทัยธานี!L456</f>
        <v>0</v>
      </c>
      <c r="M456" s="164"/>
      <c r="N456" s="168">
        <f ca="1">กำแพงเพชร!N456+เชียงราย!N456+เชียงใหม่!N456+ตาก!N456+นครสวรรค์!N456+น่าน!N456+พะเยา!N456+พิจิตร!N456+พิษณุโลก!N456+เพชรบูรณ์!N456+แพร่!N456+แม่ฮ่องสอน!N456+ลำปาง!N456+ลำพูน!N456+สุโขทัย!N456+อุตรดิตถ์!N456+อุทัยธานี!N456</f>
        <v>0</v>
      </c>
      <c r="O456" s="168">
        <f t="shared" ca="1" si="85"/>
        <v>0</v>
      </c>
      <c r="P456" s="168"/>
    </row>
    <row r="457" spans="1:16" ht="21.75" customHeight="1" x14ac:dyDescent="0.3">
      <c r="A457" s="156"/>
      <c r="B457" s="157"/>
      <c r="C457" s="157"/>
      <c r="D457" s="166"/>
      <c r="E457" s="159"/>
      <c r="F457" s="159" t="s">
        <v>40</v>
      </c>
      <c r="G457" s="160" t="s">
        <v>41</v>
      </c>
      <c r="H457" s="161" t="s">
        <v>12</v>
      </c>
      <c r="I457" s="162"/>
      <c r="J457" s="162"/>
      <c r="K457" s="163"/>
      <c r="L457" s="165">
        <f ca="1">กำแพงเพชร!L457+เชียงราย!L457+เชียงใหม่!L457+ตาก!L457+นครสวรรค์!L457+น่าน!L457+พะเยา!L457+พิจิตร!L457+พิษณุโลก!L457+เพชรบูรณ์!L457+แพร่!L457+แม่ฮ่องสอน!L457+ลำปาง!L457+ลำพูน!L457+สุโขทัย!L457+อุตรดิตถ์!L457+อุทัยธานี!L457</f>
        <v>7607158</v>
      </c>
      <c r="M457" s="165"/>
      <c r="N457" s="168">
        <f ca="1">กำแพงเพชร!N457+เชียงราย!N457+เชียงใหม่!N457+ตาก!N457+นครสวรรค์!N457+น่าน!N457+พะเยา!N457+พิจิตร!N457+พิษณุโลก!N457+เพชรบูรณ์!N457+แพร่!N457+แม่ฮ่องสอน!N457+ลำปาง!N457+ลำพูน!N457+สุโขทัย!N457+อุตรดิตถ์!N457+อุทัยธานี!N457</f>
        <v>1008540.19</v>
      </c>
      <c r="O457" s="168">
        <f t="shared" ca="1" si="85"/>
        <v>13.257778923482331</v>
      </c>
      <c r="P457" s="168"/>
    </row>
    <row r="458" spans="1:16" ht="21.75" customHeight="1" x14ac:dyDescent="0.3">
      <c r="A458" s="156"/>
      <c r="B458" s="157"/>
      <c r="C458" s="157"/>
      <c r="D458" s="166"/>
      <c r="E458" s="159"/>
      <c r="F458" s="159"/>
      <c r="G458" s="372" t="s">
        <v>129</v>
      </c>
      <c r="H458" s="161" t="s">
        <v>12</v>
      </c>
      <c r="I458" s="162"/>
      <c r="J458" s="162"/>
      <c r="K458" s="163"/>
      <c r="L458" s="168">
        <f ca="1">กำแพงเพชร!L458+เชียงราย!L458+เชียงใหม่!L458+ตาก!L458+นครสวรรค์!L458+น่าน!L458+พะเยา!L458+พิจิตร!L458+พิษณุโลก!L458+เพชรบูรณ์!L458+แพร่!L458+แม่ฮ่องสอน!L458+ลำปาง!L458+ลำพูน!L458+สุโขทัย!L458+อุตรดิตถ์!L458+อุทัยธานี!L458</f>
        <v>0</v>
      </c>
      <c r="M458" s="168"/>
      <c r="N458" s="168">
        <f ca="1">กำแพงเพชร!N458+เชียงราย!N458+เชียงใหม่!N458+ตาก!N458+นครสวรรค์!N458+น่าน!N458+พะเยา!N458+พิจิตร!N458+พิษณุโลก!N458+เพชรบูรณ์!N458+แพร่!N458+แม่ฮ่องสอน!N458+ลำปาง!N458+ลำพูน!N458+สุโขทัย!N458+อุตรดิตถ์!N458+อุทัยธานี!N458</f>
        <v>0</v>
      </c>
      <c r="O458" s="168">
        <f t="shared" ca="1" si="85"/>
        <v>0</v>
      </c>
      <c r="P458" s="168"/>
    </row>
    <row r="459" spans="1:16" ht="21.75" customHeight="1" x14ac:dyDescent="0.3">
      <c r="A459" s="156"/>
      <c r="B459" s="157"/>
      <c r="C459" s="157"/>
      <c r="D459" s="166"/>
      <c r="E459" s="159"/>
      <c r="F459" s="159"/>
      <c r="G459" s="372" t="s">
        <v>130</v>
      </c>
      <c r="H459" s="161" t="s">
        <v>12</v>
      </c>
      <c r="I459" s="162"/>
      <c r="J459" s="162"/>
      <c r="K459" s="163"/>
      <c r="L459" s="168">
        <f ca="1">กำแพงเพชร!L459+เชียงราย!L459+เชียงใหม่!L459+ตาก!L459+นครสวรรค์!L459+น่าน!L459+พะเยา!L459+พิจิตร!L459+พิษณุโลก!L459+เพชรบูรณ์!L459+แพร่!L459+แม่ฮ่องสอน!L459+ลำปาง!L459+ลำพูน!L459+สุโขทัย!L459+อุตรดิตถ์!L459+อุทัยธานี!L459</f>
        <v>7607158</v>
      </c>
      <c r="M459" s="168"/>
      <c r="N459" s="168">
        <f ca="1">กำแพงเพชร!N459+เชียงราย!N459+เชียงใหม่!N459+ตาก!N459+นครสวรรค์!N459+น่าน!N459+พะเยา!N459+พิจิตร!N459+พิษณุโลก!N459+เพชรบูรณ์!N459+แพร่!N459+แม่ฮ่องสอน!N459+ลำปาง!N459+ลำพูน!N459+สุโขทัย!N459+อุตรดิตถ์!N459+อุทัยธานี!N459</f>
        <v>1008540.19</v>
      </c>
      <c r="O459" s="168">
        <f t="shared" ca="1" si="85"/>
        <v>13.257778923482331</v>
      </c>
      <c r="P459" s="168"/>
    </row>
    <row r="460" spans="1:16" ht="21.75" customHeight="1" x14ac:dyDescent="0.3">
      <c r="A460" s="373"/>
      <c r="B460" s="374"/>
      <c r="C460" s="157"/>
      <c r="D460" s="375"/>
      <c r="E460" s="159"/>
      <c r="F460" s="159"/>
      <c r="G460" s="376" t="s">
        <v>131</v>
      </c>
      <c r="H460" s="161" t="s">
        <v>12</v>
      </c>
      <c r="I460" s="187"/>
      <c r="J460" s="187"/>
      <c r="K460" s="223"/>
      <c r="L460" s="168"/>
      <c r="M460" s="168"/>
      <c r="N460" s="167">
        <f ca="1">กำแพงเพชร!N460+เชียงราย!N460+เชียงใหม่!N460+ตาก!N460+นครสวรรค์!N460+น่าน!N460+พะเยา!N460+พิจิตร!N460+พิษณุโลก!N460+เพชรบูรณ์!N460+แพร่!N460+แม่ฮ่องสอน!N460+ลำปาง!N460+ลำพูน!N460+สุโขทัย!N460+อุตรดิตถ์!N460+อุทัยธานี!N460</f>
        <v>0</v>
      </c>
      <c r="O460" s="168"/>
      <c r="P460" s="168"/>
    </row>
    <row r="461" spans="1:16" ht="21.75" customHeight="1" x14ac:dyDescent="0.3">
      <c r="A461" s="373"/>
      <c r="B461" s="374"/>
      <c r="C461" s="157"/>
      <c r="D461" s="375"/>
      <c r="E461" s="159"/>
      <c r="F461" s="159"/>
      <c r="G461" s="376" t="s">
        <v>132</v>
      </c>
      <c r="H461" s="161" t="s">
        <v>12</v>
      </c>
      <c r="I461" s="187"/>
      <c r="J461" s="187"/>
      <c r="K461" s="223"/>
      <c r="L461" s="168"/>
      <c r="M461" s="168"/>
      <c r="N461" s="167">
        <f ca="1">กำแพงเพชร!N461+เชียงราย!N461+เชียงใหม่!N461+ตาก!N461+นครสวรรค์!N461+น่าน!N461+พะเยา!N461+พิจิตร!N461+พิษณุโลก!N461+เพชรบูรณ์!N461+แพร่!N461+แม่ฮ่องสอน!N461+ลำปาง!N461+ลำพูน!N461+สุโขทัย!N461+อุตรดิตถ์!N461+อุทัยธานี!N461</f>
        <v>0</v>
      </c>
      <c r="O461" s="168"/>
      <c r="P461" s="168"/>
    </row>
    <row r="462" spans="1:16" ht="21.75" customHeight="1" x14ac:dyDescent="0.3">
      <c r="A462" s="373"/>
      <c r="B462" s="374"/>
      <c r="C462" s="157"/>
      <c r="D462" s="375"/>
      <c r="E462" s="159"/>
      <c r="F462" s="159"/>
      <c r="G462" s="376" t="s">
        <v>133</v>
      </c>
      <c r="H462" s="161" t="s">
        <v>12</v>
      </c>
      <c r="I462" s="187"/>
      <c r="J462" s="187"/>
      <c r="K462" s="223"/>
      <c r="L462" s="168"/>
      <c r="M462" s="168"/>
      <c r="N462" s="377">
        <f ca="1">กำแพงเพชร!N462+เชียงราย!N462+เชียงใหม่!N462+ตาก!N462+นครสวรรค์!N462+น่าน!N462+พะเยา!N462+พิจิตร!N462+พิษณุโลก!N462+เพชรบูรณ์!N462+แพร่!N462+แม่ฮ่องสอน!N462+ลำปาง!N462+ลำพูน!N462+สุโขทัย!N462+อุตรดิตถ์!N462+อุทัยธานี!N462</f>
        <v>382296.19</v>
      </c>
      <c r="O462" s="168"/>
      <c r="P462" s="168"/>
    </row>
    <row r="463" spans="1:16" ht="21.75" customHeight="1" x14ac:dyDescent="0.3">
      <c r="A463" s="373"/>
      <c r="B463" s="374"/>
      <c r="C463" s="157"/>
      <c r="D463" s="375"/>
      <c r="E463" s="159"/>
      <c r="F463" s="159"/>
      <c r="G463" s="376" t="s">
        <v>134</v>
      </c>
      <c r="H463" s="161" t="s">
        <v>12</v>
      </c>
      <c r="I463" s="187"/>
      <c r="J463" s="187"/>
      <c r="K463" s="223"/>
      <c r="L463" s="168"/>
      <c r="M463" s="168"/>
      <c r="N463" s="377">
        <f ca="1">กำแพงเพชร!N463+เชียงราย!N463+เชียงใหม่!N463+ตาก!N463+นครสวรรค์!N463+น่าน!N463+พะเยา!N463+พิจิตร!N463+พิษณุโลก!N463+เพชรบูรณ์!N463+แพร่!N463+แม่ฮ่องสอน!N463+ลำปาง!N463+ลำพูน!N463+สุโขทัย!N463+อุตรดิตถ์!N463+อุทัยธานี!N463</f>
        <v>626244</v>
      </c>
      <c r="O463" s="168"/>
      <c r="P463" s="168"/>
    </row>
    <row r="464" spans="1:16" ht="21.75" customHeight="1" x14ac:dyDescent="0.3">
      <c r="A464" s="175"/>
      <c r="B464" s="176"/>
      <c r="C464" s="413" t="s">
        <v>166</v>
      </c>
      <c r="D464" s="413"/>
      <c r="E464" s="414"/>
      <c r="F464" s="414"/>
      <c r="G464" s="415"/>
      <c r="H464" s="265" t="s">
        <v>122</v>
      </c>
      <c r="I464" s="266">
        <f ca="1">กำแพงเพชร!I464+เชียงราย!I464+เชียงใหม่!I464+ตาก!I464+นครสวรรค์!I464+น่าน!I464+พะเยา!I464+พิจิตร!I464+พิษณุโลก!I464+เพชรบูรณ์!I464+แพร่!I464+แม่ฮ่องสอน!I464+ลำปาง!I464+ลำพูน!I464+สุโขทัย!I464+อุตรดิตถ์!I464+อุทัยธานี!I464</f>
        <v>799598</v>
      </c>
      <c r="J464" s="266">
        <f ca="1">กำแพงเพชร!J464+เชียงราย!J464+เชียงใหม่!J464+ตาก!J464+นครสวรรค์!J464+น่าน!J464+พะเยา!J464+พิจิตร!J464+พิษณุโลก!J464+เพชรบูรณ์!J464+แพร่!J464+แม่ฮ่องสอน!J464+ลำปาง!J464+ลำพูน!J464+สุโขทัย!J464+อุตรดิตถ์!J464+อุทัยธานี!J464</f>
        <v>13987</v>
      </c>
      <c r="K464" s="267">
        <f t="shared" ref="K464:K515" ca="1" si="86">IF(I464&gt;0,J464*100/I464,0)</f>
        <v>1.7492540001350678</v>
      </c>
      <c r="L464" s="290"/>
      <c r="M464" s="290"/>
      <c r="N464" s="290"/>
      <c r="O464" s="290"/>
      <c r="P464" s="290"/>
    </row>
    <row r="465" spans="1:16" ht="21.75" customHeight="1" x14ac:dyDescent="0.3">
      <c r="A465" s="400"/>
      <c r="B465" s="401"/>
      <c r="C465" s="401"/>
      <c r="D465" s="402"/>
      <c r="E465" s="193" t="s">
        <v>167</v>
      </c>
      <c r="F465" s="195"/>
      <c r="G465" s="196"/>
      <c r="H465" s="416" t="s">
        <v>122</v>
      </c>
      <c r="I465" s="417">
        <f ca="1">กำแพงเพชร!I465+เชียงราย!I465+เชียงใหม่!I465+ตาก!I465+นครสวรรค์!I465+น่าน!I465+พะเยา!I465+พิจิตร!I465+พิษณุโลก!I465+เพชรบูรณ์!I465+แพร่!I465+แม่ฮ่องสอน!I465+ลำปาง!I465+ลำพูน!I465+สุโขทัย!I465+อุตรดิตถ์!I465+อุทัยธานี!I465</f>
        <v>799598</v>
      </c>
      <c r="J465" s="418">
        <f ca="1">กำแพงเพชร!J465+เชียงราย!J465+เชียงใหม่!J465+ตาก!J465+นครสวรรค์!J465+น่าน!J465+พะเยา!J465+พิจิตร!J465+พิษณุโลก!J465+เพชรบูรณ์!J465+แพร่!J465+แม่ฮ่องสอน!J465+ลำปาง!J465+ลำพูน!J465+สุโขทัย!J465+อุตรดิตถ์!J465+อุทัยธานี!J465</f>
        <v>602212.0299999998</v>
      </c>
      <c r="K465" s="201">
        <f t="shared" ca="1" si="86"/>
        <v>75.314349210478241</v>
      </c>
      <c r="L465" s="181"/>
      <c r="M465" s="181"/>
      <c r="N465" s="181"/>
      <c r="O465" s="181"/>
      <c r="P465" s="181"/>
    </row>
    <row r="466" spans="1:16" ht="21.75" customHeight="1" x14ac:dyDescent="0.3">
      <c r="A466" s="400"/>
      <c r="B466" s="401"/>
      <c r="C466" s="401"/>
      <c r="D466" s="402"/>
      <c r="E466" s="195"/>
      <c r="F466" s="195"/>
      <c r="G466" s="196"/>
      <c r="H466" s="416" t="s">
        <v>36</v>
      </c>
      <c r="I466" s="417">
        <f ca="1">กำแพงเพชร!I466+เชียงราย!I466+เชียงใหม่!I466+ตาก!I466+นครสวรรค์!I466+น่าน!I466+พะเยา!I466+พิจิตร!I466+พิษณุโลก!I466+เพชรบูรณ์!I466+แพร่!I466+แม่ฮ่องสอน!I466+ลำปาง!I466+ลำพูน!I466+สุโขทัย!I466+อุตรดิตถ์!I466+อุทัยธานี!I466</f>
        <v>95173</v>
      </c>
      <c r="J466" s="418">
        <f ca="1">กำแพงเพชร!J466+เชียงราย!J466+เชียงใหม่!J466+ตาก!J466+นครสวรรค์!J466+น่าน!J466+พะเยา!J466+พิจิตร!J466+พิษณุโลก!J466+เพชรบูรณ์!J466+แพร่!J466+แม่ฮ่องสอน!J466+ลำปาง!J466+ลำพูน!J466+สุโขทัย!J466+อุตรดิตถ์!J466+อุทัยธานี!J466</f>
        <v>66533</v>
      </c>
      <c r="K466" s="201">
        <f t="shared" ca="1" si="86"/>
        <v>69.907431729587174</v>
      </c>
      <c r="L466" s="181"/>
      <c r="M466" s="181"/>
      <c r="N466" s="181"/>
      <c r="O466" s="181"/>
      <c r="P466" s="181"/>
    </row>
    <row r="467" spans="1:16" ht="21.75" customHeight="1" x14ac:dyDescent="0.3">
      <c r="A467" s="400"/>
      <c r="B467" s="401"/>
      <c r="C467" s="401"/>
      <c r="D467" s="402"/>
      <c r="E467" s="195"/>
      <c r="F467" s="388" t="s">
        <v>168</v>
      </c>
      <c r="G467" s="419"/>
      <c r="H467" s="420" t="s">
        <v>122</v>
      </c>
      <c r="I467" s="202">
        <f ca="1">กำแพงเพชร!I467+เชียงราย!I467+เชียงใหม่!I467+ตาก!I467+นครสวรรค์!I467+น่าน!I467+พะเยา!I467+พิจิตร!I467+พิษณุโลก!I467+เพชรบูรณ์!I467+แพร่!I467+แม่ฮ่องสอน!I467+ลำปาง!I467+ลำพูน!I467+สุโขทัย!I467+อุตรดิตถ์!I467+อุทัยธานี!I467</f>
        <v>0</v>
      </c>
      <c r="J467" s="188">
        <f ca="1">กำแพงเพชร!J467+เชียงราย!J467+เชียงใหม่!J467+ตาก!J467+นครสวรรค์!J467+น่าน!J467+พะเยา!J467+พิจิตร!J467+พิษณุโลก!J467+เพชรบูรณ์!J467+แพร่!J467+แม่ฮ่องสอน!J467+ลำปาง!J467+ลำพูน!J467+สุโขทัย!J467+อุตรดิตถ์!J467+อุทัยธานี!J467</f>
        <v>459852.85000000003</v>
      </c>
      <c r="K467" s="163">
        <f t="shared" ca="1" si="86"/>
        <v>0</v>
      </c>
      <c r="L467" s="181"/>
      <c r="M467" s="181"/>
      <c r="N467" s="181"/>
      <c r="O467" s="181"/>
      <c r="P467" s="181"/>
    </row>
    <row r="468" spans="1:16" ht="21.75" customHeight="1" x14ac:dyDescent="0.3">
      <c r="A468" s="400"/>
      <c r="B468" s="401"/>
      <c r="C468" s="401"/>
      <c r="D468" s="402"/>
      <c r="E468" s="195"/>
      <c r="F468" s="195"/>
      <c r="G468" s="419"/>
      <c r="H468" s="420" t="s">
        <v>36</v>
      </c>
      <c r="I468" s="202">
        <f ca="1">กำแพงเพชร!I468+เชียงราย!I468+เชียงใหม่!I468+ตาก!I468+นครสวรรค์!I468+น่าน!I468+พะเยา!I468+พิจิตร!I468+พิษณุโลก!I468+เพชรบูรณ์!I468+แพร่!I468+แม่ฮ่องสอน!I468+ลำปาง!I468+ลำพูน!I468+สุโขทัย!I468+อุตรดิตถ์!I468+อุทัยธานี!I468</f>
        <v>0</v>
      </c>
      <c r="J468" s="188">
        <f ca="1">กำแพงเพชร!J468+เชียงราย!J468+เชียงใหม่!J468+ตาก!J468+นครสวรรค์!J468+น่าน!J468+พะเยา!J468+พิจิตร!J468+พิษณุโลก!J468+เพชรบูรณ์!J468+แพร่!J468+แม่ฮ่องสอน!J468+ลำปาง!J468+ลำพูน!J468+สุโขทัย!J468+อุตรดิตถ์!J468+อุทัยธานี!J468</f>
        <v>53849</v>
      </c>
      <c r="K468" s="163">
        <f t="shared" ca="1" si="86"/>
        <v>0</v>
      </c>
      <c r="L468" s="181"/>
      <c r="M468" s="181"/>
      <c r="N468" s="181"/>
      <c r="O468" s="181"/>
      <c r="P468" s="181"/>
    </row>
    <row r="469" spans="1:16" ht="21.75" customHeight="1" x14ac:dyDescent="0.3">
      <c r="A469" s="400"/>
      <c r="B469" s="401"/>
      <c r="C469" s="401"/>
      <c r="D469" s="402"/>
      <c r="E469" s="195"/>
      <c r="F469" s="388" t="s">
        <v>169</v>
      </c>
      <c r="G469" s="419"/>
      <c r="H469" s="420" t="s">
        <v>122</v>
      </c>
      <c r="I469" s="202">
        <f ca="1">กำแพงเพชร!I469+เชียงราย!I469+เชียงใหม่!I469+ตาก!I469+นครสวรรค์!I469+น่าน!I469+พะเยา!I469+พิจิตร!I469+พิษณุโลก!I469+เพชรบูรณ์!I469+แพร่!I469+แม่ฮ่องสอน!I469+ลำปาง!I469+ลำพูน!I469+สุโขทัย!I469+อุตรดิตถ์!I469+อุทัยธานี!I469</f>
        <v>0</v>
      </c>
      <c r="J469" s="188">
        <f ca="1">กำแพงเพชร!J469+เชียงราย!J469+เชียงใหม่!J469+ตาก!J469+นครสวรรค์!J469+น่าน!J469+พะเยา!J469+พิจิตร!J469+พิษณุโลก!J469+เพชรบูรณ์!J469+แพร่!J469+แม่ฮ่องสอน!J469+ลำปาง!J469+ลำพูน!J469+สุโขทัย!J469+อุตรดิตถ์!J469+อุทัยธานี!J469</f>
        <v>130000.18000000001</v>
      </c>
      <c r="K469" s="163">
        <f t="shared" ca="1" si="86"/>
        <v>0</v>
      </c>
      <c r="L469" s="181"/>
      <c r="M469" s="181"/>
      <c r="N469" s="181"/>
      <c r="O469" s="181"/>
      <c r="P469" s="181"/>
    </row>
    <row r="470" spans="1:16" ht="21.75" customHeight="1" x14ac:dyDescent="0.3">
      <c r="A470" s="400"/>
      <c r="B470" s="401"/>
      <c r="C470" s="401"/>
      <c r="D470" s="402"/>
      <c r="E470" s="195"/>
      <c r="F470" s="195"/>
      <c r="G470" s="419"/>
      <c r="H470" s="420" t="s">
        <v>36</v>
      </c>
      <c r="I470" s="202">
        <f ca="1">กำแพงเพชร!I470+เชียงราย!I470+เชียงใหม่!I470+ตาก!I470+นครสวรรค์!I470+น่าน!I470+พะเยา!I470+พิจิตร!I470+พิษณุโลก!I470+เพชรบูรณ์!I470+แพร่!I470+แม่ฮ่องสอน!I470+ลำปาง!I470+ลำพูน!I470+สุโขทัย!I470+อุตรดิตถ์!I470+อุทัยธานี!I470</f>
        <v>0</v>
      </c>
      <c r="J470" s="188">
        <f ca="1">กำแพงเพชร!J470+เชียงราย!J470+เชียงใหม่!J470+ตาก!J470+นครสวรรค์!J470+น่าน!J470+พะเยา!J470+พิจิตร!J470+พิษณุโลก!J470+เพชรบูรณ์!J470+แพร่!J470+แม่ฮ่องสอน!J470+ลำปาง!J470+ลำพูน!J470+สุโขทัย!J470+อุตรดิตถ์!J470+อุทัยธานี!J470</f>
        <v>11411</v>
      </c>
      <c r="K470" s="163">
        <f t="shared" ca="1" si="86"/>
        <v>0</v>
      </c>
      <c r="L470" s="181"/>
      <c r="M470" s="181"/>
      <c r="N470" s="181"/>
      <c r="O470" s="181"/>
      <c r="P470" s="181"/>
    </row>
    <row r="471" spans="1:16" ht="21.75" customHeight="1" x14ac:dyDescent="0.3">
      <c r="A471" s="400"/>
      <c r="B471" s="401"/>
      <c r="C471" s="401"/>
      <c r="D471" s="402"/>
      <c r="E471" s="195"/>
      <c r="F471" s="388" t="s">
        <v>170</v>
      </c>
      <c r="G471" s="419"/>
      <c r="H471" s="420" t="s">
        <v>122</v>
      </c>
      <c r="I471" s="202">
        <f ca="1">กำแพงเพชร!I471+เชียงราย!I471+เชียงใหม่!I471+ตาก!I471+นครสวรรค์!I471+น่าน!I471+พะเยา!I471+พิจิตร!I471+พิษณุโลก!I471+เพชรบูรณ์!I471+แพร่!I471+แม่ฮ่องสอน!I471+ลำปาง!I471+ลำพูน!I471+สุโขทัย!I471+อุตรดิตถ์!I471+อุทัยธานี!I471</f>
        <v>0</v>
      </c>
      <c r="J471" s="188">
        <f ca="1">กำแพงเพชร!J471+เชียงราย!J471+เชียงใหม่!J471+ตาก!J471+นครสวรรค์!J471+น่าน!J471+พะเยา!J471+พิจิตร!J471+พิษณุโลก!J471+เพชรบูรณ์!J471+แพร่!J471+แม่ฮ่องสอน!J471+ลำปาง!J471+ลำพูน!J471+สุโขทัย!J471+อุตรดิตถ์!J471+อุทัยธานี!J471</f>
        <v>12359</v>
      </c>
      <c r="K471" s="163">
        <f t="shared" ca="1" si="86"/>
        <v>0</v>
      </c>
      <c r="L471" s="181"/>
      <c r="M471" s="181"/>
      <c r="N471" s="181"/>
      <c r="O471" s="181"/>
      <c r="P471" s="181"/>
    </row>
    <row r="472" spans="1:16" ht="21.75" customHeight="1" x14ac:dyDescent="0.3">
      <c r="A472" s="400"/>
      <c r="B472" s="401"/>
      <c r="C472" s="401"/>
      <c r="D472" s="402"/>
      <c r="E472" s="195"/>
      <c r="F472" s="195"/>
      <c r="G472" s="195"/>
      <c r="H472" s="420" t="s">
        <v>36</v>
      </c>
      <c r="I472" s="202">
        <f ca="1">กำแพงเพชร!I472+เชียงราย!I472+เชียงใหม่!I472+ตาก!I472+นครสวรรค์!I472+น่าน!I472+พะเยา!I472+พิจิตร!I472+พิษณุโลก!I472+เพชรบูรณ์!I472+แพร่!I472+แม่ฮ่องสอน!I472+ลำปาง!I472+ลำพูน!I472+สุโขทัย!I472+อุตรดิตถ์!I472+อุทัยธานี!I472</f>
        <v>0</v>
      </c>
      <c r="J472" s="188">
        <f ca="1">กำแพงเพชร!J472+เชียงราย!J472+เชียงใหม่!J472+ตาก!J472+นครสวรรค์!J472+น่าน!J472+พะเยา!J472+พิจิตร!J472+พิษณุโลก!J472+เพชรบูรณ์!J472+แพร่!J472+แม่ฮ่องสอน!J472+ลำปาง!J472+ลำพูน!J472+สุโขทัย!J472+อุตรดิตถ์!J472+อุทัยธานี!J472</f>
        <v>1273</v>
      </c>
      <c r="K472" s="163">
        <f t="shared" ca="1" si="86"/>
        <v>0</v>
      </c>
      <c r="L472" s="181"/>
      <c r="M472" s="181"/>
      <c r="N472" s="181"/>
      <c r="O472" s="181"/>
      <c r="P472" s="181"/>
    </row>
    <row r="473" spans="1:16" ht="21.75" customHeight="1" x14ac:dyDescent="0.3">
      <c r="A473" s="400"/>
      <c r="B473" s="401"/>
      <c r="C473" s="401"/>
      <c r="D473" s="402"/>
      <c r="E473" s="289" t="s">
        <v>171</v>
      </c>
      <c r="F473" s="195"/>
      <c r="G473" s="196"/>
      <c r="H473" s="416" t="s">
        <v>122</v>
      </c>
      <c r="I473" s="418">
        <f ca="1">กำแพงเพชร!I473+เชียงราย!I473+เชียงใหม่!I473+ตาก!I473+นครสวรรค์!I473+น่าน!I473+พะเยา!I473+พิจิตร!I473+พิษณุโลก!I473+เพชรบูรณ์!I473+แพร่!I473+แม่ฮ่องสอน!I473+ลำปาง!I473+ลำพูน!I473+สุโขทัย!I473+อุตรดิตถ์!I473+อุทัยธานี!I473</f>
        <v>799598</v>
      </c>
      <c r="J473" s="418">
        <f ca="1">กำแพงเพชร!J473+เชียงราย!J473+เชียงใหม่!J473+ตาก!J473+นครสวรรค์!J473+น่าน!J473+พะเยา!J473+พิจิตร!J473+พิษณุโลก!J473+เพชรบูรณ์!J473+แพร่!J473+แม่ฮ่องสอน!J473+ลำปาง!J473+ลำพูน!J473+สุโขทัย!J473+อุตรดิตถ์!J473+อุทัยธานี!J473</f>
        <v>79842.339999999895</v>
      </c>
      <c r="K473" s="201">
        <f t="shared" ca="1" si="86"/>
        <v>9.9853101183344499</v>
      </c>
      <c r="L473" s="181"/>
      <c r="M473" s="181"/>
      <c r="N473" s="181"/>
      <c r="O473" s="181"/>
      <c r="P473" s="181"/>
    </row>
    <row r="474" spans="1:16" ht="21.75" customHeight="1" x14ac:dyDescent="0.3">
      <c r="A474" s="400"/>
      <c r="B474" s="401"/>
      <c r="C474" s="401"/>
      <c r="D474" s="402"/>
      <c r="E474" s="195"/>
      <c r="F474" s="195"/>
      <c r="G474" s="196"/>
      <c r="H474" s="416" t="s">
        <v>36</v>
      </c>
      <c r="I474" s="417">
        <f ca="1">กำแพงเพชร!I474+เชียงราย!I474+เชียงใหม่!I474+ตาก!I474+นครสวรรค์!I474+น่าน!I474+พะเยา!I474+พิจิตร!I474+พิษณุโลก!I474+เพชรบูรณ์!I474+แพร่!I474+แม่ฮ่องสอน!I474+ลำปาง!I474+ลำพูน!I474+สุโขทัย!I474+อุตรดิตถ์!I474+อุทัยธานี!I474</f>
        <v>95173</v>
      </c>
      <c r="J474" s="418">
        <f ca="1">กำแพงเพชร!J474+เชียงราย!J474+เชียงใหม่!J474+ตาก!J474+นครสวรรค์!J474+น่าน!J474+พะเยา!J474+พิจิตร!J474+พิษณุโลก!J474+เพชรบูรณ์!J474+แพร่!J474+แม่ฮ่องสอน!J474+ลำปาง!J474+ลำพูน!J474+สุโขทัย!J474+อุตรดิตถ์!J474+อุทัยธานี!J474</f>
        <v>8747</v>
      </c>
      <c r="K474" s="163">
        <f t="shared" ca="1" si="86"/>
        <v>9.1906317968331361</v>
      </c>
      <c r="L474" s="181"/>
      <c r="M474" s="181"/>
      <c r="N474" s="181"/>
      <c r="O474" s="181"/>
      <c r="P474" s="181"/>
    </row>
    <row r="475" spans="1:16" ht="21.75" customHeight="1" x14ac:dyDescent="0.3">
      <c r="A475" s="400"/>
      <c r="B475" s="401"/>
      <c r="C475" s="401"/>
      <c r="D475" s="402"/>
      <c r="E475" s="195"/>
      <c r="F475" s="194" t="s">
        <v>172</v>
      </c>
      <c r="G475" s="419"/>
      <c r="H475" s="420" t="s">
        <v>122</v>
      </c>
      <c r="I475" s="202">
        <f ca="1">กำแพงเพชร!I475+เชียงราย!I475+เชียงใหม่!I475+ตาก!I475+นครสวรรค์!I475+น่าน!I475+พะเยา!I475+พิจิตร!I475+พิษณุโลก!I475+เพชรบูรณ์!I475+แพร่!I475+แม่ฮ่องสอน!I475+ลำปาง!I475+ลำพูน!I475+สุโขทัย!I475+อุตรดิตถ์!I475+อุทัยธานี!I475</f>
        <v>0</v>
      </c>
      <c r="J475" s="188">
        <f ca="1">กำแพงเพชร!J475+เชียงราย!J475+เชียงใหม่!J475+ตาก!J475+นครสวรรค์!J475+น่าน!J475+พะเยา!J475+พิจิตร!J475+พิษณุโลก!J475+เพชรบูรณ์!J475+แพร่!J475+แม่ฮ่องสอน!J475+ลำปาง!J475+ลำพูน!J475+สุโขทัย!J475+อุตรดิตถ์!J475+อุทัยธานี!J475</f>
        <v>48677.760000000002</v>
      </c>
      <c r="K475" s="163">
        <f t="shared" ca="1" si="86"/>
        <v>0</v>
      </c>
      <c r="L475" s="181"/>
      <c r="M475" s="181"/>
      <c r="N475" s="181"/>
      <c r="O475" s="181"/>
      <c r="P475" s="181"/>
    </row>
    <row r="476" spans="1:16" ht="21.75" customHeight="1" x14ac:dyDescent="0.3">
      <c r="A476" s="400"/>
      <c r="B476" s="401"/>
      <c r="C476" s="401"/>
      <c r="D476" s="402"/>
      <c r="E476" s="195"/>
      <c r="F476" s="195"/>
      <c r="G476" s="419"/>
      <c r="H476" s="420" t="s">
        <v>36</v>
      </c>
      <c r="I476" s="202">
        <f ca="1">กำแพงเพชร!I476+เชียงราย!I476+เชียงใหม่!I476+ตาก!I476+นครสวรรค์!I476+น่าน!I476+พะเยา!I476+พิจิตร!I476+พิษณุโลก!I476+เพชรบูรณ์!I476+แพร่!I476+แม่ฮ่องสอน!I476+ลำปาง!I476+ลำพูน!I476+สุโขทัย!I476+อุตรดิตถ์!I476+อุทัยธานี!I476</f>
        <v>0</v>
      </c>
      <c r="J476" s="188">
        <f ca="1">กำแพงเพชร!J476+เชียงราย!J476+เชียงใหม่!J476+ตาก!J476+นครสวรรค์!J476+น่าน!J476+พะเยา!J476+พิจิตร!J476+พิษณุโลก!J476+เพชรบูรณ์!J476+แพร่!J476+แม่ฮ่องสอน!J476+ลำปาง!J476+ลำพูน!J476+สุโขทัย!J476+อุตรดิตถ์!J476+อุทัยธานี!J476</f>
        <v>5753</v>
      </c>
      <c r="K476" s="163">
        <f t="shared" ca="1" si="86"/>
        <v>0</v>
      </c>
      <c r="L476" s="181"/>
      <c r="M476" s="181"/>
      <c r="N476" s="181"/>
      <c r="O476" s="181"/>
      <c r="P476" s="181"/>
    </row>
    <row r="477" spans="1:16" ht="21.75" customHeight="1" x14ac:dyDescent="0.3">
      <c r="A477" s="400"/>
      <c r="B477" s="401"/>
      <c r="C477" s="401"/>
      <c r="D477" s="402"/>
      <c r="E477" s="195"/>
      <c r="F477" s="194" t="s">
        <v>173</v>
      </c>
      <c r="G477" s="419"/>
      <c r="H477" s="420" t="s">
        <v>122</v>
      </c>
      <c r="I477" s="202">
        <f ca="1">กำแพงเพชร!I477+เชียงราย!I477+เชียงใหม่!I477+ตาก!I477+นครสวรรค์!I477+น่าน!I477+พะเยา!I477+พิจิตร!I477+พิษณุโลก!I477+เพชรบูรณ์!I477+แพร่!I477+แม่ฮ่องสอน!I477+ลำปาง!I477+ลำพูน!I477+สุโขทัย!I477+อุตรดิตถ์!I477+อุทัยธานี!I477</f>
        <v>0</v>
      </c>
      <c r="J477" s="188">
        <f ca="1">กำแพงเพชร!J477+เชียงราย!J477+เชียงใหม่!J477+ตาก!J477+นครสวรรค์!J477+น่าน!J477+พะเยา!J477+พิจิตร!J477+พิษณุโลก!J477+เพชรบูรณ์!J477+แพร่!J477+แม่ฮ่องสอน!J477+ลำปาง!J477+ลำพูน!J477+สุโขทัย!J477+อุตรดิตถ์!J477+อุทัยธานี!J477</f>
        <v>29239.23</v>
      </c>
      <c r="K477" s="163">
        <f t="shared" ca="1" si="86"/>
        <v>0</v>
      </c>
      <c r="L477" s="181"/>
      <c r="M477" s="181"/>
      <c r="N477" s="181"/>
      <c r="O477" s="181"/>
      <c r="P477" s="181"/>
    </row>
    <row r="478" spans="1:16" ht="21.75" customHeight="1" x14ac:dyDescent="0.3">
      <c r="A478" s="400"/>
      <c r="B478" s="401"/>
      <c r="C478" s="401"/>
      <c r="D478" s="402"/>
      <c r="E478" s="195"/>
      <c r="F478" s="195"/>
      <c r="G478" s="419"/>
      <c r="H478" s="420" t="s">
        <v>36</v>
      </c>
      <c r="I478" s="202">
        <f ca="1">กำแพงเพชร!I478+เชียงราย!I478+เชียงใหม่!I478+ตาก!I478+นครสวรรค์!I478+น่าน!I478+พะเยา!I478+พิจิตร!I478+พิษณุโลก!I478+เพชรบูรณ์!I478+แพร่!I478+แม่ฮ่องสอน!I478+ลำปาง!I478+ลำพูน!I478+สุโขทัย!I478+อุตรดิตถ์!I478+อุทัยธานี!I478</f>
        <v>0</v>
      </c>
      <c r="J478" s="188">
        <f ca="1">กำแพงเพชร!J478+เชียงราย!J478+เชียงใหม่!J478+ตาก!J478+นครสวรรค์!J478+น่าน!J478+พะเยา!J478+พิจิตร!J478+พิษณุโลก!J478+เพชรบูรณ์!J478+แพร่!J478+แม่ฮ่องสอน!J478+ลำปาง!J478+ลำพูน!J478+สุโขทัย!J478+อุตรดิตถ์!J478+อุทัยธานี!J478</f>
        <v>2842</v>
      </c>
      <c r="K478" s="163">
        <f t="shared" ca="1" si="86"/>
        <v>0</v>
      </c>
      <c r="L478" s="181"/>
      <c r="M478" s="181"/>
      <c r="N478" s="181"/>
      <c r="O478" s="181"/>
      <c r="P478" s="181"/>
    </row>
    <row r="479" spans="1:16" ht="21.75" customHeight="1" x14ac:dyDescent="0.3">
      <c r="A479" s="400"/>
      <c r="B479" s="401"/>
      <c r="C479" s="401"/>
      <c r="D479" s="402"/>
      <c r="E479" s="195"/>
      <c r="F479" s="194" t="s">
        <v>174</v>
      </c>
      <c r="G479" s="419"/>
      <c r="H479" s="420" t="s">
        <v>122</v>
      </c>
      <c r="I479" s="202">
        <f ca="1">กำแพงเพชร!I479+เชียงราย!I479+เชียงใหม่!I479+ตาก!I479+นครสวรรค์!I479+น่าน!I479+พะเยา!I479+พิจิตร!I479+พิษณุโลก!I479+เพชรบูรณ์!I479+แพร่!I479+แม่ฮ่องสอน!I479+ลำปาง!I479+ลำพูน!I479+สุโขทัย!I479+อุตรดิตถ์!I479+อุทัยธานี!I479</f>
        <v>0</v>
      </c>
      <c r="J479" s="188">
        <f ca="1">กำแพงเพชร!J479+เชียงราย!J479+เชียงใหม่!J479+ตาก!J479+นครสวรรค์!J479+น่าน!J479+พะเยา!J479+พิจิตร!J479+พิษณุโลก!J479+เพชรบูรณ์!J479+แพร่!J479+แม่ฮ่องสอน!J479+ลำปาง!J479+ลำพูน!J479+สุโขทัย!J479+อุตรดิตถ์!J479+อุทัยธานี!J479</f>
        <v>1925.35</v>
      </c>
      <c r="K479" s="163">
        <f t="shared" ca="1" si="86"/>
        <v>0</v>
      </c>
      <c r="L479" s="181"/>
      <c r="M479" s="181"/>
      <c r="N479" s="181"/>
      <c r="O479" s="181"/>
      <c r="P479" s="181"/>
    </row>
    <row r="480" spans="1:16" ht="21.75" customHeight="1" x14ac:dyDescent="0.3">
      <c r="A480" s="400"/>
      <c r="B480" s="401"/>
      <c r="C480" s="401"/>
      <c r="D480" s="402"/>
      <c r="E480" s="195"/>
      <c r="F480" s="195"/>
      <c r="G480" s="196"/>
      <c r="H480" s="420" t="s">
        <v>36</v>
      </c>
      <c r="I480" s="202">
        <f ca="1">กำแพงเพชร!I480+เชียงราย!I480+เชียงใหม่!I480+ตาก!I480+นครสวรรค์!I480+น่าน!I480+พะเยา!I480+พิจิตร!I480+พิษณุโลก!I480+เพชรบูรณ์!I480+แพร่!I480+แม่ฮ่องสอน!I480+ลำปาง!I480+ลำพูน!I480+สุโขทัย!I480+อุตรดิตถ์!I480+อุทัยธานี!I480</f>
        <v>0</v>
      </c>
      <c r="J480" s="188">
        <f ca="1">กำแพงเพชร!J480+เชียงราย!J480+เชียงใหม่!J480+ตาก!J480+นครสวรรค์!J480+น่าน!J480+พะเยา!J480+พิจิตร!J480+พิษณุโลก!J480+เพชรบูรณ์!J480+แพร่!J480+แม่ฮ่องสอน!J480+ลำปาง!J480+ลำพูน!J480+สุโขทัย!J480+อุตรดิตถ์!J480+อุทัยธานี!J480</f>
        <v>152</v>
      </c>
      <c r="K480" s="163">
        <f t="shared" ca="1" si="86"/>
        <v>0</v>
      </c>
      <c r="L480" s="181"/>
      <c r="M480" s="181"/>
      <c r="N480" s="181"/>
      <c r="O480" s="181"/>
      <c r="P480" s="181"/>
    </row>
    <row r="481" spans="1:16" ht="21.75" customHeight="1" x14ac:dyDescent="0.3">
      <c r="A481" s="421"/>
      <c r="B481" s="422"/>
      <c r="C481" s="422"/>
      <c r="D481" s="423"/>
      <c r="E481" s="424" t="s">
        <v>175</v>
      </c>
      <c r="F481" s="425"/>
      <c r="G481" s="426"/>
      <c r="H481" s="427" t="s">
        <v>122</v>
      </c>
      <c r="I481" s="418">
        <f ca="1">กำแพงเพชร!I481+เชียงราย!I481+เชียงใหม่!I481+ตาก!I481+นครสวรรค์!I481+น่าน!I481+พะเยา!I481+พิจิตร!I481+พิษณุโลก!I481+เพชรบูรณ์!I481+แพร่!I481+แม่ฮ่องสอน!I481+ลำปาง!I481+ลำพูน!I481+สุโขทัย!I481+อุตรดิตถ์!I481+อุทัยธานี!I481</f>
        <v>799598</v>
      </c>
      <c r="J481" s="418">
        <f ca="1">กำแพงเพชร!J481+เชียงราย!J481+เชียงใหม่!J481+ตาก!J481+นครสวรรค์!J481+น่าน!J481+พะเยา!J481+พิจิตร!J481+พิษณุโลก!J481+เพชรบูรณ์!J481+แพร่!J481+แม่ฮ่องสอน!J481+ลำปาง!J481+ลำพูน!J481+สุโขทัย!J481+อุตรดิตถ์!J481+อุทัยธานี!J481</f>
        <v>13987</v>
      </c>
      <c r="K481" s="201">
        <f t="shared" ca="1" si="86"/>
        <v>1.7492540001350678</v>
      </c>
      <c r="L481" s="428"/>
      <c r="M481" s="428"/>
      <c r="N481" s="428"/>
      <c r="O481" s="428"/>
      <c r="P481" s="428"/>
    </row>
    <row r="482" spans="1:16" ht="21.75" customHeight="1" x14ac:dyDescent="0.3">
      <c r="A482" s="400"/>
      <c r="B482" s="401"/>
      <c r="C482" s="401"/>
      <c r="D482" s="402"/>
      <c r="E482" s="195"/>
      <c r="F482" s="195"/>
      <c r="G482" s="196"/>
      <c r="H482" s="416" t="s">
        <v>36</v>
      </c>
      <c r="I482" s="417">
        <f ca="1">กำแพงเพชร!I482+เชียงราย!I482+เชียงใหม่!I482+ตาก!I482+นครสวรรค์!I482+น่าน!I482+พะเยา!I482+พิจิตร!I482+พิษณุโลก!I482+เพชรบูรณ์!I482+แพร่!I482+แม่ฮ่องสอน!I482+ลำปาง!I482+ลำพูน!I482+สุโขทัย!I482+อุตรดิตถ์!I482+อุทัยธานี!I482</f>
        <v>95173</v>
      </c>
      <c r="J482" s="418">
        <f ca="1">กำแพงเพชร!J482+เชียงราย!J482+เชียงใหม่!J482+ตาก!J482+นครสวรรค์!J482+น่าน!J482+พะเยา!J482+พิจิตร!J482+พิษณุโลก!J482+เพชรบูรณ์!J482+แพร่!J482+แม่ฮ่องสอน!J482+ลำปาง!J482+ลำพูน!J482+สุโขทัย!J482+อุตรดิตถ์!J482+อุทัยธานี!J482</f>
        <v>3527</v>
      </c>
      <c r="K482" s="163">
        <f t="shared" ca="1" si="86"/>
        <v>3.705882971010686</v>
      </c>
      <c r="L482" s="181"/>
      <c r="M482" s="181"/>
      <c r="N482" s="181"/>
      <c r="O482" s="181"/>
      <c r="P482" s="181"/>
    </row>
    <row r="483" spans="1:16" ht="21.75" customHeight="1" x14ac:dyDescent="0.3">
      <c r="A483" s="400"/>
      <c r="B483" s="401"/>
      <c r="C483" s="401"/>
      <c r="D483" s="402"/>
      <c r="E483" s="195"/>
      <c r="F483" s="194" t="s">
        <v>176</v>
      </c>
      <c r="G483" s="419"/>
      <c r="H483" s="420" t="s">
        <v>122</v>
      </c>
      <c r="I483" s="202">
        <f ca="1">กำแพงเพชร!I483+เชียงราย!I483+เชียงใหม่!I483+ตาก!I483+นครสวรรค์!I483+น่าน!I483+พะเยา!I483+พิจิตร!I483+พิษณุโลก!I483+เพชรบูรณ์!I483+แพร่!I483+แม่ฮ่องสอน!I483+ลำปาง!I483+ลำพูน!I483+สุโขทัย!I483+อุตรดิตถ์!I483+อุทัยธานี!I483</f>
        <v>0</v>
      </c>
      <c r="J483" s="188">
        <f ca="1">กำแพงเพชร!J483+เชียงราย!J483+เชียงใหม่!J483+ตาก!J483+นครสวรรค์!J483+น่าน!J483+พะเยา!J483+พิจิตร!J483+พิษณุโลก!J483+เพชรบูรณ์!J483+แพร่!J483+แม่ฮ่องสอน!J483+ลำปาง!J483+ลำพูน!J483+สุโขทัย!J483+อุตรดิตถ์!J483+อุทัยธานี!J483</f>
        <v>13956</v>
      </c>
      <c r="K483" s="163">
        <f t="shared" ca="1" si="86"/>
        <v>0</v>
      </c>
      <c r="L483" s="181"/>
      <c r="M483" s="181"/>
      <c r="N483" s="181"/>
      <c r="O483" s="181"/>
      <c r="P483" s="181"/>
    </row>
    <row r="484" spans="1:16" ht="21.75" customHeight="1" x14ac:dyDescent="0.3">
      <c r="A484" s="400"/>
      <c r="B484" s="401"/>
      <c r="C484" s="401"/>
      <c r="D484" s="402"/>
      <c r="E484" s="195"/>
      <c r="F484" s="195"/>
      <c r="G484" s="419"/>
      <c r="H484" s="420" t="s">
        <v>36</v>
      </c>
      <c r="I484" s="202">
        <f ca="1">กำแพงเพชร!I484+เชียงราย!I484+เชียงใหม่!I484+ตาก!I484+นครสวรรค์!I484+น่าน!I484+พะเยา!I484+พิจิตร!I484+พิษณุโลก!I484+เพชรบูรณ์!I484+แพร่!I484+แม่ฮ่องสอน!I484+ลำปาง!I484+ลำพูน!I484+สุโขทัย!I484+อุตรดิตถ์!I484+อุทัยธานี!I484</f>
        <v>0</v>
      </c>
      <c r="J484" s="188">
        <f ca="1">กำแพงเพชร!J484+เชียงราย!J484+เชียงใหม่!J484+ตาก!J484+นครสวรรค์!J484+น่าน!J484+พะเยา!J484+พิจิตร!J484+พิษณุโลก!J484+เพชรบูรณ์!J484+แพร่!J484+แม่ฮ่องสอน!J484+ลำปาง!J484+ลำพูน!J484+สุโขทัย!J484+อุตรดิตถ์!J484+อุทัยธานี!J484</f>
        <v>3515</v>
      </c>
      <c r="K484" s="163">
        <f t="shared" ca="1" si="86"/>
        <v>0</v>
      </c>
      <c r="L484" s="181"/>
      <c r="M484" s="181"/>
      <c r="N484" s="181"/>
      <c r="O484" s="181"/>
      <c r="P484" s="181"/>
    </row>
    <row r="485" spans="1:16" ht="21.75" customHeight="1" x14ac:dyDescent="0.3">
      <c r="A485" s="400"/>
      <c r="B485" s="401"/>
      <c r="C485" s="401"/>
      <c r="D485" s="402"/>
      <c r="E485" s="195"/>
      <c r="F485" s="194" t="s">
        <v>177</v>
      </c>
      <c r="G485" s="419"/>
      <c r="H485" s="420" t="s">
        <v>122</v>
      </c>
      <c r="I485" s="202">
        <f ca="1">กำแพงเพชร!I485+เชียงราย!I485+เชียงใหม่!I485+ตาก!I485+นครสวรรค์!I485+น่าน!I485+พะเยา!I485+พิจิตร!I485+พิษณุโลก!I485+เพชรบูรณ์!I485+แพร่!I485+แม่ฮ่องสอน!I485+ลำปาง!I485+ลำพูน!I485+สุโขทัย!I485+อุตรดิตถ์!I485+อุทัยธานี!I485</f>
        <v>0</v>
      </c>
      <c r="J485" s="188">
        <f ca="1">กำแพงเพชร!J485+เชียงราย!J485+เชียงใหม่!J485+ตาก!J485+นครสวรรค์!J485+น่าน!J485+พะเยา!J485+พิจิตร!J485+พิษณุโลก!J485+เพชรบูรณ์!J485+แพร่!J485+แม่ฮ่องสอน!J485+ลำปาง!J485+ลำพูน!J485+สุโขทัย!J485+อุตรดิตถ์!J485+อุทัยธานี!J485</f>
        <v>13</v>
      </c>
      <c r="K485" s="163">
        <f t="shared" ca="1" si="86"/>
        <v>0</v>
      </c>
      <c r="L485" s="181"/>
      <c r="M485" s="181"/>
      <c r="N485" s="181"/>
      <c r="O485" s="181"/>
      <c r="P485" s="181"/>
    </row>
    <row r="486" spans="1:16" ht="21.75" customHeight="1" x14ac:dyDescent="0.3">
      <c r="A486" s="400"/>
      <c r="B486" s="401"/>
      <c r="C486" s="401"/>
      <c r="D486" s="402"/>
      <c r="E486" s="195"/>
      <c r="F486" s="195"/>
      <c r="G486" s="419"/>
      <c r="H486" s="420" t="s">
        <v>36</v>
      </c>
      <c r="I486" s="202">
        <f ca="1">กำแพงเพชร!I486+เชียงราย!I486+เชียงใหม่!I486+ตาก!I486+นครสวรรค์!I486+น่าน!I486+พะเยา!I486+พิจิตร!I486+พิษณุโลก!I486+เพชรบูรณ์!I486+แพร่!I486+แม่ฮ่องสอน!I486+ลำปาง!I486+ลำพูน!I486+สุโขทัย!I486+อุตรดิตถ์!I486+อุทัยธานี!I486</f>
        <v>0</v>
      </c>
      <c r="J486" s="188">
        <f ca="1">กำแพงเพชร!J486+เชียงราย!J486+เชียงใหม่!J486+ตาก!J486+นครสวรรค์!J486+น่าน!J486+พะเยา!J486+พิจิตร!J486+พิษณุโลก!J486+เพชรบูรณ์!J486+แพร่!J486+แม่ฮ่องสอน!J486+ลำปาง!J486+ลำพูน!J486+สุโขทัย!J486+อุตรดิตถ์!J486+อุทัยธานี!J486</f>
        <v>8</v>
      </c>
      <c r="K486" s="163">
        <f t="shared" ca="1" si="86"/>
        <v>0</v>
      </c>
      <c r="L486" s="181"/>
      <c r="M486" s="181"/>
      <c r="N486" s="181"/>
      <c r="O486" s="181"/>
      <c r="P486" s="181"/>
    </row>
    <row r="487" spans="1:16" ht="21.75" customHeight="1" x14ac:dyDescent="0.3">
      <c r="A487" s="400"/>
      <c r="B487" s="401"/>
      <c r="C487" s="401"/>
      <c r="D487" s="402"/>
      <c r="E487" s="195"/>
      <c r="F487" s="194" t="s">
        <v>178</v>
      </c>
      <c r="G487" s="419"/>
      <c r="H487" s="420" t="s">
        <v>122</v>
      </c>
      <c r="I487" s="202">
        <f ca="1">กำแพงเพชร!I487+เชียงราย!I487+เชียงใหม่!I487+ตาก!I487+นครสวรรค์!I487+น่าน!I487+พะเยา!I487+พิจิตร!I487+พิษณุโลก!I487+เพชรบูรณ์!I487+แพร่!I487+แม่ฮ่องสอน!I487+ลำปาง!I487+ลำพูน!I487+สุโขทัย!I487+อุตรดิตถ์!I487+อุทัยธานี!I487</f>
        <v>0</v>
      </c>
      <c r="J487" s="418">
        <f ca="1">กำแพงเพชร!J487+เชียงราย!J487+เชียงใหม่!J487+ตาก!J487+นครสวรรค์!J487+น่าน!J487+พะเยา!J487+พิจิตร!J487+พิษณุโลก!J487+เพชรบูรณ์!J487+แพร่!J487+แม่ฮ่องสอน!J487+ลำปาง!J487+ลำพูน!J487+สุโขทัย!J487+อุตรดิตถ์!J487+อุทัยธานี!J487</f>
        <v>18</v>
      </c>
      <c r="K487" s="163">
        <f t="shared" ca="1" si="86"/>
        <v>0</v>
      </c>
      <c r="L487" s="181"/>
      <c r="M487" s="181"/>
      <c r="N487" s="181"/>
      <c r="O487" s="181"/>
      <c r="P487" s="181"/>
    </row>
    <row r="488" spans="1:16" ht="21.75" customHeight="1" x14ac:dyDescent="0.3">
      <c r="A488" s="400"/>
      <c r="B488" s="401"/>
      <c r="C488" s="401"/>
      <c r="D488" s="402"/>
      <c r="E488" s="195"/>
      <c r="F488" s="195"/>
      <c r="G488" s="195"/>
      <c r="H488" s="420" t="s">
        <v>36</v>
      </c>
      <c r="I488" s="202">
        <f ca="1">กำแพงเพชร!I488+เชียงราย!I488+เชียงใหม่!I488+ตาก!I488+นครสวรรค์!I488+น่าน!I488+พะเยา!I488+พิจิตร!I488+พิษณุโลก!I488+เพชรบูรณ์!I488+แพร่!I488+แม่ฮ่องสอน!I488+ลำปาง!I488+ลำพูน!I488+สุโขทัย!I488+อุตรดิตถ์!I488+อุทัยธานี!I488</f>
        <v>0</v>
      </c>
      <c r="J488" s="418">
        <f ca="1">กำแพงเพชร!J488+เชียงราย!J488+เชียงใหม่!J488+ตาก!J488+นครสวรรค์!J488+น่าน!J488+พะเยา!J488+พิจิตร!J488+พิษณุโลก!J488+เพชรบูรณ์!J488+แพร่!J488+แม่ฮ่องสอน!J488+ลำปาง!J488+ลำพูน!J488+สุโขทัย!J488+อุตรดิตถ์!J488+อุทัยธานี!J488</f>
        <v>4</v>
      </c>
      <c r="K488" s="163">
        <f t="shared" ca="1" si="86"/>
        <v>0</v>
      </c>
      <c r="L488" s="181"/>
      <c r="M488" s="181"/>
      <c r="N488" s="181"/>
      <c r="O488" s="181"/>
      <c r="P488" s="181"/>
    </row>
    <row r="489" spans="1:16" ht="21.75" customHeight="1" x14ac:dyDescent="0.3">
      <c r="A489" s="400"/>
      <c r="B489" s="401"/>
      <c r="C489" s="401"/>
      <c r="D489" s="402"/>
      <c r="E489" s="195"/>
      <c r="F489" s="195"/>
      <c r="G489" s="194" t="s">
        <v>179</v>
      </c>
      <c r="H489" s="420" t="s">
        <v>122</v>
      </c>
      <c r="I489" s="202">
        <f ca="1">กำแพงเพชร!I489+เชียงราย!I489+เชียงใหม่!I489+ตาก!I489+นครสวรรค์!I489+น่าน!I489+พะเยา!I489+พิจิตร!I489+พิษณุโลก!I489+เพชรบูรณ์!I489+แพร่!I489+แม่ฮ่องสอน!I489+ลำปาง!I489+ลำพูน!I489+สุโขทัย!I489+อุตรดิตถ์!I489+อุทัยธานี!I489</f>
        <v>0</v>
      </c>
      <c r="J489" s="188">
        <f ca="1">กำแพงเพชร!J489+เชียงราย!J489+เชียงใหม่!J489+ตาก!J489+นครสวรรค์!J489+น่าน!J489+พะเยา!J489+พิจิตร!J489+พิษณุโลก!J489+เพชรบูรณ์!J489+แพร่!J489+แม่ฮ่องสอน!J489+ลำปาง!J489+ลำพูน!J489+สุโขทัย!J489+อุตรดิตถ์!J489+อุทัยธานี!J489</f>
        <v>18</v>
      </c>
      <c r="K489" s="163">
        <f t="shared" ca="1" si="86"/>
        <v>0</v>
      </c>
      <c r="L489" s="181"/>
      <c r="M489" s="181"/>
      <c r="N489" s="181"/>
      <c r="O489" s="181"/>
      <c r="P489" s="181"/>
    </row>
    <row r="490" spans="1:16" ht="21.75" customHeight="1" x14ac:dyDescent="0.3">
      <c r="A490" s="400"/>
      <c r="B490" s="401"/>
      <c r="C490" s="401"/>
      <c r="D490" s="402"/>
      <c r="E490" s="195"/>
      <c r="F490" s="195"/>
      <c r="G490" s="195"/>
      <c r="H490" s="420" t="s">
        <v>36</v>
      </c>
      <c r="I490" s="202">
        <f ca="1">กำแพงเพชร!I490+เชียงราย!I490+เชียงใหม่!I490+ตาก!I490+นครสวรรค์!I490+น่าน!I490+พะเยา!I490+พิจิตร!I490+พิษณุโลก!I490+เพชรบูรณ์!I490+แพร่!I490+แม่ฮ่องสอน!I490+ลำปาง!I490+ลำพูน!I490+สุโขทัย!I490+อุตรดิตถ์!I490+อุทัยธานี!I490</f>
        <v>0</v>
      </c>
      <c r="J490" s="188">
        <f ca="1">กำแพงเพชร!J490+เชียงราย!J490+เชียงใหม่!J490+ตาก!J490+นครสวรรค์!J490+น่าน!J490+พะเยา!J490+พิจิตร!J490+พิษณุโลก!J490+เพชรบูรณ์!J490+แพร่!J490+แม่ฮ่องสอน!J490+ลำปาง!J490+ลำพูน!J490+สุโขทัย!J490+อุตรดิตถ์!J490+อุทัยธานี!J490</f>
        <v>4</v>
      </c>
      <c r="K490" s="163">
        <f t="shared" ca="1" si="86"/>
        <v>0</v>
      </c>
      <c r="L490" s="181"/>
      <c r="M490" s="181"/>
      <c r="N490" s="181"/>
      <c r="O490" s="181"/>
      <c r="P490" s="181"/>
    </row>
    <row r="491" spans="1:16" ht="21.75" customHeight="1" x14ac:dyDescent="0.3">
      <c r="A491" s="400"/>
      <c r="B491" s="401"/>
      <c r="C491" s="401"/>
      <c r="D491" s="402"/>
      <c r="E491" s="195"/>
      <c r="F491" s="195"/>
      <c r="G491" s="194" t="s">
        <v>180</v>
      </c>
      <c r="H491" s="420" t="s">
        <v>122</v>
      </c>
      <c r="I491" s="202">
        <f ca="1">กำแพงเพชร!I491+เชียงราย!I491+เชียงใหม่!I491+ตาก!I491+นครสวรรค์!I491+น่าน!I491+พะเยา!I491+พิจิตร!I491+พิษณุโลก!I491+เพชรบูรณ์!I491+แพร่!I491+แม่ฮ่องสอน!I491+ลำปาง!I491+ลำพูน!I491+สุโขทัย!I491+อุตรดิตถ์!I491+อุทัยธานี!I491</f>
        <v>0</v>
      </c>
      <c r="J491" s="188">
        <f ca="1">กำแพงเพชร!J491+เชียงราย!J491+เชียงใหม่!J491+ตาก!J491+นครสวรรค์!J491+น่าน!J491+พะเยา!J491+พิจิตร!J491+พิษณุโลก!J491+เพชรบูรณ์!J491+แพร่!J491+แม่ฮ่องสอน!J491+ลำปาง!J491+ลำพูน!J491+สุโขทัย!J491+อุตรดิตถ์!J491+อุทัยธานี!J491</f>
        <v>0</v>
      </c>
      <c r="K491" s="163">
        <f t="shared" ca="1" si="86"/>
        <v>0</v>
      </c>
      <c r="L491" s="181"/>
      <c r="M491" s="181"/>
      <c r="N491" s="181"/>
      <c r="O491" s="181"/>
      <c r="P491" s="181"/>
    </row>
    <row r="492" spans="1:16" ht="21.75" customHeight="1" x14ac:dyDescent="0.3">
      <c r="A492" s="400"/>
      <c r="B492" s="401"/>
      <c r="C492" s="401"/>
      <c r="D492" s="402"/>
      <c r="E492" s="195"/>
      <c r="F492" s="195"/>
      <c r="G492" s="196"/>
      <c r="H492" s="420" t="s">
        <v>36</v>
      </c>
      <c r="I492" s="202">
        <f ca="1">กำแพงเพชร!I492+เชียงราย!I492+เชียงใหม่!I492+ตาก!I492+นครสวรรค์!I492+น่าน!I492+พะเยา!I492+พิจิตร!I492+พิษณุโลก!I492+เพชรบูรณ์!I492+แพร่!I492+แม่ฮ่องสอน!I492+ลำปาง!I492+ลำพูน!I492+สุโขทัย!I492+อุตรดิตถ์!I492+อุทัยธานี!I492</f>
        <v>0</v>
      </c>
      <c r="J492" s="188">
        <f ca="1">กำแพงเพชร!J492+เชียงราย!J492+เชียงใหม่!J492+ตาก!J492+นครสวรรค์!J492+น่าน!J492+พะเยา!J492+พิจิตร!J492+พิษณุโลก!J492+เพชรบูรณ์!J492+แพร่!J492+แม่ฮ่องสอน!J492+ลำปาง!J492+ลำพูน!J492+สุโขทัย!J492+อุตรดิตถ์!J492+อุทัยธานี!J492</f>
        <v>0</v>
      </c>
      <c r="K492" s="163">
        <f t="shared" ca="1" si="86"/>
        <v>0</v>
      </c>
      <c r="L492" s="181"/>
      <c r="M492" s="181"/>
      <c r="N492" s="181"/>
      <c r="O492" s="181"/>
      <c r="P492" s="181"/>
    </row>
    <row r="493" spans="1:16" ht="21.75" customHeight="1" x14ac:dyDescent="0.3">
      <c r="A493" s="400"/>
      <c r="B493" s="401"/>
      <c r="C493" s="401"/>
      <c r="D493" s="402"/>
      <c r="E493" s="195"/>
      <c r="F493" s="194" t="s">
        <v>181</v>
      </c>
      <c r="G493" s="419"/>
      <c r="H493" s="420" t="s">
        <v>122</v>
      </c>
      <c r="I493" s="202">
        <f ca="1">กำแพงเพชร!I493+เชียงราย!I493+เชียงใหม่!I493+ตาก!I493+นครสวรรค์!I493+น่าน!I493+พะเยา!I493+พิจิตร!I493+พิษณุโลก!I493+เพชรบูรณ์!I493+แพร่!I493+แม่ฮ่องสอน!I493+ลำปาง!I493+ลำพูน!I493+สุโขทัย!I493+อุตรดิตถ์!I493+อุทัยธานี!I493</f>
        <v>0</v>
      </c>
      <c r="J493" s="188">
        <f ca="1">กำแพงเพชร!J493+เชียงราย!J493+เชียงใหม่!J493+ตาก!J493+นครสวรรค์!J493+น่าน!J493+พะเยา!J493+พิจิตร!J493+พิษณุโลก!J493+เพชรบูรณ์!J493+แพร่!J493+แม่ฮ่องสอน!J493+ลำปาง!J493+ลำพูน!J493+สุโขทัย!J493+อุตรดิตถ์!J493+อุทัยธานี!J493</f>
        <v>0</v>
      </c>
      <c r="K493" s="163">
        <f t="shared" ca="1" si="86"/>
        <v>0</v>
      </c>
      <c r="L493" s="181"/>
      <c r="M493" s="181"/>
      <c r="N493" s="181"/>
      <c r="O493" s="181"/>
      <c r="P493" s="181"/>
    </row>
    <row r="494" spans="1:16" ht="21.75" customHeight="1" x14ac:dyDescent="0.3">
      <c r="A494" s="429"/>
      <c r="B494" s="430"/>
      <c r="C494" s="430"/>
      <c r="D494" s="431"/>
      <c r="E494" s="345"/>
      <c r="F494" s="345"/>
      <c r="G494" s="345"/>
      <c r="H494" s="432" t="s">
        <v>36</v>
      </c>
      <c r="I494" s="433">
        <f ca="1">กำแพงเพชร!I494+เชียงราย!I494+เชียงใหม่!I494+ตาก!I494+นครสวรรค์!I494+น่าน!I494+พะเยา!I494+พิจิตร!I494+พิษณุโลก!I494+เพชรบูรณ์!I494+แพร่!I494+แม่ฮ่องสอน!I494+ลำปาง!I494+ลำพูน!I494+สุโขทัย!I494+อุตรดิตถ์!I494+อุทัยธานี!I494</f>
        <v>0</v>
      </c>
      <c r="J494" s="434">
        <f ca="1">กำแพงเพชร!J494+เชียงราย!J494+เชียงใหม่!J494+ตาก!J494+นครสวรรค์!J494+น่าน!J494+พะเยา!J494+พิจิตร!J494+พิษณุโลก!J494+เพชรบูรณ์!J494+แพร่!J494+แม่ฮ่องสอน!J494+ลำปาง!J494+ลำพูน!J494+สุโขทัย!J494+อุตรดิตถ์!J494+อุทัยธานี!J494</f>
        <v>0</v>
      </c>
      <c r="K494" s="286">
        <f t="shared" ca="1" si="86"/>
        <v>0</v>
      </c>
      <c r="L494" s="244"/>
      <c r="M494" s="244"/>
      <c r="N494" s="244"/>
      <c r="O494" s="244"/>
      <c r="P494" s="244"/>
    </row>
    <row r="495" spans="1:16" ht="21.75" customHeight="1" x14ac:dyDescent="0.3">
      <c r="A495" s="400"/>
      <c r="B495" s="401"/>
      <c r="C495" s="401"/>
      <c r="D495" s="402"/>
      <c r="E495" s="195"/>
      <c r="F495" s="195">
        <v>3.5</v>
      </c>
      <c r="G495" s="419" t="s">
        <v>182</v>
      </c>
      <c r="H495" s="420" t="s">
        <v>122</v>
      </c>
      <c r="I495" s="433">
        <f ca="1">กำแพงเพชร!I495+เชียงราย!I495+เชียงใหม่!I495+ตาก!I495+นครสวรรค์!I495+น่าน!I495+พะเยา!I495+พิจิตร!I495+พิษณุโลก!I495+เพชรบูรณ์!I495+แพร่!I495+แม่ฮ่องสอน!I495+ลำปาง!I495+ลำพูน!I495+สุโขทัย!I495+อุตรดิตถ์!I495+อุทัยธานี!I495</f>
        <v>0</v>
      </c>
      <c r="J495" s="434">
        <f ca="1">กำแพงเพชร!J495+เชียงราย!J495+เชียงใหม่!J495+ตาก!J495+นครสวรรค์!J495+น่าน!J495+พะเยา!J495+พิจิตร!J495+พิษณุโลก!J495+เพชรบูรณ์!J495+แพร่!J495+แม่ฮ่องสอน!J495+ลำปาง!J495+ลำพูน!J495+สุโขทัย!J495+อุตรดิตถ์!J495+อุทัยธานี!J495</f>
        <v>0</v>
      </c>
      <c r="K495" s="163">
        <f t="shared" ca="1" si="86"/>
        <v>0</v>
      </c>
      <c r="L495" s="181"/>
      <c r="M495" s="181"/>
      <c r="N495" s="181"/>
      <c r="O495" s="181"/>
      <c r="P495" s="181"/>
    </row>
    <row r="496" spans="1:16" ht="21.75" customHeight="1" x14ac:dyDescent="0.3">
      <c r="A496" s="429"/>
      <c r="B496" s="430"/>
      <c r="C496" s="430"/>
      <c r="D496" s="431"/>
      <c r="E496" s="345"/>
      <c r="F496" s="345"/>
      <c r="G496" s="345"/>
      <c r="H496" s="432" t="s">
        <v>36</v>
      </c>
      <c r="I496" s="433">
        <f ca="1">กำแพงเพชร!I496+เชียงราย!I496+เชียงใหม่!I496+ตาก!I496+นครสวรรค์!I496+น่าน!I496+พะเยา!I496+พิจิตร!I496+พิษณุโลก!I496+เพชรบูรณ์!I496+แพร่!I496+แม่ฮ่องสอน!I496+ลำปาง!I496+ลำพูน!I496+สุโขทัย!I496+อุตรดิตถ์!I496+อุทัยธานี!I496</f>
        <v>0</v>
      </c>
      <c r="J496" s="434">
        <f ca="1">กำแพงเพชร!J496+เชียงราย!J496+เชียงใหม่!J496+ตาก!J496+นครสวรรค์!J496+น่าน!J496+พะเยา!J496+พิจิตร!J496+พิษณุโลก!J496+เพชรบูรณ์!J496+แพร่!J496+แม่ฮ่องสอน!J496+ลำปาง!J496+ลำพูน!J496+สุโขทัย!J496+อุตรดิตถ์!J496+อุทัยธานี!J496</f>
        <v>0</v>
      </c>
      <c r="K496" s="286">
        <f t="shared" ca="1" si="86"/>
        <v>0</v>
      </c>
      <c r="L496" s="244"/>
      <c r="M496" s="244"/>
      <c r="N496" s="244"/>
      <c r="O496" s="244"/>
      <c r="P496" s="244"/>
    </row>
    <row r="497" spans="1:16" ht="21.75" customHeight="1" x14ac:dyDescent="0.3">
      <c r="A497" s="435"/>
      <c r="B497" s="436"/>
      <c r="C497" s="437" t="s">
        <v>183</v>
      </c>
      <c r="D497" s="437"/>
      <c r="E497" s="438"/>
      <c r="F497" s="438"/>
      <c r="G497" s="439"/>
      <c r="H497" s="440" t="s">
        <v>122</v>
      </c>
      <c r="I497" s="441">
        <f ca="1">กำแพงเพชร!I497+เชียงราย!I497+เชียงใหม่!I497+ตาก!I497+นครสวรรค์!I497+น่าน!I497+พะเยา!I497+พิจิตร!I497+พิษณุโลก!I497+เพชรบูรณ์!I497+แพร่!I497+แม่ฮ่องสอน!I497+ลำปาง!I497+ลำพูน!I497+สุโขทัย!I497+อุตรดิตถ์!I497+อุทัยธานี!I497</f>
        <v>45834</v>
      </c>
      <c r="J497" s="441">
        <f ca="1">กำแพงเพชร!J497+เชียงราย!J497+เชียงใหม่!J497+ตาก!J497+นครสวรรค์!J497+น่าน!J497+พะเยา!J497+พิจิตร!J497+พิษณุโลก!J497+เพชรบูรณ์!J497+แพร่!J497+แม่ฮ่องสอน!J497+ลำปาง!J497+ลำพูน!J497+สุโขทัย!J497+อุตรดิตถ์!J497+อุทัยธานี!J497</f>
        <v>5102.1000000000004</v>
      </c>
      <c r="K497" s="442">
        <f t="shared" ca="1" si="86"/>
        <v>11.131692629925384</v>
      </c>
      <c r="L497" s="443"/>
      <c r="M497" s="443"/>
      <c r="N497" s="443"/>
      <c r="O497" s="443"/>
      <c r="P497" s="443"/>
    </row>
    <row r="498" spans="1:16" ht="21.75" customHeight="1" x14ac:dyDescent="0.3">
      <c r="A498" s="175"/>
      <c r="B498" s="176"/>
      <c r="C498" s="176"/>
      <c r="D498" s="402"/>
      <c r="E498" s="444" t="s">
        <v>184</v>
      </c>
      <c r="F498" s="445"/>
      <c r="G498" s="446"/>
      <c r="H498" s="447" t="s">
        <v>122</v>
      </c>
      <c r="I498" s="418">
        <f ca="1">กำแพงเพชร!I498+เชียงราย!I498+เชียงใหม่!I498+ตาก!I498+นครสวรรค์!I498+น่าน!I498+พะเยา!I498+พิจิตร!I498+พิษณุโลก!I498+เพชรบูรณ์!I498+แพร่!I498+แม่ฮ่องสอน!I498+ลำปาง!I498+ลำพูน!I498+สุโขทัย!I498+อุตรดิตถ์!I498+อุทัยธานี!I498</f>
        <v>45834</v>
      </c>
      <c r="J498" s="418">
        <f ca="1">กำแพงเพชร!J498+เชียงราย!J498+เชียงใหม่!J498+ตาก!J498+นครสวรรค์!J498+น่าน!J498+พะเยา!J498+พิจิตร!J498+พิษณุโลก!J498+เพชรบูรณ์!J498+แพร่!J498+แม่ฮ่องสอน!J498+ลำปาง!J498+ลำพูน!J498+สุโขทัย!J498+อุตรดิตถ์!J498+อุทัยธานี!J498</f>
        <v>5102.1000000000004</v>
      </c>
      <c r="K498" s="163">
        <f t="shared" ca="1" si="86"/>
        <v>11.131692629925384</v>
      </c>
      <c r="L498" s="181"/>
      <c r="M498" s="181"/>
      <c r="N498" s="181"/>
      <c r="O498" s="181"/>
      <c r="P498" s="181"/>
    </row>
    <row r="499" spans="1:16" ht="21.75" customHeight="1" x14ac:dyDescent="0.3">
      <c r="A499" s="175"/>
      <c r="B499" s="176"/>
      <c r="C499" s="176"/>
      <c r="D499" s="193"/>
      <c r="E499" s="445"/>
      <c r="F499" s="445"/>
      <c r="G499" s="446"/>
      <c r="H499" s="447" t="s">
        <v>36</v>
      </c>
      <c r="I499" s="418">
        <f ca="1">กำแพงเพชร!I499+เชียงราย!I499+เชียงใหม่!I499+ตาก!I499+นครสวรรค์!I499+น่าน!I499+พะเยา!I499+พิจิตร!I499+พิษณุโลก!I499+เพชรบูรณ์!I499+แพร่!I499+แม่ฮ่องสอน!I499+ลำปาง!I499+ลำพูน!I499+สุโขทัย!I499+อุตรดิตถ์!I499+อุทัยธานี!I499</f>
        <v>3750</v>
      </c>
      <c r="J499" s="418">
        <f ca="1">กำแพงเพชร!J499+เชียงราย!J499+เชียงใหม่!J499+ตาก!J499+นครสวรรค์!J499+น่าน!J499+พะเยา!J499+พิจิตร!J499+พิษณุโลก!J499+เพชรบูรณ์!J499+แพร่!J499+แม่ฮ่องสอน!J499+ลำปาง!J499+ลำพูน!J499+สุโขทัย!J499+อุตรดิตถ์!J499+อุทัยธานี!J499</f>
        <v>537</v>
      </c>
      <c r="K499" s="201">
        <f t="shared" ca="1" si="86"/>
        <v>14.32</v>
      </c>
      <c r="L499" s="181"/>
      <c r="M499" s="181"/>
      <c r="N499" s="181"/>
      <c r="O499" s="181"/>
      <c r="P499" s="181"/>
    </row>
    <row r="500" spans="1:16" ht="21.75" customHeight="1" x14ac:dyDescent="0.3">
      <c r="A500" s="175"/>
      <c r="B500" s="176"/>
      <c r="C500" s="176"/>
      <c r="D500" s="402"/>
      <c r="E500" s="402" t="s">
        <v>185</v>
      </c>
      <c r="F500" s="195"/>
      <c r="G500" s="196"/>
      <c r="H500" s="420" t="s">
        <v>122</v>
      </c>
      <c r="I500" s="202">
        <f ca="1">กำแพงเพชร!I500+เชียงราย!I500+เชียงใหม่!I500+ตาก!I500+นครสวรรค์!I500+น่าน!I500+พะเยา!I500+พิจิตร!I500+พิษณุโลก!I500+เพชรบูรณ์!I500+แพร่!I500+แม่ฮ่องสอน!I500+ลำปาง!I500+ลำพูน!I500+สุโขทัย!I500+อุตรดิตถ์!I500+อุทัยธานี!I500</f>
        <v>0</v>
      </c>
      <c r="J500" s="162">
        <f ca="1">กำแพงเพชร!J500+เชียงราย!J500+เชียงใหม่!J500+ตาก!J500+นครสวรรค์!J500+น่าน!J500+พะเยา!J500+พิจิตร!J500+พิษณุโลก!J500+เพชรบูรณ์!J500+แพร่!J500+แม่ฮ่องสอน!J500+ลำปาง!J500+ลำพูน!J500+สุโขทัย!J500+อุตรดิตถ์!J500+อุทัยธานี!J500</f>
        <v>4650</v>
      </c>
      <c r="K500" s="163">
        <f t="shared" ca="1" si="86"/>
        <v>0</v>
      </c>
      <c r="L500" s="181"/>
      <c r="M500" s="181"/>
      <c r="N500" s="181"/>
      <c r="O500" s="181"/>
      <c r="P500" s="181"/>
    </row>
    <row r="501" spans="1:16" ht="21.75" customHeight="1" x14ac:dyDescent="0.3">
      <c r="A501" s="175"/>
      <c r="B501" s="176"/>
      <c r="C501" s="176"/>
      <c r="D501" s="193"/>
      <c r="E501" s="195"/>
      <c r="F501" s="195"/>
      <c r="G501" s="196"/>
      <c r="H501" s="420" t="s">
        <v>36</v>
      </c>
      <c r="I501" s="202">
        <f ca="1">กำแพงเพชร!I501+เชียงราย!I501+เชียงใหม่!I501+ตาก!I501+นครสวรรค์!I501+น่าน!I501+พะเยา!I501+พิจิตร!I501+พิษณุโลก!I501+เพชรบูรณ์!I501+แพร่!I501+แม่ฮ่องสอน!I501+ลำปาง!I501+ลำพูน!I501+สุโขทัย!I501+อุตรดิตถ์!I501+อุทัยธานี!I501</f>
        <v>0</v>
      </c>
      <c r="J501" s="162">
        <f ca="1">กำแพงเพชร!J501+เชียงราย!J501+เชียงใหม่!J501+ตาก!J501+นครสวรรค์!J501+น่าน!J501+พะเยา!J501+พิจิตร!J501+พิษณุโลก!J501+เพชรบูรณ์!J501+แพร่!J501+แม่ฮ่องสอน!J501+ลำปาง!J501+ลำพูน!J501+สุโขทัย!J501+อุตรดิตถ์!J501+อุทัยธานี!J501</f>
        <v>481</v>
      </c>
      <c r="K501" s="163">
        <f t="shared" ca="1" si="86"/>
        <v>0</v>
      </c>
      <c r="L501" s="181"/>
      <c r="M501" s="181"/>
      <c r="N501" s="181"/>
      <c r="O501" s="181"/>
      <c r="P501" s="181"/>
    </row>
    <row r="502" spans="1:16" ht="21.75" customHeight="1" x14ac:dyDescent="0.3">
      <c r="A502" s="175"/>
      <c r="B502" s="176"/>
      <c r="C502" s="176"/>
      <c r="D502" s="193"/>
      <c r="E502" s="195"/>
      <c r="F502" s="397" t="s">
        <v>186</v>
      </c>
      <c r="G502" s="419"/>
      <c r="H502" s="420" t="s">
        <v>122</v>
      </c>
      <c r="I502" s="202">
        <f ca="1">กำแพงเพชร!I502+เชียงราย!I502+เชียงใหม่!I502+ตาก!I502+นครสวรรค์!I502+น่าน!I502+พะเยา!I502+พิจิตร!I502+พิษณุโลก!I502+เพชรบูรณ์!I502+แพร่!I502+แม่ฮ่องสอน!I502+ลำปาง!I502+ลำพูน!I502+สุโขทัย!I502+อุตรดิตถ์!I502+อุทัยธานี!I502</f>
        <v>0</v>
      </c>
      <c r="J502" s="188">
        <f ca="1">กำแพงเพชร!J502+เชียงราย!J502+เชียงใหม่!J502+ตาก!J502+นครสวรรค์!J502+น่าน!J502+พะเยา!J502+พิจิตร!J502+พิษณุโลก!J502+เพชรบูรณ์!J502+แพร่!J502+แม่ฮ่องสอน!J502+ลำปาง!J502+ลำพูน!J502+สุโขทัย!J502+อุตรดิตถ์!J502+อุทัยธานี!J502</f>
        <v>3209</v>
      </c>
      <c r="K502" s="163">
        <f t="shared" ca="1" si="86"/>
        <v>0</v>
      </c>
      <c r="L502" s="181"/>
      <c r="M502" s="181"/>
      <c r="N502" s="181"/>
      <c r="O502" s="181"/>
      <c r="P502" s="181"/>
    </row>
    <row r="503" spans="1:16" ht="21.75" customHeight="1" x14ac:dyDescent="0.3">
      <c r="A503" s="175"/>
      <c r="B503" s="176"/>
      <c r="C503" s="176"/>
      <c r="D503" s="193"/>
      <c r="E503" s="195"/>
      <c r="F503" s="195"/>
      <c r="G503" s="419"/>
      <c r="H503" s="420" t="s">
        <v>36</v>
      </c>
      <c r="I503" s="187">
        <f ca="1">กำแพงเพชร!I503+เชียงราย!I503+เชียงใหม่!I503+ตาก!I503+นครสวรรค์!I503+น่าน!I503+พะเยา!I503+พิจิตร!I503+พิษณุโลก!I503+เพชรบูรณ์!I503+แพร่!I503+แม่ฮ่องสอน!I503+ลำปาง!I503+ลำพูน!I503+สุโขทัย!I503+อุตรดิตถ์!I503+อุทัยธานี!I503</f>
        <v>0</v>
      </c>
      <c r="J503" s="197">
        <f ca="1">กำแพงเพชร!J503+เชียงราย!J503+เชียงใหม่!J503+ตาก!J503+นครสวรรค์!J503+น่าน!J503+พะเยา!J503+พิจิตร!J503+พิษณุโลก!J503+เพชรบูรณ์!J503+แพร่!J503+แม่ฮ่องสอน!J503+ลำปาง!J503+ลำพูน!J503+สุโขทัย!J503+อุตรดิตถ์!J503+อุทัยธานี!J503</f>
        <v>315</v>
      </c>
      <c r="K503" s="163">
        <f t="shared" ca="1" si="86"/>
        <v>0</v>
      </c>
      <c r="L503" s="181"/>
      <c r="M503" s="181"/>
      <c r="N503" s="181"/>
      <c r="O503" s="181"/>
      <c r="P503" s="181"/>
    </row>
    <row r="504" spans="1:16" ht="21.75" customHeight="1" x14ac:dyDescent="0.3">
      <c r="A504" s="175"/>
      <c r="B504" s="176"/>
      <c r="C504" s="176"/>
      <c r="D504" s="193"/>
      <c r="E504" s="195"/>
      <c r="F504" s="388" t="s">
        <v>187</v>
      </c>
      <c r="G504" s="419"/>
      <c r="H504" s="420" t="s">
        <v>122</v>
      </c>
      <c r="I504" s="203">
        <f ca="1">กำแพงเพชร!I504+เชียงราย!I504+เชียงใหม่!I504+ตาก!I504+นครสวรรค์!I504+น่าน!I504+พะเยา!I504+พิจิตร!I504+พิษณุโลก!I504+เพชรบูรณ์!I504+แพร่!I504+แม่ฮ่องสอน!I504+ลำปาง!I504+ลำพูน!I504+สุโขทัย!I504+อุตรดิตถ์!I504+อุทัยธานี!I504</f>
        <v>0</v>
      </c>
      <c r="J504" s="188">
        <f ca="1">กำแพงเพชร!J504+เชียงราย!J504+เชียงใหม่!J504+ตาก!J504+นครสวรรค์!J504+น่าน!J504+พะเยา!J504+พิจิตร!J504+พิษณุโลก!J504+เพชรบูรณ์!J504+แพร่!J504+แม่ฮ่องสอน!J504+ลำปาง!J504+ลำพูน!J504+สุโขทัย!J504+อุตรดิตถ์!J504+อุทัยธานี!J504</f>
        <v>1415</v>
      </c>
      <c r="K504" s="163">
        <f t="shared" ca="1" si="86"/>
        <v>0</v>
      </c>
      <c r="L504" s="181"/>
      <c r="M504" s="181"/>
      <c r="N504" s="181"/>
      <c r="O504" s="181"/>
      <c r="P504" s="181"/>
    </row>
    <row r="505" spans="1:16" ht="21.75" customHeight="1" x14ac:dyDescent="0.3">
      <c r="A505" s="175"/>
      <c r="B505" s="176"/>
      <c r="C505" s="176"/>
      <c r="D505" s="193"/>
      <c r="E505" s="195"/>
      <c r="F505" s="195"/>
      <c r="G505" s="419"/>
      <c r="H505" s="420" t="s">
        <v>36</v>
      </c>
      <c r="I505" s="187">
        <f ca="1">กำแพงเพชร!I505+เชียงราย!I505+เชียงใหม่!I505+ตาก!I505+นครสวรรค์!I505+น่าน!I505+พะเยา!I505+พิจิตร!I505+พิษณุโลก!I505+เพชรบูรณ์!I505+แพร่!I505+แม่ฮ่องสอน!I505+ลำปาง!I505+ลำพูน!I505+สุโขทัย!I505+อุตรดิตถ์!I505+อุทัยธานี!I505</f>
        <v>0</v>
      </c>
      <c r="J505" s="197">
        <f ca="1">กำแพงเพชร!J505+เชียงราย!J505+เชียงใหม่!J505+ตาก!J505+นครสวรรค์!J505+น่าน!J505+พะเยา!J505+พิจิตร!J505+พิษณุโลก!J505+เพชรบูรณ์!J505+แพร่!J505+แม่ฮ่องสอน!J505+ลำปาง!J505+ลำพูน!J505+สุโขทัย!J505+อุตรดิตถ์!J505+อุทัยธานี!J505</f>
        <v>165</v>
      </c>
      <c r="K505" s="163">
        <f t="shared" ca="1" si="86"/>
        <v>0</v>
      </c>
      <c r="L505" s="181"/>
      <c r="M505" s="181"/>
      <c r="N505" s="181"/>
      <c r="O505" s="181"/>
      <c r="P505" s="181"/>
    </row>
    <row r="506" spans="1:16" ht="21.75" customHeight="1" x14ac:dyDescent="0.3">
      <c r="A506" s="175"/>
      <c r="B506" s="176"/>
      <c r="C506" s="176"/>
      <c r="D506" s="193"/>
      <c r="E506" s="195"/>
      <c r="F506" s="397" t="s">
        <v>188</v>
      </c>
      <c r="G506" s="419"/>
      <c r="H506" s="420" t="s">
        <v>122</v>
      </c>
      <c r="I506" s="203">
        <f ca="1">กำแพงเพชร!I506+เชียงราย!I506+เชียงใหม่!I506+ตาก!I506+นครสวรรค์!I506+น่าน!I506+พะเยา!I506+พิจิตร!I506+พิษณุโลก!I506+เพชรบูรณ์!I506+แพร่!I506+แม่ฮ่องสอน!I506+ลำปาง!I506+ลำพูน!I506+สุโขทัย!I506+อุตรดิตถ์!I506+อุทัยธานี!I506</f>
        <v>0</v>
      </c>
      <c r="J506" s="188">
        <f ca="1">กำแพงเพชร!J506+เชียงราย!J506+เชียงใหม่!J506+ตาก!J506+นครสวรรค์!J506+น่าน!J506+พะเยา!J506+พิจิตร!J506+พิษณุโลก!J506+เพชรบูรณ์!J506+แพร่!J506+แม่ฮ่องสอน!J506+ลำปาง!J506+ลำพูน!J506+สุโขทัย!J506+อุตรดิตถ์!J506+อุทัยธานี!J506</f>
        <v>26</v>
      </c>
      <c r="K506" s="163">
        <f t="shared" ca="1" si="86"/>
        <v>0</v>
      </c>
      <c r="L506" s="181"/>
      <c r="M506" s="181"/>
      <c r="N506" s="181"/>
      <c r="O506" s="181"/>
      <c r="P506" s="181"/>
    </row>
    <row r="507" spans="1:16" ht="21.75" customHeight="1" x14ac:dyDescent="0.3">
      <c r="A507" s="175"/>
      <c r="B507" s="176"/>
      <c r="C507" s="176"/>
      <c r="D507" s="193"/>
      <c r="E507" s="195"/>
      <c r="F507" s="195"/>
      <c r="G507" s="195"/>
      <c r="H507" s="420" t="s">
        <v>36</v>
      </c>
      <c r="I507" s="187">
        <f ca="1">กำแพงเพชร!I507+เชียงราย!I507+เชียงใหม่!I507+ตาก!I507+นครสวรรค์!I507+น่าน!I507+พะเยา!I507+พิจิตร!I507+พิษณุโลก!I507+เพชรบูรณ์!I507+แพร่!I507+แม่ฮ่องสอน!I507+ลำปาง!I507+ลำพูน!I507+สุโขทัย!I507+อุตรดิตถ์!I507+อุทัยธานี!I507</f>
        <v>0</v>
      </c>
      <c r="J507" s="197">
        <f ca="1">กำแพงเพชร!J507+เชียงราย!J507+เชียงใหม่!J507+ตาก!J507+นครสวรรค์!J507+น่าน!J507+พะเยา!J507+พิจิตร!J507+พิษณุโลก!J507+เพชรบูรณ์!J507+แพร่!J507+แม่ฮ่องสอน!J507+ลำปาง!J507+ลำพูน!J507+สุโขทัย!J507+อุตรดิตถ์!J507+อุทัยธานี!J507</f>
        <v>1</v>
      </c>
      <c r="K507" s="163">
        <f t="shared" ca="1" si="86"/>
        <v>0</v>
      </c>
      <c r="L507" s="181"/>
      <c r="M507" s="181"/>
      <c r="N507" s="181"/>
      <c r="O507" s="181"/>
      <c r="P507" s="181"/>
    </row>
    <row r="508" spans="1:16" ht="21.75" customHeight="1" x14ac:dyDescent="0.3">
      <c r="A508" s="175"/>
      <c r="B508" s="176"/>
      <c r="C508" s="176"/>
      <c r="D508" s="193"/>
      <c r="E508" s="194" t="s">
        <v>189</v>
      </c>
      <c r="F508" s="195"/>
      <c r="G508" s="419"/>
      <c r="H508" s="420" t="s">
        <v>122</v>
      </c>
      <c r="I508" s="187">
        <f ca="1">กำแพงเพชร!I508+เชียงราย!I508+เชียงใหม่!I508+ตาก!I508+นครสวรรค์!I508+น่าน!I508+พะเยา!I508+พิจิตร!I508+พิษณุโลก!I508+เพชรบูรณ์!I508+แพร่!I508+แม่ฮ่องสอน!I508+ลำปาง!I508+ลำพูน!I508+สุโขทัย!I508+อุตรดิตถ์!I508+อุทัยธานี!I508</f>
        <v>0</v>
      </c>
      <c r="J508" s="162">
        <f ca="1">กำแพงเพชร!J508+เชียงราย!J508+เชียงใหม่!J508+ตาก!J508+นครสวรรค์!J508+น่าน!J508+พะเยา!J508+พิจิตร!J508+พิษณุโลก!J508+เพชรบูรณ์!J508+แพร่!J508+แม่ฮ่องสอน!J508+ลำปาง!J508+ลำพูน!J508+สุโขทัย!J508+อุตรดิตถ์!J508+อุทัยธานี!J508</f>
        <v>203.1</v>
      </c>
      <c r="K508" s="163">
        <f t="shared" ca="1" si="86"/>
        <v>0</v>
      </c>
      <c r="L508" s="181"/>
      <c r="M508" s="181"/>
      <c r="N508" s="181"/>
      <c r="O508" s="181"/>
      <c r="P508" s="181"/>
    </row>
    <row r="509" spans="1:16" ht="21.75" customHeight="1" x14ac:dyDescent="0.3">
      <c r="A509" s="175"/>
      <c r="B509" s="176"/>
      <c r="C509" s="176"/>
      <c r="D509" s="193"/>
      <c r="E509" s="195"/>
      <c r="F509" s="195"/>
      <c r="G509" s="195"/>
      <c r="H509" s="420" t="s">
        <v>36</v>
      </c>
      <c r="I509" s="187">
        <f ca="1">กำแพงเพชร!I509+เชียงราย!I509+เชียงใหม่!I509+ตาก!I509+นครสวรรค์!I509+น่าน!I509+พะเยา!I509+พิจิตร!I509+พิษณุโลก!I509+เพชรบูรณ์!I509+แพร่!I509+แม่ฮ่องสอน!I509+ลำปาง!I509+ลำพูน!I509+สุโขทัย!I509+อุตรดิตถ์!I509+อุทัยธานี!I509</f>
        <v>0</v>
      </c>
      <c r="J509" s="162">
        <f ca="1">กำแพงเพชร!J509+เชียงราย!J509+เชียงใหม่!J509+ตาก!J509+นครสวรรค์!J509+น่าน!J509+พะเยา!J509+พิจิตร!J509+พิษณุโลก!J509+เพชรบูรณ์!J509+แพร่!J509+แม่ฮ่องสอน!J509+ลำปาง!J509+ลำพูน!J509+สุโขทัย!J509+อุตรดิตถ์!J509+อุทัยธานี!J509</f>
        <v>33</v>
      </c>
      <c r="K509" s="163">
        <f t="shared" ca="1" si="86"/>
        <v>0</v>
      </c>
      <c r="L509" s="181"/>
      <c r="M509" s="181"/>
      <c r="N509" s="181"/>
      <c r="O509" s="181"/>
      <c r="P509" s="181"/>
    </row>
    <row r="510" spans="1:16" ht="21.75" customHeight="1" x14ac:dyDescent="0.3">
      <c r="A510" s="175"/>
      <c r="B510" s="176"/>
      <c r="C510" s="176"/>
      <c r="D510" s="193"/>
      <c r="E510" s="195"/>
      <c r="F510" s="194" t="s">
        <v>190</v>
      </c>
      <c r="G510" s="195"/>
      <c r="H510" s="420" t="s">
        <v>122</v>
      </c>
      <c r="I510" s="187">
        <f ca="1">กำแพงเพชร!I510+เชียงราย!I510+เชียงใหม่!I510+ตาก!I510+นครสวรรค์!I510+น่าน!I510+พะเยา!I510+พิจิตร!I510+พิษณุโลก!I510+เพชรบูรณ์!I510+แพร่!I510+แม่ฮ่องสอน!I510+ลำปาง!I510+ลำพูน!I510+สุโขทัย!I510+อุตรดิตถ์!I510+อุทัยธานี!I510</f>
        <v>0</v>
      </c>
      <c r="J510" s="197">
        <f ca="1">กำแพงเพชร!J510+เชียงราย!J510+เชียงใหม่!J510+ตาก!J510+นครสวรรค์!J510+น่าน!J510+พะเยา!J510+พิจิตร!J510+พิษณุโลก!J510+เพชรบูรณ์!J510+แพร่!J510+แม่ฮ่องสอน!J510+ลำปาง!J510+ลำพูน!J510+สุโขทัย!J510+อุตรดิตถ์!J510+อุทัยธานี!J510</f>
        <v>185.1</v>
      </c>
      <c r="K510" s="163">
        <f t="shared" ca="1" si="86"/>
        <v>0</v>
      </c>
      <c r="L510" s="181"/>
      <c r="M510" s="181"/>
      <c r="N510" s="181"/>
      <c r="O510" s="181"/>
      <c r="P510" s="181"/>
    </row>
    <row r="511" spans="1:16" ht="21.75" customHeight="1" x14ac:dyDescent="0.3">
      <c r="A511" s="175"/>
      <c r="B511" s="176"/>
      <c r="C511" s="176"/>
      <c r="D511" s="193"/>
      <c r="E511" s="195"/>
      <c r="F511" s="195"/>
      <c r="G511" s="195"/>
      <c r="H511" s="420" t="s">
        <v>36</v>
      </c>
      <c r="I511" s="187">
        <f ca="1">กำแพงเพชร!I511+เชียงราย!I511+เชียงใหม่!I511+ตาก!I511+นครสวรรค์!I511+น่าน!I511+พะเยา!I511+พิจิตร!I511+พิษณุโลก!I511+เพชรบูรณ์!I511+แพร่!I511+แม่ฮ่องสอน!I511+ลำปาง!I511+ลำพูน!I511+สุโขทัย!I511+อุตรดิตถ์!I511+อุทัยธานี!I511</f>
        <v>0</v>
      </c>
      <c r="J511" s="197">
        <f ca="1">กำแพงเพชร!J511+เชียงราย!J511+เชียงใหม่!J511+ตาก!J511+นครสวรรค์!J511+น่าน!J511+พะเยา!J511+พิจิตร!J511+พิษณุโลก!J511+เพชรบูรณ์!J511+แพร่!J511+แม่ฮ่องสอน!J511+ลำปาง!J511+ลำพูน!J511+สุโขทัย!J511+อุตรดิตถ์!J511+อุทัยธานี!J511</f>
        <v>25</v>
      </c>
      <c r="K511" s="163">
        <f t="shared" ca="1" si="86"/>
        <v>0</v>
      </c>
      <c r="L511" s="181"/>
      <c r="M511" s="181"/>
      <c r="N511" s="181"/>
      <c r="O511" s="181"/>
      <c r="P511" s="181"/>
    </row>
    <row r="512" spans="1:16" ht="21.75" customHeight="1" x14ac:dyDescent="0.3">
      <c r="A512" s="175"/>
      <c r="B512" s="176"/>
      <c r="C512" s="176"/>
      <c r="D512" s="193"/>
      <c r="E512" s="195"/>
      <c r="F512" s="194" t="s">
        <v>191</v>
      </c>
      <c r="G512" s="195"/>
      <c r="H512" s="420" t="s">
        <v>122</v>
      </c>
      <c r="I512" s="187">
        <f ca="1">กำแพงเพชร!I512+เชียงราย!I512+เชียงใหม่!I512+ตาก!I512+นครสวรรค์!I512+น่าน!I512+พะเยา!I512+พิจิตร!I512+พิษณุโลก!I512+เพชรบูรณ์!I512+แพร่!I512+แม่ฮ่องสอน!I512+ลำปาง!I512+ลำพูน!I512+สุโขทัย!I512+อุตรดิตถ์!I512+อุทัยธานี!I512</f>
        <v>0</v>
      </c>
      <c r="J512" s="197">
        <f ca="1">กำแพงเพชร!J512+เชียงราย!J512+เชียงใหม่!J512+ตาก!J512+นครสวรรค์!J512+น่าน!J512+พะเยา!J512+พิจิตร!J512+พิษณุโลก!J512+เพชรบูรณ์!J512+แพร่!J512+แม่ฮ่องสอน!J512+ลำปาง!J512+ลำพูน!J512+สุโขทัย!J512+อุตรดิตถ์!J512+อุทัยธานี!J512</f>
        <v>18</v>
      </c>
      <c r="K512" s="163">
        <f t="shared" ca="1" si="86"/>
        <v>0</v>
      </c>
      <c r="L512" s="181"/>
      <c r="M512" s="181"/>
      <c r="N512" s="181"/>
      <c r="O512" s="181"/>
      <c r="P512" s="181"/>
    </row>
    <row r="513" spans="1:16" ht="21.75" customHeight="1" x14ac:dyDescent="0.3">
      <c r="A513" s="175"/>
      <c r="B513" s="176"/>
      <c r="C513" s="176"/>
      <c r="D513" s="193"/>
      <c r="E513" s="195"/>
      <c r="F513" s="195"/>
      <c r="G513" s="196"/>
      <c r="H513" s="420" t="s">
        <v>36</v>
      </c>
      <c r="I513" s="187">
        <f ca="1">กำแพงเพชร!I513+เชียงราย!I513+เชียงใหม่!I513+ตาก!I513+นครสวรรค์!I513+น่าน!I513+พะเยา!I513+พิจิตร!I513+พิษณุโลก!I513+เพชรบูรณ์!I513+แพร่!I513+แม่ฮ่องสอน!I513+ลำปาง!I513+ลำพูน!I513+สุโขทัย!I513+อุตรดิตถ์!I513+อุทัยธานี!I513</f>
        <v>0</v>
      </c>
      <c r="J513" s="197">
        <f ca="1">กำแพงเพชร!J513+เชียงราย!J513+เชียงใหม่!J513+ตาก!J513+นครสวรรค์!J513+น่าน!J513+พะเยา!J513+พิจิตร!J513+พิษณุโลก!J513+เพชรบูรณ์!J513+แพร่!J513+แม่ฮ่องสอน!J513+ลำปาง!J513+ลำพูน!J513+สุโขทัย!J513+อุตรดิตถ์!J513+อุทัยธานี!J513</f>
        <v>8</v>
      </c>
      <c r="K513" s="163">
        <f t="shared" ca="1" si="86"/>
        <v>0</v>
      </c>
      <c r="L513" s="181"/>
      <c r="M513" s="181"/>
      <c r="N513" s="181"/>
      <c r="O513" s="181"/>
      <c r="P513" s="181"/>
    </row>
    <row r="514" spans="1:16" ht="21.75" customHeight="1" x14ac:dyDescent="0.3">
      <c r="A514" s="175"/>
      <c r="B514" s="176"/>
      <c r="C514" s="176"/>
      <c r="D514" s="402"/>
      <c r="E514" s="448" t="s">
        <v>192</v>
      </c>
      <c r="F514" s="195"/>
      <c r="G514" s="196"/>
      <c r="H514" s="420" t="s">
        <v>122</v>
      </c>
      <c r="I514" s="187">
        <f ca="1">กำแพงเพชร!I514+เชียงราย!I514+เชียงใหม่!I514+ตาก!I514+นครสวรรค์!I514+น่าน!I514+พะเยา!I514+พิจิตร!I514+พิษณุโลก!I514+เพชรบูรณ์!I514+แพร่!I514+แม่ฮ่องสอน!I514+ลำปาง!I514+ลำพูน!I514+สุโขทัย!I514+อุตรดิตถ์!I514+อุทัยธานี!I514</f>
        <v>0</v>
      </c>
      <c r="J514" s="197">
        <f ca="1">กำแพงเพชร!J514+เชียงราย!J514+เชียงใหม่!J514+ตาก!J514+นครสวรรค์!J514+น่าน!J514+พะเยา!J514+พิจิตร!J514+พิษณุโลก!J514+เพชรบูรณ์!J514+แพร่!J514+แม่ฮ่องสอน!J514+ลำปาง!J514+ลำพูน!J514+สุโขทัย!J514+อุตรดิตถ์!J514+อุทัยธานี!J514</f>
        <v>249</v>
      </c>
      <c r="K514" s="163">
        <f t="shared" ca="1" si="86"/>
        <v>0</v>
      </c>
      <c r="L514" s="181"/>
      <c r="M514" s="181"/>
      <c r="N514" s="181"/>
      <c r="O514" s="181"/>
      <c r="P514" s="181"/>
    </row>
    <row r="515" spans="1:16" ht="21.75" customHeight="1" x14ac:dyDescent="0.3">
      <c r="A515" s="175"/>
      <c r="B515" s="176"/>
      <c r="C515" s="176"/>
      <c r="D515" s="193"/>
      <c r="E515" s="195"/>
      <c r="F515" s="195"/>
      <c r="G515" s="196"/>
      <c r="H515" s="420" t="s">
        <v>36</v>
      </c>
      <c r="I515" s="187">
        <f ca="1">กำแพงเพชร!I515+เชียงราย!I515+เชียงใหม่!I515+ตาก!I515+นครสวรรค์!I515+น่าน!I515+พะเยา!I515+พิจิตร!I515+พิษณุโลก!I515+เพชรบูรณ์!I515+แพร่!I515+แม่ฮ่องสอน!I515+ลำปาง!I515+ลำพูน!I515+สุโขทัย!I515+อุตรดิตถ์!I515+อุทัยธานี!I515</f>
        <v>0</v>
      </c>
      <c r="J515" s="197">
        <f ca="1">กำแพงเพชร!J515+เชียงราย!J515+เชียงใหม่!J515+ตาก!J515+นครสวรรค์!J515+น่าน!J515+พะเยา!J515+พิจิตร!J515+พิษณุโลก!J515+เพชรบูรณ์!J515+แพร่!J515+แม่ฮ่องสอน!J515+ลำปาง!J515+ลำพูน!J515+สุโขทัย!J515+อุตรดิตถ์!J515+อุทัยธานี!J515</f>
        <v>23</v>
      </c>
      <c r="K515" s="163">
        <f t="shared" ca="1" si="86"/>
        <v>0</v>
      </c>
      <c r="L515" s="181"/>
      <c r="M515" s="181"/>
      <c r="N515" s="181"/>
      <c r="O515" s="181"/>
      <c r="P515" s="181"/>
    </row>
    <row r="516" spans="1:16" ht="21.75" customHeight="1" x14ac:dyDescent="0.3">
      <c r="A516" s="175"/>
      <c r="B516" s="176"/>
      <c r="C516" s="413" t="s">
        <v>193</v>
      </c>
      <c r="D516" s="413"/>
      <c r="E516" s="449"/>
      <c r="F516" s="449"/>
      <c r="G516" s="450"/>
      <c r="H516" s="451" t="s">
        <v>122</v>
      </c>
      <c r="I516" s="266">
        <f ca="1">กำแพงเพชร!I516+เชียงราย!I516+เชียงใหม่!I516+ตาก!I516+นครสวรรค์!I516+น่าน!I516+พะเยา!I516+พิจิตร!I516+พิษณุโลก!I516+เพชรบูรณ์!I516+แพร่!I516+แม่ฮ่องสอน!I516+ลำปาง!I516+ลำพูน!I516+สุโขทัย!I516+อุตรดิตถ์!I516+อุทัยธานี!I516</f>
        <v>0</v>
      </c>
      <c r="J516" s="266">
        <f ca="1">กำแพงเพชร!J516+เชียงราย!J516+เชียงใหม่!J516+ตาก!J516+นครสวรรค์!J516+น่าน!J516+พะเยา!J516+พิจิตร!J516+พิษณุโลก!J516+เพชรบูรณ์!J516+แพร่!J516+แม่ฮ่องสอน!J516+ลำปาง!J516+ลำพูน!J516+สุโขทัย!J516+อุตรดิตถ์!J516+อุทัยธานี!J516</f>
        <v>0</v>
      </c>
      <c r="K516" s="267">
        <v>0</v>
      </c>
      <c r="L516" s="181"/>
      <c r="M516" s="181"/>
      <c r="N516" s="181"/>
      <c r="O516" s="181"/>
      <c r="P516" s="181"/>
    </row>
    <row r="517" spans="1:16" ht="21.75" customHeight="1" x14ac:dyDescent="0.3">
      <c r="A517" s="175"/>
      <c r="B517" s="176"/>
      <c r="C517" s="452"/>
      <c r="D517" s="452"/>
      <c r="E517" s="452" t="s">
        <v>194</v>
      </c>
      <c r="F517" s="453"/>
      <c r="G517" s="454"/>
      <c r="H517" s="455" t="s">
        <v>122</v>
      </c>
      <c r="I517" s="282">
        <f ca="1">กำแพงเพชร!I517+เชียงราย!I517+เชียงใหม่!I517+ตาก!I517+นครสวรรค์!I517+น่าน!I517+พะเยา!I517+พิจิตร!I517+พิษณุโลก!I517+เพชรบูรณ์!I517+แพร่!I517+แม่ฮ่องสอน!I517+ลำปาง!I517+ลำพูน!I517+สุโขทัย!I517+อุตรดิตถ์!I517+อุทัยธานี!I517</f>
        <v>0</v>
      </c>
      <c r="J517" s="282">
        <f ca="1">กำแพงเพชร!J517+เชียงราย!J517+เชียงใหม่!J517+ตาก!J517+นครสวรรค์!J517+น่าน!J517+พะเยา!J517+พิจิตร!J517+พิษณุโลก!J517+เพชรบูรณ์!J517+แพร่!J517+แม่ฮ่องสอน!J517+ลำปาง!J517+ลำพูน!J517+สุโขทัย!J517+อุตรดิตถ์!J517+อุทัยธานี!J517</f>
        <v>0</v>
      </c>
      <c r="K517" s="283">
        <v>0</v>
      </c>
      <c r="L517" s="181"/>
      <c r="M517" s="181"/>
      <c r="N517" s="181"/>
      <c r="O517" s="181"/>
      <c r="P517" s="181"/>
    </row>
    <row r="518" spans="1:16" ht="21.75" customHeight="1" x14ac:dyDescent="0.3">
      <c r="A518" s="175"/>
      <c r="B518" s="176"/>
      <c r="C518" s="452"/>
      <c r="D518" s="452"/>
      <c r="E518" s="452" t="s">
        <v>195</v>
      </c>
      <c r="F518" s="453"/>
      <c r="G518" s="454"/>
      <c r="H518" s="455" t="s">
        <v>36</v>
      </c>
      <c r="I518" s="282">
        <f ca="1">กำแพงเพชร!I518+เชียงราย!I518+เชียงใหม่!I518+ตาก!I518+นครสวรรค์!I518+น่าน!I518+พะเยา!I518+พิจิตร!I518+พิษณุโลก!I518+เพชรบูรณ์!I518+แพร่!I518+แม่ฮ่องสอน!I518+ลำปาง!I518+ลำพูน!I518+สุโขทัย!I518+อุตรดิตถ์!I518+อุทัยธานี!I518</f>
        <v>0</v>
      </c>
      <c r="J518" s="282">
        <f ca="1">กำแพงเพชร!J518+เชียงราย!J518+เชียงใหม่!J518+ตาก!J518+นครสวรรค์!J518+น่าน!J518+พะเยา!J518+พิจิตร!J518+พิษณุโลก!J518+เพชรบูรณ์!J518+แพร่!J518+แม่ฮ่องสอน!J518+ลำปาง!J518+ลำพูน!J518+สุโขทัย!J518+อุตรดิตถ์!J518+อุทัยธานี!J518</f>
        <v>0</v>
      </c>
      <c r="K518" s="283">
        <v>0</v>
      </c>
      <c r="L518" s="181"/>
      <c r="M518" s="181"/>
      <c r="N518" s="181"/>
      <c r="O518" s="181"/>
      <c r="P518" s="181"/>
    </row>
    <row r="519" spans="1:16" ht="21.75" customHeight="1" x14ac:dyDescent="0.3">
      <c r="A519" s="175"/>
      <c r="B519" s="176"/>
      <c r="C519" s="176"/>
      <c r="D519" s="193"/>
      <c r="E519" s="195"/>
      <c r="F519" s="195"/>
      <c r="G519" s="225" t="s">
        <v>196</v>
      </c>
      <c r="H519" s="420" t="s">
        <v>122</v>
      </c>
      <c r="I519" s="187">
        <f ca="1">กำแพงเพชร!I519+เชียงราย!I519+เชียงใหม่!I519+ตาก!I519+นครสวรรค์!I519+น่าน!I519+พะเยา!I519+พิจิตร!I519+พิษณุโลก!I519+เพชรบูรณ์!I519+แพร่!I519+แม่ฮ่องสอน!I519+ลำปาง!I519+ลำพูน!I519+สุโขทัย!I519+อุตรดิตถ์!I519+อุทัยธานี!I519</f>
        <v>0</v>
      </c>
      <c r="J519" s="187">
        <f ca="1">กำแพงเพชร!J519+เชียงราย!J519+เชียงใหม่!J519+ตาก!J519+นครสวรรค์!J519+น่าน!J519+พะเยา!J519+พิจิตร!J519+พิษณุโลก!J519+เพชรบูรณ์!J519+แพร่!J519+แม่ฮ่องสอน!J519+ลำปาง!J519+ลำพูน!J519+สุโขทัย!J519+อุตรดิตถ์!J519+อุทัยธานี!J519</f>
        <v>0</v>
      </c>
      <c r="K519" s="163">
        <v>0</v>
      </c>
      <c r="L519" s="181"/>
      <c r="M519" s="181"/>
      <c r="N519" s="181"/>
      <c r="O519" s="181"/>
      <c r="P519" s="181"/>
    </row>
    <row r="520" spans="1:16" ht="21.75" customHeight="1" x14ac:dyDescent="0.3">
      <c r="A520" s="175"/>
      <c r="B520" s="176"/>
      <c r="C520" s="176"/>
      <c r="D520" s="193"/>
      <c r="E520" s="195"/>
      <c r="F520" s="195"/>
      <c r="G520" s="196"/>
      <c r="H520" s="420" t="s">
        <v>36</v>
      </c>
      <c r="I520" s="187">
        <f ca="1">กำแพงเพชร!I520+เชียงราย!I520+เชียงใหม่!I520+ตาก!I520+นครสวรรค์!I520+น่าน!I520+พะเยา!I520+พิจิตร!I520+พิษณุโลก!I520+เพชรบูรณ์!I520+แพร่!I520+แม่ฮ่องสอน!I520+ลำปาง!I520+ลำพูน!I520+สุโขทัย!I520+อุตรดิตถ์!I520+อุทัยธานี!I520</f>
        <v>0</v>
      </c>
      <c r="J520" s="187">
        <f ca="1">กำแพงเพชร!J520+เชียงราย!J520+เชียงใหม่!J520+ตาก!J520+นครสวรรค์!J520+น่าน!J520+พะเยา!J520+พิจิตร!J520+พิษณุโลก!J520+เพชรบูรณ์!J520+แพร่!J520+แม่ฮ่องสอน!J520+ลำปาง!J520+ลำพูน!J520+สุโขทัย!J520+อุตรดิตถ์!J520+อุทัยธานี!J520</f>
        <v>0</v>
      </c>
      <c r="K520" s="163">
        <v>0</v>
      </c>
      <c r="L520" s="181"/>
      <c r="M520" s="181"/>
      <c r="N520" s="181"/>
      <c r="O520" s="181"/>
      <c r="P520" s="181"/>
    </row>
    <row r="521" spans="1:16" ht="21.75" customHeight="1" x14ac:dyDescent="0.3">
      <c r="A521" s="175"/>
      <c r="B521" s="176"/>
      <c r="C521" s="176"/>
      <c r="D521" s="193"/>
      <c r="E521" s="195"/>
      <c r="F521" s="195"/>
      <c r="G521" s="225" t="s">
        <v>197</v>
      </c>
      <c r="H521" s="420" t="s">
        <v>122</v>
      </c>
      <c r="I521" s="187">
        <f ca="1">กำแพงเพชร!I521+เชียงราย!I521+เชียงใหม่!I521+ตาก!I521+นครสวรรค์!I521+น่าน!I521+พะเยา!I521+พิจิตร!I521+พิษณุโลก!I521+เพชรบูรณ์!I521+แพร่!I521+แม่ฮ่องสอน!I521+ลำปาง!I521+ลำพูน!I521+สุโขทัย!I521+อุตรดิตถ์!I521+อุทัยธานี!I521</f>
        <v>0</v>
      </c>
      <c r="J521" s="187">
        <f ca="1">กำแพงเพชร!J521+เชียงราย!J521+เชียงใหม่!J521+ตาก!J521+นครสวรรค์!J521+น่าน!J521+พะเยา!J521+พิจิตร!J521+พิษณุโลก!J521+เพชรบูรณ์!J521+แพร่!J521+แม่ฮ่องสอน!J521+ลำปาง!J521+ลำพูน!J521+สุโขทัย!J521+อุตรดิตถ์!J521+อุทัยธานี!J521</f>
        <v>0</v>
      </c>
      <c r="K521" s="163">
        <v>0</v>
      </c>
      <c r="L521" s="181"/>
      <c r="M521" s="181"/>
      <c r="N521" s="181"/>
      <c r="O521" s="181"/>
      <c r="P521" s="181"/>
    </row>
    <row r="522" spans="1:16" ht="21.75" customHeight="1" x14ac:dyDescent="0.3">
      <c r="A522" s="175"/>
      <c r="B522" s="176"/>
      <c r="C522" s="176"/>
      <c r="D522" s="193"/>
      <c r="E522" s="195"/>
      <c r="F522" s="195"/>
      <c r="G522" s="196"/>
      <c r="H522" s="420" t="s">
        <v>36</v>
      </c>
      <c r="I522" s="187">
        <f ca="1">กำแพงเพชร!I522+เชียงราย!I522+เชียงใหม่!I522+ตาก!I522+นครสวรรค์!I522+น่าน!I522+พะเยา!I522+พิจิตร!I522+พิษณุโลก!I522+เพชรบูรณ์!I522+แพร่!I522+แม่ฮ่องสอน!I522+ลำปาง!I522+ลำพูน!I522+สุโขทัย!I522+อุตรดิตถ์!I522+อุทัยธานี!I522</f>
        <v>0</v>
      </c>
      <c r="J522" s="187">
        <f ca="1">กำแพงเพชร!J522+เชียงราย!J522+เชียงใหม่!J522+ตาก!J522+นครสวรรค์!J522+น่าน!J522+พะเยา!J522+พิจิตร!J522+พิษณุโลก!J522+เพชรบูรณ์!J522+แพร่!J522+แม่ฮ่องสอน!J522+ลำปาง!J522+ลำพูน!J522+สุโขทัย!J522+อุตรดิตถ์!J522+อุทัยธานี!J522</f>
        <v>0</v>
      </c>
      <c r="K522" s="163">
        <v>0</v>
      </c>
      <c r="L522" s="181"/>
      <c r="M522" s="181"/>
      <c r="N522" s="181"/>
      <c r="O522" s="181"/>
      <c r="P522" s="181"/>
    </row>
    <row r="523" spans="1:16" ht="21.75" customHeight="1" x14ac:dyDescent="0.3">
      <c r="A523" s="175"/>
      <c r="B523" s="176"/>
      <c r="C523" s="176"/>
      <c r="D523" s="193"/>
      <c r="E523" s="195"/>
      <c r="F523" s="195"/>
      <c r="G523" s="456" t="s">
        <v>198</v>
      </c>
      <c r="H523" s="420" t="s">
        <v>122</v>
      </c>
      <c r="I523" s="187">
        <f ca="1">กำแพงเพชร!I523+เชียงราย!I523+เชียงใหม่!I523+ตาก!I523+นครสวรรค์!I523+น่าน!I523+พะเยา!I523+พิจิตร!I523+พิษณุโลก!I523+เพชรบูรณ์!I523+แพร่!I523+แม่ฮ่องสอน!I523+ลำปาง!I523+ลำพูน!I523+สุโขทัย!I523+อุตรดิตถ์!I523+อุทัยธานี!I523</f>
        <v>0</v>
      </c>
      <c r="J523" s="187">
        <f ca="1">กำแพงเพชร!J523+เชียงราย!J523+เชียงใหม่!J523+ตาก!J523+นครสวรรค์!J523+น่าน!J523+พะเยา!J523+พิจิตร!J523+พิษณุโลก!J523+เพชรบูรณ์!J523+แพร่!J523+แม่ฮ่องสอน!J523+ลำปาง!J523+ลำพูน!J523+สุโขทัย!J523+อุตรดิตถ์!J523+อุทัยธานี!J523</f>
        <v>2761</v>
      </c>
      <c r="K523" s="163">
        <v>0</v>
      </c>
      <c r="L523" s="181"/>
      <c r="M523" s="181"/>
      <c r="N523" s="181"/>
      <c r="O523" s="181"/>
      <c r="P523" s="181"/>
    </row>
    <row r="524" spans="1:16" ht="21.75" customHeight="1" x14ac:dyDescent="0.3">
      <c r="A524" s="175"/>
      <c r="B524" s="176"/>
      <c r="C524" s="176"/>
      <c r="D524" s="193"/>
      <c r="E524" s="195"/>
      <c r="F524" s="195"/>
      <c r="G524" s="196"/>
      <c r="H524" s="420" t="s">
        <v>36</v>
      </c>
      <c r="I524" s="187">
        <f ca="1">กำแพงเพชร!I524+เชียงราย!I524+เชียงใหม่!I524+ตาก!I524+นครสวรรค์!I524+น่าน!I524+พะเยา!I524+พิจิตร!I524+พิษณุโลก!I524+เพชรบูรณ์!I524+แพร่!I524+แม่ฮ่องสอน!I524+ลำปาง!I524+ลำพูน!I524+สุโขทัย!I524+อุตรดิตถ์!I524+อุทัยธานี!I524</f>
        <v>0</v>
      </c>
      <c r="J524" s="187">
        <f ca="1">กำแพงเพชร!J524+เชียงราย!J524+เชียงใหม่!J524+ตาก!J524+นครสวรรค์!J524+น่าน!J524+พะเยา!J524+พิจิตร!J524+พิษณุโลก!J524+เพชรบูรณ์!J524+แพร่!J524+แม่ฮ่องสอน!J524+ลำปาง!J524+ลำพูน!J524+สุโขทัย!J524+อุตรดิตถ์!J524+อุทัยธานี!J524</f>
        <v>194</v>
      </c>
      <c r="K524" s="163">
        <v>0</v>
      </c>
      <c r="L524" s="181"/>
      <c r="M524" s="181"/>
      <c r="N524" s="181"/>
      <c r="O524" s="181"/>
      <c r="P524" s="181"/>
    </row>
    <row r="525" spans="1:16" ht="21.75" customHeight="1" x14ac:dyDescent="0.3">
      <c r="A525" s="175"/>
      <c r="B525" s="176"/>
      <c r="C525" s="452"/>
      <c r="D525" s="452"/>
      <c r="E525" s="452" t="s">
        <v>199</v>
      </c>
      <c r="F525" s="453"/>
      <c r="G525" s="454"/>
      <c r="H525" s="455" t="s">
        <v>122</v>
      </c>
      <c r="I525" s="282">
        <f ca="1">กำแพงเพชร!I525+เชียงราย!I525+เชียงใหม่!I525+ตาก!I525+นครสวรรค์!I525+น่าน!I525+พะเยา!I525+พิจิตร!I525+พิษณุโลก!I525+เพชรบูรณ์!I525+แพร่!I525+แม่ฮ่องสอน!I525+ลำปาง!I525+ลำพูน!I525+สุโขทัย!I525+อุตรดิตถ์!I525+อุทัยธานี!I525</f>
        <v>2761</v>
      </c>
      <c r="J525" s="282">
        <f ca="1">กำแพงเพชร!J525+เชียงราย!J525+เชียงใหม่!J525+ตาก!J525+นครสวรรค์!J525+น่าน!J525+พะเยา!J525+พิจิตร!J525+พิษณุโลก!J525+เพชรบูรณ์!J525+แพร่!J525+แม่ฮ่องสอน!J525+ลำปาง!J525+ลำพูน!J525+สุโขทัย!J525+อุตรดิตถ์!J525+อุทัยธานี!J525</f>
        <v>110</v>
      </c>
      <c r="K525" s="283">
        <v>0</v>
      </c>
      <c r="L525" s="181"/>
      <c r="M525" s="181"/>
      <c r="N525" s="181"/>
      <c r="O525" s="181"/>
      <c r="P525" s="181"/>
    </row>
    <row r="526" spans="1:16" ht="21.75" customHeight="1" x14ac:dyDescent="0.3">
      <c r="A526" s="175"/>
      <c r="B526" s="176"/>
      <c r="C526" s="452"/>
      <c r="D526" s="452"/>
      <c r="E526" s="452" t="s">
        <v>200</v>
      </c>
      <c r="F526" s="453"/>
      <c r="G526" s="454"/>
      <c r="H526" s="455" t="s">
        <v>36</v>
      </c>
      <c r="I526" s="282">
        <f ca="1">กำแพงเพชร!I526+เชียงราย!I526+เชียงใหม่!I526+ตาก!I526+นครสวรรค์!I526+น่าน!I526+พะเยา!I526+พิจิตร!I526+พิษณุโลก!I526+เพชรบูรณ์!I526+แพร่!I526+แม่ฮ่องสอน!I526+ลำปาง!I526+ลำพูน!I526+สุโขทัย!I526+อุตรดิตถ์!I526+อุทัยธานี!I526</f>
        <v>194</v>
      </c>
      <c r="J526" s="282">
        <f ca="1">กำแพงเพชร!J526+เชียงราย!J526+เชียงใหม่!J526+ตาก!J526+นครสวรรค์!J526+น่าน!J526+พะเยา!J526+พิจิตร!J526+พิษณุโลก!J526+เพชรบูรณ์!J526+แพร่!J526+แม่ฮ่องสอน!J526+ลำปาง!J526+ลำพูน!J526+สุโขทัย!J526+อุตรดิตถ์!J526+อุทัยธานี!J526</f>
        <v>14</v>
      </c>
      <c r="K526" s="283">
        <v>0</v>
      </c>
      <c r="L526" s="181"/>
      <c r="M526" s="181"/>
      <c r="N526" s="181"/>
      <c r="O526" s="181"/>
      <c r="P526" s="181"/>
    </row>
    <row r="527" spans="1:16" ht="21.75" customHeight="1" x14ac:dyDescent="0.3">
      <c r="A527" s="175"/>
      <c r="B527" s="176"/>
      <c r="C527" s="176"/>
      <c r="D527" s="193"/>
      <c r="E527" s="195"/>
      <c r="F527" s="195"/>
      <c r="G527" s="225" t="s">
        <v>196</v>
      </c>
      <c r="H527" s="420" t="s">
        <v>122</v>
      </c>
      <c r="I527" s="187">
        <f ca="1">กำแพงเพชร!I527+เชียงราย!I527+เชียงใหม่!I527+ตาก!I527+นครสวรรค์!I527+น่าน!I527+พะเยา!I527+พิจิตร!I527+พิษณุโลก!I527+เพชรบูรณ์!I527+แพร่!I527+แม่ฮ่องสอน!I527+ลำปาง!I527+ลำพูน!I527+สุโขทัย!I527+อุตรดิตถ์!I527+อุทัยธานี!I527</f>
        <v>0</v>
      </c>
      <c r="J527" s="197">
        <f ca="1">กำแพงเพชร!J527+เชียงราย!J527+เชียงใหม่!J527+ตาก!J527+นครสวรรค์!J527+น่าน!J527+พะเยา!J527+พิจิตร!J527+พิษณุโลก!J527+เพชรบูรณ์!J527+แพร่!J527+แม่ฮ่องสอน!J527+ลำปาง!J527+ลำพูน!J527+สุโขทัย!J527+อุตรดิตถ์!J527+อุทัยธานี!J527</f>
        <v>98</v>
      </c>
      <c r="K527" s="163">
        <v>0</v>
      </c>
      <c r="L527" s="181"/>
      <c r="M527" s="181"/>
      <c r="N527" s="181"/>
      <c r="O527" s="181"/>
      <c r="P527" s="181"/>
    </row>
    <row r="528" spans="1:16" ht="21.75" customHeight="1" x14ac:dyDescent="0.3">
      <c r="A528" s="175"/>
      <c r="B528" s="176"/>
      <c r="C528" s="176"/>
      <c r="D528" s="193"/>
      <c r="E528" s="195"/>
      <c r="F528" s="195"/>
      <c r="G528" s="196"/>
      <c r="H528" s="420" t="s">
        <v>36</v>
      </c>
      <c r="I528" s="187">
        <f ca="1">กำแพงเพชร!I528+เชียงราย!I528+เชียงใหม่!I528+ตาก!I528+นครสวรรค์!I528+น่าน!I528+พะเยา!I528+พิจิตร!I528+พิษณุโลก!I528+เพชรบูรณ์!I528+แพร่!I528+แม่ฮ่องสอน!I528+ลำปาง!I528+ลำพูน!I528+สุโขทัย!I528+อุตรดิตถ์!I528+อุทัยธานี!I528</f>
        <v>0</v>
      </c>
      <c r="J528" s="197">
        <f ca="1">กำแพงเพชร!J528+เชียงราย!J528+เชียงใหม่!J528+ตาก!J528+นครสวรรค์!J528+น่าน!J528+พะเยา!J528+พิจิตร!J528+พิษณุโลก!J528+เพชรบูรณ์!J528+แพร่!J528+แม่ฮ่องสอน!J528+ลำปาง!J528+ลำพูน!J528+สุโขทัย!J528+อุตรดิตถ์!J528+อุทัยธานี!J528</f>
        <v>12</v>
      </c>
      <c r="K528" s="163">
        <v>0</v>
      </c>
      <c r="L528" s="181"/>
      <c r="M528" s="181"/>
      <c r="N528" s="181"/>
      <c r="O528" s="181"/>
      <c r="P528" s="181"/>
    </row>
    <row r="529" spans="1:16" ht="21.75" customHeight="1" x14ac:dyDescent="0.3">
      <c r="A529" s="175"/>
      <c r="B529" s="176"/>
      <c r="C529" s="176"/>
      <c r="D529" s="193"/>
      <c r="E529" s="195"/>
      <c r="F529" s="195"/>
      <c r="G529" s="225" t="s">
        <v>197</v>
      </c>
      <c r="H529" s="420" t="s">
        <v>122</v>
      </c>
      <c r="I529" s="187">
        <f ca="1">กำแพงเพชร!I529+เชียงราย!I529+เชียงใหม่!I529+ตาก!I529+นครสวรรค์!I529+น่าน!I529+พะเยา!I529+พิจิตร!I529+พิษณุโลก!I529+เพชรบูรณ์!I529+แพร่!I529+แม่ฮ่องสอน!I529+ลำปาง!I529+ลำพูน!I529+สุโขทัย!I529+อุตรดิตถ์!I529+อุทัยธานี!I529</f>
        <v>0</v>
      </c>
      <c r="J529" s="197">
        <f ca="1">กำแพงเพชร!J529+เชียงราย!J529+เชียงใหม่!J529+ตาก!J529+นครสวรรค์!J529+น่าน!J529+พะเยา!J529+พิจิตร!J529+พิษณุโลก!J529+เพชรบูรณ์!J529+แพร่!J529+แม่ฮ่องสอน!J529+ลำปาง!J529+ลำพูน!J529+สุโขทัย!J529+อุตรดิตถ์!J529+อุทัยธานี!J529</f>
        <v>12</v>
      </c>
      <c r="K529" s="163">
        <v>0</v>
      </c>
      <c r="L529" s="181"/>
      <c r="M529" s="181"/>
      <c r="N529" s="181"/>
      <c r="O529" s="181"/>
      <c r="P529" s="181"/>
    </row>
    <row r="530" spans="1:16" ht="21.75" customHeight="1" x14ac:dyDescent="0.3">
      <c r="A530" s="175"/>
      <c r="B530" s="176"/>
      <c r="C530" s="176"/>
      <c r="D530" s="193"/>
      <c r="E530" s="195"/>
      <c r="F530" s="195"/>
      <c r="G530" s="196"/>
      <c r="H530" s="420" t="s">
        <v>36</v>
      </c>
      <c r="I530" s="187">
        <f ca="1">กำแพงเพชร!I530+เชียงราย!I530+เชียงใหม่!I530+ตาก!I530+นครสวรรค์!I530+น่าน!I530+พะเยา!I530+พิจิตร!I530+พิษณุโลก!I530+เพชรบูรณ์!I530+แพร่!I530+แม่ฮ่องสอน!I530+ลำปาง!I530+ลำพูน!I530+สุโขทัย!I530+อุตรดิตถ์!I530+อุทัยธานี!I530</f>
        <v>0</v>
      </c>
      <c r="J530" s="197">
        <f ca="1">กำแพงเพชร!J530+เชียงราย!J530+เชียงใหม่!J530+ตาก!J530+นครสวรรค์!J530+น่าน!J530+พะเยา!J530+พิจิตร!J530+พิษณุโลก!J530+เพชรบูรณ์!J530+แพร่!J530+แม่ฮ่องสอน!J530+ลำปาง!J530+ลำพูน!J530+สุโขทัย!J530+อุตรดิตถ์!J530+อุทัยธานี!J530</f>
        <v>2</v>
      </c>
      <c r="K530" s="163">
        <v>0</v>
      </c>
      <c r="L530" s="181"/>
      <c r="M530" s="181"/>
      <c r="N530" s="181"/>
      <c r="O530" s="181"/>
      <c r="P530" s="181"/>
    </row>
    <row r="531" spans="1:16" ht="21.75" customHeight="1" x14ac:dyDescent="0.3">
      <c r="A531" s="175"/>
      <c r="B531" s="176"/>
      <c r="C531" s="176"/>
      <c r="D531" s="193"/>
      <c r="E531" s="195"/>
      <c r="F531" s="195"/>
      <c r="G531" s="225" t="s">
        <v>201</v>
      </c>
      <c r="H531" s="420" t="s">
        <v>122</v>
      </c>
      <c r="I531" s="187">
        <f ca="1">กำแพงเพชร!I531+เชียงราย!I531+เชียงใหม่!I531+ตาก!I531+นครสวรรค์!I531+น่าน!I531+พะเยา!I531+พิจิตร!I531+พิษณุโลก!I531+เพชรบูรณ์!I531+แพร่!I531+แม่ฮ่องสอน!I531+ลำปาง!I531+ลำพูน!I531+สุโขทัย!I531+อุตรดิตถ์!I531+อุทัยธานี!I531</f>
        <v>0</v>
      </c>
      <c r="J531" s="197">
        <f ca="1">กำแพงเพชร!J531+เชียงราย!J531+เชียงใหม่!J531+ตาก!J531+นครสวรรค์!J531+น่าน!J531+พะเยา!J531+พิจิตร!J531+พิษณุโลก!J531+เพชรบูรณ์!J531+แพร่!J531+แม่ฮ่องสอน!J531+ลำปาง!J531+ลำพูน!J531+สุโขทัย!J531+อุตรดิตถ์!J531+อุทัยธานี!J531</f>
        <v>0</v>
      </c>
      <c r="K531" s="163">
        <v>0</v>
      </c>
      <c r="L531" s="181"/>
      <c r="M531" s="181"/>
      <c r="N531" s="181"/>
      <c r="O531" s="181"/>
      <c r="P531" s="181"/>
    </row>
    <row r="532" spans="1:16" ht="21.75" customHeight="1" x14ac:dyDescent="0.3">
      <c r="A532" s="457"/>
      <c r="B532" s="458"/>
      <c r="C532" s="458"/>
      <c r="D532" s="459"/>
      <c r="E532" s="460"/>
      <c r="F532" s="460"/>
      <c r="G532" s="461"/>
      <c r="H532" s="462" t="s">
        <v>36</v>
      </c>
      <c r="I532" s="463">
        <f ca="1">กำแพงเพชร!I532+เชียงราย!I532+เชียงใหม่!I532+ตาก!I532+นครสวรรค์!I532+น่าน!I532+พะเยา!I532+พิจิตร!I532+พิษณุโลก!I532+เพชรบูรณ์!I532+แพร่!I532+แม่ฮ่องสอน!I532+ลำปาง!I532+ลำพูน!I532+สุโขทัย!I532+อุตรดิตถ์!I532+อุทัยธานี!I532</f>
        <v>0</v>
      </c>
      <c r="J532" s="464">
        <f ca="1">กำแพงเพชร!J532+เชียงราย!J532+เชียงใหม่!J532+ตาก!J532+นครสวรรค์!J532+น่าน!J532+พะเยา!J532+พิจิตร!J532+พิษณุโลก!J532+เพชรบูรณ์!J532+แพร่!J532+แม่ฮ่องสอน!J532+ลำปาง!J532+ลำพูน!J532+สุโขทัย!J532+อุตรดิตถ์!J532+อุทัยธานี!J532</f>
        <v>0</v>
      </c>
      <c r="K532" s="465">
        <v>0</v>
      </c>
      <c r="L532" s="466"/>
      <c r="M532" s="466"/>
      <c r="N532" s="466"/>
      <c r="O532" s="466"/>
      <c r="P532" s="466"/>
    </row>
    <row r="533" spans="1:16" ht="21.75" customHeight="1" x14ac:dyDescent="0.3">
      <c r="A533" s="403"/>
      <c r="B533" s="404">
        <v>6</v>
      </c>
      <c r="C533" s="405" t="s">
        <v>202</v>
      </c>
      <c r="D533" s="405"/>
      <c r="E533" s="405"/>
      <c r="F533" s="405"/>
      <c r="G533" s="406"/>
      <c r="H533" s="407" t="s">
        <v>37</v>
      </c>
      <c r="I533" s="408">
        <f ca="1">กำแพงเพชร!I533+เชียงราย!I533+เชียงใหม่!I533+ตาก!I533+นครสวรรค์!I533+น่าน!I533+พะเยา!I533+พิจิตร!I533+พิษณุโลก!I533+เพชรบูรณ์!I533+แพร่!I533+แม่ฮ่องสอน!I533+ลำปาง!I533+ลำพูน!I533+สุโขทัย!I533+อุตรดิตถ์!I533+อุทัยธานี!I533</f>
        <v>388</v>
      </c>
      <c r="J533" s="408">
        <f ca="1">กำแพงเพชร!J533+เชียงราย!J533+เชียงใหม่!J533+ตาก!J533+นครสวรรค์!J533+น่าน!J533+พะเยา!J533+พิจิตร!J533+พิษณุโลก!J533+เพชรบูรณ์!J533+แพร่!J533+แม่ฮ่องสอน!J533+ลำปาง!J533+ลำพูน!J533+สุโขทัย!J533+อุตรดิตถ์!J533+อุทัยธานี!J533</f>
        <v>388</v>
      </c>
      <c r="K533" s="409">
        <f ca="1">IF(I533&gt;0,J533*100/I533,0)</f>
        <v>100</v>
      </c>
      <c r="L533" s="410">
        <f ca="1">กำแพงเพชร!L533+เชียงราย!L533+เชียงใหม่!L533+ตาก!L533+นครสวรรค์!L533+น่าน!L533+พะเยา!L533+พิจิตร!L533+พิษณุโลก!L533+เพชรบูรณ์!L533+แพร่!L533+แม่ฮ่องสอน!L533+ลำปาง!L533+ลำพูน!L533+สุโขทัย!L533+อุตรดิตถ์!L533+อุทัยธานี!L533</f>
        <v>595700</v>
      </c>
      <c r="M533" s="410"/>
      <c r="N533" s="410">
        <f ca="1">กำแพงเพชร!N533+เชียงราย!N533+เชียงใหม่!N533+ตาก!N533+นครสวรรค์!N533+น่าน!N533+พะเยา!N533+พิจิตร!N533+พิษณุโลก!N533+เพชรบูรณ์!N533+แพร่!N533+แม่ฮ่องสอน!N533+ลำปาง!N533+ลำพูน!N533+สุโขทัย!N533+อุตรดิตถ์!N533+อุทัยธานี!N533</f>
        <v>394749.23999999987</v>
      </c>
      <c r="O533" s="410">
        <f t="shared" ref="O533:O537" ca="1" si="87">+IF(L533&gt;0,N533*100/L533,0)</f>
        <v>66.266449555145186</v>
      </c>
      <c r="P533" s="410"/>
    </row>
    <row r="534" spans="1:16" ht="21.75" customHeight="1" x14ac:dyDescent="0.3">
      <c r="A534" s="156"/>
      <c r="B534" s="157"/>
      <c r="C534" s="157" t="s">
        <v>16</v>
      </c>
      <c r="D534" s="158" t="s">
        <v>38</v>
      </c>
      <c r="E534" s="159"/>
      <c r="F534" s="159"/>
      <c r="G534" s="160" t="s">
        <v>39</v>
      </c>
      <c r="H534" s="161" t="s">
        <v>12</v>
      </c>
      <c r="I534" s="162" t="s">
        <v>40</v>
      </c>
      <c r="J534" s="162"/>
      <c r="K534" s="163"/>
      <c r="L534" s="164">
        <f ca="1">กำแพงเพชร!L534+เชียงราย!L534+เชียงใหม่!L534+ตาก!L534+นครสวรรค์!L534+น่าน!L534+พะเยา!L534+พิจิตร!L534+พิษณุโลก!L534+เพชรบูรณ์!L534+แพร่!L534+แม่ฮ่องสอน!L534+ลำปาง!L534+ลำพูน!L534+สุโขทัย!L534+อุตรดิตถ์!L534+อุทัยธานี!L534</f>
        <v>0</v>
      </c>
      <c r="M534" s="164"/>
      <c r="N534" s="168">
        <f ca="1">กำแพงเพชร!N534+เชียงราย!N534+เชียงใหม่!N534+ตาก!N534+นครสวรรค์!N534+น่าน!N534+พะเยา!N534+พิจิตร!N534+พิษณุโลก!N534+เพชรบูรณ์!N534+แพร่!N534+แม่ฮ่องสอน!N534+ลำปาง!N534+ลำพูน!N534+สุโขทัย!N534+อุตรดิตถ์!N534+อุทัยธานี!N534</f>
        <v>0</v>
      </c>
      <c r="O534" s="168">
        <f t="shared" ca="1" si="87"/>
        <v>0</v>
      </c>
      <c r="P534" s="168"/>
    </row>
    <row r="535" spans="1:16" ht="21.75" customHeight="1" x14ac:dyDescent="0.3">
      <c r="A535" s="156"/>
      <c r="B535" s="157"/>
      <c r="C535" s="157"/>
      <c r="D535" s="166"/>
      <c r="E535" s="159"/>
      <c r="F535" s="159" t="s">
        <v>40</v>
      </c>
      <c r="G535" s="160" t="s">
        <v>41</v>
      </c>
      <c r="H535" s="161" t="s">
        <v>12</v>
      </c>
      <c r="I535" s="162"/>
      <c r="J535" s="162"/>
      <c r="K535" s="163"/>
      <c r="L535" s="165">
        <f ca="1">กำแพงเพชร!L535+เชียงราย!L535+เชียงใหม่!L535+ตาก!L535+นครสวรรค์!L535+น่าน!L535+พะเยา!L535+พิจิตร!L535+พิษณุโลก!L535+เพชรบูรณ์!L535+แพร่!L535+แม่ฮ่องสอน!L535+ลำปาง!L535+ลำพูน!L535+สุโขทัย!L535+อุตรดิตถ์!L535+อุทัยธานี!L535</f>
        <v>595700</v>
      </c>
      <c r="M535" s="165"/>
      <c r="N535" s="168">
        <f ca="1">กำแพงเพชร!N535+เชียงราย!N535+เชียงใหม่!N535+ตาก!N535+นครสวรรค์!N535+น่าน!N535+พะเยา!N535+พิจิตร!N535+พิษณุโลก!N535+เพชรบูรณ์!N535+แพร่!N535+แม่ฮ่องสอน!N535+ลำปาง!N535+ลำพูน!N535+สุโขทัย!N535+อุตรดิตถ์!N535+อุทัยธานี!N535</f>
        <v>394749.23999999987</v>
      </c>
      <c r="O535" s="168">
        <f t="shared" ca="1" si="87"/>
        <v>66.266449555145186</v>
      </c>
      <c r="P535" s="168"/>
    </row>
    <row r="536" spans="1:16" ht="21.75" customHeight="1" x14ac:dyDescent="0.3">
      <c r="A536" s="156"/>
      <c r="B536" s="157"/>
      <c r="C536" s="157"/>
      <c r="D536" s="166"/>
      <c r="E536" s="159"/>
      <c r="F536" s="159"/>
      <c r="G536" s="372" t="s">
        <v>129</v>
      </c>
      <c r="H536" s="161" t="s">
        <v>12</v>
      </c>
      <c r="I536" s="162"/>
      <c r="J536" s="162"/>
      <c r="K536" s="163"/>
      <c r="L536" s="168">
        <f ca="1">กำแพงเพชร!L536+เชียงราย!L536+เชียงใหม่!L536+ตาก!L536+นครสวรรค์!L536+น่าน!L536+พะเยา!L536+พิจิตร!L536+พิษณุโลก!L536+เพชรบูรณ์!L536+แพร่!L536+แม่ฮ่องสอน!L536+ลำปาง!L536+ลำพูน!L536+สุโขทัย!L536+อุตรดิตถ์!L536+อุทัยธานี!L536</f>
        <v>0</v>
      </c>
      <c r="M536" s="168"/>
      <c r="N536" s="168">
        <f ca="1">กำแพงเพชร!N536+เชียงราย!N536+เชียงใหม่!N536+ตาก!N536+นครสวรรค์!N536+น่าน!N536+พะเยา!N536+พิจิตร!N536+พิษณุโลก!N536+เพชรบูรณ์!N536+แพร่!N536+แม่ฮ่องสอน!N536+ลำปาง!N536+ลำพูน!N536+สุโขทัย!N536+อุตรดิตถ์!N536+อุทัยธานี!N536</f>
        <v>0</v>
      </c>
      <c r="O536" s="168">
        <f t="shared" ca="1" si="87"/>
        <v>0</v>
      </c>
      <c r="P536" s="168"/>
    </row>
    <row r="537" spans="1:16" ht="21.75" customHeight="1" x14ac:dyDescent="0.3">
      <c r="A537" s="156"/>
      <c r="B537" s="157"/>
      <c r="C537" s="157"/>
      <c r="D537" s="166"/>
      <c r="E537" s="159"/>
      <c r="F537" s="159"/>
      <c r="G537" s="372" t="s">
        <v>130</v>
      </c>
      <c r="H537" s="161" t="s">
        <v>12</v>
      </c>
      <c r="I537" s="162"/>
      <c r="J537" s="162"/>
      <c r="K537" s="163"/>
      <c r="L537" s="168">
        <f ca="1">กำแพงเพชร!L537+เชียงราย!L537+เชียงใหม่!L537+ตาก!L537+นครสวรรค์!L537+น่าน!L537+พะเยา!L537+พิจิตร!L537+พิษณุโลก!L537+เพชรบูรณ์!L537+แพร่!L537+แม่ฮ่องสอน!L537+ลำปาง!L537+ลำพูน!L537+สุโขทัย!L537+อุตรดิตถ์!L537+อุทัยธานี!L537</f>
        <v>595700</v>
      </c>
      <c r="M537" s="168"/>
      <c r="N537" s="168">
        <f ca="1">กำแพงเพชร!N537+เชียงราย!N537+เชียงใหม่!N537+ตาก!N537+นครสวรรค์!N537+น่าน!N537+พะเยา!N537+พิจิตร!N537+พิษณุโลก!N537+เพชรบูรณ์!N537+แพร่!N537+แม่ฮ่องสอน!N537+ลำปาง!N537+ลำพูน!N537+สุโขทัย!N537+อุตรดิตถ์!N537+อุทัยธานี!N537</f>
        <v>394749.23999999987</v>
      </c>
      <c r="O537" s="168">
        <f t="shared" ca="1" si="87"/>
        <v>66.266449555145186</v>
      </c>
      <c r="P537" s="168"/>
    </row>
    <row r="538" spans="1:16" ht="21.75" customHeight="1" x14ac:dyDescent="0.3">
      <c r="A538" s="373"/>
      <c r="B538" s="374"/>
      <c r="C538" s="157"/>
      <c r="D538" s="375"/>
      <c r="E538" s="159"/>
      <c r="F538" s="159"/>
      <c r="G538" s="376" t="s">
        <v>131</v>
      </c>
      <c r="H538" s="161" t="s">
        <v>12</v>
      </c>
      <c r="I538" s="187"/>
      <c r="J538" s="187"/>
      <c r="K538" s="223"/>
      <c r="L538" s="168"/>
      <c r="M538" s="168"/>
      <c r="N538" s="377">
        <f ca="1">กำแพงเพชร!N538+เชียงราย!N538+เชียงใหม่!N538+ตาก!N538+นครสวรรค์!N538+น่าน!N538+พะเยา!N538+พิจิตร!N538+พิษณุโลก!N538+เพชรบูรณ์!N538+แพร่!N538+แม่ฮ่องสอน!N538+ลำปาง!N538+ลำพูน!N538+สุโขทัย!N538+อุตรดิตถ์!N538+อุทัยธานี!N538</f>
        <v>326374</v>
      </c>
      <c r="O538" s="168"/>
      <c r="P538" s="168"/>
    </row>
    <row r="539" spans="1:16" ht="21.75" customHeight="1" x14ac:dyDescent="0.3">
      <c r="A539" s="373"/>
      <c r="B539" s="374"/>
      <c r="C539" s="157"/>
      <c r="D539" s="375"/>
      <c r="E539" s="159"/>
      <c r="F539" s="159"/>
      <c r="G539" s="376" t="s">
        <v>132</v>
      </c>
      <c r="H539" s="161" t="s">
        <v>12</v>
      </c>
      <c r="I539" s="187"/>
      <c r="J539" s="187"/>
      <c r="K539" s="223"/>
      <c r="L539" s="168"/>
      <c r="M539" s="168"/>
      <c r="N539" s="377">
        <f ca="1">กำแพงเพชร!N539+เชียงราย!N539+เชียงใหม่!N539+ตาก!N539+นครสวรรค์!N539+น่าน!N539+พะเยา!N539+พิจิตร!N539+พิษณุโลก!N539+เพชรบูรณ์!N539+แพร่!N539+แม่ฮ่องสอน!N539+ลำปาง!N539+ลำพูน!N539+สุโขทัย!N539+อุตรดิตถ์!N539+อุทัยธานี!N539</f>
        <v>0</v>
      </c>
      <c r="O539" s="168"/>
      <c r="P539" s="168"/>
    </row>
    <row r="540" spans="1:16" ht="21.75" customHeight="1" x14ac:dyDescent="0.3">
      <c r="A540" s="373"/>
      <c r="B540" s="374"/>
      <c r="C540" s="157"/>
      <c r="D540" s="375"/>
      <c r="E540" s="159"/>
      <c r="F540" s="159"/>
      <c r="G540" s="376" t="s">
        <v>133</v>
      </c>
      <c r="H540" s="161" t="s">
        <v>12</v>
      </c>
      <c r="I540" s="187"/>
      <c r="J540" s="187"/>
      <c r="K540" s="223"/>
      <c r="L540" s="168"/>
      <c r="M540" s="168"/>
      <c r="N540" s="377">
        <f ca="1">กำแพงเพชร!N540+เชียงราย!N540+เชียงใหม่!N540+ตาก!N540+นครสวรรค์!N540+น่าน!N540+พะเยา!N540+พิจิตร!N540+พิษณุโลก!N540+เพชรบูรณ์!N540+แพร่!N540+แม่ฮ่องสอน!N540+ลำปาง!N540+ลำพูน!N540+สุโขทัย!N540+อุตรดิตถ์!N540+อุทัยธานี!N540</f>
        <v>0</v>
      </c>
      <c r="O540" s="168"/>
      <c r="P540" s="168"/>
    </row>
    <row r="541" spans="1:16" ht="21.75" customHeight="1" x14ac:dyDescent="0.3">
      <c r="A541" s="373"/>
      <c r="B541" s="374"/>
      <c r="C541" s="157"/>
      <c r="D541" s="375"/>
      <c r="E541" s="159"/>
      <c r="F541" s="159"/>
      <c r="G541" s="376" t="s">
        <v>134</v>
      </c>
      <c r="H541" s="161" t="s">
        <v>12</v>
      </c>
      <c r="I541" s="187"/>
      <c r="J541" s="187"/>
      <c r="K541" s="223"/>
      <c r="L541" s="168"/>
      <c r="M541" s="168"/>
      <c r="N541" s="377">
        <f ca="1">กำแพงเพชร!N541+เชียงราย!N541+เชียงใหม่!N541+ตาก!N541+นครสวรรค์!N541+น่าน!N541+พะเยา!N541+พิจิตร!N541+พิษณุโลก!N541+เพชรบูรณ์!N541+แพร่!N541+แม่ฮ่องสอน!N541+ลำปาง!N541+ลำพูน!N541+สุโขทัย!N541+อุตรดิตถ์!N541+อุทัยธานี!N541</f>
        <v>68375.239999999991</v>
      </c>
      <c r="O541" s="168"/>
      <c r="P541" s="168"/>
    </row>
    <row r="542" spans="1:16" ht="21.75" customHeight="1" x14ac:dyDescent="0.3">
      <c r="A542" s="175"/>
      <c r="B542" s="176"/>
      <c r="C542" s="157" t="s">
        <v>16</v>
      </c>
      <c r="D542" s="177" t="s">
        <v>44</v>
      </c>
      <c r="E542" s="178"/>
      <c r="F542" s="178"/>
      <c r="G542" s="179"/>
      <c r="H542" s="180"/>
      <c r="I542" s="162"/>
      <c r="J542" s="162"/>
      <c r="K542" s="163"/>
      <c r="L542" s="181"/>
      <c r="M542" s="181"/>
      <c r="N542" s="181"/>
      <c r="O542" s="181"/>
      <c r="P542" s="181"/>
    </row>
    <row r="543" spans="1:16" ht="21.75" customHeight="1" x14ac:dyDescent="0.3">
      <c r="A543" s="175"/>
      <c r="B543" s="176"/>
      <c r="C543" s="176"/>
      <c r="D543" s="182">
        <v>1</v>
      </c>
      <c r="E543" s="183" t="s">
        <v>45</v>
      </c>
      <c r="F543" s="184"/>
      <c r="G543" s="185"/>
      <c r="H543" s="186"/>
      <c r="I543" s="187"/>
      <c r="J543" s="197">
        <f ca="1">กำแพงเพชร!J543+เชียงราย!J543+เชียงใหม่!J543+ตาก!J543+นครสวรรค์!J543+น่าน!J543+พะเยา!J543+พิจิตร!J543+พิษณุโลก!J543+เพชรบูรณ์!J543+แพร่!J543+แม่ฮ่องสอน!J543+ลำปาง!J543+ลำพูน!J543+สุโขทัย!J543+อุตรดิตถ์!J543+อุทัยธานี!J543</f>
        <v>0</v>
      </c>
      <c r="K543" s="163"/>
      <c r="L543" s="181"/>
      <c r="M543" s="181"/>
      <c r="N543" s="181"/>
      <c r="O543" s="181"/>
      <c r="P543" s="181"/>
    </row>
    <row r="544" spans="1:16" ht="21.75" customHeight="1" x14ac:dyDescent="0.3">
      <c r="A544" s="175"/>
      <c r="B544" s="176"/>
      <c r="C544" s="176"/>
      <c r="D544" s="189">
        <v>2</v>
      </c>
      <c r="E544" s="190" t="s">
        <v>46</v>
      </c>
      <c r="F544" s="191"/>
      <c r="G544" s="192"/>
      <c r="H544" s="186"/>
      <c r="I544" s="187"/>
      <c r="J544" s="188">
        <f ca="1">กำแพงเพชร!J544+เชียงราย!J544+เชียงใหม่!J544+ตาก!J544+นครสวรรค์!J544+น่าน!J544+พะเยา!J544+พิจิตร!J544+พิษณุโลก!J544+เพชรบูรณ์!J544+แพร่!J544+แม่ฮ่องสอน!J544+ลำปาง!J544+ลำพูน!J544+สุโขทัย!J544+อุตรดิตถ์!J544+อุทัยธานี!J544</f>
        <v>17</v>
      </c>
      <c r="K544" s="163"/>
      <c r="L544" s="181" t="s">
        <v>40</v>
      </c>
      <c r="M544" s="181"/>
      <c r="N544" s="181" t="s">
        <v>40</v>
      </c>
      <c r="O544" s="181"/>
      <c r="P544" s="181"/>
    </row>
    <row r="545" spans="1:16" ht="21.75" customHeight="1" x14ac:dyDescent="0.3">
      <c r="A545" s="175"/>
      <c r="B545" s="176"/>
      <c r="C545" s="176"/>
      <c r="D545" s="193"/>
      <c r="E545" s="194" t="s">
        <v>47</v>
      </c>
      <c r="F545" s="195"/>
      <c r="G545" s="196"/>
      <c r="H545" s="186"/>
      <c r="I545" s="187"/>
      <c r="J545" s="188">
        <f ca="1">กำแพงเพชร!J545+เชียงราย!J545+เชียงใหม่!J545+ตาก!J545+นครสวรรค์!J545+น่าน!J545+พะเยา!J545+พิจิตร!J545+พิษณุโลก!J545+เพชรบูรณ์!J545+แพร่!J545+แม่ฮ่องสอน!J545+ลำปาง!J545+ลำพูน!J545+สุโขทัย!J545+อุตรดิตถ์!J545+อุทัยธานี!J545</f>
        <v>17</v>
      </c>
      <c r="K545" s="163"/>
      <c r="L545" s="181"/>
      <c r="M545" s="181"/>
      <c r="N545" s="181"/>
      <c r="O545" s="181"/>
      <c r="P545" s="181"/>
    </row>
    <row r="546" spans="1:16" ht="21.75" customHeight="1" x14ac:dyDescent="0.3">
      <c r="A546" s="175"/>
      <c r="B546" s="176"/>
      <c r="C546" s="176"/>
      <c r="D546" s="193"/>
      <c r="E546" s="194" t="s">
        <v>48</v>
      </c>
      <c r="F546" s="195"/>
      <c r="G546" s="196"/>
      <c r="H546" s="186"/>
      <c r="I546" s="187"/>
      <c r="J546" s="197">
        <f ca="1">กำแพงเพชร!J546+เชียงราย!J546+เชียงใหม่!J546+ตาก!J546+นครสวรรค์!J546+น่าน!J546+พะเยา!J546+พิจิตร!J546+พิษณุโลก!J546+เพชรบูรณ์!J546+แพร่!J546+แม่ฮ่องสอน!J546+ลำปาง!J546+ลำพูน!J546+สุโขทัย!J546+อุตรดิตถ์!J546+อุทัยธานี!J546</f>
        <v>17</v>
      </c>
      <c r="K546" s="163"/>
      <c r="L546" s="181"/>
      <c r="M546" s="181"/>
      <c r="N546" s="181"/>
      <c r="O546" s="181"/>
      <c r="P546" s="181"/>
    </row>
    <row r="547" spans="1:16" ht="21.75" customHeight="1" x14ac:dyDescent="0.3">
      <c r="A547" s="175"/>
      <c r="B547" s="176"/>
      <c r="C547" s="176"/>
      <c r="D547" s="193"/>
      <c r="E547" s="198"/>
      <c r="F547" s="195"/>
      <c r="G547" s="225" t="s">
        <v>203</v>
      </c>
      <c r="H547" s="186" t="s">
        <v>37</v>
      </c>
      <c r="I547" s="203">
        <f ca="1">กำแพงเพชร!I547+เชียงราย!I547+เชียงใหม่!I547+ตาก!I547+นครสวรรค์!I547+น่าน!I547+พะเยา!I547+พิจิตร!I547+พิษณุโลก!I547+เพชรบูรณ์!I547+แพร่!I547+แม่ฮ่องสอน!I547+ลำปาง!I547+ลำพูน!I547+สุโขทัย!I547+อุตรดิตถ์!I547+อุทัยธานี!I547</f>
        <v>388</v>
      </c>
      <c r="J547" s="188">
        <f ca="1">กำแพงเพชร!J547+เชียงราย!J547+เชียงใหม่!J547+ตาก!J547+นครสวรรค์!J547+น่าน!J547+พะเยา!J547+พิจิตร!J547+พิษณุโลก!J547+เพชรบูรณ์!J547+แพร่!J547+แม่ฮ่องสอน!J547+ลำปาง!J547+ลำพูน!J547+สุโขทัย!J547+อุตรดิตถ์!J547+อุทัยธานี!J547</f>
        <v>388</v>
      </c>
      <c r="K547" s="163">
        <f t="shared" ref="K547:K548" ca="1" si="88">IF(I547&gt;0,J547*100/I547,0)</f>
        <v>100</v>
      </c>
      <c r="L547" s="181"/>
      <c r="M547" s="181"/>
      <c r="N547" s="181"/>
      <c r="O547" s="181"/>
      <c r="P547" s="181"/>
    </row>
    <row r="548" spans="1:16" ht="21.75" hidden="1" customHeight="1" x14ac:dyDescent="0.3">
      <c r="A548" s="175"/>
      <c r="B548" s="176"/>
      <c r="C548" s="176"/>
      <c r="D548" s="193"/>
      <c r="E548" s="198"/>
      <c r="F548" s="195"/>
      <c r="G548" s="225" t="s">
        <v>204</v>
      </c>
      <c r="H548" s="186" t="s">
        <v>37</v>
      </c>
      <c r="I548" s="339">
        <f ca="1">IFERROR(__xludf.DUMMYFUNCTION("IMPORTRANGE(""https://docs.google.com/spreadsheets/d/1C3CXT74ZlgGe6_JY_1olB1XN4rF0dxEuIIF-xsYjHgg/edit?usp=sharing"",""งบกองทุน!dr63"")"),0)</f>
        <v>0</v>
      </c>
      <c r="J548" s="197">
        <f ca="1">กำแพงเพชร!J548+เชียงราย!J548+เชียงใหม่!J548+ตาก!J548+นครสวรรค์!J548+น่าน!J548+พะเยา!J548+พิจิตร!J548+พิษณุโลก!J548+เพชรบูรณ์!J548+แพร่!J548+แม่ฮ่องสอน!J548+ลำปาง!J548+ลำพูน!J548+สุโขทัย!J548+อุตรดิตถ์!J548+อุทัยธานี!J548</f>
        <v>0</v>
      </c>
      <c r="K548" s="163">
        <f t="shared" ca="1" si="88"/>
        <v>0</v>
      </c>
      <c r="L548" s="181"/>
      <c r="M548" s="181"/>
      <c r="N548" s="181"/>
      <c r="O548" s="181"/>
      <c r="P548" s="181"/>
    </row>
    <row r="549" spans="1:16" ht="21.75" customHeight="1" x14ac:dyDescent="0.3">
      <c r="A549" s="175"/>
      <c r="B549" s="176"/>
      <c r="C549" s="176"/>
      <c r="D549" s="193"/>
      <c r="E549" s="194" t="s">
        <v>54</v>
      </c>
      <c r="F549" s="195"/>
      <c r="G549" s="196"/>
      <c r="H549" s="186"/>
      <c r="I549" s="187"/>
      <c r="J549" s="197">
        <f ca="1">กำแพงเพชร!J549+เชียงราย!J549+เชียงใหม่!J549+ตาก!J549+นครสวรรค์!J549+น่าน!J549+พะเยา!J549+พิจิตร!J549+พิษณุโลก!J549+เพชรบูรณ์!J549+แพร่!J549+แม่ฮ่องสอน!J549+ลำปาง!J549+ลำพูน!J549+สุโขทัย!J549+อุตรดิตถ์!J549+อุทัยธานี!J549</f>
        <v>2</v>
      </c>
      <c r="K549" s="163"/>
      <c r="L549" s="181"/>
      <c r="M549" s="181"/>
      <c r="N549" s="181"/>
      <c r="O549" s="181"/>
      <c r="P549" s="181"/>
    </row>
    <row r="550" spans="1:16" ht="21.75" customHeight="1" x14ac:dyDescent="0.3">
      <c r="A550" s="457"/>
      <c r="B550" s="458"/>
      <c r="C550" s="458"/>
      <c r="D550" s="467">
        <v>3</v>
      </c>
      <c r="E550" s="468" t="s">
        <v>55</v>
      </c>
      <c r="F550" s="469"/>
      <c r="G550" s="470"/>
      <c r="H550" s="471"/>
      <c r="I550" s="463"/>
      <c r="J550" s="472">
        <f ca="1">กำแพงเพชร!J550+เชียงราย!J550+เชียงใหม่!J550+ตาก!J550+นครสวรรค์!J550+น่าน!J550+พะเยา!J550+พิจิตร!J550+พิษณุโลก!J550+เพชรบูรณ์!J550+แพร่!J550+แม่ฮ่องสอน!J550+ลำปาง!J550+ลำพูน!J550+สุโขทัย!J550+อุตรดิตถ์!J550+อุทัยธานี!J550</f>
        <v>0</v>
      </c>
      <c r="K550" s="465"/>
      <c r="L550" s="466"/>
      <c r="M550" s="466"/>
      <c r="N550" s="466"/>
      <c r="O550" s="466"/>
      <c r="P550" s="466"/>
    </row>
    <row r="551" spans="1:16" ht="21.75" customHeight="1" x14ac:dyDescent="0.3">
      <c r="A551" s="403"/>
      <c r="B551" s="404">
        <v>7</v>
      </c>
      <c r="C551" s="405" t="s">
        <v>205</v>
      </c>
      <c r="D551" s="405"/>
      <c r="E551" s="405"/>
      <c r="F551" s="405"/>
      <c r="G551" s="406"/>
      <c r="H551" s="407" t="s">
        <v>122</v>
      </c>
      <c r="I551" s="408">
        <f ca="1">กำแพงเพชร!I551+เชียงราย!I551+เชียงใหม่!I551+ตาก!I551+นครสวรรค์!I551+น่าน!I551+พะเยา!I551+พิจิตร!I551+พิษณุโลก!I551+เพชรบูรณ์!I551+แพร่!I551+แม่ฮ่องสอน!I551+ลำปาง!I551+ลำพูน!I551+สุโขทัย!I551+อุตรดิตถ์!I551+อุทัยธานี!I551</f>
        <v>25000</v>
      </c>
      <c r="J551" s="408">
        <f ca="1">กำแพงเพชร!J551+เชียงราย!J551+เชียงใหม่!J551+ตาก!J551+นครสวรรค์!J551+น่าน!J551+พะเยา!J551+พิจิตร!J551+พิษณุโลก!J551+เพชรบูรณ์!J551+แพร่!J551+แม่ฮ่องสอน!J551+ลำปาง!J551+ลำพูน!J551+สุโขทัย!J551+อุตรดิตถ์!J551+อุทัยธานี!J551</f>
        <v>2385</v>
      </c>
      <c r="K551" s="409">
        <f ca="1">IF(I551&gt;0,J551*100/I551,0)</f>
        <v>9.5399999999999991</v>
      </c>
      <c r="L551" s="410">
        <f ca="1">กำแพงเพชร!L551+เชียงราย!L551+เชียงใหม่!L551+ตาก!L551+นครสวรรค์!L551+น่าน!L551+พะเยา!L551+พิจิตร!L551+พิษณุโลก!L551+เพชรบูรณ์!L551+แพร่!L551+แม่ฮ่องสอน!L551+ลำปาง!L551+ลำพูน!L551+สุโขทัย!L551+อุตรดิตถ์!L551+อุทัยธานี!L551</f>
        <v>1530000</v>
      </c>
      <c r="M551" s="410"/>
      <c r="N551" s="410">
        <f ca="1">กำแพงเพชร!N551+เชียงราย!N551+เชียงใหม่!N551+ตาก!N551+นครสวรรค์!N551+น่าน!N551+พะเยา!N551+พิจิตร!N551+พิษณุโลก!N551+เพชรบูรณ์!N551+แพร่!N551+แม่ฮ่องสอน!N551+ลำปาง!N551+ลำพูน!N551+สุโขทัย!N551+อุตรดิตถ์!N551+อุทัยธานี!N551</f>
        <v>153714.42000000001</v>
      </c>
      <c r="O551" s="410">
        <f t="shared" ref="O551:O555" ca="1" si="89">+IF(L551&gt;0,N551*100/L551,0)</f>
        <v>10.046694117647061</v>
      </c>
      <c r="P551" s="410"/>
    </row>
    <row r="552" spans="1:16" ht="21.75" customHeight="1" x14ac:dyDescent="0.3">
      <c r="A552" s="156"/>
      <c r="B552" s="157"/>
      <c r="C552" s="157" t="s">
        <v>16</v>
      </c>
      <c r="D552" s="158" t="s">
        <v>38</v>
      </c>
      <c r="E552" s="159"/>
      <c r="F552" s="159"/>
      <c r="G552" s="160" t="s">
        <v>39</v>
      </c>
      <c r="H552" s="161" t="s">
        <v>12</v>
      </c>
      <c r="I552" s="162" t="s">
        <v>40</v>
      </c>
      <c r="J552" s="162"/>
      <c r="K552" s="163"/>
      <c r="L552" s="164">
        <f ca="1">กำแพงเพชร!L552+เชียงราย!L552+เชียงใหม่!L552+ตาก!L552+นครสวรรค์!L552+น่าน!L552+พะเยา!L552+พิจิตร!L552+พิษณุโลก!L552+เพชรบูรณ์!L552+แพร่!L552+แม่ฮ่องสอน!L552+ลำปาง!L552+ลำพูน!L552+สุโขทัย!L552+อุตรดิตถ์!L552+อุทัยธานี!L552</f>
        <v>0</v>
      </c>
      <c r="M552" s="164"/>
      <c r="N552" s="168">
        <f ca="1">กำแพงเพชร!N552+เชียงราย!N552+เชียงใหม่!N552+ตาก!N552+นครสวรรค์!N552+น่าน!N552+พะเยา!N552+พิจิตร!N552+พิษณุโลก!N552+เพชรบูรณ์!N552+แพร่!N552+แม่ฮ่องสอน!N552+ลำปาง!N552+ลำพูน!N552+สุโขทัย!N552+อุตรดิตถ์!N552+อุทัยธานี!N552</f>
        <v>0</v>
      </c>
      <c r="O552" s="168">
        <f t="shared" ca="1" si="89"/>
        <v>0</v>
      </c>
      <c r="P552" s="168"/>
    </row>
    <row r="553" spans="1:16" ht="21.75" customHeight="1" x14ac:dyDescent="0.3">
      <c r="A553" s="156"/>
      <c r="B553" s="157"/>
      <c r="C553" s="157"/>
      <c r="D553" s="166"/>
      <c r="E553" s="159"/>
      <c r="F553" s="159" t="s">
        <v>40</v>
      </c>
      <c r="G553" s="160" t="s">
        <v>41</v>
      </c>
      <c r="H553" s="161" t="s">
        <v>12</v>
      </c>
      <c r="I553" s="162"/>
      <c r="J553" s="162"/>
      <c r="K553" s="163"/>
      <c r="L553" s="165">
        <f ca="1">กำแพงเพชร!L553+เชียงราย!L553+เชียงใหม่!L553+ตาก!L553+นครสวรรค์!L553+น่าน!L553+พะเยา!L553+พิจิตร!L553+พิษณุโลก!L553+เพชรบูรณ์!L553+แพร่!L553+แม่ฮ่องสอน!L553+ลำปาง!L553+ลำพูน!L553+สุโขทัย!L553+อุตรดิตถ์!L553+อุทัยธานี!L553</f>
        <v>1530000</v>
      </c>
      <c r="M553" s="165"/>
      <c r="N553" s="168">
        <f ca="1">กำแพงเพชร!N553+เชียงราย!N553+เชียงใหม่!N553+ตาก!N553+นครสวรรค์!N553+น่าน!N553+พะเยา!N553+พิจิตร!N553+พิษณุโลก!N553+เพชรบูรณ์!N553+แพร่!N553+แม่ฮ่องสอน!N553+ลำปาง!N553+ลำพูน!N553+สุโขทัย!N553+อุตรดิตถ์!N553+อุทัยธานี!N553</f>
        <v>153714.42000000001</v>
      </c>
      <c r="O553" s="168">
        <f t="shared" ca="1" si="89"/>
        <v>10.046694117647061</v>
      </c>
      <c r="P553" s="168"/>
    </row>
    <row r="554" spans="1:16" ht="21.75" customHeight="1" x14ac:dyDescent="0.3">
      <c r="A554" s="156"/>
      <c r="B554" s="157"/>
      <c r="C554" s="157"/>
      <c r="D554" s="166"/>
      <c r="E554" s="159"/>
      <c r="F554" s="159"/>
      <c r="G554" s="372" t="s">
        <v>129</v>
      </c>
      <c r="H554" s="161" t="s">
        <v>12</v>
      </c>
      <c r="I554" s="162"/>
      <c r="J554" s="162"/>
      <c r="K554" s="163"/>
      <c r="L554" s="168">
        <f ca="1">กำแพงเพชร!L554+เชียงราย!L554+เชียงใหม่!L554+ตาก!L554+นครสวรรค์!L554+น่าน!L554+พะเยา!L554+พิจิตร!L554+พิษณุโลก!L554+เพชรบูรณ์!L554+แพร่!L554+แม่ฮ่องสอน!L554+ลำปาง!L554+ลำพูน!L554+สุโขทัย!L554+อุตรดิตถ์!L554+อุทัยธานี!L554</f>
        <v>0</v>
      </c>
      <c r="M554" s="168"/>
      <c r="N554" s="168">
        <f ca="1">กำแพงเพชร!N554+เชียงราย!N554+เชียงใหม่!N554+ตาก!N554+นครสวรรค์!N554+น่าน!N554+พะเยา!N554+พิจิตร!N554+พิษณุโลก!N554+เพชรบูรณ์!N554+แพร่!N554+แม่ฮ่องสอน!N554+ลำปาง!N554+ลำพูน!N554+สุโขทัย!N554+อุตรดิตถ์!N554+อุทัยธานี!N554</f>
        <v>0</v>
      </c>
      <c r="O554" s="168">
        <f t="shared" ca="1" si="89"/>
        <v>0</v>
      </c>
      <c r="P554" s="168"/>
    </row>
    <row r="555" spans="1:16" ht="21.75" customHeight="1" x14ac:dyDescent="0.3">
      <c r="A555" s="156"/>
      <c r="B555" s="157"/>
      <c r="C555" s="157"/>
      <c r="D555" s="166"/>
      <c r="E555" s="159"/>
      <c r="F555" s="159"/>
      <c r="G555" s="372" t="s">
        <v>130</v>
      </c>
      <c r="H555" s="161" t="s">
        <v>12</v>
      </c>
      <c r="I555" s="162"/>
      <c r="J555" s="162"/>
      <c r="K555" s="163"/>
      <c r="L555" s="168">
        <f ca="1">กำแพงเพชร!L555+เชียงราย!L555+เชียงใหม่!L555+ตาก!L555+นครสวรรค์!L555+น่าน!L555+พะเยา!L555+พิจิตร!L555+พิษณุโลก!L555+เพชรบูรณ์!L555+แพร่!L555+แม่ฮ่องสอน!L555+ลำปาง!L555+ลำพูน!L555+สุโขทัย!L555+อุตรดิตถ์!L555+อุทัยธานี!L555</f>
        <v>1530000</v>
      </c>
      <c r="M555" s="168"/>
      <c r="N555" s="168">
        <f ca="1">กำแพงเพชร!N555+เชียงราย!N555+เชียงใหม่!N555+ตาก!N555+นครสวรรค์!N555+น่าน!N555+พะเยา!N555+พิจิตร!N555+พิษณุโลก!N555+เพชรบูรณ์!N555+แพร่!N555+แม่ฮ่องสอน!N555+ลำปาง!N555+ลำพูน!N555+สุโขทัย!N555+อุตรดิตถ์!N555+อุทัยธานี!N555</f>
        <v>153714.42000000001</v>
      </c>
      <c r="O555" s="168">
        <f t="shared" ca="1" si="89"/>
        <v>10.046694117647061</v>
      </c>
      <c r="P555" s="168"/>
    </row>
    <row r="556" spans="1:16" ht="21.75" customHeight="1" x14ac:dyDescent="0.3">
      <c r="A556" s="373"/>
      <c r="B556" s="374"/>
      <c r="C556" s="157"/>
      <c r="D556" s="375"/>
      <c r="E556" s="159"/>
      <c r="F556" s="159"/>
      <c r="G556" s="376" t="s">
        <v>131</v>
      </c>
      <c r="H556" s="161" t="s">
        <v>12</v>
      </c>
      <c r="I556" s="187"/>
      <c r="J556" s="187"/>
      <c r="K556" s="223"/>
      <c r="L556" s="168"/>
      <c r="M556" s="168"/>
      <c r="N556" s="167">
        <f ca="1">กำแพงเพชร!N556+เชียงราย!N556+เชียงใหม่!N556+ตาก!N556+นครสวรรค์!N556+น่าน!N556+พะเยา!N556+พิจิตร!N556+พิษณุโลก!N556+เพชรบูรณ์!N556+แพร่!N556+แม่ฮ่องสอน!N556+ลำปาง!N556+ลำพูน!N556+สุโขทัย!N556+อุตรดิตถ์!N556+อุทัยธานี!N556</f>
        <v>0</v>
      </c>
      <c r="O556" s="168"/>
      <c r="P556" s="168"/>
    </row>
    <row r="557" spans="1:16" ht="21.75" customHeight="1" x14ac:dyDescent="0.3">
      <c r="A557" s="373"/>
      <c r="B557" s="374"/>
      <c r="C557" s="157"/>
      <c r="D557" s="375"/>
      <c r="E557" s="159"/>
      <c r="F557" s="159"/>
      <c r="G557" s="376" t="s">
        <v>132</v>
      </c>
      <c r="H557" s="161" t="s">
        <v>12</v>
      </c>
      <c r="I557" s="187"/>
      <c r="J557" s="187"/>
      <c r="K557" s="223"/>
      <c r="L557" s="168"/>
      <c r="M557" s="168"/>
      <c r="N557" s="167">
        <f ca="1">กำแพงเพชร!N557+เชียงราย!N557+เชียงใหม่!N557+ตาก!N557+นครสวรรค์!N557+น่าน!N557+พะเยา!N557+พิจิตร!N557+พิษณุโลก!N557+เพชรบูรณ์!N557+แพร่!N557+แม่ฮ่องสอน!N557+ลำปาง!N557+ลำพูน!N557+สุโขทัย!N557+อุตรดิตถ์!N557+อุทัยธานี!N557</f>
        <v>0</v>
      </c>
      <c r="O557" s="168"/>
      <c r="P557" s="168"/>
    </row>
    <row r="558" spans="1:16" ht="21.75" customHeight="1" x14ac:dyDescent="0.3">
      <c r="A558" s="373"/>
      <c r="B558" s="374"/>
      <c r="C558" s="157"/>
      <c r="D558" s="375"/>
      <c r="E558" s="159"/>
      <c r="F558" s="159"/>
      <c r="G558" s="376" t="s">
        <v>133</v>
      </c>
      <c r="H558" s="161" t="s">
        <v>12</v>
      </c>
      <c r="I558" s="187"/>
      <c r="J558" s="187"/>
      <c r="K558" s="223"/>
      <c r="L558" s="168"/>
      <c r="M558" s="168"/>
      <c r="N558" s="167">
        <f ca="1">กำแพงเพชร!N558+เชียงราย!N558+เชียงใหม่!N558+ตาก!N558+นครสวรรค์!N558+น่าน!N558+พะเยา!N558+พิจิตร!N558+พิษณุโลก!N558+เพชรบูรณ์!N558+แพร่!N558+แม่ฮ่องสอน!N558+ลำปาง!N558+ลำพูน!N558+สุโขทัย!N558+อุตรดิตถ์!N558+อุทัยธานี!N558</f>
        <v>20800</v>
      </c>
      <c r="O558" s="168"/>
      <c r="P558" s="168"/>
    </row>
    <row r="559" spans="1:16" ht="21.75" customHeight="1" x14ac:dyDescent="0.3">
      <c r="A559" s="373"/>
      <c r="B559" s="374"/>
      <c r="C559" s="157"/>
      <c r="D559" s="375"/>
      <c r="E559" s="159"/>
      <c r="F559" s="159"/>
      <c r="G559" s="376" t="s">
        <v>134</v>
      </c>
      <c r="H559" s="161" t="s">
        <v>12</v>
      </c>
      <c r="I559" s="187"/>
      <c r="J559" s="187"/>
      <c r="K559" s="223"/>
      <c r="L559" s="168"/>
      <c r="M559" s="168"/>
      <c r="N559" s="167">
        <f ca="1">กำแพงเพชร!N559+เชียงราย!N559+เชียงใหม่!N559+ตาก!N559+นครสวรรค์!N559+น่าน!N559+พะเยา!N559+พิจิตร!N559+พิษณุโลก!N559+เพชรบูรณ์!N559+แพร่!N559+แม่ฮ่องสอน!N559+ลำปาง!N559+ลำพูน!N559+สุโขทัย!N559+อุตรดิตถ์!N559+อุทัยธานี!N559</f>
        <v>132914.41999999998</v>
      </c>
      <c r="O559" s="168"/>
      <c r="P559" s="168"/>
    </row>
    <row r="560" spans="1:16" ht="21.75" customHeight="1" x14ac:dyDescent="0.3">
      <c r="A560" s="175"/>
      <c r="B560" s="176"/>
      <c r="C560" s="176"/>
      <c r="D560" s="193"/>
      <c r="E560" s="195"/>
      <c r="F560" s="277" t="s">
        <v>206</v>
      </c>
      <c r="G560" s="196"/>
      <c r="H560" s="473" t="s">
        <v>122</v>
      </c>
      <c r="I560" s="162">
        <f ca="1">กำแพงเพชร!I560+เชียงราย!I560+เชียงใหม่!I560+ตาก!I560+นครสวรรค์!I560+น่าน!I560+พะเยา!I560+พิจิตร!I560+พิษณุโลก!I560+เพชรบูรณ์!I560+แพร่!I560+แม่ฮ่องสอน!I560+ลำปาง!I560+ลำพูน!I560+สุโขทัย!I560+อุตรดิตถ์!I560+อุทัยธานี!I560</f>
        <v>25000</v>
      </c>
      <c r="J560" s="162">
        <f ca="1">กำแพงเพชร!J560+เชียงราย!J560+เชียงใหม่!J560+ตาก!J560+นครสวรรค์!J560+น่าน!J560+พะเยา!J560+พิจิตร!J560+พิษณุโลก!J560+เพชรบูรณ์!J560+แพร่!J560+แม่ฮ่องสอน!J560+ลำปาง!J560+ลำพูน!J560+สุโขทัย!J560+อุตรดิตถ์!J560+อุทัยธานี!J560</f>
        <v>2385</v>
      </c>
      <c r="K560" s="223">
        <f ca="1">กำแพงเพชร!K560+เชียงราย!K560+เชียงใหม่!K560+ตาก!K560+นครสวรรค์!K560+น่าน!K560+พะเยา!K560+พิจิตร!K560+พิษณุโลก!K560+เพชรบูรณ์!K560+แพร่!K560+แม่ฮ่องสอน!K560+ลำปาง!K560+ลำพูน!K560+สุโขทัย!K560+อุตรดิตถ์!K560+อุทัยธานี!K560</f>
        <v>43.997777777777777</v>
      </c>
      <c r="L560" s="168"/>
      <c r="M560" s="168"/>
      <c r="N560" s="168"/>
      <c r="O560" s="181"/>
      <c r="P560" s="181"/>
    </row>
    <row r="561" spans="1:16" ht="21.75" customHeight="1" x14ac:dyDescent="0.3">
      <c r="A561" s="175"/>
      <c r="B561" s="176"/>
      <c r="C561" s="176"/>
      <c r="D561" s="193"/>
      <c r="E561" s="195"/>
      <c r="F561" s="195"/>
      <c r="G561" s="196"/>
      <c r="H561" s="473" t="s">
        <v>36</v>
      </c>
      <c r="I561" s="162">
        <f ca="1">กำแพงเพชร!I561+เชียงราย!I561+เชียงใหม่!I561+ตาก!I561+นครสวรรค์!I561+น่าน!I561+พะเยา!I561+พิจิตร!I561+พิษณุโลก!I561+เพชรบูรณ์!I561+แพร่!I561+แม่ฮ่องสอน!I561+ลำปาง!I561+ลำพูน!I561+สุโขทัย!I561+อุตรดิตถ์!I561+อุทัยธานี!I561</f>
        <v>0</v>
      </c>
      <c r="J561" s="203">
        <f ca="1">กำแพงเพชร!J561+เชียงราย!J561+เชียงใหม่!J561+ตาก!J561+นครสวรรค์!J561+น่าน!J561+พะเยา!J561+พิจิตร!J561+พิษณุโลก!J561+เพชรบูรณ์!J561+แพร่!J561+แม่ฮ่องสอน!J561+ลำปาง!J561+ลำพูน!J561+สุโขทัย!J561+อุตรดิตถ์!J561+อุทัยธานี!J561</f>
        <v>293</v>
      </c>
      <c r="K561" s="223">
        <f ca="1">กำแพงเพชร!K561+เชียงราย!K561+เชียงใหม่!K561+ตาก!K561+นครสวรรค์!K561+น่าน!K561+พะเยา!K561+พิจิตร!K561+พิษณุโลก!K561+เพชรบูรณ์!K561+แพร่!K561+แม่ฮ่องสอน!K561+ลำปาง!K561+ลำพูน!K561+สุโขทัย!K561+อุตรดิตถ์!K561+อุทัยธานี!K561</f>
        <v>0</v>
      </c>
      <c r="L561" s="168"/>
      <c r="M561" s="168"/>
      <c r="N561" s="168"/>
      <c r="O561" s="181"/>
      <c r="P561" s="181"/>
    </row>
    <row r="562" spans="1:16" ht="21.75" customHeight="1" x14ac:dyDescent="0.3">
      <c r="A562" s="175"/>
      <c r="B562" s="176"/>
      <c r="C562" s="176"/>
      <c r="D562" s="193"/>
      <c r="E562" s="195"/>
      <c r="F562" s="195" t="s">
        <v>207</v>
      </c>
      <c r="G562" s="196"/>
      <c r="H562" s="473" t="s">
        <v>122</v>
      </c>
      <c r="I562" s="162" t="str">
        <f ca="1">IFERROR(__xludf.DUMMYFUNCTION("IMPORTRANGE(""https://docs.google.com/spreadsheets/d/1SX6NBoVAgQJ6U1MVXOaj8PK2l7WJ3RER9xtqwdhxkhw/edit?usp=sharing"",""กาญจนบุรี!I457"")"),"")</f>
        <v/>
      </c>
      <c r="J562" s="203" t="str">
        <f ca="1">IFERROR(__xludf.DUMMYFUNCTION("IMPORTRANGE(""https://docs.google.com/spreadsheets/d/1SX6NBoVAgQJ6U1MVXOaj8PK2l7WJ3RER9xtqwdhxkhw/edit?usp=sharing"",""กาญจนบุรี!J457"")"),"")</f>
        <v/>
      </c>
      <c r="K562" s="163"/>
      <c r="L562" s="181"/>
      <c r="M562" s="181"/>
      <c r="N562" s="181"/>
      <c r="O562" s="181"/>
      <c r="P562" s="181"/>
    </row>
    <row r="563" spans="1:16" ht="21.75" customHeight="1" x14ac:dyDescent="0.3">
      <c r="A563" s="175"/>
      <c r="B563" s="176"/>
      <c r="C563" s="176"/>
      <c r="D563" s="193"/>
      <c r="E563" s="195"/>
      <c r="F563" s="195"/>
      <c r="G563" s="196"/>
      <c r="H563" s="473" t="s">
        <v>36</v>
      </c>
      <c r="I563" s="162" t="str">
        <f ca="1">IFERROR(__xludf.DUMMYFUNCTION("IMPORTRANGE(""https://docs.google.com/spreadsheets/d/1SX6NBoVAgQJ6U1MVXOaj8PK2l7WJ3RER9xtqwdhxkhw/edit?usp=sharing"",""กาญจนบุรี!I458"")"),"")</f>
        <v/>
      </c>
      <c r="J563" s="187" t="str">
        <f ca="1">IFERROR(__xludf.DUMMYFUNCTION("IMPORTRANGE(""https://docs.google.com/spreadsheets/d/1SX6NBoVAgQJ6U1MVXOaj8PK2l7WJ3RER9xtqwdhxkhw/edit?usp=sharing"",""กาญจนบุรี!J458"")"),"")</f>
        <v/>
      </c>
      <c r="K563" s="163"/>
      <c r="L563" s="181"/>
      <c r="M563" s="181"/>
      <c r="N563" s="181"/>
      <c r="O563" s="181"/>
      <c r="P563" s="181"/>
    </row>
    <row r="564" spans="1:16" ht="21.75" customHeight="1" x14ac:dyDescent="0.3">
      <c r="A564" s="364"/>
      <c r="B564" s="365">
        <v>8</v>
      </c>
      <c r="C564" s="366" t="s">
        <v>208</v>
      </c>
      <c r="D564" s="366"/>
      <c r="E564" s="366"/>
      <c r="F564" s="366"/>
      <c r="G564" s="367"/>
      <c r="H564" s="368" t="s">
        <v>37</v>
      </c>
      <c r="I564" s="369">
        <f ca="1">กำแพงเพชร!I564+เชียงราย!I564+เชียงใหม่!I564+ตาก!I564+นครสวรรค์!I564+น่าน!I564+พะเยา!I564+พิจิตร!I564+พิษณุโลก!I564+เพชรบูรณ์!I564+แพร่!I564+แม่ฮ่องสอน!I564+ลำปาง!I564+ลำพูน!I564+สุโขทัย!I564+อุตรดิตถ์!I564+อุทัยธานี!I564</f>
        <v>32550</v>
      </c>
      <c r="J564" s="369">
        <f ca="1">กำแพงเพชร!J564+เชียงราย!J564+เชียงใหม่!J564+ตาก!J564+นครสวรรค์!J564+น่าน!J564+พะเยา!J564+พิจิตร!J564+พิษณุโลก!J564+เพชรบูรณ์!J564+แพร่!J564+แม่ฮ่องสอน!J564+ลำปาง!J564+ลำพูน!J564+สุโขทัย!J564+อุตรดิตถ์!J564+อุทัยธานี!J564</f>
        <v>23730</v>
      </c>
      <c r="K564" s="370">
        <f ca="1">IF(I564&gt;0,J564*100/I564,0)</f>
        <v>72.903225806451616</v>
      </c>
      <c r="L564" s="371">
        <f ca="1">กำแพงเพชร!L564+เชียงราย!L564+เชียงใหม่!L564+ตาก!L564+นครสวรรค์!L564+น่าน!L564+พะเยา!L564+พิจิตร!L564+พิษณุโลก!L564+เพชรบูรณ์!L564+แพร่!L564+แม่ฮ่องสอน!L564+ลำปาง!L564+ลำพูน!L564+สุโขทัย!L564+อุตรดิตถ์!L564+อุทัยธานี!L564</f>
        <v>2382160</v>
      </c>
      <c r="M564" s="371"/>
      <c r="N564" s="371">
        <f ca="1">กำแพงเพชร!N564+เชียงราย!N564+เชียงใหม่!N564+ตาก!N564+นครสวรรค์!N564+น่าน!N564+พะเยา!N564+พิจิตร!N564+พิษณุโลก!N564+เพชรบูรณ์!N564+แพร่!N564+แม่ฮ่องสอน!N564+ลำปาง!N564+ลำพูน!N564+สุโขทัย!N564+อุตรดิตถ์!N564+อุทัยธานี!N564</f>
        <v>559421.34</v>
      </c>
      <c r="O564" s="371">
        <f t="shared" ref="O564:O568" ca="1" si="90">+IF(L564&gt;0,N564*100/L564,0)</f>
        <v>23.483785304093765</v>
      </c>
      <c r="P564" s="371"/>
    </row>
    <row r="565" spans="1:16" ht="21.75" customHeight="1" x14ac:dyDescent="0.3">
      <c r="A565" s="156"/>
      <c r="B565" s="157"/>
      <c r="C565" s="157" t="s">
        <v>16</v>
      </c>
      <c r="D565" s="158" t="s">
        <v>38</v>
      </c>
      <c r="E565" s="159"/>
      <c r="F565" s="159"/>
      <c r="G565" s="160" t="s">
        <v>39</v>
      </c>
      <c r="H565" s="161" t="s">
        <v>12</v>
      </c>
      <c r="I565" s="162" t="s">
        <v>40</v>
      </c>
      <c r="J565" s="162"/>
      <c r="K565" s="163"/>
      <c r="L565" s="164">
        <f ca="1">กำแพงเพชร!L565+เชียงราย!L565+เชียงใหม่!L565+ตาก!L565+นครสวรรค์!L565+น่าน!L565+พะเยา!L565+พิจิตร!L565+พิษณุโลก!L565+เพชรบูรณ์!L565+แพร่!L565+แม่ฮ่องสอน!L565+ลำปาง!L565+ลำพูน!L565+สุโขทัย!L565+อุตรดิตถ์!L565+อุทัยธานี!L565</f>
        <v>0</v>
      </c>
      <c r="M565" s="164"/>
      <c r="N565" s="168">
        <f ca="1">กำแพงเพชร!N565+เชียงราย!N565+เชียงใหม่!N565+ตาก!N565+นครสวรรค์!N565+น่าน!N565+พะเยา!N565+พิจิตร!N565+พิษณุโลก!N565+เพชรบูรณ์!N565+แพร่!N565+แม่ฮ่องสอน!N565+ลำปาง!N565+ลำพูน!N565+สุโขทัย!N565+อุตรดิตถ์!N565+อุทัยธานี!N565</f>
        <v>0</v>
      </c>
      <c r="O565" s="168">
        <f t="shared" ca="1" si="90"/>
        <v>0</v>
      </c>
      <c r="P565" s="168"/>
    </row>
    <row r="566" spans="1:16" ht="21.75" customHeight="1" x14ac:dyDescent="0.3">
      <c r="A566" s="156"/>
      <c r="B566" s="157"/>
      <c r="C566" s="157"/>
      <c r="D566" s="166"/>
      <c r="E566" s="159"/>
      <c r="F566" s="159" t="s">
        <v>40</v>
      </c>
      <c r="G566" s="160" t="s">
        <v>41</v>
      </c>
      <c r="H566" s="161" t="s">
        <v>12</v>
      </c>
      <c r="I566" s="162"/>
      <c r="J566" s="162"/>
      <c r="K566" s="163"/>
      <c r="L566" s="165">
        <f ca="1">กำแพงเพชร!L566+เชียงราย!L566+เชียงใหม่!L566+ตาก!L566+นครสวรรค์!L566+น่าน!L566+พะเยา!L566+พิจิตร!L566+พิษณุโลก!L566+เพชรบูรณ์!L566+แพร่!L566+แม่ฮ่องสอน!L566+ลำปาง!L566+ลำพูน!L566+สุโขทัย!L566+อุตรดิตถ์!L566+อุทัยธานี!L566</f>
        <v>2382160</v>
      </c>
      <c r="M566" s="165"/>
      <c r="N566" s="168">
        <f ca="1">กำแพงเพชร!N566+เชียงราย!N566+เชียงใหม่!N566+ตาก!N566+นครสวรรค์!N566+น่าน!N566+พะเยา!N566+พิจิตร!N566+พิษณุโลก!N566+เพชรบูรณ์!N566+แพร่!N566+แม่ฮ่องสอน!N566+ลำปาง!N566+ลำพูน!N566+สุโขทัย!N566+อุตรดิตถ์!N566+อุทัยธานี!N566</f>
        <v>559421.34</v>
      </c>
      <c r="O566" s="168">
        <f t="shared" ca="1" si="90"/>
        <v>23.483785304093765</v>
      </c>
      <c r="P566" s="168"/>
    </row>
    <row r="567" spans="1:16" ht="21.75" customHeight="1" x14ac:dyDescent="0.3">
      <c r="A567" s="156"/>
      <c r="B567" s="157"/>
      <c r="C567" s="157"/>
      <c r="D567" s="166"/>
      <c r="E567" s="159"/>
      <c r="F567" s="159"/>
      <c r="G567" s="372" t="s">
        <v>129</v>
      </c>
      <c r="H567" s="161" t="s">
        <v>12</v>
      </c>
      <c r="I567" s="162"/>
      <c r="J567" s="162"/>
      <c r="K567" s="163"/>
      <c r="L567" s="168">
        <f ca="1">กำแพงเพชร!L567+เชียงราย!L567+เชียงใหม่!L567+ตาก!L567+นครสวรรค์!L567+น่าน!L567+พะเยา!L567+พิจิตร!L567+พิษณุโลก!L567+เพชรบูรณ์!L567+แพร่!L567+แม่ฮ่องสอน!L567+ลำปาง!L567+ลำพูน!L567+สุโขทัย!L567+อุตรดิตถ์!L567+อุทัยธานี!L567</f>
        <v>0</v>
      </c>
      <c r="M567" s="168"/>
      <c r="N567" s="168">
        <f ca="1">กำแพงเพชร!N567+เชียงราย!N567+เชียงใหม่!N567+ตาก!N567+นครสวรรค์!N567+น่าน!N567+พะเยา!N567+พิจิตร!N567+พิษณุโลก!N567+เพชรบูรณ์!N567+แพร่!N567+แม่ฮ่องสอน!N567+ลำปาง!N567+ลำพูน!N567+สุโขทัย!N567+อุตรดิตถ์!N567+อุทัยธานี!N567</f>
        <v>0</v>
      </c>
      <c r="O567" s="168">
        <f t="shared" ca="1" si="90"/>
        <v>0</v>
      </c>
      <c r="P567" s="168"/>
    </row>
    <row r="568" spans="1:16" ht="21.75" customHeight="1" x14ac:dyDescent="0.3">
      <c r="A568" s="156"/>
      <c r="B568" s="157"/>
      <c r="C568" s="157"/>
      <c r="D568" s="166"/>
      <c r="E568" s="159"/>
      <c r="F568" s="159"/>
      <c r="G568" s="372" t="s">
        <v>130</v>
      </c>
      <c r="H568" s="161" t="s">
        <v>12</v>
      </c>
      <c r="I568" s="162"/>
      <c r="J568" s="162"/>
      <c r="K568" s="163"/>
      <c r="L568" s="168">
        <f ca="1">กำแพงเพชร!L568+เชียงราย!L568+เชียงใหม่!L568+ตาก!L568+นครสวรรค์!L568+น่าน!L568+พะเยา!L568+พิจิตร!L568+พิษณุโลก!L568+เพชรบูรณ์!L568+แพร่!L568+แม่ฮ่องสอน!L568+ลำปาง!L568+ลำพูน!L568+สุโขทัย!L568+อุตรดิตถ์!L568+อุทัยธานี!L568</f>
        <v>2382160</v>
      </c>
      <c r="M568" s="168"/>
      <c r="N568" s="168">
        <f ca="1">กำแพงเพชร!N568+เชียงราย!N568+เชียงใหม่!N568+ตาก!N568+นครสวรรค์!N568+น่าน!N568+พะเยา!N568+พิจิตร!N568+พิษณุโลก!N568+เพชรบูรณ์!N568+แพร่!N568+แม่ฮ่องสอน!N568+ลำปาง!N568+ลำพูน!N568+สุโขทัย!N568+อุตรดิตถ์!N568+อุทัยธานี!N568</f>
        <v>559421.34</v>
      </c>
      <c r="O568" s="168">
        <f t="shared" ca="1" si="90"/>
        <v>23.483785304093765</v>
      </c>
      <c r="P568" s="168"/>
    </row>
    <row r="569" spans="1:16" ht="21.75" customHeight="1" x14ac:dyDescent="0.3">
      <c r="A569" s="373"/>
      <c r="B569" s="374"/>
      <c r="C569" s="157"/>
      <c r="D569" s="375"/>
      <c r="E569" s="159"/>
      <c r="F569" s="159"/>
      <c r="G569" s="376" t="s">
        <v>131</v>
      </c>
      <c r="H569" s="161" t="s">
        <v>12</v>
      </c>
      <c r="I569" s="187"/>
      <c r="J569" s="187"/>
      <c r="K569" s="223"/>
      <c r="L569" s="168"/>
      <c r="M569" s="168"/>
      <c r="N569" s="167">
        <f ca="1">กำแพงเพชร!N569+เชียงราย!N569+เชียงใหม่!N569+ตาก!N569+นครสวรรค์!N569+น่าน!N569+พะเยา!N569+พิจิตร!N569+พิษณุโลก!N569+เพชรบูรณ์!N569+แพร่!N569+แม่ฮ่องสอน!N569+ลำปาง!N569+ลำพูน!N569+สุโขทัย!N569+อุตรดิตถ์!N569+อุทัยธานี!N569</f>
        <v>0</v>
      </c>
      <c r="O569" s="168"/>
      <c r="P569" s="168"/>
    </row>
    <row r="570" spans="1:16" ht="21.75" customHeight="1" x14ac:dyDescent="0.3">
      <c r="A570" s="373"/>
      <c r="B570" s="374"/>
      <c r="C570" s="157"/>
      <c r="D570" s="375"/>
      <c r="E570" s="159"/>
      <c r="F570" s="159"/>
      <c r="G570" s="376" t="s">
        <v>132</v>
      </c>
      <c r="H570" s="161" t="s">
        <v>12</v>
      </c>
      <c r="I570" s="187"/>
      <c r="J570" s="187"/>
      <c r="K570" s="223"/>
      <c r="L570" s="168"/>
      <c r="M570" s="168"/>
      <c r="N570" s="167">
        <f ca="1">กำแพงเพชร!N570+เชียงราย!N570+เชียงใหม่!N570+ตาก!N570+นครสวรรค์!N570+น่าน!N570+พะเยา!N570+พิจิตร!N570+พิษณุโลก!N570+เพชรบูรณ์!N570+แพร่!N570+แม่ฮ่องสอน!N570+ลำปาง!N570+ลำพูน!N570+สุโขทัย!N570+อุตรดิตถ์!N570+อุทัยธานี!N570</f>
        <v>0</v>
      </c>
      <c r="O570" s="168"/>
      <c r="P570" s="168"/>
    </row>
    <row r="571" spans="1:16" ht="21.75" customHeight="1" x14ac:dyDescent="0.3">
      <c r="A571" s="373"/>
      <c r="B571" s="374"/>
      <c r="C571" s="157"/>
      <c r="D571" s="375"/>
      <c r="E571" s="159"/>
      <c r="F571" s="159"/>
      <c r="G571" s="376" t="s">
        <v>133</v>
      </c>
      <c r="H571" s="161" t="s">
        <v>12</v>
      </c>
      <c r="I571" s="187"/>
      <c r="J571" s="187"/>
      <c r="K571" s="223"/>
      <c r="L571" s="168"/>
      <c r="M571" s="168"/>
      <c r="N571" s="377">
        <f ca="1">กำแพงเพชร!N571+เชียงราย!N571+เชียงใหม่!N571+ตาก!N571+นครสวรรค์!N571+น่าน!N571+พะเยา!N571+พิจิตร!N571+พิษณุโลก!N571+เพชรบูรณ์!N571+แพร่!N571+แม่ฮ่องสอน!N571+ลำปาง!N571+ลำพูน!N571+สุโขทัย!N571+อุตรดิตถ์!N571+อุทัยธานี!N571</f>
        <v>387217.88</v>
      </c>
      <c r="O571" s="168"/>
      <c r="P571" s="168"/>
    </row>
    <row r="572" spans="1:16" ht="21.75" customHeight="1" x14ac:dyDescent="0.3">
      <c r="A572" s="373"/>
      <c r="B572" s="374"/>
      <c r="C572" s="157"/>
      <c r="D572" s="375"/>
      <c r="E572" s="159"/>
      <c r="F572" s="159"/>
      <c r="G572" s="376" t="s">
        <v>134</v>
      </c>
      <c r="H572" s="161" t="s">
        <v>12</v>
      </c>
      <c r="I572" s="187"/>
      <c r="J572" s="187"/>
      <c r="K572" s="223"/>
      <c r="L572" s="168"/>
      <c r="M572" s="168"/>
      <c r="N572" s="377">
        <f ca="1">กำแพงเพชร!N572+เชียงราย!N572+เชียงใหม่!N572+ตาก!N572+นครสวรรค์!N572+น่าน!N572+พะเยา!N572+พิจิตร!N572+พิษณุโลก!N572+เพชรบูรณ์!N572+แพร่!N572+แม่ฮ่องสอน!N572+ลำปาง!N572+ลำพูน!N572+สุโขทัย!N572+อุตรดิตถ์!N572+อุทัยธานี!N572</f>
        <v>172203.46</v>
      </c>
      <c r="O572" s="168"/>
      <c r="P572" s="168"/>
    </row>
    <row r="573" spans="1:16" ht="21.75" customHeight="1" x14ac:dyDescent="0.3">
      <c r="A573" s="175"/>
      <c r="B573" s="176"/>
      <c r="C573" s="176"/>
      <c r="D573" s="195"/>
      <c r="E573" s="194" t="s">
        <v>40</v>
      </c>
      <c r="F573" s="412" t="s">
        <v>209</v>
      </c>
      <c r="G573" s="386"/>
      <c r="H573" s="474" t="s">
        <v>37</v>
      </c>
      <c r="I573" s="418">
        <f ca="1">กำแพงเพชร!I573+เชียงราย!I573+เชียงใหม่!I573+ตาก!I573+นครสวรรค์!I573+น่าน!I573+พะเยา!I573+พิจิตร!I573+พิษณุโลก!I573+เพชรบูรณ์!I573+แพร่!I573+แม่ฮ่องสอน!I573+ลำปาง!I573+ลำพูน!I573+สุโขทัย!I573+อุตรดิตถ์!I573+อุทัยธานี!I573</f>
        <v>32550</v>
      </c>
      <c r="J573" s="418">
        <f ca="1">กำแพงเพชร!J573+เชียงราย!J573+เชียงใหม่!J573+ตาก!J573+นครสวรรค์!J573+น่าน!J573+พะเยา!J573+พิจิตร!J573+พิษณุโลก!J573+เพชรบูรณ์!J573+แพร่!J573+แม่ฮ่องสอน!J573+ลำปาง!J573+ลำพูน!J573+สุโขทัย!J573+อุตรดิตถ์!J573+อุทัยธานี!J573</f>
        <v>23730</v>
      </c>
      <c r="K573" s="201">
        <f ca="1">IF(I573&gt;0,J573*100/I573,0)</f>
        <v>72.903225806451616</v>
      </c>
      <c r="L573" s="181"/>
      <c r="M573" s="181"/>
      <c r="N573" s="181"/>
      <c r="O573" s="181"/>
      <c r="P573" s="181"/>
    </row>
    <row r="574" spans="1:16" ht="21.75" customHeight="1" x14ac:dyDescent="0.3">
      <c r="A574" s="175"/>
      <c r="B574" s="176"/>
      <c r="C574" s="176"/>
      <c r="D574" s="195"/>
      <c r="E574" s="195"/>
      <c r="F574" s="194" t="s">
        <v>210</v>
      </c>
      <c r="G574" s="196"/>
      <c r="H574" s="473"/>
      <c r="I574" s="162"/>
      <c r="J574" s="162"/>
      <c r="K574" s="163"/>
      <c r="L574" s="181"/>
      <c r="M574" s="181"/>
      <c r="N574" s="181"/>
      <c r="O574" s="181"/>
      <c r="P574" s="181"/>
    </row>
    <row r="575" spans="1:16" ht="21.75" customHeight="1" x14ac:dyDescent="0.3">
      <c r="A575" s="175"/>
      <c r="B575" s="176"/>
      <c r="C575" s="176"/>
      <c r="D575" s="195"/>
      <c r="E575" s="194" t="s">
        <v>40</v>
      </c>
      <c r="F575" s="194" t="s">
        <v>211</v>
      </c>
      <c r="G575" s="196"/>
      <c r="H575" s="473" t="s">
        <v>77</v>
      </c>
      <c r="I575" s="202">
        <f ca="1">กำแพงเพชร!I575+เชียงราย!I575+เชียงใหม่!I575+ตาก!I575+นครสวรรค์!I575+น่าน!I575+พะเยา!I575+พิจิตร!I575+พิษณุโลก!I575+เพชรบูรณ์!I575+แพร่!I575+แม่ฮ่องสอน!I575+ลำปาง!I575+ลำพูน!I575+สุโขทัย!I575+อุตรดิตถ์!I575+อุทัยธานี!I575</f>
        <v>7</v>
      </c>
      <c r="J575" s="197">
        <f ca="1">กำแพงเพชร!J575+เชียงราย!J575+เชียงใหม่!J575+ตาก!J575+นครสวรรค์!J575+น่าน!J575+พะเยา!J575+พิจิตร!J575+พิษณุโลก!J575+เพชรบูรณ์!J575+แพร่!J575+แม่ฮ่องสอน!J575+ลำปาง!J575+ลำพูน!J575+สุโขทัย!J575+อุตรดิตถ์!J575+อุทัยธานี!J575</f>
        <v>47</v>
      </c>
      <c r="K575" s="163">
        <f t="shared" ref="K575:K579" ca="1" si="91">IF(I575&gt;0,J575*100/I575,0)</f>
        <v>671.42857142857144</v>
      </c>
      <c r="L575" s="181"/>
      <c r="M575" s="181"/>
      <c r="N575" s="181"/>
      <c r="O575" s="181"/>
      <c r="P575" s="181"/>
    </row>
    <row r="576" spans="1:16" ht="21.75" customHeight="1" x14ac:dyDescent="0.3">
      <c r="A576" s="175"/>
      <c r="B576" s="176"/>
      <c r="C576" s="176"/>
      <c r="D576" s="195"/>
      <c r="E576" s="195"/>
      <c r="F576" s="194" t="s">
        <v>212</v>
      </c>
      <c r="G576" s="196"/>
      <c r="H576" s="473" t="s">
        <v>37</v>
      </c>
      <c r="I576" s="202">
        <f ca="1">กำแพงเพชร!I576+เชียงราย!I576+เชียงใหม่!I576+ตาก!I576+นครสวรรค์!I576+น่าน!I576+พะเยา!I576+พิจิตร!I576+พิษณุโลก!I576+เพชรบูรณ์!I576+แพร่!I576+แม่ฮ่องสอน!I576+ลำปาง!I576+ลำพูน!I576+สุโขทัย!I576+อุตรดิตถ์!I576+อุทัยธานี!I576</f>
        <v>0</v>
      </c>
      <c r="J576" s="197">
        <f ca="1">กำแพงเพชร!J576+เชียงราย!J576+เชียงใหม่!J576+ตาก!J576+นครสวรรค์!J576+น่าน!J576+พะเยา!J576+พิจิตร!J576+พิษณุโลก!J576+เพชรบูรณ์!J576+แพร่!J576+แม่ฮ่องสอน!J576+ลำปาง!J576+ลำพูน!J576+สุโขทัย!J576+อุตรดิตถ์!J576+อุทัยธานี!J576</f>
        <v>2594</v>
      </c>
      <c r="K576" s="163">
        <f t="shared" ca="1" si="91"/>
        <v>0</v>
      </c>
      <c r="L576" s="181"/>
      <c r="M576" s="181"/>
      <c r="N576" s="181"/>
      <c r="O576" s="181"/>
      <c r="P576" s="181"/>
    </row>
    <row r="577" spans="1:16" ht="21.75" customHeight="1" x14ac:dyDescent="0.3">
      <c r="A577" s="175"/>
      <c r="B577" s="176"/>
      <c r="C577" s="176"/>
      <c r="D577" s="195"/>
      <c r="E577" s="195"/>
      <c r="F577" s="194" t="s">
        <v>213</v>
      </c>
      <c r="G577" s="196"/>
      <c r="H577" s="473" t="s">
        <v>37</v>
      </c>
      <c r="I577" s="202">
        <f ca="1">กำแพงเพชร!I577+เชียงราย!I577+เชียงใหม่!I577+ตาก!I577+นครสวรรค์!I577+น่าน!I577+พะเยา!I577+พิจิตร!I577+พิษณุโลก!I577+เพชรบูรณ์!I577+แพร่!I577+แม่ฮ่องสอน!I577+ลำปาง!I577+ลำพูน!I577+สุโขทัย!I577+อุตรดิตถ์!I577+อุทัยธานี!I577</f>
        <v>0</v>
      </c>
      <c r="J577" s="188">
        <f ca="1">กำแพงเพชร!J577+เชียงราย!J577+เชียงใหม่!J577+ตาก!J577+นครสวรรค์!J577+น่าน!J577+พะเยา!J577+พิจิตร!J577+พิษณุโลก!J577+เพชรบูรณ์!J577+แพร่!J577+แม่ฮ่องสอน!J577+ลำปาง!J577+ลำพูน!J577+สุโขทัย!J577+อุตรดิตถ์!J577+อุทัยธานี!J577</f>
        <v>20600</v>
      </c>
      <c r="K577" s="163">
        <f t="shared" ca="1" si="91"/>
        <v>0</v>
      </c>
      <c r="L577" s="181"/>
      <c r="M577" s="181"/>
      <c r="N577" s="181"/>
      <c r="O577" s="181"/>
      <c r="P577" s="181"/>
    </row>
    <row r="578" spans="1:16" ht="21.75" customHeight="1" x14ac:dyDescent="0.3">
      <c r="A578" s="175"/>
      <c r="B578" s="176"/>
      <c r="C578" s="176"/>
      <c r="D578" s="195"/>
      <c r="E578" s="195"/>
      <c r="F578" s="194" t="s">
        <v>214</v>
      </c>
      <c r="G578" s="419"/>
      <c r="H578" s="473" t="s">
        <v>37</v>
      </c>
      <c r="I578" s="202">
        <f ca="1">กำแพงเพชร!I578+เชียงราย!I578+เชียงใหม่!I578+ตาก!I578+นครสวรรค์!I578+น่าน!I578+พะเยา!I578+พิจิตร!I578+พิษณุโลก!I578+เพชรบูรณ์!I578+แพร่!I578+แม่ฮ่องสอน!I578+ลำปาง!I578+ลำพูน!I578+สุโขทัย!I578+อุตรดิตถ์!I578+อุทัยธานี!I578</f>
        <v>0</v>
      </c>
      <c r="J578" s="197">
        <f ca="1">กำแพงเพชร!J578+เชียงราย!J578+เชียงใหม่!J578+ตาก!J578+นครสวรรค์!J578+น่าน!J578+พะเยา!J578+พิจิตร!J578+พิษณุโลก!J578+เพชรบูรณ์!J578+แพร่!J578+แม่ฮ่องสอน!J578+ลำปาง!J578+ลำพูน!J578+สุโขทัย!J578+อุตรดิตถ์!J578+อุทัยธานี!J578</f>
        <v>36</v>
      </c>
      <c r="K578" s="163">
        <f t="shared" ca="1" si="91"/>
        <v>0</v>
      </c>
      <c r="L578" s="181"/>
      <c r="M578" s="181"/>
      <c r="N578" s="181"/>
      <c r="O578" s="181"/>
      <c r="P578" s="181"/>
    </row>
    <row r="579" spans="1:16" ht="21.75" customHeight="1" x14ac:dyDescent="0.3">
      <c r="A579" s="175"/>
      <c r="B579" s="176"/>
      <c r="C579" s="176"/>
      <c r="D579" s="195"/>
      <c r="E579" s="195"/>
      <c r="F579" s="194" t="s">
        <v>215</v>
      </c>
      <c r="G579" s="419"/>
      <c r="H579" s="473" t="s">
        <v>37</v>
      </c>
      <c r="I579" s="202">
        <f ca="1">กำแพงเพชร!I579+เชียงราย!I579+เชียงใหม่!I579+ตาก!I579+นครสวรรค์!I579+น่าน!I579+พะเยา!I579+พิจิตร!I579+พิษณุโลก!I579+เพชรบูรณ์!I579+แพร่!I579+แม่ฮ่องสอน!I579+ลำปาง!I579+ลำพูน!I579+สุโขทัย!I579+อุตรดิตถ์!I579+อุทัยธานี!I579</f>
        <v>0</v>
      </c>
      <c r="J579" s="197">
        <f ca="1">กำแพงเพชร!J579+เชียงราย!J579+เชียงใหม่!J579+ตาก!J579+นครสวรรค์!J579+น่าน!J579+พะเยา!J579+พิจิตร!J579+พิษณุโลก!J579+เพชรบูรณ์!J579+แพร่!J579+แม่ฮ่องสอน!J579+ลำปาง!J579+ลำพูน!J579+สุโขทัย!J579+อุตรดิตถ์!J579+อุทัยธานี!J579</f>
        <v>500</v>
      </c>
      <c r="K579" s="163">
        <f t="shared" ca="1" si="91"/>
        <v>0</v>
      </c>
      <c r="L579" s="181"/>
      <c r="M579" s="181"/>
      <c r="N579" s="181"/>
      <c r="O579" s="181"/>
      <c r="P579" s="181"/>
    </row>
    <row r="580" spans="1:16" ht="21.75" customHeight="1" x14ac:dyDescent="0.3">
      <c r="A580" s="364"/>
      <c r="B580" s="365">
        <v>9</v>
      </c>
      <c r="C580" s="475" t="s">
        <v>216</v>
      </c>
      <c r="D580" s="366"/>
      <c r="E580" s="366"/>
      <c r="F580" s="366"/>
      <c r="G580" s="367"/>
      <c r="H580" s="368" t="s">
        <v>37</v>
      </c>
      <c r="I580" s="369">
        <f ca="1">กำแพงเพชร!I580+เชียงราย!I580+เชียงใหม่!I580+ตาก!I580+นครสวรรค์!I580+น่าน!I580+พะเยา!I580+พิจิตร!I580+พิษณุโลก!I580+เพชรบูรณ์!I580+แพร่!I580+แม่ฮ่องสอน!I580+ลำปาง!I580+ลำพูน!I580+สุโขทัย!I580+อุตรดิตถ์!I580+อุทัยธานี!I580</f>
        <v>1696</v>
      </c>
      <c r="J580" s="369">
        <f ca="1">กำแพงเพชร!J580+เชียงราย!J580+เชียงใหม่!J580+ตาก!J580+นครสวรรค์!J580+น่าน!J580+พะเยา!J580+พิจิตร!J580+พิษณุโลก!J580+เพชรบูรณ์!J580+แพร่!J580+แม่ฮ่องสอน!J580+ลำปาง!J580+ลำพูน!J580+สุโขทัย!J580+อุตรดิตถ์!J580+อุทัยธานี!J580</f>
        <v>56</v>
      </c>
      <c r="K580" s="370">
        <f ca="1">IF(I580&gt;0,J580*100/I580,0)</f>
        <v>3.3018867924528301</v>
      </c>
      <c r="L580" s="371">
        <f ca="1">กำแพงเพชร!L580+เชียงราย!L580+เชียงใหม่!L580+ตาก!L580+นครสวรรค์!L580+น่าน!L580+พะเยา!L580+พิจิตร!L580+พิษณุโลก!L580+เพชรบูรณ์!L580+แพร่!L580+แม่ฮ่องสอน!L580+ลำปาง!L580+ลำพูน!L580+สุโขทัย!L580+อุตรดิตถ์!L580+อุทัยธานี!L580</f>
        <v>3209796</v>
      </c>
      <c r="M580" s="371"/>
      <c r="N580" s="371">
        <f ca="1">กำแพงเพชร!N580+เชียงราย!N580+เชียงใหม่!N580+ตาก!N580+นครสวรรค์!N580+น่าน!N580+พะเยา!N580+พิจิตร!N580+พิษณุโลก!N580+เพชรบูรณ์!N580+แพร่!N580+แม่ฮ่องสอน!N580+ลำปาง!N580+ลำพูน!N580+สุโขทัย!N580+อุตรดิตถ์!N580+อุทัยธานี!N580</f>
        <v>308053.64</v>
      </c>
      <c r="O580" s="371">
        <f t="shared" ref="O580:O584" ca="1" si="92">+IF(L580&gt;0,N580*100/L580,0)</f>
        <v>9.5972965260097531</v>
      </c>
      <c r="P580" s="371"/>
    </row>
    <row r="581" spans="1:16" ht="21.75" customHeight="1" x14ac:dyDescent="0.3">
      <c r="A581" s="156"/>
      <c r="B581" s="157"/>
      <c r="C581" s="157" t="s">
        <v>16</v>
      </c>
      <c r="D581" s="158" t="s">
        <v>38</v>
      </c>
      <c r="E581" s="159"/>
      <c r="F581" s="159"/>
      <c r="G581" s="160" t="s">
        <v>39</v>
      </c>
      <c r="H581" s="161" t="s">
        <v>12</v>
      </c>
      <c r="I581" s="162" t="s">
        <v>40</v>
      </c>
      <c r="J581" s="162"/>
      <c r="K581" s="163"/>
      <c r="L581" s="164">
        <f ca="1">กำแพงเพชร!L581+เชียงราย!L581+เชียงใหม่!L581+ตาก!L581+นครสวรรค์!L581+น่าน!L581+พะเยา!L581+พิจิตร!L581+พิษณุโลก!L581+เพชรบูรณ์!L581+แพร่!L581+แม่ฮ่องสอน!L581+ลำปาง!L581+ลำพูน!L581+สุโขทัย!L581+อุตรดิตถ์!L581+อุทัยธานี!L581</f>
        <v>0</v>
      </c>
      <c r="M581" s="164"/>
      <c r="N581" s="168">
        <f ca="1">กำแพงเพชร!N581+เชียงราย!N581+เชียงใหม่!N581+ตาก!N581+นครสวรรค์!N581+น่าน!N581+พะเยา!N581+พิจิตร!N581+พิษณุโลก!N581+เพชรบูรณ์!N581+แพร่!N581+แม่ฮ่องสอน!N581+ลำปาง!N581+ลำพูน!N581+สุโขทัย!N581+อุตรดิตถ์!N581+อุทัยธานี!N581</f>
        <v>0</v>
      </c>
      <c r="O581" s="168">
        <f t="shared" ca="1" si="92"/>
        <v>0</v>
      </c>
      <c r="P581" s="168"/>
    </row>
    <row r="582" spans="1:16" ht="21.75" customHeight="1" x14ac:dyDescent="0.3">
      <c r="A582" s="156"/>
      <c r="B582" s="157"/>
      <c r="C582" s="157"/>
      <c r="D582" s="166"/>
      <c r="E582" s="159"/>
      <c r="F582" s="159" t="s">
        <v>40</v>
      </c>
      <c r="G582" s="160" t="s">
        <v>41</v>
      </c>
      <c r="H582" s="161" t="s">
        <v>12</v>
      </c>
      <c r="I582" s="162"/>
      <c r="J582" s="162"/>
      <c r="K582" s="163"/>
      <c r="L582" s="165">
        <f ca="1">กำแพงเพชร!L582+เชียงราย!L582+เชียงใหม่!L582+ตาก!L582+นครสวรรค์!L582+น่าน!L582+พะเยา!L582+พิจิตร!L582+พิษณุโลก!L582+เพชรบูรณ์!L582+แพร่!L582+แม่ฮ่องสอน!L582+ลำปาง!L582+ลำพูน!L582+สุโขทัย!L582+อุตรดิตถ์!L582+อุทัยธานี!L582</f>
        <v>3209796</v>
      </c>
      <c r="M582" s="165"/>
      <c r="N582" s="168">
        <f ca="1">กำแพงเพชร!N582+เชียงราย!N582+เชียงใหม่!N582+ตาก!N582+นครสวรรค์!N582+น่าน!N582+พะเยา!N582+พิจิตร!N582+พิษณุโลก!N582+เพชรบูรณ์!N582+แพร่!N582+แม่ฮ่องสอน!N582+ลำปาง!N582+ลำพูน!N582+สุโขทัย!N582+อุตรดิตถ์!N582+อุทัยธานี!N582</f>
        <v>308053.64</v>
      </c>
      <c r="O582" s="168">
        <f t="shared" ca="1" si="92"/>
        <v>9.5972965260097531</v>
      </c>
      <c r="P582" s="168"/>
    </row>
    <row r="583" spans="1:16" ht="21.75" customHeight="1" x14ac:dyDescent="0.3">
      <c r="A583" s="156"/>
      <c r="B583" s="157"/>
      <c r="C583" s="157"/>
      <c r="D583" s="166"/>
      <c r="E583" s="159"/>
      <c r="F583" s="159"/>
      <c r="G583" s="372" t="s">
        <v>129</v>
      </c>
      <c r="H583" s="161" t="s">
        <v>12</v>
      </c>
      <c r="I583" s="162"/>
      <c r="J583" s="162"/>
      <c r="K583" s="163"/>
      <c r="L583" s="168">
        <f ca="1">กำแพงเพชร!L583+เชียงราย!L583+เชียงใหม่!L583+ตาก!L583+นครสวรรค์!L583+น่าน!L583+พะเยา!L583+พิจิตร!L583+พิษณุโลก!L583+เพชรบูรณ์!L583+แพร่!L583+แม่ฮ่องสอน!L583+ลำปาง!L583+ลำพูน!L583+สุโขทัย!L583+อุตรดิตถ์!L583+อุทัยธานี!L583</f>
        <v>0</v>
      </c>
      <c r="M583" s="168"/>
      <c r="N583" s="168">
        <f ca="1">กำแพงเพชร!N583+เชียงราย!N583+เชียงใหม่!N583+ตาก!N583+นครสวรรค์!N583+น่าน!N583+พะเยา!N583+พิจิตร!N583+พิษณุโลก!N583+เพชรบูรณ์!N583+แพร่!N583+แม่ฮ่องสอน!N583+ลำปาง!N583+ลำพูน!N583+สุโขทัย!N583+อุตรดิตถ์!N583+อุทัยธานี!N583</f>
        <v>0</v>
      </c>
      <c r="O583" s="168">
        <f t="shared" ca="1" si="92"/>
        <v>0</v>
      </c>
      <c r="P583" s="168"/>
    </row>
    <row r="584" spans="1:16" ht="21.75" customHeight="1" x14ac:dyDescent="0.3">
      <c r="A584" s="156"/>
      <c r="B584" s="157"/>
      <c r="C584" s="157"/>
      <c r="D584" s="166"/>
      <c r="E584" s="159"/>
      <c r="F584" s="159"/>
      <c r="G584" s="372" t="s">
        <v>130</v>
      </c>
      <c r="H584" s="161" t="s">
        <v>12</v>
      </c>
      <c r="I584" s="162"/>
      <c r="J584" s="162"/>
      <c r="K584" s="163"/>
      <c r="L584" s="168">
        <f ca="1">กำแพงเพชร!L584+เชียงราย!L584+เชียงใหม่!L584+ตาก!L584+นครสวรรค์!L584+น่าน!L584+พะเยา!L584+พิจิตร!L584+พิษณุโลก!L584+เพชรบูรณ์!L584+แพร่!L584+แม่ฮ่องสอน!L584+ลำปาง!L584+ลำพูน!L584+สุโขทัย!L584+อุตรดิตถ์!L584+อุทัยธานี!L584</f>
        <v>3209796</v>
      </c>
      <c r="M584" s="168"/>
      <c r="N584" s="168">
        <f ca="1">กำแพงเพชร!N584+เชียงราย!N584+เชียงใหม่!N584+ตาก!N584+นครสวรรค์!N584+น่าน!N584+พะเยา!N584+พิจิตร!N584+พิษณุโลก!N584+เพชรบูรณ์!N584+แพร่!N584+แม่ฮ่องสอน!N584+ลำปาง!N584+ลำพูน!N584+สุโขทัย!N584+อุตรดิตถ์!N584+อุทัยธานี!N584</f>
        <v>308053.64</v>
      </c>
      <c r="O584" s="168">
        <f t="shared" ca="1" si="92"/>
        <v>9.5972965260097531</v>
      </c>
      <c r="P584" s="168"/>
    </row>
    <row r="585" spans="1:16" ht="21.75" customHeight="1" x14ac:dyDescent="0.3">
      <c r="A585" s="373"/>
      <c r="B585" s="374"/>
      <c r="C585" s="157"/>
      <c r="D585" s="375"/>
      <c r="E585" s="159"/>
      <c r="F585" s="159"/>
      <c r="G585" s="376" t="s">
        <v>131</v>
      </c>
      <c r="H585" s="161" t="s">
        <v>12</v>
      </c>
      <c r="I585" s="187"/>
      <c r="J585" s="187"/>
      <c r="K585" s="223"/>
      <c r="L585" s="168"/>
      <c r="M585" s="168"/>
      <c r="N585" s="167">
        <f ca="1">กำแพงเพชร!N585+เชียงราย!N585+เชียงใหม่!N585+ตาก!N585+นครสวรรค์!N585+น่าน!N585+พะเยา!N585+พิจิตร!N585+พิษณุโลก!N585+เพชรบูรณ์!N585+แพร่!N585+แม่ฮ่องสอน!N585+ลำปาง!N585+ลำพูน!N585+สุโขทัย!N585+อุตรดิตถ์!N585+อุทัยธานี!N585</f>
        <v>0</v>
      </c>
      <c r="O585" s="168"/>
      <c r="P585" s="168"/>
    </row>
    <row r="586" spans="1:16" ht="21.75" customHeight="1" x14ac:dyDescent="0.3">
      <c r="A586" s="373"/>
      <c r="B586" s="374"/>
      <c r="C586" s="157"/>
      <c r="D586" s="375"/>
      <c r="E586" s="159"/>
      <c r="F586" s="159"/>
      <c r="G586" s="376" t="s">
        <v>132</v>
      </c>
      <c r="H586" s="161" t="s">
        <v>12</v>
      </c>
      <c r="I586" s="187"/>
      <c r="J586" s="187"/>
      <c r="K586" s="223"/>
      <c r="L586" s="168"/>
      <c r="M586" s="168"/>
      <c r="N586" s="167">
        <f ca="1">กำแพงเพชร!N586+เชียงราย!N586+เชียงใหม่!N586+ตาก!N586+นครสวรรค์!N586+น่าน!N586+พะเยา!N586+พิจิตร!N586+พิษณุโลก!N586+เพชรบูรณ์!N586+แพร่!N586+แม่ฮ่องสอน!N586+ลำปาง!N586+ลำพูน!N586+สุโขทัย!N586+อุตรดิตถ์!N586+อุทัยธานี!N586</f>
        <v>0</v>
      </c>
      <c r="O586" s="168"/>
      <c r="P586" s="168"/>
    </row>
    <row r="587" spans="1:16" ht="21.75" customHeight="1" x14ac:dyDescent="0.3">
      <c r="A587" s="373"/>
      <c r="B587" s="374"/>
      <c r="C587" s="157"/>
      <c r="D587" s="375"/>
      <c r="E587" s="159"/>
      <c r="F587" s="159"/>
      <c r="G587" s="376" t="s">
        <v>133</v>
      </c>
      <c r="H587" s="161" t="s">
        <v>12</v>
      </c>
      <c r="I587" s="187"/>
      <c r="J587" s="187"/>
      <c r="K587" s="223"/>
      <c r="L587" s="168"/>
      <c r="M587" s="168"/>
      <c r="N587" s="167">
        <f ca="1">กำแพงเพชร!N587+เชียงราย!N587+เชียงใหม่!N587+ตาก!N587+นครสวรรค์!N587+น่าน!N587+พะเยา!N587+พิจิตร!N587+พิษณุโลก!N587+เพชรบูรณ์!N587+แพร่!N587+แม่ฮ่องสอน!N587+ลำปาง!N587+ลำพูน!N587+สุโขทัย!N587+อุตรดิตถ์!N587+อุทัยธานี!N587</f>
        <v>127572</v>
      </c>
      <c r="O587" s="168"/>
      <c r="P587" s="168"/>
    </row>
    <row r="588" spans="1:16" ht="21.75" customHeight="1" x14ac:dyDescent="0.3">
      <c r="A588" s="373"/>
      <c r="B588" s="374"/>
      <c r="C588" s="157"/>
      <c r="D588" s="375"/>
      <c r="E588" s="159"/>
      <c r="F588" s="159"/>
      <c r="G588" s="376" t="s">
        <v>134</v>
      </c>
      <c r="H588" s="161" t="s">
        <v>12</v>
      </c>
      <c r="I588" s="187"/>
      <c r="J588" s="187"/>
      <c r="K588" s="223"/>
      <c r="L588" s="168"/>
      <c r="M588" s="168"/>
      <c r="N588" s="167">
        <f ca="1">กำแพงเพชร!N588+เชียงราย!N588+เชียงใหม่!N588+ตาก!N588+นครสวรรค์!N588+น่าน!N588+พะเยา!N588+พิจิตร!N588+พิษณุโลก!N588+เพชรบูรณ์!N588+แพร่!N588+แม่ฮ่องสอน!N588+ลำปาง!N588+ลำพูน!N588+สุโขทัย!N588+อุตรดิตถ์!N588+อุทัยธานี!N588</f>
        <v>180481.64</v>
      </c>
      <c r="O588" s="168"/>
      <c r="P588" s="168"/>
    </row>
    <row r="589" spans="1:16" ht="21.75" customHeight="1" x14ac:dyDescent="0.3">
      <c r="A589" s="476"/>
      <c r="B589" s="166"/>
      <c r="C589" s="157"/>
      <c r="D589" s="289"/>
      <c r="E589" s="194" t="s">
        <v>217</v>
      </c>
      <c r="F589" s="195"/>
      <c r="G589" s="196"/>
      <c r="H589" s="180" t="s">
        <v>36</v>
      </c>
      <c r="I589" s="339">
        <f ca="1">กำแพงเพชร!I589+เชียงราย!I589+เชียงใหม่!I589+ตาก!I589+นครสวรรค์!I589+น่าน!I589+พะเยา!I589+พิจิตร!I589+พิษณุโลก!I589+เพชรบูรณ์!I589+แพร่!I589+แม่ฮ่องสอน!I589+ลำปาง!I589+ลำพูน!I589+สุโขทัย!I589+อุตรดิตถ์!I589+อุทัยธานี!I589</f>
        <v>1696</v>
      </c>
      <c r="J589" s="187">
        <f ca="1">กำแพงเพชร!J589+เชียงราย!J589+เชียงใหม่!J589+ตาก!J589+นครสวรรค์!J589+น่าน!J589+พะเยา!J589+พิจิตร!J589+พิษณุโลก!J589+เพชรบูรณ์!J589+แพร่!J589+แม่ฮ่องสอน!J589+ลำปาง!J589+ลำพูน!J589+สุโขทัย!J589+อุตรดิตถ์!J589+อุทัยธานี!J589</f>
        <v>341</v>
      </c>
      <c r="K589" s="163">
        <f t="shared" ref="K589:K596" ca="1" si="93">IF(I589&gt;0,J589*100/I589,0)</f>
        <v>20.106132075471699</v>
      </c>
      <c r="L589" s="181"/>
      <c r="M589" s="181"/>
      <c r="N589" s="168"/>
      <c r="O589" s="181"/>
      <c r="P589" s="181"/>
    </row>
    <row r="590" spans="1:16" ht="21.75" customHeight="1" x14ac:dyDescent="0.3">
      <c r="A590" s="476"/>
      <c r="B590" s="166"/>
      <c r="C590" s="157"/>
      <c r="D590" s="289"/>
      <c r="E590" s="195"/>
      <c r="F590" s="195"/>
      <c r="G590" s="196"/>
      <c r="H590" s="180" t="s">
        <v>122</v>
      </c>
      <c r="I590" s="343">
        <f ca="1">กำแพงเพชร!I590+เชียงราย!I590+เชียงใหม่!I590+ตาก!I590+นครสวรรค์!I590+น่าน!I590+พะเยา!I590+พิจิตร!I590+พิษณุโลก!I590+เพชรบูรณ์!I590+แพร่!I590+แม่ฮ่องสอน!I590+ลำปาง!I590+ลำพูน!I590+สุโขทัย!I590+อุตรดิตถ์!I590+อุทัยธานี!I590</f>
        <v>0</v>
      </c>
      <c r="J590" s="187">
        <f ca="1">กำแพงเพชร!J590+เชียงราย!J590+เชียงใหม่!J590+ตาก!J590+นครสวรรค์!J590+น่าน!J590+พะเยา!J590+พิจิตร!J590+พิษณุโลก!J590+เพชรบูรณ์!J590+แพร่!J590+แม่ฮ่องสอน!J590+ลำปาง!J590+ลำพูน!J590+สุโขทัย!J590+อุตรดิตถ์!J590+อุทัยธานี!J590</f>
        <v>239.44000000000005</v>
      </c>
      <c r="K590" s="477">
        <f t="shared" ca="1" si="93"/>
        <v>0</v>
      </c>
      <c r="L590" s="181"/>
      <c r="M590" s="181"/>
      <c r="N590" s="168"/>
      <c r="O590" s="181"/>
      <c r="P590" s="181"/>
    </row>
    <row r="591" spans="1:16" ht="21.75" customHeight="1" x14ac:dyDescent="0.3">
      <c r="A591" s="476"/>
      <c r="B591" s="166"/>
      <c r="C591" s="157"/>
      <c r="D591" s="289"/>
      <c r="E591" s="194" t="s">
        <v>123</v>
      </c>
      <c r="F591" s="195"/>
      <c r="G591" s="196"/>
      <c r="H591" s="180" t="s">
        <v>37</v>
      </c>
      <c r="I591" s="339">
        <f ca="1">กำแพงเพชร!I591+เชียงราย!I591+เชียงใหม่!I591+ตาก!I591+นครสวรรค์!I591+น่าน!I591+พะเยา!I591+พิจิตร!I591+พิษณุโลก!I591+เพชรบูรณ์!I591+แพร่!I591+แม่ฮ่องสอน!I591+ลำปาง!I591+ลำพูน!I591+สุโขทัย!I591+อุตรดิตถ์!I591+อุทัยธานี!I591</f>
        <v>1696</v>
      </c>
      <c r="J591" s="187">
        <f ca="1">กำแพงเพชร!J591+เชียงราย!J591+เชียงใหม่!J591+ตาก!J591+นครสวรรค์!J591+น่าน!J591+พะเยา!J591+พิจิตร!J591+พิษณุโลก!J591+เพชรบูรณ์!J591+แพร่!J591+แม่ฮ่องสอน!J591+ลำปาง!J591+ลำพูน!J591+สุโขทัย!J591+อุตรดิตถ์!J591+อุทัยธานี!J591</f>
        <v>78</v>
      </c>
      <c r="K591" s="163">
        <f t="shared" ca="1" si="93"/>
        <v>4.5990566037735849</v>
      </c>
      <c r="L591" s="181"/>
      <c r="M591" s="181"/>
      <c r="N591" s="181"/>
      <c r="O591" s="181"/>
      <c r="P591" s="181"/>
    </row>
    <row r="592" spans="1:16" ht="21.75" customHeight="1" x14ac:dyDescent="0.3">
      <c r="A592" s="476"/>
      <c r="B592" s="166"/>
      <c r="C592" s="157"/>
      <c r="D592" s="289"/>
      <c r="E592" s="195"/>
      <c r="F592" s="195"/>
      <c r="G592" s="196"/>
      <c r="H592" s="180" t="s">
        <v>122</v>
      </c>
      <c r="I592" s="343">
        <f ca="1">กำแพงเพชร!I592+เชียงราย!I592+เชียงใหม่!I592+ตาก!I592+นครสวรรค์!I592+น่าน!I592+พะเยา!I592+พิจิตร!I592+พิษณุโลก!I592+เพชรบูรณ์!I592+แพร่!I592+แม่ฮ่องสอน!I592+ลำปาง!I592+ลำพูน!I592+สุโขทัย!I592+อุตรดิตถ์!I592+อุทัยธานี!I592</f>
        <v>0</v>
      </c>
      <c r="J592" s="187">
        <f ca="1">กำแพงเพชร!J592+เชียงราย!J592+เชียงใหม่!J592+ตาก!J592+นครสวรรค์!J592+น่าน!J592+พะเยา!J592+พิจิตร!J592+พิษณุโลก!J592+เพชรบูรณ์!J592+แพร่!J592+แม่ฮ่องสอน!J592+ลำปาง!J592+ลำพูน!J592+สุโขทัย!J592+อุตรดิตถ์!J592+อุทัยธานี!J592</f>
        <v>62.849999999999994</v>
      </c>
      <c r="K592" s="340">
        <f t="shared" ca="1" si="93"/>
        <v>0</v>
      </c>
      <c r="L592" s="181"/>
      <c r="M592" s="181"/>
      <c r="N592" s="181"/>
      <c r="O592" s="181"/>
      <c r="P592" s="181"/>
    </row>
    <row r="593" spans="1:16" ht="21.75" customHeight="1" x14ac:dyDescent="0.3">
      <c r="A593" s="476"/>
      <c r="B593" s="166"/>
      <c r="C593" s="157"/>
      <c r="D593" s="289"/>
      <c r="E593" s="194" t="s">
        <v>124</v>
      </c>
      <c r="F593" s="195"/>
      <c r="G593" s="196"/>
      <c r="H593" s="180" t="s">
        <v>37</v>
      </c>
      <c r="I593" s="339">
        <f ca="1">กำแพงเพชร!I593+เชียงราย!I593+เชียงใหม่!I593+ตาก!I593+นครสวรรค์!I593+น่าน!I593+พะเยา!I593+พิจิตร!I593+พิษณุโลก!I593+เพชรบูรณ์!I593+แพร่!I593+แม่ฮ่องสอน!I593+ลำปาง!I593+ลำพูน!I593+สุโขทัย!I593+อุตรดิตถ์!I593+อุทัยธานี!I593</f>
        <v>1696</v>
      </c>
      <c r="J593" s="187">
        <f ca="1">กำแพงเพชร!J593+เชียงราย!J593+เชียงใหม่!J593+ตาก!J593+นครสวรรค์!J593+น่าน!J593+พะเยา!J593+พิจิตร!J593+พิษณุโลก!J593+เพชรบูรณ์!J593+แพร่!J593+แม่ฮ่องสอน!J593+ลำปาง!J593+ลำพูน!J593+สุโขทัย!J593+อุตรดิตถ์!J593+อุทัยธานี!J593</f>
        <v>4</v>
      </c>
      <c r="K593" s="163">
        <f t="shared" ca="1" si="93"/>
        <v>0.23584905660377359</v>
      </c>
      <c r="L593" s="181"/>
      <c r="M593" s="181"/>
      <c r="N593" s="181"/>
      <c r="O593" s="181"/>
      <c r="P593" s="181"/>
    </row>
    <row r="594" spans="1:16" ht="21.75" customHeight="1" x14ac:dyDescent="0.3">
      <c r="A594" s="476"/>
      <c r="B594" s="166"/>
      <c r="C594" s="157"/>
      <c r="D594" s="289"/>
      <c r="E594" s="195"/>
      <c r="F594" s="195"/>
      <c r="G594" s="196"/>
      <c r="H594" s="180" t="s">
        <v>122</v>
      </c>
      <c r="I594" s="343">
        <f ca="1">กำแพงเพชร!I594+เชียงราย!I594+เชียงใหม่!I594+ตาก!I594+นครสวรรค์!I594+น่าน!I594+พะเยา!I594+พิจิตร!I594+พิษณุโลก!I594+เพชรบูรณ์!I594+แพร่!I594+แม่ฮ่องสอน!I594+ลำปาง!I594+ลำพูน!I594+สุโขทัย!I594+อุตรดิตถ์!I594+อุทัยธานี!I594</f>
        <v>0</v>
      </c>
      <c r="J594" s="187">
        <f ca="1">กำแพงเพชร!J594+เชียงราย!J594+เชียงใหม่!J594+ตาก!J594+นครสวรรค์!J594+น่าน!J594+พะเยา!J594+พิจิตร!J594+พิษณุโลก!J594+เพชรบูรณ์!J594+แพร่!J594+แม่ฮ่องสอน!J594+ลำปาง!J594+ลำพูน!J594+สุโขทัย!J594+อุตรดิตถ์!J594+อุทัยธานี!J594</f>
        <v>3.07</v>
      </c>
      <c r="K594" s="340">
        <f t="shared" ca="1" si="93"/>
        <v>0</v>
      </c>
      <c r="L594" s="181"/>
      <c r="M594" s="181"/>
      <c r="N594" s="181"/>
      <c r="O594" s="181"/>
      <c r="P594" s="181"/>
    </row>
    <row r="595" spans="1:16" ht="21.75" customHeight="1" x14ac:dyDescent="0.3">
      <c r="A595" s="476"/>
      <c r="B595" s="166"/>
      <c r="C595" s="157"/>
      <c r="D595" s="289"/>
      <c r="E595" s="194" t="s">
        <v>125</v>
      </c>
      <c r="F595" s="195"/>
      <c r="G595" s="196"/>
      <c r="H595" s="180" t="s">
        <v>37</v>
      </c>
      <c r="I595" s="339">
        <f ca="1">กำแพงเพชร!I595+เชียงราย!I595+เชียงใหม่!I595+ตาก!I595+นครสวรรค์!I595+น่าน!I595+พะเยา!I595+พิจิตร!I595+พิษณุโลก!I595+เพชรบูรณ์!I595+แพร่!I595+แม่ฮ่องสอน!I595+ลำปาง!I595+ลำพูน!I595+สุโขทัย!I595+อุตรดิตถ์!I595+อุทัยธานี!I595</f>
        <v>1696</v>
      </c>
      <c r="J595" s="187">
        <f ca="1">กำแพงเพชร!J595+เชียงราย!J595+เชียงใหม่!J595+ตาก!J595+นครสวรรค์!J595+น่าน!J595+พะเยา!J595+พิจิตร!J595+พิษณุโลก!J595+เพชรบูรณ์!J595+แพร่!J595+แม่ฮ่องสอน!J595+ลำปาง!J595+ลำพูน!J595+สุโขทัย!J595+อุตรดิตถ์!J595+อุทัยธานี!J595</f>
        <v>56</v>
      </c>
      <c r="K595" s="163">
        <f t="shared" ca="1" si="93"/>
        <v>3.3018867924528301</v>
      </c>
      <c r="L595" s="181"/>
      <c r="M595" s="181"/>
      <c r="N595" s="181"/>
      <c r="O595" s="181"/>
      <c r="P595" s="181"/>
    </row>
    <row r="596" spans="1:16" ht="21.75" customHeight="1" x14ac:dyDescent="0.3">
      <c r="A596" s="478"/>
      <c r="B596" s="479"/>
      <c r="C596" s="480"/>
      <c r="D596" s="481"/>
      <c r="E596" s="460"/>
      <c r="F596" s="460"/>
      <c r="G596" s="461"/>
      <c r="H596" s="482" t="s">
        <v>122</v>
      </c>
      <c r="I596" s="483">
        <f ca="1">กำแพงเพชร!I596+เชียงราย!I596+เชียงใหม่!I596+ตาก!I596+นครสวรรค์!I596+น่าน!I596+พะเยา!I596+พิจิตร!I596+พิษณุโลก!I596+เพชรบูรณ์!I596+แพร่!I596+แม่ฮ่องสอน!I596+ลำปาง!I596+ลำพูน!I596+สุโขทัย!I596+อุตรดิตถ์!I596+อุทัยธานี!I596</f>
        <v>0</v>
      </c>
      <c r="J596" s="240">
        <f ca="1">กำแพงเพชร!J596+เชียงราย!J596+เชียงใหม่!J596+ตาก!J596+นครสวรรค์!J596+น่าน!J596+พะเยา!J596+พิจิตร!J596+พิษณุโลก!J596+เพชรบูรณ์!J596+แพร่!J596+แม่ฮ่องสอน!J596+ลำปาง!J596+ลำพูน!J596+สุโขทัย!J596+อุตรดิตถ์!J596+อุทัยธานี!J596</f>
        <v>40.149999999999991</v>
      </c>
      <c r="K596" s="484">
        <f t="shared" ca="1" si="93"/>
        <v>0</v>
      </c>
      <c r="L596" s="466"/>
      <c r="M596" s="466"/>
      <c r="N596" s="466"/>
      <c r="O596" s="466"/>
      <c r="P596" s="466"/>
    </row>
    <row r="597" spans="1:16" ht="21.75" customHeight="1" x14ac:dyDescent="0.3">
      <c r="A597" s="403"/>
      <c r="B597" s="404">
        <v>10</v>
      </c>
      <c r="C597" s="405" t="s">
        <v>218</v>
      </c>
      <c r="D597" s="405"/>
      <c r="E597" s="405"/>
      <c r="F597" s="405"/>
      <c r="G597" s="406"/>
      <c r="H597" s="407" t="s">
        <v>122</v>
      </c>
      <c r="I597" s="408">
        <f ca="1">กำแพงเพชร!I597+เชียงราย!I597+เชียงใหม่!I597+ตาก!I597+นครสวรรค์!I597+น่าน!I597+พะเยา!I597+พิจิตร!I597+พิษณุโลก!I597+เพชรบูรณ์!I597+แพร่!I597+แม่ฮ่องสอน!I597+ลำปาง!I597+ลำพูน!I597+สุโขทัย!I597+อุตรดิตถ์!I597+อุทัยธานี!I597</f>
        <v>1470</v>
      </c>
      <c r="J597" s="485">
        <f ca="1">กำแพงเพชร!J597+เชียงราย!J597+เชียงใหม่!J597+ตาก!J597+นครสวรรค์!J597+น่าน!J597+พะเยา!J597+พิจิตร!J597+พิษณุโลก!J597+เพชรบูรณ์!J597+แพร่!J597+แม่ฮ่องสอน!J597+ลำปาง!J597+ลำพูน!J597+สุโขทัย!J597+อุตรดิตถ์!J597+อุทัยธานี!J597</f>
        <v>0</v>
      </c>
      <c r="K597" s="409">
        <f ca="1">IF(I597&gt;0,J597*100/I597,0)</f>
        <v>0</v>
      </c>
      <c r="L597" s="410">
        <f ca="1">กำแพงเพชร!L597+เชียงราย!L597+เชียงใหม่!L597+ตาก!L597+นครสวรรค์!L597+น่าน!L597+พะเยา!L597+พิจิตร!L597+พิษณุโลก!L597+เพชรบูรณ์!L597+แพร่!L597+แม่ฮ่องสอน!L597+ลำปาง!L597+ลำพูน!L597+สุโขทัย!L597+อุตรดิตถ์!L597+อุทัยธานี!L597</f>
        <v>135050</v>
      </c>
      <c r="M597" s="410"/>
      <c r="N597" s="410">
        <f ca="1">กำแพงเพชร!N597+เชียงราย!N597+เชียงใหม่!N597+ตาก!N597+นครสวรรค์!N597+น่าน!N597+พะเยา!N597+พิจิตร!N597+พิษณุโลก!N597+เพชรบูรณ์!N597+แพร่!N597+แม่ฮ่องสอน!N597+ลำปาง!N597+ลำพูน!N597+สุโขทัย!N597+อุตรดิตถ์!N597+อุทัยธานี!N597</f>
        <v>28216</v>
      </c>
      <c r="O597" s="410">
        <f t="shared" ref="O597:O601" ca="1" si="94">+IF(L597&gt;0,N597*100/L597,0)</f>
        <v>20.89300259163273</v>
      </c>
      <c r="P597" s="410"/>
    </row>
    <row r="598" spans="1:16" ht="21.75" customHeight="1" x14ac:dyDescent="0.3">
      <c r="A598" s="156"/>
      <c r="B598" s="157"/>
      <c r="C598" s="157" t="s">
        <v>16</v>
      </c>
      <c r="D598" s="158" t="s">
        <v>38</v>
      </c>
      <c r="E598" s="159"/>
      <c r="F598" s="159"/>
      <c r="G598" s="160" t="s">
        <v>39</v>
      </c>
      <c r="H598" s="161" t="s">
        <v>12</v>
      </c>
      <c r="I598" s="162" t="s">
        <v>40</v>
      </c>
      <c r="J598" s="162"/>
      <c r="K598" s="163"/>
      <c r="L598" s="164">
        <f ca="1">กำแพงเพชร!L598+เชียงราย!L598+เชียงใหม่!L598+ตาก!L598+นครสวรรค์!L598+น่าน!L598+พะเยา!L598+พิจิตร!L598+พิษณุโลก!L598+เพชรบูรณ์!L598+แพร่!L598+แม่ฮ่องสอน!L598+ลำปาง!L598+ลำพูน!L598+สุโขทัย!L598+อุตรดิตถ์!L598+อุทัยธานี!L598</f>
        <v>0</v>
      </c>
      <c r="M598" s="164"/>
      <c r="N598" s="168">
        <f ca="1">กำแพงเพชร!N598+เชียงราย!N598+เชียงใหม่!N598+ตาก!N598+นครสวรรค์!N598+น่าน!N598+พะเยา!N598+พิจิตร!N598+พิษณุโลก!N598+เพชรบูรณ์!N598+แพร่!N598+แม่ฮ่องสอน!N598+ลำปาง!N598+ลำพูน!N598+สุโขทัย!N598+อุตรดิตถ์!N598+อุทัยธานี!N598</f>
        <v>0</v>
      </c>
      <c r="O598" s="168">
        <f t="shared" ca="1" si="94"/>
        <v>0</v>
      </c>
      <c r="P598" s="168"/>
    </row>
    <row r="599" spans="1:16" ht="21.75" customHeight="1" x14ac:dyDescent="0.3">
      <c r="A599" s="156"/>
      <c r="B599" s="157"/>
      <c r="C599" s="157"/>
      <c r="D599" s="166"/>
      <c r="E599" s="159"/>
      <c r="F599" s="159" t="s">
        <v>40</v>
      </c>
      <c r="G599" s="160" t="s">
        <v>41</v>
      </c>
      <c r="H599" s="161" t="s">
        <v>12</v>
      </c>
      <c r="I599" s="162"/>
      <c r="J599" s="162"/>
      <c r="K599" s="163"/>
      <c r="L599" s="165">
        <f ca="1">กำแพงเพชร!L599+เชียงราย!L599+เชียงใหม่!L599+ตาก!L599+นครสวรรค์!L599+น่าน!L599+พะเยา!L599+พิจิตร!L599+พิษณุโลก!L599+เพชรบูรณ์!L599+แพร่!L599+แม่ฮ่องสอน!L599+ลำปาง!L599+ลำพูน!L599+สุโขทัย!L599+อุตรดิตถ์!L599+อุทัยธานี!L599</f>
        <v>135050</v>
      </c>
      <c r="M599" s="165"/>
      <c r="N599" s="168">
        <f ca="1">กำแพงเพชร!N599+เชียงราย!N599+เชียงใหม่!N599+ตาก!N599+นครสวรรค์!N599+น่าน!N599+พะเยา!N599+พิจิตร!N599+พิษณุโลก!N599+เพชรบูรณ์!N599+แพร่!N599+แม่ฮ่องสอน!N599+ลำปาง!N599+ลำพูน!N599+สุโขทัย!N599+อุตรดิตถ์!N599+อุทัยธานี!N599</f>
        <v>28216</v>
      </c>
      <c r="O599" s="168">
        <f t="shared" ca="1" si="94"/>
        <v>20.89300259163273</v>
      </c>
      <c r="P599" s="168"/>
    </row>
    <row r="600" spans="1:16" ht="21.75" customHeight="1" x14ac:dyDescent="0.3">
      <c r="A600" s="156"/>
      <c r="B600" s="157"/>
      <c r="C600" s="157"/>
      <c r="D600" s="166"/>
      <c r="E600" s="159"/>
      <c r="F600" s="159"/>
      <c r="G600" s="372" t="s">
        <v>129</v>
      </c>
      <c r="H600" s="161" t="s">
        <v>12</v>
      </c>
      <c r="I600" s="162"/>
      <c r="J600" s="162"/>
      <c r="K600" s="163"/>
      <c r="L600" s="168">
        <f ca="1">กำแพงเพชร!L600+เชียงราย!L600+เชียงใหม่!L600+ตาก!L600+นครสวรรค์!L600+น่าน!L600+พะเยา!L600+พิจิตร!L600+พิษณุโลก!L600+เพชรบูรณ์!L600+แพร่!L600+แม่ฮ่องสอน!L600+ลำปาง!L600+ลำพูน!L600+สุโขทัย!L600+อุตรดิตถ์!L600+อุทัยธานี!L600</f>
        <v>0</v>
      </c>
      <c r="M600" s="168"/>
      <c r="N600" s="168">
        <f ca="1">กำแพงเพชร!N600+เชียงราย!N600+เชียงใหม่!N600+ตาก!N600+นครสวรรค์!N600+น่าน!N600+พะเยา!N600+พิจิตร!N600+พิษณุโลก!N600+เพชรบูรณ์!N600+แพร่!N600+แม่ฮ่องสอน!N600+ลำปาง!N600+ลำพูน!N600+สุโขทัย!N600+อุตรดิตถ์!N600+อุทัยธานี!N600</f>
        <v>0</v>
      </c>
      <c r="O600" s="168">
        <f t="shared" ca="1" si="94"/>
        <v>0</v>
      </c>
      <c r="P600" s="168"/>
    </row>
    <row r="601" spans="1:16" ht="21.75" customHeight="1" x14ac:dyDescent="0.3">
      <c r="A601" s="156"/>
      <c r="B601" s="157"/>
      <c r="C601" s="157"/>
      <c r="D601" s="166"/>
      <c r="E601" s="159"/>
      <c r="F601" s="159"/>
      <c r="G601" s="372" t="s">
        <v>130</v>
      </c>
      <c r="H601" s="161" t="s">
        <v>12</v>
      </c>
      <c r="I601" s="162"/>
      <c r="J601" s="162"/>
      <c r="K601" s="163"/>
      <c r="L601" s="168">
        <f ca="1">กำแพงเพชร!L601+เชียงราย!L601+เชียงใหม่!L601+ตาก!L601+นครสวรรค์!L601+น่าน!L601+พะเยา!L601+พิจิตร!L601+พิษณุโลก!L601+เพชรบูรณ์!L601+แพร่!L601+แม่ฮ่องสอน!L601+ลำปาง!L601+ลำพูน!L601+สุโขทัย!L601+อุตรดิตถ์!L601+อุทัยธานี!L601</f>
        <v>135050</v>
      </c>
      <c r="M601" s="168"/>
      <c r="N601" s="168">
        <f ca="1">กำแพงเพชร!N601+เชียงราย!N601+เชียงใหม่!N601+ตาก!N601+นครสวรรค์!N601+น่าน!N601+พะเยา!N601+พิจิตร!N601+พิษณุโลก!N601+เพชรบูรณ์!N601+แพร่!N601+แม่ฮ่องสอน!N601+ลำปาง!N601+ลำพูน!N601+สุโขทัย!N601+อุตรดิตถ์!N601+อุทัยธานี!N601</f>
        <v>28216</v>
      </c>
      <c r="O601" s="168">
        <f t="shared" ca="1" si="94"/>
        <v>20.89300259163273</v>
      </c>
      <c r="P601" s="168"/>
    </row>
    <row r="602" spans="1:16" ht="21.75" customHeight="1" x14ac:dyDescent="0.3">
      <c r="A602" s="373"/>
      <c r="B602" s="374"/>
      <c r="C602" s="157"/>
      <c r="D602" s="375"/>
      <c r="E602" s="159"/>
      <c r="F602" s="159"/>
      <c r="G602" s="376" t="s">
        <v>131</v>
      </c>
      <c r="H602" s="161" t="s">
        <v>12</v>
      </c>
      <c r="I602" s="187"/>
      <c r="J602" s="187"/>
      <c r="K602" s="223"/>
      <c r="L602" s="168"/>
      <c r="M602" s="168"/>
      <c r="N602" s="167">
        <f ca="1">กำแพงเพชร!N602+เชียงราย!N602+เชียงใหม่!N602+ตาก!N602+นครสวรรค์!N602+น่าน!N602+พะเยา!N602+พิจิตร!N602+พิษณุโลก!N602+เพชรบูรณ์!N602+แพร่!N602+แม่ฮ่องสอน!N602+ลำปาง!N602+ลำพูน!N602+สุโขทัย!N602+อุตรดิตถ์!N602+อุทัยธานี!N602</f>
        <v>0</v>
      </c>
      <c r="O602" s="168"/>
      <c r="P602" s="168"/>
    </row>
    <row r="603" spans="1:16" ht="21.75" customHeight="1" x14ac:dyDescent="0.3">
      <c r="A603" s="373"/>
      <c r="B603" s="374"/>
      <c r="C603" s="157"/>
      <c r="D603" s="375"/>
      <c r="E603" s="159"/>
      <c r="F603" s="159"/>
      <c r="G603" s="376" t="s">
        <v>132</v>
      </c>
      <c r="H603" s="161" t="s">
        <v>12</v>
      </c>
      <c r="I603" s="187"/>
      <c r="J603" s="187"/>
      <c r="K603" s="223"/>
      <c r="L603" s="168"/>
      <c r="M603" s="168"/>
      <c r="N603" s="167">
        <f ca="1">กำแพงเพชร!N603+เชียงราย!N603+เชียงใหม่!N603+ตาก!N603+นครสวรรค์!N603+น่าน!N603+พะเยา!N603+พิจิตร!N603+พิษณุโลก!N603+เพชรบูรณ์!N603+แพร่!N603+แม่ฮ่องสอน!N603+ลำปาง!N603+ลำพูน!N603+สุโขทัย!N603+อุตรดิตถ์!N603+อุทัยธานี!N603</f>
        <v>0</v>
      </c>
      <c r="O603" s="168"/>
      <c r="P603" s="168"/>
    </row>
    <row r="604" spans="1:16" ht="21.75" customHeight="1" x14ac:dyDescent="0.3">
      <c r="A604" s="373"/>
      <c r="B604" s="374"/>
      <c r="C604" s="157"/>
      <c r="D604" s="375"/>
      <c r="E604" s="159"/>
      <c r="F604" s="159"/>
      <c r="G604" s="376" t="s">
        <v>133</v>
      </c>
      <c r="H604" s="161" t="s">
        <v>12</v>
      </c>
      <c r="I604" s="187"/>
      <c r="J604" s="187"/>
      <c r="K604" s="223"/>
      <c r="L604" s="168"/>
      <c r="M604" s="168"/>
      <c r="N604" s="377">
        <f ca="1">กำแพงเพชร!N604+เชียงราย!N604+เชียงใหม่!N604+ตาก!N604+นครสวรรค์!N604+น่าน!N604+พะเยา!N604+พิจิตร!N604+พิษณุโลก!N604+เพชรบูรณ์!N604+แพร่!N604+แม่ฮ่องสอน!N604+ลำปาง!N604+ลำพูน!N604+สุโขทัย!N604+อุตรดิตถ์!N604+อุทัยธานี!N604</f>
        <v>1200</v>
      </c>
      <c r="O604" s="168"/>
      <c r="P604" s="168"/>
    </row>
    <row r="605" spans="1:16" ht="21.75" customHeight="1" x14ac:dyDescent="0.3">
      <c r="A605" s="373"/>
      <c r="B605" s="374"/>
      <c r="C605" s="157"/>
      <c r="D605" s="375"/>
      <c r="E605" s="159"/>
      <c r="F605" s="159"/>
      <c r="G605" s="376" t="s">
        <v>134</v>
      </c>
      <c r="H605" s="161" t="s">
        <v>12</v>
      </c>
      <c r="I605" s="187"/>
      <c r="J605" s="187"/>
      <c r="K605" s="223"/>
      <c r="L605" s="168"/>
      <c r="M605" s="168"/>
      <c r="N605" s="377">
        <f ca="1">กำแพงเพชร!N605+เชียงราย!N605+เชียงใหม่!N605+ตาก!N605+นครสวรรค์!N605+น่าน!N605+พะเยา!N605+พิจิตร!N605+พิษณุโลก!N605+เพชรบูรณ์!N605+แพร่!N605+แม่ฮ่องสอน!N605+ลำปาง!N605+ลำพูน!N605+สุโขทัย!N605+อุตรดิตถ์!N605+อุทัยธานี!N605</f>
        <v>27016</v>
      </c>
      <c r="O605" s="168"/>
      <c r="P605" s="168"/>
    </row>
    <row r="606" spans="1:16" ht="21.75" customHeight="1" x14ac:dyDescent="0.3">
      <c r="A606" s="175"/>
      <c r="B606" s="176"/>
      <c r="C606" s="157" t="s">
        <v>16</v>
      </c>
      <c r="D606" s="177" t="s">
        <v>44</v>
      </c>
      <c r="E606" s="178"/>
      <c r="F606" s="178"/>
      <c r="G606" s="179"/>
      <c r="H606" s="180"/>
      <c r="I606" s="162"/>
      <c r="J606" s="162"/>
      <c r="K606" s="163"/>
      <c r="L606" s="181"/>
      <c r="M606" s="181"/>
      <c r="N606" s="181"/>
      <c r="O606" s="181"/>
      <c r="P606" s="181"/>
    </row>
    <row r="607" spans="1:16" ht="21.75" customHeight="1" x14ac:dyDescent="0.3">
      <c r="A607" s="175"/>
      <c r="B607" s="176"/>
      <c r="C607" s="176"/>
      <c r="D607" s="182">
        <v>1</v>
      </c>
      <c r="E607" s="183" t="s">
        <v>45</v>
      </c>
      <c r="F607" s="184"/>
      <c r="G607" s="185"/>
      <c r="H607" s="186"/>
      <c r="I607" s="187"/>
      <c r="J607" s="197">
        <f ca="1">กำแพงเพชร!J607+เชียงราย!J607+เชียงใหม่!J607+ตาก!J607+นครสวรรค์!J607+น่าน!J607+พะเยา!J607+พิจิตร!J607+พิษณุโลก!J607+เพชรบูรณ์!J607+แพร่!J607+แม่ฮ่องสอน!J607+ลำปาง!J607+ลำพูน!J607+สุโขทัย!J607+อุตรดิตถ์!J607+อุทัยธานี!J607</f>
        <v>0</v>
      </c>
      <c r="K607" s="163"/>
      <c r="L607" s="181"/>
      <c r="M607" s="181"/>
      <c r="N607" s="181"/>
      <c r="O607" s="181"/>
      <c r="P607" s="181"/>
    </row>
    <row r="608" spans="1:16" ht="21.75" customHeight="1" x14ac:dyDescent="0.3">
      <c r="A608" s="175"/>
      <c r="B608" s="176"/>
      <c r="C608" s="176"/>
      <c r="D608" s="189">
        <v>2</v>
      </c>
      <c r="E608" s="190" t="s">
        <v>46</v>
      </c>
      <c r="F608" s="191"/>
      <c r="G608" s="192"/>
      <c r="H608" s="186"/>
      <c r="I608" s="187"/>
      <c r="J608" s="197">
        <f ca="1">กำแพงเพชร!J608+เชียงราย!J608+เชียงใหม่!J608+ตาก!J608+นครสวรรค์!J608+น่าน!J608+พะเยา!J608+พิจิตร!J608+พิษณุโลก!J608+เพชรบูรณ์!J608+แพร่!J608+แม่ฮ่องสอน!J608+ลำปาง!J608+ลำพูน!J608+สุโขทัย!J608+อุตรดิตถ์!J608+อุทัยธานี!J608</f>
        <v>16</v>
      </c>
      <c r="K608" s="163"/>
      <c r="L608" s="181" t="s">
        <v>40</v>
      </c>
      <c r="M608" s="181"/>
      <c r="N608" s="181" t="s">
        <v>40</v>
      </c>
      <c r="O608" s="181"/>
      <c r="P608" s="181"/>
    </row>
    <row r="609" spans="1:16" ht="21.75" hidden="1" customHeight="1" x14ac:dyDescent="0.3">
      <c r="A609" s="373"/>
      <c r="B609" s="374"/>
      <c r="C609" s="374"/>
      <c r="D609" s="486"/>
      <c r="E609" s="487" t="s">
        <v>47</v>
      </c>
      <c r="F609" s="488"/>
      <c r="G609" s="379"/>
      <c r="H609" s="186"/>
      <c r="I609" s="187"/>
      <c r="J609" s="187">
        <f ca="1">กำแพงเพชร!J609+เชียงราย!J609+เชียงใหม่!J609+ตาก!J609+นครสวรรค์!J609+น่าน!J609+พะเยา!J609+พิจิตร!J609+พิษณุโลก!J609+เพชรบูรณ์!J609+แพร่!J609+แม่ฮ่องสอน!J609+ลำปาง!J609+ลำพูน!J609+สุโขทัย!J609+อุตรดิตถ์!J609+อุทัยธานี!J609</f>
        <v>0</v>
      </c>
      <c r="K609" s="223"/>
      <c r="L609" s="168"/>
      <c r="M609" s="168"/>
      <c r="N609" s="168"/>
      <c r="O609" s="168"/>
      <c r="P609" s="168"/>
    </row>
    <row r="610" spans="1:16" ht="21.75" hidden="1" customHeight="1" x14ac:dyDescent="0.3">
      <c r="A610" s="373"/>
      <c r="B610" s="374"/>
      <c r="C610" s="374"/>
      <c r="D610" s="486"/>
      <c r="E610" s="487" t="s">
        <v>48</v>
      </c>
      <c r="F610" s="488"/>
      <c r="G610" s="379"/>
      <c r="H610" s="186"/>
      <c r="I610" s="187"/>
      <c r="J610" s="187">
        <f ca="1">กำแพงเพชร!J610+เชียงราย!J610+เชียงใหม่!J610+ตาก!J610+นครสวรรค์!J610+น่าน!J610+พะเยา!J610+พิจิตร!J610+พิษณุโลก!J610+เพชรบูรณ์!J610+แพร่!J610+แม่ฮ่องสอน!J610+ลำปาง!J610+ลำพูน!J610+สุโขทัย!J610+อุตรดิตถ์!J610+อุทัยธานี!J610</f>
        <v>0</v>
      </c>
      <c r="K610" s="223"/>
      <c r="L610" s="168"/>
      <c r="M610" s="168"/>
      <c r="N610" s="168"/>
      <c r="O610" s="168"/>
      <c r="P610" s="168"/>
    </row>
    <row r="611" spans="1:16" ht="21.75" customHeight="1" x14ac:dyDescent="0.3">
      <c r="A611" s="175"/>
      <c r="B611" s="176"/>
      <c r="C611" s="176"/>
      <c r="D611" s="193"/>
      <c r="E611" s="195"/>
      <c r="F611" s="195" t="s">
        <v>219</v>
      </c>
      <c r="G611" s="196"/>
      <c r="H611" s="180" t="s">
        <v>122</v>
      </c>
      <c r="I611" s="187">
        <f ca="1">กำแพงเพชร!I611+เชียงราย!I611+เชียงใหม่!I611+ตาก!I611+นครสวรรค์!I611+น่าน!I611+พะเยา!I611+พิจิตร!I611+พิษณุโลก!I611+เพชรบูรณ์!I611+แพร่!I611+แม่ฮ่องสอน!I611+ลำปาง!I611+ลำพูน!I611+สุโขทัย!I611+อุตรดิตถ์!I611+อุทัยธานี!I611</f>
        <v>1470</v>
      </c>
      <c r="J611" s="162">
        <f ca="1">กำแพงเพชร!J611+เชียงราย!J611+เชียงใหม่!J611+ตาก!J611+นครสวรรค์!J611+น่าน!J611+พะเยา!J611+พิจิตร!J611+พิษณุโลก!J611+เพชรบูรณ์!J611+แพร่!J611+แม่ฮ่องสอน!J611+ลำปาง!J611+ลำพูน!J611+สุโขทัย!J611+อุตรดิตถ์!J611+อุทัยธานี!J611</f>
        <v>0</v>
      </c>
      <c r="K611" s="163">
        <f t="shared" ref="K611:K619" ca="1" si="95">IF(I$611&gt;0,J611*100/I$611,0)</f>
        <v>0</v>
      </c>
      <c r="L611" s="181"/>
      <c r="M611" s="181"/>
      <c r="N611" s="181"/>
      <c r="O611" s="181"/>
      <c r="P611" s="181"/>
    </row>
    <row r="612" spans="1:16" ht="21.75" customHeight="1" x14ac:dyDescent="0.3">
      <c r="A612" s="175"/>
      <c r="B612" s="176"/>
      <c r="C612" s="176"/>
      <c r="D612" s="193"/>
      <c r="E612" s="198"/>
      <c r="F612" s="195"/>
      <c r="G612" s="225" t="s">
        <v>220</v>
      </c>
      <c r="H612" s="180" t="s">
        <v>122</v>
      </c>
      <c r="I612" s="203">
        <f ca="1">กำแพงเพชร!I612+เชียงราย!I612+เชียงใหม่!I612+ตาก!I612+นครสวรรค์!I612+น่าน!I612+พะเยา!I612+พิจิตร!I612+พิษณุโลก!I612+เพชรบูรณ์!I612+แพร่!I612+แม่ฮ่องสอน!I612+ลำปาง!I612+ลำพูน!I612+สุโขทัย!I612+อุตรดิตถ์!I612+อุทัยธานี!I612</f>
        <v>0</v>
      </c>
      <c r="J612" s="197">
        <f ca="1">กำแพงเพชร!J612+เชียงราย!J612+เชียงใหม่!J612+ตาก!J612+นครสวรรค์!J612+น่าน!J612+พะเยา!J612+พิจิตร!J612+พิษณุโลก!J612+เพชรบูรณ์!J612+แพร่!J612+แม่ฮ่องสอน!J612+ลำปาง!J612+ลำพูน!J612+สุโขทัย!J612+อุตรดิตถ์!J612+อุทัยธานี!J612</f>
        <v>338.75</v>
      </c>
      <c r="K612" s="163">
        <f t="shared" ca="1" si="95"/>
        <v>23.044217687074831</v>
      </c>
      <c r="L612" s="181"/>
      <c r="M612" s="181"/>
      <c r="N612" s="181"/>
      <c r="O612" s="181"/>
      <c r="P612" s="181"/>
    </row>
    <row r="613" spans="1:16" ht="21.75" customHeight="1" x14ac:dyDescent="0.3">
      <c r="A613" s="175"/>
      <c r="B613" s="176"/>
      <c r="C613" s="176"/>
      <c r="D613" s="193"/>
      <c r="E613" s="198"/>
      <c r="F613" s="195"/>
      <c r="G613" s="225" t="s">
        <v>221</v>
      </c>
      <c r="H613" s="180" t="s">
        <v>122</v>
      </c>
      <c r="I613" s="203">
        <f ca="1">กำแพงเพชร!I613+เชียงราย!I613+เชียงใหม่!I613+ตาก!I613+นครสวรรค์!I613+น่าน!I613+พะเยา!I613+พิจิตร!I613+พิษณุโลก!I613+เพชรบูรณ์!I613+แพร่!I613+แม่ฮ่องสอน!I613+ลำปาง!I613+ลำพูน!I613+สุโขทัย!I613+อุตรดิตถ์!I613+อุทัยธานี!I613</f>
        <v>0</v>
      </c>
      <c r="J613" s="197">
        <f ca="1">กำแพงเพชร!J613+เชียงราย!J613+เชียงใหม่!J613+ตาก!J613+นครสวรรค์!J613+น่าน!J613+พะเยา!J613+พิจิตร!J613+พิษณุโลก!J613+เพชรบูรณ์!J613+แพร่!J613+แม่ฮ่องสอน!J613+ลำปาง!J613+ลำพูน!J613+สุโขทัย!J613+อุตรดิตถ์!J613+อุทัยธานี!J613</f>
        <v>50</v>
      </c>
      <c r="K613" s="163">
        <f t="shared" ca="1" si="95"/>
        <v>3.4013605442176869</v>
      </c>
      <c r="L613" s="181"/>
      <c r="M613" s="181"/>
      <c r="N613" s="181"/>
      <c r="O613" s="181"/>
      <c r="P613" s="181"/>
    </row>
    <row r="614" spans="1:16" ht="21.75" customHeight="1" x14ac:dyDescent="0.3">
      <c r="A614" s="175"/>
      <c r="B614" s="176"/>
      <c r="C614" s="176"/>
      <c r="D614" s="193"/>
      <c r="E614" s="198"/>
      <c r="F614" s="195"/>
      <c r="G614" s="225" t="s">
        <v>222</v>
      </c>
      <c r="H614" s="180" t="s">
        <v>122</v>
      </c>
      <c r="I614" s="203">
        <f ca="1">กำแพงเพชร!I614+เชียงราย!I614+เชียงใหม่!I614+ตาก!I614+นครสวรรค์!I614+น่าน!I614+พะเยา!I614+พิจิตร!I614+พิษณุโลก!I614+เพชรบูรณ์!I614+แพร่!I614+แม่ฮ่องสอน!I614+ลำปาง!I614+ลำพูน!I614+สุโขทัย!I614+อุตรดิตถ์!I614+อุทัยธานี!I614</f>
        <v>0</v>
      </c>
      <c r="J614" s="197">
        <f ca="1">กำแพงเพชร!J614+เชียงราย!J614+เชียงใหม่!J614+ตาก!J614+นครสวรรค์!J614+น่าน!J614+พะเยา!J614+พิจิตร!J614+พิษณุโลก!J614+เพชรบูรณ์!J614+แพร่!J614+แม่ฮ่องสอน!J614+ลำปาง!J614+ลำพูน!J614+สุโขทัย!J614+อุตรดิตถ์!J614+อุทัยธานี!J614</f>
        <v>147.80000000000001</v>
      </c>
      <c r="K614" s="163">
        <f t="shared" ca="1" si="95"/>
        <v>10.054421768707485</v>
      </c>
      <c r="L614" s="181"/>
      <c r="M614" s="181"/>
      <c r="N614" s="181"/>
      <c r="O614" s="181"/>
      <c r="P614" s="181"/>
    </row>
    <row r="615" spans="1:16" ht="21.75" customHeight="1" x14ac:dyDescent="0.3">
      <c r="A615" s="175"/>
      <c r="B615" s="176"/>
      <c r="C615" s="176"/>
      <c r="D615" s="193"/>
      <c r="E615" s="198"/>
      <c r="F615" s="195"/>
      <c r="G615" s="225" t="s">
        <v>223</v>
      </c>
      <c r="H615" s="180" t="s">
        <v>122</v>
      </c>
      <c r="I615" s="203">
        <f ca="1">กำแพงเพชร!I615+เชียงราย!I615+เชียงใหม่!I615+ตาก!I615+นครสวรรค์!I615+น่าน!I615+พะเยา!I615+พิจิตร!I615+พิษณุโลก!I615+เพชรบูรณ์!I615+แพร่!I615+แม่ฮ่องสอน!I615+ลำปาง!I615+ลำพูน!I615+สุโขทัย!I615+อุตรดิตถ์!I615+อุทัยธานี!I615</f>
        <v>0</v>
      </c>
      <c r="J615" s="197">
        <f ca="1">กำแพงเพชร!J615+เชียงราย!J615+เชียงใหม่!J615+ตาก!J615+นครสวรรค์!J615+น่าน!J615+พะเยา!J615+พิจิตร!J615+พิษณุโลก!J615+เพชรบูรณ์!J615+แพร่!J615+แม่ฮ่องสอน!J615+ลำปาง!J615+ลำพูน!J615+สุโขทัย!J615+อุตรดิตถ์!J615+อุทัยธานี!J615</f>
        <v>50</v>
      </c>
      <c r="K615" s="163">
        <f t="shared" ca="1" si="95"/>
        <v>3.4013605442176869</v>
      </c>
      <c r="L615" s="181"/>
      <c r="M615" s="181"/>
      <c r="N615" s="181"/>
      <c r="O615" s="181"/>
      <c r="P615" s="181"/>
    </row>
    <row r="616" spans="1:16" ht="21.75" customHeight="1" x14ac:dyDescent="0.3">
      <c r="A616" s="175"/>
      <c r="B616" s="176"/>
      <c r="C616" s="176"/>
      <c r="D616" s="193"/>
      <c r="E616" s="198"/>
      <c r="F616" s="195"/>
      <c r="G616" s="194" t="s">
        <v>224</v>
      </c>
      <c r="H616" s="180" t="s">
        <v>122</v>
      </c>
      <c r="I616" s="203">
        <f ca="1">กำแพงเพชร!I616+เชียงราย!I616+เชียงใหม่!I616+ตาก!I616+นครสวรรค์!I616+น่าน!I616+พะเยา!I616+พิจิตร!I616+พิษณุโลก!I616+เพชรบูรณ์!I616+แพร่!I616+แม่ฮ่องสอน!I616+ลำปาง!I616+ลำพูน!I616+สุโขทัย!I616+อุตรดิตถ์!I616+อุทัยธานี!I616</f>
        <v>0</v>
      </c>
      <c r="J616" s="197">
        <f ca="1">กำแพงเพชร!J616+เชียงราย!J616+เชียงใหม่!J616+ตาก!J616+นครสวรรค์!J616+น่าน!J616+พะเยา!J616+พิจิตร!J616+พิษณุโลก!J616+เพชรบูรณ์!J616+แพร่!J616+แม่ฮ่องสอน!J616+ลำปาง!J616+ลำพูน!J616+สุโขทัย!J616+อุตรดิตถ์!J616+อุทัยธานี!J616</f>
        <v>50</v>
      </c>
      <c r="K616" s="163">
        <f t="shared" ca="1" si="95"/>
        <v>3.4013605442176869</v>
      </c>
      <c r="L616" s="181"/>
      <c r="M616" s="181"/>
      <c r="N616" s="181"/>
      <c r="O616" s="181"/>
      <c r="P616" s="181"/>
    </row>
    <row r="617" spans="1:16" ht="21.75" customHeight="1" x14ac:dyDescent="0.3">
      <c r="A617" s="175"/>
      <c r="B617" s="176"/>
      <c r="C617" s="176"/>
      <c r="D617" s="193"/>
      <c r="E617" s="198"/>
      <c r="F617" s="195"/>
      <c r="G617" s="194" t="s">
        <v>225</v>
      </c>
      <c r="H617" s="180" t="s">
        <v>122</v>
      </c>
      <c r="I617" s="187">
        <f ca="1">กำแพงเพชร!I617+เชียงราย!I617+เชียงใหม่!I617+ตาก!I617+นครสวรรค์!I617+น่าน!I617+พะเยา!I617+พิจิตร!I617+พิษณุโลก!I617+เพชรบูรณ์!I617+แพร่!I617+แม่ฮ่องสอน!I617+ลำปาง!I617+ลำพูน!I617+สุโขทัย!I617+อุตรดิตถ์!I617+อุทัยธานี!I617</f>
        <v>0</v>
      </c>
      <c r="J617" s="187">
        <f ca="1">กำแพงเพชร!J617+เชียงราย!J617+เชียงใหม่!J617+ตาก!J617+นครสวรรค์!J617+น่าน!J617+พะเยา!J617+พิจิตร!J617+พิษณุโลก!J617+เพชรบูรณ์!J617+แพร่!J617+แม่ฮ่องสอน!J617+ลำปาง!J617+ลำพูน!J617+สุโขทัย!J617+อุตรดิตถ์!J617+อุทัยธานี!J617</f>
        <v>0</v>
      </c>
      <c r="K617" s="163">
        <f t="shared" ca="1" si="95"/>
        <v>0</v>
      </c>
      <c r="L617" s="181"/>
      <c r="M617" s="181"/>
      <c r="N617" s="181"/>
      <c r="O617" s="181"/>
      <c r="P617" s="181"/>
    </row>
    <row r="618" spans="1:16" ht="21.75" customHeight="1" x14ac:dyDescent="0.3">
      <c r="A618" s="175"/>
      <c r="B618" s="176"/>
      <c r="C618" s="176"/>
      <c r="D618" s="193"/>
      <c r="E618" s="198"/>
      <c r="F618" s="195"/>
      <c r="G618" s="489" t="s">
        <v>226</v>
      </c>
      <c r="H618" s="180" t="s">
        <v>122</v>
      </c>
      <c r="I618" s="203">
        <f ca="1">กำแพงเพชร!I618+เชียงราย!I618+เชียงใหม่!I618+ตาก!I618+นครสวรรค์!I618+น่าน!I618+พะเยา!I618+พิจิตร!I618+พิษณุโลก!I618+เพชรบูรณ์!I618+แพร่!I618+แม่ฮ่องสอน!I618+ลำปาง!I618+ลำพูน!I618+สุโขทัย!I618+อุตรดิตถ์!I618+อุทัยธานี!I618</f>
        <v>0</v>
      </c>
      <c r="J618" s="188">
        <f ca="1">กำแพงเพชร!J618+เชียงราย!J618+เชียงใหม่!J618+ตาก!J618+นครสวรรค์!J618+น่าน!J618+พะเยา!J618+พิจิตร!J618+พิษณุโลก!J618+เพชรบูรณ์!J618+แพร่!J618+แม่ฮ่องสอน!J618+ลำปาง!J618+ลำพูน!J618+สุโขทัย!J618+อุตรดิตถ์!J618+อุทัยธานี!J618</f>
        <v>0</v>
      </c>
      <c r="K618" s="163">
        <f t="shared" ca="1" si="95"/>
        <v>0</v>
      </c>
      <c r="L618" s="181"/>
      <c r="M618" s="181"/>
      <c r="N618" s="181"/>
      <c r="O618" s="181"/>
      <c r="P618" s="181"/>
    </row>
    <row r="619" spans="1:16" ht="21.75" customHeight="1" x14ac:dyDescent="0.3">
      <c r="A619" s="175"/>
      <c r="B619" s="176"/>
      <c r="C619" s="176"/>
      <c r="D619" s="193"/>
      <c r="E619" s="198"/>
      <c r="F619" s="195"/>
      <c r="G619" s="489" t="s">
        <v>227</v>
      </c>
      <c r="H619" s="180" t="s">
        <v>122</v>
      </c>
      <c r="I619" s="203">
        <f ca="1">กำแพงเพชร!I619+เชียงราย!I619+เชียงใหม่!I619+ตาก!I619+นครสวรรค์!I619+น่าน!I619+พะเยา!I619+พิจิตร!I619+พิษณุโลก!I619+เพชรบูรณ์!I619+แพร่!I619+แม่ฮ่องสอน!I619+ลำปาง!I619+ลำพูน!I619+สุโขทัย!I619+อุตรดิตถ์!I619+อุทัยธานี!I619</f>
        <v>0</v>
      </c>
      <c r="J619" s="188">
        <f ca="1">กำแพงเพชร!J619+เชียงราย!J619+เชียงใหม่!J619+ตาก!J619+นครสวรรค์!J619+น่าน!J619+พะเยา!J619+พิจิตร!J619+พิษณุโลก!J619+เพชรบูรณ์!J619+แพร่!J619+แม่ฮ่องสอน!J619+ลำปาง!J619+ลำพูน!J619+สุโขทัย!J619+อุตรดิตถ์!J619+อุทัยธานี!J619</f>
        <v>0</v>
      </c>
      <c r="K619" s="163">
        <f t="shared" ca="1" si="95"/>
        <v>0</v>
      </c>
      <c r="L619" s="181"/>
      <c r="M619" s="181"/>
      <c r="N619" s="181"/>
      <c r="O619" s="181"/>
      <c r="P619" s="181"/>
    </row>
    <row r="620" spans="1:16" ht="21.75" customHeight="1" x14ac:dyDescent="0.3">
      <c r="A620" s="175"/>
      <c r="B620" s="176"/>
      <c r="C620" s="176"/>
      <c r="D620" s="193"/>
      <c r="E620" s="195"/>
      <c r="F620" s="194" t="s">
        <v>228</v>
      </c>
      <c r="G620" s="196"/>
      <c r="H620" s="180" t="s">
        <v>122</v>
      </c>
      <c r="I620" s="187">
        <f ca="1">กำแพงเพชร!I620+เชียงราย!I620+เชียงใหม่!I620+ตาก!I620+นครสวรรค์!I620+น่าน!I620+พะเยา!I620+พิจิตร!I620+พิษณุโลก!I620+เพชรบูรณ์!I620+แพร่!I620+แม่ฮ่องสอน!I620+ลำปาง!I620+ลำพูน!I620+สุโขทัย!I620+อุตรดิตถ์!I620+อุทัยธานี!I620</f>
        <v>3997</v>
      </c>
      <c r="J620" s="202">
        <f ca="1">กำแพงเพชร!J620+เชียงราย!J620+เชียงใหม่!J620+ตาก!J620+นครสวรรค์!J620+น่าน!J620+พะเยา!J620+พิจิตร!J620+พิษณุโลก!J620+เพชรบูรณ์!J620+แพร่!J620+แม่ฮ่องสอน!J620+ลำปาง!J620+ลำพูน!J620+สุโขทัย!J620+อุตรดิตถ์!J620+อุทัยธานี!J620</f>
        <v>0</v>
      </c>
      <c r="K620" s="163">
        <f t="shared" ref="K620:K626" ca="1" si="96">IF(I$620&gt;0,J620*100/I$620,0)</f>
        <v>0</v>
      </c>
      <c r="L620" s="181"/>
      <c r="M620" s="181"/>
      <c r="N620" s="181"/>
      <c r="O620" s="181"/>
      <c r="P620" s="181"/>
    </row>
    <row r="621" spans="1:16" ht="21.75" customHeight="1" x14ac:dyDescent="0.3">
      <c r="A621" s="175"/>
      <c r="B621" s="176"/>
      <c r="C621" s="176"/>
      <c r="D621" s="193"/>
      <c r="E621" s="198"/>
      <c r="F621" s="195"/>
      <c r="G621" s="225" t="s">
        <v>225</v>
      </c>
      <c r="H621" s="180" t="s">
        <v>122</v>
      </c>
      <c r="I621" s="202">
        <f ca="1">กำแพงเพชร!I621+เชียงราย!I621+เชียงใหม่!I621+ตาก!I621+นครสวรรค์!I621+น่าน!I621+พะเยา!I621+พิจิตร!I621+พิษณุโลก!I621+เพชรบูรณ์!I621+แพร่!I621+แม่ฮ่องสอน!I621+ลำปาง!I621+ลำพูน!I621+สุโขทัย!I621+อุตรดิตถ์!I621+อุทัยธานี!I621</f>
        <v>0</v>
      </c>
      <c r="J621" s="202">
        <f ca="1">กำแพงเพชร!J621+เชียงราย!J621+เชียงใหม่!J621+ตาก!J621+นครสวรรค์!J621+น่าน!J621+พะเยา!J621+พิจิตร!J621+พิษณุโลก!J621+เพชรบูรณ์!J621+แพร่!J621+แม่ฮ่องสอน!J621+ลำปาง!J621+ลำพูน!J621+สุโขทัย!J621+อุตรดิตถ์!J621+อุทัยธานี!J621</f>
        <v>0</v>
      </c>
      <c r="K621" s="163">
        <f t="shared" ca="1" si="96"/>
        <v>0</v>
      </c>
      <c r="L621" s="181"/>
      <c r="M621" s="181"/>
      <c r="N621" s="181"/>
      <c r="O621" s="181"/>
      <c r="P621" s="181"/>
    </row>
    <row r="622" spans="1:16" ht="21.75" customHeight="1" x14ac:dyDescent="0.3">
      <c r="A622" s="175"/>
      <c r="B622" s="176"/>
      <c r="C622" s="176"/>
      <c r="D622" s="193"/>
      <c r="E622" s="198"/>
      <c r="F622" s="195"/>
      <c r="G622" s="489" t="s">
        <v>226</v>
      </c>
      <c r="H622" s="180" t="s">
        <v>122</v>
      </c>
      <c r="I622" s="203">
        <f ca="1">กำแพงเพชร!I622+เชียงราย!I622+เชียงใหม่!I622+ตาก!I622+นครสวรรค์!I622+น่าน!I622+พะเยา!I622+พิจิตร!I622+พิษณุโลก!I622+เพชรบูรณ์!I622+แพร่!I622+แม่ฮ่องสอน!I622+ลำปาง!I622+ลำพูน!I622+สุโขทัย!I622+อุตรดิตถ์!I622+อุทัยธานี!I622</f>
        <v>0</v>
      </c>
      <c r="J622" s="188">
        <f ca="1">กำแพงเพชร!J622+เชียงราย!J622+เชียงใหม่!J622+ตาก!J622+นครสวรรค์!J622+น่าน!J622+พะเยา!J622+พิจิตร!J622+พิษณุโลก!J622+เพชรบูรณ์!J622+แพร่!J622+แม่ฮ่องสอน!J622+ลำปาง!J622+ลำพูน!J622+สุโขทัย!J622+อุตรดิตถ์!J622+อุทัยธานี!J622</f>
        <v>0</v>
      </c>
      <c r="K622" s="163">
        <f t="shared" ca="1" si="96"/>
        <v>0</v>
      </c>
      <c r="L622" s="181"/>
      <c r="M622" s="181"/>
      <c r="N622" s="181"/>
      <c r="O622" s="181"/>
      <c r="P622" s="181"/>
    </row>
    <row r="623" spans="1:16" ht="21.75" customHeight="1" x14ac:dyDescent="0.3">
      <c r="A623" s="175"/>
      <c r="B623" s="176"/>
      <c r="C623" s="176"/>
      <c r="D623" s="193"/>
      <c r="E623" s="198"/>
      <c r="F623" s="195"/>
      <c r="G623" s="489" t="s">
        <v>227</v>
      </c>
      <c r="H623" s="180" t="s">
        <v>122</v>
      </c>
      <c r="I623" s="203">
        <f ca="1">กำแพงเพชร!I623+เชียงราย!I623+เชียงใหม่!I623+ตาก!I623+นครสวรรค์!I623+น่าน!I623+พะเยา!I623+พิจิตร!I623+พิษณุโลก!I623+เพชรบูรณ์!I623+แพร่!I623+แม่ฮ่องสอน!I623+ลำปาง!I623+ลำพูน!I623+สุโขทัย!I623+อุตรดิตถ์!I623+อุทัยธานี!I623</f>
        <v>0</v>
      </c>
      <c r="J623" s="188">
        <f ca="1">กำแพงเพชร!J623+เชียงราย!J623+เชียงใหม่!J623+ตาก!J623+นครสวรรค์!J623+น่าน!J623+พะเยา!J623+พิจิตร!J623+พิษณุโลก!J623+เพชรบูรณ์!J623+แพร่!J623+แม่ฮ่องสอน!J623+ลำปาง!J623+ลำพูน!J623+สุโขทัย!J623+อุตรดิตถ์!J623+อุทัยธานี!J623</f>
        <v>0</v>
      </c>
      <c r="K623" s="163">
        <f t="shared" ca="1" si="96"/>
        <v>0</v>
      </c>
      <c r="L623" s="181"/>
      <c r="M623" s="181"/>
      <c r="N623" s="181"/>
      <c r="O623" s="181"/>
      <c r="P623" s="181"/>
    </row>
    <row r="624" spans="1:16" ht="21.75" customHeight="1" x14ac:dyDescent="0.3">
      <c r="A624" s="175"/>
      <c r="B624" s="176"/>
      <c r="C624" s="176"/>
      <c r="D624" s="193"/>
      <c r="E624" s="198"/>
      <c r="F624" s="195"/>
      <c r="G624" s="225" t="s">
        <v>229</v>
      </c>
      <c r="H624" s="180" t="s">
        <v>122</v>
      </c>
      <c r="I624" s="187">
        <f ca="1">กำแพงเพชร!I624+เชียงราย!I624+เชียงใหม่!I624+ตาก!I624+นครสวรรค์!I624+น่าน!I624+พะเยา!I624+พิจิตร!I624+พิษณุโลก!I624+เพชรบูรณ์!I624+แพร่!I624+แม่ฮ่องสอน!I624+ลำปาง!I624+ลำพูน!I624+สุโขทัย!I624+อุตรดิตถ์!I624+อุทัยธานี!I624</f>
        <v>0</v>
      </c>
      <c r="J624" s="187">
        <f ca="1">กำแพงเพชร!J624+เชียงราย!J624+เชียงใหม่!J624+ตาก!J624+นครสวรรค์!J624+น่าน!J624+พะเยา!J624+พิจิตร!J624+พิษณุโลก!J624+เพชรบูรณ์!J624+แพร่!J624+แม่ฮ่องสอน!J624+ลำปาง!J624+ลำพูน!J624+สุโขทัย!J624+อุตรดิตถ์!J624+อุทัยธานี!J624</f>
        <v>100</v>
      </c>
      <c r="K624" s="163">
        <f t="shared" ca="1" si="96"/>
        <v>2.5018764073054789</v>
      </c>
      <c r="L624" s="181"/>
      <c r="M624" s="181"/>
      <c r="N624" s="181"/>
      <c r="O624" s="181"/>
      <c r="P624" s="181"/>
    </row>
    <row r="625" spans="1:16" ht="21.75" customHeight="1" x14ac:dyDescent="0.3">
      <c r="A625" s="175"/>
      <c r="B625" s="176"/>
      <c r="C625" s="176"/>
      <c r="D625" s="193"/>
      <c r="E625" s="198"/>
      <c r="F625" s="195"/>
      <c r="G625" s="489" t="s">
        <v>230</v>
      </c>
      <c r="H625" s="180" t="s">
        <v>122</v>
      </c>
      <c r="I625" s="203">
        <f ca="1">กำแพงเพชร!I625+เชียงราย!I625+เชียงใหม่!I625+ตาก!I625+นครสวรรค์!I625+น่าน!I625+พะเยา!I625+พิจิตร!I625+พิษณุโลก!I625+เพชรบูรณ์!I625+แพร่!I625+แม่ฮ่องสอน!I625+ลำปาง!I625+ลำพูน!I625+สุโขทัย!I625+อุตรดิตถ์!I625+อุทัยธานี!I625</f>
        <v>0</v>
      </c>
      <c r="J625" s="188">
        <f ca="1">กำแพงเพชร!J625+เชียงราย!J625+เชียงใหม่!J625+ตาก!J625+นครสวรรค์!J625+น่าน!J625+พะเยา!J625+พิจิตร!J625+พิษณุโลก!J625+เพชรบูรณ์!J625+แพร่!J625+แม่ฮ่องสอน!J625+ลำปาง!J625+ลำพูน!J625+สุโขทัย!J625+อุตรดิตถ์!J625+อุทัยธานี!J625</f>
        <v>0</v>
      </c>
      <c r="K625" s="163">
        <f t="shared" ca="1" si="96"/>
        <v>0</v>
      </c>
      <c r="L625" s="181"/>
      <c r="M625" s="181"/>
      <c r="N625" s="181"/>
      <c r="O625" s="181"/>
      <c r="P625" s="181"/>
    </row>
    <row r="626" spans="1:16" ht="21.75" customHeight="1" x14ac:dyDescent="0.3">
      <c r="A626" s="175"/>
      <c r="B626" s="176"/>
      <c r="C626" s="176"/>
      <c r="D626" s="193"/>
      <c r="E626" s="198"/>
      <c r="F626" s="195"/>
      <c r="G626" s="489" t="s">
        <v>231</v>
      </c>
      <c r="H626" s="180" t="s">
        <v>122</v>
      </c>
      <c r="I626" s="203">
        <f ca="1">กำแพงเพชร!I626+เชียงราย!I626+เชียงใหม่!I626+ตาก!I626+นครสวรรค์!I626+น่าน!I626+พะเยา!I626+พิจิตร!I626+พิษณุโลก!I626+เพชรบูรณ์!I626+แพร่!I626+แม่ฮ่องสอน!I626+ลำปาง!I626+ลำพูน!I626+สุโขทัย!I626+อุตรดิตถ์!I626+อุทัยธานี!I626</f>
        <v>0</v>
      </c>
      <c r="J626" s="188">
        <f ca="1">กำแพงเพชร!J626+เชียงราย!J626+เชียงใหม่!J626+ตาก!J626+นครสวรรค์!J626+น่าน!J626+พะเยา!J626+พิจิตร!J626+พิษณุโลก!J626+เพชรบูรณ์!J626+แพร่!J626+แม่ฮ่องสอน!J626+ลำปาง!J626+ลำพูน!J626+สุโขทัย!J626+อุตรดิตถ์!J626+อุทัยธานี!J626</f>
        <v>100</v>
      </c>
      <c r="K626" s="163">
        <f t="shared" ca="1" si="96"/>
        <v>2.5018764073054789</v>
      </c>
      <c r="L626" s="181"/>
      <c r="M626" s="181"/>
      <c r="N626" s="181"/>
      <c r="O626" s="181"/>
      <c r="P626" s="181"/>
    </row>
    <row r="627" spans="1:16" ht="21.75" customHeight="1" x14ac:dyDescent="0.3">
      <c r="A627" s="490" t="s">
        <v>232</v>
      </c>
      <c r="B627" s="491"/>
      <c r="C627" s="491"/>
      <c r="D627" s="491"/>
      <c r="E627" s="491"/>
      <c r="F627" s="491"/>
      <c r="G627" s="492"/>
      <c r="H627" s="493"/>
      <c r="I627" s="494"/>
      <c r="J627" s="494"/>
      <c r="K627" s="495"/>
      <c r="L627" s="495"/>
      <c r="M627" s="495"/>
      <c r="N627" s="495"/>
      <c r="O627" s="496"/>
      <c r="P627" s="496"/>
    </row>
    <row r="628" spans="1:16" ht="21.75" customHeight="1" x14ac:dyDescent="0.3">
      <c r="A628" s="476"/>
      <c r="B628" s="497" t="s">
        <v>233</v>
      </c>
      <c r="C628" s="157"/>
      <c r="D628" s="166"/>
      <c r="E628" s="159"/>
      <c r="F628" s="159"/>
      <c r="G628" s="160"/>
      <c r="H628" s="498" t="s">
        <v>12</v>
      </c>
      <c r="I628" s="339">
        <f ca="1">กำแพงเพชร!I628+เชียงราย!I628+เชียงใหม่!I628+ตาก!I628+นครสวรรค์!I628+น่าน!I628+พะเยา!I628+พิจิตร!I628+พิษณุโลก!I628+เพชรบูรณ์!I628+แพร่!I628+แม่ฮ่องสอน!I628+ลำปาง!I628+ลำพูน!I628+สุโขทัย!I628+อุตรดิตถ์!I628+อุทัยธานี!I628</f>
        <v>103074459.59000002</v>
      </c>
      <c r="J628" s="339">
        <f ca="1">กำแพงเพชร!J628+เชียงราย!J628+เชียงใหม่!J628+ตาก!J628+นครสวรรค์!J628+น่าน!J628+พะเยา!J628+พิจิตร!J628+พิษณุโลก!J628+เพชรบูรณ์!J628+แพร่!J628+แม่ฮ่องสอน!J628+ลำปาง!J628+ลำพูน!J628+สุโขทัย!J628+อุตรดิตถ์!J628+อุทัยธานี!J628</f>
        <v>27790152.199999999</v>
      </c>
      <c r="K628" s="340">
        <f t="shared" ref="K628:K635" ca="1" si="97">IF(I628&gt;0,J628*100/I628,0)</f>
        <v>26.96123977806052</v>
      </c>
      <c r="L628" s="340"/>
      <c r="M628" s="340"/>
      <c r="N628" s="340"/>
      <c r="O628" s="168"/>
      <c r="P628" s="168"/>
    </row>
    <row r="629" spans="1:16" ht="21.75" customHeight="1" x14ac:dyDescent="0.3">
      <c r="A629" s="476"/>
      <c r="B629" s="157"/>
      <c r="C629" s="157"/>
      <c r="D629" s="166"/>
      <c r="E629" s="159"/>
      <c r="F629" s="159"/>
      <c r="G629" s="160"/>
      <c r="H629" s="498" t="s">
        <v>37</v>
      </c>
      <c r="I629" s="339">
        <f ca="1">กำแพงเพชร!I629+เชียงราย!I629+เชียงใหม่!I629+ตาก!I629+นครสวรรค์!I629+น่าน!I629+พะเยา!I629+พิจิตร!I629+พิษณุโลก!I629+เพชรบูรณ์!I629+แพร่!I629+แม่ฮ่องสอน!I629+ลำปาง!I629+ลำพูน!I629+สุโขทัย!I629+อุตรดิตถ์!I629+อุทัยธานี!I629</f>
        <v>4860</v>
      </c>
      <c r="J629" s="339">
        <f ca="1">กำแพงเพชร!J629+เชียงราย!J629+เชียงใหม่!J629+ตาก!J629+นครสวรรค์!J629+น่าน!J629+พะเยา!J629+พิจิตร!J629+พิษณุโลก!J629+เพชรบูรณ์!J629+แพร่!J629+แม่ฮ่องสอน!J629+ลำปาง!J629+ลำพูน!J629+สุโขทัย!J629+อุตรดิตถ์!J629+อุทัยธานี!J629</f>
        <v>1553</v>
      </c>
      <c r="K629" s="340">
        <f t="shared" ca="1" si="97"/>
        <v>31.954732510288064</v>
      </c>
      <c r="L629" s="340"/>
      <c r="M629" s="340"/>
      <c r="N629" s="340"/>
      <c r="O629" s="168"/>
      <c r="P629" s="168"/>
    </row>
    <row r="630" spans="1:16" ht="21.75" customHeight="1" x14ac:dyDescent="0.3">
      <c r="A630" s="476"/>
      <c r="B630" s="497" t="s">
        <v>234</v>
      </c>
      <c r="C630" s="157"/>
      <c r="D630" s="166"/>
      <c r="E630" s="159"/>
      <c r="F630" s="159"/>
      <c r="G630" s="160"/>
      <c r="H630" s="498" t="s">
        <v>12</v>
      </c>
      <c r="I630" s="339">
        <f ca="1">กำแพงเพชร!I630+เชียงราย!I630+เชียงใหม่!I630+ตาก!I630+นครสวรรค์!I630+น่าน!I630+พะเยา!I630+พิจิตร!I630+พิษณุโลก!I630+เพชรบูรณ์!I630+แพร่!I630+แม่ฮ่องสอน!I630+ลำปาง!I630+ลำพูน!I630+สุโขทัย!I630+อุตรดิตถ์!I630+อุทัยธานี!I630</f>
        <v>111887936.91000001</v>
      </c>
      <c r="J630" s="339">
        <f ca="1">กำแพงเพชร!J630+เชียงราย!J630+เชียงใหม่!J630+ตาก!J630+นครสวรรค์!J630+น่าน!J630+พะเยา!J630+พิจิตร!J630+พิษณุโลก!J630+เพชรบูรณ์!J630+แพร่!J630+แม่ฮ่องสอน!J630+ลำปาง!J630+ลำพูน!J630+สุโขทัย!J630+อุตรดิตถ์!J630+อุทัยธานี!J630</f>
        <v>7297339.709999999</v>
      </c>
      <c r="K630" s="340">
        <f t="shared" ca="1" si="97"/>
        <v>6.5220075653640883</v>
      </c>
      <c r="L630" s="340"/>
      <c r="M630" s="340"/>
      <c r="N630" s="340"/>
      <c r="O630" s="168"/>
      <c r="P630" s="168"/>
    </row>
    <row r="631" spans="1:16" ht="21.75" customHeight="1" x14ac:dyDescent="0.3">
      <c r="A631" s="476"/>
      <c r="B631" s="157"/>
      <c r="C631" s="157"/>
      <c r="D631" s="166"/>
      <c r="E631" s="159"/>
      <c r="F631" s="159"/>
      <c r="G631" s="160"/>
      <c r="H631" s="498" t="s">
        <v>37</v>
      </c>
      <c r="I631" s="339">
        <f ca="1">กำแพงเพชร!I631+เชียงราย!I631+เชียงใหม่!I631+ตาก!I631+นครสวรรค์!I631+น่าน!I631+พะเยา!I631+พิจิตร!I631+พิษณุโลก!I631+เพชรบูรณ์!I631+แพร่!I631+แม่ฮ่องสอน!I631+ลำปาง!I631+ลำพูน!I631+สุโขทัย!I631+อุตรดิตถ์!I631+อุทัยธานี!I631</f>
        <v>4388</v>
      </c>
      <c r="J631" s="339">
        <f ca="1">กำแพงเพชร!J631+เชียงราย!J631+เชียงใหม่!J631+ตาก!J631+นครสวรรค์!J631+น่าน!J631+พะเยา!J631+พิจิตร!J631+พิษณุโลก!J631+เพชรบูรณ์!J631+แพร่!J631+แม่ฮ่องสอน!J631+ลำปาง!J631+ลำพูน!J631+สุโขทัย!J631+อุตรดิตถ์!J631+อุทัยธานี!J631</f>
        <v>1411</v>
      </c>
      <c r="K631" s="340">
        <f t="shared" ca="1" si="97"/>
        <v>32.155879671832267</v>
      </c>
      <c r="L631" s="340"/>
      <c r="M631" s="340"/>
      <c r="N631" s="340"/>
      <c r="O631" s="168"/>
      <c r="P631" s="168"/>
    </row>
    <row r="632" spans="1:16" ht="21.75" customHeight="1" x14ac:dyDescent="0.3">
      <c r="A632" s="476"/>
      <c r="B632" s="497" t="s">
        <v>235</v>
      </c>
      <c r="C632" s="157"/>
      <c r="D632" s="166"/>
      <c r="E632" s="159"/>
      <c r="F632" s="159"/>
      <c r="G632" s="160"/>
      <c r="H632" s="498" t="s">
        <v>12</v>
      </c>
      <c r="I632" s="339">
        <f ca="1">กำแพงเพชร!I632+เชียงราย!I632+เชียงใหม่!I632+ตาก!I632+นครสวรรค์!I632+น่าน!I632+พะเยา!I632+พิจิตร!I632+พิษณุโลก!I632+เพชรบูรณ์!I632+แพร่!I632+แม่ฮ่องสอน!I632+ลำปาง!I632+ลำพูน!I632+สุโขทัย!I632+อุตรดิตถ์!I632+อุทัยธานี!I632</f>
        <v>76453605.469999984</v>
      </c>
      <c r="J632" s="339">
        <f ca="1">กำแพงเพชร!J632+เชียงราย!J632+เชียงใหม่!J632+ตาก!J632+นครสวรรค์!J632+น่าน!J632+พะเยา!J632+พิจิตร!J632+พิษณุโลก!J632+เพชรบูรณ์!J632+แพร่!J632+แม่ฮ่องสอน!J632+ลำปาง!J632+ลำพูน!J632+สุโขทัย!J632+อุตรดิตถ์!J632+อุทัยธานี!J632</f>
        <v>13092678.920000002</v>
      </c>
      <c r="K632" s="340">
        <f t="shared" ca="1" si="97"/>
        <v>17.124998670124857</v>
      </c>
      <c r="L632" s="340"/>
      <c r="M632" s="340"/>
      <c r="N632" s="340"/>
      <c r="O632" s="168"/>
      <c r="P632" s="168"/>
    </row>
    <row r="633" spans="1:16" ht="21.75" customHeight="1" x14ac:dyDescent="0.3">
      <c r="A633" s="476"/>
      <c r="B633" s="497"/>
      <c r="C633" s="157"/>
      <c r="D633" s="166"/>
      <c r="E633" s="159"/>
      <c r="F633" s="159"/>
      <c r="G633" s="160"/>
      <c r="H633" s="498" t="s">
        <v>37</v>
      </c>
      <c r="I633" s="339">
        <f ca="1">กำแพงเพชร!I633+เชียงราย!I633+เชียงใหม่!I633+ตาก!I633+นครสวรรค์!I633+น่าน!I633+พะเยา!I633+พิจิตร!I633+พิษณุโลก!I633+เพชรบูรณ์!I633+แพร่!I633+แม่ฮ่องสอน!I633+ลำปาง!I633+ลำพูน!I633+สุโขทัย!I633+อุตรดิตถ์!I633+อุทัยธานี!I633</f>
        <v>6326</v>
      </c>
      <c r="J633" s="339">
        <f ca="1">กำแพงเพชร!J633+เชียงราย!J633+เชียงใหม่!J633+ตาก!J633+นครสวรรค์!J633+น่าน!J633+พะเยา!J633+พิจิตร!J633+พิษณุโลก!J633+เพชรบูรณ์!J633+แพร่!J633+แม่ฮ่องสอน!J633+ลำปาง!J633+ลำพูน!J633+สุโขทัย!J633+อุตรดิตถ์!J633+อุทัยธานี!J633</f>
        <v>1747</v>
      </c>
      <c r="K633" s="340">
        <f t="shared" ca="1" si="97"/>
        <v>27.616187164084728</v>
      </c>
      <c r="L633" s="340"/>
      <c r="M633" s="340"/>
      <c r="N633" s="340"/>
      <c r="O633" s="168"/>
      <c r="P633" s="168"/>
    </row>
    <row r="634" spans="1:16" ht="21.75" customHeight="1" x14ac:dyDescent="0.3">
      <c r="A634" s="476"/>
      <c r="B634" s="497" t="s">
        <v>236</v>
      </c>
      <c r="C634" s="157"/>
      <c r="D634" s="166"/>
      <c r="E634" s="159"/>
      <c r="F634" s="159"/>
      <c r="G634" s="160"/>
      <c r="H634" s="498" t="s">
        <v>12</v>
      </c>
      <c r="I634" s="339">
        <f ca="1">กำแพงเพชร!I634+เชียงราย!I634+เชียงใหม่!I634+ตาก!I634+นครสวรรค์!I634+น่าน!I634+พะเยา!I634+พิจิตร!I634+พิษณุโลก!I634+เพชรบูรณ์!I634+แพร่!I634+แม่ฮ่องสอน!I634+ลำปาง!I634+ลำพูน!I634+สุโขทัย!I634+อุตรดิตถ์!I634+อุทัยธานี!I634</f>
        <v>84535000</v>
      </c>
      <c r="J634" s="339">
        <f ca="1">กำแพงเพชร!J634+เชียงราย!J634+เชียงใหม่!J634+ตาก!J634+นครสวรรค์!J634+น่าน!J634+พะเยา!J634+พิจิตร!J634+พิษณุโลก!J634+เพชรบูรณ์!J634+แพร่!J634+แม่ฮ่องสอน!J634+ลำปาง!J634+ลำพูน!J634+สุโขทัย!J634+อุตรดิตถ์!J634+อุทัยธานี!J634</f>
        <v>13226000</v>
      </c>
      <c r="K634" s="340">
        <f t="shared" ca="1" si="97"/>
        <v>15.645590583781866</v>
      </c>
      <c r="L634" s="340"/>
      <c r="M634" s="340"/>
      <c r="N634" s="340"/>
      <c r="O634" s="168"/>
      <c r="P634" s="168"/>
    </row>
    <row r="635" spans="1:16" ht="21.75" customHeight="1" x14ac:dyDescent="0.3">
      <c r="A635" s="478"/>
      <c r="B635" s="480"/>
      <c r="C635" s="480"/>
      <c r="D635" s="479"/>
      <c r="E635" s="499"/>
      <c r="F635" s="499"/>
      <c r="G635" s="500"/>
      <c r="H635" s="501" t="s">
        <v>37</v>
      </c>
      <c r="I635" s="502">
        <f ca="1">กำแพงเพชร!I635+เชียงราย!I635+เชียงใหม่!I635+ตาก!I635+นครสวรรค์!I635+น่าน!I635+พะเยา!I635+พิจิตร!I635+พิษณุโลก!I635+เพชรบูรณ์!I635+แพร่!I635+แม่ฮ่องสอน!I635+ลำปาง!I635+ลำพูน!I635+สุโขทัย!I635+อุตรดิตถ์!I635+อุทัยธานี!I635</f>
        <v>2519</v>
      </c>
      <c r="J635" s="502">
        <f ca="1">กำแพงเพชร!J635+เชียงราย!J635+เชียงใหม่!J635+ตาก!J635+นครสวรรค์!J635+น่าน!J635+พะเยา!J635+พิจิตร!J635+พิษณุโลก!J635+เพชรบูรณ์!J635+แพร่!J635+แม่ฮ่องสอน!J635+ลำปาง!J635+ลำพูน!J635+สุโขทัย!J635+อุตรดิตถ์!J635+อุทัยธานี!J635</f>
        <v>366</v>
      </c>
      <c r="K635" s="484">
        <f t="shared" ca="1" si="97"/>
        <v>14.529575228265184</v>
      </c>
      <c r="L635" s="484"/>
      <c r="M635" s="484"/>
      <c r="N635" s="484"/>
      <c r="O635" s="503"/>
      <c r="P635" s="503"/>
    </row>
    <row r="636" spans="1:16" ht="21.75" customHeight="1" x14ac:dyDescent="0.3">
      <c r="A636" s="504"/>
      <c r="B636" s="504"/>
      <c r="C636" s="504"/>
      <c r="D636" s="504"/>
      <c r="E636" s="505" t="s">
        <v>237</v>
      </c>
      <c r="F636" s="505"/>
      <c r="G636" s="505"/>
      <c r="H636" s="506"/>
      <c r="I636" s="506"/>
      <c r="J636" s="506"/>
      <c r="K636" s="507"/>
      <c r="L636" s="508"/>
      <c r="M636" s="508"/>
      <c r="N636" s="508"/>
      <c r="O636" s="509"/>
      <c r="P636" s="509"/>
    </row>
    <row r="637" spans="1:16" ht="21.75" customHeight="1" x14ac:dyDescent="0.3">
      <c r="A637" s="504"/>
      <c r="B637" s="504"/>
      <c r="C637" s="504"/>
      <c r="D637" s="504"/>
      <c r="E637" s="506"/>
      <c r="F637" s="506"/>
      <c r="G637" s="506"/>
      <c r="H637" s="506"/>
      <c r="I637" s="506"/>
      <c r="J637" s="506"/>
      <c r="K637" s="507"/>
      <c r="L637" s="508"/>
      <c r="M637" s="508"/>
      <c r="N637" s="508"/>
      <c r="O637" s="509"/>
      <c r="P637" s="509"/>
    </row>
    <row r="638" spans="1:16" ht="21.75" customHeight="1" x14ac:dyDescent="0.3">
      <c r="A638" s="504"/>
      <c r="B638" s="504"/>
      <c r="C638" s="504"/>
      <c r="D638" s="504"/>
      <c r="E638" s="506"/>
      <c r="F638" s="506"/>
      <c r="G638" s="506"/>
      <c r="H638" s="506"/>
      <c r="I638" s="506"/>
      <c r="J638" s="506"/>
      <c r="K638" s="507"/>
      <c r="L638" s="508"/>
      <c r="M638" s="508"/>
      <c r="N638" s="508"/>
      <c r="O638" s="509"/>
      <c r="P638" s="509"/>
    </row>
    <row r="639" spans="1:16" ht="21.75" customHeight="1" x14ac:dyDescent="0.3">
      <c r="A639" s="504"/>
      <c r="B639" s="504"/>
      <c r="C639" s="504"/>
      <c r="D639" s="504"/>
      <c r="E639" s="506"/>
      <c r="F639" s="506"/>
      <c r="G639" s="506"/>
      <c r="H639" s="506"/>
      <c r="I639" s="506"/>
      <c r="J639" s="506"/>
      <c r="K639" s="507"/>
      <c r="L639" s="508"/>
      <c r="M639" s="508"/>
      <c r="N639" s="508"/>
      <c r="O639" s="509"/>
      <c r="P639" s="509"/>
    </row>
    <row r="640" spans="1:16" ht="21.75" customHeight="1" x14ac:dyDescent="0.3">
      <c r="A640" s="504"/>
      <c r="B640" s="504"/>
      <c r="C640" s="504"/>
      <c r="D640" s="504"/>
      <c r="E640" s="506"/>
      <c r="F640" s="506"/>
      <c r="G640" s="506"/>
      <c r="H640" s="506"/>
      <c r="I640" s="506"/>
      <c r="J640" s="506"/>
      <c r="K640" s="507"/>
      <c r="L640" s="508"/>
      <c r="M640" s="508"/>
      <c r="N640" s="508"/>
      <c r="O640" s="509"/>
      <c r="P640" s="509"/>
    </row>
    <row r="641" spans="1:16" ht="21.75" customHeight="1" x14ac:dyDescent="0.3">
      <c r="A641" s="504"/>
      <c r="B641" s="504"/>
      <c r="C641" s="504"/>
      <c r="D641" s="504"/>
      <c r="E641" s="506"/>
      <c r="F641" s="506"/>
      <c r="G641" s="506"/>
      <c r="H641" s="506"/>
      <c r="I641" s="506"/>
      <c r="J641" s="506"/>
      <c r="K641" s="507"/>
      <c r="L641" s="508"/>
      <c r="M641" s="508"/>
      <c r="N641" s="508"/>
      <c r="O641" s="509"/>
      <c r="P641" s="509"/>
    </row>
    <row r="642" spans="1:16" ht="21.75" customHeight="1" x14ac:dyDescent="0.3">
      <c r="A642" s="504"/>
      <c r="B642" s="504"/>
      <c r="C642" s="504"/>
      <c r="D642" s="504"/>
      <c r="E642" s="506"/>
      <c r="F642" s="506"/>
      <c r="G642" s="506"/>
      <c r="H642" s="506"/>
      <c r="I642" s="506"/>
      <c r="J642" s="506"/>
      <c r="K642" s="507"/>
      <c r="L642" s="508"/>
      <c r="M642" s="508"/>
      <c r="N642" s="508"/>
      <c r="O642" s="509"/>
      <c r="P642" s="509"/>
    </row>
    <row r="643" spans="1:16" ht="21.75" customHeight="1" x14ac:dyDescent="0.3">
      <c r="A643" s="504"/>
      <c r="B643" s="504"/>
      <c r="C643" s="504"/>
      <c r="D643" s="504"/>
      <c r="E643" s="506"/>
      <c r="F643" s="506"/>
      <c r="G643" s="506"/>
      <c r="H643" s="506"/>
      <c r="I643" s="506"/>
      <c r="J643" s="506"/>
      <c r="K643" s="507"/>
      <c r="L643" s="508"/>
      <c r="M643" s="508"/>
      <c r="N643" s="508"/>
      <c r="O643" s="509"/>
      <c r="P643" s="509"/>
    </row>
    <row r="644" spans="1:16" ht="21.75" customHeight="1" x14ac:dyDescent="0.3">
      <c r="A644" s="504"/>
      <c r="B644" s="504"/>
      <c r="C644" s="504"/>
      <c r="D644" s="504"/>
      <c r="E644" s="506"/>
      <c r="F644" s="506"/>
      <c r="G644" s="506"/>
      <c r="H644" s="506"/>
      <c r="I644" s="506"/>
      <c r="J644" s="506"/>
      <c r="K644" s="507"/>
      <c r="L644" s="508"/>
      <c r="M644" s="508"/>
      <c r="N644" s="508"/>
      <c r="O644" s="509"/>
      <c r="P644" s="509"/>
    </row>
    <row r="645" spans="1:16" ht="21.75" customHeight="1" x14ac:dyDescent="0.3">
      <c r="A645" s="504"/>
      <c r="B645" s="504"/>
      <c r="C645" s="504"/>
      <c r="D645" s="504"/>
      <c r="E645" s="506"/>
      <c r="F645" s="506"/>
      <c r="G645" s="506"/>
      <c r="H645" s="506"/>
      <c r="I645" s="506"/>
      <c r="J645" s="506"/>
      <c r="K645" s="507"/>
      <c r="L645" s="508"/>
      <c r="M645" s="508"/>
      <c r="N645" s="508"/>
      <c r="O645" s="509"/>
      <c r="P645" s="509"/>
    </row>
    <row r="646" spans="1:16" ht="21.75" customHeight="1" x14ac:dyDescent="0.3">
      <c r="A646" s="504"/>
      <c r="B646" s="504"/>
      <c r="C646" s="504"/>
      <c r="D646" s="504"/>
      <c r="E646" s="506"/>
      <c r="F646" s="506"/>
      <c r="G646" s="506"/>
      <c r="H646" s="506"/>
      <c r="I646" s="506"/>
      <c r="J646" s="506"/>
      <c r="K646" s="507"/>
      <c r="L646" s="508"/>
      <c r="M646" s="508"/>
      <c r="N646" s="508"/>
      <c r="O646" s="509"/>
      <c r="P646" s="509"/>
    </row>
    <row r="647" spans="1:16" ht="21.75" customHeight="1" x14ac:dyDescent="0.3">
      <c r="A647" s="504"/>
      <c r="B647" s="504"/>
      <c r="C647" s="504"/>
      <c r="D647" s="504"/>
      <c r="E647" s="506"/>
      <c r="F647" s="506"/>
      <c r="G647" s="506"/>
      <c r="H647" s="506"/>
      <c r="I647" s="506"/>
      <c r="J647" s="506"/>
      <c r="K647" s="507"/>
      <c r="L647" s="508"/>
      <c r="M647" s="508"/>
      <c r="N647" s="508"/>
      <c r="O647" s="509"/>
      <c r="P647" s="509"/>
    </row>
    <row r="648" spans="1:16" ht="21.75" customHeight="1" x14ac:dyDescent="0.3">
      <c r="A648" s="504"/>
      <c r="B648" s="504"/>
      <c r="C648" s="504"/>
      <c r="D648" s="504"/>
      <c r="E648" s="506"/>
      <c r="F648" s="506"/>
      <c r="G648" s="506"/>
      <c r="H648" s="506"/>
      <c r="I648" s="506"/>
      <c r="J648" s="506"/>
      <c r="K648" s="507"/>
      <c r="L648" s="508"/>
      <c r="M648" s="508"/>
      <c r="N648" s="508"/>
      <c r="O648" s="509"/>
      <c r="P648" s="509"/>
    </row>
    <row r="649" spans="1:16" ht="21.75" customHeight="1" x14ac:dyDescent="0.3">
      <c r="A649" s="504"/>
      <c r="B649" s="504"/>
      <c r="C649" s="504"/>
      <c r="D649" s="504"/>
      <c r="E649" s="506"/>
      <c r="F649" s="506"/>
      <c r="G649" s="506"/>
      <c r="H649" s="506"/>
      <c r="I649" s="506"/>
      <c r="J649" s="506"/>
      <c r="K649" s="507"/>
      <c r="L649" s="508"/>
      <c r="M649" s="508"/>
      <c r="N649" s="508"/>
      <c r="O649" s="509"/>
      <c r="P649" s="509"/>
    </row>
    <row r="650" spans="1:16" ht="21.75" customHeight="1" x14ac:dyDescent="0.3">
      <c r="A650" s="504"/>
      <c r="B650" s="504"/>
      <c r="C650" s="504"/>
      <c r="D650" s="504"/>
      <c r="E650" s="506"/>
      <c r="F650" s="506"/>
      <c r="G650" s="506"/>
      <c r="H650" s="506"/>
      <c r="I650" s="506"/>
      <c r="J650" s="506"/>
      <c r="K650" s="507"/>
      <c r="L650" s="508"/>
      <c r="M650" s="508"/>
      <c r="N650" s="508"/>
      <c r="O650" s="509"/>
      <c r="P650" s="509"/>
    </row>
    <row r="651" spans="1:16" ht="21.75" customHeight="1" x14ac:dyDescent="0.3">
      <c r="A651" s="504"/>
      <c r="B651" s="504"/>
      <c r="C651" s="504"/>
      <c r="D651" s="504"/>
      <c r="E651" s="506"/>
      <c r="F651" s="506"/>
      <c r="G651" s="506"/>
      <c r="H651" s="506"/>
      <c r="I651" s="506"/>
      <c r="J651" s="506"/>
      <c r="K651" s="507"/>
      <c r="L651" s="508"/>
      <c r="M651" s="508"/>
      <c r="N651" s="508"/>
      <c r="O651" s="509"/>
      <c r="P651" s="509"/>
    </row>
    <row r="652" spans="1:16" ht="21.75" customHeight="1" x14ac:dyDescent="0.3">
      <c r="A652" s="504"/>
      <c r="B652" s="504"/>
      <c r="C652" s="504"/>
      <c r="D652" s="504"/>
      <c r="E652" s="506"/>
      <c r="F652" s="506"/>
      <c r="G652" s="506"/>
      <c r="H652" s="506"/>
      <c r="I652" s="506"/>
      <c r="J652" s="506"/>
      <c r="K652" s="507"/>
      <c r="L652" s="508"/>
      <c r="M652" s="508"/>
      <c r="N652" s="508"/>
      <c r="O652" s="509"/>
      <c r="P652" s="509"/>
    </row>
    <row r="653" spans="1:16" ht="21.75" customHeight="1" x14ac:dyDescent="0.3">
      <c r="A653" s="504"/>
      <c r="B653" s="504"/>
      <c r="C653" s="504"/>
      <c r="D653" s="504"/>
      <c r="E653" s="506"/>
      <c r="F653" s="506"/>
      <c r="G653" s="506"/>
      <c r="H653" s="506"/>
      <c r="I653" s="506"/>
      <c r="J653" s="506"/>
      <c r="K653" s="507"/>
      <c r="L653" s="508"/>
      <c r="M653" s="508"/>
      <c r="N653" s="508"/>
      <c r="O653" s="509"/>
      <c r="P653" s="509"/>
    </row>
    <row r="654" spans="1:16" ht="21.75" customHeight="1" x14ac:dyDescent="0.3">
      <c r="A654" s="504"/>
      <c r="B654" s="504"/>
      <c r="C654" s="504"/>
      <c r="D654" s="504"/>
      <c r="E654" s="506"/>
      <c r="F654" s="506"/>
      <c r="G654" s="506"/>
      <c r="H654" s="506"/>
      <c r="I654" s="506"/>
      <c r="J654" s="506"/>
      <c r="K654" s="507"/>
      <c r="L654" s="508"/>
      <c r="M654" s="508"/>
      <c r="N654" s="508"/>
      <c r="O654" s="509"/>
      <c r="P654" s="509"/>
    </row>
    <row r="655" spans="1:16" ht="21.75" customHeight="1" x14ac:dyDescent="0.3">
      <c r="A655" s="504"/>
      <c r="B655" s="504"/>
      <c r="C655" s="504"/>
      <c r="D655" s="504"/>
      <c r="E655" s="506"/>
      <c r="F655" s="506"/>
      <c r="G655" s="506"/>
      <c r="H655" s="506"/>
      <c r="I655" s="506"/>
      <c r="J655" s="506"/>
      <c r="K655" s="507"/>
      <c r="L655" s="508"/>
      <c r="M655" s="508"/>
      <c r="N655" s="508"/>
      <c r="O655" s="509"/>
      <c r="P655" s="509"/>
    </row>
    <row r="656" spans="1:16" ht="21.75" customHeight="1" x14ac:dyDescent="0.3">
      <c r="A656" s="504"/>
      <c r="B656" s="504"/>
      <c r="C656" s="504"/>
      <c r="D656" s="504"/>
      <c r="E656" s="506"/>
      <c r="F656" s="506"/>
      <c r="G656" s="506"/>
      <c r="H656" s="506"/>
      <c r="I656" s="506"/>
      <c r="J656" s="506"/>
      <c r="K656" s="507"/>
      <c r="L656" s="508"/>
      <c r="M656" s="508"/>
      <c r="N656" s="508"/>
      <c r="O656" s="509"/>
      <c r="P656" s="509"/>
    </row>
    <row r="657" spans="1:16" ht="21.75" customHeight="1" x14ac:dyDescent="0.3">
      <c r="A657" s="504"/>
      <c r="B657" s="504"/>
      <c r="C657" s="504"/>
      <c r="D657" s="504"/>
      <c r="E657" s="506"/>
      <c r="F657" s="506"/>
      <c r="G657" s="506"/>
      <c r="H657" s="506"/>
      <c r="I657" s="506"/>
      <c r="J657" s="506"/>
      <c r="K657" s="507"/>
      <c r="L657" s="508"/>
      <c r="M657" s="508"/>
      <c r="N657" s="508"/>
      <c r="O657" s="509"/>
      <c r="P657" s="509"/>
    </row>
    <row r="658" spans="1:16" ht="21.75" customHeight="1" x14ac:dyDescent="0.3">
      <c r="A658" s="504"/>
      <c r="B658" s="504"/>
      <c r="C658" s="504"/>
      <c r="D658" s="504"/>
      <c r="E658" s="506"/>
      <c r="F658" s="506"/>
      <c r="G658" s="506"/>
      <c r="H658" s="506"/>
      <c r="I658" s="506"/>
      <c r="J658" s="506"/>
      <c r="K658" s="507"/>
      <c r="L658" s="508"/>
      <c r="M658" s="508"/>
      <c r="N658" s="508"/>
      <c r="O658" s="509"/>
      <c r="P658" s="509"/>
    </row>
    <row r="659" spans="1:16" ht="21.75" customHeight="1" x14ac:dyDescent="0.3">
      <c r="A659" s="504"/>
      <c r="B659" s="504"/>
      <c r="C659" s="504"/>
      <c r="D659" s="504"/>
      <c r="E659" s="506"/>
      <c r="F659" s="506"/>
      <c r="G659" s="506"/>
      <c r="H659" s="506"/>
      <c r="I659" s="506"/>
      <c r="J659" s="506"/>
      <c r="K659" s="507"/>
      <c r="L659" s="508"/>
      <c r="M659" s="508"/>
      <c r="N659" s="508"/>
      <c r="O659" s="509"/>
      <c r="P659" s="509"/>
    </row>
    <row r="660" spans="1:16" ht="21.75" customHeight="1" x14ac:dyDescent="0.3">
      <c r="A660" s="504"/>
      <c r="B660" s="504"/>
      <c r="C660" s="504"/>
      <c r="D660" s="504"/>
      <c r="E660" s="506"/>
      <c r="F660" s="506"/>
      <c r="G660" s="506"/>
      <c r="H660" s="506"/>
      <c r="I660" s="506"/>
      <c r="J660" s="506"/>
      <c r="K660" s="507"/>
      <c r="L660" s="508"/>
      <c r="M660" s="508"/>
      <c r="N660" s="508"/>
      <c r="O660" s="509"/>
      <c r="P660" s="509"/>
    </row>
    <row r="661" spans="1:16" ht="21.75" customHeight="1" x14ac:dyDescent="0.3">
      <c r="A661" s="504"/>
      <c r="B661" s="504"/>
      <c r="C661" s="504"/>
      <c r="D661" s="504"/>
      <c r="E661" s="506"/>
      <c r="F661" s="506"/>
      <c r="G661" s="506"/>
      <c r="H661" s="506"/>
      <c r="I661" s="506"/>
      <c r="J661" s="506"/>
      <c r="K661" s="507"/>
      <c r="L661" s="508"/>
      <c r="M661" s="508"/>
      <c r="N661" s="508"/>
      <c r="O661" s="509"/>
      <c r="P661" s="509"/>
    </row>
    <row r="662" spans="1:16" ht="21.75" customHeight="1" x14ac:dyDescent="0.3">
      <c r="A662" s="504"/>
      <c r="B662" s="504"/>
      <c r="C662" s="504"/>
      <c r="D662" s="504"/>
      <c r="E662" s="506"/>
      <c r="F662" s="506"/>
      <c r="G662" s="506"/>
      <c r="H662" s="506"/>
      <c r="I662" s="506"/>
      <c r="J662" s="506"/>
      <c r="K662" s="507"/>
      <c r="L662" s="508"/>
      <c r="M662" s="508"/>
      <c r="N662" s="508"/>
      <c r="O662" s="509"/>
      <c r="P662" s="509"/>
    </row>
    <row r="663" spans="1:16" ht="21.75" customHeight="1" x14ac:dyDescent="0.3">
      <c r="A663" s="504"/>
      <c r="B663" s="504"/>
      <c r="C663" s="504"/>
      <c r="D663" s="504"/>
      <c r="E663" s="506"/>
      <c r="F663" s="506"/>
      <c r="G663" s="506"/>
      <c r="H663" s="506"/>
      <c r="I663" s="506"/>
      <c r="J663" s="506"/>
      <c r="K663" s="507"/>
      <c r="L663" s="508"/>
      <c r="M663" s="508"/>
      <c r="N663" s="508"/>
      <c r="O663" s="509"/>
      <c r="P663" s="509"/>
    </row>
    <row r="664" spans="1:16" ht="21.75" customHeight="1" x14ac:dyDescent="0.3">
      <c r="A664" s="504"/>
      <c r="B664" s="504"/>
      <c r="C664" s="504"/>
      <c r="D664" s="504"/>
      <c r="E664" s="506"/>
      <c r="F664" s="506"/>
      <c r="G664" s="506"/>
      <c r="H664" s="506"/>
      <c r="I664" s="506"/>
      <c r="J664" s="506"/>
      <c r="K664" s="507"/>
      <c r="L664" s="508"/>
      <c r="M664" s="508"/>
      <c r="N664" s="508"/>
      <c r="O664" s="509"/>
      <c r="P664" s="509"/>
    </row>
    <row r="665" spans="1:16" ht="21.75" customHeight="1" x14ac:dyDescent="0.3">
      <c r="A665" s="504"/>
      <c r="B665" s="504"/>
      <c r="C665" s="504"/>
      <c r="D665" s="504"/>
      <c r="E665" s="506"/>
      <c r="F665" s="506"/>
      <c r="G665" s="506"/>
      <c r="H665" s="506"/>
      <c r="I665" s="506"/>
      <c r="J665" s="506"/>
      <c r="K665" s="507"/>
      <c r="L665" s="508"/>
      <c r="M665" s="508"/>
      <c r="N665" s="508"/>
      <c r="O665" s="509"/>
      <c r="P665" s="509"/>
    </row>
    <row r="666" spans="1:16" ht="21.75" customHeight="1" x14ac:dyDescent="0.3">
      <c r="A666" s="504"/>
      <c r="B666" s="504"/>
      <c r="C666" s="504"/>
      <c r="D666" s="504"/>
      <c r="E666" s="506"/>
      <c r="F666" s="506"/>
      <c r="G666" s="506"/>
      <c r="H666" s="506"/>
      <c r="I666" s="506"/>
      <c r="J666" s="506"/>
      <c r="K666" s="507"/>
      <c r="L666" s="508"/>
      <c r="M666" s="508"/>
      <c r="N666" s="508"/>
      <c r="O666" s="509"/>
      <c r="P666" s="509"/>
    </row>
    <row r="667" spans="1:16" ht="21.75" customHeight="1" x14ac:dyDescent="0.3">
      <c r="A667" s="504"/>
      <c r="B667" s="504"/>
      <c r="C667" s="504"/>
      <c r="D667" s="504"/>
      <c r="E667" s="506"/>
      <c r="F667" s="506"/>
      <c r="G667" s="506"/>
      <c r="H667" s="506"/>
      <c r="I667" s="506"/>
      <c r="J667" s="506"/>
      <c r="K667" s="507"/>
      <c r="L667" s="508"/>
      <c r="M667" s="508"/>
      <c r="N667" s="508"/>
      <c r="O667" s="509"/>
      <c r="P667" s="509"/>
    </row>
    <row r="668" spans="1:16" ht="21.75" customHeight="1" x14ac:dyDescent="0.3">
      <c r="A668" s="504"/>
      <c r="B668" s="504"/>
      <c r="C668" s="504"/>
      <c r="D668" s="504"/>
      <c r="E668" s="506"/>
      <c r="F668" s="506"/>
      <c r="G668" s="506"/>
      <c r="H668" s="506"/>
      <c r="I668" s="506"/>
      <c r="J668" s="506"/>
      <c r="K668" s="507"/>
      <c r="L668" s="508"/>
      <c r="M668" s="508"/>
      <c r="N668" s="508"/>
      <c r="O668" s="509"/>
      <c r="P668" s="509"/>
    </row>
    <row r="669" spans="1:16" ht="21.75" customHeight="1" x14ac:dyDescent="0.3">
      <c r="A669" s="504"/>
      <c r="B669" s="504"/>
      <c r="C669" s="504"/>
      <c r="D669" s="504"/>
      <c r="E669" s="506"/>
      <c r="F669" s="506"/>
      <c r="G669" s="506"/>
      <c r="H669" s="506"/>
      <c r="I669" s="506"/>
      <c r="J669" s="506"/>
      <c r="K669" s="507"/>
      <c r="L669" s="508"/>
      <c r="M669" s="508"/>
      <c r="N669" s="508"/>
      <c r="O669" s="509"/>
      <c r="P669" s="509"/>
    </row>
    <row r="670" spans="1:16" ht="21.75" customHeight="1" x14ac:dyDescent="0.3">
      <c r="A670" s="504"/>
      <c r="B670" s="504"/>
      <c r="C670" s="504"/>
      <c r="D670" s="504"/>
      <c r="E670" s="506"/>
      <c r="F670" s="506"/>
      <c r="G670" s="506"/>
      <c r="H670" s="506"/>
      <c r="I670" s="506"/>
      <c r="J670" s="506"/>
      <c r="K670" s="507"/>
      <c r="L670" s="508"/>
      <c r="M670" s="508"/>
      <c r="N670" s="508"/>
      <c r="O670" s="509"/>
      <c r="P670" s="509"/>
    </row>
    <row r="671" spans="1:16" ht="21.75" customHeight="1" x14ac:dyDescent="0.3">
      <c r="A671" s="504"/>
      <c r="B671" s="504"/>
      <c r="C671" s="504"/>
      <c r="D671" s="504"/>
      <c r="E671" s="506"/>
      <c r="F671" s="506"/>
      <c r="G671" s="506"/>
      <c r="H671" s="506"/>
      <c r="I671" s="506"/>
      <c r="J671" s="506"/>
      <c r="K671" s="507"/>
      <c r="L671" s="508"/>
      <c r="M671" s="508"/>
      <c r="N671" s="508"/>
      <c r="O671" s="509"/>
      <c r="P671" s="509"/>
    </row>
    <row r="672" spans="1:16" ht="21.75" customHeight="1" x14ac:dyDescent="0.3">
      <c r="A672" s="504"/>
      <c r="B672" s="504"/>
      <c r="C672" s="504"/>
      <c r="D672" s="504"/>
      <c r="E672" s="506"/>
      <c r="F672" s="506"/>
      <c r="G672" s="506"/>
      <c r="H672" s="506"/>
      <c r="I672" s="506"/>
      <c r="J672" s="506"/>
      <c r="K672" s="507"/>
      <c r="L672" s="508"/>
      <c r="M672" s="508"/>
      <c r="N672" s="508"/>
      <c r="O672" s="509"/>
      <c r="P672" s="509"/>
    </row>
    <row r="673" spans="1:16" ht="21.75" customHeight="1" x14ac:dyDescent="0.3">
      <c r="A673" s="504"/>
      <c r="B673" s="504"/>
      <c r="C673" s="504"/>
      <c r="D673" s="504"/>
      <c r="E673" s="506"/>
      <c r="F673" s="506"/>
      <c r="G673" s="506"/>
      <c r="H673" s="506"/>
      <c r="I673" s="506"/>
      <c r="J673" s="506"/>
      <c r="K673" s="507"/>
      <c r="L673" s="508"/>
      <c r="M673" s="508"/>
      <c r="N673" s="508"/>
      <c r="O673" s="509"/>
      <c r="P673" s="509"/>
    </row>
    <row r="674" spans="1:16" ht="21.75" customHeight="1" x14ac:dyDescent="0.3">
      <c r="A674" s="504"/>
      <c r="B674" s="504"/>
      <c r="C674" s="504"/>
      <c r="D674" s="504"/>
      <c r="E674" s="506"/>
      <c r="F674" s="506"/>
      <c r="G674" s="506"/>
      <c r="H674" s="506"/>
      <c r="I674" s="506"/>
      <c r="J674" s="506"/>
      <c r="K674" s="507"/>
      <c r="L674" s="508"/>
      <c r="M674" s="508"/>
      <c r="N674" s="508"/>
      <c r="O674" s="509"/>
      <c r="P674" s="509"/>
    </row>
    <row r="675" spans="1:16" ht="21.75" customHeight="1" x14ac:dyDescent="0.3">
      <c r="A675" s="504"/>
      <c r="B675" s="504"/>
      <c r="C675" s="504"/>
      <c r="D675" s="504"/>
      <c r="E675" s="506"/>
      <c r="F675" s="506"/>
      <c r="G675" s="506"/>
      <c r="H675" s="506"/>
      <c r="I675" s="506"/>
      <c r="J675" s="506"/>
      <c r="K675" s="507"/>
      <c r="L675" s="508"/>
      <c r="M675" s="508"/>
      <c r="N675" s="508"/>
      <c r="O675" s="509"/>
      <c r="P675" s="509"/>
    </row>
    <row r="676" spans="1:16" ht="21.75" customHeight="1" x14ac:dyDescent="0.3">
      <c r="A676" s="504"/>
      <c r="B676" s="504"/>
      <c r="C676" s="504"/>
      <c r="D676" s="504"/>
      <c r="E676" s="506"/>
      <c r="F676" s="506"/>
      <c r="G676" s="506"/>
      <c r="H676" s="506"/>
      <c r="I676" s="506"/>
      <c r="J676" s="506"/>
      <c r="K676" s="507"/>
      <c r="L676" s="508"/>
      <c r="M676" s="508"/>
      <c r="N676" s="508"/>
      <c r="O676" s="509"/>
      <c r="P676" s="509"/>
    </row>
    <row r="677" spans="1:16" ht="21.75" customHeight="1" x14ac:dyDescent="0.3">
      <c r="A677" s="504"/>
      <c r="B677" s="504"/>
      <c r="C677" s="504"/>
      <c r="D677" s="504"/>
      <c r="E677" s="506"/>
      <c r="F677" s="506"/>
      <c r="G677" s="506"/>
      <c r="H677" s="506"/>
      <c r="I677" s="506"/>
      <c r="J677" s="506"/>
      <c r="K677" s="507"/>
      <c r="L677" s="508"/>
      <c r="M677" s="508"/>
      <c r="N677" s="508"/>
      <c r="O677" s="509"/>
      <c r="P677" s="509"/>
    </row>
    <row r="678" spans="1:16" ht="21.75" customHeight="1" x14ac:dyDescent="0.3">
      <c r="A678" s="504"/>
      <c r="B678" s="504"/>
      <c r="C678" s="504"/>
      <c r="D678" s="504"/>
      <c r="E678" s="506"/>
      <c r="F678" s="506"/>
      <c r="G678" s="506"/>
      <c r="H678" s="506"/>
      <c r="I678" s="506"/>
      <c r="J678" s="506"/>
      <c r="K678" s="507"/>
      <c r="L678" s="508"/>
      <c r="M678" s="508"/>
      <c r="N678" s="508"/>
      <c r="O678" s="509"/>
      <c r="P678" s="509"/>
    </row>
    <row r="679" spans="1:16" ht="21.75" customHeight="1" x14ac:dyDescent="0.3">
      <c r="A679" s="504"/>
      <c r="B679" s="504"/>
      <c r="C679" s="504"/>
      <c r="D679" s="504"/>
      <c r="E679" s="506"/>
      <c r="F679" s="506"/>
      <c r="G679" s="506"/>
      <c r="H679" s="506"/>
      <c r="I679" s="506"/>
      <c r="J679" s="506"/>
      <c r="K679" s="507"/>
      <c r="L679" s="508"/>
      <c r="M679" s="508"/>
      <c r="N679" s="508"/>
      <c r="O679" s="509"/>
      <c r="P679" s="509"/>
    </row>
    <row r="680" spans="1:16" ht="21.75" customHeight="1" x14ac:dyDescent="0.3">
      <c r="A680" s="504"/>
      <c r="B680" s="504"/>
      <c r="C680" s="504"/>
      <c r="D680" s="504"/>
      <c r="E680" s="506"/>
      <c r="F680" s="506"/>
      <c r="G680" s="506"/>
      <c r="H680" s="506"/>
      <c r="I680" s="506"/>
      <c r="J680" s="506"/>
      <c r="K680" s="507"/>
      <c r="L680" s="508"/>
      <c r="M680" s="508"/>
      <c r="N680" s="508"/>
      <c r="O680" s="509"/>
      <c r="P680" s="509"/>
    </row>
    <row r="681" spans="1:16" ht="21.75" customHeight="1" x14ac:dyDescent="0.3">
      <c r="A681" s="504"/>
      <c r="B681" s="504"/>
      <c r="C681" s="504"/>
      <c r="D681" s="504"/>
      <c r="E681" s="506"/>
      <c r="F681" s="506"/>
      <c r="G681" s="506"/>
      <c r="H681" s="506"/>
      <c r="I681" s="506"/>
      <c r="J681" s="506"/>
      <c r="K681" s="507"/>
      <c r="L681" s="508"/>
      <c r="M681" s="508"/>
      <c r="N681" s="508"/>
      <c r="O681" s="509"/>
      <c r="P681" s="509"/>
    </row>
    <row r="682" spans="1:16" ht="21.75" customHeight="1" x14ac:dyDescent="0.3">
      <c r="A682" s="504"/>
      <c r="B682" s="504"/>
      <c r="C682" s="504"/>
      <c r="D682" s="504"/>
      <c r="E682" s="506"/>
      <c r="F682" s="506"/>
      <c r="G682" s="506"/>
      <c r="H682" s="506"/>
      <c r="I682" s="506"/>
      <c r="J682" s="506"/>
      <c r="K682" s="507"/>
      <c r="L682" s="508"/>
      <c r="M682" s="508"/>
      <c r="N682" s="508"/>
      <c r="O682" s="509"/>
      <c r="P682" s="509"/>
    </row>
    <row r="683" spans="1:16" ht="21.75" customHeight="1" x14ac:dyDescent="0.3">
      <c r="A683" s="504"/>
      <c r="B683" s="504"/>
      <c r="C683" s="504"/>
      <c r="D683" s="504"/>
      <c r="E683" s="506"/>
      <c r="F683" s="506"/>
      <c r="G683" s="506"/>
      <c r="H683" s="506"/>
      <c r="I683" s="506"/>
      <c r="J683" s="506"/>
      <c r="K683" s="507"/>
      <c r="L683" s="508"/>
      <c r="M683" s="508"/>
      <c r="N683" s="508"/>
      <c r="O683" s="509"/>
      <c r="P683" s="509"/>
    </row>
    <row r="684" spans="1:16" ht="21.75" customHeight="1" x14ac:dyDescent="0.3">
      <c r="A684" s="504"/>
      <c r="B684" s="504"/>
      <c r="C684" s="504"/>
      <c r="D684" s="504"/>
      <c r="E684" s="506"/>
      <c r="F684" s="506"/>
      <c r="G684" s="506"/>
      <c r="H684" s="506"/>
      <c r="I684" s="506"/>
      <c r="J684" s="506"/>
      <c r="K684" s="507"/>
      <c r="L684" s="508"/>
      <c r="M684" s="508"/>
      <c r="N684" s="508"/>
      <c r="O684" s="509"/>
      <c r="P684" s="509"/>
    </row>
    <row r="685" spans="1:16" ht="21.75" customHeight="1" x14ac:dyDescent="0.3">
      <c r="A685" s="504"/>
      <c r="B685" s="504"/>
      <c r="C685" s="504"/>
      <c r="D685" s="504"/>
      <c r="E685" s="506"/>
      <c r="F685" s="506"/>
      <c r="G685" s="506"/>
      <c r="H685" s="506"/>
      <c r="I685" s="506"/>
      <c r="J685" s="506"/>
      <c r="K685" s="507"/>
      <c r="L685" s="508"/>
      <c r="M685" s="508"/>
      <c r="N685" s="508"/>
      <c r="O685" s="509"/>
      <c r="P685" s="509"/>
    </row>
    <row r="686" spans="1:16" ht="21.75" customHeight="1" x14ac:dyDescent="0.3">
      <c r="A686" s="504"/>
      <c r="B686" s="504"/>
      <c r="C686" s="504"/>
      <c r="D686" s="504"/>
      <c r="E686" s="506"/>
      <c r="F686" s="506"/>
      <c r="G686" s="506"/>
      <c r="H686" s="506"/>
      <c r="I686" s="506"/>
      <c r="J686" s="506"/>
      <c r="K686" s="507"/>
      <c r="L686" s="508"/>
      <c r="M686" s="508"/>
      <c r="N686" s="508"/>
      <c r="O686" s="509"/>
      <c r="P686" s="509"/>
    </row>
    <row r="687" spans="1:16" ht="21.75" customHeight="1" x14ac:dyDescent="0.3">
      <c r="A687" s="504"/>
      <c r="B687" s="504"/>
      <c r="C687" s="504"/>
      <c r="D687" s="504"/>
      <c r="E687" s="506"/>
      <c r="F687" s="506"/>
      <c r="G687" s="506"/>
      <c r="H687" s="506"/>
      <c r="I687" s="506"/>
      <c r="J687" s="506"/>
      <c r="K687" s="507"/>
      <c r="L687" s="508"/>
      <c r="M687" s="508"/>
      <c r="N687" s="508"/>
      <c r="O687" s="509"/>
      <c r="P687" s="509"/>
    </row>
    <row r="688" spans="1:16" ht="21.75" customHeight="1" x14ac:dyDescent="0.3">
      <c r="A688" s="504"/>
      <c r="B688" s="504"/>
      <c r="C688" s="504"/>
      <c r="D688" s="504"/>
      <c r="E688" s="506"/>
      <c r="F688" s="506"/>
      <c r="G688" s="506"/>
      <c r="H688" s="506"/>
      <c r="I688" s="506"/>
      <c r="J688" s="506"/>
      <c r="K688" s="507"/>
      <c r="L688" s="508"/>
      <c r="M688" s="508"/>
      <c r="N688" s="508"/>
      <c r="O688" s="509"/>
      <c r="P688" s="509"/>
    </row>
    <row r="689" spans="1:16" ht="21.75" customHeight="1" x14ac:dyDescent="0.3">
      <c r="A689" s="504"/>
      <c r="B689" s="504"/>
      <c r="C689" s="504"/>
      <c r="D689" s="504"/>
      <c r="E689" s="506"/>
      <c r="F689" s="506"/>
      <c r="G689" s="506"/>
      <c r="H689" s="506"/>
      <c r="I689" s="506"/>
      <c r="J689" s="506"/>
      <c r="K689" s="507"/>
      <c r="L689" s="508"/>
      <c r="M689" s="508"/>
      <c r="N689" s="508"/>
      <c r="O689" s="509"/>
      <c r="P689" s="509"/>
    </row>
    <row r="690" spans="1:16" ht="21.75" customHeight="1" x14ac:dyDescent="0.3">
      <c r="A690" s="504"/>
      <c r="B690" s="504"/>
      <c r="C690" s="504"/>
      <c r="D690" s="504"/>
      <c r="E690" s="506"/>
      <c r="F690" s="506"/>
      <c r="G690" s="506"/>
      <c r="H690" s="506"/>
      <c r="I690" s="506"/>
      <c r="J690" s="506"/>
      <c r="K690" s="507"/>
      <c r="L690" s="508"/>
      <c r="M690" s="508"/>
      <c r="N690" s="508"/>
      <c r="O690" s="509"/>
      <c r="P690" s="509"/>
    </row>
    <row r="691" spans="1:16" ht="21.75" customHeight="1" x14ac:dyDescent="0.3">
      <c r="A691" s="504"/>
      <c r="B691" s="504"/>
      <c r="C691" s="504"/>
      <c r="D691" s="504"/>
      <c r="E691" s="506"/>
      <c r="F691" s="506"/>
      <c r="G691" s="506"/>
      <c r="H691" s="506"/>
      <c r="I691" s="506"/>
      <c r="J691" s="506"/>
      <c r="K691" s="507"/>
      <c r="L691" s="508"/>
      <c r="M691" s="508"/>
      <c r="N691" s="508"/>
      <c r="O691" s="509"/>
      <c r="P691" s="509"/>
    </row>
    <row r="692" spans="1:16" ht="21.75" customHeight="1" x14ac:dyDescent="0.3">
      <c r="A692" s="504"/>
      <c r="B692" s="504"/>
      <c r="C692" s="504"/>
      <c r="D692" s="504"/>
      <c r="E692" s="506"/>
      <c r="F692" s="506"/>
      <c r="G692" s="506"/>
      <c r="H692" s="506"/>
      <c r="I692" s="506"/>
      <c r="J692" s="506"/>
      <c r="K692" s="507"/>
      <c r="L692" s="508"/>
      <c r="M692" s="508"/>
      <c r="N692" s="508"/>
      <c r="O692" s="509"/>
      <c r="P692" s="509"/>
    </row>
    <row r="693" spans="1:16" ht="21.75" customHeight="1" x14ac:dyDescent="0.3">
      <c r="A693" s="504"/>
      <c r="B693" s="504"/>
      <c r="C693" s="504"/>
      <c r="D693" s="504"/>
      <c r="E693" s="506"/>
      <c r="F693" s="506"/>
      <c r="G693" s="506"/>
      <c r="H693" s="506"/>
      <c r="I693" s="506"/>
      <c r="J693" s="506"/>
      <c r="K693" s="507"/>
      <c r="L693" s="508"/>
      <c r="M693" s="508"/>
      <c r="N693" s="508"/>
      <c r="O693" s="509"/>
      <c r="P693" s="509"/>
    </row>
    <row r="694" spans="1:16" ht="21.75" customHeight="1" x14ac:dyDescent="0.3">
      <c r="A694" s="504"/>
      <c r="B694" s="504"/>
      <c r="C694" s="504"/>
      <c r="D694" s="504"/>
      <c r="E694" s="506"/>
      <c r="F694" s="506"/>
      <c r="G694" s="506"/>
      <c r="H694" s="506"/>
      <c r="I694" s="506"/>
      <c r="J694" s="506"/>
      <c r="K694" s="507"/>
      <c r="L694" s="508"/>
      <c r="M694" s="508"/>
      <c r="N694" s="508"/>
      <c r="O694" s="509"/>
      <c r="P694" s="509"/>
    </row>
    <row r="695" spans="1:16" ht="21.75" customHeight="1" x14ac:dyDescent="0.3">
      <c r="A695" s="504"/>
      <c r="B695" s="504"/>
      <c r="C695" s="504"/>
      <c r="D695" s="504"/>
      <c r="E695" s="506"/>
      <c r="F695" s="506"/>
      <c r="G695" s="506"/>
      <c r="H695" s="506"/>
      <c r="I695" s="506"/>
      <c r="J695" s="506"/>
      <c r="K695" s="507"/>
      <c r="L695" s="508"/>
      <c r="M695" s="508"/>
      <c r="N695" s="508"/>
      <c r="O695" s="509"/>
      <c r="P695" s="509"/>
    </row>
    <row r="696" spans="1:16" ht="21.75" customHeight="1" x14ac:dyDescent="0.3">
      <c r="A696" s="504"/>
      <c r="B696" s="504"/>
      <c r="C696" s="504"/>
      <c r="D696" s="504"/>
      <c r="E696" s="506"/>
      <c r="F696" s="506"/>
      <c r="G696" s="506"/>
      <c r="H696" s="506"/>
      <c r="I696" s="506"/>
      <c r="J696" s="506"/>
      <c r="K696" s="507"/>
      <c r="L696" s="508"/>
      <c r="M696" s="508"/>
      <c r="N696" s="508"/>
      <c r="O696" s="509"/>
      <c r="P696" s="509"/>
    </row>
    <row r="697" spans="1:16" ht="21.75" customHeight="1" x14ac:dyDescent="0.3">
      <c r="A697" s="504"/>
      <c r="B697" s="504"/>
      <c r="C697" s="504"/>
      <c r="D697" s="504"/>
      <c r="E697" s="506"/>
      <c r="F697" s="506"/>
      <c r="G697" s="506"/>
      <c r="H697" s="506"/>
      <c r="I697" s="506"/>
      <c r="J697" s="506"/>
      <c r="K697" s="507"/>
      <c r="L697" s="508"/>
      <c r="M697" s="508"/>
      <c r="N697" s="508"/>
      <c r="O697" s="509"/>
      <c r="P697" s="509"/>
    </row>
    <row r="698" spans="1:16" ht="21.75" customHeight="1" x14ac:dyDescent="0.3">
      <c r="A698" s="504"/>
      <c r="B698" s="504"/>
      <c r="C698" s="504"/>
      <c r="D698" s="504"/>
      <c r="E698" s="506"/>
      <c r="F698" s="506"/>
      <c r="G698" s="506"/>
      <c r="H698" s="506"/>
      <c r="I698" s="506"/>
      <c r="J698" s="506"/>
      <c r="K698" s="507"/>
      <c r="L698" s="508"/>
      <c r="M698" s="508"/>
      <c r="N698" s="508"/>
      <c r="O698" s="509"/>
      <c r="P698" s="509"/>
    </row>
    <row r="699" spans="1:16" ht="21.75" customHeight="1" x14ac:dyDescent="0.3">
      <c r="A699" s="504"/>
      <c r="B699" s="504"/>
      <c r="C699" s="504"/>
      <c r="D699" s="504"/>
      <c r="E699" s="506"/>
      <c r="F699" s="506"/>
      <c r="G699" s="506"/>
      <c r="H699" s="506"/>
      <c r="I699" s="506"/>
      <c r="J699" s="506"/>
      <c r="K699" s="507"/>
      <c r="L699" s="508"/>
      <c r="M699" s="508"/>
      <c r="N699" s="508"/>
      <c r="O699" s="509"/>
      <c r="P699" s="509"/>
    </row>
    <row r="700" spans="1:16" ht="21.75" customHeight="1" x14ac:dyDescent="0.3">
      <c r="A700" s="504"/>
      <c r="B700" s="504"/>
      <c r="C700" s="504"/>
      <c r="D700" s="504"/>
      <c r="E700" s="506"/>
      <c r="F700" s="506"/>
      <c r="G700" s="506"/>
      <c r="H700" s="506"/>
      <c r="I700" s="506"/>
      <c r="J700" s="506"/>
      <c r="K700" s="507"/>
      <c r="L700" s="508"/>
      <c r="M700" s="508"/>
      <c r="N700" s="508"/>
      <c r="O700" s="509"/>
      <c r="P700" s="509"/>
    </row>
    <row r="701" spans="1:16" ht="21.75" customHeight="1" x14ac:dyDescent="0.3">
      <c r="A701" s="504"/>
      <c r="B701" s="504"/>
      <c r="C701" s="504"/>
      <c r="D701" s="504"/>
      <c r="E701" s="506"/>
      <c r="F701" s="506"/>
      <c r="G701" s="506"/>
      <c r="H701" s="506"/>
      <c r="I701" s="506"/>
      <c r="J701" s="506"/>
      <c r="K701" s="507"/>
      <c r="L701" s="508"/>
      <c r="M701" s="508"/>
      <c r="N701" s="508"/>
      <c r="O701" s="509"/>
      <c r="P701" s="509"/>
    </row>
    <row r="702" spans="1:16" ht="21.75" customHeight="1" x14ac:dyDescent="0.3">
      <c r="A702" s="504"/>
      <c r="B702" s="504"/>
      <c r="C702" s="504"/>
      <c r="D702" s="504"/>
      <c r="E702" s="506"/>
      <c r="F702" s="506"/>
      <c r="G702" s="506"/>
      <c r="H702" s="506"/>
      <c r="I702" s="506"/>
      <c r="J702" s="506"/>
      <c r="K702" s="507"/>
      <c r="L702" s="508"/>
      <c r="M702" s="508"/>
      <c r="N702" s="508"/>
      <c r="O702" s="509"/>
      <c r="P702" s="509"/>
    </row>
    <row r="703" spans="1:16" ht="21.75" customHeight="1" x14ac:dyDescent="0.3">
      <c r="A703" s="504"/>
      <c r="B703" s="504"/>
      <c r="C703" s="504"/>
      <c r="D703" s="504"/>
      <c r="E703" s="506"/>
      <c r="F703" s="506"/>
      <c r="G703" s="506"/>
      <c r="H703" s="506"/>
      <c r="I703" s="506"/>
      <c r="J703" s="506"/>
      <c r="K703" s="507"/>
      <c r="L703" s="508"/>
      <c r="M703" s="508"/>
      <c r="N703" s="508"/>
      <c r="O703" s="509"/>
      <c r="P703" s="509"/>
    </row>
    <row r="704" spans="1:16" ht="21.75" customHeight="1" x14ac:dyDescent="0.3">
      <c r="A704" s="504"/>
      <c r="B704" s="504"/>
      <c r="C704" s="504"/>
      <c r="D704" s="504"/>
      <c r="E704" s="506"/>
      <c r="F704" s="506"/>
      <c r="G704" s="506"/>
      <c r="H704" s="506"/>
      <c r="I704" s="506"/>
      <c r="J704" s="506"/>
      <c r="K704" s="507"/>
      <c r="L704" s="508"/>
      <c r="M704" s="508"/>
      <c r="N704" s="508"/>
      <c r="O704" s="509"/>
      <c r="P704" s="509"/>
    </row>
    <row r="705" spans="1:16" ht="21.75" customHeight="1" x14ac:dyDescent="0.3">
      <c r="A705" s="504"/>
      <c r="B705" s="504"/>
      <c r="C705" s="504"/>
      <c r="D705" s="504"/>
      <c r="E705" s="506"/>
      <c r="F705" s="506"/>
      <c r="G705" s="506"/>
      <c r="H705" s="506"/>
      <c r="I705" s="506"/>
      <c r="J705" s="506"/>
      <c r="K705" s="507"/>
      <c r="L705" s="508"/>
      <c r="M705" s="508"/>
      <c r="N705" s="508"/>
      <c r="O705" s="509"/>
      <c r="P705" s="509"/>
    </row>
    <row r="706" spans="1:16" ht="21.75" customHeight="1" x14ac:dyDescent="0.3">
      <c r="A706" s="504"/>
      <c r="B706" s="504"/>
      <c r="C706" s="504"/>
      <c r="D706" s="504"/>
      <c r="E706" s="506"/>
      <c r="F706" s="506"/>
      <c r="G706" s="506"/>
      <c r="H706" s="506"/>
      <c r="I706" s="506"/>
      <c r="J706" s="506"/>
      <c r="K706" s="507"/>
      <c r="L706" s="508"/>
      <c r="M706" s="508"/>
      <c r="N706" s="508"/>
      <c r="O706" s="509"/>
      <c r="P706" s="509"/>
    </row>
    <row r="707" spans="1:16" ht="21.75" customHeight="1" x14ac:dyDescent="0.3">
      <c r="A707" s="504"/>
      <c r="B707" s="504"/>
      <c r="C707" s="504"/>
      <c r="D707" s="504"/>
      <c r="E707" s="506"/>
      <c r="F707" s="506"/>
      <c r="G707" s="506"/>
      <c r="H707" s="506"/>
      <c r="I707" s="506"/>
      <c r="J707" s="506"/>
      <c r="K707" s="507"/>
      <c r="L707" s="508"/>
      <c r="M707" s="508"/>
      <c r="N707" s="508"/>
      <c r="O707" s="509"/>
      <c r="P707" s="509"/>
    </row>
    <row r="708" spans="1:16" ht="21.75" customHeight="1" x14ac:dyDescent="0.3">
      <c r="A708" s="504"/>
      <c r="B708" s="504"/>
      <c r="C708" s="504"/>
      <c r="D708" s="504"/>
      <c r="E708" s="506"/>
      <c r="F708" s="506"/>
      <c r="G708" s="506"/>
      <c r="H708" s="506"/>
      <c r="I708" s="506"/>
      <c r="J708" s="506"/>
      <c r="K708" s="507"/>
      <c r="L708" s="508"/>
      <c r="M708" s="508"/>
      <c r="N708" s="508"/>
      <c r="O708" s="509"/>
      <c r="P708" s="509"/>
    </row>
    <row r="709" spans="1:16" ht="21.75" customHeight="1" x14ac:dyDescent="0.3">
      <c r="A709" s="504"/>
      <c r="B709" s="504"/>
      <c r="C709" s="504"/>
      <c r="D709" s="504"/>
      <c r="E709" s="506"/>
      <c r="F709" s="506"/>
      <c r="G709" s="506"/>
      <c r="H709" s="506"/>
      <c r="I709" s="506"/>
      <c r="J709" s="506"/>
      <c r="K709" s="507"/>
      <c r="L709" s="508"/>
      <c r="M709" s="508"/>
      <c r="N709" s="508"/>
      <c r="O709" s="509"/>
      <c r="P709" s="509"/>
    </row>
    <row r="710" spans="1:16" ht="21.75" customHeight="1" x14ac:dyDescent="0.3">
      <c r="A710" s="504"/>
      <c r="B710" s="504"/>
      <c r="C710" s="504"/>
      <c r="D710" s="504"/>
      <c r="E710" s="506"/>
      <c r="F710" s="506"/>
      <c r="G710" s="506"/>
      <c r="H710" s="506"/>
      <c r="I710" s="506"/>
      <c r="J710" s="506"/>
      <c r="K710" s="507"/>
      <c r="L710" s="508"/>
      <c r="M710" s="508"/>
      <c r="N710" s="508"/>
      <c r="O710" s="509"/>
      <c r="P710" s="509"/>
    </row>
    <row r="711" spans="1:16" ht="21.75" customHeight="1" x14ac:dyDescent="0.3">
      <c r="A711" s="504"/>
      <c r="B711" s="504"/>
      <c r="C711" s="504"/>
      <c r="D711" s="504"/>
      <c r="E711" s="506"/>
      <c r="F711" s="506"/>
      <c r="G711" s="506"/>
      <c r="H711" s="506"/>
      <c r="I711" s="506"/>
      <c r="J711" s="506"/>
      <c r="K711" s="507"/>
      <c r="L711" s="508"/>
      <c r="M711" s="508"/>
      <c r="N711" s="508"/>
      <c r="O711" s="509"/>
      <c r="P711" s="509"/>
    </row>
    <row r="712" spans="1:16" ht="21.75" customHeight="1" x14ac:dyDescent="0.3">
      <c r="A712" s="504"/>
      <c r="B712" s="504"/>
      <c r="C712" s="504"/>
      <c r="D712" s="504"/>
      <c r="E712" s="506"/>
      <c r="F712" s="506"/>
      <c r="G712" s="506"/>
      <c r="H712" s="506"/>
      <c r="I712" s="506"/>
      <c r="J712" s="506"/>
      <c r="K712" s="507"/>
      <c r="L712" s="508"/>
      <c r="M712" s="508"/>
      <c r="N712" s="508"/>
      <c r="O712" s="509"/>
      <c r="P712" s="509"/>
    </row>
    <row r="713" spans="1:16" ht="21.75" customHeight="1" x14ac:dyDescent="0.3">
      <c r="A713" s="504"/>
      <c r="B713" s="504"/>
      <c r="C713" s="504"/>
      <c r="D713" s="504"/>
      <c r="E713" s="506"/>
      <c r="F713" s="506"/>
      <c r="G713" s="506"/>
      <c r="H713" s="506"/>
      <c r="I713" s="506"/>
      <c r="J713" s="506"/>
      <c r="K713" s="507"/>
      <c r="L713" s="508"/>
      <c r="M713" s="508"/>
      <c r="N713" s="508"/>
      <c r="O713" s="509"/>
      <c r="P713" s="509"/>
    </row>
    <row r="714" spans="1:16" ht="21.75" customHeight="1" x14ac:dyDescent="0.3">
      <c r="A714" s="504"/>
      <c r="B714" s="504"/>
      <c r="C714" s="504"/>
      <c r="D714" s="504"/>
      <c r="E714" s="506"/>
      <c r="F714" s="506"/>
      <c r="G714" s="506"/>
      <c r="H714" s="506"/>
      <c r="I714" s="506"/>
      <c r="J714" s="506"/>
      <c r="K714" s="507"/>
      <c r="L714" s="508"/>
      <c r="M714" s="508"/>
      <c r="N714" s="508"/>
      <c r="O714" s="509"/>
      <c r="P714" s="509"/>
    </row>
    <row r="715" spans="1:16" ht="21.75" customHeight="1" x14ac:dyDescent="0.3">
      <c r="A715" s="504"/>
      <c r="B715" s="504"/>
      <c r="C715" s="504"/>
      <c r="D715" s="504"/>
      <c r="E715" s="506"/>
      <c r="F715" s="506"/>
      <c r="G715" s="506"/>
      <c r="H715" s="506"/>
      <c r="I715" s="506"/>
      <c r="J715" s="506"/>
      <c r="K715" s="507"/>
      <c r="L715" s="508"/>
      <c r="M715" s="508"/>
      <c r="N715" s="508"/>
      <c r="O715" s="509"/>
      <c r="P715" s="509"/>
    </row>
    <row r="716" spans="1:16" ht="21.75" customHeight="1" x14ac:dyDescent="0.3">
      <c r="A716" s="504"/>
      <c r="B716" s="504"/>
      <c r="C716" s="504"/>
      <c r="D716" s="504"/>
      <c r="E716" s="506"/>
      <c r="F716" s="506"/>
      <c r="G716" s="506"/>
      <c r="H716" s="506"/>
      <c r="I716" s="506"/>
      <c r="J716" s="506"/>
      <c r="K716" s="507"/>
      <c r="L716" s="508"/>
      <c r="M716" s="508"/>
      <c r="N716" s="508"/>
      <c r="O716" s="509"/>
      <c r="P716" s="509"/>
    </row>
    <row r="717" spans="1:16" ht="21.75" customHeight="1" x14ac:dyDescent="0.3">
      <c r="A717" s="504"/>
      <c r="B717" s="504"/>
      <c r="C717" s="504"/>
      <c r="D717" s="504"/>
      <c r="E717" s="506"/>
      <c r="F717" s="506"/>
      <c r="G717" s="506"/>
      <c r="H717" s="506"/>
      <c r="I717" s="506"/>
      <c r="J717" s="506"/>
      <c r="K717" s="507"/>
      <c r="L717" s="508"/>
      <c r="M717" s="508"/>
      <c r="N717" s="508"/>
      <c r="O717" s="509"/>
      <c r="P717" s="509"/>
    </row>
    <row r="718" spans="1:16" ht="21.75" customHeight="1" x14ac:dyDescent="0.3">
      <c r="A718" s="504"/>
      <c r="B718" s="504"/>
      <c r="C718" s="504"/>
      <c r="D718" s="504"/>
      <c r="E718" s="506"/>
      <c r="F718" s="506"/>
      <c r="G718" s="506"/>
      <c r="H718" s="506"/>
      <c r="I718" s="506"/>
      <c r="J718" s="506"/>
      <c r="K718" s="507"/>
      <c r="L718" s="508"/>
      <c r="M718" s="508"/>
      <c r="N718" s="508"/>
      <c r="O718" s="509"/>
      <c r="P718" s="509"/>
    </row>
    <row r="719" spans="1:16" ht="21.75" customHeight="1" x14ac:dyDescent="0.3">
      <c r="A719" s="504"/>
      <c r="B719" s="504"/>
      <c r="C719" s="504"/>
      <c r="D719" s="504"/>
      <c r="E719" s="506"/>
      <c r="F719" s="506"/>
      <c r="G719" s="506"/>
      <c r="H719" s="506"/>
      <c r="I719" s="506"/>
      <c r="J719" s="506"/>
      <c r="K719" s="507"/>
      <c r="L719" s="508"/>
      <c r="M719" s="508"/>
      <c r="N719" s="508"/>
      <c r="O719" s="509"/>
      <c r="P719" s="509"/>
    </row>
    <row r="720" spans="1:16" ht="21.75" customHeight="1" x14ac:dyDescent="0.3">
      <c r="A720" s="504"/>
      <c r="B720" s="504"/>
      <c r="C720" s="504"/>
      <c r="D720" s="504"/>
      <c r="E720" s="506"/>
      <c r="F720" s="506"/>
      <c r="G720" s="506"/>
      <c r="H720" s="506"/>
      <c r="I720" s="506"/>
      <c r="J720" s="506"/>
      <c r="K720" s="507"/>
      <c r="L720" s="508"/>
      <c r="M720" s="508"/>
      <c r="N720" s="508"/>
      <c r="O720" s="509"/>
      <c r="P720" s="509"/>
    </row>
    <row r="721" spans="1:16" ht="21.75" customHeight="1" x14ac:dyDescent="0.3">
      <c r="A721" s="504"/>
      <c r="B721" s="504"/>
      <c r="C721" s="504"/>
      <c r="D721" s="504"/>
      <c r="E721" s="506"/>
      <c r="F721" s="506"/>
      <c r="G721" s="506"/>
      <c r="H721" s="506"/>
      <c r="I721" s="506"/>
      <c r="J721" s="506"/>
      <c r="K721" s="507"/>
      <c r="L721" s="508"/>
      <c r="M721" s="508"/>
      <c r="N721" s="508"/>
      <c r="O721" s="509"/>
      <c r="P721" s="509"/>
    </row>
    <row r="722" spans="1:16" ht="21.75" customHeight="1" x14ac:dyDescent="0.3">
      <c r="A722" s="504"/>
      <c r="B722" s="504"/>
      <c r="C722" s="504"/>
      <c r="D722" s="504"/>
      <c r="E722" s="506"/>
      <c r="F722" s="506"/>
      <c r="G722" s="506"/>
      <c r="H722" s="506"/>
      <c r="I722" s="506"/>
      <c r="J722" s="506"/>
      <c r="K722" s="507"/>
      <c r="L722" s="508"/>
      <c r="M722" s="508"/>
      <c r="N722" s="508"/>
      <c r="O722" s="509"/>
      <c r="P722" s="509"/>
    </row>
    <row r="723" spans="1:16" ht="21.75" customHeight="1" x14ac:dyDescent="0.3">
      <c r="A723" s="504"/>
      <c r="B723" s="504"/>
      <c r="C723" s="504"/>
      <c r="D723" s="504"/>
      <c r="E723" s="506"/>
      <c r="F723" s="506"/>
      <c r="G723" s="506"/>
      <c r="H723" s="506"/>
      <c r="I723" s="506"/>
      <c r="J723" s="506"/>
      <c r="K723" s="507"/>
      <c r="L723" s="508"/>
      <c r="M723" s="508"/>
      <c r="N723" s="508"/>
      <c r="O723" s="509"/>
      <c r="P723" s="509"/>
    </row>
    <row r="724" spans="1:16" ht="21.75" customHeight="1" x14ac:dyDescent="0.3">
      <c r="A724" s="504"/>
      <c r="B724" s="504"/>
      <c r="C724" s="504"/>
      <c r="D724" s="504"/>
      <c r="E724" s="506"/>
      <c r="F724" s="506"/>
      <c r="G724" s="506"/>
      <c r="H724" s="506"/>
      <c r="I724" s="506"/>
      <c r="J724" s="506"/>
      <c r="K724" s="507"/>
      <c r="L724" s="508"/>
      <c r="M724" s="508"/>
      <c r="N724" s="508"/>
      <c r="O724" s="509"/>
      <c r="P724" s="509"/>
    </row>
    <row r="725" spans="1:16" ht="21.75" customHeight="1" x14ac:dyDescent="0.3">
      <c r="A725" s="504"/>
      <c r="B725" s="504"/>
      <c r="C725" s="504"/>
      <c r="D725" s="504"/>
      <c r="E725" s="506"/>
      <c r="F725" s="506"/>
      <c r="G725" s="506"/>
      <c r="H725" s="506"/>
      <c r="I725" s="506"/>
      <c r="J725" s="506"/>
      <c r="K725" s="507"/>
      <c r="L725" s="508"/>
      <c r="M725" s="508"/>
      <c r="N725" s="508"/>
      <c r="O725" s="509"/>
      <c r="P725" s="509"/>
    </row>
    <row r="726" spans="1:16" ht="21.75" customHeight="1" x14ac:dyDescent="0.3">
      <c r="A726" s="504"/>
      <c r="B726" s="504"/>
      <c r="C726" s="504"/>
      <c r="D726" s="504"/>
      <c r="E726" s="506"/>
      <c r="F726" s="506"/>
      <c r="G726" s="506"/>
      <c r="H726" s="506"/>
      <c r="I726" s="506"/>
      <c r="J726" s="506"/>
      <c r="K726" s="507"/>
      <c r="L726" s="508"/>
      <c r="M726" s="508"/>
      <c r="N726" s="508"/>
      <c r="O726" s="509"/>
      <c r="P726" s="509"/>
    </row>
    <row r="727" spans="1:16" ht="21.75" customHeight="1" x14ac:dyDescent="0.3">
      <c r="A727" s="504"/>
      <c r="B727" s="504"/>
      <c r="C727" s="504"/>
      <c r="D727" s="504"/>
      <c r="E727" s="506"/>
      <c r="F727" s="506"/>
      <c r="G727" s="506"/>
      <c r="H727" s="506"/>
      <c r="I727" s="506"/>
      <c r="J727" s="506"/>
      <c r="K727" s="507"/>
      <c r="L727" s="508"/>
      <c r="M727" s="508"/>
      <c r="N727" s="508"/>
      <c r="O727" s="509"/>
      <c r="P727" s="509"/>
    </row>
    <row r="728" spans="1:16" ht="21.75" customHeight="1" x14ac:dyDescent="0.3">
      <c r="A728" s="504"/>
      <c r="B728" s="504"/>
      <c r="C728" s="504"/>
      <c r="D728" s="504"/>
      <c r="E728" s="506"/>
      <c r="F728" s="506"/>
      <c r="G728" s="506"/>
      <c r="H728" s="506"/>
      <c r="I728" s="506"/>
      <c r="J728" s="506"/>
      <c r="K728" s="507"/>
      <c r="L728" s="508"/>
      <c r="M728" s="508"/>
      <c r="N728" s="508"/>
      <c r="O728" s="509"/>
      <c r="P728" s="509"/>
    </row>
    <row r="729" spans="1:16" ht="21.75" customHeight="1" x14ac:dyDescent="0.3">
      <c r="A729" s="504"/>
      <c r="B729" s="504"/>
      <c r="C729" s="504"/>
      <c r="D729" s="504"/>
      <c r="E729" s="506"/>
      <c r="F729" s="506"/>
      <c r="G729" s="506"/>
      <c r="H729" s="506"/>
      <c r="I729" s="506"/>
      <c r="J729" s="506"/>
      <c r="K729" s="507"/>
      <c r="L729" s="508"/>
      <c r="M729" s="508"/>
      <c r="N729" s="508"/>
      <c r="O729" s="509"/>
      <c r="P729" s="509"/>
    </row>
    <row r="730" spans="1:16" ht="21.75" customHeight="1" x14ac:dyDescent="0.3">
      <c r="A730" s="504"/>
      <c r="B730" s="504"/>
      <c r="C730" s="504"/>
      <c r="D730" s="504"/>
      <c r="E730" s="506"/>
      <c r="F730" s="506"/>
      <c r="G730" s="506"/>
      <c r="H730" s="506"/>
      <c r="I730" s="506"/>
      <c r="J730" s="506"/>
      <c r="K730" s="507"/>
      <c r="L730" s="508"/>
      <c r="M730" s="508"/>
      <c r="N730" s="508"/>
      <c r="O730" s="509"/>
      <c r="P730" s="509"/>
    </row>
    <row r="731" spans="1:16" ht="21.75" customHeight="1" x14ac:dyDescent="0.3">
      <c r="A731" s="504"/>
      <c r="B731" s="504"/>
      <c r="C731" s="504"/>
      <c r="D731" s="504"/>
      <c r="E731" s="506"/>
      <c r="F731" s="506"/>
      <c r="G731" s="506"/>
      <c r="H731" s="506"/>
      <c r="I731" s="506"/>
      <c r="J731" s="506"/>
      <c r="K731" s="507"/>
      <c r="L731" s="508"/>
      <c r="M731" s="508"/>
      <c r="N731" s="508"/>
      <c r="O731" s="509"/>
      <c r="P731" s="509"/>
    </row>
    <row r="732" spans="1:16" ht="21.75" customHeight="1" x14ac:dyDescent="0.3">
      <c r="A732" s="504"/>
      <c r="B732" s="504"/>
      <c r="C732" s="504"/>
      <c r="D732" s="504"/>
      <c r="E732" s="506"/>
      <c r="F732" s="506"/>
      <c r="G732" s="506"/>
      <c r="H732" s="506"/>
      <c r="I732" s="506"/>
      <c r="J732" s="506"/>
      <c r="K732" s="507"/>
      <c r="L732" s="508"/>
      <c r="M732" s="508"/>
      <c r="N732" s="508"/>
      <c r="O732" s="509"/>
      <c r="P732" s="509"/>
    </row>
    <row r="733" spans="1:16" ht="21.75" customHeight="1" x14ac:dyDescent="0.3">
      <c r="A733" s="504"/>
      <c r="B733" s="504"/>
      <c r="C733" s="504"/>
      <c r="D733" s="504"/>
      <c r="E733" s="506"/>
      <c r="F733" s="506"/>
      <c r="G733" s="506"/>
      <c r="H733" s="506"/>
      <c r="I733" s="506"/>
      <c r="J733" s="506"/>
      <c r="K733" s="507"/>
      <c r="L733" s="508"/>
      <c r="M733" s="508"/>
      <c r="N733" s="508"/>
      <c r="O733" s="509"/>
      <c r="P733" s="509"/>
    </row>
    <row r="734" spans="1:16" ht="21.75" customHeight="1" x14ac:dyDescent="0.3">
      <c r="A734" s="504"/>
      <c r="B734" s="504"/>
      <c r="C734" s="504"/>
      <c r="D734" s="504"/>
      <c r="E734" s="506"/>
      <c r="F734" s="506"/>
      <c r="G734" s="506"/>
      <c r="H734" s="506"/>
      <c r="I734" s="506"/>
      <c r="J734" s="506"/>
      <c r="K734" s="507"/>
      <c r="L734" s="508"/>
      <c r="M734" s="508"/>
      <c r="N734" s="508"/>
      <c r="O734" s="509"/>
      <c r="P734" s="509"/>
    </row>
    <row r="735" spans="1:16" ht="21.75" customHeight="1" x14ac:dyDescent="0.3">
      <c r="A735" s="504"/>
      <c r="B735" s="504"/>
      <c r="C735" s="504"/>
      <c r="D735" s="504"/>
      <c r="E735" s="506"/>
      <c r="F735" s="506"/>
      <c r="G735" s="506"/>
      <c r="H735" s="506"/>
      <c r="I735" s="506"/>
      <c r="J735" s="506"/>
      <c r="K735" s="507"/>
      <c r="L735" s="508"/>
      <c r="M735" s="508"/>
      <c r="N735" s="508"/>
      <c r="O735" s="509"/>
      <c r="P735" s="509"/>
    </row>
    <row r="736" spans="1:16" ht="21.75" customHeight="1" x14ac:dyDescent="0.3">
      <c r="A736" s="504"/>
      <c r="B736" s="504"/>
      <c r="C736" s="504"/>
      <c r="D736" s="504"/>
      <c r="E736" s="506"/>
      <c r="F736" s="506"/>
      <c r="G736" s="506"/>
      <c r="H736" s="506"/>
      <c r="I736" s="506"/>
      <c r="J736" s="506"/>
      <c r="K736" s="507"/>
      <c r="L736" s="508"/>
      <c r="M736" s="508"/>
      <c r="N736" s="508"/>
      <c r="O736" s="509"/>
      <c r="P736" s="509"/>
    </row>
    <row r="737" spans="1:16" ht="21.75" customHeight="1" x14ac:dyDescent="0.3">
      <c r="A737" s="504"/>
      <c r="B737" s="504"/>
      <c r="C737" s="504"/>
      <c r="D737" s="504"/>
      <c r="E737" s="506"/>
      <c r="F737" s="506"/>
      <c r="G737" s="506"/>
      <c r="H737" s="506"/>
      <c r="I737" s="506"/>
      <c r="J737" s="506"/>
      <c r="K737" s="507"/>
      <c r="L737" s="508"/>
      <c r="M737" s="508"/>
      <c r="N737" s="508"/>
      <c r="O737" s="509"/>
      <c r="P737" s="509"/>
    </row>
    <row r="738" spans="1:16" ht="21.75" customHeight="1" x14ac:dyDescent="0.3">
      <c r="A738" s="504"/>
      <c r="B738" s="504"/>
      <c r="C738" s="504"/>
      <c r="D738" s="504"/>
      <c r="E738" s="506"/>
      <c r="F738" s="506"/>
      <c r="G738" s="506"/>
      <c r="H738" s="506"/>
      <c r="I738" s="506"/>
      <c r="J738" s="506"/>
      <c r="K738" s="507"/>
      <c r="L738" s="508"/>
      <c r="M738" s="508"/>
      <c r="N738" s="508"/>
      <c r="O738" s="509"/>
      <c r="P738" s="509"/>
    </row>
    <row r="739" spans="1:16" ht="21.75" customHeight="1" x14ac:dyDescent="0.3">
      <c r="A739" s="504"/>
      <c r="B739" s="504"/>
      <c r="C739" s="504"/>
      <c r="D739" s="504"/>
      <c r="E739" s="506"/>
      <c r="F739" s="506"/>
      <c r="G739" s="506"/>
      <c r="H739" s="506"/>
      <c r="I739" s="506"/>
      <c r="J739" s="506"/>
      <c r="K739" s="507"/>
      <c r="L739" s="508"/>
      <c r="M739" s="508"/>
      <c r="N739" s="508"/>
      <c r="O739" s="509"/>
      <c r="P739" s="509"/>
    </row>
    <row r="740" spans="1:16" ht="21.75" customHeight="1" x14ac:dyDescent="0.3">
      <c r="A740" s="504"/>
      <c r="B740" s="504"/>
      <c r="C740" s="504"/>
      <c r="D740" s="504"/>
      <c r="E740" s="506"/>
      <c r="F740" s="506"/>
      <c r="G740" s="506"/>
      <c r="H740" s="506"/>
      <c r="I740" s="506"/>
      <c r="J740" s="506"/>
      <c r="K740" s="507"/>
      <c r="L740" s="508"/>
      <c r="M740" s="508"/>
      <c r="N740" s="508"/>
      <c r="O740" s="509"/>
      <c r="P740" s="509"/>
    </row>
    <row r="741" spans="1:16" ht="21.75" customHeight="1" x14ac:dyDescent="0.3">
      <c r="A741" s="504"/>
      <c r="B741" s="504"/>
      <c r="C741" s="504"/>
      <c r="D741" s="504"/>
      <c r="E741" s="506"/>
      <c r="F741" s="506"/>
      <c r="G741" s="506"/>
      <c r="H741" s="506"/>
      <c r="I741" s="506"/>
      <c r="J741" s="506"/>
      <c r="K741" s="507"/>
      <c r="L741" s="508"/>
      <c r="M741" s="508"/>
      <c r="N741" s="508"/>
      <c r="O741" s="509"/>
      <c r="P741" s="509"/>
    </row>
    <row r="742" spans="1:16" ht="21.75" customHeight="1" x14ac:dyDescent="0.3">
      <c r="A742" s="504"/>
      <c r="B742" s="504"/>
      <c r="C742" s="504"/>
      <c r="D742" s="504"/>
      <c r="E742" s="506"/>
      <c r="F742" s="506"/>
      <c r="G742" s="506"/>
      <c r="H742" s="506"/>
      <c r="I742" s="506"/>
      <c r="J742" s="506"/>
      <c r="K742" s="507"/>
      <c r="L742" s="508"/>
      <c r="M742" s="508"/>
      <c r="N742" s="508"/>
      <c r="O742" s="509"/>
      <c r="P742" s="509"/>
    </row>
    <row r="743" spans="1:16" ht="21.75" customHeight="1" x14ac:dyDescent="0.3">
      <c r="A743" s="504"/>
      <c r="B743" s="504"/>
      <c r="C743" s="504"/>
      <c r="D743" s="504"/>
      <c r="E743" s="506"/>
      <c r="F743" s="506"/>
      <c r="G743" s="506"/>
      <c r="H743" s="506"/>
      <c r="I743" s="506"/>
      <c r="J743" s="506"/>
      <c r="K743" s="507"/>
      <c r="L743" s="508"/>
      <c r="M743" s="508"/>
      <c r="N743" s="508"/>
      <c r="O743" s="509"/>
      <c r="P743" s="509"/>
    </row>
    <row r="744" spans="1:16" ht="21.75" customHeight="1" x14ac:dyDescent="0.3">
      <c r="A744" s="504"/>
      <c r="B744" s="504"/>
      <c r="C744" s="504"/>
      <c r="D744" s="504"/>
      <c r="E744" s="506"/>
      <c r="F744" s="506"/>
      <c r="G744" s="506"/>
      <c r="H744" s="506"/>
      <c r="I744" s="506"/>
      <c r="J744" s="506"/>
      <c r="K744" s="507"/>
      <c r="L744" s="508"/>
      <c r="M744" s="508"/>
      <c r="N744" s="508"/>
      <c r="O744" s="509"/>
      <c r="P744" s="509"/>
    </row>
    <row r="745" spans="1:16" ht="21.75" customHeight="1" x14ac:dyDescent="0.3">
      <c r="A745" s="504"/>
      <c r="B745" s="504"/>
      <c r="C745" s="504"/>
      <c r="D745" s="504"/>
      <c r="E745" s="506"/>
      <c r="F745" s="506"/>
      <c r="G745" s="506"/>
      <c r="H745" s="506"/>
      <c r="I745" s="506"/>
      <c r="J745" s="506"/>
      <c r="K745" s="507"/>
      <c r="L745" s="508"/>
      <c r="M745" s="508"/>
      <c r="N745" s="508"/>
      <c r="O745" s="509"/>
      <c r="P745" s="509"/>
    </row>
    <row r="746" spans="1:16" ht="21.75" customHeight="1" x14ac:dyDescent="0.3">
      <c r="A746" s="504"/>
      <c r="B746" s="504"/>
      <c r="C746" s="504"/>
      <c r="D746" s="504"/>
      <c r="E746" s="506"/>
      <c r="F746" s="506"/>
      <c r="G746" s="506"/>
      <c r="H746" s="506"/>
      <c r="I746" s="506"/>
      <c r="J746" s="506"/>
      <c r="K746" s="507"/>
      <c r="L746" s="508"/>
      <c r="M746" s="508"/>
      <c r="N746" s="508"/>
      <c r="O746" s="509"/>
      <c r="P746" s="509"/>
    </row>
    <row r="747" spans="1:16" ht="21.75" customHeight="1" x14ac:dyDescent="0.3">
      <c r="A747" s="504"/>
      <c r="B747" s="504"/>
      <c r="C747" s="504"/>
      <c r="D747" s="504"/>
      <c r="E747" s="506"/>
      <c r="F747" s="506"/>
      <c r="G747" s="506"/>
      <c r="H747" s="506"/>
      <c r="I747" s="506"/>
      <c r="J747" s="506"/>
      <c r="K747" s="507"/>
      <c r="L747" s="508"/>
      <c r="M747" s="508"/>
      <c r="N747" s="508"/>
      <c r="O747" s="509"/>
      <c r="P747" s="509"/>
    </row>
    <row r="748" spans="1:16" ht="21.75" customHeight="1" x14ac:dyDescent="0.3">
      <c r="A748" s="504"/>
      <c r="B748" s="504"/>
      <c r="C748" s="504"/>
      <c r="D748" s="504"/>
      <c r="E748" s="506"/>
      <c r="F748" s="506"/>
      <c r="G748" s="506"/>
      <c r="H748" s="506"/>
      <c r="I748" s="506"/>
      <c r="J748" s="506"/>
      <c r="K748" s="507"/>
      <c r="L748" s="508"/>
      <c r="M748" s="508"/>
      <c r="N748" s="508"/>
      <c r="O748" s="509"/>
      <c r="P748" s="509"/>
    </row>
    <row r="749" spans="1:16" ht="21.75" customHeight="1" x14ac:dyDescent="0.3">
      <c r="A749" s="504"/>
      <c r="B749" s="504"/>
      <c r="C749" s="504"/>
      <c r="D749" s="504"/>
      <c r="E749" s="506"/>
      <c r="F749" s="506"/>
      <c r="G749" s="506"/>
      <c r="H749" s="506"/>
      <c r="I749" s="506"/>
      <c r="J749" s="506"/>
      <c r="K749" s="507"/>
      <c r="L749" s="508"/>
      <c r="M749" s="508"/>
      <c r="N749" s="508"/>
      <c r="O749" s="509"/>
      <c r="P749" s="509"/>
    </row>
    <row r="750" spans="1:16" ht="21.75" customHeight="1" x14ac:dyDescent="0.3">
      <c r="A750" s="504"/>
      <c r="B750" s="504"/>
      <c r="C750" s="504"/>
      <c r="D750" s="504"/>
      <c r="E750" s="506"/>
      <c r="F750" s="506"/>
      <c r="G750" s="506"/>
      <c r="H750" s="506"/>
      <c r="I750" s="506"/>
      <c r="J750" s="506"/>
      <c r="K750" s="507"/>
      <c r="L750" s="508"/>
      <c r="M750" s="508"/>
      <c r="N750" s="508"/>
      <c r="O750" s="509"/>
      <c r="P750" s="509"/>
    </row>
    <row r="751" spans="1:16" ht="21.75" customHeight="1" x14ac:dyDescent="0.3">
      <c r="A751" s="504"/>
      <c r="B751" s="504"/>
      <c r="C751" s="504"/>
      <c r="D751" s="504"/>
      <c r="E751" s="506"/>
      <c r="F751" s="506"/>
      <c r="G751" s="506"/>
      <c r="H751" s="506"/>
      <c r="I751" s="506"/>
      <c r="J751" s="506"/>
      <c r="K751" s="507"/>
      <c r="L751" s="508"/>
      <c r="M751" s="508"/>
      <c r="N751" s="508"/>
      <c r="O751" s="509"/>
      <c r="P751" s="509"/>
    </row>
    <row r="752" spans="1:16" ht="21.75" customHeight="1" x14ac:dyDescent="0.3">
      <c r="A752" s="504"/>
      <c r="B752" s="504"/>
      <c r="C752" s="504"/>
      <c r="D752" s="504"/>
      <c r="E752" s="506"/>
      <c r="F752" s="506"/>
      <c r="G752" s="506"/>
      <c r="H752" s="506"/>
      <c r="I752" s="506"/>
      <c r="J752" s="506"/>
      <c r="K752" s="507"/>
      <c r="L752" s="508"/>
      <c r="M752" s="508"/>
      <c r="N752" s="508"/>
      <c r="O752" s="509"/>
      <c r="P752" s="509"/>
    </row>
    <row r="753" spans="1:16" ht="21.75" customHeight="1" x14ac:dyDescent="0.3">
      <c r="A753" s="504"/>
      <c r="B753" s="504"/>
      <c r="C753" s="504"/>
      <c r="D753" s="504"/>
      <c r="E753" s="506"/>
      <c r="F753" s="506"/>
      <c r="G753" s="506"/>
      <c r="H753" s="506"/>
      <c r="I753" s="506"/>
      <c r="J753" s="506"/>
      <c r="K753" s="507"/>
      <c r="L753" s="508"/>
      <c r="M753" s="508"/>
      <c r="N753" s="508"/>
      <c r="O753" s="509"/>
      <c r="P753" s="509"/>
    </row>
    <row r="754" spans="1:16" ht="21.75" customHeight="1" x14ac:dyDescent="0.3">
      <c r="A754" s="504"/>
      <c r="B754" s="504"/>
      <c r="C754" s="504"/>
      <c r="D754" s="504"/>
      <c r="E754" s="506"/>
      <c r="F754" s="506"/>
      <c r="G754" s="506"/>
      <c r="H754" s="506"/>
      <c r="I754" s="506"/>
      <c r="J754" s="506"/>
      <c r="K754" s="507"/>
      <c r="L754" s="508"/>
      <c r="M754" s="508"/>
      <c r="N754" s="508"/>
      <c r="O754" s="509"/>
      <c r="P754" s="509"/>
    </row>
    <row r="755" spans="1:16" ht="21.75" customHeight="1" x14ac:dyDescent="0.3">
      <c r="A755" s="504"/>
      <c r="B755" s="504"/>
      <c r="C755" s="504"/>
      <c r="D755" s="504"/>
      <c r="E755" s="506"/>
      <c r="F755" s="506"/>
      <c r="G755" s="506"/>
      <c r="H755" s="506"/>
      <c r="I755" s="506"/>
      <c r="J755" s="506"/>
      <c r="K755" s="507"/>
      <c r="L755" s="508"/>
      <c r="M755" s="508"/>
      <c r="N755" s="508"/>
      <c r="O755" s="509"/>
      <c r="P755" s="509"/>
    </row>
    <row r="756" spans="1:16" ht="21.75" customHeight="1" x14ac:dyDescent="0.3">
      <c r="A756" s="504"/>
      <c r="B756" s="504"/>
      <c r="C756" s="504"/>
      <c r="D756" s="504"/>
      <c r="E756" s="506"/>
      <c r="F756" s="506"/>
      <c r="G756" s="506"/>
      <c r="H756" s="506"/>
      <c r="I756" s="506"/>
      <c r="J756" s="506"/>
      <c r="K756" s="507"/>
      <c r="L756" s="508"/>
      <c r="M756" s="508"/>
      <c r="N756" s="508"/>
      <c r="O756" s="509"/>
      <c r="P756" s="509"/>
    </row>
    <row r="757" spans="1:16" ht="21.75" customHeight="1" x14ac:dyDescent="0.3">
      <c r="A757" s="504"/>
      <c r="B757" s="504"/>
      <c r="C757" s="504"/>
      <c r="D757" s="504"/>
      <c r="E757" s="506"/>
      <c r="F757" s="506"/>
      <c r="G757" s="506"/>
      <c r="H757" s="506"/>
      <c r="I757" s="506"/>
      <c r="J757" s="506"/>
      <c r="K757" s="507"/>
      <c r="L757" s="508"/>
      <c r="M757" s="508"/>
      <c r="N757" s="508"/>
      <c r="O757" s="509"/>
      <c r="P757" s="509"/>
    </row>
    <row r="758" spans="1:16" ht="21.75" customHeight="1" x14ac:dyDescent="0.3">
      <c r="A758" s="504"/>
      <c r="B758" s="504"/>
      <c r="C758" s="504"/>
      <c r="D758" s="504"/>
      <c r="E758" s="506"/>
      <c r="F758" s="506"/>
      <c r="G758" s="506"/>
      <c r="H758" s="506"/>
      <c r="I758" s="506"/>
      <c r="J758" s="506"/>
      <c r="K758" s="507"/>
      <c r="L758" s="508"/>
      <c r="M758" s="508"/>
      <c r="N758" s="508"/>
      <c r="O758" s="509"/>
      <c r="P758" s="509"/>
    </row>
    <row r="759" spans="1:16" ht="21.75" customHeight="1" x14ac:dyDescent="0.3">
      <c r="A759" s="504"/>
      <c r="B759" s="504"/>
      <c r="C759" s="504"/>
      <c r="D759" s="504"/>
      <c r="E759" s="506"/>
      <c r="F759" s="506"/>
      <c r="G759" s="506"/>
      <c r="H759" s="506"/>
      <c r="I759" s="506"/>
      <c r="J759" s="506"/>
      <c r="K759" s="507"/>
      <c r="L759" s="508"/>
      <c r="M759" s="508"/>
      <c r="N759" s="508"/>
      <c r="O759" s="509"/>
      <c r="P759" s="509"/>
    </row>
    <row r="760" spans="1:16" ht="21.75" customHeight="1" x14ac:dyDescent="0.3">
      <c r="A760" s="504"/>
      <c r="B760" s="504"/>
      <c r="C760" s="504"/>
      <c r="D760" s="504"/>
      <c r="E760" s="506"/>
      <c r="F760" s="506"/>
      <c r="G760" s="506"/>
      <c r="H760" s="506"/>
      <c r="I760" s="506"/>
      <c r="J760" s="506"/>
      <c r="K760" s="507"/>
      <c r="L760" s="508"/>
      <c r="M760" s="508"/>
      <c r="N760" s="508"/>
      <c r="O760" s="509"/>
      <c r="P760" s="509"/>
    </row>
    <row r="761" spans="1:16" ht="21.75" customHeight="1" x14ac:dyDescent="0.3">
      <c r="A761" s="504"/>
      <c r="B761" s="504"/>
      <c r="C761" s="504"/>
      <c r="D761" s="504"/>
      <c r="E761" s="506"/>
      <c r="F761" s="506"/>
      <c r="G761" s="506"/>
      <c r="H761" s="506"/>
      <c r="I761" s="506"/>
      <c r="J761" s="506"/>
      <c r="K761" s="507"/>
      <c r="L761" s="508"/>
      <c r="M761" s="508"/>
      <c r="N761" s="508"/>
      <c r="O761" s="509"/>
      <c r="P761" s="509"/>
    </row>
    <row r="762" spans="1:16" ht="21.75" customHeight="1" x14ac:dyDescent="0.3">
      <c r="A762" s="504"/>
      <c r="B762" s="504"/>
      <c r="C762" s="504"/>
      <c r="D762" s="504"/>
      <c r="E762" s="506"/>
      <c r="F762" s="506"/>
      <c r="G762" s="506"/>
      <c r="H762" s="506"/>
      <c r="I762" s="506"/>
      <c r="J762" s="506"/>
      <c r="K762" s="507"/>
      <c r="L762" s="508"/>
      <c r="M762" s="508"/>
      <c r="N762" s="508"/>
      <c r="O762" s="509"/>
      <c r="P762" s="509"/>
    </row>
    <row r="763" spans="1:16" ht="21.75" customHeight="1" x14ac:dyDescent="0.3">
      <c r="A763" s="504"/>
      <c r="B763" s="504"/>
      <c r="C763" s="504"/>
      <c r="D763" s="504"/>
      <c r="E763" s="506"/>
      <c r="F763" s="506"/>
      <c r="G763" s="506"/>
      <c r="H763" s="506"/>
      <c r="I763" s="506"/>
      <c r="J763" s="506"/>
      <c r="K763" s="507"/>
      <c r="L763" s="508"/>
      <c r="M763" s="508"/>
      <c r="N763" s="508"/>
      <c r="O763" s="509"/>
      <c r="P763" s="509"/>
    </row>
    <row r="764" spans="1:16" ht="21.75" customHeight="1" x14ac:dyDescent="0.3">
      <c r="A764" s="504"/>
      <c r="B764" s="504"/>
      <c r="C764" s="504"/>
      <c r="D764" s="504"/>
      <c r="E764" s="506"/>
      <c r="F764" s="506"/>
      <c r="G764" s="506"/>
      <c r="H764" s="506"/>
      <c r="I764" s="506"/>
      <c r="J764" s="506"/>
      <c r="K764" s="507"/>
      <c r="L764" s="508"/>
      <c r="M764" s="508"/>
      <c r="N764" s="508"/>
      <c r="O764" s="509"/>
      <c r="P764" s="509"/>
    </row>
    <row r="765" spans="1:16" ht="21.75" customHeight="1" x14ac:dyDescent="0.3">
      <c r="A765" s="504"/>
      <c r="B765" s="504"/>
      <c r="C765" s="504"/>
      <c r="D765" s="504"/>
      <c r="E765" s="506"/>
      <c r="F765" s="506"/>
      <c r="G765" s="506"/>
      <c r="H765" s="506"/>
      <c r="I765" s="506"/>
      <c r="J765" s="506"/>
      <c r="K765" s="507"/>
      <c r="L765" s="508"/>
      <c r="M765" s="508"/>
      <c r="N765" s="508"/>
      <c r="O765" s="509"/>
      <c r="P765" s="509"/>
    </row>
    <row r="766" spans="1:16" ht="21.75" customHeight="1" x14ac:dyDescent="0.3">
      <c r="A766" s="504"/>
      <c r="B766" s="504"/>
      <c r="C766" s="504"/>
      <c r="D766" s="504"/>
      <c r="E766" s="506"/>
      <c r="F766" s="506"/>
      <c r="G766" s="506"/>
      <c r="H766" s="506"/>
      <c r="I766" s="506"/>
      <c r="J766" s="506"/>
      <c r="K766" s="507"/>
      <c r="L766" s="508"/>
      <c r="M766" s="508"/>
      <c r="N766" s="508"/>
      <c r="O766" s="509"/>
      <c r="P766" s="509"/>
    </row>
    <row r="767" spans="1:16" ht="21.75" customHeight="1" x14ac:dyDescent="0.3">
      <c r="A767" s="504"/>
      <c r="B767" s="504"/>
      <c r="C767" s="504"/>
      <c r="D767" s="504"/>
      <c r="E767" s="506"/>
      <c r="F767" s="506"/>
      <c r="G767" s="506"/>
      <c r="H767" s="506"/>
      <c r="I767" s="506"/>
      <c r="J767" s="506"/>
      <c r="K767" s="507"/>
      <c r="L767" s="508"/>
      <c r="M767" s="508"/>
      <c r="N767" s="508"/>
      <c r="O767" s="509"/>
      <c r="P767" s="509"/>
    </row>
    <row r="768" spans="1:16" ht="21.75" customHeight="1" x14ac:dyDescent="0.3">
      <c r="A768" s="504"/>
      <c r="B768" s="504"/>
      <c r="C768" s="504"/>
      <c r="D768" s="504"/>
      <c r="E768" s="506"/>
      <c r="F768" s="506"/>
      <c r="G768" s="506"/>
      <c r="H768" s="506"/>
      <c r="I768" s="506"/>
      <c r="J768" s="506"/>
      <c r="K768" s="507"/>
      <c r="L768" s="508"/>
      <c r="M768" s="508"/>
      <c r="N768" s="508"/>
      <c r="O768" s="509"/>
      <c r="P768" s="509"/>
    </row>
    <row r="769" spans="1:16" ht="21.75" customHeight="1" x14ac:dyDescent="0.3">
      <c r="A769" s="504"/>
      <c r="B769" s="504"/>
      <c r="C769" s="504"/>
      <c r="D769" s="504"/>
      <c r="E769" s="506"/>
      <c r="F769" s="506"/>
      <c r="G769" s="506"/>
      <c r="H769" s="506"/>
      <c r="I769" s="506"/>
      <c r="J769" s="506"/>
      <c r="K769" s="507"/>
      <c r="L769" s="508"/>
      <c r="M769" s="508"/>
      <c r="N769" s="508"/>
      <c r="O769" s="509"/>
      <c r="P769" s="509"/>
    </row>
    <row r="770" spans="1:16" ht="21.75" customHeight="1" x14ac:dyDescent="0.3">
      <c r="A770" s="504"/>
      <c r="B770" s="504"/>
      <c r="C770" s="504"/>
      <c r="D770" s="504"/>
      <c r="E770" s="506"/>
      <c r="F770" s="506"/>
      <c r="G770" s="506"/>
      <c r="H770" s="506"/>
      <c r="I770" s="506"/>
      <c r="J770" s="506"/>
      <c r="K770" s="507"/>
      <c r="L770" s="508"/>
      <c r="M770" s="508"/>
      <c r="N770" s="508"/>
      <c r="O770" s="509"/>
      <c r="P770" s="509"/>
    </row>
    <row r="771" spans="1:16" ht="21.75" customHeight="1" x14ac:dyDescent="0.3">
      <c r="A771" s="504"/>
      <c r="B771" s="504"/>
      <c r="C771" s="504"/>
      <c r="D771" s="504"/>
      <c r="E771" s="506"/>
      <c r="F771" s="506"/>
      <c r="G771" s="506"/>
      <c r="H771" s="506"/>
      <c r="I771" s="506"/>
      <c r="J771" s="506"/>
      <c r="K771" s="507"/>
      <c r="L771" s="508"/>
      <c r="M771" s="508"/>
      <c r="N771" s="508"/>
      <c r="O771" s="509"/>
      <c r="P771" s="509"/>
    </row>
    <row r="772" spans="1:16" ht="21.75" customHeight="1" x14ac:dyDescent="0.3">
      <c r="A772" s="504"/>
      <c r="B772" s="504"/>
      <c r="C772" s="504"/>
      <c r="D772" s="504"/>
      <c r="E772" s="506"/>
      <c r="F772" s="506"/>
      <c r="G772" s="506"/>
      <c r="H772" s="506"/>
      <c r="I772" s="506"/>
      <c r="J772" s="506"/>
      <c r="K772" s="507"/>
      <c r="L772" s="508"/>
      <c r="M772" s="508"/>
      <c r="N772" s="508"/>
      <c r="O772" s="509"/>
      <c r="P772" s="509"/>
    </row>
    <row r="773" spans="1:16" ht="21.75" customHeight="1" x14ac:dyDescent="0.3">
      <c r="A773" s="504"/>
      <c r="B773" s="504"/>
      <c r="C773" s="504"/>
      <c r="D773" s="504"/>
      <c r="E773" s="506"/>
      <c r="F773" s="506"/>
      <c r="G773" s="506"/>
      <c r="H773" s="506"/>
      <c r="I773" s="506"/>
      <c r="J773" s="506"/>
      <c r="K773" s="507"/>
      <c r="L773" s="508"/>
      <c r="M773" s="508"/>
      <c r="N773" s="508"/>
      <c r="O773" s="509"/>
      <c r="P773" s="509"/>
    </row>
    <row r="774" spans="1:16" ht="21.75" customHeight="1" x14ac:dyDescent="0.3">
      <c r="A774" s="504"/>
      <c r="B774" s="504"/>
      <c r="C774" s="504"/>
      <c r="D774" s="504"/>
      <c r="E774" s="506"/>
      <c r="F774" s="506"/>
      <c r="G774" s="506"/>
      <c r="H774" s="506"/>
      <c r="I774" s="506"/>
      <c r="J774" s="506"/>
      <c r="K774" s="507"/>
      <c r="L774" s="508"/>
      <c r="M774" s="508"/>
      <c r="N774" s="508"/>
      <c r="O774" s="509"/>
      <c r="P774" s="509"/>
    </row>
    <row r="775" spans="1:16" ht="21.75" customHeight="1" x14ac:dyDescent="0.3">
      <c r="A775" s="504"/>
      <c r="B775" s="504"/>
      <c r="C775" s="504"/>
      <c r="D775" s="504"/>
      <c r="E775" s="506"/>
      <c r="F775" s="506"/>
      <c r="G775" s="506"/>
      <c r="H775" s="506"/>
      <c r="I775" s="506"/>
      <c r="J775" s="506"/>
      <c r="K775" s="507"/>
      <c r="L775" s="508"/>
      <c r="M775" s="508"/>
      <c r="N775" s="508"/>
      <c r="O775" s="509"/>
      <c r="P775" s="509"/>
    </row>
    <row r="776" spans="1:16" ht="21.75" customHeight="1" x14ac:dyDescent="0.3">
      <c r="A776" s="504"/>
      <c r="B776" s="504"/>
      <c r="C776" s="504"/>
      <c r="D776" s="504"/>
      <c r="E776" s="506"/>
      <c r="F776" s="506"/>
      <c r="G776" s="506"/>
      <c r="H776" s="506"/>
      <c r="I776" s="506"/>
      <c r="J776" s="506"/>
      <c r="K776" s="507"/>
      <c r="L776" s="508"/>
      <c r="M776" s="508"/>
      <c r="N776" s="508"/>
      <c r="O776" s="509"/>
      <c r="P776" s="509"/>
    </row>
    <row r="777" spans="1:16" ht="21.75" customHeight="1" x14ac:dyDescent="0.3">
      <c r="A777" s="504"/>
      <c r="B777" s="504"/>
      <c r="C777" s="504"/>
      <c r="D777" s="504"/>
      <c r="E777" s="506"/>
      <c r="F777" s="506"/>
      <c r="G777" s="506"/>
      <c r="H777" s="506"/>
      <c r="I777" s="506"/>
      <c r="J777" s="506"/>
      <c r="K777" s="507"/>
      <c r="L777" s="508"/>
      <c r="M777" s="508"/>
      <c r="N777" s="508"/>
      <c r="O777" s="509"/>
      <c r="P777" s="509"/>
    </row>
    <row r="778" spans="1:16" ht="21.75" customHeight="1" x14ac:dyDescent="0.3">
      <c r="A778" s="504"/>
      <c r="B778" s="504"/>
      <c r="C778" s="504"/>
      <c r="D778" s="504"/>
      <c r="E778" s="506"/>
      <c r="F778" s="506"/>
      <c r="G778" s="506"/>
      <c r="H778" s="506"/>
      <c r="I778" s="506"/>
      <c r="J778" s="506"/>
      <c r="K778" s="507"/>
      <c r="L778" s="508"/>
      <c r="M778" s="508"/>
      <c r="N778" s="508"/>
      <c r="O778" s="509"/>
      <c r="P778" s="509"/>
    </row>
    <row r="779" spans="1:16" ht="21.75" customHeight="1" x14ac:dyDescent="0.3">
      <c r="A779" s="504"/>
      <c r="B779" s="504"/>
      <c r="C779" s="504"/>
      <c r="D779" s="504"/>
      <c r="E779" s="506"/>
      <c r="F779" s="506"/>
      <c r="G779" s="506"/>
      <c r="H779" s="506"/>
      <c r="I779" s="506"/>
      <c r="J779" s="506"/>
      <c r="K779" s="507"/>
      <c r="L779" s="508"/>
      <c r="M779" s="508"/>
      <c r="N779" s="508"/>
      <c r="O779" s="509"/>
      <c r="P779" s="509"/>
    </row>
    <row r="780" spans="1:16" ht="21.75" customHeight="1" x14ac:dyDescent="0.3">
      <c r="A780" s="504"/>
      <c r="B780" s="504"/>
      <c r="C780" s="504"/>
      <c r="D780" s="504"/>
      <c r="E780" s="506"/>
      <c r="F780" s="506"/>
      <c r="G780" s="506"/>
      <c r="H780" s="506"/>
      <c r="I780" s="506"/>
      <c r="J780" s="506"/>
      <c r="K780" s="507"/>
      <c r="L780" s="508"/>
      <c r="M780" s="508"/>
      <c r="N780" s="508"/>
      <c r="O780" s="509"/>
      <c r="P780" s="509"/>
    </row>
    <row r="781" spans="1:16" ht="21.75" customHeight="1" x14ac:dyDescent="0.3">
      <c r="A781" s="504"/>
      <c r="B781" s="504"/>
      <c r="C781" s="504"/>
      <c r="D781" s="504"/>
      <c r="E781" s="506"/>
      <c r="F781" s="506"/>
      <c r="G781" s="506"/>
      <c r="H781" s="506"/>
      <c r="I781" s="506"/>
      <c r="J781" s="506"/>
      <c r="K781" s="507"/>
      <c r="L781" s="508"/>
      <c r="M781" s="508"/>
      <c r="N781" s="508"/>
      <c r="O781" s="509"/>
      <c r="P781" s="509"/>
    </row>
    <row r="782" spans="1:16" ht="21.75" customHeight="1" x14ac:dyDescent="0.3">
      <c r="A782" s="504"/>
      <c r="B782" s="504"/>
      <c r="C782" s="504"/>
      <c r="D782" s="504"/>
      <c r="E782" s="506"/>
      <c r="F782" s="506"/>
      <c r="G782" s="506"/>
      <c r="H782" s="506"/>
      <c r="I782" s="506"/>
      <c r="J782" s="506"/>
      <c r="K782" s="507"/>
      <c r="L782" s="508"/>
      <c r="M782" s="508"/>
      <c r="N782" s="508"/>
      <c r="O782" s="509"/>
      <c r="P782" s="509"/>
    </row>
    <row r="783" spans="1:16" ht="21.75" customHeight="1" x14ac:dyDescent="0.3">
      <c r="A783" s="504"/>
      <c r="B783" s="504"/>
      <c r="C783" s="504"/>
      <c r="D783" s="504"/>
      <c r="E783" s="506"/>
      <c r="F783" s="506"/>
      <c r="G783" s="506"/>
      <c r="H783" s="506"/>
      <c r="I783" s="506"/>
      <c r="J783" s="506"/>
      <c r="K783" s="507"/>
      <c r="L783" s="508"/>
      <c r="M783" s="508"/>
      <c r="N783" s="508"/>
      <c r="O783" s="509"/>
      <c r="P783" s="509"/>
    </row>
    <row r="784" spans="1:16" ht="21.75" customHeight="1" x14ac:dyDescent="0.3">
      <c r="A784" s="504"/>
      <c r="B784" s="504"/>
      <c r="C784" s="504"/>
      <c r="D784" s="504"/>
      <c r="E784" s="506"/>
      <c r="F784" s="506"/>
      <c r="G784" s="506"/>
      <c r="H784" s="506"/>
      <c r="I784" s="506"/>
      <c r="J784" s="506"/>
      <c r="K784" s="507"/>
      <c r="L784" s="508"/>
      <c r="M784" s="508"/>
      <c r="N784" s="508"/>
      <c r="O784" s="509"/>
      <c r="P784" s="509"/>
    </row>
    <row r="785" spans="1:16" ht="21.75" customHeight="1" x14ac:dyDescent="0.3">
      <c r="A785" s="504"/>
      <c r="B785" s="504"/>
      <c r="C785" s="504"/>
      <c r="D785" s="504"/>
      <c r="E785" s="506"/>
      <c r="F785" s="506"/>
      <c r="G785" s="506"/>
      <c r="H785" s="506"/>
      <c r="I785" s="506"/>
      <c r="J785" s="506"/>
      <c r="K785" s="507"/>
      <c r="L785" s="508"/>
      <c r="M785" s="508"/>
      <c r="N785" s="508"/>
      <c r="O785" s="509"/>
      <c r="P785" s="509"/>
    </row>
    <row r="786" spans="1:16" ht="21.75" customHeight="1" x14ac:dyDescent="0.3">
      <c r="A786" s="504"/>
      <c r="B786" s="504"/>
      <c r="C786" s="504"/>
      <c r="D786" s="504"/>
      <c r="E786" s="506"/>
      <c r="F786" s="506"/>
      <c r="G786" s="506"/>
      <c r="H786" s="506"/>
      <c r="I786" s="506"/>
      <c r="J786" s="506"/>
      <c r="K786" s="507"/>
      <c r="L786" s="508"/>
      <c r="M786" s="508"/>
      <c r="N786" s="508"/>
      <c r="O786" s="509"/>
      <c r="P786" s="509"/>
    </row>
    <row r="787" spans="1:16" ht="21.75" customHeight="1" x14ac:dyDescent="0.3">
      <c r="A787" s="504"/>
      <c r="B787" s="504"/>
      <c r="C787" s="504"/>
      <c r="D787" s="504"/>
      <c r="E787" s="506"/>
      <c r="F787" s="506"/>
      <c r="G787" s="506"/>
      <c r="H787" s="506"/>
      <c r="I787" s="506"/>
      <c r="J787" s="506"/>
      <c r="K787" s="507"/>
      <c r="L787" s="508"/>
      <c r="M787" s="508"/>
      <c r="N787" s="508"/>
      <c r="O787" s="509"/>
      <c r="P787" s="509"/>
    </row>
    <row r="788" spans="1:16" ht="21.75" customHeight="1" x14ac:dyDescent="0.3">
      <c r="A788" s="504"/>
      <c r="B788" s="504"/>
      <c r="C788" s="504"/>
      <c r="D788" s="504"/>
      <c r="E788" s="506"/>
      <c r="F788" s="506"/>
      <c r="G788" s="506"/>
      <c r="H788" s="506"/>
      <c r="I788" s="506"/>
      <c r="J788" s="506"/>
      <c r="K788" s="507"/>
      <c r="L788" s="508"/>
      <c r="M788" s="508"/>
      <c r="N788" s="508"/>
      <c r="O788" s="509"/>
      <c r="P788" s="509"/>
    </row>
    <row r="789" spans="1:16" ht="21.75" customHeight="1" x14ac:dyDescent="0.3">
      <c r="A789" s="504"/>
      <c r="B789" s="504"/>
      <c r="C789" s="504"/>
      <c r="D789" s="504"/>
      <c r="E789" s="506"/>
      <c r="F789" s="506"/>
      <c r="G789" s="506"/>
      <c r="H789" s="506"/>
      <c r="I789" s="506"/>
      <c r="J789" s="506"/>
      <c r="K789" s="507"/>
      <c r="L789" s="508"/>
      <c r="M789" s="508"/>
      <c r="N789" s="508"/>
      <c r="O789" s="509"/>
      <c r="P789" s="509"/>
    </row>
    <row r="790" spans="1:16" ht="21.75" customHeight="1" x14ac:dyDescent="0.3">
      <c r="A790" s="504"/>
      <c r="B790" s="504"/>
      <c r="C790" s="504"/>
      <c r="D790" s="504"/>
      <c r="E790" s="506"/>
      <c r="F790" s="506"/>
      <c r="G790" s="506"/>
      <c r="H790" s="506"/>
      <c r="I790" s="506"/>
      <c r="J790" s="506"/>
      <c r="K790" s="507"/>
      <c r="L790" s="508"/>
      <c r="M790" s="508"/>
      <c r="N790" s="508"/>
      <c r="O790" s="509"/>
      <c r="P790" s="509"/>
    </row>
    <row r="791" spans="1:16" ht="21.75" customHeight="1" x14ac:dyDescent="0.3">
      <c r="A791" s="504"/>
      <c r="B791" s="504"/>
      <c r="C791" s="504"/>
      <c r="D791" s="504"/>
      <c r="E791" s="506"/>
      <c r="F791" s="506"/>
      <c r="G791" s="506"/>
      <c r="H791" s="506"/>
      <c r="I791" s="506"/>
      <c r="J791" s="506"/>
      <c r="K791" s="507"/>
      <c r="L791" s="508"/>
      <c r="M791" s="508"/>
      <c r="N791" s="508"/>
      <c r="O791" s="509"/>
      <c r="P791" s="509"/>
    </row>
    <row r="792" spans="1:16" ht="21.75" customHeight="1" x14ac:dyDescent="0.3">
      <c r="A792" s="504"/>
      <c r="B792" s="504"/>
      <c r="C792" s="504"/>
      <c r="D792" s="504"/>
      <c r="E792" s="506"/>
      <c r="F792" s="506"/>
      <c r="G792" s="506"/>
      <c r="H792" s="506"/>
      <c r="I792" s="506"/>
      <c r="J792" s="506"/>
      <c r="K792" s="507"/>
      <c r="L792" s="508"/>
      <c r="M792" s="508"/>
      <c r="N792" s="508"/>
      <c r="O792" s="509"/>
      <c r="P792" s="509"/>
    </row>
    <row r="793" spans="1:16" ht="21.75" customHeight="1" x14ac:dyDescent="0.3">
      <c r="A793" s="504"/>
      <c r="B793" s="504"/>
      <c r="C793" s="504"/>
      <c r="D793" s="504"/>
      <c r="E793" s="506"/>
      <c r="F793" s="506"/>
      <c r="G793" s="506"/>
      <c r="H793" s="506"/>
      <c r="I793" s="506"/>
      <c r="J793" s="506"/>
      <c r="K793" s="507"/>
      <c r="L793" s="508"/>
      <c r="M793" s="508"/>
      <c r="N793" s="508"/>
      <c r="O793" s="509"/>
      <c r="P793" s="509"/>
    </row>
    <row r="794" spans="1:16" ht="21.75" customHeight="1" x14ac:dyDescent="0.3">
      <c r="A794" s="504"/>
      <c r="B794" s="504"/>
      <c r="C794" s="504"/>
      <c r="D794" s="504"/>
      <c r="E794" s="506"/>
      <c r="F794" s="506"/>
      <c r="G794" s="506"/>
      <c r="H794" s="506"/>
      <c r="I794" s="506"/>
      <c r="J794" s="506"/>
      <c r="K794" s="507"/>
      <c r="L794" s="508"/>
      <c r="M794" s="508"/>
      <c r="N794" s="508"/>
      <c r="O794" s="509"/>
      <c r="P794" s="509"/>
    </row>
    <row r="795" spans="1:16" ht="21.75" customHeight="1" x14ac:dyDescent="0.3">
      <c r="A795" s="504"/>
      <c r="B795" s="504"/>
      <c r="C795" s="504"/>
      <c r="D795" s="504"/>
      <c r="E795" s="506"/>
      <c r="F795" s="506"/>
      <c r="G795" s="506"/>
      <c r="H795" s="506"/>
      <c r="I795" s="506"/>
      <c r="J795" s="506"/>
      <c r="K795" s="507"/>
      <c r="L795" s="508"/>
      <c r="M795" s="508"/>
      <c r="N795" s="508"/>
      <c r="O795" s="509"/>
      <c r="P795" s="509"/>
    </row>
    <row r="796" spans="1:16" ht="21.75" customHeight="1" x14ac:dyDescent="0.3">
      <c r="A796" s="504"/>
      <c r="B796" s="504"/>
      <c r="C796" s="504"/>
      <c r="D796" s="504"/>
      <c r="E796" s="506"/>
      <c r="F796" s="506"/>
      <c r="G796" s="506"/>
      <c r="H796" s="506"/>
      <c r="I796" s="506"/>
      <c r="J796" s="506"/>
      <c r="K796" s="507"/>
      <c r="L796" s="508"/>
      <c r="M796" s="508"/>
      <c r="N796" s="508"/>
      <c r="O796" s="509"/>
      <c r="P796" s="509"/>
    </row>
    <row r="797" spans="1:16" ht="21.75" customHeight="1" x14ac:dyDescent="0.3">
      <c r="A797" s="504"/>
      <c r="B797" s="504"/>
      <c r="C797" s="504"/>
      <c r="D797" s="504"/>
      <c r="E797" s="506"/>
      <c r="F797" s="506"/>
      <c r="G797" s="506"/>
      <c r="H797" s="506"/>
      <c r="I797" s="506"/>
      <c r="J797" s="506"/>
      <c r="K797" s="507"/>
      <c r="L797" s="508"/>
      <c r="M797" s="508"/>
      <c r="N797" s="508"/>
      <c r="O797" s="509"/>
      <c r="P797" s="509"/>
    </row>
    <row r="798" spans="1:16" ht="21.75" customHeight="1" x14ac:dyDescent="0.3">
      <c r="A798" s="504"/>
      <c r="B798" s="504"/>
      <c r="C798" s="504"/>
      <c r="D798" s="504"/>
      <c r="E798" s="506"/>
      <c r="F798" s="506"/>
      <c r="G798" s="506"/>
      <c r="H798" s="506"/>
      <c r="I798" s="506"/>
      <c r="J798" s="506"/>
      <c r="K798" s="507"/>
      <c r="L798" s="508"/>
      <c r="M798" s="508"/>
      <c r="N798" s="508"/>
      <c r="O798" s="509"/>
      <c r="P798" s="509"/>
    </row>
    <row r="799" spans="1:16" ht="21.75" customHeight="1" x14ac:dyDescent="0.3">
      <c r="A799" s="504"/>
      <c r="B799" s="504"/>
      <c r="C799" s="504"/>
      <c r="D799" s="504"/>
      <c r="E799" s="506"/>
      <c r="F799" s="506"/>
      <c r="G799" s="506"/>
      <c r="H799" s="506"/>
      <c r="I799" s="506"/>
      <c r="J799" s="506"/>
      <c r="K799" s="507"/>
      <c r="L799" s="508"/>
      <c r="M799" s="508"/>
      <c r="N799" s="508"/>
      <c r="O799" s="509"/>
      <c r="P799" s="509"/>
    </row>
    <row r="800" spans="1:16" ht="21.75" customHeight="1" x14ac:dyDescent="0.3">
      <c r="A800" s="504"/>
      <c r="B800" s="504"/>
      <c r="C800" s="504"/>
      <c r="D800" s="504"/>
      <c r="E800" s="506"/>
      <c r="F800" s="506"/>
      <c r="G800" s="506"/>
      <c r="H800" s="506"/>
      <c r="I800" s="506"/>
      <c r="J800" s="506"/>
      <c r="K800" s="507"/>
      <c r="L800" s="508"/>
      <c r="M800" s="508"/>
      <c r="N800" s="508"/>
      <c r="O800" s="509"/>
      <c r="P800" s="509"/>
    </row>
    <row r="801" spans="1:16" ht="21.75" customHeight="1" x14ac:dyDescent="0.3">
      <c r="A801" s="504"/>
      <c r="B801" s="504"/>
      <c r="C801" s="504"/>
      <c r="D801" s="504"/>
      <c r="E801" s="506"/>
      <c r="F801" s="506"/>
      <c r="G801" s="506"/>
      <c r="H801" s="506"/>
      <c r="I801" s="506"/>
      <c r="J801" s="506"/>
      <c r="K801" s="507"/>
      <c r="L801" s="508"/>
      <c r="M801" s="508"/>
      <c r="N801" s="508"/>
      <c r="O801" s="509"/>
      <c r="P801" s="509"/>
    </row>
    <row r="802" spans="1:16" ht="21.75" customHeight="1" x14ac:dyDescent="0.3">
      <c r="A802" s="504"/>
      <c r="B802" s="504"/>
      <c r="C802" s="504"/>
      <c r="D802" s="504"/>
      <c r="E802" s="506"/>
      <c r="F802" s="506"/>
      <c r="G802" s="506"/>
      <c r="H802" s="506"/>
      <c r="I802" s="506"/>
      <c r="J802" s="506"/>
      <c r="K802" s="507"/>
      <c r="L802" s="508"/>
      <c r="M802" s="508"/>
      <c r="N802" s="508"/>
      <c r="O802" s="509"/>
      <c r="P802" s="509"/>
    </row>
    <row r="803" spans="1:16" ht="21.75" customHeight="1" x14ac:dyDescent="0.3">
      <c r="A803" s="504"/>
      <c r="B803" s="504"/>
      <c r="C803" s="504"/>
      <c r="D803" s="504"/>
      <c r="E803" s="506"/>
      <c r="F803" s="506"/>
      <c r="G803" s="506"/>
      <c r="H803" s="506"/>
      <c r="I803" s="506"/>
      <c r="J803" s="506"/>
      <c r="K803" s="507"/>
      <c r="L803" s="508"/>
      <c r="M803" s="508"/>
      <c r="N803" s="508"/>
      <c r="O803" s="509"/>
      <c r="P803" s="509"/>
    </row>
    <row r="804" spans="1:16" ht="21.75" customHeight="1" x14ac:dyDescent="0.3">
      <c r="A804" s="504"/>
      <c r="B804" s="504"/>
      <c r="C804" s="504"/>
      <c r="D804" s="504"/>
      <c r="E804" s="506"/>
      <c r="F804" s="506"/>
      <c r="G804" s="506"/>
      <c r="H804" s="506"/>
      <c r="I804" s="506"/>
      <c r="J804" s="506"/>
      <c r="K804" s="507"/>
      <c r="L804" s="508"/>
      <c r="M804" s="508"/>
      <c r="N804" s="508"/>
      <c r="O804" s="509"/>
      <c r="P804" s="509"/>
    </row>
    <row r="805" spans="1:16" ht="21.75" customHeight="1" x14ac:dyDescent="0.3">
      <c r="A805" s="504"/>
      <c r="B805" s="504"/>
      <c r="C805" s="504"/>
      <c r="D805" s="504"/>
      <c r="E805" s="506"/>
      <c r="F805" s="506"/>
      <c r="G805" s="506"/>
      <c r="H805" s="506"/>
      <c r="I805" s="506"/>
      <c r="J805" s="506"/>
      <c r="K805" s="507"/>
      <c r="L805" s="508"/>
      <c r="M805" s="508"/>
      <c r="N805" s="508"/>
      <c r="O805" s="509"/>
      <c r="P805" s="509"/>
    </row>
    <row r="806" spans="1:16" ht="21.75" customHeight="1" x14ac:dyDescent="0.3">
      <c r="A806" s="504"/>
      <c r="B806" s="504"/>
      <c r="C806" s="504"/>
      <c r="D806" s="504"/>
      <c r="E806" s="506"/>
      <c r="F806" s="506"/>
      <c r="G806" s="506"/>
      <c r="H806" s="506"/>
      <c r="I806" s="506"/>
      <c r="J806" s="506"/>
      <c r="K806" s="507"/>
      <c r="L806" s="508"/>
      <c r="M806" s="508"/>
      <c r="N806" s="508"/>
      <c r="O806" s="509"/>
      <c r="P806" s="509"/>
    </row>
    <row r="807" spans="1:16" ht="21.75" customHeight="1" x14ac:dyDescent="0.3">
      <c r="A807" s="504"/>
      <c r="B807" s="504"/>
      <c r="C807" s="504"/>
      <c r="D807" s="504"/>
      <c r="E807" s="506"/>
      <c r="F807" s="506"/>
      <c r="G807" s="506"/>
      <c r="H807" s="506"/>
      <c r="I807" s="506"/>
      <c r="J807" s="506"/>
      <c r="K807" s="507"/>
      <c r="L807" s="508"/>
      <c r="M807" s="508"/>
      <c r="N807" s="508"/>
      <c r="O807" s="509"/>
      <c r="P807" s="509"/>
    </row>
    <row r="808" spans="1:16" ht="21.75" customHeight="1" x14ac:dyDescent="0.3">
      <c r="A808" s="504"/>
      <c r="B808" s="504"/>
      <c r="C808" s="504"/>
      <c r="D808" s="504"/>
      <c r="E808" s="506"/>
      <c r="F808" s="506"/>
      <c r="G808" s="506"/>
      <c r="H808" s="506"/>
      <c r="I808" s="506"/>
      <c r="J808" s="506"/>
      <c r="K808" s="507"/>
      <c r="L808" s="508"/>
      <c r="M808" s="508"/>
      <c r="N808" s="508"/>
      <c r="O808" s="509"/>
      <c r="P808" s="509"/>
    </row>
    <row r="809" spans="1:16" ht="21.75" customHeight="1" x14ac:dyDescent="0.3">
      <c r="A809" s="504"/>
      <c r="B809" s="504"/>
      <c r="C809" s="504"/>
      <c r="D809" s="504"/>
      <c r="E809" s="506"/>
      <c r="F809" s="506"/>
      <c r="G809" s="506"/>
      <c r="H809" s="506"/>
      <c r="I809" s="506"/>
      <c r="J809" s="506"/>
      <c r="K809" s="507"/>
      <c r="L809" s="508"/>
      <c r="M809" s="508"/>
      <c r="N809" s="508"/>
      <c r="O809" s="509"/>
      <c r="P809" s="509"/>
    </row>
    <row r="810" spans="1:16" ht="21.75" customHeight="1" x14ac:dyDescent="0.3">
      <c r="A810" s="504"/>
      <c r="B810" s="504"/>
      <c r="C810" s="504"/>
      <c r="D810" s="504"/>
      <c r="E810" s="506"/>
      <c r="F810" s="506"/>
      <c r="G810" s="506"/>
      <c r="H810" s="506"/>
      <c r="I810" s="506"/>
      <c r="J810" s="506"/>
      <c r="K810" s="507"/>
      <c r="L810" s="508"/>
      <c r="M810" s="508"/>
      <c r="N810" s="508"/>
      <c r="O810" s="509"/>
      <c r="P810" s="509"/>
    </row>
    <row r="811" spans="1:16" ht="21.75" customHeight="1" x14ac:dyDescent="0.3">
      <c r="A811" s="504"/>
      <c r="B811" s="504"/>
      <c r="C811" s="504"/>
      <c r="D811" s="504"/>
      <c r="E811" s="506"/>
      <c r="F811" s="506"/>
      <c r="G811" s="506"/>
      <c r="H811" s="506"/>
      <c r="I811" s="506"/>
      <c r="J811" s="506"/>
      <c r="K811" s="507"/>
      <c r="L811" s="508"/>
      <c r="M811" s="508"/>
      <c r="N811" s="508"/>
      <c r="O811" s="509"/>
      <c r="P811" s="509"/>
    </row>
    <row r="812" spans="1:16" ht="21.75" customHeight="1" x14ac:dyDescent="0.3">
      <c r="A812" s="504"/>
      <c r="B812" s="504"/>
      <c r="C812" s="504"/>
      <c r="D812" s="504"/>
      <c r="E812" s="506"/>
      <c r="F812" s="506"/>
      <c r="G812" s="506"/>
      <c r="H812" s="506"/>
      <c r="I812" s="506"/>
      <c r="J812" s="506"/>
      <c r="K812" s="507"/>
      <c r="L812" s="508"/>
      <c r="M812" s="508"/>
      <c r="N812" s="508"/>
      <c r="O812" s="509"/>
      <c r="P812" s="509"/>
    </row>
    <row r="813" spans="1:16" ht="21.75" customHeight="1" x14ac:dyDescent="0.3">
      <c r="A813" s="504"/>
      <c r="B813" s="504"/>
      <c r="C813" s="504"/>
      <c r="D813" s="504"/>
      <c r="E813" s="506"/>
      <c r="F813" s="506"/>
      <c r="G813" s="506"/>
      <c r="H813" s="506"/>
      <c r="I813" s="506"/>
      <c r="J813" s="506"/>
      <c r="K813" s="507"/>
      <c r="L813" s="508"/>
      <c r="M813" s="508"/>
      <c r="N813" s="508"/>
      <c r="O813" s="509"/>
      <c r="P813" s="509"/>
    </row>
    <row r="814" spans="1:16" ht="21.75" customHeight="1" x14ac:dyDescent="0.3">
      <c r="A814" s="504"/>
      <c r="B814" s="504"/>
      <c r="C814" s="504"/>
      <c r="D814" s="504"/>
      <c r="E814" s="506"/>
      <c r="F814" s="506"/>
      <c r="G814" s="506"/>
      <c r="H814" s="506"/>
      <c r="I814" s="506"/>
      <c r="J814" s="506"/>
      <c r="K814" s="507"/>
      <c r="L814" s="508"/>
      <c r="M814" s="508"/>
      <c r="N814" s="508"/>
      <c r="O814" s="509"/>
      <c r="P814" s="509"/>
    </row>
    <row r="815" spans="1:16" ht="21.75" customHeight="1" x14ac:dyDescent="0.3">
      <c r="A815" s="504"/>
      <c r="B815" s="504"/>
      <c r="C815" s="504"/>
      <c r="D815" s="504"/>
      <c r="E815" s="506"/>
      <c r="F815" s="506"/>
      <c r="G815" s="506"/>
      <c r="H815" s="506"/>
      <c r="I815" s="506"/>
      <c r="J815" s="506"/>
      <c r="K815" s="507"/>
      <c r="L815" s="508"/>
      <c r="M815" s="508"/>
      <c r="N815" s="508"/>
      <c r="O815" s="509"/>
      <c r="P815" s="509"/>
    </row>
    <row r="816" spans="1:16" ht="21.75" customHeight="1" x14ac:dyDescent="0.3">
      <c r="A816" s="504"/>
      <c r="B816" s="504"/>
      <c r="C816" s="504"/>
      <c r="D816" s="504"/>
      <c r="E816" s="506"/>
      <c r="F816" s="506"/>
      <c r="G816" s="506"/>
      <c r="H816" s="506"/>
      <c r="I816" s="506"/>
      <c r="J816" s="506"/>
      <c r="K816" s="507"/>
      <c r="L816" s="508"/>
      <c r="M816" s="508"/>
      <c r="N816" s="508"/>
      <c r="O816" s="509"/>
      <c r="P816" s="509"/>
    </row>
    <row r="817" spans="1:16" ht="21.75" customHeight="1" x14ac:dyDescent="0.3">
      <c r="A817" s="504"/>
      <c r="B817" s="504"/>
      <c r="C817" s="504"/>
      <c r="D817" s="504"/>
      <c r="E817" s="506"/>
      <c r="F817" s="506"/>
      <c r="G817" s="506"/>
      <c r="H817" s="506"/>
      <c r="I817" s="506"/>
      <c r="J817" s="506"/>
      <c r="K817" s="507"/>
      <c r="L817" s="508"/>
      <c r="M817" s="508"/>
      <c r="N817" s="508"/>
      <c r="O817" s="509"/>
      <c r="P817" s="509"/>
    </row>
    <row r="818" spans="1:16" ht="21.75" customHeight="1" x14ac:dyDescent="0.3">
      <c r="A818" s="504"/>
      <c r="B818" s="504"/>
      <c r="C818" s="504"/>
      <c r="D818" s="504"/>
      <c r="E818" s="506"/>
      <c r="F818" s="506"/>
      <c r="G818" s="506"/>
      <c r="H818" s="506"/>
      <c r="I818" s="506"/>
      <c r="J818" s="506"/>
      <c r="K818" s="507"/>
      <c r="L818" s="508"/>
      <c r="M818" s="508"/>
      <c r="N818" s="508"/>
      <c r="O818" s="509"/>
      <c r="P818" s="509"/>
    </row>
    <row r="819" spans="1:16" ht="21.75" customHeight="1" x14ac:dyDescent="0.3">
      <c r="A819" s="504"/>
      <c r="B819" s="504"/>
      <c r="C819" s="504"/>
      <c r="D819" s="504"/>
      <c r="E819" s="506"/>
      <c r="F819" s="506"/>
      <c r="G819" s="506"/>
      <c r="H819" s="506"/>
      <c r="I819" s="506"/>
      <c r="J819" s="506"/>
      <c r="K819" s="507"/>
      <c r="L819" s="508"/>
      <c r="M819" s="508"/>
      <c r="N819" s="508"/>
      <c r="O819" s="509"/>
      <c r="P819" s="509"/>
    </row>
    <row r="820" spans="1:16" ht="21.75" customHeight="1" x14ac:dyDescent="0.3">
      <c r="A820" s="504"/>
      <c r="B820" s="504"/>
      <c r="C820" s="504"/>
      <c r="D820" s="504"/>
      <c r="E820" s="506"/>
      <c r="F820" s="506"/>
      <c r="G820" s="506"/>
      <c r="H820" s="506"/>
      <c r="I820" s="506"/>
      <c r="J820" s="506"/>
      <c r="K820" s="507"/>
      <c r="L820" s="508"/>
      <c r="M820" s="508"/>
      <c r="N820" s="508"/>
      <c r="O820" s="509"/>
      <c r="P820" s="509"/>
    </row>
    <row r="821" spans="1:16" ht="21.75" customHeight="1" x14ac:dyDescent="0.3">
      <c r="A821" s="504"/>
      <c r="B821" s="504"/>
      <c r="C821" s="504"/>
      <c r="D821" s="504"/>
      <c r="E821" s="506"/>
      <c r="F821" s="506"/>
      <c r="G821" s="506"/>
      <c r="H821" s="506"/>
      <c r="I821" s="506"/>
      <c r="J821" s="506"/>
      <c r="K821" s="507"/>
      <c r="L821" s="508"/>
      <c r="M821" s="508"/>
      <c r="N821" s="508"/>
      <c r="O821" s="509"/>
      <c r="P821" s="509"/>
    </row>
    <row r="822" spans="1:16" ht="21.75" customHeight="1" x14ac:dyDescent="0.3">
      <c r="A822" s="504"/>
      <c r="B822" s="504"/>
      <c r="C822" s="504"/>
      <c r="D822" s="504"/>
      <c r="E822" s="506"/>
      <c r="F822" s="506"/>
      <c r="G822" s="506"/>
      <c r="H822" s="506"/>
      <c r="I822" s="506"/>
      <c r="J822" s="506"/>
      <c r="K822" s="507"/>
      <c r="L822" s="508"/>
      <c r="M822" s="508"/>
      <c r="N822" s="508"/>
      <c r="O822" s="509"/>
      <c r="P822" s="509"/>
    </row>
    <row r="823" spans="1:16" ht="21.75" customHeight="1" x14ac:dyDescent="0.3">
      <c r="A823" s="504"/>
      <c r="B823" s="504"/>
      <c r="C823" s="504"/>
      <c r="D823" s="504"/>
      <c r="E823" s="506"/>
      <c r="F823" s="506"/>
      <c r="G823" s="506"/>
      <c r="H823" s="506"/>
      <c r="I823" s="506"/>
      <c r="J823" s="506"/>
      <c r="K823" s="507"/>
      <c r="L823" s="508"/>
      <c r="M823" s="508"/>
      <c r="N823" s="508"/>
      <c r="O823" s="509"/>
      <c r="P823" s="509"/>
    </row>
    <row r="824" spans="1:16" ht="21.75" customHeight="1" x14ac:dyDescent="0.3">
      <c r="A824" s="504"/>
      <c r="B824" s="504"/>
      <c r="C824" s="504"/>
      <c r="D824" s="504"/>
      <c r="E824" s="506"/>
      <c r="F824" s="506"/>
      <c r="G824" s="506"/>
      <c r="H824" s="506"/>
      <c r="I824" s="506"/>
      <c r="J824" s="506"/>
      <c r="K824" s="507"/>
      <c r="L824" s="508"/>
      <c r="M824" s="508"/>
      <c r="N824" s="508"/>
      <c r="O824" s="509"/>
      <c r="P824" s="509"/>
    </row>
    <row r="825" spans="1:16" ht="21.75" customHeight="1" x14ac:dyDescent="0.3">
      <c r="A825" s="504"/>
      <c r="B825" s="504"/>
      <c r="C825" s="504"/>
      <c r="D825" s="504"/>
      <c r="E825" s="506"/>
      <c r="F825" s="506"/>
      <c r="G825" s="506"/>
      <c r="H825" s="506"/>
      <c r="I825" s="506"/>
      <c r="J825" s="506"/>
      <c r="K825" s="507"/>
      <c r="L825" s="508"/>
      <c r="M825" s="508"/>
      <c r="N825" s="508"/>
      <c r="O825" s="509"/>
      <c r="P825" s="509"/>
    </row>
    <row r="826" spans="1:16" ht="21.75" customHeight="1" x14ac:dyDescent="0.3">
      <c r="A826" s="504"/>
      <c r="B826" s="504"/>
      <c r="C826" s="504"/>
      <c r="D826" s="504"/>
      <c r="E826" s="506"/>
      <c r="F826" s="506"/>
      <c r="G826" s="506"/>
      <c r="H826" s="506"/>
      <c r="I826" s="506"/>
      <c r="J826" s="506"/>
      <c r="K826" s="507"/>
      <c r="L826" s="508"/>
      <c r="M826" s="508"/>
      <c r="N826" s="508"/>
      <c r="O826" s="509"/>
      <c r="P826" s="509"/>
    </row>
    <row r="827" spans="1:16" ht="21.75" customHeight="1" x14ac:dyDescent="0.3">
      <c r="A827" s="504"/>
      <c r="B827" s="504"/>
      <c r="C827" s="504"/>
      <c r="D827" s="504"/>
      <c r="E827" s="506"/>
      <c r="F827" s="506"/>
      <c r="G827" s="506"/>
      <c r="H827" s="506"/>
      <c r="I827" s="506"/>
      <c r="J827" s="506"/>
      <c r="K827" s="507"/>
      <c r="L827" s="508"/>
      <c r="M827" s="508"/>
      <c r="N827" s="508"/>
      <c r="O827" s="509"/>
      <c r="P827" s="509"/>
    </row>
    <row r="828" spans="1:16" ht="21.75" customHeight="1" x14ac:dyDescent="0.3">
      <c r="A828" s="504"/>
      <c r="B828" s="504"/>
      <c r="C828" s="504"/>
      <c r="D828" s="504"/>
      <c r="E828" s="506"/>
      <c r="F828" s="506"/>
      <c r="G828" s="506"/>
      <c r="H828" s="506"/>
      <c r="I828" s="506"/>
      <c r="J828" s="506"/>
      <c r="K828" s="507"/>
      <c r="L828" s="508"/>
      <c r="M828" s="508"/>
      <c r="N828" s="508"/>
      <c r="O828" s="509"/>
      <c r="P828" s="509"/>
    </row>
    <row r="829" spans="1:16" ht="21.75" customHeight="1" x14ac:dyDescent="0.3">
      <c r="A829" s="504"/>
      <c r="B829" s="504"/>
      <c r="C829" s="504"/>
      <c r="D829" s="504"/>
      <c r="E829" s="506"/>
      <c r="F829" s="506"/>
      <c r="G829" s="506"/>
      <c r="H829" s="506"/>
      <c r="I829" s="506"/>
      <c r="J829" s="506"/>
      <c r="K829" s="507"/>
      <c r="L829" s="508"/>
      <c r="M829" s="508"/>
      <c r="N829" s="508"/>
      <c r="O829" s="509"/>
      <c r="P829" s="509"/>
    </row>
    <row r="830" spans="1:16" ht="21.75" customHeight="1" x14ac:dyDescent="0.3">
      <c r="A830" s="504"/>
      <c r="B830" s="504"/>
      <c r="C830" s="504"/>
      <c r="D830" s="504"/>
      <c r="E830" s="506"/>
      <c r="F830" s="506"/>
      <c r="G830" s="506"/>
      <c r="H830" s="506"/>
      <c r="I830" s="506"/>
      <c r="J830" s="506"/>
      <c r="K830" s="507"/>
      <c r="L830" s="508"/>
      <c r="M830" s="508"/>
      <c r="N830" s="508"/>
      <c r="O830" s="509"/>
      <c r="P830" s="509"/>
    </row>
    <row r="831" spans="1:16" ht="21.75" customHeight="1" x14ac:dyDescent="0.3">
      <c r="A831" s="504"/>
      <c r="B831" s="504"/>
      <c r="C831" s="504"/>
      <c r="D831" s="504"/>
      <c r="E831" s="506"/>
      <c r="F831" s="506"/>
      <c r="G831" s="506"/>
      <c r="H831" s="506"/>
      <c r="I831" s="506"/>
      <c r="J831" s="506"/>
      <c r="K831" s="507"/>
      <c r="L831" s="508"/>
      <c r="M831" s="508"/>
      <c r="N831" s="508"/>
      <c r="O831" s="509"/>
      <c r="P831" s="509"/>
    </row>
    <row r="832" spans="1:16" ht="21.75" customHeight="1" x14ac:dyDescent="0.3">
      <c r="A832" s="504"/>
      <c r="B832" s="504"/>
      <c r="C832" s="504"/>
      <c r="D832" s="504"/>
      <c r="E832" s="506"/>
      <c r="F832" s="506"/>
      <c r="G832" s="506"/>
      <c r="H832" s="506"/>
      <c r="I832" s="506"/>
      <c r="J832" s="506"/>
      <c r="K832" s="507"/>
      <c r="L832" s="508"/>
      <c r="M832" s="508"/>
      <c r="N832" s="508"/>
      <c r="O832" s="509"/>
      <c r="P832" s="509"/>
    </row>
    <row r="833" spans="1:16" ht="21.75" customHeight="1" x14ac:dyDescent="0.3">
      <c r="A833" s="504"/>
      <c r="B833" s="504"/>
      <c r="C833" s="504"/>
      <c r="D833" s="504"/>
      <c r="E833" s="506"/>
      <c r="F833" s="506"/>
      <c r="G833" s="506"/>
      <c r="H833" s="506"/>
      <c r="I833" s="506"/>
      <c r="J833" s="506"/>
      <c r="K833" s="507"/>
      <c r="L833" s="508"/>
      <c r="M833" s="508"/>
      <c r="N833" s="508"/>
      <c r="O833" s="509"/>
      <c r="P833" s="509"/>
    </row>
    <row r="834" spans="1:16" ht="21.75" customHeight="1" x14ac:dyDescent="0.3">
      <c r="A834" s="504"/>
      <c r="B834" s="504"/>
      <c r="C834" s="504"/>
      <c r="D834" s="504"/>
      <c r="E834" s="506"/>
      <c r="F834" s="506"/>
      <c r="G834" s="506"/>
      <c r="H834" s="506"/>
      <c r="I834" s="506"/>
      <c r="J834" s="506"/>
      <c r="K834" s="507"/>
      <c r="L834" s="508"/>
      <c r="M834" s="508"/>
      <c r="N834" s="508"/>
      <c r="O834" s="509"/>
      <c r="P834" s="509"/>
    </row>
    <row r="835" spans="1:16" ht="21.75" customHeight="1" x14ac:dyDescent="0.3">
      <c r="A835" s="504"/>
      <c r="B835" s="504"/>
      <c r="C835" s="504"/>
      <c r="D835" s="504"/>
      <c r="E835" s="506"/>
      <c r="F835" s="506"/>
      <c r="G835" s="506"/>
      <c r="H835" s="506"/>
      <c r="I835" s="506"/>
      <c r="J835" s="506"/>
      <c r="K835" s="507"/>
      <c r="L835" s="508"/>
      <c r="M835" s="508"/>
      <c r="N835" s="508"/>
      <c r="O835" s="509"/>
      <c r="P835" s="509"/>
    </row>
    <row r="836" spans="1:16" ht="21.75" customHeight="1" x14ac:dyDescent="0.3">
      <c r="A836" s="504"/>
      <c r="B836" s="504"/>
      <c r="C836" s="504"/>
      <c r="D836" s="504"/>
      <c r="E836" s="506"/>
      <c r="F836" s="506"/>
      <c r="G836" s="506"/>
      <c r="H836" s="506"/>
      <c r="I836" s="506"/>
      <c r="J836" s="506"/>
      <c r="K836" s="507"/>
      <c r="L836" s="508"/>
      <c r="M836" s="508"/>
      <c r="N836" s="508"/>
      <c r="O836" s="509"/>
      <c r="P836" s="509"/>
    </row>
    <row r="837" spans="1:16" ht="21.75" customHeight="1" x14ac:dyDescent="0.3">
      <c r="A837" s="504"/>
      <c r="B837" s="504"/>
      <c r="C837" s="504"/>
      <c r="D837" s="504"/>
      <c r="E837" s="506"/>
      <c r="F837" s="506"/>
      <c r="G837" s="506"/>
      <c r="H837" s="506"/>
      <c r="I837" s="506"/>
      <c r="J837" s="506"/>
      <c r="K837" s="507"/>
      <c r="L837" s="508"/>
      <c r="M837" s="508"/>
      <c r="N837" s="508"/>
      <c r="O837" s="509"/>
      <c r="P837" s="509"/>
    </row>
    <row r="838" spans="1:16" ht="21.75" customHeight="1" x14ac:dyDescent="0.3">
      <c r="A838" s="504"/>
      <c r="B838" s="504"/>
      <c r="C838" s="504"/>
      <c r="D838" s="504"/>
      <c r="E838" s="506"/>
      <c r="F838" s="506"/>
      <c r="G838" s="506"/>
      <c r="H838" s="506"/>
      <c r="I838" s="506"/>
      <c r="J838" s="506"/>
      <c r="K838" s="507"/>
      <c r="L838" s="508"/>
      <c r="M838" s="508"/>
      <c r="N838" s="508"/>
      <c r="O838" s="509"/>
      <c r="P838" s="509"/>
    </row>
    <row r="839" spans="1:16" ht="21.75" customHeight="1" x14ac:dyDescent="0.3">
      <c r="A839" s="504"/>
      <c r="B839" s="504"/>
      <c r="C839" s="504"/>
      <c r="D839" s="504"/>
      <c r="E839" s="506"/>
      <c r="F839" s="506"/>
      <c r="G839" s="506"/>
      <c r="H839" s="506"/>
      <c r="I839" s="506"/>
      <c r="J839" s="506"/>
      <c r="K839" s="507"/>
      <c r="L839" s="508"/>
      <c r="M839" s="508"/>
      <c r="N839" s="508"/>
      <c r="O839" s="509"/>
      <c r="P839" s="509"/>
    </row>
    <row r="840" spans="1:16" ht="21.75" customHeight="1" x14ac:dyDescent="0.3">
      <c r="A840" s="504"/>
      <c r="B840" s="504"/>
      <c r="C840" s="504"/>
      <c r="D840" s="504"/>
      <c r="E840" s="506"/>
      <c r="F840" s="506"/>
      <c r="G840" s="506"/>
      <c r="H840" s="506"/>
      <c r="I840" s="506"/>
      <c r="J840" s="506"/>
      <c r="K840" s="507"/>
      <c r="L840" s="508"/>
      <c r="M840" s="508"/>
      <c r="N840" s="508"/>
      <c r="O840" s="509"/>
      <c r="P840" s="509"/>
    </row>
    <row r="841" spans="1:16" ht="21.75" customHeight="1" x14ac:dyDescent="0.3">
      <c r="A841" s="504"/>
      <c r="B841" s="504"/>
      <c r="C841" s="504"/>
      <c r="D841" s="504"/>
      <c r="E841" s="506"/>
      <c r="F841" s="506"/>
      <c r="G841" s="506"/>
      <c r="H841" s="506"/>
      <c r="I841" s="506"/>
      <c r="J841" s="506"/>
      <c r="K841" s="507"/>
      <c r="L841" s="508"/>
      <c r="M841" s="508"/>
      <c r="N841" s="508"/>
      <c r="O841" s="509"/>
      <c r="P841" s="509"/>
    </row>
    <row r="842" spans="1:16" ht="21.75" customHeight="1" x14ac:dyDescent="0.3">
      <c r="A842" s="504"/>
      <c r="B842" s="504"/>
      <c r="C842" s="504"/>
      <c r="D842" s="504"/>
      <c r="E842" s="506"/>
      <c r="F842" s="506"/>
      <c r="G842" s="506"/>
      <c r="H842" s="506"/>
      <c r="I842" s="506"/>
      <c r="J842" s="506"/>
      <c r="K842" s="507"/>
      <c r="L842" s="508"/>
      <c r="M842" s="508"/>
      <c r="N842" s="508"/>
      <c r="O842" s="509"/>
      <c r="P842" s="509"/>
    </row>
    <row r="843" spans="1:16" ht="21.75" customHeight="1" x14ac:dyDescent="0.3">
      <c r="A843" s="504"/>
      <c r="B843" s="504"/>
      <c r="C843" s="504"/>
      <c r="D843" s="504"/>
      <c r="E843" s="506"/>
      <c r="F843" s="506"/>
      <c r="G843" s="506"/>
      <c r="H843" s="506"/>
      <c r="I843" s="506"/>
      <c r="J843" s="506"/>
      <c r="K843" s="507"/>
      <c r="L843" s="508"/>
      <c r="M843" s="508"/>
      <c r="N843" s="508"/>
      <c r="O843" s="509"/>
      <c r="P843" s="509"/>
    </row>
    <row r="844" spans="1:16" ht="21.75" customHeight="1" x14ac:dyDescent="0.3">
      <c r="A844" s="504"/>
      <c r="B844" s="504"/>
      <c r="C844" s="504"/>
      <c r="D844" s="504"/>
      <c r="E844" s="506"/>
      <c r="F844" s="506"/>
      <c r="G844" s="506"/>
      <c r="H844" s="506"/>
      <c r="I844" s="506"/>
      <c r="J844" s="506"/>
      <c r="K844" s="507"/>
      <c r="L844" s="508"/>
      <c r="M844" s="508"/>
      <c r="N844" s="508"/>
      <c r="O844" s="509"/>
      <c r="P844" s="509"/>
    </row>
    <row r="845" spans="1:16" ht="21.75" customHeight="1" x14ac:dyDescent="0.3">
      <c r="A845" s="504"/>
      <c r="B845" s="504"/>
      <c r="C845" s="504"/>
      <c r="D845" s="504"/>
      <c r="E845" s="506"/>
      <c r="F845" s="506"/>
      <c r="G845" s="506"/>
      <c r="H845" s="506"/>
      <c r="I845" s="506"/>
      <c r="J845" s="506"/>
      <c r="K845" s="507"/>
      <c r="L845" s="508"/>
      <c r="M845" s="508"/>
      <c r="N845" s="508"/>
      <c r="O845" s="509"/>
      <c r="P845" s="509"/>
    </row>
    <row r="846" spans="1:16" ht="21.75" customHeight="1" x14ac:dyDescent="0.3">
      <c r="A846" s="504"/>
      <c r="B846" s="504"/>
      <c r="C846" s="504"/>
      <c r="D846" s="504"/>
      <c r="E846" s="506"/>
      <c r="F846" s="506"/>
      <c r="G846" s="506"/>
      <c r="H846" s="506"/>
      <c r="I846" s="506"/>
      <c r="J846" s="506"/>
      <c r="K846" s="507"/>
      <c r="L846" s="508"/>
      <c r="M846" s="508"/>
      <c r="N846" s="508"/>
      <c r="O846" s="509"/>
      <c r="P846" s="509"/>
    </row>
    <row r="847" spans="1:16" ht="21.75" customHeight="1" x14ac:dyDescent="0.3">
      <c r="A847" s="504"/>
      <c r="B847" s="504"/>
      <c r="C847" s="504"/>
      <c r="D847" s="504"/>
      <c r="E847" s="506"/>
      <c r="F847" s="506"/>
      <c r="G847" s="506"/>
      <c r="H847" s="506"/>
      <c r="I847" s="506"/>
      <c r="J847" s="506"/>
      <c r="K847" s="507"/>
      <c r="L847" s="508"/>
      <c r="M847" s="508"/>
      <c r="N847" s="508"/>
      <c r="O847" s="509"/>
      <c r="P847" s="509"/>
    </row>
    <row r="848" spans="1:16" ht="21.75" customHeight="1" x14ac:dyDescent="0.3">
      <c r="A848" s="504"/>
      <c r="B848" s="504"/>
      <c r="C848" s="504"/>
      <c r="D848" s="504"/>
      <c r="E848" s="506"/>
      <c r="F848" s="506"/>
      <c r="G848" s="506"/>
      <c r="H848" s="506"/>
      <c r="I848" s="506"/>
      <c r="J848" s="506"/>
      <c r="K848" s="507"/>
      <c r="L848" s="508"/>
      <c r="M848" s="508"/>
      <c r="N848" s="508"/>
      <c r="O848" s="509"/>
      <c r="P848" s="509"/>
    </row>
    <row r="849" spans="1:16" ht="21.75" customHeight="1" x14ac:dyDescent="0.3">
      <c r="A849" s="504"/>
      <c r="B849" s="504"/>
      <c r="C849" s="504"/>
      <c r="D849" s="504"/>
      <c r="E849" s="506"/>
      <c r="F849" s="506"/>
      <c r="G849" s="506"/>
      <c r="H849" s="506"/>
      <c r="I849" s="506"/>
      <c r="J849" s="506"/>
      <c r="K849" s="507"/>
      <c r="L849" s="508"/>
      <c r="M849" s="508"/>
      <c r="N849" s="508"/>
      <c r="O849" s="509"/>
      <c r="P849" s="509"/>
    </row>
    <row r="850" spans="1:16" ht="21.75" customHeight="1" x14ac:dyDescent="0.3">
      <c r="A850" s="504"/>
      <c r="B850" s="504"/>
      <c r="C850" s="504"/>
      <c r="D850" s="504"/>
      <c r="E850" s="506"/>
      <c r="F850" s="506"/>
      <c r="G850" s="506"/>
      <c r="H850" s="506"/>
      <c r="I850" s="506"/>
      <c r="J850" s="506"/>
      <c r="K850" s="507"/>
      <c r="L850" s="508"/>
      <c r="M850" s="508"/>
      <c r="N850" s="508"/>
      <c r="O850" s="509"/>
      <c r="P850" s="509"/>
    </row>
    <row r="851" spans="1:16" ht="21.75" customHeight="1" x14ac:dyDescent="0.3">
      <c r="A851" s="504"/>
      <c r="B851" s="504"/>
      <c r="C851" s="504"/>
      <c r="D851" s="504"/>
      <c r="E851" s="506"/>
      <c r="F851" s="506"/>
      <c r="G851" s="506"/>
      <c r="H851" s="506"/>
      <c r="I851" s="506"/>
      <c r="J851" s="506"/>
      <c r="K851" s="507"/>
      <c r="L851" s="508"/>
      <c r="M851" s="508"/>
      <c r="N851" s="508"/>
      <c r="O851" s="509"/>
      <c r="P851" s="509"/>
    </row>
    <row r="852" spans="1:16" ht="21.75" customHeight="1" x14ac:dyDescent="0.3">
      <c r="A852" s="504"/>
      <c r="B852" s="504"/>
      <c r="C852" s="504"/>
      <c r="D852" s="504"/>
      <c r="E852" s="506"/>
      <c r="F852" s="506"/>
      <c r="G852" s="506"/>
      <c r="H852" s="506"/>
      <c r="I852" s="506"/>
      <c r="J852" s="506"/>
      <c r="K852" s="507"/>
      <c r="L852" s="508"/>
      <c r="M852" s="508"/>
      <c r="N852" s="508"/>
      <c r="O852" s="509"/>
      <c r="P852" s="509"/>
    </row>
    <row r="853" spans="1:16" ht="21.75" customHeight="1" x14ac:dyDescent="0.3">
      <c r="A853" s="504"/>
      <c r="B853" s="504"/>
      <c r="C853" s="504"/>
      <c r="D853" s="504"/>
      <c r="E853" s="506"/>
      <c r="F853" s="506"/>
      <c r="G853" s="506"/>
      <c r="H853" s="506"/>
      <c r="I853" s="506"/>
      <c r="J853" s="506"/>
      <c r="K853" s="507"/>
      <c r="L853" s="508"/>
      <c r="M853" s="508"/>
      <c r="N853" s="508"/>
      <c r="O853" s="509"/>
      <c r="P853" s="509"/>
    </row>
    <row r="854" spans="1:16" ht="21.75" customHeight="1" x14ac:dyDescent="0.3">
      <c r="A854" s="504"/>
      <c r="B854" s="504"/>
      <c r="C854" s="504"/>
      <c r="D854" s="504"/>
      <c r="E854" s="506"/>
      <c r="F854" s="506"/>
      <c r="G854" s="506"/>
      <c r="H854" s="506"/>
      <c r="I854" s="506"/>
      <c r="J854" s="506"/>
      <c r="K854" s="507"/>
      <c r="L854" s="508"/>
      <c r="M854" s="508"/>
      <c r="N854" s="508"/>
      <c r="O854" s="509"/>
      <c r="P854" s="509"/>
    </row>
    <row r="855" spans="1:16" ht="21.75" customHeight="1" x14ac:dyDescent="0.3">
      <c r="A855" s="504"/>
      <c r="B855" s="504"/>
      <c r="C855" s="504"/>
      <c r="D855" s="504"/>
      <c r="E855" s="506"/>
      <c r="F855" s="506"/>
      <c r="G855" s="506"/>
      <c r="H855" s="506"/>
      <c r="I855" s="506"/>
      <c r="J855" s="506"/>
      <c r="K855" s="507"/>
      <c r="L855" s="508"/>
      <c r="M855" s="508"/>
      <c r="N855" s="508"/>
      <c r="O855" s="509"/>
      <c r="P855" s="509"/>
    </row>
    <row r="856" spans="1:16" ht="21.75" customHeight="1" x14ac:dyDescent="0.3">
      <c r="A856" s="504"/>
      <c r="B856" s="504"/>
      <c r="C856" s="504"/>
      <c r="D856" s="504"/>
      <c r="E856" s="506"/>
      <c r="F856" s="506"/>
      <c r="G856" s="506"/>
      <c r="H856" s="506"/>
      <c r="I856" s="506"/>
      <c r="J856" s="506"/>
      <c r="K856" s="507"/>
      <c r="L856" s="508"/>
      <c r="M856" s="508"/>
      <c r="N856" s="508"/>
      <c r="O856" s="509"/>
      <c r="P856" s="509"/>
    </row>
    <row r="857" spans="1:16" ht="21.75" customHeight="1" x14ac:dyDescent="0.3">
      <c r="A857" s="504"/>
      <c r="B857" s="504"/>
      <c r="C857" s="504"/>
      <c r="D857" s="504"/>
      <c r="E857" s="506"/>
      <c r="F857" s="506"/>
      <c r="G857" s="506"/>
      <c r="H857" s="506"/>
      <c r="I857" s="506"/>
      <c r="J857" s="506"/>
      <c r="K857" s="507"/>
      <c r="L857" s="508"/>
      <c r="M857" s="508"/>
      <c r="N857" s="508"/>
      <c r="O857" s="509"/>
      <c r="P857" s="509"/>
    </row>
    <row r="858" spans="1:16" ht="21.75" customHeight="1" x14ac:dyDescent="0.3">
      <c r="A858" s="504"/>
      <c r="B858" s="504"/>
      <c r="C858" s="504"/>
      <c r="D858" s="504"/>
      <c r="E858" s="506"/>
      <c r="F858" s="506"/>
      <c r="G858" s="506"/>
      <c r="H858" s="506"/>
      <c r="I858" s="506"/>
      <c r="J858" s="506"/>
      <c r="K858" s="507"/>
      <c r="L858" s="508"/>
      <c r="M858" s="508"/>
      <c r="N858" s="508"/>
      <c r="O858" s="509"/>
      <c r="P858" s="509"/>
    </row>
    <row r="859" spans="1:16" ht="21.75" customHeight="1" x14ac:dyDescent="0.3">
      <c r="A859" s="504"/>
      <c r="B859" s="504"/>
      <c r="C859" s="504"/>
      <c r="D859" s="504"/>
      <c r="E859" s="506"/>
      <c r="F859" s="506"/>
      <c r="G859" s="506"/>
      <c r="H859" s="506"/>
      <c r="I859" s="506"/>
      <c r="J859" s="506"/>
      <c r="K859" s="507"/>
      <c r="L859" s="508"/>
      <c r="M859" s="508"/>
      <c r="N859" s="508"/>
      <c r="O859" s="509"/>
      <c r="P859" s="509"/>
    </row>
    <row r="860" spans="1:16" ht="21.75" customHeight="1" x14ac:dyDescent="0.3">
      <c r="A860" s="504"/>
      <c r="B860" s="504"/>
      <c r="C860" s="504"/>
      <c r="D860" s="504"/>
      <c r="E860" s="506"/>
      <c r="F860" s="506"/>
      <c r="G860" s="506"/>
      <c r="H860" s="506"/>
      <c r="I860" s="506"/>
      <c r="J860" s="506"/>
      <c r="K860" s="507"/>
      <c r="L860" s="508"/>
      <c r="M860" s="508"/>
      <c r="N860" s="508"/>
      <c r="O860" s="509"/>
      <c r="P860" s="509"/>
    </row>
    <row r="861" spans="1:16" ht="21.75" customHeight="1" x14ac:dyDescent="0.3">
      <c r="A861" s="504"/>
      <c r="B861" s="504"/>
      <c r="C861" s="504"/>
      <c r="D861" s="504"/>
      <c r="E861" s="506"/>
      <c r="F861" s="506"/>
      <c r="G861" s="506"/>
      <c r="H861" s="506"/>
      <c r="I861" s="506"/>
      <c r="J861" s="506"/>
      <c r="K861" s="507"/>
      <c r="L861" s="508"/>
      <c r="M861" s="508"/>
      <c r="N861" s="508"/>
      <c r="O861" s="509"/>
      <c r="P861" s="509"/>
    </row>
    <row r="862" spans="1:16" ht="21.75" customHeight="1" x14ac:dyDescent="0.3">
      <c r="A862" s="504"/>
      <c r="B862" s="504"/>
      <c r="C862" s="504"/>
      <c r="D862" s="504"/>
      <c r="E862" s="506"/>
      <c r="F862" s="506"/>
      <c r="G862" s="506"/>
      <c r="H862" s="506"/>
      <c r="I862" s="506"/>
      <c r="J862" s="506"/>
      <c r="K862" s="507"/>
      <c r="L862" s="508"/>
      <c r="M862" s="508"/>
      <c r="N862" s="508"/>
      <c r="O862" s="509"/>
      <c r="P862" s="509"/>
    </row>
    <row r="863" spans="1:16" ht="21.75" customHeight="1" x14ac:dyDescent="0.3">
      <c r="A863" s="504"/>
      <c r="B863" s="504"/>
      <c r="C863" s="504"/>
      <c r="D863" s="504"/>
      <c r="E863" s="506"/>
      <c r="F863" s="506"/>
      <c r="G863" s="506"/>
      <c r="H863" s="506"/>
      <c r="I863" s="506"/>
      <c r="J863" s="506"/>
      <c r="K863" s="507"/>
      <c r="L863" s="508"/>
      <c r="M863" s="508"/>
      <c r="N863" s="508"/>
      <c r="O863" s="509"/>
      <c r="P863" s="509"/>
    </row>
    <row r="864" spans="1:16" ht="21.75" customHeight="1" x14ac:dyDescent="0.3">
      <c r="A864" s="504"/>
      <c r="B864" s="504"/>
      <c r="C864" s="504"/>
      <c r="D864" s="504"/>
      <c r="E864" s="506"/>
      <c r="F864" s="506"/>
      <c r="G864" s="506"/>
      <c r="H864" s="506"/>
      <c r="I864" s="506"/>
      <c r="J864" s="506"/>
      <c r="K864" s="507"/>
      <c r="L864" s="508"/>
      <c r="M864" s="508"/>
      <c r="N864" s="508"/>
      <c r="O864" s="509"/>
      <c r="P864" s="509"/>
    </row>
    <row r="865" spans="1:16" ht="21.75" customHeight="1" x14ac:dyDescent="0.3">
      <c r="A865" s="504"/>
      <c r="B865" s="504"/>
      <c r="C865" s="504"/>
      <c r="D865" s="504"/>
      <c r="E865" s="506"/>
      <c r="F865" s="506"/>
      <c r="G865" s="506"/>
      <c r="H865" s="506"/>
      <c r="I865" s="506"/>
      <c r="J865" s="506"/>
      <c r="K865" s="507"/>
      <c r="L865" s="508"/>
      <c r="M865" s="508"/>
      <c r="N865" s="508"/>
      <c r="O865" s="509"/>
      <c r="P865" s="509"/>
    </row>
    <row r="866" spans="1:16" ht="21.75" customHeight="1" x14ac:dyDescent="0.3">
      <c r="A866" s="504"/>
      <c r="B866" s="504"/>
      <c r="C866" s="504"/>
      <c r="D866" s="504"/>
      <c r="E866" s="506"/>
      <c r="F866" s="506"/>
      <c r="G866" s="506"/>
      <c r="H866" s="506"/>
      <c r="I866" s="506"/>
      <c r="J866" s="506"/>
      <c r="K866" s="507"/>
      <c r="L866" s="508"/>
      <c r="M866" s="508"/>
      <c r="N866" s="508"/>
      <c r="O866" s="509"/>
      <c r="P866" s="509"/>
    </row>
    <row r="867" spans="1:16" ht="21.75" customHeight="1" x14ac:dyDescent="0.3">
      <c r="A867" s="504"/>
      <c r="B867" s="504"/>
      <c r="C867" s="504"/>
      <c r="D867" s="504"/>
      <c r="E867" s="506"/>
      <c r="F867" s="506"/>
      <c r="G867" s="506"/>
      <c r="H867" s="506"/>
      <c r="I867" s="506"/>
      <c r="J867" s="506"/>
      <c r="K867" s="507"/>
      <c r="L867" s="508"/>
      <c r="M867" s="508"/>
      <c r="N867" s="508"/>
      <c r="O867" s="509"/>
      <c r="P867" s="509"/>
    </row>
    <row r="868" spans="1:16" ht="21.75" customHeight="1" x14ac:dyDescent="0.3">
      <c r="A868" s="504"/>
      <c r="B868" s="504"/>
      <c r="C868" s="504"/>
      <c r="D868" s="504"/>
      <c r="E868" s="506"/>
      <c r="F868" s="506"/>
      <c r="G868" s="506"/>
      <c r="H868" s="506"/>
      <c r="I868" s="506"/>
      <c r="J868" s="506"/>
      <c r="K868" s="507"/>
      <c r="L868" s="508"/>
      <c r="M868" s="508"/>
      <c r="N868" s="508"/>
      <c r="O868" s="509"/>
      <c r="P868" s="509"/>
    </row>
    <row r="869" spans="1:16" ht="21.75" customHeight="1" x14ac:dyDescent="0.3">
      <c r="A869" s="504"/>
      <c r="B869" s="504"/>
      <c r="C869" s="504"/>
      <c r="D869" s="504"/>
      <c r="E869" s="506"/>
      <c r="F869" s="506"/>
      <c r="G869" s="506"/>
      <c r="H869" s="506"/>
      <c r="I869" s="506"/>
      <c r="J869" s="506"/>
      <c r="K869" s="507"/>
      <c r="L869" s="508"/>
      <c r="M869" s="508"/>
      <c r="N869" s="508"/>
      <c r="O869" s="509"/>
      <c r="P869" s="509"/>
    </row>
    <row r="870" spans="1:16" ht="21.75" customHeight="1" x14ac:dyDescent="0.3">
      <c r="A870" s="504"/>
      <c r="B870" s="504"/>
      <c r="C870" s="504"/>
      <c r="D870" s="504"/>
      <c r="E870" s="506"/>
      <c r="F870" s="506"/>
      <c r="G870" s="506"/>
      <c r="H870" s="506"/>
      <c r="I870" s="506"/>
      <c r="J870" s="506"/>
      <c r="K870" s="507"/>
      <c r="L870" s="508"/>
      <c r="M870" s="508"/>
      <c r="N870" s="508"/>
      <c r="O870" s="509"/>
      <c r="P870" s="509"/>
    </row>
    <row r="871" spans="1:16" ht="21.75" customHeight="1" x14ac:dyDescent="0.3">
      <c r="A871" s="504"/>
      <c r="B871" s="504"/>
      <c r="C871" s="504"/>
      <c r="D871" s="504"/>
      <c r="E871" s="506"/>
      <c r="F871" s="506"/>
      <c r="G871" s="506"/>
      <c r="H871" s="506"/>
      <c r="I871" s="506"/>
      <c r="J871" s="506"/>
      <c r="K871" s="507"/>
      <c r="L871" s="508"/>
      <c r="M871" s="508"/>
      <c r="N871" s="508"/>
      <c r="O871" s="509"/>
      <c r="P871" s="509"/>
    </row>
    <row r="872" spans="1:16" ht="21.75" customHeight="1" x14ac:dyDescent="0.3">
      <c r="A872" s="504"/>
      <c r="B872" s="504"/>
      <c r="C872" s="504"/>
      <c r="D872" s="504"/>
      <c r="E872" s="506"/>
      <c r="F872" s="506"/>
      <c r="G872" s="506"/>
      <c r="H872" s="506"/>
      <c r="I872" s="506"/>
      <c r="J872" s="506"/>
      <c r="K872" s="507"/>
      <c r="L872" s="508"/>
      <c r="M872" s="508"/>
      <c r="N872" s="508"/>
      <c r="O872" s="509"/>
      <c r="P872" s="509"/>
    </row>
    <row r="873" spans="1:16" ht="21.75" customHeight="1" x14ac:dyDescent="0.3">
      <c r="A873" s="504"/>
      <c r="B873" s="504"/>
      <c r="C873" s="504"/>
      <c r="D873" s="504"/>
      <c r="E873" s="506"/>
      <c r="F873" s="506"/>
      <c r="G873" s="506"/>
      <c r="H873" s="506"/>
      <c r="I873" s="506"/>
      <c r="J873" s="506"/>
      <c r="K873" s="507"/>
      <c r="L873" s="508"/>
      <c r="M873" s="508"/>
      <c r="N873" s="508"/>
      <c r="O873" s="509"/>
      <c r="P873" s="509"/>
    </row>
    <row r="874" spans="1:16" ht="21.75" customHeight="1" x14ac:dyDescent="0.3">
      <c r="A874" s="504"/>
      <c r="B874" s="504"/>
      <c r="C874" s="504"/>
      <c r="D874" s="504"/>
      <c r="E874" s="506"/>
      <c r="F874" s="506"/>
      <c r="G874" s="506"/>
      <c r="H874" s="506"/>
      <c r="I874" s="506"/>
      <c r="J874" s="506"/>
      <c r="K874" s="507"/>
      <c r="L874" s="508"/>
      <c r="M874" s="508"/>
      <c r="N874" s="508"/>
      <c r="O874" s="509"/>
      <c r="P874" s="509"/>
    </row>
    <row r="875" spans="1:16" ht="21.75" customHeight="1" x14ac:dyDescent="0.3">
      <c r="A875" s="504"/>
      <c r="B875" s="504"/>
      <c r="C875" s="504"/>
      <c r="D875" s="504"/>
      <c r="E875" s="506"/>
      <c r="F875" s="506"/>
      <c r="G875" s="506"/>
      <c r="H875" s="506"/>
      <c r="I875" s="506"/>
      <c r="J875" s="506"/>
      <c r="K875" s="507"/>
      <c r="L875" s="508"/>
      <c r="M875" s="508"/>
      <c r="N875" s="508"/>
      <c r="O875" s="509"/>
      <c r="P875" s="509"/>
    </row>
    <row r="876" spans="1:16" ht="21.75" customHeight="1" x14ac:dyDescent="0.3">
      <c r="A876" s="504"/>
      <c r="B876" s="504"/>
      <c r="C876" s="504"/>
      <c r="D876" s="504"/>
      <c r="E876" s="506"/>
      <c r="F876" s="506"/>
      <c r="G876" s="506"/>
      <c r="H876" s="506"/>
      <c r="I876" s="506"/>
      <c r="J876" s="506"/>
      <c r="K876" s="507"/>
      <c r="L876" s="508"/>
      <c r="M876" s="508"/>
      <c r="N876" s="508"/>
      <c r="O876" s="509"/>
      <c r="P876" s="509"/>
    </row>
    <row r="877" spans="1:16" ht="21.75" customHeight="1" x14ac:dyDescent="0.3">
      <c r="A877" s="504"/>
      <c r="B877" s="504"/>
      <c r="C877" s="504"/>
      <c r="D877" s="504"/>
      <c r="E877" s="506"/>
      <c r="F877" s="506"/>
      <c r="G877" s="506"/>
      <c r="H877" s="506"/>
      <c r="I877" s="506"/>
      <c r="J877" s="506"/>
      <c r="K877" s="507"/>
      <c r="L877" s="508"/>
      <c r="M877" s="508"/>
      <c r="N877" s="508"/>
      <c r="O877" s="509"/>
      <c r="P877" s="509"/>
    </row>
    <row r="878" spans="1:16" ht="21.75" customHeight="1" x14ac:dyDescent="0.3">
      <c r="A878" s="504"/>
      <c r="B878" s="504"/>
      <c r="C878" s="504"/>
      <c r="D878" s="504"/>
      <c r="E878" s="506"/>
      <c r="F878" s="506"/>
      <c r="G878" s="506"/>
      <c r="H878" s="506"/>
      <c r="I878" s="506"/>
      <c r="J878" s="506"/>
      <c r="K878" s="507"/>
      <c r="L878" s="508"/>
      <c r="M878" s="508"/>
      <c r="N878" s="508"/>
      <c r="O878" s="509"/>
      <c r="P878" s="509"/>
    </row>
    <row r="879" spans="1:16" ht="21.75" customHeight="1" x14ac:dyDescent="0.3">
      <c r="A879" s="504"/>
      <c r="B879" s="504"/>
      <c r="C879" s="504"/>
      <c r="D879" s="504"/>
      <c r="E879" s="506"/>
      <c r="F879" s="506"/>
      <c r="G879" s="506"/>
      <c r="H879" s="506"/>
      <c r="I879" s="506"/>
      <c r="J879" s="506"/>
      <c r="K879" s="507"/>
      <c r="L879" s="508"/>
      <c r="M879" s="508"/>
      <c r="N879" s="508"/>
      <c r="O879" s="509"/>
      <c r="P879" s="509"/>
    </row>
    <row r="880" spans="1:16" ht="21.75" customHeight="1" x14ac:dyDescent="0.3">
      <c r="A880" s="504"/>
      <c r="B880" s="504"/>
      <c r="C880" s="504"/>
      <c r="D880" s="504"/>
      <c r="E880" s="506"/>
      <c r="F880" s="506"/>
      <c r="G880" s="506"/>
      <c r="H880" s="506"/>
      <c r="I880" s="506"/>
      <c r="J880" s="506"/>
      <c r="K880" s="507"/>
      <c r="L880" s="508"/>
      <c r="M880" s="508"/>
      <c r="N880" s="508"/>
      <c r="O880" s="509"/>
      <c r="P880" s="509"/>
    </row>
    <row r="881" spans="1:16" ht="21.75" customHeight="1" x14ac:dyDescent="0.3">
      <c r="A881" s="504"/>
      <c r="B881" s="504"/>
      <c r="C881" s="504"/>
      <c r="D881" s="504"/>
      <c r="E881" s="506"/>
      <c r="F881" s="506"/>
      <c r="G881" s="506"/>
      <c r="H881" s="506"/>
      <c r="I881" s="506"/>
      <c r="J881" s="506"/>
      <c r="K881" s="507"/>
      <c r="L881" s="508"/>
      <c r="M881" s="508"/>
      <c r="N881" s="508"/>
      <c r="O881" s="509"/>
      <c r="P881" s="509"/>
    </row>
    <row r="882" spans="1:16" ht="21.75" customHeight="1" x14ac:dyDescent="0.3">
      <c r="A882" s="504"/>
      <c r="B882" s="504"/>
      <c r="C882" s="504"/>
      <c r="D882" s="504"/>
      <c r="E882" s="506"/>
      <c r="F882" s="506"/>
      <c r="G882" s="506"/>
      <c r="H882" s="506"/>
      <c r="I882" s="506"/>
      <c r="J882" s="506"/>
      <c r="K882" s="507"/>
      <c r="L882" s="508"/>
      <c r="M882" s="508"/>
      <c r="N882" s="508"/>
      <c r="O882" s="509"/>
      <c r="P882" s="509"/>
    </row>
    <row r="883" spans="1:16" ht="21.75" customHeight="1" x14ac:dyDescent="0.3">
      <c r="A883" s="504"/>
      <c r="B883" s="504"/>
      <c r="C883" s="504"/>
      <c r="D883" s="504"/>
      <c r="E883" s="506"/>
      <c r="F883" s="506"/>
      <c r="G883" s="506"/>
      <c r="H883" s="506"/>
      <c r="I883" s="506"/>
      <c r="J883" s="506"/>
      <c r="K883" s="507"/>
      <c r="L883" s="508"/>
      <c r="M883" s="508"/>
      <c r="N883" s="508"/>
      <c r="O883" s="509"/>
      <c r="P883" s="509"/>
    </row>
    <row r="884" spans="1:16" ht="21.75" customHeight="1" x14ac:dyDescent="0.3">
      <c r="A884" s="504"/>
      <c r="B884" s="504"/>
      <c r="C884" s="504"/>
      <c r="D884" s="504"/>
      <c r="E884" s="506"/>
      <c r="F884" s="506"/>
      <c r="G884" s="506"/>
      <c r="H884" s="506"/>
      <c r="I884" s="506"/>
      <c r="J884" s="506"/>
      <c r="K884" s="507"/>
      <c r="L884" s="508"/>
      <c r="M884" s="508"/>
      <c r="N884" s="508"/>
      <c r="O884" s="509"/>
      <c r="P884" s="509"/>
    </row>
    <row r="885" spans="1:16" ht="21.75" customHeight="1" x14ac:dyDescent="0.3">
      <c r="A885" s="504"/>
      <c r="B885" s="504"/>
      <c r="C885" s="504"/>
      <c r="D885" s="504"/>
      <c r="E885" s="506"/>
      <c r="F885" s="506"/>
      <c r="G885" s="506"/>
      <c r="H885" s="506"/>
      <c r="I885" s="506"/>
      <c r="J885" s="506"/>
      <c r="K885" s="507"/>
      <c r="L885" s="508"/>
      <c r="M885" s="508"/>
      <c r="N885" s="508"/>
      <c r="O885" s="509"/>
      <c r="P885" s="509"/>
    </row>
    <row r="886" spans="1:16" ht="21.75" customHeight="1" x14ac:dyDescent="0.3">
      <c r="A886" s="504"/>
      <c r="B886" s="504"/>
      <c r="C886" s="504"/>
      <c r="D886" s="504"/>
      <c r="E886" s="506"/>
      <c r="F886" s="506"/>
      <c r="G886" s="506"/>
      <c r="H886" s="506"/>
      <c r="I886" s="506"/>
      <c r="J886" s="506"/>
      <c r="K886" s="507"/>
      <c r="L886" s="508"/>
      <c r="M886" s="508"/>
      <c r="N886" s="508"/>
      <c r="O886" s="509"/>
      <c r="P886" s="509"/>
    </row>
    <row r="887" spans="1:16" ht="21.75" customHeight="1" x14ac:dyDescent="0.3">
      <c r="A887" s="504"/>
      <c r="B887" s="504"/>
      <c r="C887" s="504"/>
      <c r="D887" s="504"/>
      <c r="E887" s="506"/>
      <c r="F887" s="506"/>
      <c r="G887" s="506"/>
      <c r="H887" s="506"/>
      <c r="I887" s="506"/>
      <c r="J887" s="506"/>
      <c r="K887" s="507"/>
      <c r="L887" s="508"/>
      <c r="M887" s="508"/>
      <c r="N887" s="508"/>
      <c r="O887" s="509"/>
      <c r="P887" s="509"/>
    </row>
    <row r="888" spans="1:16" ht="21.75" customHeight="1" x14ac:dyDescent="0.3">
      <c r="A888" s="504"/>
      <c r="B888" s="504"/>
      <c r="C888" s="504"/>
      <c r="D888" s="504"/>
      <c r="E888" s="506"/>
      <c r="F888" s="506"/>
      <c r="G888" s="506"/>
      <c r="H888" s="506"/>
      <c r="I888" s="506"/>
      <c r="J888" s="506"/>
      <c r="K888" s="507"/>
      <c r="L888" s="508"/>
      <c r="M888" s="508"/>
      <c r="N888" s="508"/>
      <c r="O888" s="509"/>
      <c r="P888" s="509"/>
    </row>
    <row r="889" spans="1:16" ht="21.75" customHeight="1" x14ac:dyDescent="0.3">
      <c r="A889" s="504"/>
      <c r="B889" s="504"/>
      <c r="C889" s="504"/>
      <c r="D889" s="504"/>
      <c r="E889" s="506"/>
      <c r="F889" s="506"/>
      <c r="G889" s="506"/>
      <c r="H889" s="506"/>
      <c r="I889" s="506"/>
      <c r="J889" s="506"/>
      <c r="K889" s="507"/>
      <c r="L889" s="508"/>
      <c r="M889" s="508"/>
      <c r="N889" s="508"/>
      <c r="O889" s="509"/>
      <c r="P889" s="509"/>
    </row>
    <row r="890" spans="1:16" ht="21.75" customHeight="1" x14ac:dyDescent="0.3">
      <c r="A890" s="504"/>
      <c r="B890" s="504"/>
      <c r="C890" s="504"/>
      <c r="D890" s="504"/>
      <c r="E890" s="506"/>
      <c r="F890" s="506"/>
      <c r="G890" s="506"/>
      <c r="H890" s="506"/>
      <c r="I890" s="506"/>
      <c r="J890" s="506"/>
      <c r="K890" s="507"/>
      <c r="L890" s="508"/>
      <c r="M890" s="508"/>
      <c r="N890" s="508"/>
      <c r="O890" s="509"/>
      <c r="P890" s="509"/>
    </row>
    <row r="891" spans="1:16" ht="21.75" customHeight="1" x14ac:dyDescent="0.3">
      <c r="A891" s="504"/>
      <c r="B891" s="504"/>
      <c r="C891" s="504"/>
      <c r="D891" s="504"/>
      <c r="E891" s="506"/>
      <c r="F891" s="506"/>
      <c r="G891" s="506"/>
      <c r="H891" s="506"/>
      <c r="I891" s="506"/>
      <c r="J891" s="506"/>
      <c r="K891" s="507"/>
      <c r="L891" s="508"/>
      <c r="M891" s="508"/>
      <c r="N891" s="508"/>
      <c r="O891" s="509"/>
      <c r="P891" s="509"/>
    </row>
    <row r="892" spans="1:16" ht="21.75" customHeight="1" x14ac:dyDescent="0.3">
      <c r="A892" s="504"/>
      <c r="B892" s="504"/>
      <c r="C892" s="504"/>
      <c r="D892" s="504"/>
      <c r="E892" s="506"/>
      <c r="F892" s="506"/>
      <c r="G892" s="506"/>
      <c r="H892" s="506"/>
      <c r="I892" s="506"/>
      <c r="J892" s="506"/>
      <c r="K892" s="507"/>
      <c r="L892" s="508"/>
      <c r="M892" s="508"/>
      <c r="N892" s="508"/>
      <c r="O892" s="509"/>
      <c r="P892" s="509"/>
    </row>
    <row r="893" spans="1:16" ht="21.75" customHeight="1" x14ac:dyDescent="0.3">
      <c r="A893" s="504"/>
      <c r="B893" s="504"/>
      <c r="C893" s="504"/>
      <c r="D893" s="504"/>
      <c r="E893" s="506"/>
      <c r="F893" s="506"/>
      <c r="G893" s="506"/>
      <c r="H893" s="506"/>
      <c r="I893" s="506"/>
      <c r="J893" s="506"/>
      <c r="K893" s="507"/>
      <c r="L893" s="508"/>
      <c r="M893" s="508"/>
      <c r="N893" s="508"/>
      <c r="O893" s="509"/>
      <c r="P893" s="509"/>
    </row>
    <row r="894" spans="1:16" ht="21.75" customHeight="1" x14ac:dyDescent="0.3">
      <c r="A894" s="504"/>
      <c r="B894" s="504"/>
      <c r="C894" s="504"/>
      <c r="D894" s="504"/>
      <c r="E894" s="506"/>
      <c r="F894" s="506"/>
      <c r="G894" s="506"/>
      <c r="H894" s="506"/>
      <c r="I894" s="506"/>
      <c r="J894" s="506"/>
      <c r="K894" s="507"/>
      <c r="L894" s="508"/>
      <c r="M894" s="508"/>
      <c r="N894" s="508"/>
      <c r="O894" s="509"/>
      <c r="P894" s="509"/>
    </row>
    <row r="895" spans="1:16" ht="21.75" customHeight="1" x14ac:dyDescent="0.3">
      <c r="A895" s="504"/>
      <c r="B895" s="504"/>
      <c r="C895" s="504"/>
      <c r="D895" s="504"/>
      <c r="E895" s="506"/>
      <c r="F895" s="506"/>
      <c r="G895" s="506"/>
      <c r="H895" s="506"/>
      <c r="I895" s="506"/>
      <c r="J895" s="506"/>
      <c r="K895" s="507"/>
      <c r="L895" s="508"/>
      <c r="M895" s="508"/>
      <c r="N895" s="508"/>
      <c r="O895" s="509"/>
      <c r="P895" s="509"/>
    </row>
    <row r="896" spans="1:16" ht="21.75" customHeight="1" x14ac:dyDescent="0.3">
      <c r="A896" s="504"/>
      <c r="B896" s="504"/>
      <c r="C896" s="504"/>
      <c r="D896" s="504"/>
      <c r="E896" s="506"/>
      <c r="F896" s="506"/>
      <c r="G896" s="506"/>
      <c r="H896" s="506"/>
      <c r="I896" s="506"/>
      <c r="J896" s="506"/>
      <c r="K896" s="507"/>
      <c r="L896" s="508"/>
      <c r="M896" s="508"/>
      <c r="N896" s="508"/>
      <c r="O896" s="509"/>
      <c r="P896" s="509"/>
    </row>
    <row r="897" spans="1:16" ht="21.75" customHeight="1" x14ac:dyDescent="0.3">
      <c r="A897" s="504"/>
      <c r="B897" s="504"/>
      <c r="C897" s="504"/>
      <c r="D897" s="504"/>
      <c r="E897" s="506"/>
      <c r="F897" s="506"/>
      <c r="G897" s="506"/>
      <c r="H897" s="506"/>
      <c r="I897" s="506"/>
      <c r="J897" s="506"/>
      <c r="K897" s="507"/>
      <c r="L897" s="508"/>
      <c r="M897" s="508"/>
      <c r="N897" s="508"/>
      <c r="O897" s="509"/>
      <c r="P897" s="509"/>
    </row>
    <row r="898" spans="1:16" ht="21.75" customHeight="1" x14ac:dyDescent="0.3">
      <c r="A898" s="504"/>
      <c r="B898" s="504"/>
      <c r="C898" s="504"/>
      <c r="D898" s="504"/>
      <c r="E898" s="506"/>
      <c r="F898" s="506"/>
      <c r="G898" s="506"/>
      <c r="H898" s="506"/>
      <c r="I898" s="506"/>
      <c r="J898" s="506"/>
      <c r="K898" s="507"/>
      <c r="L898" s="508"/>
      <c r="M898" s="508"/>
      <c r="N898" s="508"/>
      <c r="O898" s="509"/>
      <c r="P898" s="509"/>
    </row>
    <row r="899" spans="1:16" ht="21.75" customHeight="1" x14ac:dyDescent="0.3">
      <c r="A899" s="504"/>
      <c r="B899" s="504"/>
      <c r="C899" s="504"/>
      <c r="D899" s="504"/>
      <c r="E899" s="506"/>
      <c r="F899" s="506"/>
      <c r="G899" s="506"/>
      <c r="H899" s="506"/>
      <c r="I899" s="506"/>
      <c r="J899" s="506"/>
      <c r="K899" s="507"/>
      <c r="L899" s="508"/>
      <c r="M899" s="508"/>
      <c r="N899" s="508"/>
      <c r="O899" s="509"/>
      <c r="P899" s="509"/>
    </row>
    <row r="900" spans="1:16" ht="21.75" customHeight="1" x14ac:dyDescent="0.3">
      <c r="A900" s="504"/>
      <c r="B900" s="504"/>
      <c r="C900" s="504"/>
      <c r="D900" s="504"/>
      <c r="E900" s="506"/>
      <c r="F900" s="506"/>
      <c r="G900" s="506"/>
      <c r="H900" s="506"/>
      <c r="I900" s="506"/>
      <c r="J900" s="506"/>
      <c r="K900" s="507"/>
      <c r="L900" s="508"/>
      <c r="M900" s="508"/>
      <c r="N900" s="508"/>
      <c r="O900" s="509"/>
      <c r="P900" s="509"/>
    </row>
    <row r="901" spans="1:16" ht="21.75" customHeight="1" x14ac:dyDescent="0.3">
      <c r="A901" s="504"/>
      <c r="B901" s="504"/>
      <c r="C901" s="504"/>
      <c r="D901" s="504"/>
      <c r="E901" s="506"/>
      <c r="F901" s="506"/>
      <c r="G901" s="506"/>
      <c r="H901" s="506"/>
      <c r="I901" s="506"/>
      <c r="J901" s="506"/>
      <c r="K901" s="507"/>
      <c r="L901" s="508"/>
      <c r="M901" s="508"/>
      <c r="N901" s="508"/>
      <c r="O901" s="509"/>
      <c r="P901" s="509"/>
    </row>
    <row r="902" spans="1:16" ht="21.75" customHeight="1" x14ac:dyDescent="0.3">
      <c r="A902" s="504"/>
      <c r="B902" s="504"/>
      <c r="C902" s="504"/>
      <c r="D902" s="504"/>
      <c r="E902" s="506"/>
      <c r="F902" s="506"/>
      <c r="G902" s="506"/>
      <c r="H902" s="506"/>
      <c r="I902" s="506"/>
      <c r="J902" s="506"/>
      <c r="K902" s="507"/>
      <c r="L902" s="508"/>
      <c r="M902" s="508"/>
      <c r="N902" s="508"/>
      <c r="O902" s="509"/>
      <c r="P902" s="509"/>
    </row>
    <row r="903" spans="1:16" ht="21.75" customHeight="1" x14ac:dyDescent="0.3">
      <c r="A903" s="504"/>
      <c r="B903" s="504"/>
      <c r="C903" s="504"/>
      <c r="D903" s="504"/>
      <c r="E903" s="506"/>
      <c r="F903" s="506"/>
      <c r="G903" s="506"/>
      <c r="H903" s="506"/>
      <c r="I903" s="506"/>
      <c r="J903" s="506"/>
      <c r="K903" s="507"/>
      <c r="L903" s="508"/>
      <c r="M903" s="508"/>
      <c r="N903" s="508"/>
      <c r="O903" s="509"/>
      <c r="P903" s="509"/>
    </row>
    <row r="904" spans="1:16" ht="21.75" customHeight="1" x14ac:dyDescent="0.3">
      <c r="A904" s="504"/>
      <c r="B904" s="504"/>
      <c r="C904" s="504"/>
      <c r="D904" s="504"/>
      <c r="E904" s="506"/>
      <c r="F904" s="506"/>
      <c r="G904" s="506"/>
      <c r="H904" s="506"/>
      <c r="I904" s="506"/>
      <c r="J904" s="506"/>
      <c r="K904" s="507"/>
      <c r="L904" s="508"/>
      <c r="M904" s="508"/>
      <c r="N904" s="508"/>
      <c r="O904" s="509"/>
      <c r="P904" s="509"/>
    </row>
    <row r="905" spans="1:16" ht="21.75" customHeight="1" x14ac:dyDescent="0.3">
      <c r="A905" s="504"/>
      <c r="B905" s="504"/>
      <c r="C905" s="504"/>
      <c r="D905" s="504"/>
      <c r="E905" s="506"/>
      <c r="F905" s="506"/>
      <c r="G905" s="506"/>
      <c r="H905" s="506"/>
      <c r="I905" s="506"/>
      <c r="J905" s="506"/>
      <c r="K905" s="507"/>
      <c r="L905" s="508"/>
      <c r="M905" s="508"/>
      <c r="N905" s="508"/>
      <c r="O905" s="509"/>
      <c r="P905" s="509"/>
    </row>
    <row r="906" spans="1:16" ht="21.75" customHeight="1" x14ac:dyDescent="0.3">
      <c r="A906" s="504"/>
      <c r="B906" s="504"/>
      <c r="C906" s="504"/>
      <c r="D906" s="504"/>
      <c r="E906" s="506"/>
      <c r="F906" s="506"/>
      <c r="G906" s="506"/>
      <c r="H906" s="506"/>
      <c r="I906" s="506"/>
      <c r="J906" s="506"/>
      <c r="K906" s="507"/>
      <c r="L906" s="508"/>
      <c r="M906" s="508"/>
      <c r="N906" s="508"/>
      <c r="O906" s="509"/>
      <c r="P906" s="509"/>
    </row>
    <row r="907" spans="1:16" ht="21.75" customHeight="1" x14ac:dyDescent="0.3">
      <c r="A907" s="504"/>
      <c r="B907" s="504"/>
      <c r="C907" s="504"/>
      <c r="D907" s="504"/>
      <c r="E907" s="506"/>
      <c r="F907" s="506"/>
      <c r="G907" s="506"/>
      <c r="H907" s="506"/>
      <c r="I907" s="506"/>
      <c r="J907" s="506"/>
      <c r="K907" s="507"/>
      <c r="L907" s="508"/>
      <c r="M907" s="508"/>
      <c r="N907" s="508"/>
      <c r="O907" s="509"/>
      <c r="P907" s="509"/>
    </row>
    <row r="908" spans="1:16" ht="21.75" customHeight="1" x14ac:dyDescent="0.3">
      <c r="A908" s="504"/>
      <c r="B908" s="504"/>
      <c r="C908" s="504"/>
      <c r="D908" s="504"/>
      <c r="E908" s="506"/>
      <c r="F908" s="506"/>
      <c r="G908" s="506"/>
      <c r="H908" s="506"/>
      <c r="I908" s="506"/>
      <c r="J908" s="506"/>
      <c r="K908" s="507"/>
      <c r="L908" s="508"/>
      <c r="M908" s="508"/>
      <c r="N908" s="508"/>
      <c r="O908" s="509"/>
      <c r="P908" s="509"/>
    </row>
    <row r="909" spans="1:16" ht="21.75" customHeight="1" x14ac:dyDescent="0.3">
      <c r="A909" s="504"/>
      <c r="B909" s="504"/>
      <c r="C909" s="504"/>
      <c r="D909" s="504"/>
      <c r="E909" s="506"/>
      <c r="F909" s="506"/>
      <c r="G909" s="506"/>
      <c r="H909" s="506"/>
      <c r="I909" s="506"/>
      <c r="J909" s="506"/>
      <c r="K909" s="507"/>
      <c r="L909" s="508"/>
      <c r="M909" s="508"/>
      <c r="N909" s="508"/>
      <c r="O909" s="509"/>
      <c r="P909" s="509"/>
    </row>
    <row r="910" spans="1:16" ht="21.75" customHeight="1" x14ac:dyDescent="0.3">
      <c r="A910" s="504"/>
      <c r="B910" s="504"/>
      <c r="C910" s="504"/>
      <c r="D910" s="504"/>
      <c r="E910" s="506"/>
      <c r="F910" s="506"/>
      <c r="G910" s="506"/>
      <c r="H910" s="506"/>
      <c r="I910" s="506"/>
      <c r="J910" s="506"/>
      <c r="K910" s="507"/>
      <c r="L910" s="508"/>
      <c r="M910" s="508"/>
      <c r="N910" s="508"/>
      <c r="O910" s="509"/>
      <c r="P910" s="509"/>
    </row>
    <row r="911" spans="1:16" ht="21.75" customHeight="1" x14ac:dyDescent="0.3">
      <c r="A911" s="504"/>
      <c r="B911" s="504"/>
      <c r="C911" s="504"/>
      <c r="D911" s="504"/>
      <c r="E911" s="506"/>
      <c r="F911" s="506"/>
      <c r="G911" s="506"/>
      <c r="H911" s="506"/>
      <c r="I911" s="506"/>
      <c r="J911" s="506"/>
      <c r="K911" s="507"/>
      <c r="L911" s="508"/>
      <c r="M911" s="508"/>
      <c r="N911" s="508"/>
      <c r="O911" s="509"/>
      <c r="P911" s="509"/>
    </row>
    <row r="912" spans="1:16" ht="21.75" customHeight="1" x14ac:dyDescent="0.3">
      <c r="A912" s="504"/>
      <c r="B912" s="504"/>
      <c r="C912" s="504"/>
      <c r="D912" s="504"/>
      <c r="E912" s="506"/>
      <c r="F912" s="506"/>
      <c r="G912" s="506"/>
      <c r="H912" s="506"/>
      <c r="I912" s="506"/>
      <c r="J912" s="506"/>
      <c r="K912" s="507"/>
      <c r="L912" s="508"/>
      <c r="M912" s="508"/>
      <c r="N912" s="508"/>
      <c r="O912" s="509"/>
      <c r="P912" s="509"/>
    </row>
    <row r="913" spans="1:16" ht="21.75" customHeight="1" x14ac:dyDescent="0.3">
      <c r="A913" s="504"/>
      <c r="B913" s="504"/>
      <c r="C913" s="504"/>
      <c r="D913" s="504"/>
      <c r="E913" s="506"/>
      <c r="F913" s="506"/>
      <c r="G913" s="506"/>
      <c r="H913" s="506"/>
      <c r="I913" s="506"/>
      <c r="J913" s="506"/>
      <c r="K913" s="507"/>
      <c r="L913" s="508"/>
      <c r="M913" s="508"/>
      <c r="N913" s="508"/>
      <c r="O913" s="509"/>
      <c r="P913" s="509"/>
    </row>
    <row r="914" spans="1:16" ht="21.75" customHeight="1" x14ac:dyDescent="0.3">
      <c r="A914" s="504"/>
      <c r="B914" s="504"/>
      <c r="C914" s="504"/>
      <c r="D914" s="504"/>
      <c r="E914" s="506"/>
      <c r="F914" s="506"/>
      <c r="G914" s="506"/>
      <c r="H914" s="506"/>
      <c r="I914" s="506"/>
      <c r="J914" s="506"/>
      <c r="K914" s="507"/>
      <c r="L914" s="508"/>
      <c r="M914" s="508"/>
      <c r="N914" s="508"/>
      <c r="O914" s="509"/>
      <c r="P914" s="509"/>
    </row>
    <row r="915" spans="1:16" ht="21.75" customHeight="1" x14ac:dyDescent="0.3">
      <c r="A915" s="504"/>
      <c r="B915" s="504"/>
      <c r="C915" s="504"/>
      <c r="D915" s="504"/>
      <c r="E915" s="506"/>
      <c r="F915" s="506"/>
      <c r="G915" s="506"/>
      <c r="H915" s="506"/>
      <c r="I915" s="506"/>
      <c r="J915" s="506"/>
      <c r="K915" s="507"/>
      <c r="L915" s="508"/>
      <c r="M915" s="508"/>
      <c r="N915" s="508"/>
      <c r="O915" s="509"/>
      <c r="P915" s="509"/>
    </row>
    <row r="916" spans="1:16" ht="21.75" customHeight="1" x14ac:dyDescent="0.3">
      <c r="A916" s="504"/>
      <c r="B916" s="504"/>
      <c r="C916" s="504"/>
      <c r="D916" s="504"/>
      <c r="E916" s="506"/>
      <c r="F916" s="506"/>
      <c r="G916" s="506"/>
      <c r="H916" s="506"/>
      <c r="I916" s="506"/>
      <c r="J916" s="506"/>
      <c r="K916" s="507"/>
      <c r="L916" s="508"/>
      <c r="M916" s="508"/>
      <c r="N916" s="508"/>
      <c r="O916" s="509"/>
      <c r="P916" s="509"/>
    </row>
    <row r="917" spans="1:16" ht="21.75" customHeight="1" x14ac:dyDescent="0.3">
      <c r="A917" s="504"/>
      <c r="B917" s="504"/>
      <c r="C917" s="504"/>
      <c r="D917" s="504"/>
      <c r="E917" s="506"/>
      <c r="F917" s="506"/>
      <c r="G917" s="506"/>
      <c r="H917" s="506"/>
      <c r="I917" s="506"/>
      <c r="J917" s="506"/>
      <c r="K917" s="507"/>
      <c r="L917" s="508"/>
      <c r="M917" s="508"/>
      <c r="N917" s="508"/>
      <c r="O917" s="509"/>
      <c r="P917" s="509"/>
    </row>
    <row r="918" spans="1:16" ht="21.75" customHeight="1" x14ac:dyDescent="0.3">
      <c r="A918" s="504"/>
      <c r="B918" s="504"/>
      <c r="C918" s="504"/>
      <c r="D918" s="504"/>
      <c r="E918" s="506"/>
      <c r="F918" s="506"/>
      <c r="G918" s="506"/>
      <c r="H918" s="506"/>
      <c r="I918" s="506"/>
      <c r="J918" s="506"/>
      <c r="K918" s="507"/>
      <c r="L918" s="508"/>
      <c r="M918" s="508"/>
      <c r="N918" s="508"/>
      <c r="O918" s="509"/>
      <c r="P918" s="509"/>
    </row>
    <row r="919" spans="1:16" ht="21.75" customHeight="1" x14ac:dyDescent="0.3">
      <c r="A919" s="504"/>
      <c r="B919" s="504"/>
      <c r="C919" s="504"/>
      <c r="D919" s="504"/>
      <c r="E919" s="506"/>
      <c r="F919" s="506"/>
      <c r="G919" s="506"/>
      <c r="H919" s="506"/>
      <c r="I919" s="506"/>
      <c r="J919" s="506"/>
      <c r="K919" s="507"/>
      <c r="L919" s="508"/>
      <c r="M919" s="508"/>
      <c r="N919" s="508"/>
      <c r="O919" s="509"/>
      <c r="P919" s="509"/>
    </row>
    <row r="920" spans="1:16" ht="21.75" customHeight="1" x14ac:dyDescent="0.3">
      <c r="A920" s="504"/>
      <c r="B920" s="504"/>
      <c r="C920" s="504"/>
      <c r="D920" s="504"/>
      <c r="E920" s="506"/>
      <c r="F920" s="506"/>
      <c r="G920" s="506"/>
      <c r="H920" s="506"/>
      <c r="I920" s="506"/>
      <c r="J920" s="506"/>
      <c r="K920" s="507"/>
      <c r="L920" s="508"/>
      <c r="M920" s="508"/>
      <c r="N920" s="508"/>
      <c r="O920" s="509"/>
      <c r="P920" s="509"/>
    </row>
    <row r="921" spans="1:16" ht="21.75" customHeight="1" x14ac:dyDescent="0.3">
      <c r="A921" s="504"/>
      <c r="B921" s="504"/>
      <c r="C921" s="504"/>
      <c r="D921" s="504"/>
      <c r="E921" s="506"/>
      <c r="F921" s="506"/>
      <c r="G921" s="506"/>
      <c r="H921" s="506"/>
      <c r="I921" s="506"/>
      <c r="J921" s="506"/>
      <c r="K921" s="507"/>
      <c r="L921" s="508"/>
      <c r="M921" s="508"/>
      <c r="N921" s="508"/>
      <c r="O921" s="509"/>
      <c r="P921" s="509"/>
    </row>
    <row r="922" spans="1:16" ht="21.75" customHeight="1" x14ac:dyDescent="0.3">
      <c r="A922" s="504"/>
      <c r="B922" s="504"/>
      <c r="C922" s="504"/>
      <c r="D922" s="504"/>
      <c r="E922" s="506"/>
      <c r="F922" s="506"/>
      <c r="G922" s="506"/>
      <c r="H922" s="506"/>
      <c r="I922" s="506"/>
      <c r="J922" s="506"/>
      <c r="K922" s="507"/>
      <c r="L922" s="508"/>
      <c r="M922" s="508"/>
      <c r="N922" s="508"/>
      <c r="O922" s="509"/>
      <c r="P922" s="509"/>
    </row>
    <row r="923" spans="1:16" ht="21.75" customHeight="1" x14ac:dyDescent="0.3">
      <c r="A923" s="504"/>
      <c r="B923" s="504"/>
      <c r="C923" s="504"/>
      <c r="D923" s="504"/>
      <c r="E923" s="506"/>
      <c r="F923" s="506"/>
      <c r="G923" s="506"/>
      <c r="H923" s="506"/>
      <c r="I923" s="506"/>
      <c r="J923" s="506"/>
      <c r="K923" s="507"/>
      <c r="L923" s="508"/>
      <c r="M923" s="508"/>
      <c r="N923" s="508"/>
      <c r="O923" s="509"/>
      <c r="P923" s="509"/>
    </row>
    <row r="924" spans="1:16" ht="21.75" customHeight="1" x14ac:dyDescent="0.3">
      <c r="A924" s="504"/>
      <c r="B924" s="504"/>
      <c r="C924" s="504"/>
      <c r="D924" s="504"/>
      <c r="E924" s="506"/>
      <c r="F924" s="506"/>
      <c r="G924" s="506"/>
      <c r="H924" s="506"/>
      <c r="I924" s="506"/>
      <c r="J924" s="506"/>
      <c r="K924" s="507"/>
      <c r="L924" s="508"/>
      <c r="M924" s="508"/>
      <c r="N924" s="508"/>
      <c r="O924" s="509"/>
      <c r="P924" s="509"/>
    </row>
    <row r="925" spans="1:16" ht="21.75" customHeight="1" x14ac:dyDescent="0.3">
      <c r="A925" s="504"/>
      <c r="B925" s="504"/>
      <c r="C925" s="504"/>
      <c r="D925" s="504"/>
      <c r="E925" s="506"/>
      <c r="F925" s="506"/>
      <c r="G925" s="506"/>
      <c r="H925" s="506"/>
      <c r="I925" s="506"/>
      <c r="J925" s="506"/>
      <c r="K925" s="507"/>
      <c r="L925" s="508"/>
      <c r="M925" s="508"/>
      <c r="N925" s="508"/>
      <c r="O925" s="509"/>
      <c r="P925" s="509"/>
    </row>
    <row r="926" spans="1:16" ht="21.75" customHeight="1" x14ac:dyDescent="0.3">
      <c r="A926" s="504"/>
      <c r="B926" s="504"/>
      <c r="C926" s="504"/>
      <c r="D926" s="504"/>
      <c r="E926" s="506"/>
      <c r="F926" s="506"/>
      <c r="G926" s="506"/>
      <c r="H926" s="506"/>
      <c r="I926" s="506"/>
      <c r="J926" s="506"/>
      <c r="K926" s="507"/>
      <c r="L926" s="508"/>
      <c r="M926" s="508"/>
      <c r="N926" s="508"/>
      <c r="O926" s="509"/>
      <c r="P926" s="509"/>
    </row>
    <row r="927" spans="1:16" ht="21.75" customHeight="1" x14ac:dyDescent="0.3">
      <c r="A927" s="504"/>
      <c r="B927" s="504"/>
      <c r="C927" s="504"/>
      <c r="D927" s="504"/>
      <c r="E927" s="506"/>
      <c r="F927" s="506"/>
      <c r="G927" s="506"/>
      <c r="H927" s="506"/>
      <c r="I927" s="506"/>
      <c r="J927" s="506"/>
      <c r="K927" s="507"/>
      <c r="L927" s="508"/>
      <c r="M927" s="508"/>
      <c r="N927" s="508"/>
      <c r="O927" s="509"/>
      <c r="P927" s="509"/>
    </row>
    <row r="928" spans="1:16" ht="21.75" customHeight="1" x14ac:dyDescent="0.3">
      <c r="A928" s="504"/>
      <c r="B928" s="504"/>
      <c r="C928" s="504"/>
      <c r="D928" s="504"/>
      <c r="E928" s="506"/>
      <c r="F928" s="506"/>
      <c r="G928" s="506"/>
      <c r="H928" s="506"/>
      <c r="I928" s="506"/>
      <c r="J928" s="506"/>
      <c r="K928" s="507"/>
      <c r="L928" s="508"/>
      <c r="M928" s="508"/>
      <c r="N928" s="508"/>
      <c r="O928" s="509"/>
      <c r="P928" s="509"/>
    </row>
    <row r="929" spans="1:16" ht="21.75" customHeight="1" x14ac:dyDescent="0.3">
      <c r="A929" s="504"/>
      <c r="B929" s="504"/>
      <c r="C929" s="504"/>
      <c r="D929" s="504"/>
      <c r="E929" s="506"/>
      <c r="F929" s="506"/>
      <c r="G929" s="506"/>
      <c r="H929" s="506"/>
      <c r="I929" s="506"/>
      <c r="J929" s="506"/>
      <c r="K929" s="507"/>
      <c r="L929" s="508"/>
      <c r="M929" s="508"/>
      <c r="N929" s="508"/>
      <c r="O929" s="509"/>
      <c r="P929" s="509"/>
    </row>
    <row r="930" spans="1:16" ht="21.75" customHeight="1" x14ac:dyDescent="0.3">
      <c r="A930" s="504"/>
      <c r="B930" s="504"/>
      <c r="C930" s="504"/>
      <c r="D930" s="504"/>
      <c r="E930" s="506"/>
      <c r="F930" s="506"/>
      <c r="G930" s="506"/>
      <c r="H930" s="506"/>
      <c r="I930" s="506"/>
      <c r="J930" s="506"/>
      <c r="K930" s="507"/>
      <c r="L930" s="508"/>
      <c r="M930" s="508"/>
      <c r="N930" s="508"/>
      <c r="O930" s="509"/>
      <c r="P930" s="509"/>
    </row>
    <row r="931" spans="1:16" ht="21.75" customHeight="1" x14ac:dyDescent="0.3">
      <c r="A931" s="504"/>
      <c r="B931" s="504"/>
      <c r="C931" s="504"/>
      <c r="D931" s="504"/>
      <c r="E931" s="506"/>
      <c r="F931" s="506"/>
      <c r="G931" s="506"/>
      <c r="H931" s="506"/>
      <c r="I931" s="506"/>
      <c r="J931" s="506"/>
      <c r="K931" s="507"/>
      <c r="L931" s="508"/>
      <c r="M931" s="508"/>
      <c r="N931" s="508"/>
      <c r="O931" s="509"/>
      <c r="P931" s="509"/>
    </row>
    <row r="932" spans="1:16" ht="21.75" customHeight="1" x14ac:dyDescent="0.3">
      <c r="A932" s="504"/>
      <c r="B932" s="504"/>
      <c r="C932" s="504"/>
      <c r="D932" s="504"/>
      <c r="E932" s="506"/>
      <c r="F932" s="506"/>
      <c r="G932" s="506"/>
      <c r="H932" s="506"/>
      <c r="I932" s="506"/>
      <c r="J932" s="506"/>
      <c r="K932" s="507"/>
      <c r="L932" s="508"/>
      <c r="M932" s="508"/>
      <c r="N932" s="508"/>
      <c r="O932" s="509"/>
      <c r="P932" s="509"/>
    </row>
    <row r="933" spans="1:16" ht="21.75" customHeight="1" x14ac:dyDescent="0.3">
      <c r="A933" s="504"/>
      <c r="B933" s="504"/>
      <c r="C933" s="504"/>
      <c r="D933" s="504"/>
      <c r="E933" s="506"/>
      <c r="F933" s="506"/>
      <c r="G933" s="506"/>
      <c r="H933" s="506"/>
      <c r="I933" s="506"/>
      <c r="J933" s="506"/>
      <c r="K933" s="507"/>
      <c r="L933" s="508"/>
      <c r="M933" s="508"/>
      <c r="N933" s="508"/>
      <c r="O933" s="509"/>
      <c r="P933" s="509"/>
    </row>
    <row r="934" spans="1:16" ht="21.75" customHeight="1" x14ac:dyDescent="0.3">
      <c r="A934" s="504"/>
      <c r="B934" s="504"/>
      <c r="C934" s="504"/>
      <c r="D934" s="504"/>
      <c r="E934" s="506"/>
      <c r="F934" s="506"/>
      <c r="G934" s="506"/>
      <c r="H934" s="506"/>
      <c r="I934" s="506"/>
      <c r="J934" s="506"/>
      <c r="K934" s="507"/>
      <c r="L934" s="508"/>
      <c r="M934" s="508"/>
      <c r="N934" s="508"/>
      <c r="O934" s="509"/>
      <c r="P934" s="509"/>
    </row>
    <row r="935" spans="1:16" ht="21.75" customHeight="1" x14ac:dyDescent="0.3">
      <c r="A935" s="504"/>
      <c r="B935" s="504"/>
      <c r="C935" s="504"/>
      <c r="D935" s="504"/>
      <c r="E935" s="506"/>
      <c r="F935" s="506"/>
      <c r="G935" s="506"/>
      <c r="H935" s="506"/>
      <c r="I935" s="506"/>
      <c r="J935" s="506"/>
      <c r="K935" s="507"/>
      <c r="L935" s="508"/>
      <c r="M935" s="508"/>
      <c r="N935" s="508"/>
      <c r="O935" s="509"/>
      <c r="P935" s="509"/>
    </row>
    <row r="936" spans="1:16" ht="21.75" customHeight="1" x14ac:dyDescent="0.3">
      <c r="A936" s="504"/>
      <c r="B936" s="504"/>
      <c r="C936" s="504"/>
      <c r="D936" s="504"/>
      <c r="E936" s="506"/>
      <c r="F936" s="506"/>
      <c r="G936" s="506"/>
      <c r="H936" s="506"/>
      <c r="I936" s="506"/>
      <c r="J936" s="506"/>
      <c r="K936" s="507"/>
      <c r="L936" s="508"/>
      <c r="M936" s="508"/>
      <c r="N936" s="508"/>
      <c r="O936" s="509"/>
      <c r="P936" s="509"/>
    </row>
    <row r="937" spans="1:16" ht="21.75" customHeight="1" x14ac:dyDescent="0.3">
      <c r="A937" s="504"/>
      <c r="B937" s="504"/>
      <c r="C937" s="504"/>
      <c r="D937" s="504"/>
      <c r="E937" s="506"/>
      <c r="F937" s="506"/>
      <c r="G937" s="506"/>
      <c r="H937" s="506"/>
      <c r="I937" s="506"/>
      <c r="J937" s="506"/>
      <c r="K937" s="507"/>
      <c r="L937" s="508"/>
      <c r="M937" s="508"/>
      <c r="N937" s="508"/>
      <c r="O937" s="509"/>
      <c r="P937" s="509"/>
    </row>
    <row r="938" spans="1:16" ht="21.75" customHeight="1" x14ac:dyDescent="0.3">
      <c r="A938" s="504"/>
      <c r="B938" s="504"/>
      <c r="C938" s="504"/>
      <c r="D938" s="504"/>
      <c r="E938" s="506"/>
      <c r="F938" s="506"/>
      <c r="G938" s="506"/>
      <c r="H938" s="506"/>
      <c r="I938" s="506"/>
      <c r="J938" s="506"/>
      <c r="K938" s="507"/>
      <c r="L938" s="508"/>
      <c r="M938" s="508"/>
      <c r="N938" s="508"/>
      <c r="O938" s="509"/>
      <c r="P938" s="509"/>
    </row>
    <row r="939" spans="1:16" ht="21.75" customHeight="1" x14ac:dyDescent="0.3">
      <c r="A939" s="504"/>
      <c r="B939" s="504"/>
      <c r="C939" s="504"/>
      <c r="D939" s="504"/>
      <c r="E939" s="506"/>
      <c r="F939" s="506"/>
      <c r="G939" s="506"/>
      <c r="H939" s="506"/>
      <c r="I939" s="506"/>
      <c r="J939" s="506"/>
      <c r="K939" s="507"/>
      <c r="L939" s="508"/>
      <c r="M939" s="508"/>
      <c r="N939" s="508"/>
      <c r="O939" s="509"/>
      <c r="P939" s="509"/>
    </row>
    <row r="940" spans="1:16" ht="21.75" customHeight="1" x14ac:dyDescent="0.3">
      <c r="A940" s="504"/>
      <c r="B940" s="504"/>
      <c r="C940" s="504"/>
      <c r="D940" s="504"/>
      <c r="E940" s="506"/>
      <c r="F940" s="506"/>
      <c r="G940" s="506"/>
      <c r="H940" s="506"/>
      <c r="I940" s="506"/>
      <c r="J940" s="506"/>
      <c r="K940" s="507"/>
      <c r="L940" s="508"/>
      <c r="M940" s="508"/>
      <c r="N940" s="508"/>
      <c r="O940" s="509"/>
      <c r="P940" s="509"/>
    </row>
    <row r="941" spans="1:16" ht="21.75" customHeight="1" x14ac:dyDescent="0.3">
      <c r="A941" s="504"/>
      <c r="B941" s="504"/>
      <c r="C941" s="504"/>
      <c r="D941" s="504"/>
      <c r="E941" s="506"/>
      <c r="F941" s="506"/>
      <c r="G941" s="506"/>
      <c r="H941" s="506"/>
      <c r="I941" s="506"/>
      <c r="J941" s="506"/>
      <c r="K941" s="507"/>
      <c r="L941" s="508"/>
      <c r="M941" s="508"/>
      <c r="N941" s="508"/>
      <c r="O941" s="509"/>
      <c r="P941" s="509"/>
    </row>
    <row r="942" spans="1:16" ht="21.75" customHeight="1" x14ac:dyDescent="0.3">
      <c r="A942" s="504"/>
      <c r="B942" s="504"/>
      <c r="C942" s="504"/>
      <c r="D942" s="504"/>
      <c r="E942" s="506"/>
      <c r="F942" s="506"/>
      <c r="G942" s="506"/>
      <c r="H942" s="506"/>
      <c r="I942" s="506"/>
      <c r="J942" s="506"/>
      <c r="K942" s="507"/>
      <c r="L942" s="508"/>
      <c r="M942" s="508"/>
      <c r="N942" s="508"/>
      <c r="O942" s="509"/>
      <c r="P942" s="509"/>
    </row>
    <row r="943" spans="1:16" ht="21.75" customHeight="1" x14ac:dyDescent="0.3">
      <c r="A943" s="504"/>
      <c r="B943" s="504"/>
      <c r="C943" s="504"/>
      <c r="D943" s="504"/>
      <c r="E943" s="506"/>
      <c r="F943" s="506"/>
      <c r="G943" s="506"/>
      <c r="H943" s="506"/>
      <c r="I943" s="506"/>
      <c r="J943" s="506"/>
      <c r="K943" s="507"/>
      <c r="L943" s="508"/>
      <c r="M943" s="508"/>
      <c r="N943" s="508"/>
      <c r="O943" s="509"/>
      <c r="P943" s="509"/>
    </row>
    <row r="944" spans="1:16" ht="21.75" customHeight="1" x14ac:dyDescent="0.3">
      <c r="A944" s="504"/>
      <c r="B944" s="504"/>
      <c r="C944" s="504"/>
      <c r="D944" s="504"/>
      <c r="E944" s="506"/>
      <c r="F944" s="506"/>
      <c r="G944" s="506"/>
      <c r="H944" s="506"/>
      <c r="I944" s="506"/>
      <c r="J944" s="506"/>
      <c r="K944" s="507"/>
      <c r="L944" s="508"/>
      <c r="M944" s="508"/>
      <c r="N944" s="508"/>
      <c r="O944" s="509"/>
      <c r="P944" s="509"/>
    </row>
    <row r="945" spans="1:16" ht="21.75" customHeight="1" x14ac:dyDescent="0.3">
      <c r="A945" s="504"/>
      <c r="B945" s="504"/>
      <c r="C945" s="504"/>
      <c r="D945" s="504"/>
      <c r="E945" s="506"/>
      <c r="F945" s="506"/>
      <c r="G945" s="506"/>
      <c r="H945" s="506"/>
      <c r="I945" s="506"/>
      <c r="J945" s="506"/>
      <c r="K945" s="507"/>
      <c r="L945" s="508"/>
      <c r="M945" s="508"/>
      <c r="N945" s="508"/>
      <c r="O945" s="509"/>
      <c r="P945" s="509"/>
    </row>
    <row r="946" spans="1:16" ht="21.75" customHeight="1" x14ac:dyDescent="0.3">
      <c r="A946" s="504"/>
      <c r="B946" s="504"/>
      <c r="C946" s="504"/>
      <c r="D946" s="504"/>
      <c r="E946" s="506"/>
      <c r="F946" s="506"/>
      <c r="G946" s="506"/>
      <c r="H946" s="506"/>
      <c r="I946" s="506"/>
      <c r="J946" s="506"/>
      <c r="K946" s="507"/>
      <c r="L946" s="508"/>
      <c r="M946" s="508"/>
      <c r="N946" s="508"/>
      <c r="O946" s="509"/>
      <c r="P946" s="509"/>
    </row>
    <row r="947" spans="1:16" ht="21.75" customHeight="1" x14ac:dyDescent="0.3">
      <c r="A947" s="504"/>
      <c r="B947" s="504"/>
      <c r="C947" s="504"/>
      <c r="D947" s="504"/>
      <c r="E947" s="506"/>
      <c r="F947" s="506"/>
      <c r="G947" s="506"/>
      <c r="H947" s="506"/>
      <c r="I947" s="506"/>
      <c r="J947" s="506"/>
      <c r="K947" s="507"/>
      <c r="L947" s="508"/>
      <c r="M947" s="508"/>
      <c r="N947" s="508"/>
      <c r="O947" s="509"/>
      <c r="P947" s="509"/>
    </row>
    <row r="948" spans="1:16" ht="21.75" customHeight="1" x14ac:dyDescent="0.3">
      <c r="A948" s="504"/>
      <c r="B948" s="504"/>
      <c r="C948" s="504"/>
      <c r="D948" s="504"/>
      <c r="E948" s="506"/>
      <c r="F948" s="506"/>
      <c r="G948" s="506"/>
      <c r="H948" s="506"/>
      <c r="I948" s="506"/>
      <c r="J948" s="506"/>
      <c r="K948" s="507"/>
      <c r="L948" s="508"/>
      <c r="M948" s="508"/>
      <c r="N948" s="508"/>
      <c r="O948" s="509"/>
      <c r="P948" s="509"/>
    </row>
    <row r="949" spans="1:16" ht="21.75" customHeight="1" x14ac:dyDescent="0.3">
      <c r="A949" s="504"/>
      <c r="B949" s="504"/>
      <c r="C949" s="504"/>
      <c r="D949" s="504"/>
      <c r="E949" s="506"/>
      <c r="F949" s="506"/>
      <c r="G949" s="506"/>
      <c r="H949" s="506"/>
      <c r="I949" s="506"/>
      <c r="J949" s="506"/>
      <c r="K949" s="507"/>
      <c r="L949" s="508"/>
      <c r="M949" s="508"/>
      <c r="N949" s="508"/>
      <c r="O949" s="509"/>
      <c r="P949" s="509"/>
    </row>
    <row r="950" spans="1:16" ht="21.75" customHeight="1" x14ac:dyDescent="0.3">
      <c r="A950" s="504"/>
      <c r="B950" s="504"/>
      <c r="C950" s="504"/>
      <c r="D950" s="504"/>
      <c r="E950" s="506"/>
      <c r="F950" s="506"/>
      <c r="G950" s="506"/>
      <c r="H950" s="506"/>
      <c r="I950" s="506"/>
      <c r="J950" s="506"/>
      <c r="K950" s="507"/>
      <c r="L950" s="508"/>
      <c r="M950" s="508"/>
      <c r="N950" s="508"/>
      <c r="O950" s="509"/>
      <c r="P950" s="509"/>
    </row>
    <row r="951" spans="1:16" ht="21.75" customHeight="1" x14ac:dyDescent="0.3">
      <c r="A951" s="504"/>
      <c r="B951" s="504"/>
      <c r="C951" s="504"/>
      <c r="D951" s="504"/>
      <c r="E951" s="506"/>
      <c r="F951" s="506"/>
      <c r="G951" s="506"/>
      <c r="H951" s="506"/>
      <c r="I951" s="506"/>
      <c r="J951" s="506"/>
      <c r="K951" s="507"/>
      <c r="L951" s="508"/>
      <c r="M951" s="508"/>
      <c r="N951" s="508"/>
      <c r="O951" s="509"/>
      <c r="P951" s="509"/>
    </row>
    <row r="952" spans="1:16" ht="21.75" customHeight="1" x14ac:dyDescent="0.3">
      <c r="A952" s="504"/>
      <c r="B952" s="504"/>
      <c r="C952" s="504"/>
      <c r="D952" s="504"/>
      <c r="E952" s="506"/>
      <c r="F952" s="506"/>
      <c r="G952" s="506"/>
      <c r="H952" s="506"/>
      <c r="I952" s="506"/>
      <c r="J952" s="506"/>
      <c r="K952" s="507"/>
      <c r="L952" s="508"/>
      <c r="M952" s="508"/>
      <c r="N952" s="508"/>
      <c r="O952" s="509"/>
      <c r="P952" s="509"/>
    </row>
    <row r="953" spans="1:16" ht="21.75" customHeight="1" x14ac:dyDescent="0.3">
      <c r="A953" s="504"/>
      <c r="B953" s="504"/>
      <c r="C953" s="504"/>
      <c r="D953" s="504"/>
      <c r="E953" s="506"/>
      <c r="F953" s="506"/>
      <c r="G953" s="506"/>
      <c r="H953" s="506"/>
      <c r="I953" s="506"/>
      <c r="J953" s="506"/>
      <c r="K953" s="507"/>
      <c r="L953" s="508"/>
      <c r="M953" s="508"/>
      <c r="N953" s="508"/>
      <c r="O953" s="509"/>
      <c r="P953" s="509"/>
    </row>
    <row r="954" spans="1:16" ht="21.75" customHeight="1" x14ac:dyDescent="0.3">
      <c r="A954" s="504"/>
      <c r="B954" s="504"/>
      <c r="C954" s="504"/>
      <c r="D954" s="504"/>
      <c r="E954" s="506"/>
      <c r="F954" s="506"/>
      <c r="G954" s="506"/>
      <c r="H954" s="506"/>
      <c r="I954" s="506"/>
      <c r="J954" s="506"/>
      <c r="K954" s="507"/>
      <c r="L954" s="508"/>
      <c r="M954" s="508"/>
      <c r="N954" s="508"/>
      <c r="O954" s="509"/>
      <c r="P954" s="509"/>
    </row>
    <row r="955" spans="1:16" ht="21.75" customHeight="1" x14ac:dyDescent="0.3">
      <c r="A955" s="504"/>
      <c r="B955" s="504"/>
      <c r="C955" s="504"/>
      <c r="D955" s="504"/>
      <c r="E955" s="506"/>
      <c r="F955" s="506"/>
      <c r="G955" s="506"/>
      <c r="H955" s="506"/>
      <c r="I955" s="506"/>
      <c r="J955" s="506"/>
      <c r="K955" s="507"/>
      <c r="L955" s="508"/>
      <c r="M955" s="508"/>
      <c r="N955" s="508"/>
      <c r="O955" s="509"/>
      <c r="P955" s="509"/>
    </row>
    <row r="956" spans="1:16" ht="21.75" customHeight="1" x14ac:dyDescent="0.3">
      <c r="A956" s="504"/>
      <c r="B956" s="504"/>
      <c r="C956" s="504"/>
      <c r="D956" s="504"/>
      <c r="E956" s="506"/>
      <c r="F956" s="506"/>
      <c r="G956" s="506"/>
      <c r="H956" s="506"/>
      <c r="I956" s="506"/>
      <c r="J956" s="506"/>
      <c r="K956" s="507"/>
      <c r="L956" s="508"/>
      <c r="M956" s="508"/>
      <c r="N956" s="508"/>
      <c r="O956" s="509"/>
      <c r="P956" s="509"/>
    </row>
    <row r="957" spans="1:16" ht="21.75" customHeight="1" x14ac:dyDescent="0.3">
      <c r="A957" s="504"/>
      <c r="B957" s="504"/>
      <c r="C957" s="504"/>
      <c r="D957" s="504"/>
      <c r="E957" s="506"/>
      <c r="F957" s="506"/>
      <c r="G957" s="506"/>
      <c r="H957" s="506"/>
      <c r="I957" s="506"/>
      <c r="J957" s="506"/>
      <c r="K957" s="507"/>
      <c r="L957" s="508"/>
      <c r="M957" s="508"/>
      <c r="N957" s="508"/>
      <c r="O957" s="509"/>
      <c r="P957" s="509"/>
    </row>
    <row r="958" spans="1:16" ht="21.75" customHeight="1" x14ac:dyDescent="0.3">
      <c r="A958" s="504"/>
      <c r="B958" s="504"/>
      <c r="C958" s="504"/>
      <c r="D958" s="504"/>
      <c r="E958" s="506"/>
      <c r="F958" s="506"/>
      <c r="G958" s="506"/>
      <c r="H958" s="506"/>
      <c r="I958" s="506"/>
      <c r="J958" s="506"/>
      <c r="K958" s="507"/>
      <c r="L958" s="508"/>
      <c r="M958" s="508"/>
      <c r="N958" s="508"/>
      <c r="O958" s="509"/>
      <c r="P958" s="509"/>
    </row>
    <row r="959" spans="1:16" ht="21.75" customHeight="1" x14ac:dyDescent="0.3">
      <c r="A959" s="504"/>
      <c r="B959" s="504"/>
      <c r="C959" s="504"/>
      <c r="D959" s="504"/>
      <c r="E959" s="506"/>
      <c r="F959" s="506"/>
      <c r="G959" s="506"/>
      <c r="H959" s="506"/>
      <c r="I959" s="506"/>
      <c r="J959" s="506"/>
      <c r="K959" s="507"/>
      <c r="L959" s="508"/>
      <c r="M959" s="508"/>
      <c r="N959" s="508"/>
      <c r="O959" s="509"/>
      <c r="P959" s="509"/>
    </row>
    <row r="960" spans="1:16" ht="21.75" customHeight="1" x14ac:dyDescent="0.3">
      <c r="A960" s="504"/>
      <c r="B960" s="504"/>
      <c r="C960" s="504"/>
      <c r="D960" s="504"/>
      <c r="E960" s="506"/>
      <c r="F960" s="506"/>
      <c r="G960" s="506"/>
      <c r="H960" s="506"/>
      <c r="I960" s="506"/>
      <c r="J960" s="506"/>
      <c r="K960" s="507"/>
      <c r="L960" s="508"/>
      <c r="M960" s="508"/>
      <c r="N960" s="508"/>
      <c r="O960" s="509"/>
      <c r="P960" s="509"/>
    </row>
    <row r="961" spans="1:16" ht="21.75" customHeight="1" x14ac:dyDescent="0.3">
      <c r="A961" s="504"/>
      <c r="B961" s="504"/>
      <c r="C961" s="504"/>
      <c r="D961" s="504"/>
      <c r="E961" s="506"/>
      <c r="F961" s="506"/>
      <c r="G961" s="506"/>
      <c r="H961" s="506"/>
      <c r="I961" s="506"/>
      <c r="J961" s="506"/>
      <c r="K961" s="507"/>
      <c r="L961" s="508"/>
      <c r="M961" s="508"/>
      <c r="N961" s="508"/>
      <c r="O961" s="509"/>
      <c r="P961" s="509"/>
    </row>
    <row r="962" spans="1:16" ht="21.75" customHeight="1" x14ac:dyDescent="0.3">
      <c r="A962" s="504"/>
      <c r="B962" s="504"/>
      <c r="C962" s="504"/>
      <c r="D962" s="504"/>
      <c r="E962" s="506"/>
      <c r="F962" s="506"/>
      <c r="G962" s="506"/>
      <c r="H962" s="506"/>
      <c r="I962" s="506"/>
      <c r="J962" s="506"/>
      <c r="K962" s="507"/>
      <c r="L962" s="508"/>
      <c r="M962" s="508"/>
      <c r="N962" s="508"/>
      <c r="O962" s="509"/>
      <c r="P962" s="509"/>
    </row>
    <row r="963" spans="1:16" ht="21.75" customHeight="1" x14ac:dyDescent="0.3">
      <c r="A963" s="504"/>
      <c r="B963" s="504"/>
      <c r="C963" s="504"/>
      <c r="D963" s="504"/>
      <c r="E963" s="506"/>
      <c r="F963" s="506"/>
      <c r="G963" s="506"/>
      <c r="H963" s="506"/>
      <c r="I963" s="506"/>
      <c r="J963" s="506"/>
      <c r="K963" s="507"/>
      <c r="L963" s="508"/>
      <c r="M963" s="508"/>
      <c r="N963" s="508"/>
      <c r="O963" s="509"/>
      <c r="P963" s="509"/>
    </row>
    <row r="964" spans="1:16" ht="21.75" customHeight="1" x14ac:dyDescent="0.3">
      <c r="A964" s="504"/>
      <c r="B964" s="504"/>
      <c r="C964" s="504"/>
      <c r="D964" s="504"/>
      <c r="E964" s="506"/>
      <c r="F964" s="506"/>
      <c r="G964" s="506"/>
      <c r="H964" s="506"/>
      <c r="I964" s="506"/>
      <c r="J964" s="506"/>
      <c r="K964" s="507"/>
      <c r="L964" s="508"/>
      <c r="M964" s="508"/>
      <c r="N964" s="508"/>
      <c r="O964" s="509"/>
      <c r="P964" s="509"/>
    </row>
    <row r="965" spans="1:16" ht="21.75" customHeight="1" x14ac:dyDescent="0.3">
      <c r="A965" s="504"/>
      <c r="B965" s="504"/>
      <c r="C965" s="504"/>
      <c r="D965" s="504"/>
      <c r="E965" s="506"/>
      <c r="F965" s="506"/>
      <c r="G965" s="506"/>
      <c r="H965" s="506"/>
      <c r="I965" s="506"/>
      <c r="J965" s="506"/>
      <c r="K965" s="507"/>
      <c r="L965" s="508"/>
      <c r="M965" s="508"/>
      <c r="N965" s="508"/>
      <c r="O965" s="509"/>
      <c r="P965" s="509"/>
    </row>
    <row r="966" spans="1:16" ht="21.75" customHeight="1" x14ac:dyDescent="0.3">
      <c r="A966" s="504"/>
      <c r="B966" s="504"/>
      <c r="C966" s="504"/>
      <c r="D966" s="504"/>
      <c r="E966" s="506"/>
      <c r="F966" s="506"/>
      <c r="G966" s="506"/>
      <c r="H966" s="506"/>
      <c r="I966" s="506"/>
      <c r="J966" s="506"/>
      <c r="K966" s="507"/>
      <c r="L966" s="508"/>
      <c r="M966" s="508"/>
      <c r="N966" s="508"/>
      <c r="O966" s="509"/>
      <c r="P966" s="509"/>
    </row>
    <row r="967" spans="1:16" ht="21.75" customHeight="1" x14ac:dyDescent="0.3">
      <c r="A967" s="504"/>
      <c r="B967" s="504"/>
      <c r="C967" s="504"/>
      <c r="D967" s="504"/>
      <c r="E967" s="506"/>
      <c r="F967" s="506"/>
      <c r="G967" s="506"/>
      <c r="H967" s="506"/>
      <c r="I967" s="506"/>
      <c r="J967" s="506"/>
      <c r="K967" s="507"/>
      <c r="L967" s="508"/>
      <c r="M967" s="508"/>
      <c r="N967" s="508"/>
      <c r="O967" s="509"/>
      <c r="P967" s="509"/>
    </row>
    <row r="968" spans="1:16" ht="21.75" customHeight="1" x14ac:dyDescent="0.3">
      <c r="A968" s="504"/>
      <c r="B968" s="504"/>
      <c r="C968" s="504"/>
      <c r="D968" s="504"/>
      <c r="E968" s="506"/>
      <c r="F968" s="506"/>
      <c r="G968" s="506"/>
      <c r="H968" s="506"/>
      <c r="I968" s="506"/>
      <c r="J968" s="506"/>
      <c r="K968" s="507"/>
      <c r="L968" s="508"/>
      <c r="M968" s="508"/>
      <c r="N968" s="508"/>
      <c r="O968" s="509"/>
      <c r="P968" s="509"/>
    </row>
    <row r="969" spans="1:16" ht="21.75" customHeight="1" x14ac:dyDescent="0.3">
      <c r="A969" s="504"/>
      <c r="B969" s="504"/>
      <c r="C969" s="504"/>
      <c r="D969" s="504"/>
      <c r="E969" s="506"/>
      <c r="F969" s="506"/>
      <c r="G969" s="506"/>
      <c r="H969" s="506"/>
      <c r="I969" s="506"/>
      <c r="J969" s="506"/>
      <c r="K969" s="507"/>
      <c r="L969" s="508"/>
      <c r="M969" s="508"/>
      <c r="N969" s="508"/>
      <c r="O969" s="509"/>
      <c r="P969" s="509"/>
    </row>
    <row r="970" spans="1:16" ht="21.75" customHeight="1" x14ac:dyDescent="0.3">
      <c r="A970" s="504"/>
      <c r="B970" s="504"/>
      <c r="C970" s="504"/>
      <c r="D970" s="504"/>
      <c r="E970" s="506"/>
      <c r="F970" s="506"/>
      <c r="G970" s="506"/>
      <c r="H970" s="506"/>
      <c r="I970" s="506"/>
      <c r="J970" s="506"/>
      <c r="K970" s="507"/>
      <c r="L970" s="508"/>
      <c r="M970" s="508"/>
      <c r="N970" s="508"/>
      <c r="O970" s="509"/>
      <c r="P970" s="509"/>
    </row>
    <row r="971" spans="1:16" ht="21.75" customHeight="1" x14ac:dyDescent="0.3">
      <c r="A971" s="504"/>
      <c r="B971" s="504"/>
      <c r="C971" s="504"/>
      <c r="D971" s="504"/>
      <c r="E971" s="506"/>
      <c r="F971" s="506"/>
      <c r="G971" s="506"/>
      <c r="H971" s="506"/>
      <c r="I971" s="506"/>
      <c r="J971" s="506"/>
      <c r="K971" s="507"/>
      <c r="L971" s="508"/>
      <c r="M971" s="508"/>
      <c r="N971" s="508"/>
      <c r="O971" s="509"/>
      <c r="P971" s="509"/>
    </row>
    <row r="972" spans="1:16" ht="21.75" customHeight="1" x14ac:dyDescent="0.3">
      <c r="A972" s="504"/>
      <c r="B972" s="504"/>
      <c r="C972" s="504"/>
      <c r="D972" s="504"/>
      <c r="E972" s="506"/>
      <c r="F972" s="506"/>
      <c r="G972" s="506"/>
      <c r="H972" s="506"/>
      <c r="I972" s="506"/>
      <c r="J972" s="506"/>
      <c r="K972" s="507"/>
      <c r="L972" s="508"/>
      <c r="M972" s="508"/>
      <c r="N972" s="508"/>
      <c r="O972" s="509"/>
      <c r="P972" s="509"/>
    </row>
    <row r="973" spans="1:16" ht="21.75" customHeight="1" x14ac:dyDescent="0.3">
      <c r="A973" s="504"/>
      <c r="B973" s="504"/>
      <c r="C973" s="504"/>
      <c r="D973" s="504"/>
      <c r="E973" s="506"/>
      <c r="F973" s="506"/>
      <c r="G973" s="506"/>
      <c r="H973" s="506"/>
      <c r="I973" s="506"/>
      <c r="J973" s="506"/>
      <c r="K973" s="507"/>
      <c r="L973" s="508"/>
      <c r="M973" s="508"/>
      <c r="N973" s="508"/>
      <c r="O973" s="509"/>
      <c r="P973" s="509"/>
    </row>
    <row r="974" spans="1:16" ht="21.75" customHeight="1" x14ac:dyDescent="0.3">
      <c r="A974" s="504"/>
      <c r="B974" s="504"/>
      <c r="C974" s="504"/>
      <c r="D974" s="504"/>
      <c r="E974" s="506"/>
      <c r="F974" s="506"/>
      <c r="G974" s="506"/>
      <c r="H974" s="506"/>
      <c r="I974" s="506"/>
      <c r="J974" s="506"/>
      <c r="K974" s="507"/>
      <c r="L974" s="508"/>
      <c r="M974" s="508"/>
      <c r="N974" s="508"/>
      <c r="O974" s="509"/>
      <c r="P974" s="509"/>
    </row>
    <row r="975" spans="1:16" ht="21.75" customHeight="1" x14ac:dyDescent="0.3">
      <c r="A975" s="504"/>
      <c r="B975" s="504"/>
      <c r="C975" s="504"/>
      <c r="D975" s="504"/>
      <c r="E975" s="506"/>
      <c r="F975" s="506"/>
      <c r="G975" s="506"/>
      <c r="H975" s="506"/>
      <c r="I975" s="506"/>
      <c r="J975" s="506"/>
      <c r="K975" s="507"/>
      <c r="L975" s="508"/>
      <c r="M975" s="508"/>
      <c r="N975" s="508"/>
      <c r="O975" s="509"/>
      <c r="P975" s="509"/>
    </row>
    <row r="976" spans="1:16" ht="21.75" customHeight="1" x14ac:dyDescent="0.3">
      <c r="A976" s="504"/>
      <c r="B976" s="504"/>
      <c r="C976" s="504"/>
      <c r="D976" s="504"/>
      <c r="E976" s="506"/>
      <c r="F976" s="506"/>
      <c r="G976" s="506"/>
      <c r="H976" s="506"/>
      <c r="I976" s="506"/>
      <c r="J976" s="506"/>
      <c r="K976" s="507"/>
      <c r="L976" s="508"/>
      <c r="M976" s="508"/>
      <c r="N976" s="508"/>
      <c r="O976" s="509"/>
      <c r="P976" s="509"/>
    </row>
    <row r="977" spans="1:16" ht="21.75" customHeight="1" x14ac:dyDescent="0.3">
      <c r="A977" s="504"/>
      <c r="B977" s="504"/>
      <c r="C977" s="504"/>
      <c r="D977" s="504"/>
      <c r="E977" s="506"/>
      <c r="F977" s="506"/>
      <c r="G977" s="506"/>
      <c r="H977" s="506"/>
      <c r="I977" s="506"/>
      <c r="J977" s="506"/>
      <c r="K977" s="507"/>
      <c r="L977" s="508"/>
      <c r="M977" s="508"/>
      <c r="N977" s="508"/>
      <c r="O977" s="509"/>
      <c r="P977" s="509"/>
    </row>
    <row r="978" spans="1:16" ht="21.75" customHeight="1" x14ac:dyDescent="0.3">
      <c r="A978" s="504"/>
      <c r="B978" s="504"/>
      <c r="C978" s="504"/>
      <c r="D978" s="504"/>
      <c r="E978" s="506"/>
      <c r="F978" s="506"/>
      <c r="G978" s="506"/>
      <c r="H978" s="506"/>
      <c r="I978" s="506"/>
      <c r="J978" s="506"/>
      <c r="K978" s="507"/>
      <c r="L978" s="508"/>
      <c r="M978" s="508"/>
      <c r="N978" s="508"/>
      <c r="O978" s="509"/>
      <c r="P978" s="509"/>
    </row>
    <row r="979" spans="1:16" ht="21.75" customHeight="1" x14ac:dyDescent="0.3">
      <c r="A979" s="504"/>
      <c r="B979" s="504"/>
      <c r="C979" s="504"/>
      <c r="D979" s="504"/>
      <c r="E979" s="506"/>
      <c r="F979" s="506"/>
      <c r="G979" s="506"/>
      <c r="H979" s="506"/>
      <c r="I979" s="506"/>
      <c r="J979" s="506"/>
      <c r="K979" s="507"/>
      <c r="L979" s="508"/>
      <c r="M979" s="508"/>
      <c r="N979" s="508"/>
      <c r="O979" s="509"/>
      <c r="P979" s="509"/>
    </row>
    <row r="980" spans="1:16" ht="21.75" customHeight="1" x14ac:dyDescent="0.3">
      <c r="A980" s="504"/>
      <c r="B980" s="504"/>
      <c r="C980" s="504"/>
      <c r="D980" s="504"/>
      <c r="E980" s="506"/>
      <c r="F980" s="506"/>
      <c r="G980" s="506"/>
      <c r="H980" s="506"/>
      <c r="I980" s="506"/>
      <c r="J980" s="506"/>
      <c r="K980" s="507"/>
      <c r="L980" s="508"/>
      <c r="M980" s="508"/>
      <c r="N980" s="508"/>
      <c r="O980" s="509"/>
      <c r="P980" s="509"/>
    </row>
    <row r="981" spans="1:16" ht="21.75" customHeight="1" x14ac:dyDescent="0.3">
      <c r="A981" s="504"/>
      <c r="B981" s="504"/>
      <c r="C981" s="504"/>
      <c r="D981" s="504"/>
      <c r="E981" s="506"/>
      <c r="F981" s="506"/>
      <c r="G981" s="506"/>
      <c r="H981" s="506"/>
      <c r="I981" s="506"/>
      <c r="J981" s="506"/>
      <c r="K981" s="507"/>
      <c r="L981" s="508"/>
      <c r="M981" s="508"/>
      <c r="N981" s="508"/>
      <c r="O981" s="509"/>
      <c r="P981" s="509"/>
    </row>
    <row r="982" spans="1:16" ht="21.75" customHeight="1" x14ac:dyDescent="0.3">
      <c r="A982" s="504"/>
      <c r="B982" s="504"/>
      <c r="C982" s="504"/>
      <c r="D982" s="504"/>
      <c r="E982" s="506"/>
      <c r="F982" s="506"/>
      <c r="G982" s="506"/>
      <c r="H982" s="506"/>
      <c r="I982" s="506"/>
      <c r="J982" s="506"/>
      <c r="K982" s="507"/>
      <c r="L982" s="508"/>
      <c r="M982" s="508"/>
      <c r="N982" s="508"/>
      <c r="O982" s="509"/>
      <c r="P982" s="509"/>
    </row>
    <row r="983" spans="1:16" ht="21.75" customHeight="1" x14ac:dyDescent="0.3">
      <c r="A983" s="504"/>
      <c r="B983" s="504"/>
      <c r="C983" s="504"/>
      <c r="D983" s="504"/>
      <c r="E983" s="506"/>
      <c r="F983" s="506"/>
      <c r="G983" s="506"/>
      <c r="H983" s="506"/>
      <c r="I983" s="506"/>
      <c r="J983" s="506"/>
      <c r="K983" s="507"/>
      <c r="L983" s="508"/>
      <c r="M983" s="508"/>
      <c r="N983" s="508"/>
      <c r="O983" s="509"/>
      <c r="P983" s="509"/>
    </row>
    <row r="984" spans="1:16" ht="21.75" customHeight="1" x14ac:dyDescent="0.3">
      <c r="A984" s="504"/>
      <c r="B984" s="504"/>
      <c r="C984" s="504"/>
      <c r="D984" s="504"/>
      <c r="E984" s="506"/>
      <c r="F984" s="506"/>
      <c r="G984" s="506"/>
      <c r="H984" s="506"/>
      <c r="I984" s="506"/>
      <c r="J984" s="506"/>
      <c r="K984" s="507"/>
      <c r="L984" s="508"/>
      <c r="M984" s="508"/>
      <c r="N984" s="508"/>
      <c r="O984" s="509"/>
      <c r="P984" s="509"/>
    </row>
    <row r="985" spans="1:16" ht="21.75" customHeight="1" x14ac:dyDescent="0.3">
      <c r="A985" s="504"/>
      <c r="B985" s="504"/>
      <c r="C985" s="504"/>
      <c r="D985" s="504"/>
      <c r="E985" s="506"/>
      <c r="F985" s="506"/>
      <c r="G985" s="506"/>
      <c r="H985" s="506"/>
      <c r="I985" s="506"/>
      <c r="J985" s="506"/>
      <c r="K985" s="507"/>
      <c r="L985" s="508"/>
      <c r="M985" s="508"/>
      <c r="N985" s="508"/>
      <c r="O985" s="509"/>
      <c r="P985" s="509"/>
    </row>
    <row r="986" spans="1:16" ht="21.75" customHeight="1" x14ac:dyDescent="0.3">
      <c r="A986" s="504"/>
      <c r="B986" s="504"/>
      <c r="C986" s="504"/>
      <c r="D986" s="504"/>
      <c r="E986" s="506"/>
      <c r="F986" s="506"/>
      <c r="G986" s="506"/>
      <c r="H986" s="506"/>
      <c r="I986" s="506"/>
      <c r="J986" s="506"/>
      <c r="K986" s="507"/>
      <c r="L986" s="508"/>
      <c r="M986" s="508"/>
      <c r="N986" s="508"/>
      <c r="O986" s="509"/>
      <c r="P986" s="509"/>
    </row>
    <row r="987" spans="1:16" ht="21.75" customHeight="1" x14ac:dyDescent="0.3">
      <c r="A987" s="504"/>
      <c r="B987" s="504"/>
      <c r="C987" s="504"/>
      <c r="D987" s="504"/>
      <c r="E987" s="506"/>
      <c r="F987" s="506"/>
      <c r="G987" s="506"/>
      <c r="H987" s="506"/>
      <c r="I987" s="506"/>
      <c r="J987" s="506"/>
      <c r="K987" s="507"/>
      <c r="L987" s="508"/>
      <c r="M987" s="508"/>
      <c r="N987" s="508"/>
      <c r="O987" s="509"/>
      <c r="P987" s="509"/>
    </row>
    <row r="988" spans="1:16" ht="21.75" customHeight="1" x14ac:dyDescent="0.3">
      <c r="A988" s="504"/>
      <c r="B988" s="504"/>
      <c r="C988" s="504"/>
      <c r="D988" s="504"/>
      <c r="E988" s="506"/>
      <c r="F988" s="506"/>
      <c r="G988" s="506"/>
      <c r="H988" s="506"/>
      <c r="I988" s="506"/>
      <c r="J988" s="506"/>
      <c r="K988" s="507"/>
      <c r="L988" s="508"/>
      <c r="M988" s="508"/>
      <c r="N988" s="508"/>
      <c r="O988" s="509"/>
      <c r="P988" s="509"/>
    </row>
    <row r="989" spans="1:16" ht="21.75" customHeight="1" x14ac:dyDescent="0.3">
      <c r="A989" s="504"/>
      <c r="B989" s="504"/>
      <c r="C989" s="504"/>
      <c r="D989" s="504"/>
      <c r="E989" s="506"/>
      <c r="F989" s="506"/>
      <c r="G989" s="506"/>
      <c r="H989" s="506"/>
      <c r="I989" s="506"/>
      <c r="J989" s="506"/>
      <c r="K989" s="507"/>
      <c r="L989" s="508"/>
      <c r="M989" s="508"/>
      <c r="N989" s="508"/>
      <c r="O989" s="509"/>
      <c r="P989" s="509"/>
    </row>
    <row r="990" spans="1:16" ht="21.75" customHeight="1" x14ac:dyDescent="0.3">
      <c r="A990" s="504"/>
      <c r="B990" s="504"/>
      <c r="C990" s="504"/>
      <c r="D990" s="504"/>
      <c r="E990" s="506"/>
      <c r="F990" s="506"/>
      <c r="G990" s="506"/>
      <c r="H990" s="506"/>
      <c r="I990" s="506"/>
      <c r="J990" s="506"/>
      <c r="K990" s="507"/>
      <c r="L990" s="508"/>
      <c r="M990" s="508"/>
      <c r="N990" s="508"/>
      <c r="O990" s="509"/>
      <c r="P990" s="509"/>
    </row>
    <row r="991" spans="1:16" ht="21.75" customHeight="1" x14ac:dyDescent="0.3">
      <c r="A991" s="504"/>
      <c r="B991" s="504"/>
      <c r="C991" s="504"/>
      <c r="D991" s="504"/>
      <c r="E991" s="506"/>
      <c r="F991" s="506"/>
      <c r="G991" s="506"/>
      <c r="H991" s="506"/>
      <c r="I991" s="506"/>
      <c r="J991" s="506"/>
      <c r="K991" s="507"/>
      <c r="L991" s="508"/>
      <c r="M991" s="508"/>
      <c r="N991" s="508"/>
      <c r="O991" s="509"/>
      <c r="P991" s="509"/>
    </row>
    <row r="992" spans="1:16" ht="21.75" customHeight="1" x14ac:dyDescent="0.3">
      <c r="A992" s="504"/>
      <c r="B992" s="504"/>
      <c r="C992" s="504"/>
      <c r="D992" s="504"/>
      <c r="E992" s="506"/>
      <c r="F992" s="506"/>
      <c r="G992" s="506"/>
      <c r="H992" s="506"/>
      <c r="I992" s="506"/>
      <c r="J992" s="506"/>
      <c r="K992" s="507"/>
      <c r="L992" s="508"/>
      <c r="M992" s="508"/>
      <c r="N992" s="508"/>
      <c r="O992" s="509"/>
      <c r="P992" s="509"/>
    </row>
    <row r="993" spans="1:16" ht="21.75" customHeight="1" x14ac:dyDescent="0.3">
      <c r="A993" s="504"/>
      <c r="B993" s="504"/>
      <c r="C993" s="504"/>
      <c r="D993" s="504"/>
      <c r="E993" s="506"/>
      <c r="F993" s="506"/>
      <c r="G993" s="506"/>
      <c r="H993" s="506"/>
      <c r="I993" s="506"/>
      <c r="J993" s="506"/>
      <c r="K993" s="507"/>
      <c r="L993" s="508"/>
      <c r="M993" s="508"/>
      <c r="N993" s="508"/>
      <c r="O993" s="509"/>
      <c r="P993" s="509"/>
    </row>
    <row r="994" spans="1:16" ht="21.75" customHeight="1" x14ac:dyDescent="0.3">
      <c r="A994" s="504"/>
      <c r="B994" s="504"/>
      <c r="C994" s="504"/>
      <c r="D994" s="504"/>
      <c r="E994" s="506"/>
      <c r="F994" s="506"/>
      <c r="G994" s="506"/>
      <c r="H994" s="506"/>
      <c r="I994" s="506"/>
      <c r="J994" s="506"/>
      <c r="K994" s="507"/>
      <c r="L994" s="508"/>
      <c r="M994" s="508"/>
      <c r="N994" s="508"/>
      <c r="O994" s="509"/>
      <c r="P994" s="509"/>
    </row>
    <row r="995" spans="1:16" ht="21.75" customHeight="1" x14ac:dyDescent="0.3">
      <c r="A995" s="504"/>
      <c r="B995" s="504"/>
      <c r="C995" s="504"/>
      <c r="D995" s="504"/>
      <c r="E995" s="506"/>
      <c r="F995" s="506"/>
      <c r="G995" s="506"/>
      <c r="H995" s="506"/>
      <c r="I995" s="506"/>
      <c r="J995" s="506"/>
      <c r="K995" s="507"/>
      <c r="L995" s="508"/>
      <c r="M995" s="508"/>
      <c r="N995" s="508"/>
      <c r="O995" s="509"/>
      <c r="P995" s="509"/>
    </row>
    <row r="996" spans="1:16" ht="21.75" customHeight="1" x14ac:dyDescent="0.3">
      <c r="A996" s="504"/>
      <c r="B996" s="504"/>
      <c r="C996" s="504"/>
      <c r="D996" s="504"/>
      <c r="E996" s="506"/>
      <c r="F996" s="506"/>
      <c r="G996" s="506"/>
      <c r="H996" s="506"/>
      <c r="I996" s="506"/>
      <c r="J996" s="506"/>
      <c r="K996" s="507"/>
      <c r="L996" s="508"/>
      <c r="M996" s="508"/>
      <c r="N996" s="508"/>
      <c r="O996" s="509"/>
      <c r="P996" s="509"/>
    </row>
    <row r="997" spans="1:16" ht="21.75" customHeight="1" x14ac:dyDescent="0.3">
      <c r="A997" s="504"/>
      <c r="B997" s="504"/>
      <c r="C997" s="504"/>
      <c r="D997" s="504"/>
      <c r="E997" s="506"/>
      <c r="F997" s="506"/>
      <c r="G997" s="506"/>
      <c r="H997" s="506"/>
      <c r="I997" s="506"/>
      <c r="J997" s="506"/>
      <c r="K997" s="507"/>
      <c r="L997" s="508"/>
      <c r="M997" s="508"/>
      <c r="N997" s="508"/>
      <c r="O997" s="509"/>
      <c r="P997" s="509"/>
    </row>
    <row r="998" spans="1:16" ht="21.75" customHeight="1" x14ac:dyDescent="0.3">
      <c r="A998" s="504"/>
      <c r="B998" s="504"/>
      <c r="C998" s="504"/>
      <c r="D998" s="504"/>
      <c r="E998" s="506"/>
      <c r="F998" s="506"/>
      <c r="G998" s="506"/>
      <c r="H998" s="506"/>
      <c r="I998" s="506"/>
      <c r="J998" s="506"/>
      <c r="K998" s="507"/>
      <c r="L998" s="508"/>
      <c r="M998" s="508"/>
      <c r="N998" s="508"/>
      <c r="O998" s="509"/>
      <c r="P998" s="509"/>
    </row>
    <row r="999" spans="1:16" ht="21.75" customHeight="1" x14ac:dyDescent="0.3">
      <c r="A999" s="504"/>
      <c r="B999" s="504"/>
      <c r="C999" s="504"/>
      <c r="D999" s="504"/>
      <c r="E999" s="506"/>
      <c r="F999" s="506"/>
      <c r="G999" s="506"/>
      <c r="H999" s="506"/>
      <c r="I999" s="506"/>
      <c r="J999" s="506"/>
      <c r="K999" s="507"/>
      <c r="L999" s="508"/>
      <c r="M999" s="508"/>
      <c r="N999" s="508"/>
      <c r="O999" s="509"/>
      <c r="P999" s="509"/>
    </row>
    <row r="1000" spans="1:16" ht="21.75" customHeight="1" x14ac:dyDescent="0.3">
      <c r="A1000" s="504"/>
      <c r="B1000" s="504"/>
      <c r="C1000" s="504"/>
      <c r="D1000" s="504"/>
      <c r="E1000" s="506"/>
      <c r="F1000" s="506"/>
      <c r="G1000" s="506"/>
      <c r="H1000" s="506"/>
      <c r="I1000" s="506"/>
      <c r="J1000" s="506"/>
      <c r="K1000" s="507"/>
      <c r="L1000" s="508"/>
      <c r="M1000" s="508"/>
      <c r="N1000" s="508"/>
      <c r="O1000" s="509"/>
      <c r="P1000" s="509"/>
    </row>
    <row r="1001" spans="1:16" ht="21.75" customHeight="1" x14ac:dyDescent="0.3">
      <c r="A1001" s="504"/>
      <c r="B1001" s="504"/>
      <c r="C1001" s="504"/>
      <c r="D1001" s="504"/>
      <c r="E1001" s="506"/>
      <c r="F1001" s="506"/>
      <c r="G1001" s="506"/>
      <c r="H1001" s="506"/>
      <c r="I1001" s="506"/>
      <c r="J1001" s="506"/>
      <c r="K1001" s="507"/>
      <c r="L1001" s="508"/>
      <c r="M1001" s="508"/>
      <c r="N1001" s="508"/>
      <c r="O1001" s="509"/>
      <c r="P1001" s="509"/>
    </row>
    <row r="1002" spans="1:16" ht="21.75" customHeight="1" x14ac:dyDescent="0.3">
      <c r="A1002" s="504"/>
      <c r="B1002" s="504"/>
      <c r="C1002" s="504"/>
      <c r="D1002" s="504"/>
      <c r="E1002" s="506"/>
      <c r="F1002" s="506"/>
      <c r="G1002" s="506"/>
      <c r="H1002" s="506"/>
      <c r="I1002" s="506"/>
      <c r="J1002" s="506"/>
      <c r="K1002" s="507"/>
      <c r="L1002" s="508"/>
      <c r="M1002" s="508"/>
      <c r="N1002" s="508"/>
      <c r="O1002" s="509"/>
      <c r="P1002" s="509"/>
    </row>
    <row r="1003" spans="1:16" ht="21.75" customHeight="1" x14ac:dyDescent="0.3">
      <c r="A1003" s="504"/>
      <c r="B1003" s="504"/>
      <c r="C1003" s="504"/>
      <c r="D1003" s="504"/>
      <c r="E1003" s="506"/>
      <c r="F1003" s="506"/>
      <c r="G1003" s="506"/>
      <c r="H1003" s="506"/>
      <c r="I1003" s="506"/>
      <c r="J1003" s="506"/>
      <c r="K1003" s="507"/>
      <c r="L1003" s="508"/>
      <c r="M1003" s="508"/>
      <c r="N1003" s="508"/>
      <c r="O1003" s="509"/>
      <c r="P1003" s="509"/>
    </row>
    <row r="1004" spans="1:16" ht="21.75" customHeight="1" x14ac:dyDescent="0.3">
      <c r="A1004" s="504"/>
      <c r="B1004" s="504"/>
      <c r="C1004" s="504"/>
      <c r="D1004" s="504"/>
      <c r="E1004" s="506"/>
      <c r="F1004" s="506"/>
      <c r="G1004" s="506"/>
      <c r="H1004" s="506"/>
      <c r="I1004" s="506"/>
      <c r="J1004" s="506"/>
      <c r="K1004" s="507"/>
      <c r="L1004" s="508"/>
      <c r="M1004" s="508"/>
      <c r="N1004" s="508"/>
      <c r="O1004" s="509"/>
      <c r="P1004" s="509"/>
    </row>
    <row r="1005" spans="1:16" ht="21.75" customHeight="1" x14ac:dyDescent="0.3">
      <c r="A1005" s="504"/>
      <c r="B1005" s="504"/>
      <c r="C1005" s="504"/>
      <c r="D1005" s="504"/>
      <c r="E1005" s="506"/>
      <c r="F1005" s="506"/>
      <c r="G1005" s="506"/>
      <c r="H1005" s="506"/>
      <c r="I1005" s="506"/>
      <c r="J1005" s="506"/>
      <c r="K1005" s="507"/>
      <c r="L1005" s="508"/>
      <c r="M1005" s="508"/>
      <c r="N1005" s="508"/>
      <c r="O1005" s="509"/>
      <c r="P1005" s="509"/>
    </row>
    <row r="1006" spans="1:16" ht="21.75" customHeight="1" x14ac:dyDescent="0.3">
      <c r="A1006" s="504"/>
      <c r="B1006" s="504"/>
      <c r="C1006" s="504"/>
      <c r="D1006" s="504"/>
      <c r="E1006" s="506"/>
      <c r="F1006" s="506"/>
      <c r="G1006" s="506"/>
      <c r="H1006" s="506"/>
      <c r="I1006" s="506"/>
      <c r="J1006" s="506"/>
      <c r="K1006" s="507"/>
      <c r="L1006" s="508"/>
      <c r="M1006" s="508"/>
      <c r="N1006" s="508"/>
      <c r="O1006" s="509"/>
      <c r="P1006" s="509"/>
    </row>
    <row r="1007" spans="1:16" ht="21.75" customHeight="1" x14ac:dyDescent="0.3">
      <c r="A1007" s="504"/>
      <c r="B1007" s="504"/>
      <c r="C1007" s="504"/>
      <c r="D1007" s="504"/>
      <c r="E1007" s="506"/>
      <c r="F1007" s="506"/>
      <c r="G1007" s="506"/>
      <c r="H1007" s="506"/>
      <c r="I1007" s="506"/>
      <c r="J1007" s="506"/>
      <c r="K1007" s="507"/>
      <c r="L1007" s="508"/>
      <c r="M1007" s="508"/>
      <c r="N1007" s="508"/>
      <c r="O1007" s="509"/>
      <c r="P1007" s="509"/>
    </row>
    <row r="1008" spans="1:16" ht="21.75" customHeight="1" x14ac:dyDescent="0.3">
      <c r="A1008" s="504"/>
      <c r="B1008" s="504"/>
      <c r="C1008" s="504"/>
      <c r="D1008" s="504"/>
      <c r="E1008" s="506"/>
      <c r="F1008" s="506"/>
      <c r="G1008" s="506"/>
      <c r="H1008" s="506"/>
      <c r="I1008" s="506"/>
      <c r="J1008" s="506"/>
      <c r="K1008" s="507"/>
      <c r="L1008" s="508"/>
      <c r="M1008" s="508"/>
      <c r="N1008" s="508"/>
      <c r="O1008" s="509"/>
      <c r="P1008" s="509"/>
    </row>
    <row r="1009" spans="1:16" ht="21.75" customHeight="1" x14ac:dyDescent="0.3">
      <c r="A1009" s="504"/>
      <c r="B1009" s="504"/>
      <c r="C1009" s="504"/>
      <c r="D1009" s="504"/>
      <c r="E1009" s="506"/>
      <c r="F1009" s="506"/>
      <c r="G1009" s="506"/>
      <c r="H1009" s="506"/>
      <c r="I1009" s="506"/>
      <c r="J1009" s="506"/>
      <c r="K1009" s="507"/>
      <c r="L1009" s="508"/>
      <c r="M1009" s="508"/>
      <c r="N1009" s="508"/>
      <c r="O1009" s="509"/>
      <c r="P1009" s="509"/>
    </row>
    <row r="1010" spans="1:16" ht="21.75" customHeight="1" x14ac:dyDescent="0.3">
      <c r="A1010" s="504"/>
      <c r="B1010" s="504"/>
      <c r="C1010" s="504"/>
      <c r="D1010" s="504"/>
      <c r="E1010" s="506"/>
      <c r="F1010" s="506"/>
      <c r="G1010" s="506"/>
      <c r="H1010" s="506"/>
      <c r="I1010" s="506"/>
      <c r="J1010" s="506"/>
      <c r="K1010" s="507"/>
      <c r="L1010" s="508"/>
      <c r="M1010" s="508"/>
      <c r="N1010" s="508"/>
      <c r="O1010" s="509"/>
      <c r="P1010" s="509"/>
    </row>
    <row r="1011" spans="1:16" ht="21.75" customHeight="1" x14ac:dyDescent="0.3">
      <c r="A1011" s="504"/>
      <c r="B1011" s="504"/>
      <c r="C1011" s="504"/>
      <c r="D1011" s="504"/>
      <c r="E1011" s="506"/>
      <c r="F1011" s="506"/>
      <c r="G1011" s="506"/>
      <c r="H1011" s="506"/>
      <c r="I1011" s="506"/>
      <c r="J1011" s="506"/>
      <c r="K1011" s="507"/>
      <c r="L1011" s="508"/>
      <c r="M1011" s="508"/>
      <c r="N1011" s="508"/>
      <c r="O1011" s="509"/>
      <c r="P1011" s="509"/>
    </row>
    <row r="1012" spans="1:16" ht="21.75" customHeight="1" x14ac:dyDescent="0.3">
      <c r="A1012" s="504"/>
      <c r="B1012" s="504"/>
      <c r="C1012" s="504"/>
      <c r="D1012" s="504"/>
      <c r="E1012" s="506"/>
      <c r="F1012" s="506"/>
      <c r="G1012" s="506"/>
      <c r="H1012" s="506"/>
      <c r="I1012" s="506"/>
      <c r="J1012" s="506"/>
      <c r="K1012" s="507"/>
      <c r="L1012" s="508"/>
      <c r="M1012" s="508"/>
      <c r="N1012" s="508"/>
      <c r="O1012" s="509"/>
      <c r="P1012" s="509"/>
    </row>
    <row r="1013" spans="1:16" ht="21.75" customHeight="1" x14ac:dyDescent="0.3">
      <c r="A1013" s="504"/>
      <c r="B1013" s="504"/>
      <c r="C1013" s="504"/>
      <c r="D1013" s="504"/>
      <c r="E1013" s="506"/>
      <c r="F1013" s="506"/>
      <c r="G1013" s="506"/>
      <c r="H1013" s="506"/>
      <c r="I1013" s="506"/>
      <c r="J1013" s="506"/>
      <c r="K1013" s="507"/>
      <c r="L1013" s="508"/>
      <c r="M1013" s="508"/>
      <c r="N1013" s="508"/>
      <c r="O1013" s="509"/>
      <c r="P1013" s="509"/>
    </row>
    <row r="1014" spans="1:16" ht="21.75" customHeight="1" x14ac:dyDescent="0.3">
      <c r="A1014" s="504"/>
      <c r="B1014" s="504"/>
      <c r="C1014" s="504"/>
      <c r="D1014" s="504"/>
      <c r="E1014" s="506"/>
      <c r="F1014" s="506"/>
      <c r="G1014" s="506"/>
      <c r="H1014" s="506"/>
      <c r="I1014" s="506"/>
      <c r="J1014" s="506"/>
      <c r="K1014" s="507"/>
      <c r="L1014" s="508"/>
      <c r="M1014" s="508"/>
      <c r="N1014" s="508"/>
      <c r="O1014" s="509"/>
      <c r="P1014" s="509"/>
    </row>
    <row r="1015" spans="1:16" ht="21.75" customHeight="1" x14ac:dyDescent="0.3">
      <c r="A1015" s="504"/>
      <c r="B1015" s="504"/>
      <c r="C1015" s="504"/>
      <c r="D1015" s="504"/>
      <c r="E1015" s="506"/>
      <c r="F1015" s="506"/>
      <c r="G1015" s="506"/>
      <c r="H1015" s="506"/>
      <c r="I1015" s="506"/>
      <c r="J1015" s="506"/>
      <c r="K1015" s="507"/>
      <c r="L1015" s="508"/>
      <c r="M1015" s="508"/>
      <c r="N1015" s="508"/>
      <c r="O1015" s="509"/>
      <c r="P1015" s="509"/>
    </row>
    <row r="1016" spans="1:16" ht="21.75" customHeight="1" x14ac:dyDescent="0.3">
      <c r="A1016" s="504"/>
      <c r="B1016" s="504"/>
      <c r="C1016" s="504"/>
      <c r="D1016" s="504"/>
      <c r="E1016" s="506"/>
      <c r="F1016" s="506"/>
      <c r="G1016" s="506"/>
      <c r="H1016" s="506"/>
      <c r="I1016" s="506"/>
      <c r="J1016" s="506"/>
      <c r="K1016" s="507"/>
      <c r="L1016" s="508"/>
      <c r="M1016" s="508"/>
      <c r="N1016" s="508"/>
      <c r="O1016" s="509"/>
      <c r="P1016" s="509"/>
    </row>
    <row r="1017" spans="1:16" ht="21.75" customHeight="1" x14ac:dyDescent="0.3">
      <c r="A1017" s="504"/>
      <c r="B1017" s="504"/>
      <c r="C1017" s="504"/>
      <c r="D1017" s="504"/>
      <c r="E1017" s="506"/>
      <c r="F1017" s="506"/>
      <c r="G1017" s="506"/>
      <c r="H1017" s="506"/>
      <c r="I1017" s="506"/>
      <c r="J1017" s="506"/>
      <c r="K1017" s="507"/>
      <c r="L1017" s="508"/>
      <c r="M1017" s="508"/>
      <c r="N1017" s="508"/>
      <c r="O1017" s="509"/>
      <c r="P1017" s="509"/>
    </row>
    <row r="1018" spans="1:16" ht="21.75" customHeight="1" x14ac:dyDescent="0.3">
      <c r="A1018" s="504"/>
      <c r="B1018" s="504"/>
      <c r="C1018" s="504"/>
      <c r="D1018" s="504"/>
      <c r="E1018" s="506"/>
      <c r="F1018" s="506"/>
      <c r="G1018" s="506"/>
      <c r="H1018" s="506"/>
      <c r="I1018" s="506"/>
      <c r="J1018" s="506"/>
      <c r="K1018" s="507"/>
      <c r="L1018" s="508"/>
      <c r="M1018" s="508"/>
      <c r="N1018" s="508"/>
      <c r="O1018" s="509"/>
      <c r="P1018" s="509"/>
    </row>
    <row r="1019" spans="1:16" ht="21.75" customHeight="1" x14ac:dyDescent="0.3">
      <c r="A1019" s="504"/>
      <c r="B1019" s="504"/>
      <c r="C1019" s="504"/>
      <c r="D1019" s="504"/>
      <c r="E1019" s="506"/>
      <c r="F1019" s="506"/>
      <c r="G1019" s="506"/>
      <c r="H1019" s="506"/>
      <c r="I1019" s="506"/>
      <c r="J1019" s="506"/>
      <c r="K1019" s="507"/>
      <c r="L1019" s="508"/>
      <c r="M1019" s="508"/>
      <c r="N1019" s="508"/>
      <c r="O1019" s="509"/>
      <c r="P1019" s="509"/>
    </row>
    <row r="1020" spans="1:16" ht="21.75" customHeight="1" x14ac:dyDescent="0.3">
      <c r="A1020" s="504"/>
      <c r="B1020" s="504"/>
      <c r="C1020" s="504"/>
      <c r="D1020" s="504"/>
      <c r="E1020" s="506"/>
      <c r="F1020" s="506"/>
      <c r="G1020" s="506"/>
      <c r="H1020" s="506"/>
      <c r="I1020" s="506"/>
      <c r="J1020" s="506"/>
      <c r="K1020" s="507"/>
      <c r="L1020" s="508"/>
      <c r="M1020" s="508"/>
      <c r="N1020" s="508"/>
      <c r="O1020" s="509"/>
      <c r="P1020" s="509"/>
    </row>
    <row r="1021" spans="1:16" ht="21.75" customHeight="1" x14ac:dyDescent="0.3">
      <c r="A1021" s="504"/>
      <c r="B1021" s="504"/>
      <c r="C1021" s="504"/>
      <c r="D1021" s="504"/>
      <c r="E1021" s="506"/>
      <c r="F1021" s="506"/>
      <c r="G1021" s="506"/>
      <c r="H1021" s="506"/>
      <c r="I1021" s="506"/>
      <c r="J1021" s="506"/>
      <c r="K1021" s="507"/>
      <c r="L1021" s="508"/>
      <c r="M1021" s="508"/>
      <c r="N1021" s="508"/>
      <c r="O1021" s="509"/>
      <c r="P1021" s="509"/>
    </row>
    <row r="1022" spans="1:16" ht="21.75" customHeight="1" x14ac:dyDescent="0.3">
      <c r="A1022" s="504"/>
      <c r="B1022" s="504"/>
      <c r="C1022" s="504"/>
      <c r="D1022" s="504"/>
      <c r="E1022" s="506"/>
      <c r="F1022" s="506"/>
      <c r="G1022" s="506"/>
      <c r="H1022" s="506"/>
      <c r="I1022" s="506"/>
      <c r="J1022" s="506"/>
      <c r="K1022" s="507"/>
      <c r="L1022" s="508"/>
      <c r="M1022" s="508"/>
      <c r="N1022" s="508"/>
      <c r="O1022" s="509"/>
      <c r="P1022" s="509"/>
    </row>
    <row r="1023" spans="1:16" ht="21.75" customHeight="1" x14ac:dyDescent="0.3">
      <c r="A1023" s="504"/>
      <c r="B1023" s="504"/>
      <c r="C1023" s="504"/>
      <c r="D1023" s="504"/>
      <c r="E1023" s="506"/>
      <c r="F1023" s="506"/>
      <c r="G1023" s="506"/>
      <c r="H1023" s="506"/>
      <c r="I1023" s="506"/>
      <c r="J1023" s="506"/>
      <c r="K1023" s="507"/>
      <c r="L1023" s="508"/>
      <c r="M1023" s="508"/>
      <c r="N1023" s="508"/>
      <c r="O1023" s="509"/>
      <c r="P1023" s="509"/>
    </row>
    <row r="1024" spans="1:16" ht="21.75" customHeight="1" x14ac:dyDescent="0.3">
      <c r="A1024" s="504"/>
      <c r="B1024" s="504"/>
      <c r="C1024" s="504"/>
      <c r="D1024" s="504"/>
      <c r="E1024" s="506"/>
      <c r="F1024" s="506"/>
      <c r="G1024" s="506"/>
      <c r="H1024" s="506"/>
      <c r="I1024" s="506"/>
      <c r="J1024" s="506"/>
      <c r="K1024" s="507"/>
      <c r="L1024" s="508"/>
      <c r="M1024" s="508"/>
      <c r="N1024" s="508"/>
      <c r="O1024" s="509"/>
      <c r="P1024" s="509"/>
    </row>
    <row r="1025" spans="1:16" ht="21.75" customHeight="1" x14ac:dyDescent="0.3">
      <c r="A1025" s="504"/>
      <c r="B1025" s="504"/>
      <c r="C1025" s="504"/>
      <c r="D1025" s="504"/>
      <c r="E1025" s="506"/>
      <c r="F1025" s="506"/>
      <c r="G1025" s="506"/>
      <c r="H1025" s="506"/>
      <c r="I1025" s="506"/>
      <c r="J1025" s="506"/>
      <c r="K1025" s="507"/>
      <c r="L1025" s="508"/>
      <c r="M1025" s="508"/>
      <c r="N1025" s="508"/>
      <c r="O1025" s="509"/>
      <c r="P1025" s="509"/>
    </row>
    <row r="1026" spans="1:16" ht="21.75" customHeight="1" x14ac:dyDescent="0.3">
      <c r="A1026" s="504"/>
      <c r="B1026" s="504"/>
      <c r="C1026" s="504"/>
      <c r="D1026" s="504"/>
      <c r="E1026" s="506"/>
      <c r="F1026" s="506"/>
      <c r="G1026" s="506"/>
      <c r="H1026" s="506"/>
      <c r="I1026" s="506"/>
      <c r="J1026" s="506"/>
      <c r="K1026" s="507"/>
      <c r="L1026" s="508"/>
      <c r="M1026" s="508"/>
      <c r="N1026" s="508"/>
      <c r="O1026" s="509"/>
      <c r="P1026" s="509"/>
    </row>
    <row r="1027" spans="1:16" ht="21.75" customHeight="1" x14ac:dyDescent="0.3">
      <c r="A1027" s="504"/>
      <c r="B1027" s="504"/>
      <c r="C1027" s="504"/>
      <c r="D1027" s="504"/>
      <c r="E1027" s="506"/>
      <c r="F1027" s="506"/>
      <c r="G1027" s="506"/>
      <c r="H1027" s="506"/>
      <c r="I1027" s="506"/>
      <c r="J1027" s="506"/>
      <c r="K1027" s="507"/>
      <c r="L1027" s="508"/>
      <c r="M1027" s="508"/>
      <c r="N1027" s="508"/>
      <c r="O1027" s="509"/>
      <c r="P1027" s="509"/>
    </row>
    <row r="1028" spans="1:16" ht="21.75" customHeight="1" x14ac:dyDescent="0.3">
      <c r="A1028" s="504"/>
      <c r="B1028" s="504"/>
      <c r="C1028" s="504"/>
      <c r="D1028" s="504"/>
      <c r="E1028" s="506"/>
      <c r="F1028" s="506"/>
      <c r="G1028" s="506"/>
      <c r="H1028" s="506"/>
      <c r="I1028" s="506"/>
      <c r="J1028" s="506"/>
      <c r="K1028" s="507"/>
      <c r="L1028" s="508"/>
      <c r="M1028" s="508"/>
      <c r="N1028" s="508"/>
      <c r="O1028" s="509"/>
      <c r="P1028" s="509"/>
    </row>
    <row r="1029" spans="1:16" ht="21.75" customHeight="1" x14ac:dyDescent="0.3">
      <c r="A1029" s="504"/>
      <c r="B1029" s="504"/>
      <c r="C1029" s="504"/>
      <c r="D1029" s="504"/>
      <c r="E1029" s="506"/>
      <c r="F1029" s="506"/>
      <c r="G1029" s="506"/>
      <c r="H1029" s="506"/>
      <c r="I1029" s="506"/>
      <c r="J1029" s="506"/>
      <c r="K1029" s="507"/>
      <c r="L1029" s="508"/>
      <c r="M1029" s="508"/>
      <c r="N1029" s="508"/>
      <c r="O1029" s="509"/>
      <c r="P1029" s="509"/>
    </row>
    <row r="1030" spans="1:16" ht="21.75" customHeight="1" x14ac:dyDescent="0.3">
      <c r="A1030" s="504"/>
      <c r="B1030" s="504"/>
      <c r="C1030" s="504"/>
      <c r="D1030" s="504"/>
      <c r="E1030" s="506"/>
      <c r="F1030" s="506"/>
      <c r="G1030" s="506"/>
      <c r="H1030" s="506"/>
      <c r="I1030" s="506"/>
      <c r="J1030" s="506"/>
      <c r="K1030" s="507"/>
      <c r="L1030" s="508"/>
      <c r="M1030" s="508"/>
      <c r="N1030" s="508"/>
      <c r="O1030" s="509"/>
      <c r="P1030" s="509"/>
    </row>
    <row r="1031" spans="1:16" ht="21.75" customHeight="1" x14ac:dyDescent="0.3">
      <c r="A1031" s="504"/>
      <c r="B1031" s="504"/>
      <c r="C1031" s="504"/>
      <c r="D1031" s="504"/>
      <c r="E1031" s="506"/>
      <c r="F1031" s="506"/>
      <c r="G1031" s="506"/>
      <c r="H1031" s="506"/>
      <c r="I1031" s="506"/>
      <c r="J1031" s="506"/>
      <c r="K1031" s="507"/>
      <c r="L1031" s="508"/>
      <c r="M1031" s="508"/>
      <c r="N1031" s="508"/>
      <c r="O1031" s="509"/>
      <c r="P1031" s="509"/>
    </row>
    <row r="1032" spans="1:16" ht="21.75" customHeight="1" x14ac:dyDescent="0.3">
      <c r="A1032" s="504"/>
      <c r="B1032" s="504"/>
      <c r="C1032" s="504"/>
      <c r="D1032" s="504"/>
      <c r="E1032" s="506"/>
      <c r="F1032" s="506"/>
      <c r="G1032" s="506"/>
      <c r="H1032" s="506"/>
      <c r="I1032" s="506"/>
      <c r="J1032" s="506"/>
      <c r="K1032" s="507"/>
      <c r="L1032" s="508"/>
      <c r="M1032" s="508"/>
      <c r="N1032" s="508"/>
      <c r="O1032" s="509"/>
      <c r="P1032" s="509"/>
    </row>
    <row r="1033" spans="1:16" ht="21.75" customHeight="1" x14ac:dyDescent="0.3">
      <c r="A1033" s="504"/>
      <c r="B1033" s="504"/>
      <c r="C1033" s="504"/>
      <c r="D1033" s="504"/>
      <c r="E1033" s="506"/>
      <c r="F1033" s="506"/>
      <c r="G1033" s="506"/>
      <c r="H1033" s="506"/>
      <c r="I1033" s="506"/>
      <c r="J1033" s="506"/>
      <c r="K1033" s="507"/>
      <c r="L1033" s="508"/>
      <c r="M1033" s="508"/>
      <c r="N1033" s="508"/>
      <c r="O1033" s="509"/>
      <c r="P1033" s="509"/>
    </row>
    <row r="1034" spans="1:16" ht="21.75" customHeight="1" x14ac:dyDescent="0.3">
      <c r="A1034" s="504"/>
      <c r="B1034" s="504"/>
      <c r="C1034" s="504"/>
      <c r="D1034" s="504"/>
      <c r="E1034" s="506"/>
      <c r="F1034" s="506"/>
      <c r="G1034" s="506"/>
      <c r="H1034" s="506"/>
      <c r="I1034" s="506"/>
      <c r="J1034" s="506"/>
      <c r="K1034" s="507"/>
      <c r="L1034" s="508"/>
      <c r="M1034" s="508"/>
      <c r="N1034" s="508"/>
      <c r="O1034" s="509"/>
      <c r="P1034" s="509"/>
    </row>
    <row r="1035" spans="1:16" ht="21.75" customHeight="1" x14ac:dyDescent="0.3">
      <c r="A1035" s="504"/>
      <c r="B1035" s="504"/>
      <c r="C1035" s="504"/>
      <c r="D1035" s="504"/>
      <c r="E1035" s="506"/>
      <c r="F1035" s="506"/>
      <c r="G1035" s="506"/>
      <c r="H1035" s="506"/>
      <c r="I1035" s="506"/>
      <c r="J1035" s="506"/>
      <c r="K1035" s="507"/>
      <c r="L1035" s="508"/>
      <c r="M1035" s="508"/>
      <c r="N1035" s="508"/>
      <c r="O1035" s="509"/>
      <c r="P1035" s="509"/>
    </row>
    <row r="1036" spans="1:16" ht="21.75" customHeight="1" x14ac:dyDescent="0.3">
      <c r="A1036" s="504"/>
      <c r="B1036" s="504"/>
      <c r="C1036" s="504"/>
      <c r="D1036" s="504"/>
      <c r="E1036" s="506"/>
      <c r="F1036" s="506"/>
      <c r="G1036" s="506"/>
      <c r="H1036" s="506"/>
      <c r="I1036" s="506"/>
      <c r="J1036" s="506"/>
      <c r="K1036" s="507"/>
      <c r="L1036" s="508"/>
      <c r="M1036" s="508"/>
      <c r="N1036" s="508"/>
      <c r="O1036" s="509"/>
      <c r="P1036" s="509"/>
    </row>
    <row r="1037" spans="1:16" ht="21.75" customHeight="1" x14ac:dyDescent="0.3">
      <c r="A1037" s="504"/>
      <c r="B1037" s="504"/>
      <c r="C1037" s="504"/>
      <c r="D1037" s="504"/>
      <c r="E1037" s="506"/>
      <c r="F1037" s="506"/>
      <c r="G1037" s="506"/>
      <c r="H1037" s="506"/>
      <c r="I1037" s="506"/>
      <c r="J1037" s="506"/>
      <c r="K1037" s="507"/>
      <c r="L1037" s="508"/>
      <c r="M1037" s="508"/>
      <c r="N1037" s="508"/>
      <c r="O1037" s="509"/>
      <c r="P1037" s="509"/>
    </row>
    <row r="1038" spans="1:16" ht="21.75" customHeight="1" x14ac:dyDescent="0.3">
      <c r="A1038" s="504"/>
      <c r="B1038" s="504"/>
      <c r="C1038" s="504"/>
      <c r="D1038" s="504"/>
      <c r="E1038" s="506"/>
      <c r="F1038" s="506"/>
      <c r="G1038" s="506"/>
      <c r="H1038" s="506"/>
      <c r="I1038" s="506"/>
      <c r="J1038" s="506"/>
      <c r="K1038" s="507"/>
      <c r="L1038" s="508"/>
      <c r="M1038" s="508"/>
      <c r="N1038" s="508"/>
      <c r="O1038" s="509"/>
      <c r="P1038" s="509"/>
    </row>
    <row r="1039" spans="1:16" ht="21.75" customHeight="1" x14ac:dyDescent="0.3">
      <c r="A1039" s="504"/>
      <c r="B1039" s="504"/>
      <c r="C1039" s="504"/>
      <c r="D1039" s="504"/>
      <c r="E1039" s="506"/>
      <c r="F1039" s="506"/>
      <c r="G1039" s="506"/>
      <c r="H1039" s="506"/>
      <c r="I1039" s="506"/>
      <c r="J1039" s="506"/>
      <c r="K1039" s="507"/>
      <c r="L1039" s="508"/>
      <c r="M1039" s="508"/>
      <c r="N1039" s="508"/>
      <c r="O1039" s="509"/>
      <c r="P1039" s="509"/>
    </row>
    <row r="1040" spans="1:16" ht="21.75" customHeight="1" x14ac:dyDescent="0.3">
      <c r="A1040" s="504"/>
      <c r="B1040" s="504"/>
      <c r="C1040" s="504"/>
      <c r="D1040" s="504"/>
      <c r="E1040" s="506"/>
      <c r="F1040" s="506"/>
      <c r="G1040" s="506"/>
      <c r="H1040" s="506"/>
      <c r="I1040" s="506"/>
      <c r="J1040" s="506"/>
      <c r="K1040" s="507"/>
      <c r="L1040" s="508"/>
      <c r="M1040" s="508"/>
      <c r="N1040" s="508"/>
      <c r="O1040" s="509"/>
      <c r="P1040" s="509"/>
    </row>
    <row r="1041" spans="1:16" ht="21.75" customHeight="1" x14ac:dyDescent="0.3">
      <c r="A1041" s="504"/>
      <c r="B1041" s="504"/>
      <c r="C1041" s="504"/>
      <c r="D1041" s="504"/>
      <c r="E1041" s="506"/>
      <c r="F1041" s="506"/>
      <c r="G1041" s="506"/>
      <c r="H1041" s="506"/>
      <c r="I1041" s="506"/>
      <c r="J1041" s="506"/>
      <c r="K1041" s="507"/>
      <c r="L1041" s="508"/>
      <c r="M1041" s="508"/>
      <c r="N1041" s="508"/>
      <c r="O1041" s="509"/>
      <c r="P1041" s="509"/>
    </row>
    <row r="1042" spans="1:16" ht="21.75" customHeight="1" x14ac:dyDescent="0.3">
      <c r="A1042" s="504"/>
      <c r="B1042" s="504"/>
      <c r="C1042" s="504"/>
      <c r="D1042" s="504"/>
      <c r="E1042" s="506"/>
      <c r="F1042" s="506"/>
      <c r="G1042" s="506"/>
      <c r="H1042" s="506"/>
      <c r="I1042" s="506"/>
      <c r="J1042" s="506"/>
      <c r="K1042" s="507"/>
      <c r="L1042" s="508"/>
      <c r="M1042" s="508"/>
      <c r="N1042" s="508"/>
      <c r="O1042" s="509"/>
      <c r="P1042" s="509"/>
    </row>
    <row r="1043" spans="1:16" ht="21.75" customHeight="1" x14ac:dyDescent="0.3">
      <c r="A1043" s="504"/>
      <c r="B1043" s="504"/>
      <c r="C1043" s="504"/>
      <c r="D1043" s="504"/>
      <c r="E1043" s="506"/>
      <c r="F1043" s="506"/>
      <c r="G1043" s="506"/>
      <c r="H1043" s="506"/>
      <c r="I1043" s="506"/>
      <c r="J1043" s="506"/>
      <c r="K1043" s="507"/>
      <c r="L1043" s="508"/>
      <c r="M1043" s="508"/>
      <c r="N1043" s="508"/>
      <c r="O1043" s="509"/>
      <c r="P1043" s="509"/>
    </row>
    <row r="1044" spans="1:16" ht="21.75" customHeight="1" x14ac:dyDescent="0.3">
      <c r="A1044" s="504"/>
      <c r="B1044" s="504"/>
      <c r="C1044" s="504"/>
      <c r="D1044" s="504"/>
      <c r="E1044" s="506"/>
      <c r="F1044" s="506"/>
      <c r="G1044" s="506"/>
      <c r="H1044" s="506"/>
      <c r="I1044" s="506"/>
      <c r="J1044" s="506"/>
      <c r="K1044" s="507"/>
      <c r="L1044" s="508"/>
      <c r="M1044" s="508"/>
      <c r="N1044" s="508"/>
      <c r="O1044" s="509"/>
      <c r="P1044" s="509"/>
    </row>
    <row r="1045" spans="1:16" ht="21.75" customHeight="1" x14ac:dyDescent="0.3">
      <c r="A1045" s="504"/>
      <c r="B1045" s="504"/>
      <c r="C1045" s="504"/>
      <c r="D1045" s="504"/>
      <c r="E1045" s="506"/>
      <c r="F1045" s="506"/>
      <c r="G1045" s="506"/>
      <c r="H1045" s="506"/>
      <c r="I1045" s="506"/>
      <c r="J1045" s="506"/>
      <c r="K1045" s="507"/>
      <c r="L1045" s="508"/>
      <c r="M1045" s="508"/>
      <c r="N1045" s="508"/>
      <c r="O1045" s="509"/>
      <c r="P1045" s="509"/>
    </row>
    <row r="1046" spans="1:16" ht="21.75" customHeight="1" x14ac:dyDescent="0.3">
      <c r="A1046" s="504"/>
      <c r="B1046" s="504"/>
      <c r="C1046" s="504"/>
      <c r="D1046" s="504"/>
      <c r="E1046" s="506"/>
      <c r="F1046" s="506"/>
      <c r="G1046" s="506"/>
      <c r="H1046" s="506"/>
      <c r="I1046" s="506"/>
      <c r="J1046" s="506"/>
      <c r="K1046" s="507"/>
      <c r="L1046" s="508"/>
      <c r="M1046" s="508"/>
      <c r="N1046" s="508"/>
      <c r="O1046" s="509"/>
      <c r="P1046" s="509"/>
    </row>
    <row r="1047" spans="1:16" ht="21.75" customHeight="1" x14ac:dyDescent="0.3">
      <c r="A1047" s="504"/>
      <c r="B1047" s="504"/>
      <c r="C1047" s="504"/>
      <c r="D1047" s="504"/>
      <c r="E1047" s="506"/>
      <c r="F1047" s="506"/>
      <c r="G1047" s="506"/>
      <c r="H1047" s="506"/>
      <c r="I1047" s="506"/>
      <c r="J1047" s="506"/>
      <c r="K1047" s="507"/>
      <c r="L1047" s="508"/>
      <c r="M1047" s="508"/>
      <c r="N1047" s="508"/>
      <c r="O1047" s="509"/>
      <c r="P1047" s="509"/>
    </row>
    <row r="1048" spans="1:16" ht="21.75" customHeight="1" x14ac:dyDescent="0.3">
      <c r="A1048" s="504"/>
      <c r="B1048" s="504"/>
      <c r="C1048" s="504"/>
      <c r="D1048" s="504"/>
      <c r="E1048" s="506"/>
      <c r="F1048" s="506"/>
      <c r="G1048" s="506"/>
      <c r="H1048" s="506"/>
      <c r="I1048" s="506"/>
      <c r="J1048" s="506"/>
      <c r="K1048" s="507"/>
      <c r="L1048" s="508"/>
      <c r="M1048" s="508"/>
      <c r="N1048" s="508"/>
      <c r="O1048" s="509"/>
      <c r="P1048" s="509"/>
    </row>
    <row r="1049" spans="1:16" ht="21.75" customHeight="1" x14ac:dyDescent="0.3">
      <c r="A1049" s="504"/>
      <c r="B1049" s="504"/>
      <c r="C1049" s="504"/>
      <c r="D1049" s="504"/>
      <c r="E1049" s="506"/>
      <c r="F1049" s="506"/>
      <c r="G1049" s="506"/>
      <c r="H1049" s="506"/>
      <c r="I1049" s="506"/>
      <c r="J1049" s="506"/>
      <c r="K1049" s="507"/>
      <c r="L1049" s="508"/>
      <c r="M1049" s="508"/>
      <c r="N1049" s="508"/>
      <c r="O1049" s="509"/>
      <c r="P1049" s="509"/>
    </row>
    <row r="1050" spans="1:16" ht="21.75" customHeight="1" x14ac:dyDescent="0.3">
      <c r="A1050" s="504"/>
      <c r="B1050" s="504"/>
      <c r="C1050" s="504"/>
      <c r="D1050" s="504"/>
      <c r="E1050" s="506"/>
      <c r="F1050" s="506"/>
      <c r="G1050" s="506"/>
      <c r="H1050" s="506"/>
      <c r="I1050" s="506"/>
      <c r="J1050" s="506"/>
      <c r="K1050" s="507"/>
      <c r="L1050" s="508"/>
      <c r="M1050" s="508"/>
      <c r="N1050" s="508"/>
      <c r="O1050" s="509"/>
      <c r="P1050" s="509"/>
    </row>
    <row r="1051" spans="1:16" ht="21.75" customHeight="1" x14ac:dyDescent="0.3">
      <c r="A1051" s="504"/>
      <c r="B1051" s="504"/>
      <c r="C1051" s="504"/>
      <c r="D1051" s="504"/>
      <c r="E1051" s="506"/>
      <c r="F1051" s="506"/>
      <c r="G1051" s="506"/>
      <c r="H1051" s="506"/>
      <c r="I1051" s="506"/>
      <c r="J1051" s="506"/>
      <c r="K1051" s="507"/>
      <c r="L1051" s="508"/>
      <c r="M1051" s="508"/>
      <c r="N1051" s="508"/>
      <c r="O1051" s="509"/>
      <c r="P1051" s="509"/>
    </row>
    <row r="1052" spans="1:16" ht="21.75" customHeight="1" x14ac:dyDescent="0.3">
      <c r="A1052" s="504"/>
      <c r="B1052" s="504"/>
      <c r="C1052" s="504"/>
      <c r="D1052" s="504"/>
      <c r="E1052" s="506"/>
      <c r="F1052" s="506"/>
      <c r="G1052" s="506"/>
      <c r="H1052" s="506"/>
      <c r="I1052" s="506"/>
      <c r="J1052" s="506"/>
      <c r="K1052" s="507"/>
      <c r="L1052" s="508"/>
      <c r="M1052" s="508"/>
      <c r="N1052" s="508"/>
      <c r="O1052" s="509"/>
      <c r="P1052" s="509"/>
    </row>
    <row r="1053" spans="1:16" ht="21.75" customHeight="1" x14ac:dyDescent="0.3">
      <c r="A1053" s="504"/>
      <c r="B1053" s="504"/>
      <c r="C1053" s="504"/>
      <c r="D1053" s="504"/>
      <c r="E1053" s="506"/>
      <c r="F1053" s="506"/>
      <c r="G1053" s="506"/>
      <c r="H1053" s="506"/>
      <c r="I1053" s="506"/>
      <c r="J1053" s="506"/>
      <c r="K1053" s="507"/>
      <c r="L1053" s="508"/>
      <c r="M1053" s="508"/>
      <c r="N1053" s="508"/>
      <c r="O1053" s="509"/>
      <c r="P1053" s="509"/>
    </row>
    <row r="1054" spans="1:16" ht="21.75" customHeight="1" x14ac:dyDescent="0.3">
      <c r="A1054" s="504"/>
      <c r="B1054" s="504"/>
      <c r="C1054" s="504"/>
      <c r="D1054" s="504"/>
      <c r="E1054" s="506"/>
      <c r="F1054" s="506"/>
      <c r="G1054" s="506"/>
      <c r="H1054" s="506"/>
      <c r="I1054" s="506"/>
      <c r="J1054" s="506"/>
      <c r="K1054" s="507"/>
      <c r="L1054" s="508"/>
      <c r="M1054" s="508"/>
      <c r="N1054" s="508"/>
      <c r="O1054" s="509"/>
      <c r="P1054" s="509"/>
    </row>
    <row r="1055" spans="1:16" ht="21.75" customHeight="1" x14ac:dyDescent="0.3">
      <c r="A1055" s="504"/>
      <c r="B1055" s="504"/>
      <c r="C1055" s="504"/>
      <c r="D1055" s="504"/>
      <c r="E1055" s="506"/>
      <c r="F1055" s="506"/>
      <c r="G1055" s="506"/>
      <c r="H1055" s="506"/>
      <c r="I1055" s="506"/>
      <c r="J1055" s="506"/>
      <c r="K1055" s="507"/>
      <c r="L1055" s="508"/>
      <c r="M1055" s="508"/>
      <c r="N1055" s="508"/>
      <c r="O1055" s="509"/>
      <c r="P1055" s="509"/>
    </row>
    <row r="1056" spans="1:16" ht="21.75" customHeight="1" x14ac:dyDescent="0.3">
      <c r="A1056" s="504"/>
      <c r="B1056" s="504"/>
      <c r="C1056" s="504"/>
      <c r="D1056" s="504"/>
      <c r="E1056" s="506"/>
      <c r="F1056" s="506"/>
      <c r="G1056" s="506"/>
      <c r="H1056" s="506"/>
      <c r="I1056" s="506"/>
      <c r="J1056" s="506"/>
      <c r="K1056" s="507"/>
      <c r="L1056" s="508"/>
      <c r="M1056" s="508"/>
      <c r="N1056" s="508"/>
      <c r="O1056" s="509"/>
      <c r="P1056" s="509"/>
    </row>
    <row r="1057" spans="1:16" ht="21.75" customHeight="1" x14ac:dyDescent="0.3">
      <c r="A1057" s="504"/>
      <c r="B1057" s="504"/>
      <c r="C1057" s="504"/>
      <c r="D1057" s="504"/>
      <c r="E1057" s="506"/>
      <c r="F1057" s="506"/>
      <c r="G1057" s="506"/>
      <c r="H1057" s="506"/>
      <c r="I1057" s="506"/>
      <c r="J1057" s="506"/>
      <c r="K1057" s="507"/>
      <c r="L1057" s="508"/>
      <c r="M1057" s="508"/>
      <c r="N1057" s="508"/>
      <c r="O1057" s="509"/>
      <c r="P1057" s="509"/>
    </row>
    <row r="1058" spans="1:16" ht="21.75" customHeight="1" x14ac:dyDescent="0.3">
      <c r="A1058" s="504"/>
      <c r="B1058" s="504"/>
      <c r="C1058" s="504"/>
      <c r="D1058" s="504"/>
      <c r="E1058" s="506"/>
      <c r="F1058" s="506"/>
      <c r="G1058" s="506"/>
      <c r="H1058" s="506"/>
      <c r="I1058" s="506"/>
      <c r="J1058" s="506"/>
      <c r="K1058" s="507"/>
      <c r="L1058" s="508"/>
      <c r="M1058" s="508"/>
      <c r="N1058" s="508"/>
      <c r="O1058" s="509"/>
      <c r="P1058" s="509"/>
    </row>
    <row r="1059" spans="1:16" ht="21.75" customHeight="1" x14ac:dyDescent="0.3">
      <c r="A1059" s="504"/>
      <c r="B1059" s="504"/>
      <c r="C1059" s="504"/>
      <c r="D1059" s="504"/>
      <c r="E1059" s="506"/>
      <c r="F1059" s="506"/>
      <c r="G1059" s="506"/>
      <c r="H1059" s="506"/>
      <c r="I1059" s="506"/>
      <c r="J1059" s="506"/>
      <c r="K1059" s="507"/>
      <c r="L1059" s="508"/>
      <c r="M1059" s="508"/>
      <c r="N1059" s="508"/>
      <c r="O1059" s="509"/>
      <c r="P1059" s="509"/>
    </row>
    <row r="1060" spans="1:16" ht="21.75" customHeight="1" x14ac:dyDescent="0.3">
      <c r="A1060" s="504"/>
      <c r="B1060" s="504"/>
      <c r="C1060" s="504"/>
      <c r="D1060" s="504"/>
      <c r="E1060" s="506"/>
      <c r="F1060" s="506"/>
      <c r="G1060" s="506"/>
      <c r="H1060" s="506"/>
      <c r="I1060" s="506"/>
      <c r="J1060" s="506"/>
      <c r="K1060" s="507"/>
      <c r="L1060" s="508"/>
      <c r="M1060" s="508"/>
      <c r="N1060" s="508"/>
      <c r="O1060" s="509"/>
      <c r="P1060" s="509"/>
    </row>
    <row r="1061" spans="1:16" ht="21.75" customHeight="1" x14ac:dyDescent="0.3">
      <c r="A1061" s="504"/>
      <c r="B1061" s="504"/>
      <c r="C1061" s="504"/>
      <c r="D1061" s="504"/>
      <c r="E1061" s="506"/>
      <c r="F1061" s="506"/>
      <c r="G1061" s="506"/>
      <c r="H1061" s="506"/>
      <c r="I1061" s="506"/>
      <c r="J1061" s="506"/>
      <c r="K1061" s="507"/>
      <c r="L1061" s="508"/>
      <c r="M1061" s="508"/>
      <c r="N1061" s="508"/>
      <c r="O1061" s="509"/>
      <c r="P1061" s="509"/>
    </row>
    <row r="1062" spans="1:16" ht="21.75" customHeight="1" x14ac:dyDescent="0.3">
      <c r="A1062" s="504"/>
      <c r="B1062" s="504"/>
      <c r="C1062" s="504"/>
      <c r="D1062" s="504"/>
      <c r="E1062" s="506"/>
      <c r="F1062" s="506"/>
      <c r="G1062" s="506"/>
      <c r="H1062" s="506"/>
      <c r="I1062" s="506"/>
      <c r="J1062" s="506"/>
      <c r="K1062" s="507"/>
      <c r="L1062" s="508"/>
      <c r="M1062" s="508"/>
      <c r="N1062" s="508"/>
      <c r="O1062" s="509"/>
      <c r="P1062" s="509"/>
    </row>
    <row r="1063" spans="1:16" ht="21.75" customHeight="1" x14ac:dyDescent="0.3">
      <c r="A1063" s="504"/>
      <c r="B1063" s="504"/>
      <c r="C1063" s="504"/>
      <c r="D1063" s="504"/>
      <c r="E1063" s="506"/>
      <c r="F1063" s="506"/>
      <c r="G1063" s="506"/>
      <c r="H1063" s="506"/>
      <c r="I1063" s="506"/>
      <c r="J1063" s="506"/>
      <c r="K1063" s="507"/>
      <c r="L1063" s="508"/>
      <c r="M1063" s="508"/>
      <c r="N1063" s="508"/>
      <c r="O1063" s="509"/>
      <c r="P1063" s="509"/>
    </row>
    <row r="1064" spans="1:16" ht="21.75" customHeight="1" x14ac:dyDescent="0.3">
      <c r="A1064" s="504"/>
      <c r="B1064" s="504"/>
      <c r="C1064" s="504"/>
      <c r="D1064" s="504"/>
      <c r="E1064" s="506"/>
      <c r="F1064" s="506"/>
      <c r="G1064" s="506"/>
      <c r="H1064" s="506"/>
      <c r="I1064" s="506"/>
      <c r="J1064" s="506"/>
      <c r="K1064" s="507"/>
      <c r="L1064" s="508"/>
      <c r="M1064" s="508"/>
      <c r="N1064" s="508"/>
      <c r="O1064" s="509"/>
      <c r="P1064" s="509"/>
    </row>
    <row r="1065" spans="1:16" ht="21.75" customHeight="1" x14ac:dyDescent="0.3">
      <c r="A1065" s="504"/>
      <c r="B1065" s="504"/>
      <c r="C1065" s="504"/>
      <c r="D1065" s="504"/>
      <c r="E1065" s="506"/>
      <c r="F1065" s="506"/>
      <c r="G1065" s="506"/>
      <c r="H1065" s="506"/>
      <c r="I1065" s="506"/>
      <c r="J1065" s="506"/>
      <c r="K1065" s="507"/>
      <c r="L1065" s="508"/>
      <c r="M1065" s="508"/>
      <c r="N1065" s="508"/>
      <c r="O1065" s="509"/>
      <c r="P1065" s="509"/>
    </row>
    <row r="1066" spans="1:16" ht="21.75" customHeight="1" x14ac:dyDescent="0.3">
      <c r="A1066" s="504"/>
      <c r="B1066" s="504"/>
      <c r="C1066" s="504"/>
      <c r="D1066" s="504"/>
      <c r="E1066" s="506"/>
      <c r="F1066" s="506"/>
      <c r="G1066" s="506"/>
      <c r="H1066" s="506"/>
      <c r="I1066" s="506"/>
      <c r="J1066" s="506"/>
      <c r="K1066" s="507"/>
      <c r="L1066" s="508"/>
      <c r="M1066" s="508"/>
      <c r="N1066" s="508"/>
      <c r="O1066" s="509"/>
      <c r="P1066" s="509"/>
    </row>
    <row r="1067" spans="1:16" ht="21.75" customHeight="1" x14ac:dyDescent="0.3">
      <c r="A1067" s="504"/>
      <c r="B1067" s="504"/>
      <c r="C1067" s="504"/>
      <c r="D1067" s="504"/>
      <c r="E1067" s="506"/>
      <c r="F1067" s="506"/>
      <c r="G1067" s="506"/>
      <c r="H1067" s="506"/>
      <c r="I1067" s="506"/>
      <c r="J1067" s="506"/>
      <c r="K1067" s="507"/>
      <c r="L1067" s="508"/>
      <c r="M1067" s="508"/>
      <c r="N1067" s="508"/>
      <c r="O1067" s="509"/>
      <c r="P1067" s="509"/>
    </row>
    <row r="1068" spans="1:16" ht="21.75" customHeight="1" x14ac:dyDescent="0.3">
      <c r="A1068" s="504"/>
      <c r="B1068" s="504"/>
      <c r="C1068" s="504"/>
      <c r="D1068" s="504"/>
      <c r="E1068" s="506"/>
      <c r="F1068" s="506"/>
      <c r="G1068" s="506"/>
      <c r="H1068" s="506"/>
      <c r="I1068" s="506"/>
      <c r="J1068" s="506"/>
      <c r="K1068" s="507"/>
      <c r="L1068" s="508"/>
      <c r="M1068" s="508"/>
      <c r="N1068" s="508"/>
      <c r="O1068" s="509"/>
      <c r="P1068" s="509"/>
    </row>
    <row r="1069" spans="1:16" ht="21.75" customHeight="1" x14ac:dyDescent="0.3">
      <c r="A1069" s="504"/>
      <c r="B1069" s="504"/>
      <c r="C1069" s="504"/>
      <c r="D1069" s="504"/>
      <c r="E1069" s="506"/>
      <c r="F1069" s="506"/>
      <c r="G1069" s="506"/>
      <c r="H1069" s="506"/>
      <c r="I1069" s="506"/>
      <c r="J1069" s="506"/>
      <c r="K1069" s="507"/>
      <c r="L1069" s="508"/>
      <c r="M1069" s="508"/>
      <c r="N1069" s="508"/>
      <c r="O1069" s="509"/>
      <c r="P1069" s="509"/>
    </row>
    <row r="1070" spans="1:16" ht="21.75" customHeight="1" x14ac:dyDescent="0.3">
      <c r="A1070" s="504"/>
      <c r="B1070" s="504"/>
      <c r="C1070" s="504"/>
      <c r="D1070" s="504"/>
      <c r="E1070" s="506"/>
      <c r="F1070" s="506"/>
      <c r="G1070" s="506"/>
      <c r="H1070" s="506"/>
      <c r="I1070" s="506"/>
      <c r="J1070" s="506"/>
      <c r="K1070" s="507"/>
      <c r="L1070" s="508"/>
      <c r="M1070" s="508"/>
      <c r="N1070" s="508"/>
      <c r="O1070" s="509"/>
      <c r="P1070" s="509"/>
    </row>
    <row r="1071" spans="1:16" ht="21.75" customHeight="1" x14ac:dyDescent="0.3">
      <c r="A1071" s="504"/>
      <c r="B1071" s="504"/>
      <c r="C1071" s="504"/>
      <c r="D1071" s="504"/>
      <c r="E1071" s="506"/>
      <c r="F1071" s="506"/>
      <c r="G1071" s="506"/>
      <c r="H1071" s="506"/>
      <c r="I1071" s="506"/>
      <c r="J1071" s="506"/>
      <c r="K1071" s="507"/>
      <c r="L1071" s="508"/>
      <c r="M1071" s="508"/>
      <c r="N1071" s="508"/>
      <c r="O1071" s="509"/>
      <c r="P1071" s="509"/>
    </row>
    <row r="1072" spans="1:16" ht="21.75" customHeight="1" x14ac:dyDescent="0.3">
      <c r="A1072" s="504"/>
      <c r="B1072" s="504"/>
      <c r="C1072" s="504"/>
      <c r="D1072" s="504"/>
      <c r="E1072" s="506"/>
      <c r="F1072" s="506"/>
      <c r="G1072" s="506"/>
      <c r="H1072" s="506"/>
      <c r="I1072" s="506"/>
      <c r="J1072" s="506"/>
      <c r="K1072" s="507"/>
      <c r="L1072" s="508"/>
      <c r="M1072" s="508"/>
      <c r="N1072" s="508"/>
      <c r="O1072" s="509"/>
      <c r="P1072" s="509"/>
    </row>
    <row r="1073" spans="1:16" ht="21.75" customHeight="1" x14ac:dyDescent="0.3">
      <c r="A1073" s="504"/>
      <c r="B1073" s="504"/>
      <c r="C1073" s="504"/>
      <c r="D1073" s="504"/>
      <c r="E1073" s="506"/>
      <c r="F1073" s="506"/>
      <c r="G1073" s="506"/>
      <c r="H1073" s="506"/>
      <c r="I1073" s="506"/>
      <c r="J1073" s="506"/>
      <c r="K1073" s="507"/>
      <c r="L1073" s="508"/>
      <c r="M1073" s="508"/>
      <c r="N1073" s="508"/>
      <c r="O1073" s="509"/>
      <c r="P1073" s="509"/>
    </row>
    <row r="1074" spans="1:16" ht="21.75" customHeight="1" x14ac:dyDescent="0.3">
      <c r="A1074" s="504"/>
      <c r="B1074" s="504"/>
      <c r="C1074" s="504"/>
      <c r="D1074" s="504"/>
      <c r="E1074" s="506"/>
      <c r="F1074" s="506"/>
      <c r="G1074" s="506"/>
      <c r="H1074" s="506"/>
      <c r="I1074" s="506"/>
      <c r="J1074" s="506"/>
      <c r="K1074" s="507"/>
      <c r="L1074" s="508"/>
      <c r="M1074" s="508"/>
      <c r="N1074" s="508"/>
      <c r="O1074" s="509"/>
      <c r="P1074" s="509"/>
    </row>
    <row r="1075" spans="1:16" ht="21.75" customHeight="1" x14ac:dyDescent="0.3">
      <c r="A1075" s="504"/>
      <c r="B1075" s="504"/>
      <c r="C1075" s="504"/>
      <c r="D1075" s="504"/>
      <c r="E1075" s="506"/>
      <c r="F1075" s="506"/>
      <c r="G1075" s="506"/>
      <c r="H1075" s="506"/>
      <c r="I1075" s="506"/>
      <c r="J1075" s="506"/>
      <c r="K1075" s="507"/>
      <c r="L1075" s="508"/>
      <c r="M1075" s="508"/>
      <c r="N1075" s="508"/>
      <c r="O1075" s="509"/>
      <c r="P1075" s="509"/>
    </row>
    <row r="1076" spans="1:16" ht="21.75" customHeight="1" x14ac:dyDescent="0.3">
      <c r="A1076" s="504"/>
      <c r="B1076" s="504"/>
      <c r="C1076" s="504"/>
      <c r="D1076" s="504"/>
      <c r="E1076" s="506"/>
      <c r="F1076" s="506"/>
      <c r="G1076" s="506"/>
      <c r="H1076" s="506"/>
      <c r="I1076" s="506"/>
      <c r="J1076" s="506"/>
      <c r="K1076" s="507"/>
      <c r="L1076" s="508"/>
      <c r="M1076" s="508"/>
      <c r="N1076" s="508"/>
      <c r="O1076" s="509"/>
      <c r="P1076" s="509"/>
    </row>
    <row r="1077" spans="1:16" ht="21.75" customHeight="1" x14ac:dyDescent="0.3">
      <c r="A1077" s="504"/>
      <c r="B1077" s="504"/>
      <c r="C1077" s="504"/>
      <c r="D1077" s="504"/>
      <c r="E1077" s="506"/>
      <c r="F1077" s="506"/>
      <c r="G1077" s="506"/>
      <c r="H1077" s="506"/>
      <c r="I1077" s="506"/>
      <c r="J1077" s="506"/>
      <c r="K1077" s="507"/>
      <c r="L1077" s="508"/>
      <c r="M1077" s="508"/>
      <c r="N1077" s="508"/>
      <c r="O1077" s="509"/>
      <c r="P1077" s="509"/>
    </row>
    <row r="1078" spans="1:16" ht="21.75" customHeight="1" x14ac:dyDescent="0.3">
      <c r="A1078" s="504"/>
      <c r="B1078" s="504"/>
      <c r="C1078" s="504"/>
      <c r="D1078" s="504"/>
      <c r="E1078" s="506"/>
      <c r="F1078" s="506"/>
      <c r="G1078" s="506"/>
      <c r="H1078" s="506"/>
      <c r="I1078" s="506"/>
      <c r="J1078" s="506"/>
      <c r="K1078" s="507"/>
      <c r="L1078" s="508"/>
      <c r="M1078" s="508"/>
      <c r="N1078" s="508"/>
      <c r="O1078" s="509"/>
      <c r="P1078" s="509"/>
    </row>
    <row r="1079" spans="1:16" ht="21.75" customHeight="1" x14ac:dyDescent="0.3">
      <c r="A1079" s="504"/>
      <c r="B1079" s="504"/>
      <c r="C1079" s="504"/>
      <c r="D1079" s="504"/>
      <c r="E1079" s="506"/>
      <c r="F1079" s="506"/>
      <c r="G1079" s="506"/>
      <c r="H1079" s="506"/>
      <c r="I1079" s="506"/>
      <c r="J1079" s="506"/>
      <c r="K1079" s="507"/>
      <c r="L1079" s="508"/>
      <c r="M1079" s="508"/>
      <c r="N1079" s="508"/>
      <c r="O1079" s="509"/>
      <c r="P1079" s="509"/>
    </row>
    <row r="1080" spans="1:16" ht="21.75" customHeight="1" x14ac:dyDescent="0.3">
      <c r="A1080" s="504"/>
      <c r="B1080" s="504"/>
      <c r="C1080" s="504"/>
      <c r="D1080" s="504"/>
      <c r="E1080" s="506"/>
      <c r="F1080" s="506"/>
      <c r="G1080" s="506"/>
      <c r="H1080" s="506"/>
      <c r="I1080" s="506"/>
      <c r="J1080" s="506"/>
      <c r="K1080" s="507"/>
      <c r="L1080" s="508"/>
      <c r="M1080" s="508"/>
      <c r="N1080" s="508"/>
      <c r="O1080" s="509"/>
      <c r="P1080" s="509"/>
    </row>
    <row r="1081" spans="1:16" ht="21.75" customHeight="1" x14ac:dyDescent="0.3">
      <c r="A1081" s="504"/>
      <c r="B1081" s="504"/>
      <c r="C1081" s="504"/>
      <c r="D1081" s="504"/>
      <c r="E1081" s="506"/>
      <c r="F1081" s="506"/>
      <c r="G1081" s="506"/>
      <c r="H1081" s="506"/>
      <c r="I1081" s="506"/>
      <c r="J1081" s="506"/>
      <c r="K1081" s="507"/>
      <c r="L1081" s="508"/>
      <c r="M1081" s="508"/>
      <c r="N1081" s="508"/>
      <c r="O1081" s="509"/>
      <c r="P1081" s="509"/>
    </row>
    <row r="1082" spans="1:16" ht="21.75" customHeight="1" x14ac:dyDescent="0.3">
      <c r="A1082" s="504"/>
      <c r="B1082" s="504"/>
      <c r="C1082" s="504"/>
      <c r="D1082" s="504"/>
      <c r="E1082" s="506"/>
      <c r="F1082" s="506"/>
      <c r="G1082" s="506"/>
      <c r="H1082" s="506"/>
      <c r="I1082" s="506"/>
      <c r="J1082" s="506"/>
      <c r="K1082" s="507"/>
      <c r="L1082" s="508"/>
      <c r="M1082" s="508"/>
      <c r="N1082" s="508"/>
      <c r="O1082" s="509"/>
      <c r="P1082" s="509"/>
    </row>
    <row r="1083" spans="1:16" ht="21.75" customHeight="1" x14ac:dyDescent="0.3">
      <c r="A1083" s="504"/>
      <c r="B1083" s="504"/>
      <c r="C1083" s="504"/>
      <c r="D1083" s="504"/>
      <c r="E1083" s="506"/>
      <c r="F1083" s="506"/>
      <c r="G1083" s="506"/>
      <c r="H1083" s="506"/>
      <c r="I1083" s="506"/>
      <c r="J1083" s="506"/>
      <c r="K1083" s="507"/>
      <c r="L1083" s="508"/>
      <c r="M1083" s="508"/>
      <c r="N1083" s="508"/>
      <c r="O1083" s="509"/>
      <c r="P1083" s="509"/>
    </row>
    <row r="1084" spans="1:16" ht="21.75" customHeight="1" x14ac:dyDescent="0.3">
      <c r="A1084" s="504"/>
      <c r="B1084" s="504"/>
      <c r="C1084" s="504"/>
      <c r="D1084" s="504"/>
      <c r="E1084" s="506"/>
      <c r="F1084" s="506"/>
      <c r="G1084" s="506"/>
      <c r="H1084" s="506"/>
      <c r="I1084" s="506"/>
      <c r="J1084" s="506"/>
      <c r="K1084" s="507"/>
      <c r="L1084" s="508"/>
      <c r="M1084" s="508"/>
      <c r="N1084" s="508"/>
      <c r="O1084" s="509"/>
      <c r="P1084" s="509"/>
    </row>
    <row r="1085" spans="1:16" ht="21.75" customHeight="1" x14ac:dyDescent="0.3">
      <c r="A1085" s="504"/>
      <c r="B1085" s="504"/>
      <c r="C1085" s="504"/>
      <c r="D1085" s="504"/>
      <c r="E1085" s="506"/>
      <c r="F1085" s="506"/>
      <c r="G1085" s="506"/>
      <c r="H1085" s="506"/>
      <c r="I1085" s="506"/>
      <c r="J1085" s="506"/>
      <c r="K1085" s="507"/>
      <c r="L1085" s="508"/>
      <c r="M1085" s="508"/>
      <c r="N1085" s="508"/>
      <c r="O1085" s="509"/>
      <c r="P1085" s="509"/>
    </row>
    <row r="1086" spans="1:16" ht="21.75" customHeight="1" x14ac:dyDescent="0.3">
      <c r="A1086" s="504"/>
      <c r="B1086" s="504"/>
      <c r="C1086" s="504"/>
      <c r="D1086" s="504"/>
      <c r="E1086" s="506"/>
      <c r="F1086" s="506"/>
      <c r="G1086" s="506"/>
      <c r="H1086" s="506"/>
      <c r="I1086" s="506"/>
      <c r="J1086" s="506"/>
      <c r="K1086" s="507"/>
      <c r="L1086" s="508"/>
      <c r="M1086" s="508"/>
      <c r="N1086" s="508"/>
      <c r="O1086" s="509"/>
      <c r="P1086" s="509"/>
    </row>
    <row r="1087" spans="1:16" ht="21.75" customHeight="1" x14ac:dyDescent="0.3">
      <c r="A1087" s="504"/>
      <c r="B1087" s="504"/>
      <c r="C1087" s="504"/>
      <c r="D1087" s="504"/>
      <c r="E1087" s="506"/>
      <c r="F1087" s="506"/>
      <c r="G1087" s="506"/>
      <c r="H1087" s="506"/>
      <c r="I1087" s="506"/>
      <c r="J1087" s="506"/>
      <c r="K1087" s="507"/>
      <c r="L1087" s="508"/>
      <c r="M1087" s="508"/>
      <c r="N1087" s="508"/>
      <c r="O1087" s="509"/>
      <c r="P1087" s="509"/>
    </row>
    <row r="1088" spans="1:16" ht="21.75" customHeight="1" x14ac:dyDescent="0.3">
      <c r="A1088" s="504"/>
      <c r="B1088" s="504"/>
      <c r="C1088" s="504"/>
      <c r="D1088" s="504"/>
      <c r="E1088" s="506"/>
      <c r="F1088" s="506"/>
      <c r="G1088" s="506"/>
      <c r="H1088" s="506"/>
      <c r="I1088" s="506"/>
      <c r="J1088" s="506"/>
      <c r="K1088" s="507"/>
      <c r="L1088" s="508"/>
      <c r="M1088" s="508"/>
      <c r="N1088" s="508"/>
      <c r="O1088" s="509"/>
      <c r="P1088" s="509"/>
    </row>
    <row r="1089" spans="1:16" ht="21.75" customHeight="1" x14ac:dyDescent="0.3">
      <c r="A1089" s="504"/>
      <c r="B1089" s="504"/>
      <c r="C1089" s="504"/>
      <c r="D1089" s="504"/>
      <c r="E1089" s="506"/>
      <c r="F1089" s="506"/>
      <c r="G1089" s="506"/>
      <c r="H1089" s="506"/>
      <c r="I1089" s="506"/>
      <c r="J1089" s="506"/>
      <c r="K1089" s="507"/>
      <c r="L1089" s="508"/>
      <c r="M1089" s="508"/>
      <c r="N1089" s="508"/>
      <c r="O1089" s="509"/>
      <c r="P1089" s="509"/>
    </row>
    <row r="1090" spans="1:16" ht="21.75" customHeight="1" x14ac:dyDescent="0.3">
      <c r="A1090" s="504"/>
      <c r="B1090" s="504"/>
      <c r="C1090" s="504"/>
      <c r="D1090" s="504"/>
      <c r="E1090" s="506"/>
      <c r="F1090" s="506"/>
      <c r="G1090" s="506"/>
      <c r="H1090" s="506"/>
      <c r="I1090" s="506"/>
      <c r="J1090" s="506"/>
      <c r="K1090" s="507"/>
      <c r="L1090" s="508"/>
      <c r="M1090" s="508"/>
      <c r="N1090" s="508"/>
      <c r="O1090" s="509"/>
      <c r="P1090" s="509"/>
    </row>
    <row r="1091" spans="1:16" ht="21.75" customHeight="1" x14ac:dyDescent="0.3">
      <c r="A1091" s="504"/>
      <c r="B1091" s="504"/>
      <c r="C1091" s="504"/>
      <c r="D1091" s="504"/>
      <c r="E1091" s="506"/>
      <c r="F1091" s="506"/>
      <c r="G1091" s="506"/>
      <c r="H1091" s="506"/>
      <c r="I1091" s="506"/>
      <c r="J1091" s="506"/>
      <c r="K1091" s="507"/>
      <c r="L1091" s="508"/>
      <c r="M1091" s="508"/>
      <c r="N1091" s="508"/>
      <c r="O1091" s="509"/>
      <c r="P1091" s="509"/>
    </row>
    <row r="1092" spans="1:16" ht="21.75" customHeight="1" x14ac:dyDescent="0.3">
      <c r="A1092" s="504"/>
      <c r="B1092" s="504"/>
      <c r="C1092" s="504"/>
      <c r="D1092" s="504"/>
      <c r="E1092" s="506"/>
      <c r="F1092" s="506"/>
      <c r="G1092" s="506"/>
      <c r="H1092" s="506"/>
      <c r="I1092" s="506"/>
      <c r="J1092" s="506"/>
      <c r="K1092" s="507"/>
      <c r="L1092" s="508"/>
      <c r="M1092" s="508"/>
      <c r="N1092" s="508"/>
      <c r="O1092" s="509"/>
      <c r="P1092" s="509"/>
    </row>
    <row r="1093" spans="1:16" ht="21.75" customHeight="1" x14ac:dyDescent="0.3">
      <c r="A1093" s="504"/>
      <c r="B1093" s="504"/>
      <c r="C1093" s="504"/>
      <c r="D1093" s="504"/>
      <c r="E1093" s="506"/>
      <c r="F1093" s="506"/>
      <c r="G1093" s="506"/>
      <c r="H1093" s="506"/>
      <c r="I1093" s="506"/>
      <c r="J1093" s="506"/>
      <c r="K1093" s="507"/>
      <c r="L1093" s="508"/>
      <c r="M1093" s="508"/>
      <c r="N1093" s="508"/>
      <c r="O1093" s="509"/>
      <c r="P1093" s="509"/>
    </row>
    <row r="1094" spans="1:16" ht="21.75" customHeight="1" x14ac:dyDescent="0.3">
      <c r="A1094" s="504"/>
      <c r="B1094" s="504"/>
      <c r="C1094" s="504"/>
      <c r="D1094" s="504"/>
      <c r="E1094" s="506"/>
      <c r="F1094" s="506"/>
      <c r="G1094" s="506"/>
      <c r="H1094" s="506"/>
      <c r="I1094" s="506"/>
      <c r="J1094" s="506"/>
      <c r="K1094" s="507"/>
      <c r="L1094" s="508"/>
      <c r="M1094" s="508"/>
      <c r="N1094" s="508"/>
      <c r="O1094" s="509"/>
      <c r="P1094" s="509"/>
    </row>
    <row r="1095" spans="1:16" ht="21.75" customHeight="1" x14ac:dyDescent="0.3">
      <c r="A1095" s="504"/>
      <c r="B1095" s="504"/>
      <c r="C1095" s="504"/>
      <c r="D1095" s="504"/>
      <c r="E1095" s="506"/>
      <c r="F1095" s="506"/>
      <c r="G1095" s="506"/>
      <c r="H1095" s="506"/>
      <c r="I1095" s="506"/>
      <c r="J1095" s="506"/>
      <c r="K1095" s="507"/>
      <c r="L1095" s="508"/>
      <c r="M1095" s="508"/>
      <c r="N1095" s="508"/>
      <c r="O1095" s="509"/>
      <c r="P1095" s="509"/>
    </row>
    <row r="1096" spans="1:16" ht="21.75" customHeight="1" x14ac:dyDescent="0.3">
      <c r="A1096" s="504"/>
      <c r="B1096" s="504"/>
      <c r="C1096" s="504"/>
      <c r="D1096" s="504"/>
      <c r="E1096" s="506"/>
      <c r="F1096" s="506"/>
      <c r="G1096" s="506"/>
      <c r="H1096" s="506"/>
      <c r="I1096" s="506"/>
      <c r="J1096" s="506"/>
      <c r="K1096" s="507"/>
      <c r="L1096" s="508"/>
      <c r="M1096" s="508"/>
      <c r="N1096" s="508"/>
      <c r="O1096" s="509"/>
      <c r="P1096" s="509"/>
    </row>
    <row r="1097" spans="1:16" ht="21.75" customHeight="1" x14ac:dyDescent="0.3">
      <c r="A1097" s="504"/>
      <c r="B1097" s="504"/>
      <c r="C1097" s="504"/>
      <c r="D1097" s="504"/>
      <c r="E1097" s="506"/>
      <c r="F1097" s="506"/>
      <c r="G1097" s="506"/>
      <c r="H1097" s="506"/>
      <c r="I1097" s="506"/>
      <c r="J1097" s="506"/>
      <c r="K1097" s="507"/>
      <c r="L1097" s="508"/>
      <c r="M1097" s="508"/>
      <c r="N1097" s="508"/>
      <c r="O1097" s="509"/>
      <c r="P1097" s="509"/>
    </row>
    <row r="1098" spans="1:16" ht="21.75" customHeight="1" x14ac:dyDescent="0.3">
      <c r="A1098" s="504"/>
      <c r="B1098" s="504"/>
      <c r="C1098" s="504"/>
      <c r="D1098" s="504"/>
      <c r="E1098" s="506"/>
      <c r="F1098" s="506"/>
      <c r="G1098" s="506"/>
      <c r="H1098" s="506"/>
      <c r="I1098" s="506"/>
      <c r="J1098" s="506"/>
      <c r="K1098" s="507"/>
      <c r="L1098" s="508"/>
      <c r="M1098" s="508"/>
      <c r="N1098" s="508"/>
      <c r="O1098" s="509"/>
      <c r="P1098" s="509"/>
    </row>
    <row r="1099" spans="1:16" ht="21.75" customHeight="1" x14ac:dyDescent="0.3">
      <c r="A1099" s="504"/>
      <c r="B1099" s="504"/>
      <c r="C1099" s="504"/>
      <c r="D1099" s="504"/>
      <c r="E1099" s="506"/>
      <c r="F1099" s="506"/>
      <c r="G1099" s="506"/>
      <c r="H1099" s="506"/>
      <c r="I1099" s="506"/>
      <c r="J1099" s="506"/>
      <c r="K1099" s="507"/>
      <c r="L1099" s="508"/>
      <c r="M1099" s="508"/>
      <c r="N1099" s="508"/>
      <c r="O1099" s="509"/>
      <c r="P1099" s="509"/>
    </row>
    <row r="1100" spans="1:16" ht="21.75" customHeight="1" x14ac:dyDescent="0.3">
      <c r="A1100" s="504"/>
      <c r="B1100" s="504"/>
      <c r="C1100" s="504"/>
      <c r="D1100" s="504"/>
      <c r="E1100" s="506"/>
      <c r="F1100" s="506"/>
      <c r="G1100" s="506"/>
      <c r="H1100" s="506"/>
      <c r="I1100" s="506"/>
      <c r="J1100" s="506"/>
      <c r="K1100" s="507"/>
      <c r="L1100" s="508"/>
      <c r="M1100" s="508"/>
      <c r="N1100" s="508"/>
      <c r="O1100" s="509"/>
      <c r="P1100" s="509"/>
    </row>
    <row r="1101" spans="1:16" ht="21.75" customHeight="1" x14ac:dyDescent="0.3">
      <c r="A1101" s="504"/>
      <c r="B1101" s="504"/>
      <c r="C1101" s="504"/>
      <c r="D1101" s="504"/>
      <c r="E1101" s="506"/>
      <c r="F1101" s="506"/>
      <c r="G1101" s="506"/>
      <c r="H1101" s="506"/>
      <c r="I1101" s="506"/>
      <c r="J1101" s="506"/>
      <c r="K1101" s="507"/>
      <c r="L1101" s="508"/>
      <c r="M1101" s="508"/>
      <c r="N1101" s="508"/>
      <c r="O1101" s="509"/>
      <c r="P1101" s="509"/>
    </row>
    <row r="1102" spans="1:16" ht="21.75" customHeight="1" x14ac:dyDescent="0.3">
      <c r="A1102" s="504"/>
      <c r="B1102" s="504"/>
      <c r="C1102" s="504"/>
      <c r="D1102" s="504"/>
      <c r="E1102" s="506"/>
      <c r="F1102" s="506"/>
      <c r="G1102" s="506"/>
      <c r="H1102" s="506"/>
      <c r="I1102" s="506"/>
      <c r="J1102" s="506"/>
      <c r="K1102" s="507"/>
      <c r="L1102" s="508"/>
      <c r="M1102" s="508"/>
      <c r="N1102" s="508"/>
      <c r="O1102" s="509"/>
      <c r="P1102" s="509"/>
    </row>
    <row r="1103" spans="1:16" ht="21.75" customHeight="1" x14ac:dyDescent="0.3">
      <c r="A1103" s="504"/>
      <c r="B1103" s="504"/>
      <c r="C1103" s="504"/>
      <c r="D1103" s="504"/>
      <c r="E1103" s="506"/>
      <c r="F1103" s="506"/>
      <c r="G1103" s="506"/>
      <c r="H1103" s="506"/>
      <c r="I1103" s="506"/>
      <c r="J1103" s="506"/>
      <c r="K1103" s="507"/>
      <c r="L1103" s="508"/>
      <c r="M1103" s="508"/>
      <c r="N1103" s="508"/>
      <c r="O1103" s="509"/>
      <c r="P1103" s="509"/>
    </row>
    <row r="1104" spans="1:16" ht="21.75" customHeight="1" x14ac:dyDescent="0.3">
      <c r="A1104" s="504"/>
      <c r="B1104" s="504"/>
      <c r="C1104" s="504"/>
      <c r="D1104" s="504"/>
      <c r="E1104" s="506"/>
      <c r="F1104" s="506"/>
      <c r="G1104" s="506"/>
      <c r="H1104" s="506"/>
      <c r="I1104" s="506"/>
      <c r="J1104" s="506"/>
      <c r="K1104" s="507"/>
      <c r="L1104" s="508"/>
      <c r="M1104" s="508"/>
      <c r="N1104" s="508"/>
      <c r="O1104" s="509"/>
      <c r="P1104" s="509"/>
    </row>
    <row r="1105" spans="1:16" ht="21.75" customHeight="1" x14ac:dyDescent="0.3">
      <c r="A1105" s="504"/>
      <c r="B1105" s="504"/>
      <c r="C1105" s="504"/>
      <c r="D1105" s="504"/>
      <c r="E1105" s="506"/>
      <c r="F1105" s="506"/>
      <c r="G1105" s="506"/>
      <c r="H1105" s="506"/>
      <c r="I1105" s="506"/>
      <c r="J1105" s="506"/>
      <c r="K1105" s="507"/>
      <c r="L1105" s="508"/>
      <c r="M1105" s="508"/>
      <c r="N1105" s="508"/>
      <c r="O1105" s="509"/>
      <c r="P1105" s="509"/>
    </row>
    <row r="1106" spans="1:16" ht="21.75" customHeight="1" x14ac:dyDescent="0.3">
      <c r="A1106" s="504"/>
      <c r="B1106" s="504"/>
      <c r="C1106" s="504"/>
      <c r="D1106" s="504"/>
      <c r="E1106" s="506"/>
      <c r="F1106" s="506"/>
      <c r="G1106" s="506"/>
      <c r="H1106" s="506"/>
      <c r="I1106" s="506"/>
      <c r="J1106" s="506"/>
      <c r="K1106" s="507"/>
      <c r="L1106" s="508"/>
      <c r="M1106" s="508"/>
      <c r="N1106" s="508"/>
      <c r="O1106" s="509"/>
      <c r="P1106" s="509"/>
    </row>
    <row r="1107" spans="1:16" ht="21.75" customHeight="1" x14ac:dyDescent="0.3">
      <c r="A1107" s="504"/>
      <c r="B1107" s="504"/>
      <c r="C1107" s="504"/>
      <c r="D1107" s="504"/>
      <c r="E1107" s="506"/>
      <c r="F1107" s="506"/>
      <c r="G1107" s="506"/>
      <c r="H1107" s="506"/>
      <c r="I1107" s="506"/>
      <c r="J1107" s="506"/>
      <c r="K1107" s="507"/>
      <c r="L1107" s="508"/>
      <c r="M1107" s="508"/>
      <c r="N1107" s="508"/>
      <c r="O1107" s="509"/>
      <c r="P1107" s="509"/>
    </row>
    <row r="1108" spans="1:16" ht="21.75" customHeight="1" x14ac:dyDescent="0.3">
      <c r="A1108" s="504"/>
      <c r="B1108" s="504"/>
      <c r="C1108" s="504"/>
      <c r="D1108" s="504"/>
      <c r="E1108" s="506"/>
      <c r="F1108" s="506"/>
      <c r="G1108" s="506"/>
      <c r="H1108" s="506"/>
      <c r="I1108" s="506"/>
      <c r="J1108" s="506"/>
      <c r="K1108" s="507"/>
      <c r="L1108" s="508"/>
      <c r="M1108" s="508"/>
      <c r="N1108" s="508"/>
      <c r="O1108" s="509"/>
      <c r="P1108" s="509"/>
    </row>
    <row r="1109" spans="1:16" ht="21.75" customHeight="1" x14ac:dyDescent="0.3">
      <c r="A1109" s="504"/>
      <c r="B1109" s="504"/>
      <c r="C1109" s="504"/>
      <c r="D1109" s="504"/>
      <c r="E1109" s="506"/>
      <c r="F1109" s="506"/>
      <c r="G1109" s="506"/>
      <c r="H1109" s="506"/>
      <c r="I1109" s="506"/>
      <c r="J1109" s="506"/>
      <c r="K1109" s="507"/>
      <c r="L1109" s="508"/>
      <c r="M1109" s="508"/>
      <c r="N1109" s="508"/>
      <c r="O1109" s="509"/>
      <c r="P1109" s="509"/>
    </row>
    <row r="1110" spans="1:16" ht="21.75" customHeight="1" x14ac:dyDescent="0.3">
      <c r="A1110" s="504"/>
      <c r="B1110" s="504"/>
      <c r="C1110" s="504"/>
      <c r="D1110" s="504"/>
      <c r="E1110" s="506"/>
      <c r="F1110" s="506"/>
      <c r="G1110" s="506"/>
      <c r="H1110" s="506"/>
      <c r="I1110" s="506"/>
      <c r="J1110" s="506"/>
      <c r="K1110" s="507"/>
      <c r="L1110" s="508"/>
      <c r="M1110" s="508"/>
      <c r="N1110" s="508"/>
      <c r="O1110" s="509"/>
      <c r="P1110" s="509"/>
    </row>
    <row r="1111" spans="1:16" ht="21.75" customHeight="1" x14ac:dyDescent="0.3">
      <c r="A1111" s="504"/>
      <c r="B1111" s="504"/>
      <c r="C1111" s="504"/>
      <c r="D1111" s="504"/>
      <c r="E1111" s="506"/>
      <c r="F1111" s="506"/>
      <c r="G1111" s="506"/>
      <c r="H1111" s="506"/>
      <c r="I1111" s="506"/>
      <c r="J1111" s="506"/>
      <c r="K1111" s="507"/>
      <c r="L1111" s="508"/>
      <c r="M1111" s="508"/>
      <c r="N1111" s="508"/>
      <c r="O1111" s="509"/>
      <c r="P1111" s="509"/>
    </row>
    <row r="1112" spans="1:16" ht="21.75" customHeight="1" x14ac:dyDescent="0.3">
      <c r="A1112" s="504"/>
      <c r="B1112" s="504"/>
      <c r="C1112" s="504"/>
      <c r="D1112" s="504"/>
      <c r="E1112" s="506"/>
      <c r="F1112" s="506"/>
      <c r="G1112" s="506"/>
      <c r="H1112" s="506"/>
      <c r="I1112" s="506"/>
      <c r="J1112" s="506"/>
      <c r="K1112" s="507"/>
      <c r="L1112" s="508"/>
      <c r="M1112" s="508"/>
      <c r="N1112" s="508"/>
      <c r="O1112" s="509"/>
      <c r="P1112" s="509"/>
    </row>
    <row r="1113" spans="1:16" ht="21.75" customHeight="1" x14ac:dyDescent="0.3">
      <c r="A1113" s="504"/>
      <c r="B1113" s="504"/>
      <c r="C1113" s="504"/>
      <c r="D1113" s="504"/>
      <c r="E1113" s="506"/>
      <c r="F1113" s="506"/>
      <c r="G1113" s="506"/>
      <c r="H1113" s="506"/>
      <c r="I1113" s="506"/>
      <c r="J1113" s="506"/>
      <c r="K1113" s="507"/>
      <c r="L1113" s="508"/>
      <c r="M1113" s="508"/>
      <c r="N1113" s="508"/>
      <c r="O1113" s="509"/>
      <c r="P1113" s="509"/>
    </row>
    <row r="1114" spans="1:16" ht="21.75" customHeight="1" x14ac:dyDescent="0.3">
      <c r="A1114" s="504"/>
      <c r="B1114" s="504"/>
      <c r="C1114" s="504"/>
      <c r="D1114" s="504"/>
      <c r="E1114" s="506"/>
      <c r="F1114" s="506"/>
      <c r="G1114" s="506"/>
      <c r="H1114" s="506"/>
      <c r="I1114" s="506"/>
      <c r="J1114" s="506"/>
      <c r="K1114" s="507"/>
      <c r="L1114" s="508"/>
      <c r="M1114" s="508"/>
      <c r="N1114" s="508"/>
      <c r="O1114" s="509"/>
      <c r="P1114" s="509"/>
    </row>
    <row r="1115" spans="1:16" ht="21.75" customHeight="1" x14ac:dyDescent="0.3">
      <c r="A1115" s="504"/>
      <c r="B1115" s="504"/>
      <c r="C1115" s="504"/>
      <c r="D1115" s="504"/>
      <c r="E1115" s="506"/>
      <c r="F1115" s="506"/>
      <c r="G1115" s="506"/>
      <c r="H1115" s="506"/>
      <c r="I1115" s="506"/>
      <c r="J1115" s="506"/>
      <c r="K1115" s="507"/>
      <c r="L1115" s="508"/>
      <c r="M1115" s="508"/>
      <c r="N1115" s="508"/>
      <c r="O1115" s="509"/>
      <c r="P1115" s="509"/>
    </row>
    <row r="1116" spans="1:16" ht="21.75" customHeight="1" x14ac:dyDescent="0.3">
      <c r="A1116" s="504"/>
      <c r="B1116" s="504"/>
      <c r="C1116" s="504"/>
      <c r="D1116" s="504"/>
      <c r="E1116" s="506"/>
      <c r="F1116" s="506"/>
      <c r="G1116" s="506"/>
      <c r="H1116" s="506"/>
      <c r="I1116" s="506"/>
      <c r="J1116" s="506"/>
      <c r="K1116" s="507"/>
      <c r="L1116" s="508"/>
      <c r="M1116" s="508"/>
      <c r="N1116" s="508"/>
      <c r="O1116" s="509"/>
      <c r="P1116" s="509"/>
    </row>
    <row r="1117" spans="1:16" ht="21.75" customHeight="1" x14ac:dyDescent="0.3">
      <c r="A1117" s="504"/>
      <c r="B1117" s="504"/>
      <c r="C1117" s="504"/>
      <c r="D1117" s="504"/>
      <c r="E1117" s="506"/>
      <c r="F1117" s="506"/>
      <c r="G1117" s="506"/>
      <c r="H1117" s="506"/>
      <c r="I1117" s="506"/>
      <c r="J1117" s="506"/>
      <c r="K1117" s="507"/>
      <c r="L1117" s="508"/>
      <c r="M1117" s="508"/>
      <c r="N1117" s="508"/>
      <c r="O1117" s="509"/>
      <c r="P1117" s="509"/>
    </row>
    <row r="1118" spans="1:16" ht="21.75" customHeight="1" x14ac:dyDescent="0.3">
      <c r="A1118" s="504"/>
      <c r="B1118" s="504"/>
      <c r="C1118" s="504"/>
      <c r="D1118" s="504"/>
      <c r="E1118" s="506"/>
      <c r="F1118" s="506"/>
      <c r="G1118" s="506"/>
      <c r="H1118" s="506"/>
      <c r="I1118" s="506"/>
      <c r="J1118" s="506"/>
      <c r="K1118" s="507"/>
      <c r="L1118" s="508"/>
      <c r="M1118" s="508"/>
      <c r="N1118" s="508"/>
      <c r="O1118" s="509"/>
      <c r="P1118" s="509"/>
    </row>
    <row r="1119" spans="1:16" ht="21.75" customHeight="1" x14ac:dyDescent="0.3">
      <c r="A1119" s="504"/>
      <c r="B1119" s="504"/>
      <c r="C1119" s="504"/>
      <c r="D1119" s="504"/>
      <c r="E1119" s="506"/>
      <c r="F1119" s="506"/>
      <c r="G1119" s="506"/>
      <c r="H1119" s="506"/>
      <c r="I1119" s="506"/>
      <c r="J1119" s="506"/>
      <c r="K1119" s="507"/>
      <c r="L1119" s="508"/>
      <c r="M1119" s="508"/>
      <c r="N1119" s="508"/>
      <c r="O1119" s="509"/>
      <c r="P1119" s="509"/>
    </row>
    <row r="1120" spans="1:16" ht="21.75" customHeight="1" x14ac:dyDescent="0.3">
      <c r="A1120" s="504"/>
      <c r="B1120" s="504"/>
      <c r="C1120" s="504"/>
      <c r="D1120" s="504"/>
      <c r="E1120" s="506"/>
      <c r="F1120" s="506"/>
      <c r="G1120" s="506"/>
      <c r="H1120" s="506"/>
      <c r="I1120" s="506"/>
      <c r="J1120" s="506"/>
      <c r="K1120" s="507"/>
      <c r="L1120" s="508"/>
      <c r="M1120" s="508"/>
      <c r="N1120" s="508"/>
      <c r="O1120" s="509"/>
      <c r="P1120" s="509"/>
    </row>
    <row r="1121" spans="1:16" ht="21.75" customHeight="1" x14ac:dyDescent="0.3">
      <c r="A1121" s="504"/>
      <c r="B1121" s="504"/>
      <c r="C1121" s="504"/>
      <c r="D1121" s="504"/>
      <c r="E1121" s="506"/>
      <c r="F1121" s="506"/>
      <c r="G1121" s="506"/>
      <c r="H1121" s="506"/>
      <c r="I1121" s="506"/>
      <c r="J1121" s="506"/>
      <c r="K1121" s="507"/>
      <c r="L1121" s="508"/>
      <c r="M1121" s="508"/>
      <c r="N1121" s="508"/>
      <c r="O1121" s="509"/>
      <c r="P1121" s="509"/>
    </row>
    <row r="1122" spans="1:16" ht="21.75" customHeight="1" x14ac:dyDescent="0.3">
      <c r="A1122" s="504"/>
      <c r="B1122" s="504"/>
      <c r="C1122" s="504"/>
      <c r="D1122" s="504"/>
      <c r="E1122" s="506"/>
      <c r="F1122" s="506"/>
      <c r="G1122" s="506"/>
      <c r="H1122" s="506"/>
      <c r="I1122" s="506"/>
      <c r="J1122" s="506"/>
      <c r="K1122" s="507"/>
      <c r="L1122" s="508"/>
      <c r="M1122" s="508"/>
      <c r="N1122" s="508"/>
      <c r="O1122" s="509"/>
      <c r="P1122" s="509"/>
    </row>
    <row r="1123" spans="1:16" ht="21.75" customHeight="1" x14ac:dyDescent="0.3">
      <c r="A1123" s="504"/>
      <c r="B1123" s="504"/>
      <c r="C1123" s="504"/>
      <c r="D1123" s="504"/>
      <c r="E1123" s="506"/>
      <c r="F1123" s="506"/>
      <c r="G1123" s="506"/>
      <c r="H1123" s="506"/>
      <c r="I1123" s="506"/>
      <c r="J1123" s="506"/>
      <c r="K1123" s="507"/>
      <c r="L1123" s="508"/>
      <c r="M1123" s="508"/>
      <c r="N1123" s="508"/>
      <c r="O1123" s="509"/>
      <c r="P1123" s="509"/>
    </row>
    <row r="1124" spans="1:16" ht="21.75" customHeight="1" x14ac:dyDescent="0.3">
      <c r="A1124" s="504"/>
      <c r="B1124" s="504"/>
      <c r="C1124" s="504"/>
      <c r="D1124" s="504"/>
      <c r="E1124" s="506"/>
      <c r="F1124" s="506"/>
      <c r="G1124" s="506"/>
      <c r="H1124" s="506"/>
      <c r="I1124" s="506"/>
      <c r="J1124" s="506"/>
      <c r="K1124" s="507"/>
      <c r="L1124" s="508"/>
      <c r="M1124" s="508"/>
      <c r="N1124" s="508"/>
      <c r="O1124" s="509"/>
      <c r="P1124" s="509"/>
    </row>
    <row r="1125" spans="1:16" ht="21.75" customHeight="1" x14ac:dyDescent="0.3">
      <c r="A1125" s="504"/>
      <c r="B1125" s="504"/>
      <c r="C1125" s="504"/>
      <c r="D1125" s="504"/>
      <c r="E1125" s="506"/>
      <c r="F1125" s="506"/>
      <c r="G1125" s="506"/>
      <c r="H1125" s="506"/>
      <c r="I1125" s="506"/>
      <c r="J1125" s="506"/>
      <c r="K1125" s="507"/>
      <c r="L1125" s="508"/>
      <c r="M1125" s="508"/>
      <c r="N1125" s="508"/>
      <c r="O1125" s="509"/>
      <c r="P1125" s="509"/>
    </row>
    <row r="1126" spans="1:16" ht="21.75" customHeight="1" x14ac:dyDescent="0.3">
      <c r="A1126" s="504"/>
      <c r="B1126" s="504"/>
      <c r="C1126" s="504"/>
      <c r="D1126" s="504"/>
      <c r="E1126" s="506"/>
      <c r="F1126" s="506"/>
      <c r="G1126" s="506"/>
      <c r="H1126" s="506"/>
      <c r="I1126" s="506"/>
      <c r="J1126" s="506"/>
      <c r="K1126" s="507"/>
      <c r="L1126" s="508"/>
      <c r="M1126" s="508"/>
      <c r="N1126" s="508"/>
      <c r="O1126" s="509"/>
      <c r="P1126" s="509"/>
    </row>
    <row r="1127" spans="1:16" ht="21.75" customHeight="1" x14ac:dyDescent="0.3">
      <c r="A1127" s="504"/>
      <c r="B1127" s="504"/>
      <c r="C1127" s="504"/>
      <c r="D1127" s="504"/>
      <c r="E1127" s="506"/>
      <c r="F1127" s="506"/>
      <c r="G1127" s="506"/>
      <c r="H1127" s="506"/>
      <c r="I1127" s="506"/>
      <c r="J1127" s="506"/>
      <c r="K1127" s="507"/>
      <c r="L1127" s="508"/>
      <c r="M1127" s="508"/>
      <c r="N1127" s="508"/>
      <c r="O1127" s="509"/>
      <c r="P1127" s="509"/>
    </row>
    <row r="1128" spans="1:16" ht="21.75" customHeight="1" x14ac:dyDescent="0.3">
      <c r="A1128" s="504"/>
      <c r="B1128" s="504"/>
      <c r="C1128" s="504"/>
      <c r="D1128" s="504"/>
      <c r="E1128" s="506"/>
      <c r="F1128" s="506"/>
      <c r="G1128" s="506"/>
      <c r="H1128" s="506"/>
      <c r="I1128" s="506"/>
      <c r="J1128" s="506"/>
      <c r="K1128" s="507"/>
      <c r="L1128" s="508"/>
      <c r="M1128" s="508"/>
      <c r="N1128" s="508"/>
      <c r="O1128" s="509"/>
      <c r="P1128" s="509"/>
    </row>
    <row r="1129" spans="1:16" ht="21.75" customHeight="1" x14ac:dyDescent="0.3">
      <c r="A1129" s="504"/>
      <c r="B1129" s="504"/>
      <c r="C1129" s="504"/>
      <c r="D1129" s="504"/>
      <c r="E1129" s="506"/>
      <c r="F1129" s="506"/>
      <c r="G1129" s="506"/>
      <c r="H1129" s="506"/>
      <c r="I1129" s="506"/>
      <c r="J1129" s="506"/>
      <c r="K1129" s="507"/>
      <c r="L1129" s="508"/>
      <c r="M1129" s="508"/>
      <c r="N1129" s="508"/>
      <c r="O1129" s="509"/>
      <c r="P1129" s="509"/>
    </row>
    <row r="1130" spans="1:16" ht="21.75" customHeight="1" x14ac:dyDescent="0.3">
      <c r="A1130" s="504"/>
      <c r="B1130" s="504"/>
      <c r="C1130" s="504"/>
      <c r="D1130" s="504"/>
      <c r="E1130" s="506"/>
      <c r="F1130" s="506"/>
      <c r="G1130" s="506"/>
      <c r="H1130" s="506"/>
      <c r="I1130" s="506"/>
      <c r="J1130" s="506"/>
      <c r="K1130" s="507"/>
      <c r="L1130" s="508"/>
      <c r="M1130" s="508"/>
      <c r="N1130" s="508"/>
      <c r="O1130" s="509"/>
      <c r="P1130" s="509"/>
    </row>
    <row r="1131" spans="1:16" ht="21.75" customHeight="1" x14ac:dyDescent="0.3">
      <c r="A1131" s="504"/>
      <c r="B1131" s="504"/>
      <c r="C1131" s="504"/>
      <c r="D1131" s="504"/>
      <c r="E1131" s="506"/>
      <c r="F1131" s="506"/>
      <c r="G1131" s="506"/>
      <c r="H1131" s="506"/>
      <c r="I1131" s="506"/>
      <c r="J1131" s="506"/>
      <c r="K1131" s="507"/>
      <c r="L1131" s="508"/>
      <c r="M1131" s="508"/>
      <c r="N1131" s="508"/>
      <c r="O1131" s="509"/>
      <c r="P1131" s="509"/>
    </row>
    <row r="1132" spans="1:16" ht="21.75" customHeight="1" x14ac:dyDescent="0.3">
      <c r="A1132" s="504"/>
      <c r="B1132" s="504"/>
      <c r="C1132" s="504"/>
      <c r="D1132" s="504"/>
      <c r="E1132" s="506"/>
      <c r="F1132" s="506"/>
      <c r="G1132" s="506"/>
      <c r="H1132" s="506"/>
      <c r="I1132" s="506"/>
      <c r="J1132" s="506"/>
      <c r="K1132" s="507"/>
      <c r="L1132" s="508"/>
      <c r="M1132" s="508"/>
      <c r="N1132" s="508"/>
      <c r="O1132" s="509"/>
      <c r="P1132" s="509"/>
    </row>
    <row r="1133" spans="1:16" ht="21.75" customHeight="1" x14ac:dyDescent="0.3">
      <c r="A1133" s="504"/>
      <c r="B1133" s="504"/>
      <c r="C1133" s="504"/>
      <c r="D1133" s="504"/>
      <c r="E1133" s="506"/>
      <c r="F1133" s="506"/>
      <c r="G1133" s="506"/>
      <c r="H1133" s="506"/>
      <c r="I1133" s="506"/>
      <c r="J1133" s="506"/>
      <c r="K1133" s="507"/>
      <c r="L1133" s="508"/>
      <c r="M1133" s="508"/>
      <c r="N1133" s="508"/>
      <c r="O1133" s="509"/>
      <c r="P1133" s="509"/>
    </row>
    <row r="1134" spans="1:16" ht="21.75" customHeight="1" x14ac:dyDescent="0.3">
      <c r="A1134" s="504"/>
      <c r="B1134" s="504"/>
      <c r="C1134" s="504"/>
      <c r="D1134" s="504"/>
      <c r="E1134" s="506"/>
      <c r="F1134" s="506"/>
      <c r="G1134" s="506"/>
      <c r="H1134" s="506"/>
      <c r="I1134" s="506"/>
      <c r="J1134" s="506"/>
      <c r="K1134" s="507"/>
      <c r="L1134" s="508"/>
      <c r="M1134" s="508"/>
      <c r="N1134" s="508"/>
      <c r="O1134" s="509"/>
      <c r="P1134" s="509"/>
    </row>
    <row r="1135" spans="1:16" ht="21.75" customHeight="1" x14ac:dyDescent="0.3">
      <c r="A1135" s="504"/>
      <c r="B1135" s="504"/>
      <c r="C1135" s="504"/>
      <c r="D1135" s="504"/>
      <c r="E1135" s="506"/>
      <c r="F1135" s="506"/>
      <c r="G1135" s="506"/>
      <c r="H1135" s="506"/>
      <c r="I1135" s="506"/>
      <c r="J1135" s="506"/>
      <c r="K1135" s="507"/>
      <c r="L1135" s="508"/>
      <c r="M1135" s="508"/>
      <c r="N1135" s="508"/>
      <c r="O1135" s="509"/>
      <c r="P1135" s="509"/>
    </row>
    <row r="1136" spans="1:16" ht="21.75" customHeight="1" x14ac:dyDescent="0.3">
      <c r="A1136" s="504"/>
      <c r="B1136" s="504"/>
      <c r="C1136" s="504"/>
      <c r="D1136" s="504"/>
      <c r="E1136" s="506"/>
      <c r="F1136" s="506"/>
      <c r="G1136" s="506"/>
      <c r="H1136" s="506"/>
      <c r="I1136" s="506"/>
      <c r="J1136" s="506"/>
      <c r="K1136" s="507"/>
      <c r="L1136" s="508"/>
      <c r="M1136" s="508"/>
      <c r="N1136" s="508"/>
      <c r="O1136" s="509"/>
      <c r="P1136" s="509"/>
    </row>
    <row r="1137" spans="1:16" ht="21.75" customHeight="1" x14ac:dyDescent="0.3">
      <c r="A1137" s="504"/>
      <c r="B1137" s="504"/>
      <c r="C1137" s="504"/>
      <c r="D1137" s="504"/>
      <c r="E1137" s="506"/>
      <c r="F1137" s="506"/>
      <c r="G1137" s="506"/>
      <c r="H1137" s="506"/>
      <c r="I1137" s="506"/>
      <c r="J1137" s="506"/>
      <c r="K1137" s="507"/>
      <c r="L1137" s="508"/>
      <c r="M1137" s="508"/>
      <c r="N1137" s="508"/>
      <c r="O1137" s="509"/>
      <c r="P1137" s="509"/>
    </row>
    <row r="1138" spans="1:16" ht="21.75" customHeight="1" x14ac:dyDescent="0.3">
      <c r="A1138" s="504"/>
      <c r="B1138" s="504"/>
      <c r="C1138" s="504"/>
      <c r="D1138" s="504"/>
      <c r="E1138" s="506"/>
      <c r="F1138" s="506"/>
      <c r="G1138" s="506"/>
      <c r="H1138" s="506"/>
      <c r="I1138" s="506"/>
      <c r="J1138" s="506"/>
      <c r="K1138" s="507"/>
      <c r="L1138" s="508"/>
      <c r="M1138" s="508"/>
      <c r="N1138" s="508"/>
      <c r="O1138" s="509"/>
      <c r="P1138" s="509"/>
    </row>
    <row r="1139" spans="1:16" ht="21.75" customHeight="1" x14ac:dyDescent="0.3">
      <c r="A1139" s="504"/>
      <c r="B1139" s="504"/>
      <c r="C1139" s="504"/>
      <c r="D1139" s="504"/>
      <c r="E1139" s="506"/>
      <c r="F1139" s="506"/>
      <c r="G1139" s="506"/>
      <c r="H1139" s="506"/>
      <c r="I1139" s="506"/>
      <c r="J1139" s="506"/>
      <c r="K1139" s="507"/>
      <c r="L1139" s="508"/>
      <c r="M1139" s="508"/>
      <c r="N1139" s="508"/>
      <c r="O1139" s="509"/>
      <c r="P1139" s="509"/>
    </row>
    <row r="1140" spans="1:16" ht="21.75" customHeight="1" x14ac:dyDescent="0.3">
      <c r="A1140" s="504"/>
      <c r="B1140" s="504"/>
      <c r="C1140" s="504"/>
      <c r="D1140" s="504"/>
      <c r="E1140" s="506"/>
      <c r="F1140" s="506"/>
      <c r="G1140" s="506"/>
      <c r="H1140" s="506"/>
      <c r="I1140" s="506"/>
      <c r="J1140" s="506"/>
      <c r="K1140" s="507"/>
      <c r="L1140" s="508"/>
      <c r="M1140" s="508"/>
      <c r="N1140" s="508"/>
      <c r="O1140" s="509"/>
      <c r="P1140" s="509"/>
    </row>
    <row r="1141" spans="1:16" ht="21.75" customHeight="1" x14ac:dyDescent="0.3">
      <c r="A1141" s="504"/>
      <c r="B1141" s="504"/>
      <c r="C1141" s="504"/>
      <c r="D1141" s="504"/>
      <c r="E1141" s="506"/>
      <c r="F1141" s="506"/>
      <c r="G1141" s="506"/>
      <c r="H1141" s="506"/>
      <c r="I1141" s="506"/>
      <c r="J1141" s="506"/>
      <c r="K1141" s="507"/>
      <c r="L1141" s="508"/>
      <c r="M1141" s="508"/>
      <c r="N1141" s="508"/>
      <c r="O1141" s="509"/>
      <c r="P1141" s="509"/>
    </row>
    <row r="1142" spans="1:16" ht="21.75" customHeight="1" x14ac:dyDescent="0.3">
      <c r="A1142" s="504"/>
      <c r="B1142" s="504"/>
      <c r="C1142" s="504"/>
      <c r="D1142" s="504"/>
      <c r="E1142" s="506"/>
      <c r="F1142" s="506"/>
      <c r="G1142" s="506"/>
      <c r="H1142" s="506"/>
      <c r="I1142" s="506"/>
      <c r="J1142" s="506"/>
      <c r="K1142" s="507"/>
      <c r="L1142" s="508"/>
      <c r="M1142" s="508"/>
      <c r="N1142" s="508"/>
      <c r="O1142" s="509"/>
      <c r="P1142" s="509"/>
    </row>
    <row r="1143" spans="1:16" ht="21.75" customHeight="1" x14ac:dyDescent="0.3">
      <c r="A1143" s="504"/>
      <c r="B1143" s="504"/>
      <c r="C1143" s="504"/>
      <c r="D1143" s="504"/>
      <c r="E1143" s="506"/>
      <c r="F1143" s="506"/>
      <c r="G1143" s="506"/>
      <c r="H1143" s="506"/>
      <c r="I1143" s="506"/>
      <c r="J1143" s="506"/>
      <c r="K1143" s="507"/>
      <c r="L1143" s="508"/>
      <c r="M1143" s="508"/>
      <c r="N1143" s="508"/>
      <c r="O1143" s="509"/>
      <c r="P1143" s="509"/>
    </row>
  </sheetData>
  <mergeCells count="49">
    <mergeCell ref="D310:G310"/>
    <mergeCell ref="D317:E317"/>
    <mergeCell ref="D329:G329"/>
    <mergeCell ref="D336:E336"/>
    <mergeCell ref="D140:G140"/>
    <mergeCell ref="D147:E147"/>
    <mergeCell ref="D220:G220"/>
    <mergeCell ref="D227:E227"/>
    <mergeCell ref="D250:G250"/>
    <mergeCell ref="D257:E257"/>
    <mergeCell ref="D271:G271"/>
    <mergeCell ref="D118:G118"/>
    <mergeCell ref="D125:E125"/>
    <mergeCell ref="D278:E278"/>
    <mergeCell ref="D290:G290"/>
    <mergeCell ref="D297:E297"/>
    <mergeCell ref="D60:E60"/>
    <mergeCell ref="D66:G66"/>
    <mergeCell ref="D73:E73"/>
    <mergeCell ref="D94:G94"/>
    <mergeCell ref="D101:E101"/>
    <mergeCell ref="D44:F44"/>
    <mergeCell ref="D48:E48"/>
    <mergeCell ref="B52:G52"/>
    <mergeCell ref="D53:G53"/>
    <mergeCell ref="D56:F56"/>
    <mergeCell ref="D31:F31"/>
    <mergeCell ref="D35:E35"/>
    <mergeCell ref="A38:G38"/>
    <mergeCell ref="B39:G39"/>
    <mergeCell ref="D41:G41"/>
    <mergeCell ref="D18:G18"/>
    <mergeCell ref="D21:F21"/>
    <mergeCell ref="D25:E25"/>
    <mergeCell ref="A27:G27"/>
    <mergeCell ref="D28:G28"/>
    <mergeCell ref="A7:G7"/>
    <mergeCell ref="D8:G8"/>
    <mergeCell ref="D11:F11"/>
    <mergeCell ref="D15:E15"/>
    <mergeCell ref="A17:G17"/>
    <mergeCell ref="H5:H6"/>
    <mergeCell ref="I5:K5"/>
    <mergeCell ref="L5:M5"/>
    <mergeCell ref="N5:P5"/>
    <mergeCell ref="A5:G6"/>
    <mergeCell ref="A1:P1"/>
    <mergeCell ref="A2:P2"/>
    <mergeCell ref="A3:P3"/>
  </mergeCells>
  <printOptions horizontalCentered="1"/>
  <pageMargins left="0.23622047244094491" right="0.27559055118110237" top="0.31496062992125984" bottom="0.39370078740157483" header="0" footer="0"/>
  <pageSetup paperSize="9" scale="39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46" max="16383" man="1"/>
    <brk id="326" max="16383" man="1"/>
    <brk id="400" max="16383" man="1"/>
    <brk id="486" max="16383" man="1"/>
    <brk id="563" max="16383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J7" sqref="J7"/>
      <selection pane="bottomLeft" activeCell="J568" sqref="J568"/>
    </sheetView>
  </sheetViews>
  <sheetFormatPr defaultColWidth="12.6640625" defaultRowHeight="15" customHeight="1" x14ac:dyDescent="0.3"/>
  <cols>
    <col min="1" max="3" width="2.75" customWidth="1"/>
    <col min="4" max="6" width="5" customWidth="1"/>
    <col min="7" max="7" width="70.9140625" customWidth="1"/>
    <col min="8" max="8" width="9.5" customWidth="1"/>
    <col min="9" max="10" width="13.9140625" customWidth="1"/>
    <col min="11" max="11" width="10.08203125" bestFit="1" customWidth="1"/>
    <col min="12" max="12" width="16.33203125" bestFit="1" customWidth="1"/>
    <col min="13" max="13" width="17.6640625" customWidth="1"/>
    <col min="14" max="14" width="19.5" customWidth="1"/>
    <col min="15" max="15" width="16.5" customWidth="1"/>
    <col min="16" max="16" width="18" customWidth="1"/>
  </cols>
  <sheetData>
    <row r="1" spans="1:16" ht="18" customHeight="1" x14ac:dyDescent="0.3">
      <c r="A1" s="512" t="s">
        <v>0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</row>
    <row r="2" spans="1:16" ht="18" customHeight="1" x14ac:dyDescent="0.3">
      <c r="A2" s="512" t="s">
        <v>254</v>
      </c>
      <c r="B2" s="512"/>
      <c r="C2" s="512"/>
      <c r="D2" s="512"/>
      <c r="E2" s="512"/>
      <c r="F2" s="512"/>
      <c r="G2" s="512"/>
      <c r="H2" s="512"/>
      <c r="I2" s="512"/>
      <c r="J2" s="512"/>
      <c r="K2" s="512"/>
      <c r="L2" s="512"/>
      <c r="M2" s="512"/>
      <c r="N2" s="512"/>
      <c r="O2" s="512"/>
      <c r="P2" s="512"/>
    </row>
    <row r="3" spans="1:16" ht="18" customHeight="1" x14ac:dyDescent="0.3">
      <c r="A3" s="512" t="s">
        <v>272</v>
      </c>
      <c r="B3" s="512"/>
      <c r="C3" s="512"/>
      <c r="D3" s="512"/>
      <c r="E3" s="512"/>
      <c r="F3" s="512"/>
      <c r="G3" s="512"/>
      <c r="H3" s="512"/>
      <c r="I3" s="512"/>
      <c r="J3" s="512"/>
      <c r="K3" s="512"/>
      <c r="L3" s="512"/>
      <c r="M3" s="512"/>
      <c r="N3" s="512"/>
      <c r="O3" s="512"/>
      <c r="P3" s="512"/>
    </row>
    <row r="4" spans="1:16" ht="33.75" customHeight="1" x14ac:dyDescent="0.3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3">
      <c r="A5" s="520" t="s">
        <v>2</v>
      </c>
      <c r="B5" s="521"/>
      <c r="C5" s="521"/>
      <c r="D5" s="521"/>
      <c r="E5" s="521"/>
      <c r="F5" s="521"/>
      <c r="G5" s="522"/>
      <c r="H5" s="513" t="s">
        <v>3</v>
      </c>
      <c r="I5" s="515" t="s">
        <v>4</v>
      </c>
      <c r="J5" s="516"/>
      <c r="K5" s="517"/>
      <c r="L5" s="518" t="s">
        <v>5</v>
      </c>
      <c r="M5" s="517"/>
      <c r="N5" s="519" t="s">
        <v>6</v>
      </c>
      <c r="O5" s="516"/>
      <c r="P5" s="517"/>
    </row>
    <row r="6" spans="1:16" ht="21.75" customHeight="1" x14ac:dyDescent="0.3">
      <c r="A6" s="523"/>
      <c r="B6" s="524"/>
      <c r="C6" s="524"/>
      <c r="D6" s="524"/>
      <c r="E6" s="524"/>
      <c r="F6" s="524"/>
      <c r="G6" s="525"/>
      <c r="H6" s="514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45">
      <c r="A7" s="526" t="s">
        <v>15</v>
      </c>
      <c r="B7" s="516"/>
      <c r="C7" s="516"/>
      <c r="D7" s="516"/>
      <c r="E7" s="516"/>
      <c r="F7" s="516"/>
      <c r="G7" s="517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45">
      <c r="A8" s="17"/>
      <c r="B8" s="18"/>
      <c r="C8" s="19" t="s">
        <v>16</v>
      </c>
      <c r="D8" s="527" t="s">
        <v>17</v>
      </c>
      <c r="E8" s="528"/>
      <c r="F8" s="528"/>
      <c r="G8" s="528"/>
      <c r="H8" s="20" t="s">
        <v>12</v>
      </c>
      <c r="I8" s="21"/>
      <c r="J8" s="21"/>
      <c r="K8" s="22"/>
      <c r="L8" s="23">
        <f t="shared" ref="L8:N8" ca="1" si="0">L9+L10</f>
        <v>6975569</v>
      </c>
      <c r="M8" s="23">
        <f t="shared" ca="1" si="0"/>
        <v>2348910</v>
      </c>
      <c r="N8" s="23">
        <f t="shared" ca="1" si="0"/>
        <v>2052115.56</v>
      </c>
      <c r="O8" s="22">
        <f t="shared" ref="O8:O16" ca="1" si="1">IF(L8&gt;0,N8*100/L8,0)</f>
        <v>29.418611729021677</v>
      </c>
      <c r="P8" s="22">
        <f t="shared" ref="P8:P16" ca="1" si="2">IF(M8&gt;0,N8*100/M8,0)</f>
        <v>87.364588681558686</v>
      </c>
    </row>
    <row r="9" spans="1:16" ht="21.75" customHeight="1" x14ac:dyDescent="0.45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45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6975569</v>
      </c>
      <c r="M10" s="30">
        <f t="shared" ca="1" si="4"/>
        <v>2348910</v>
      </c>
      <c r="N10" s="30">
        <f t="shared" ca="1" si="4"/>
        <v>2052115.56</v>
      </c>
      <c r="O10" s="29">
        <f t="shared" ca="1" si="1"/>
        <v>29.418611729021677</v>
      </c>
      <c r="P10" s="29">
        <f t="shared" ca="1" si="2"/>
        <v>87.364588681558686</v>
      </c>
    </row>
    <row r="11" spans="1:16" ht="21.75" customHeight="1" x14ac:dyDescent="0.45">
      <c r="A11" s="31"/>
      <c r="B11" s="32"/>
      <c r="C11" s="33" t="s">
        <v>16</v>
      </c>
      <c r="D11" s="529" t="s">
        <v>20</v>
      </c>
      <c r="E11" s="530"/>
      <c r="F11" s="530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45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6900569</v>
      </c>
      <c r="M12" s="38">
        <f t="shared" ca="1" si="6"/>
        <v>2273910</v>
      </c>
      <c r="N12" s="38">
        <f t="shared" ca="1" si="6"/>
        <v>1977115.56</v>
      </c>
      <c r="O12" s="38">
        <f t="shared" ca="1" si="1"/>
        <v>28.651485986155635</v>
      </c>
      <c r="P12" s="38">
        <f t="shared" ca="1" si="2"/>
        <v>86.947836985632676</v>
      </c>
    </row>
    <row r="13" spans="1:16" ht="21.75" customHeight="1" x14ac:dyDescent="0.45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2200100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45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4700469</v>
      </c>
      <c r="M14" s="38">
        <f t="shared" si="8"/>
        <v>0</v>
      </c>
      <c r="N14" s="38">
        <f t="shared" ca="1" si="8"/>
        <v>289916.56</v>
      </c>
      <c r="O14" s="38">
        <f t="shared" ca="1" si="1"/>
        <v>6.167821976913368</v>
      </c>
      <c r="P14" s="38">
        <f t="shared" si="2"/>
        <v>0</v>
      </c>
    </row>
    <row r="15" spans="1:16" ht="21.75" customHeight="1" x14ac:dyDescent="0.45">
      <c r="A15" s="31"/>
      <c r="B15" s="32"/>
      <c r="C15" s="33" t="s">
        <v>16</v>
      </c>
      <c r="D15" s="529" t="s">
        <v>23</v>
      </c>
      <c r="E15" s="530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45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75000</v>
      </c>
      <c r="M16" s="38">
        <f t="shared" ca="1" si="10"/>
        <v>75000</v>
      </c>
      <c r="N16" s="38">
        <f t="shared" ca="1" si="10"/>
        <v>75000</v>
      </c>
      <c r="O16" s="49">
        <f t="shared" ca="1" si="1"/>
        <v>100</v>
      </c>
      <c r="P16" s="49">
        <f t="shared" ca="1" si="2"/>
        <v>100</v>
      </c>
    </row>
    <row r="17" spans="1:16" ht="21.75" customHeight="1" x14ac:dyDescent="0.45">
      <c r="A17" s="526" t="s">
        <v>24</v>
      </c>
      <c r="B17" s="516"/>
      <c r="C17" s="516"/>
      <c r="D17" s="516"/>
      <c r="E17" s="516"/>
      <c r="F17" s="516"/>
      <c r="G17" s="517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45">
      <c r="A18" s="17"/>
      <c r="B18" s="18"/>
      <c r="C18" s="19" t="s">
        <v>16</v>
      </c>
      <c r="D18" s="527" t="s">
        <v>17</v>
      </c>
      <c r="E18" s="528"/>
      <c r="F18" s="528"/>
      <c r="G18" s="528"/>
      <c r="H18" s="20" t="s">
        <v>12</v>
      </c>
      <c r="I18" s="21"/>
      <c r="J18" s="21"/>
      <c r="K18" s="22"/>
      <c r="L18" s="23">
        <f t="shared" ref="L18:N18" ca="1" si="11">L19+L20</f>
        <v>4241230</v>
      </c>
      <c r="M18" s="23">
        <f t="shared" ca="1" si="11"/>
        <v>2348910</v>
      </c>
      <c r="N18" s="23">
        <f t="shared" ca="1" si="11"/>
        <v>1762199</v>
      </c>
      <c r="O18" s="22">
        <f t="shared" ref="O18:O20" ca="1" si="12">IF(L18&gt;0,N18*100/L18,0)</f>
        <v>41.549243969320223</v>
      </c>
      <c r="P18" s="22">
        <f t="shared" ref="P18:P26" ca="1" si="13">IF(M18&gt;0,N18*100/M18,0)</f>
        <v>75.021988922521516</v>
      </c>
    </row>
    <row r="19" spans="1:16" ht="21.75" customHeight="1" x14ac:dyDescent="0.45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45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4241230</v>
      </c>
      <c r="M20" s="30">
        <f t="shared" ca="1" si="15"/>
        <v>2348910</v>
      </c>
      <c r="N20" s="30">
        <f t="shared" ca="1" si="15"/>
        <v>1762199</v>
      </c>
      <c r="O20" s="29">
        <f t="shared" ca="1" si="12"/>
        <v>41.549243969320223</v>
      </c>
      <c r="P20" s="29">
        <f t="shared" ca="1" si="13"/>
        <v>75.021988922521516</v>
      </c>
    </row>
    <row r="21" spans="1:16" ht="21.75" customHeight="1" x14ac:dyDescent="0.45">
      <c r="A21" s="31"/>
      <c r="B21" s="32"/>
      <c r="C21" s="33" t="s">
        <v>16</v>
      </c>
      <c r="D21" s="529" t="s">
        <v>20</v>
      </c>
      <c r="E21" s="530"/>
      <c r="F21" s="530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45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4166230</v>
      </c>
      <c r="M22" s="41">
        <f t="shared" ca="1" si="18"/>
        <v>2273910</v>
      </c>
      <c r="N22" s="38">
        <f t="shared" ca="1" si="18"/>
        <v>1687199</v>
      </c>
      <c r="O22" s="38">
        <f t="shared" ca="1" si="17"/>
        <v>40.497020087705188</v>
      </c>
      <c r="P22" s="38">
        <f t="shared" ca="1" si="13"/>
        <v>74.198143286233844</v>
      </c>
    </row>
    <row r="23" spans="1:16" ht="21.75" customHeight="1" x14ac:dyDescent="0.45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2200100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45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1966130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45">
      <c r="A25" s="31"/>
      <c r="B25" s="32"/>
      <c r="C25" s="33" t="s">
        <v>16</v>
      </c>
      <c r="D25" s="529" t="s">
        <v>23</v>
      </c>
      <c r="E25" s="530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45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75000</v>
      </c>
      <c r="M26" s="49">
        <f t="shared" ca="1" si="22"/>
        <v>75000</v>
      </c>
      <c r="N26" s="49">
        <f t="shared" ca="1" si="22"/>
        <v>75000</v>
      </c>
      <c r="O26" s="49">
        <f t="shared" ca="1" si="17"/>
        <v>100</v>
      </c>
      <c r="P26" s="49">
        <f t="shared" ca="1" si="13"/>
        <v>100</v>
      </c>
    </row>
    <row r="27" spans="1:16" ht="21.75" customHeight="1" x14ac:dyDescent="0.45">
      <c r="A27" s="526" t="s">
        <v>25</v>
      </c>
      <c r="B27" s="516"/>
      <c r="C27" s="516"/>
      <c r="D27" s="516"/>
      <c r="E27" s="516"/>
      <c r="F27" s="516"/>
      <c r="G27" s="517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45">
      <c r="A28" s="17"/>
      <c r="B28" s="18"/>
      <c r="C28" s="19" t="s">
        <v>16</v>
      </c>
      <c r="D28" s="527" t="s">
        <v>17</v>
      </c>
      <c r="E28" s="528"/>
      <c r="F28" s="528"/>
      <c r="G28" s="528"/>
      <c r="H28" s="20" t="s">
        <v>12</v>
      </c>
      <c r="I28" s="21"/>
      <c r="J28" s="21"/>
      <c r="K28" s="22"/>
      <c r="L28" s="23">
        <f t="shared" ref="L28:N28" ca="1" si="23">L29+L30</f>
        <v>2734339</v>
      </c>
      <c r="M28" s="23">
        <f t="shared" si="23"/>
        <v>0</v>
      </c>
      <c r="N28" s="23">
        <f t="shared" ca="1" si="23"/>
        <v>289916.56</v>
      </c>
      <c r="O28" s="22">
        <f t="shared" ref="O28:O30" ca="1" si="24">IF(L28&gt;0,N28*100/L28,0)</f>
        <v>10.602802359180775</v>
      </c>
      <c r="P28" s="22">
        <f t="shared" ref="P28:P37" si="25">IF(M28&gt;0,N28*100/M28,0)</f>
        <v>0</v>
      </c>
    </row>
    <row r="29" spans="1:16" ht="21.75" customHeight="1" x14ac:dyDescent="0.45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45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2734339</v>
      </c>
      <c r="M30" s="30">
        <f t="shared" si="27"/>
        <v>0</v>
      </c>
      <c r="N30" s="30">
        <f t="shared" ca="1" si="27"/>
        <v>289916.56</v>
      </c>
      <c r="O30" s="29">
        <f t="shared" ca="1" si="24"/>
        <v>10.602802359180775</v>
      </c>
      <c r="P30" s="29">
        <f t="shared" si="25"/>
        <v>0</v>
      </c>
    </row>
    <row r="31" spans="1:16" ht="21.75" customHeight="1" x14ac:dyDescent="0.45">
      <c r="A31" s="31"/>
      <c r="B31" s="32"/>
      <c r="C31" s="33" t="s">
        <v>16</v>
      </c>
      <c r="D31" s="529" t="s">
        <v>20</v>
      </c>
      <c r="E31" s="530"/>
      <c r="F31" s="530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45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2734339</v>
      </c>
      <c r="M32" s="38">
        <f t="shared" si="30"/>
        <v>0</v>
      </c>
      <c r="N32" s="38">
        <f t="shared" ca="1" si="30"/>
        <v>289916.56</v>
      </c>
      <c r="O32" s="38">
        <f t="shared" ca="1" si="29"/>
        <v>10.602802359180775</v>
      </c>
      <c r="P32" s="38">
        <f t="shared" si="25"/>
        <v>0</v>
      </c>
    </row>
    <row r="33" spans="1:16" ht="21.75" customHeight="1" x14ac:dyDescent="0.45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45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2734339</v>
      </c>
      <c r="M34" s="38">
        <f t="shared" si="32"/>
        <v>0</v>
      </c>
      <c r="N34" s="38">
        <f t="shared" ca="1" si="32"/>
        <v>289916.56</v>
      </c>
      <c r="O34" s="38">
        <f t="shared" ca="1" si="29"/>
        <v>10.602802359180775</v>
      </c>
      <c r="P34" s="38">
        <f t="shared" si="25"/>
        <v>0</v>
      </c>
    </row>
    <row r="35" spans="1:16" ht="21.75" customHeight="1" x14ac:dyDescent="0.45">
      <c r="A35" s="31"/>
      <c r="B35" s="32"/>
      <c r="C35" s="33" t="s">
        <v>16</v>
      </c>
      <c r="D35" s="529" t="s">
        <v>23</v>
      </c>
      <c r="E35" s="530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45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3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4241230</v>
      </c>
      <c r="M37" s="54">
        <f t="shared" ca="1" si="33"/>
        <v>2348910</v>
      </c>
      <c r="N37" s="54">
        <f t="shared" ca="1" si="33"/>
        <v>1762199</v>
      </c>
      <c r="O37" s="55">
        <f t="shared" ca="1" si="29"/>
        <v>41.549243969320223</v>
      </c>
      <c r="P37" s="55">
        <f t="shared" ca="1" si="25"/>
        <v>75.021988922521516</v>
      </c>
    </row>
    <row r="38" spans="1:16" ht="21.75" customHeight="1" x14ac:dyDescent="0.45">
      <c r="A38" s="531" t="s">
        <v>27</v>
      </c>
      <c r="B38" s="516"/>
      <c r="C38" s="516"/>
      <c r="D38" s="516"/>
      <c r="E38" s="516"/>
      <c r="F38" s="516"/>
      <c r="G38" s="517"/>
      <c r="H38" s="56"/>
      <c r="I38" s="57"/>
      <c r="J38" s="57"/>
      <c r="K38" s="58"/>
      <c r="L38" s="59"/>
      <c r="M38" s="59"/>
      <c r="N38" s="59"/>
      <c r="O38" s="59"/>
      <c r="P38" s="59"/>
    </row>
    <row r="39" spans="1:16" ht="21.75" customHeight="1" x14ac:dyDescent="0.45">
      <c r="A39" s="60"/>
      <c r="B39" s="532" t="s">
        <v>28</v>
      </c>
      <c r="C39" s="528"/>
      <c r="D39" s="528"/>
      <c r="E39" s="528"/>
      <c r="F39" s="528"/>
      <c r="G39" s="528"/>
      <c r="H39" s="61"/>
      <c r="I39" s="62"/>
      <c r="J39" s="62"/>
      <c r="K39" s="63"/>
      <c r="L39" s="64"/>
      <c r="M39" s="64"/>
      <c r="N39" s="64"/>
      <c r="O39" s="63"/>
      <c r="P39" s="63"/>
    </row>
    <row r="40" spans="1:16" ht="21.75" customHeight="1" x14ac:dyDescent="0.45">
      <c r="A40" s="65"/>
      <c r="B40" s="66" t="s">
        <v>29</v>
      </c>
      <c r="C40" s="67"/>
      <c r="D40" s="67"/>
      <c r="E40" s="67"/>
      <c r="F40" s="67"/>
      <c r="G40" s="67"/>
      <c r="H40" s="68"/>
      <c r="I40" s="69"/>
      <c r="J40" s="69"/>
      <c r="K40" s="70"/>
      <c r="L40" s="71"/>
      <c r="M40" s="71"/>
      <c r="N40" s="71"/>
      <c r="O40" s="70"/>
      <c r="P40" s="70"/>
    </row>
    <row r="41" spans="1:16" ht="21.75" customHeight="1" x14ac:dyDescent="0.45">
      <c r="A41" s="72"/>
      <c r="B41" s="73"/>
      <c r="C41" s="74" t="s">
        <v>16</v>
      </c>
      <c r="D41" s="533" t="s">
        <v>17</v>
      </c>
      <c r="E41" s="530"/>
      <c r="F41" s="530"/>
      <c r="G41" s="530"/>
      <c r="H41" s="75" t="s">
        <v>12</v>
      </c>
      <c r="I41" s="76"/>
      <c r="J41" s="76"/>
      <c r="K41" s="77"/>
      <c r="L41" s="78">
        <f t="shared" ref="L41:N41" ca="1" si="34">L42+L43</f>
        <v>1038100</v>
      </c>
      <c r="M41" s="78">
        <f t="shared" ca="1" si="34"/>
        <v>519100</v>
      </c>
      <c r="N41" s="78">
        <f t="shared" ca="1" si="34"/>
        <v>481710</v>
      </c>
      <c r="O41" s="77">
        <f t="shared" ref="O41:O43" ca="1" si="35">IF(L41&gt;0,N41*100/L41,0)</f>
        <v>46.403044022733837</v>
      </c>
      <c r="P41" s="77">
        <f t="shared" ref="P41:P43" ca="1" si="36">IF(M41&gt;0,N41*100/M41,0)</f>
        <v>92.797148911577736</v>
      </c>
    </row>
    <row r="42" spans="1:16" ht="21.75" customHeight="1" x14ac:dyDescent="0.45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45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1038100</v>
      </c>
      <c r="M43" s="78">
        <f t="shared" ca="1" si="38"/>
        <v>519100</v>
      </c>
      <c r="N43" s="78">
        <f t="shared" ca="1" si="38"/>
        <v>481710</v>
      </c>
      <c r="O43" s="77">
        <f t="shared" ca="1" si="35"/>
        <v>46.403044022733837</v>
      </c>
      <c r="P43" s="77">
        <f t="shared" ca="1" si="36"/>
        <v>92.797148911577736</v>
      </c>
    </row>
    <row r="44" spans="1:16" ht="21.75" customHeight="1" x14ac:dyDescent="0.45">
      <c r="A44" s="79"/>
      <c r="B44" s="80"/>
      <c r="C44" s="81" t="s">
        <v>16</v>
      </c>
      <c r="D44" s="534" t="s">
        <v>20</v>
      </c>
      <c r="E44" s="530"/>
      <c r="F44" s="530"/>
      <c r="G44" s="82" t="s">
        <v>18</v>
      </c>
      <c r="H44" s="83" t="s">
        <v>12</v>
      </c>
      <c r="I44" s="84"/>
      <c r="J44" s="84"/>
      <c r="K44" s="85"/>
      <c r="L44" s="86">
        <v>0</v>
      </c>
      <c r="M44" s="510"/>
      <c r="N44" s="511"/>
      <c r="O44" s="511"/>
      <c r="P44" s="511"/>
    </row>
    <row r="45" spans="1:16" ht="21.75" customHeight="1" x14ac:dyDescent="0.45">
      <c r="A45" s="79"/>
      <c r="B45" s="80"/>
      <c r="C45" s="80"/>
      <c r="D45" s="80"/>
      <c r="E45" s="88"/>
      <c r="F45" s="89"/>
      <c r="G45" s="82" t="s">
        <v>19</v>
      </c>
      <c r="H45" s="83" t="s">
        <v>12</v>
      </c>
      <c r="I45" s="84"/>
      <c r="J45" s="84"/>
      <c r="K45" s="85"/>
      <c r="L45" s="38">
        <f ca="1">L46+L47</f>
        <v>1038100</v>
      </c>
      <c r="M45" s="49">
        <f ca="1">IFERROR(__xludf.DUMMYFUNCTION("IMPORTRANGE(""https://docs.google.com/spreadsheets/d/1Yj_ptqi66GCucihVvJfMjLAmec39IyEx_6qawtMGysU/edit?usp=sharing"",""สบก!Q28"")"),519100)</f>
        <v>519100</v>
      </c>
      <c r="N45" s="49">
        <f ca="1">IFERROR(__xludf.DUMMYFUNCTION("IMPORTRANGE(""https://docs.google.com/spreadsheets/d/1Yj_ptqi66GCucihVvJfMjLAmec39IyEx_6qawtMGysU/edit?usp=sharing"",""สบก!R28"")"),481710)</f>
        <v>481710</v>
      </c>
      <c r="O45" s="38">
        <f ca="1">IF(L45&gt;0,N45*100/L45,0)</f>
        <v>46.403044022733837</v>
      </c>
      <c r="P45" s="38">
        <f ca="1">IF(M45&gt;0,N45*100/M45,0)</f>
        <v>92.797148911577736</v>
      </c>
    </row>
    <row r="46" spans="1:16" ht="21.75" customHeight="1" x14ac:dyDescent="0.45">
      <c r="A46" s="79"/>
      <c r="B46" s="80"/>
      <c r="C46" s="80"/>
      <c r="D46" s="80"/>
      <c r="E46" s="88"/>
      <c r="F46" s="88"/>
      <c r="G46" s="82" t="s">
        <v>21</v>
      </c>
      <c r="H46" s="83" t="s">
        <v>12</v>
      </c>
      <c r="I46" s="84"/>
      <c r="J46" s="84"/>
      <c r="K46" s="85"/>
      <c r="L46" s="49">
        <f ca="1">IFERROR(__xludf.DUMMYFUNCTION("IMPORTRANGE(""https://docs.google.com/spreadsheets/d/1Yj_ptqi66GCucihVvJfMjLAmec39IyEx_6qawtMGysU/edit?usp=sharing"",""สบก!M28"")"),1038100)</f>
        <v>1038100</v>
      </c>
      <c r="M46" s="41"/>
      <c r="N46" s="38"/>
      <c r="O46" s="38"/>
      <c r="P46" s="38"/>
    </row>
    <row r="47" spans="1:16" ht="21.75" customHeight="1" x14ac:dyDescent="0.45">
      <c r="A47" s="79"/>
      <c r="B47" s="80"/>
      <c r="C47" s="80"/>
      <c r="D47" s="80"/>
      <c r="E47" s="88"/>
      <c r="F47" s="88"/>
      <c r="G47" s="82" t="s">
        <v>22</v>
      </c>
      <c r="H47" s="83" t="s">
        <v>12</v>
      </c>
      <c r="I47" s="84"/>
      <c r="J47" s="84"/>
      <c r="K47" s="85"/>
      <c r="L47" s="49">
        <f ca="1">IFERROR(__xludf.DUMMYFUNCTION("IMPORTRANGE(""https://docs.google.com/spreadsheets/d/1Yj_ptqi66GCucihVvJfMjLAmec39IyEx_6qawtMGysU/edit?usp=sharing"",""สบก!N28"")"),0)</f>
        <v>0</v>
      </c>
      <c r="M47" s="41"/>
      <c r="N47" s="38"/>
      <c r="O47" s="38"/>
      <c r="P47" s="38"/>
    </row>
    <row r="48" spans="1:16" ht="21.75" customHeight="1" x14ac:dyDescent="0.45">
      <c r="A48" s="79"/>
      <c r="B48" s="80"/>
      <c r="C48" s="81" t="s">
        <v>16</v>
      </c>
      <c r="D48" s="534" t="s">
        <v>23</v>
      </c>
      <c r="E48" s="530"/>
      <c r="F48" s="88"/>
      <c r="G48" s="82" t="s">
        <v>18</v>
      </c>
      <c r="H48" s="83" t="s">
        <v>12</v>
      </c>
      <c r="I48" s="84"/>
      <c r="J48" s="84"/>
      <c r="K48" s="85"/>
      <c r="L48" s="50">
        <v>0</v>
      </c>
      <c r="M48" s="41"/>
      <c r="N48" s="41"/>
      <c r="O48" s="41"/>
      <c r="P48" s="41"/>
    </row>
    <row r="49" spans="1:16" ht="21.75" customHeight="1" x14ac:dyDescent="0.45">
      <c r="A49" s="90"/>
      <c r="B49" s="91"/>
      <c r="C49" s="91"/>
      <c r="D49" s="91"/>
      <c r="E49" s="92"/>
      <c r="F49" s="92"/>
      <c r="G49" s="93" t="s">
        <v>19</v>
      </c>
      <c r="H49" s="94" t="s">
        <v>12</v>
      </c>
      <c r="I49" s="95"/>
      <c r="J49" s="95"/>
      <c r="K49" s="96"/>
      <c r="L49" s="49">
        <f ca="1">IFERROR(__xludf.DUMMYFUNCTION("IMPORTRANGE(""https://docs.google.com/spreadsheets/d/1Yj_ptqi66GCucihVvJfMjLAmec39IyEx_6qawtMGysU/edit?usp=sharing"",""สบก!O28"")"),0)</f>
        <v>0</v>
      </c>
      <c r="M49" s="49"/>
      <c r="N49" s="49">
        <f ca="1">IFERROR(__xludf.DUMMYFUNCTION("IMPORTRANGE(""https://docs.google.com/spreadsheets/d/1Yj_ptqi66GCucihVvJfMjLAmec39IyEx_6qawtMGysU/edit?usp=sharing"",""สบก!S28"")"),0)</f>
        <v>0</v>
      </c>
      <c r="O49" s="49">
        <f ca="1">IF(L49&gt;0,N49*100/L49,0)</f>
        <v>0</v>
      </c>
      <c r="P49" s="49"/>
    </row>
    <row r="50" spans="1:16" ht="21.75" customHeight="1" x14ac:dyDescent="0.45">
      <c r="A50" s="97" t="s">
        <v>30</v>
      </c>
      <c r="B50" s="98"/>
      <c r="C50" s="98"/>
      <c r="D50" s="98"/>
      <c r="E50" s="98"/>
      <c r="F50" s="98"/>
      <c r="G50" s="98"/>
      <c r="H50" s="99"/>
      <c r="I50" s="100"/>
      <c r="J50" s="100"/>
      <c r="K50" s="101"/>
      <c r="L50" s="102"/>
      <c r="M50" s="102"/>
      <c r="N50" s="102"/>
      <c r="O50" s="101"/>
      <c r="P50" s="101"/>
    </row>
    <row r="51" spans="1:16" ht="21.75" customHeight="1" x14ac:dyDescent="0.45">
      <c r="A51" s="103"/>
      <c r="B51" s="104" t="s">
        <v>31</v>
      </c>
      <c r="C51" s="104"/>
      <c r="D51" s="104"/>
      <c r="E51" s="104"/>
      <c r="F51" s="104"/>
      <c r="G51" s="104"/>
      <c r="H51" s="105"/>
      <c r="I51" s="106"/>
      <c r="J51" s="106"/>
      <c r="K51" s="107"/>
      <c r="L51" s="108"/>
      <c r="M51" s="108"/>
      <c r="N51" s="108"/>
      <c r="O51" s="107"/>
      <c r="P51" s="107"/>
    </row>
    <row r="52" spans="1:16" ht="21.75" customHeight="1" x14ac:dyDescent="0.45">
      <c r="A52" s="109"/>
      <c r="B52" s="535" t="s">
        <v>32</v>
      </c>
      <c r="C52" s="530"/>
      <c r="D52" s="530"/>
      <c r="E52" s="530"/>
      <c r="F52" s="530"/>
      <c r="G52" s="530"/>
      <c r="H52" s="110"/>
      <c r="I52" s="111"/>
      <c r="J52" s="111"/>
      <c r="K52" s="112"/>
      <c r="L52" s="113"/>
      <c r="M52" s="113"/>
      <c r="N52" s="113"/>
      <c r="O52" s="112"/>
      <c r="P52" s="112"/>
    </row>
    <row r="53" spans="1:16" ht="21.75" customHeight="1" x14ac:dyDescent="0.45">
      <c r="A53" s="114"/>
      <c r="B53" s="115"/>
      <c r="C53" s="116" t="s">
        <v>16</v>
      </c>
      <c r="D53" s="536" t="s">
        <v>17</v>
      </c>
      <c r="E53" s="530"/>
      <c r="F53" s="530"/>
      <c r="G53" s="530"/>
      <c r="H53" s="117" t="s">
        <v>12</v>
      </c>
      <c r="I53" s="118"/>
      <c r="J53" s="118"/>
      <c r="K53" s="119"/>
      <c r="L53" s="120">
        <f t="shared" ref="L53:N53" ca="1" si="39">L54+L55</f>
        <v>400000</v>
      </c>
      <c r="M53" s="120">
        <f t="shared" ca="1" si="39"/>
        <v>218000</v>
      </c>
      <c r="N53" s="120">
        <f t="shared" ca="1" si="39"/>
        <v>211603</v>
      </c>
      <c r="O53" s="119">
        <f t="shared" ref="O53:O55" ca="1" si="40">IF(L53&gt;0,N53*100/L53,0)</f>
        <v>52.900750000000002</v>
      </c>
      <c r="P53" s="119">
        <f t="shared" ref="P53:P55" ca="1" si="41">IF(M53&gt;0,N53*100/M53,0)</f>
        <v>97.065596330275227</v>
      </c>
    </row>
    <row r="54" spans="1:16" ht="21.75" customHeight="1" x14ac:dyDescent="0.45">
      <c r="A54" s="114"/>
      <c r="B54" s="115"/>
      <c r="C54" s="115"/>
      <c r="D54" s="115"/>
      <c r="E54" s="115"/>
      <c r="F54" s="115"/>
      <c r="G54" s="116" t="s">
        <v>18</v>
      </c>
      <c r="H54" s="117" t="s">
        <v>12</v>
      </c>
      <c r="I54" s="118"/>
      <c r="J54" s="118"/>
      <c r="K54" s="119"/>
      <c r="L54" s="120">
        <f t="shared" ref="L54:N54" si="42">L56+L60</f>
        <v>0</v>
      </c>
      <c r="M54" s="120">
        <f t="shared" si="42"/>
        <v>0</v>
      </c>
      <c r="N54" s="120">
        <f t="shared" si="42"/>
        <v>0</v>
      </c>
      <c r="O54" s="119">
        <f t="shared" si="40"/>
        <v>0</v>
      </c>
      <c r="P54" s="119">
        <f t="shared" si="41"/>
        <v>0</v>
      </c>
    </row>
    <row r="55" spans="1:16" ht="21.75" customHeight="1" x14ac:dyDescent="0.45">
      <c r="A55" s="114"/>
      <c r="B55" s="115"/>
      <c r="C55" s="115"/>
      <c r="D55" s="115"/>
      <c r="E55" s="115"/>
      <c r="F55" s="115"/>
      <c r="G55" s="116" t="s">
        <v>19</v>
      </c>
      <c r="H55" s="117" t="s">
        <v>12</v>
      </c>
      <c r="I55" s="118"/>
      <c r="J55" s="118"/>
      <c r="K55" s="119"/>
      <c r="L55" s="120">
        <f t="shared" ref="L55:N55" ca="1" si="43">L57+L61</f>
        <v>400000</v>
      </c>
      <c r="M55" s="120">
        <f t="shared" ca="1" si="43"/>
        <v>218000</v>
      </c>
      <c r="N55" s="120">
        <f t="shared" ca="1" si="43"/>
        <v>211603</v>
      </c>
      <c r="O55" s="119">
        <f t="shared" ca="1" si="40"/>
        <v>52.900750000000002</v>
      </c>
      <c r="P55" s="119">
        <f t="shared" ca="1" si="41"/>
        <v>97.065596330275227</v>
      </c>
    </row>
    <row r="56" spans="1:16" ht="21.75" customHeight="1" x14ac:dyDescent="0.45">
      <c r="A56" s="79"/>
      <c r="B56" s="80"/>
      <c r="C56" s="81" t="s">
        <v>16</v>
      </c>
      <c r="D56" s="534" t="s">
        <v>20</v>
      </c>
      <c r="E56" s="530"/>
      <c r="F56" s="530"/>
      <c r="G56" s="82" t="s">
        <v>18</v>
      </c>
      <c r="H56" s="83" t="s">
        <v>12</v>
      </c>
      <c r="I56" s="84"/>
      <c r="J56" s="84"/>
      <c r="K56" s="85"/>
      <c r="L56" s="511">
        <v>0</v>
      </c>
      <c r="M56" s="510"/>
      <c r="N56" s="511"/>
      <c r="O56" s="511"/>
      <c r="P56" s="511"/>
    </row>
    <row r="57" spans="1:16" ht="21.75" customHeight="1" x14ac:dyDescent="0.45">
      <c r="A57" s="79"/>
      <c r="B57" s="80"/>
      <c r="C57" s="80"/>
      <c r="D57" s="80"/>
      <c r="E57" s="88"/>
      <c r="F57" s="89"/>
      <c r="G57" s="82" t="s">
        <v>19</v>
      </c>
      <c r="H57" s="83" t="s">
        <v>12</v>
      </c>
      <c r="I57" s="84"/>
      <c r="J57" s="84"/>
      <c r="K57" s="85"/>
      <c r="L57" s="38">
        <f ca="1">L58+L59</f>
        <v>400000</v>
      </c>
      <c r="M57" s="49">
        <f ca="1">IFERROR(__xludf.DUMMYFUNCTION("IMPORTRANGE(""https://docs.google.com/spreadsheets/d/1Yj_ptqi66GCucihVvJfMjLAmec39IyEx_6qawtMGysU/edit?usp=sharing"",""สบก!Z28"")"),218000)</f>
        <v>218000</v>
      </c>
      <c r="N57" s="49">
        <f ca="1">IFERROR(__xludf.DUMMYFUNCTION("IMPORTRANGE(""https://docs.google.com/spreadsheets/d/1Yj_ptqi66GCucihVvJfMjLAmec39IyEx_6qawtMGysU/edit?usp=sharing"",""สบก!AA28"")"),211603)</f>
        <v>211603</v>
      </c>
      <c r="O57" s="38">
        <f ca="1">IF(L57&gt;0,N57*100/L57,0)</f>
        <v>52.900750000000002</v>
      </c>
      <c r="P57" s="38">
        <f ca="1">IF(M57&gt;0,N57*100/M57,0)</f>
        <v>97.065596330275227</v>
      </c>
    </row>
    <row r="58" spans="1:16" ht="21.75" customHeight="1" x14ac:dyDescent="0.45">
      <c r="A58" s="79"/>
      <c r="B58" s="80"/>
      <c r="C58" s="80"/>
      <c r="D58" s="80"/>
      <c r="E58" s="88"/>
      <c r="F58" s="88"/>
      <c r="G58" s="82" t="s">
        <v>21</v>
      </c>
      <c r="H58" s="83" t="s">
        <v>12</v>
      </c>
      <c r="I58" s="84"/>
      <c r="J58" s="84"/>
      <c r="K58" s="85"/>
      <c r="L58" s="49">
        <f ca="1">IFERROR(__xludf.DUMMYFUNCTION("IMPORTRANGE(""https://docs.google.com/spreadsheets/d/1Yj_ptqi66GCucihVvJfMjLAmec39IyEx_6qawtMGysU/edit?usp=sharing"",""สบก!V28"")"),400000)</f>
        <v>400000</v>
      </c>
      <c r="M58" s="41"/>
      <c r="N58" s="38"/>
      <c r="O58" s="38"/>
      <c r="P58" s="38"/>
    </row>
    <row r="59" spans="1:16" ht="21.75" customHeight="1" x14ac:dyDescent="0.45">
      <c r="A59" s="79"/>
      <c r="B59" s="80"/>
      <c r="C59" s="80"/>
      <c r="D59" s="80"/>
      <c r="E59" s="88"/>
      <c r="F59" s="88"/>
      <c r="G59" s="82" t="s">
        <v>22</v>
      </c>
      <c r="H59" s="83" t="s">
        <v>12</v>
      </c>
      <c r="I59" s="84"/>
      <c r="J59" s="84"/>
      <c r="K59" s="85"/>
      <c r="L59" s="49">
        <f ca="1">IFERROR(__xludf.DUMMYFUNCTION("IMPORTRANGE(""https://docs.google.com/spreadsheets/d/1Yj_ptqi66GCucihVvJfMjLAmec39IyEx_6qawtMGysU/edit?usp=sharing"",""สบก!W28"")"),0)</f>
        <v>0</v>
      </c>
      <c r="M59" s="41"/>
      <c r="N59" s="38"/>
      <c r="O59" s="38"/>
      <c r="P59" s="38"/>
    </row>
    <row r="60" spans="1:16" ht="21.75" customHeight="1" x14ac:dyDescent="0.45">
      <c r="A60" s="79"/>
      <c r="B60" s="80"/>
      <c r="C60" s="81" t="s">
        <v>16</v>
      </c>
      <c r="D60" s="534" t="s">
        <v>23</v>
      </c>
      <c r="E60" s="530"/>
      <c r="F60" s="88"/>
      <c r="G60" s="82" t="s">
        <v>18</v>
      </c>
      <c r="H60" s="83" t="s">
        <v>12</v>
      </c>
      <c r="I60" s="84"/>
      <c r="J60" s="84"/>
      <c r="K60" s="85"/>
      <c r="L60" s="50">
        <v>0</v>
      </c>
      <c r="M60" s="41"/>
      <c r="N60" s="41"/>
      <c r="O60" s="41"/>
      <c r="P60" s="41"/>
    </row>
    <row r="61" spans="1:16" ht="21.75" customHeight="1" x14ac:dyDescent="0.45">
      <c r="A61" s="90"/>
      <c r="B61" s="91"/>
      <c r="C61" s="91"/>
      <c r="D61" s="91"/>
      <c r="E61" s="92"/>
      <c r="F61" s="92"/>
      <c r="G61" s="93" t="s">
        <v>19</v>
      </c>
      <c r="H61" s="94" t="s">
        <v>12</v>
      </c>
      <c r="I61" s="95"/>
      <c r="J61" s="95"/>
      <c r="K61" s="96"/>
      <c r="L61" s="49">
        <f ca="1">IFERROR(__xludf.DUMMYFUNCTION("IMPORTRANGE(""https://docs.google.com/spreadsheets/d/1Yj_ptqi66GCucihVvJfMjLAmec39IyEx_6qawtMGysU/edit?usp=sharing"",""สบก!X28"")"),0)</f>
        <v>0</v>
      </c>
      <c r="M61" s="49"/>
      <c r="N61" s="49">
        <f ca="1">IFERROR(__xludf.DUMMYFUNCTION("IMPORTRANGE(""https://docs.google.com/spreadsheets/d/1Yj_ptqi66GCucihVvJfMjLAmec39IyEx_6qawtMGysU/edit?usp=sharing"",""สบก!AB28"")"),0)</f>
        <v>0</v>
      </c>
      <c r="O61" s="49">
        <f ca="1">IF(L61&gt;0,N61*100/L61,0)</f>
        <v>0</v>
      </c>
      <c r="P61" s="49"/>
    </row>
    <row r="62" spans="1:16" ht="21.75" customHeight="1" x14ac:dyDescent="0.3">
      <c r="A62" s="121" t="s">
        <v>33</v>
      </c>
      <c r="B62" s="122"/>
      <c r="C62" s="122"/>
      <c r="D62" s="122"/>
      <c r="E62" s="123"/>
      <c r="F62" s="123"/>
      <c r="G62" s="123"/>
      <c r="H62" s="124"/>
      <c r="I62" s="125"/>
      <c r="J62" s="125"/>
      <c r="K62" s="126"/>
      <c r="L62" s="127"/>
      <c r="M62" s="127"/>
      <c r="N62" s="127"/>
      <c r="O62" s="127"/>
      <c r="P62" s="127"/>
    </row>
    <row r="63" spans="1:16" ht="21.75" customHeight="1" x14ac:dyDescent="0.3">
      <c r="A63" s="128" t="s">
        <v>34</v>
      </c>
      <c r="B63" s="129"/>
      <c r="C63" s="130"/>
      <c r="D63" s="129"/>
      <c r="E63" s="131"/>
      <c r="F63" s="131"/>
      <c r="G63" s="131"/>
      <c r="H63" s="132"/>
      <c r="I63" s="133"/>
      <c r="J63" s="133"/>
      <c r="K63" s="134"/>
      <c r="L63" s="135"/>
      <c r="M63" s="135"/>
      <c r="N63" s="135"/>
      <c r="O63" s="136"/>
      <c r="P63" s="136"/>
    </row>
    <row r="64" spans="1:16" ht="21.75" customHeight="1" x14ac:dyDescent="0.3">
      <c r="A64" s="137"/>
      <c r="B64" s="138" t="s">
        <v>35</v>
      </c>
      <c r="C64" s="138"/>
      <c r="D64" s="139"/>
      <c r="E64" s="138"/>
      <c r="F64" s="138"/>
      <c r="G64" s="138"/>
      <c r="H64" s="140" t="s">
        <v>36</v>
      </c>
      <c r="I64" s="141">
        <f ca="1">IFERROR(__xludf.DUMMYFUNCTION("IMPORTRANGE(""https://docs.google.com/spreadsheets/d/11923uPwbBZFjjGgGUA6NLw09EwE0CqkOc4q9oUmW1yo/edit?usp=sharing"",""พิษณุโลก!I9"")"),3)</f>
        <v>3</v>
      </c>
      <c r="J64" s="141">
        <f ca="1">IFERROR(__xludf.DUMMYFUNCTION("IMPORTRANGE(""https://docs.google.com/spreadsheets/d/11923uPwbBZFjjGgGUA6NLw09EwE0CqkOc4q9oUmW1yo/edit?usp=sharing"",""พิษณุโลก!J9"")"),3)</f>
        <v>3</v>
      </c>
      <c r="K64" s="142">
        <f t="shared" ref="K64:K65" ca="1" si="44">IF(I64&gt;0,J64*100/I64,0)</f>
        <v>100</v>
      </c>
      <c r="L64" s="143"/>
      <c r="M64" s="143"/>
      <c r="N64" s="144"/>
      <c r="O64" s="142"/>
      <c r="P64" s="142"/>
    </row>
    <row r="65" spans="1:16" ht="21.75" customHeight="1" x14ac:dyDescent="0.3">
      <c r="A65" s="137"/>
      <c r="B65" s="138"/>
      <c r="C65" s="138"/>
      <c r="D65" s="139"/>
      <c r="E65" s="138"/>
      <c r="F65" s="138"/>
      <c r="G65" s="138"/>
      <c r="H65" s="140" t="s">
        <v>37</v>
      </c>
      <c r="I65" s="141">
        <f ca="1">IFERROR(__xludf.DUMMYFUNCTION("IMPORTRANGE(""https://docs.google.com/spreadsheets/d/11923uPwbBZFjjGgGUA6NLw09EwE0CqkOc4q9oUmW1yo/edit?usp=sharing"",""พิษณุโลก!I10"")"),188)</f>
        <v>188</v>
      </c>
      <c r="J65" s="141">
        <f ca="1">IFERROR(__xludf.DUMMYFUNCTION("IMPORTRANGE(""https://docs.google.com/spreadsheets/d/11923uPwbBZFjjGgGUA6NLw09EwE0CqkOc4q9oUmW1yo/edit?usp=sharing"",""พิษณุโลก!J10"")"),188)</f>
        <v>188</v>
      </c>
      <c r="K65" s="142">
        <f t="shared" ca="1" si="44"/>
        <v>100</v>
      </c>
      <c r="L65" s="144"/>
      <c r="M65" s="144"/>
      <c r="N65" s="144"/>
      <c r="O65" s="142"/>
      <c r="P65" s="142"/>
    </row>
    <row r="66" spans="1:16" ht="21.75" customHeight="1" x14ac:dyDescent="0.45">
      <c r="A66" s="145"/>
      <c r="B66" s="146"/>
      <c r="C66" s="147" t="s">
        <v>16</v>
      </c>
      <c r="D66" s="537" t="s">
        <v>17</v>
      </c>
      <c r="E66" s="528"/>
      <c r="F66" s="528"/>
      <c r="G66" s="528"/>
      <c r="H66" s="148" t="s">
        <v>12</v>
      </c>
      <c r="I66" s="149"/>
      <c r="J66" s="149"/>
      <c r="K66" s="150"/>
      <c r="L66" s="151">
        <f t="shared" ref="L66:N66" ca="1" si="45">L67+L68</f>
        <v>1706600</v>
      </c>
      <c r="M66" s="151">
        <f t="shared" ca="1" si="45"/>
        <v>991680</v>
      </c>
      <c r="N66" s="151">
        <f t="shared" ca="1" si="45"/>
        <v>548684</v>
      </c>
      <c r="O66" s="150">
        <f t="shared" ref="O66:O68" ca="1" si="46">IF(L66&gt;0,N66*100/L66,0)</f>
        <v>32.150709012070784</v>
      </c>
      <c r="P66" s="150">
        <f t="shared" ref="P66:P68" ca="1" si="47">IF(M66&gt;0,N66*100/M66,0)</f>
        <v>55.328735075830913</v>
      </c>
    </row>
    <row r="67" spans="1:16" ht="21.75" customHeight="1" x14ac:dyDescent="0.45">
      <c r="A67" s="152"/>
      <c r="B67" s="32"/>
      <c r="C67" s="32"/>
      <c r="D67" s="32"/>
      <c r="E67" s="32"/>
      <c r="F67" s="32"/>
      <c r="G67" s="33" t="s">
        <v>18</v>
      </c>
      <c r="H67" s="153" t="s">
        <v>12</v>
      </c>
      <c r="I67" s="154"/>
      <c r="J67" s="154"/>
      <c r="K67" s="155"/>
      <c r="L67" s="87">
        <f t="shared" ref="L67:N67" si="48">L69+L73</f>
        <v>0</v>
      </c>
      <c r="M67" s="87">
        <f t="shared" si="48"/>
        <v>0</v>
      </c>
      <c r="N67" s="87">
        <f t="shared" si="48"/>
        <v>0</v>
      </c>
      <c r="O67" s="155">
        <f t="shared" si="46"/>
        <v>0</v>
      </c>
      <c r="P67" s="155">
        <f t="shared" si="47"/>
        <v>0</v>
      </c>
    </row>
    <row r="68" spans="1:16" ht="21.75" customHeight="1" x14ac:dyDescent="0.45">
      <c r="A68" s="152"/>
      <c r="B68" s="32"/>
      <c r="C68" s="32"/>
      <c r="D68" s="32"/>
      <c r="E68" s="32"/>
      <c r="F68" s="32"/>
      <c r="G68" s="33" t="s">
        <v>19</v>
      </c>
      <c r="H68" s="153" t="s">
        <v>12</v>
      </c>
      <c r="I68" s="154"/>
      <c r="J68" s="154"/>
      <c r="K68" s="155"/>
      <c r="L68" s="87">
        <f t="shared" ref="L68:N68" ca="1" si="49">L70+L74</f>
        <v>1706600</v>
      </c>
      <c r="M68" s="87">
        <f t="shared" ca="1" si="49"/>
        <v>991680</v>
      </c>
      <c r="N68" s="87">
        <f t="shared" ca="1" si="49"/>
        <v>548684</v>
      </c>
      <c r="O68" s="155">
        <f t="shared" ca="1" si="46"/>
        <v>32.150709012070784</v>
      </c>
      <c r="P68" s="155">
        <f t="shared" ca="1" si="47"/>
        <v>55.328735075830913</v>
      </c>
    </row>
    <row r="69" spans="1:16" ht="21.75" customHeight="1" x14ac:dyDescent="0.3">
      <c r="A69" s="156"/>
      <c r="B69" s="157"/>
      <c r="C69" s="157" t="s">
        <v>16</v>
      </c>
      <c r="D69" s="158" t="s">
        <v>38</v>
      </c>
      <c r="E69" s="159"/>
      <c r="F69" s="159"/>
      <c r="G69" s="160" t="s">
        <v>39</v>
      </c>
      <c r="H69" s="161" t="s">
        <v>12</v>
      </c>
      <c r="I69" s="162" t="s">
        <v>40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3">
      <c r="A70" s="156"/>
      <c r="B70" s="157"/>
      <c r="C70" s="157"/>
      <c r="D70" s="166"/>
      <c r="E70" s="159"/>
      <c r="F70" s="159" t="s">
        <v>40</v>
      </c>
      <c r="G70" s="160" t="s">
        <v>41</v>
      </c>
      <c r="H70" s="161" t="s">
        <v>12</v>
      </c>
      <c r="I70" s="162"/>
      <c r="J70" s="162"/>
      <c r="K70" s="163"/>
      <c r="L70" s="167">
        <f ca="1">L71+L72</f>
        <v>1646600</v>
      </c>
      <c r="M70" s="167">
        <f ca="1">IFERROR(__xludf.DUMMYFUNCTION("IMPORTRANGE(""https://docs.google.com/spreadsheets/d/1Yj_ptqi66GCucihVvJfMjLAmec39IyEx_6qawtMGysU/edit?usp=sharing"",""สบก!AI28"")"),931680)</f>
        <v>931680</v>
      </c>
      <c r="N70" s="168">
        <f ca="1">IFERROR(__xludf.DUMMYFUNCTION("IMPORTRANGE(""https://docs.google.com/spreadsheets/d/1Yj_ptqi66GCucihVvJfMjLAmec39IyEx_6qawtMGysU/edit?usp=sharing"",""สบก!AJ28"")"),488684)</f>
        <v>488684</v>
      </c>
      <c r="O70" s="168">
        <f ca="1">IF(L70&gt;0,N70*100/L70,0)</f>
        <v>29.678367545244747</v>
      </c>
      <c r="P70" s="168">
        <f ca="1">IF(M70&gt;0,N70*100/M70,0)</f>
        <v>52.451914820539244</v>
      </c>
    </row>
    <row r="71" spans="1:16" ht="21.75" customHeight="1" x14ac:dyDescent="0.3">
      <c r="A71" s="156"/>
      <c r="B71" s="157"/>
      <c r="C71" s="157"/>
      <c r="D71" s="166"/>
      <c r="E71" s="159"/>
      <c r="F71" s="159"/>
      <c r="G71" s="169" t="s">
        <v>42</v>
      </c>
      <c r="H71" s="161" t="s">
        <v>12</v>
      </c>
      <c r="I71" s="162"/>
      <c r="J71" s="162"/>
      <c r="K71" s="163"/>
      <c r="L71" s="167">
        <f ca="1">IFERROR(__xludf.DUMMYFUNCTION("IMPORTRANGE(""https://docs.google.com/spreadsheets/d/1Yj_ptqi66GCucihVvJfMjLAmec39IyEx_6qawtMGysU/edit?usp=sharing"",""สบก!AE28"")"),192000)</f>
        <v>192000</v>
      </c>
      <c r="M71" s="167"/>
      <c r="N71" s="167"/>
      <c r="O71" s="168"/>
      <c r="P71" s="168"/>
    </row>
    <row r="72" spans="1:16" ht="21.75" customHeight="1" x14ac:dyDescent="0.3">
      <c r="A72" s="156"/>
      <c r="B72" s="157"/>
      <c r="C72" s="157"/>
      <c r="D72" s="166"/>
      <c r="E72" s="159"/>
      <c r="F72" s="159"/>
      <c r="G72" s="169" t="s">
        <v>43</v>
      </c>
      <c r="H72" s="161" t="s">
        <v>12</v>
      </c>
      <c r="I72" s="162"/>
      <c r="J72" s="162"/>
      <c r="K72" s="163"/>
      <c r="L72" s="167">
        <f ca="1">IFERROR(__xludf.DUMMYFUNCTION("IMPORTRANGE(""https://docs.google.com/spreadsheets/d/1Yj_ptqi66GCucihVvJfMjLAmec39IyEx_6qawtMGysU/edit?usp=sharing"",""สบก!AF28"")"),1454600)</f>
        <v>1454600</v>
      </c>
      <c r="M72" s="167"/>
      <c r="N72" s="167"/>
      <c r="O72" s="168"/>
      <c r="P72" s="168"/>
    </row>
    <row r="73" spans="1:16" ht="21.75" customHeight="1" x14ac:dyDescent="0.45">
      <c r="A73" s="170"/>
      <c r="B73" s="80"/>
      <c r="C73" s="81" t="s">
        <v>16</v>
      </c>
      <c r="D73" s="534" t="s">
        <v>23</v>
      </c>
      <c r="E73" s="530"/>
      <c r="F73" s="88"/>
      <c r="G73" s="82" t="s">
        <v>18</v>
      </c>
      <c r="H73" s="171" t="s">
        <v>12</v>
      </c>
      <c r="I73" s="84"/>
      <c r="J73" s="84"/>
      <c r="K73" s="85"/>
      <c r="L73" s="41">
        <v>0</v>
      </c>
      <c r="M73" s="41"/>
      <c r="N73" s="41"/>
      <c r="O73" s="41"/>
      <c r="P73" s="41"/>
    </row>
    <row r="74" spans="1:16" ht="21.75" customHeight="1" x14ac:dyDescent="0.45">
      <c r="A74" s="172"/>
      <c r="B74" s="91"/>
      <c r="C74" s="91"/>
      <c r="D74" s="173"/>
      <c r="E74" s="92"/>
      <c r="F74" s="92"/>
      <c r="G74" s="93" t="s">
        <v>19</v>
      </c>
      <c r="H74" s="174" t="s">
        <v>12</v>
      </c>
      <c r="I74" s="95"/>
      <c r="J74" s="95"/>
      <c r="K74" s="96"/>
      <c r="L74" s="49">
        <f ca="1">IFERROR(__xludf.DUMMYFUNCTION("IMPORTRANGE(""https://docs.google.com/spreadsheets/d/1Yj_ptqi66GCucihVvJfMjLAmec39IyEx_6qawtMGysU/edit?usp=sharing"",""สบก!AG28"")"),60000)</f>
        <v>60000</v>
      </c>
      <c r="M74" s="49">
        <f ca="1">L74</f>
        <v>60000</v>
      </c>
      <c r="N74" s="49">
        <f ca="1">IFERROR(__xludf.DUMMYFUNCTION("IMPORTRANGE(""https://docs.google.com/spreadsheets/d/1Yj_ptqi66GCucihVvJfMjLAmec39IyEx_6qawtMGysU/edit?usp=sharing"",""สบก!AK28"")"),60000)</f>
        <v>60000</v>
      </c>
      <c r="O74" s="49">
        <f ca="1">IF(L74&gt;0,N74*100/L74,0)</f>
        <v>100</v>
      </c>
      <c r="P74" s="49">
        <f ca="1">IF(M74&gt;0,N74*100/M74,0)</f>
        <v>100</v>
      </c>
    </row>
    <row r="75" spans="1:16" ht="21.75" customHeight="1" x14ac:dyDescent="0.3">
      <c r="A75" s="175"/>
      <c r="B75" s="176"/>
      <c r="C75" s="157" t="s">
        <v>16</v>
      </c>
      <c r="D75" s="177" t="s">
        <v>44</v>
      </c>
      <c r="E75" s="178"/>
      <c r="F75" s="178"/>
      <c r="G75" s="179"/>
      <c r="H75" s="180"/>
      <c r="I75" s="162"/>
      <c r="J75" s="162"/>
      <c r="K75" s="163"/>
      <c r="L75" s="181"/>
      <c r="M75" s="181"/>
      <c r="N75" s="181"/>
      <c r="O75" s="181"/>
      <c r="P75" s="181"/>
    </row>
    <row r="76" spans="1:16" ht="21.75" customHeight="1" x14ac:dyDescent="0.3">
      <c r="A76" s="175"/>
      <c r="B76" s="176"/>
      <c r="C76" s="176"/>
      <c r="D76" s="182">
        <v>1</v>
      </c>
      <c r="E76" s="183" t="s">
        <v>45</v>
      </c>
      <c r="F76" s="184"/>
      <c r="G76" s="185"/>
      <c r="H76" s="186"/>
      <c r="I76" s="187"/>
      <c r="J76" s="188">
        <f ca="1">IFERROR(__xludf.DUMMYFUNCTION("IMPORTRANGE(""https://docs.google.com/spreadsheets/d/11923uPwbBZFjjGgGUA6NLw09EwE0CqkOc4q9oUmW1yo/edit?usp=sharing"",""พิษณุโลก!J16"")"),0)</f>
        <v>0</v>
      </c>
      <c r="K76" s="163"/>
      <c r="L76" s="181"/>
      <c r="M76" s="181"/>
      <c r="N76" s="181"/>
      <c r="O76" s="181"/>
      <c r="P76" s="181"/>
    </row>
    <row r="77" spans="1:16" ht="21.75" customHeight="1" x14ac:dyDescent="0.3">
      <c r="A77" s="175"/>
      <c r="B77" s="176"/>
      <c r="C77" s="176"/>
      <c r="D77" s="189">
        <v>2</v>
      </c>
      <c r="E77" s="190" t="s">
        <v>46</v>
      </c>
      <c r="F77" s="191"/>
      <c r="G77" s="192"/>
      <c r="H77" s="186"/>
      <c r="I77" s="187"/>
      <c r="J77" s="188">
        <f ca="1">IFERROR(__xludf.DUMMYFUNCTION("IMPORTRANGE(""https://docs.google.com/spreadsheets/d/11923uPwbBZFjjGgGUA6NLw09EwE0CqkOc4q9oUmW1yo/edit?usp=sharing"",""พิษณุโลก!J17"")"),1)</f>
        <v>1</v>
      </c>
      <c r="K77" s="163"/>
      <c r="L77" s="181" t="s">
        <v>40</v>
      </c>
      <c r="M77" s="181"/>
      <c r="N77" s="181" t="s">
        <v>40</v>
      </c>
      <c r="O77" s="181"/>
      <c r="P77" s="181"/>
    </row>
    <row r="78" spans="1:16" ht="21.75" customHeight="1" x14ac:dyDescent="0.3">
      <c r="A78" s="175"/>
      <c r="B78" s="176"/>
      <c r="C78" s="176"/>
      <c r="D78" s="193"/>
      <c r="E78" s="194" t="s">
        <v>47</v>
      </c>
      <c r="F78" s="195"/>
      <c r="G78" s="196"/>
      <c r="H78" s="186"/>
      <c r="I78" s="187"/>
      <c r="J78" s="188">
        <f ca="1">IFERROR(__xludf.DUMMYFUNCTION("IMPORTRANGE(""https://docs.google.com/spreadsheets/d/11923uPwbBZFjjGgGUA6NLw09EwE0CqkOc4q9oUmW1yo/edit?usp=sharing"",""พิษณุโลก!J18"")"),1)</f>
        <v>1</v>
      </c>
      <c r="K78" s="163"/>
      <c r="L78" s="181"/>
      <c r="M78" s="181"/>
      <c r="N78" s="181"/>
      <c r="O78" s="181"/>
      <c r="P78" s="181"/>
    </row>
    <row r="79" spans="1:16" ht="21.75" customHeight="1" x14ac:dyDescent="0.3">
      <c r="A79" s="175"/>
      <c r="B79" s="176"/>
      <c r="C79" s="176"/>
      <c r="D79" s="193"/>
      <c r="E79" s="194" t="s">
        <v>48</v>
      </c>
      <c r="F79" s="195"/>
      <c r="G79" s="196"/>
      <c r="H79" s="186"/>
      <c r="I79" s="187"/>
      <c r="J79" s="197">
        <f ca="1">IFERROR(__xludf.DUMMYFUNCTION("IMPORTRANGE(""https://docs.google.com/spreadsheets/d/11923uPwbBZFjjGgGUA6NLw09EwE0CqkOc4q9oUmW1yo/edit?usp=sharing"",""พิษณุโลก!J19"")"),1)</f>
        <v>1</v>
      </c>
      <c r="K79" s="163"/>
      <c r="L79" s="181"/>
      <c r="M79" s="181"/>
      <c r="N79" s="181"/>
      <c r="O79" s="181"/>
      <c r="P79" s="181"/>
    </row>
    <row r="80" spans="1:16" ht="21.75" customHeight="1" x14ac:dyDescent="0.3">
      <c r="A80" s="175"/>
      <c r="B80" s="176"/>
      <c r="C80" s="176"/>
      <c r="D80" s="193"/>
      <c r="E80" s="198"/>
      <c r="F80" s="194" t="s">
        <v>49</v>
      </c>
      <c r="G80" s="195"/>
      <c r="H80" s="199" t="s">
        <v>36</v>
      </c>
      <c r="I80" s="200">
        <f ca="1">IFERROR(__xludf.DUMMYFUNCTION("IMPORTRANGE(""https://docs.google.com/spreadsheets/d/11923uPwbBZFjjGgGUA6NLw09EwE0CqkOc4q9oUmW1yo/edit?usp=sharing"",""พิษณุโลก!I20"")"),3)</f>
        <v>3</v>
      </c>
      <c r="J80" s="200">
        <f ca="1">IFERROR(__xludf.DUMMYFUNCTION("IMPORTRANGE(""https://docs.google.com/spreadsheets/d/11923uPwbBZFjjGgGUA6NLw09EwE0CqkOc4q9oUmW1yo/edit?usp=sharing"",""พิษณุโลก!J20"")"),3)</f>
        <v>3</v>
      </c>
      <c r="K80" s="201">
        <f t="shared" ref="K80:K88" ca="1" si="50">IF(I80&gt;0,J80*100/I80,0)</f>
        <v>100</v>
      </c>
      <c r="L80" s="181"/>
      <c r="M80" s="181"/>
      <c r="N80" s="181"/>
      <c r="O80" s="181"/>
      <c r="P80" s="181"/>
    </row>
    <row r="81" spans="1:16" ht="21.75" customHeight="1" x14ac:dyDescent="0.3">
      <c r="A81" s="175"/>
      <c r="B81" s="176"/>
      <c r="C81" s="176"/>
      <c r="D81" s="193"/>
      <c r="E81" s="198"/>
      <c r="F81" s="195"/>
      <c r="G81" s="196"/>
      <c r="H81" s="199" t="s">
        <v>37</v>
      </c>
      <c r="I81" s="200">
        <f ca="1">IFERROR(__xludf.DUMMYFUNCTION("IMPORTRANGE(""https://docs.google.com/spreadsheets/d/11923uPwbBZFjjGgGUA6NLw09EwE0CqkOc4q9oUmW1yo/edit?usp=sharing"",""พิษณุโลก!I21"")"),188)</f>
        <v>188</v>
      </c>
      <c r="J81" s="200">
        <f ca="1">IFERROR(__xludf.DUMMYFUNCTION("IMPORTRANGE(""https://docs.google.com/spreadsheets/d/11923uPwbBZFjjGgGUA6NLw09EwE0CqkOc4q9oUmW1yo/edit?usp=sharing"",""พิษณุโลก!J21"")"),188)</f>
        <v>188</v>
      </c>
      <c r="K81" s="201">
        <f t="shared" ca="1" si="50"/>
        <v>100</v>
      </c>
      <c r="L81" s="181"/>
      <c r="M81" s="181"/>
      <c r="N81" s="181"/>
      <c r="O81" s="181"/>
      <c r="P81" s="181"/>
    </row>
    <row r="82" spans="1:16" ht="21.75" customHeight="1" x14ac:dyDescent="0.3">
      <c r="A82" s="175"/>
      <c r="B82" s="176"/>
      <c r="C82" s="176"/>
      <c r="D82" s="193"/>
      <c r="E82" s="198"/>
      <c r="F82" s="195"/>
      <c r="G82" s="195" t="s">
        <v>50</v>
      </c>
      <c r="H82" s="180" t="s">
        <v>36</v>
      </c>
      <c r="I82" s="202">
        <f ca="1">IFERROR(__xludf.DUMMYFUNCTION("IMPORTRANGE(""https://docs.google.com/spreadsheets/d/11923uPwbBZFjjGgGUA6NLw09EwE0CqkOc4q9oUmW1yo/edit?usp=sharing"",""พิษณุโลก!I22"")"),0)</f>
        <v>0</v>
      </c>
      <c r="J82" s="203">
        <f ca="1">IFERROR(__xludf.DUMMYFUNCTION("IMPORTRANGE(""https://docs.google.com/spreadsheets/d/11923uPwbBZFjjGgGUA6NLw09EwE0CqkOc4q9oUmW1yo/edit?usp=sharing"",""พิษณุโลก!J22"")"),0)</f>
        <v>0</v>
      </c>
      <c r="K82" s="163">
        <f t="shared" ca="1" si="50"/>
        <v>0</v>
      </c>
      <c r="L82" s="181"/>
      <c r="M82" s="181"/>
      <c r="N82" s="181"/>
      <c r="O82" s="181"/>
      <c r="P82" s="181"/>
    </row>
    <row r="83" spans="1:16" ht="21.75" customHeight="1" x14ac:dyDescent="0.3">
      <c r="A83" s="175"/>
      <c r="B83" s="176"/>
      <c r="C83" s="176"/>
      <c r="D83" s="193"/>
      <c r="E83" s="198"/>
      <c r="F83" s="195"/>
      <c r="G83" s="196"/>
      <c r="H83" s="180" t="s">
        <v>37</v>
      </c>
      <c r="I83" s="202">
        <f ca="1">IFERROR(__xludf.DUMMYFUNCTION("IMPORTRANGE(""https://docs.google.com/spreadsheets/d/11923uPwbBZFjjGgGUA6NLw09EwE0CqkOc4q9oUmW1yo/edit?usp=sharing"",""พิษณุโลก!I23"")"),0)</f>
        <v>0</v>
      </c>
      <c r="J83" s="203">
        <f ca="1">IFERROR(__xludf.DUMMYFUNCTION("IMPORTRANGE(""https://docs.google.com/spreadsheets/d/11923uPwbBZFjjGgGUA6NLw09EwE0CqkOc4q9oUmW1yo/edit?usp=sharing"",""พิษณุโลก!J23"")"),0)</f>
        <v>0</v>
      </c>
      <c r="K83" s="163">
        <f t="shared" ca="1" si="50"/>
        <v>0</v>
      </c>
      <c r="L83" s="181"/>
      <c r="M83" s="181"/>
      <c r="N83" s="181"/>
      <c r="O83" s="181"/>
      <c r="P83" s="181"/>
    </row>
    <row r="84" spans="1:16" ht="21.75" customHeight="1" x14ac:dyDescent="0.3">
      <c r="A84" s="175"/>
      <c r="B84" s="176"/>
      <c r="C84" s="176"/>
      <c r="D84" s="193"/>
      <c r="E84" s="198"/>
      <c r="F84" s="195"/>
      <c r="G84" s="195" t="s">
        <v>51</v>
      </c>
      <c r="H84" s="180" t="s">
        <v>36</v>
      </c>
      <c r="I84" s="202">
        <f ca="1">IFERROR(__xludf.DUMMYFUNCTION("IMPORTRANGE(""https://docs.google.com/spreadsheets/d/11923uPwbBZFjjGgGUA6NLw09EwE0CqkOc4q9oUmW1yo/edit?usp=sharing"",""พิษณุโลก!I24"")"),0)</f>
        <v>0</v>
      </c>
      <c r="J84" s="188">
        <f ca="1">IFERROR(__xludf.DUMMYFUNCTION("IMPORTRANGE(""https://docs.google.com/spreadsheets/d/11923uPwbBZFjjGgGUA6NLw09EwE0CqkOc4q9oUmW1yo/edit?usp=sharing"",""พิษณุโลก!J24"")"),0)</f>
        <v>0</v>
      </c>
      <c r="K84" s="163">
        <f t="shared" ca="1" si="50"/>
        <v>0</v>
      </c>
      <c r="L84" s="181"/>
      <c r="M84" s="181"/>
      <c r="N84" s="181"/>
      <c r="O84" s="181"/>
      <c r="P84" s="181"/>
    </row>
    <row r="85" spans="1:16" ht="21.75" customHeight="1" x14ac:dyDescent="0.3">
      <c r="A85" s="175"/>
      <c r="B85" s="176"/>
      <c r="C85" s="176"/>
      <c r="D85" s="193"/>
      <c r="E85" s="198"/>
      <c r="F85" s="195"/>
      <c r="G85" s="196"/>
      <c r="H85" s="180" t="s">
        <v>37</v>
      </c>
      <c r="I85" s="202">
        <f ca="1">IFERROR(__xludf.DUMMYFUNCTION("IMPORTRANGE(""https://docs.google.com/spreadsheets/d/11923uPwbBZFjjGgGUA6NLw09EwE0CqkOc4q9oUmW1yo/edit?usp=sharing"",""พิษณุโลก!I25"")"),0)</f>
        <v>0</v>
      </c>
      <c r="J85" s="188">
        <f ca="1">IFERROR(__xludf.DUMMYFUNCTION("IMPORTRANGE(""https://docs.google.com/spreadsheets/d/11923uPwbBZFjjGgGUA6NLw09EwE0CqkOc4q9oUmW1yo/edit?usp=sharing"",""พิษณุโลก!J25"")"),0)</f>
        <v>0</v>
      </c>
      <c r="K85" s="163">
        <f t="shared" ca="1" si="50"/>
        <v>0</v>
      </c>
      <c r="L85" s="181"/>
      <c r="M85" s="181"/>
      <c r="N85" s="181"/>
      <c r="O85" s="181"/>
      <c r="P85" s="181"/>
    </row>
    <row r="86" spans="1:16" ht="21.75" customHeight="1" x14ac:dyDescent="0.3">
      <c r="A86" s="175"/>
      <c r="B86" s="176"/>
      <c r="C86" s="176"/>
      <c r="D86" s="193"/>
      <c r="E86" s="198"/>
      <c r="F86" s="195"/>
      <c r="G86" s="195" t="s">
        <v>52</v>
      </c>
      <c r="H86" s="180" t="s">
        <v>36</v>
      </c>
      <c r="I86" s="202">
        <f ca="1">IFERROR(__xludf.DUMMYFUNCTION("IMPORTRANGE(""https://docs.google.com/spreadsheets/d/11923uPwbBZFjjGgGUA6NLw09EwE0CqkOc4q9oUmW1yo/edit?usp=sharing"",""พิษณุโลก!I26"")"),3)</f>
        <v>3</v>
      </c>
      <c r="J86" s="203">
        <f ca="1">IFERROR(__xludf.DUMMYFUNCTION("IMPORTRANGE(""https://docs.google.com/spreadsheets/d/11923uPwbBZFjjGgGUA6NLw09EwE0CqkOc4q9oUmW1yo/edit?usp=sharing"",""พิษณุโลก!J26"")"),3)</f>
        <v>3</v>
      </c>
      <c r="K86" s="163">
        <f t="shared" ca="1" si="50"/>
        <v>100</v>
      </c>
      <c r="L86" s="181"/>
      <c r="M86" s="181"/>
      <c r="N86" s="181"/>
      <c r="O86" s="181"/>
      <c r="P86" s="181"/>
    </row>
    <row r="87" spans="1:16" ht="21.75" customHeight="1" x14ac:dyDescent="0.3">
      <c r="A87" s="175"/>
      <c r="B87" s="176"/>
      <c r="C87" s="176"/>
      <c r="D87" s="193"/>
      <c r="E87" s="198"/>
      <c r="F87" s="195"/>
      <c r="G87" s="196"/>
      <c r="H87" s="180" t="s">
        <v>37</v>
      </c>
      <c r="I87" s="202">
        <f ca="1">IFERROR(__xludf.DUMMYFUNCTION("IMPORTRANGE(""https://docs.google.com/spreadsheets/d/11923uPwbBZFjjGgGUA6NLw09EwE0CqkOc4q9oUmW1yo/edit?usp=sharing"",""พิษณุโลก!I27"")"),188)</f>
        <v>188</v>
      </c>
      <c r="J87" s="203">
        <f ca="1">IFERROR(__xludf.DUMMYFUNCTION("IMPORTRANGE(""https://docs.google.com/spreadsheets/d/11923uPwbBZFjjGgGUA6NLw09EwE0CqkOc4q9oUmW1yo/edit?usp=sharing"",""พิษณุโลก!J27"")"),188)</f>
        <v>188</v>
      </c>
      <c r="K87" s="163">
        <f t="shared" ca="1" si="50"/>
        <v>100</v>
      </c>
      <c r="L87" s="181"/>
      <c r="M87" s="181"/>
      <c r="N87" s="181"/>
      <c r="O87" s="181"/>
      <c r="P87" s="181"/>
    </row>
    <row r="88" spans="1:16" ht="21.75" customHeight="1" x14ac:dyDescent="0.3">
      <c r="A88" s="175"/>
      <c r="B88" s="176"/>
      <c r="C88" s="176"/>
      <c r="D88" s="193"/>
      <c r="E88" s="198"/>
      <c r="F88" s="204" t="s">
        <v>53</v>
      </c>
      <c r="G88" s="195"/>
      <c r="H88" s="180" t="s">
        <v>37</v>
      </c>
      <c r="I88" s="202">
        <f ca="1">IFERROR(__xludf.DUMMYFUNCTION("IMPORTRANGE(""https://docs.google.com/spreadsheets/d/11923uPwbBZFjjGgGUA6NLw09EwE0CqkOc4q9oUmW1yo/edit?usp=sharing"",""พิษณุโลก!I28"")"),0)</f>
        <v>0</v>
      </c>
      <c r="J88" s="203">
        <f ca="1">IFERROR(__xludf.DUMMYFUNCTION("IMPORTRANGE(""https://docs.google.com/spreadsheets/d/11923uPwbBZFjjGgGUA6NLw09EwE0CqkOc4q9oUmW1yo/edit?usp=sharing"",""พิษณุโลก!J28"")"),0)</f>
        <v>0</v>
      </c>
      <c r="K88" s="163">
        <f t="shared" ca="1" si="50"/>
        <v>0</v>
      </c>
      <c r="L88" s="181"/>
      <c r="M88" s="181"/>
      <c r="N88" s="181"/>
      <c r="O88" s="181"/>
      <c r="P88" s="181"/>
    </row>
    <row r="89" spans="1:16" ht="21.75" customHeight="1" x14ac:dyDescent="0.3">
      <c r="A89" s="175"/>
      <c r="B89" s="176"/>
      <c r="C89" s="176"/>
      <c r="D89" s="193"/>
      <c r="E89" s="194" t="s">
        <v>54</v>
      </c>
      <c r="F89" s="195"/>
      <c r="G89" s="196"/>
      <c r="H89" s="186"/>
      <c r="I89" s="187"/>
      <c r="J89" s="197">
        <f ca="1">IFERROR(__xludf.DUMMYFUNCTION("IMPORTRANGE(""https://docs.google.com/spreadsheets/d/11923uPwbBZFjjGgGUA6NLw09EwE0CqkOc4q9oUmW1yo/edit?usp=sharing"",""พิษณุโลก!J29"")"),0)</f>
        <v>0</v>
      </c>
      <c r="K89" s="163"/>
      <c r="L89" s="181"/>
      <c r="M89" s="181"/>
      <c r="N89" s="181"/>
      <c r="O89" s="181"/>
      <c r="P89" s="181"/>
    </row>
    <row r="90" spans="1:16" ht="21.75" customHeight="1" x14ac:dyDescent="0.3">
      <c r="A90" s="175"/>
      <c r="B90" s="176"/>
      <c r="C90" s="176"/>
      <c r="D90" s="205">
        <v>3</v>
      </c>
      <c r="E90" s="206" t="s">
        <v>55</v>
      </c>
      <c r="F90" s="207"/>
      <c r="G90" s="208"/>
      <c r="H90" s="186"/>
      <c r="I90" s="187"/>
      <c r="J90" s="209">
        <f ca="1">IFERROR(__xludf.DUMMYFUNCTION("IMPORTRANGE(""https://docs.google.com/spreadsheets/d/11923uPwbBZFjjGgGUA6NLw09EwE0CqkOc4q9oUmW1yo/edit?usp=sharing"",""พิษณุโลก!J30"")"),0)</f>
        <v>0</v>
      </c>
      <c r="K90" s="163"/>
      <c r="L90" s="181"/>
      <c r="M90" s="181"/>
      <c r="N90" s="181"/>
      <c r="O90" s="181"/>
      <c r="P90" s="181"/>
    </row>
    <row r="91" spans="1:16" ht="21.75" customHeight="1" x14ac:dyDescent="0.3">
      <c r="A91" s="210" t="s">
        <v>56</v>
      </c>
      <c r="B91" s="211"/>
      <c r="C91" s="212"/>
      <c r="D91" s="211"/>
      <c r="E91" s="213"/>
      <c r="F91" s="213"/>
      <c r="G91" s="214"/>
      <c r="H91" s="215"/>
      <c r="I91" s="216"/>
      <c r="J91" s="216"/>
      <c r="K91" s="217"/>
      <c r="L91" s="218"/>
      <c r="M91" s="218"/>
      <c r="N91" s="218"/>
      <c r="O91" s="219"/>
      <c r="P91" s="219"/>
    </row>
    <row r="92" spans="1:16" ht="21.75" customHeight="1" x14ac:dyDescent="0.3">
      <c r="A92" s="137"/>
      <c r="B92" s="138" t="s">
        <v>57</v>
      </c>
      <c r="C92" s="138"/>
      <c r="D92" s="139"/>
      <c r="E92" s="138"/>
      <c r="F92" s="138"/>
      <c r="G92" s="220"/>
      <c r="H92" s="140" t="s">
        <v>37</v>
      </c>
      <c r="I92" s="141">
        <f ca="1">IFERROR(__xludf.DUMMYFUNCTION("IMPORTRANGE(""https://docs.google.com/spreadsheets/d/11923uPwbBZFjjGgGUA6NLw09EwE0CqkOc4q9oUmW1yo/edit?usp=sharing"",""พิษณุโลก!I32"")"),0)</f>
        <v>0</v>
      </c>
      <c r="J92" s="141">
        <f ca="1">IFERROR(__xludf.DUMMYFUNCTION("IMPORTRANGE(""https://docs.google.com/spreadsheets/d/11923uPwbBZFjjGgGUA6NLw09EwE0CqkOc4q9oUmW1yo/edit?usp=sharing"",""พิษณุโลก!J32"")"),0)</f>
        <v>0</v>
      </c>
      <c r="K92" s="142">
        <f t="shared" ref="K92:K93" ca="1" si="51">IF(I92&gt;0,J92*100/I92,0)</f>
        <v>0</v>
      </c>
      <c r="L92" s="221"/>
      <c r="M92" s="221"/>
      <c r="N92" s="222"/>
      <c r="O92" s="142"/>
      <c r="P92" s="142"/>
    </row>
    <row r="93" spans="1:16" ht="21.75" customHeight="1" x14ac:dyDescent="0.3">
      <c r="A93" s="137"/>
      <c r="B93" s="138"/>
      <c r="C93" s="138"/>
      <c r="D93" s="139" t="s">
        <v>58</v>
      </c>
      <c r="E93" s="138"/>
      <c r="F93" s="138"/>
      <c r="G93" s="220"/>
      <c r="H93" s="140" t="s">
        <v>59</v>
      </c>
      <c r="I93" s="141">
        <f ca="1">IFERROR(__xludf.DUMMYFUNCTION("IMPORTRANGE(""https://docs.google.com/spreadsheets/d/11923uPwbBZFjjGgGUA6NLw09EwE0CqkOc4q9oUmW1yo/edit?usp=sharing"",""พิษณุโลก!I33"")"),0)</f>
        <v>0</v>
      </c>
      <c r="J93" s="141">
        <f ca="1">IFERROR(__xludf.DUMMYFUNCTION("IMPORTRANGE(""https://docs.google.com/spreadsheets/d/11923uPwbBZFjjGgGUA6NLw09EwE0CqkOc4q9oUmW1yo/edit?usp=sharing"",""พิษณุโลก!J33"")"),0)</f>
        <v>0</v>
      </c>
      <c r="K93" s="142">
        <f t="shared" ca="1" si="51"/>
        <v>0</v>
      </c>
      <c r="L93" s="222"/>
      <c r="M93" s="222"/>
      <c r="N93" s="222"/>
      <c r="O93" s="142"/>
      <c r="P93" s="142"/>
    </row>
    <row r="94" spans="1:16" ht="21.75" customHeight="1" x14ac:dyDescent="0.45">
      <c r="A94" s="145"/>
      <c r="B94" s="146"/>
      <c r="C94" s="147" t="s">
        <v>16</v>
      </c>
      <c r="D94" s="537" t="s">
        <v>17</v>
      </c>
      <c r="E94" s="528"/>
      <c r="F94" s="528"/>
      <c r="G94" s="528"/>
      <c r="H94" s="148" t="s">
        <v>12</v>
      </c>
      <c r="I94" s="162"/>
      <c r="J94" s="162"/>
      <c r="K94" s="163"/>
      <c r="L94" s="151">
        <f t="shared" ref="L94:N94" ca="1" si="52">L95+L96</f>
        <v>0</v>
      </c>
      <c r="M94" s="151">
        <f t="shared" ca="1" si="52"/>
        <v>0</v>
      </c>
      <c r="N94" s="151">
        <f t="shared" ca="1" si="52"/>
        <v>0</v>
      </c>
      <c r="O94" s="150">
        <f t="shared" ref="O94:O96" ca="1" si="53">IF(L94&gt;0,N94*100/L94,0)</f>
        <v>0</v>
      </c>
      <c r="P94" s="150">
        <f t="shared" ref="P94:P96" ca="1" si="54">IF(M94&gt;0,N94*100/M94,0)</f>
        <v>0</v>
      </c>
    </row>
    <row r="95" spans="1:16" ht="21.75" customHeight="1" x14ac:dyDescent="0.45">
      <c r="A95" s="152"/>
      <c r="B95" s="32"/>
      <c r="C95" s="32"/>
      <c r="D95" s="32"/>
      <c r="E95" s="32"/>
      <c r="F95" s="32"/>
      <c r="G95" s="33" t="s">
        <v>18</v>
      </c>
      <c r="H95" s="153" t="s">
        <v>12</v>
      </c>
      <c r="I95" s="162"/>
      <c r="J95" s="162"/>
      <c r="K95" s="163"/>
      <c r="L95" s="87">
        <f t="shared" ref="L95:N95" si="55">L97+L101</f>
        <v>0</v>
      </c>
      <c r="M95" s="87">
        <f t="shared" si="55"/>
        <v>0</v>
      </c>
      <c r="N95" s="87">
        <f t="shared" si="55"/>
        <v>0</v>
      </c>
      <c r="O95" s="155">
        <f t="shared" si="53"/>
        <v>0</v>
      </c>
      <c r="P95" s="155">
        <f t="shared" si="54"/>
        <v>0</v>
      </c>
    </row>
    <row r="96" spans="1:16" ht="21.75" customHeight="1" x14ac:dyDescent="0.45">
      <c r="A96" s="152"/>
      <c r="B96" s="32"/>
      <c r="C96" s="32"/>
      <c r="D96" s="32"/>
      <c r="E96" s="32"/>
      <c r="F96" s="32"/>
      <c r="G96" s="33" t="s">
        <v>19</v>
      </c>
      <c r="H96" s="153" t="s">
        <v>12</v>
      </c>
      <c r="I96" s="162"/>
      <c r="J96" s="162"/>
      <c r="K96" s="163"/>
      <c r="L96" s="87">
        <f t="shared" ref="L96:N96" ca="1" si="56">L98+L102</f>
        <v>0</v>
      </c>
      <c r="M96" s="87">
        <f t="shared" ca="1" si="56"/>
        <v>0</v>
      </c>
      <c r="N96" s="87">
        <f t="shared" ca="1" si="56"/>
        <v>0</v>
      </c>
      <c r="O96" s="155">
        <f t="shared" ca="1" si="53"/>
        <v>0</v>
      </c>
      <c r="P96" s="155">
        <f t="shared" ca="1" si="54"/>
        <v>0</v>
      </c>
    </row>
    <row r="97" spans="1:16" ht="21.75" customHeight="1" x14ac:dyDescent="0.3">
      <c r="A97" s="156"/>
      <c r="B97" s="157"/>
      <c r="C97" s="157" t="s">
        <v>16</v>
      </c>
      <c r="D97" s="158" t="s">
        <v>38</v>
      </c>
      <c r="E97" s="159"/>
      <c r="F97" s="159"/>
      <c r="G97" s="160" t="s">
        <v>39</v>
      </c>
      <c r="H97" s="161" t="s">
        <v>12</v>
      </c>
      <c r="I97" s="162" t="s">
        <v>40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3">
      <c r="A98" s="156"/>
      <c r="B98" s="157"/>
      <c r="C98" s="157"/>
      <c r="D98" s="166"/>
      <c r="E98" s="159"/>
      <c r="F98" s="159" t="s">
        <v>40</v>
      </c>
      <c r="G98" s="160" t="s">
        <v>41</v>
      </c>
      <c r="H98" s="161" t="s">
        <v>12</v>
      </c>
      <c r="I98" s="162"/>
      <c r="J98" s="162"/>
      <c r="K98" s="163"/>
      <c r="L98" s="167">
        <f ca="1">L99+L100</f>
        <v>0</v>
      </c>
      <c r="M98" s="167">
        <f ca="1">IFERROR(__xludf.DUMMYFUNCTION("IMPORTRANGE(""https://docs.google.com/spreadsheets/d/1Yj_ptqi66GCucihVvJfMjLAmec39IyEx_6qawtMGysU/edit?usp=sharing"",""สบก!AR28"")"),0)</f>
        <v>0</v>
      </c>
      <c r="N98" s="168">
        <f ca="1">IFERROR(__xludf.DUMMYFUNCTION("IMPORTRANGE(""https://docs.google.com/spreadsheets/d/1Yj_ptqi66GCucihVvJfMjLAmec39IyEx_6qawtMGysU/edit?usp=sharing"",""สบก!AS28"")"),0)</f>
        <v>0</v>
      </c>
      <c r="O98" s="168">
        <f ca="1">IF(L98&gt;0,N98*100/L98,0)</f>
        <v>0</v>
      </c>
      <c r="P98" s="168">
        <f ca="1">IF(M98&gt;0,N98*100/M98,0)</f>
        <v>0</v>
      </c>
    </row>
    <row r="99" spans="1:16" ht="21.75" customHeight="1" x14ac:dyDescent="0.3">
      <c r="A99" s="156"/>
      <c r="B99" s="157"/>
      <c r="C99" s="157"/>
      <c r="D99" s="166"/>
      <c r="E99" s="159"/>
      <c r="F99" s="159"/>
      <c r="G99" s="169" t="s">
        <v>42</v>
      </c>
      <c r="H99" s="161" t="s">
        <v>12</v>
      </c>
      <c r="I99" s="162"/>
      <c r="J99" s="162"/>
      <c r="K99" s="163"/>
      <c r="L99" s="167">
        <f ca="1">IFERROR(__xludf.DUMMYFUNCTION("IMPORTRANGE(""https://docs.google.com/spreadsheets/d/1Yj_ptqi66GCucihVvJfMjLAmec39IyEx_6qawtMGysU/edit?usp=sharing"",""สบก!AN28"")"),0)</f>
        <v>0</v>
      </c>
      <c r="M99" s="167"/>
      <c r="N99" s="167"/>
      <c r="O99" s="168"/>
      <c r="P99" s="168"/>
    </row>
    <row r="100" spans="1:16" ht="21.75" customHeight="1" x14ac:dyDescent="0.3">
      <c r="A100" s="156"/>
      <c r="B100" s="157"/>
      <c r="C100" s="157"/>
      <c r="D100" s="166"/>
      <c r="E100" s="159"/>
      <c r="F100" s="159"/>
      <c r="G100" s="169" t="s">
        <v>43</v>
      </c>
      <c r="H100" s="161" t="s">
        <v>12</v>
      </c>
      <c r="I100" s="162"/>
      <c r="J100" s="187"/>
      <c r="K100" s="223"/>
      <c r="L100" s="167">
        <f ca="1">IFERROR(__xludf.DUMMYFUNCTION("IMPORTRANGE(""https://docs.google.com/spreadsheets/d/1Yj_ptqi66GCucihVvJfMjLAmec39IyEx_6qawtMGysU/edit?usp=sharing"",""สบก!AO28"")"),0)</f>
        <v>0</v>
      </c>
      <c r="M100" s="167"/>
      <c r="N100" s="167"/>
      <c r="O100" s="168"/>
      <c r="P100" s="168"/>
    </row>
    <row r="101" spans="1:16" ht="21.75" customHeight="1" x14ac:dyDescent="0.45">
      <c r="A101" s="170"/>
      <c r="B101" s="80"/>
      <c r="C101" s="81" t="s">
        <v>16</v>
      </c>
      <c r="D101" s="534" t="s">
        <v>23</v>
      </c>
      <c r="E101" s="530"/>
      <c r="F101" s="88"/>
      <c r="G101" s="82" t="s">
        <v>18</v>
      </c>
      <c r="H101" s="171" t="s">
        <v>12</v>
      </c>
      <c r="I101" s="187"/>
      <c r="J101" s="187"/>
      <c r="K101" s="223"/>
      <c r="L101" s="41">
        <v>0</v>
      </c>
      <c r="M101" s="41"/>
      <c r="N101" s="41"/>
      <c r="O101" s="41"/>
      <c r="P101" s="41"/>
    </row>
    <row r="102" spans="1:16" ht="21.75" customHeight="1" x14ac:dyDescent="0.45">
      <c r="A102" s="172"/>
      <c r="B102" s="91"/>
      <c r="C102" s="91"/>
      <c r="D102" s="173"/>
      <c r="E102" s="92"/>
      <c r="F102" s="92"/>
      <c r="G102" s="93" t="s">
        <v>19</v>
      </c>
      <c r="H102" s="174" t="s">
        <v>12</v>
      </c>
      <c r="I102" s="187"/>
      <c r="J102" s="187"/>
      <c r="K102" s="223"/>
      <c r="L102" s="49">
        <f ca="1">IFERROR(__xludf.DUMMYFUNCTION("IMPORTRANGE(""https://docs.google.com/spreadsheets/d/1Yj_ptqi66GCucihVvJfMjLAmec39IyEx_6qawtMGysU/edit?usp=sharing"",""สบก!AP28"")"),0)</f>
        <v>0</v>
      </c>
      <c r="M102" s="49"/>
      <c r="N102" s="49">
        <f ca="1">IFERROR(__xludf.DUMMYFUNCTION("IMPORTRANGE(""https://docs.google.com/spreadsheets/d/1Yj_ptqi66GCucihVvJfMjLAmec39IyEx_6qawtMGysU/edit?usp=sharing"",""สบก!AT28"")"),0)</f>
        <v>0</v>
      </c>
      <c r="O102" s="49">
        <f ca="1">IF(L102&gt;0,N102*100/L102,0)</f>
        <v>0</v>
      </c>
      <c r="P102" s="49"/>
    </row>
    <row r="103" spans="1:16" ht="21.75" customHeight="1" x14ac:dyDescent="0.3">
      <c r="A103" s="175"/>
      <c r="B103" s="176"/>
      <c r="C103" s="157" t="s">
        <v>16</v>
      </c>
      <c r="D103" s="177" t="s">
        <v>44</v>
      </c>
      <c r="E103" s="178"/>
      <c r="F103" s="178"/>
      <c r="G103" s="179"/>
      <c r="H103" s="180"/>
      <c r="I103" s="162"/>
      <c r="J103" s="187"/>
      <c r="K103" s="223"/>
      <c r="L103" s="168"/>
      <c r="M103" s="168"/>
      <c r="N103" s="168"/>
      <c r="O103" s="181"/>
      <c r="P103" s="181"/>
    </row>
    <row r="104" spans="1:16" ht="21.75" customHeight="1" x14ac:dyDescent="0.3">
      <c r="A104" s="175"/>
      <c r="B104" s="176"/>
      <c r="C104" s="176"/>
      <c r="D104" s="182">
        <v>1</v>
      </c>
      <c r="E104" s="183" t="s">
        <v>45</v>
      </c>
      <c r="F104" s="184"/>
      <c r="G104" s="185"/>
      <c r="H104" s="186"/>
      <c r="I104" s="187"/>
      <c r="J104" s="187">
        <f ca="1">IFERROR(__xludf.DUMMYFUNCTION("IMPORTRANGE(""https://docs.google.com/spreadsheets/d/11923uPwbBZFjjGgGUA6NLw09EwE0CqkOc4q9oUmW1yo/edit?usp=sharing"",""พิษณุโลก!J39"")"),0)</f>
        <v>0</v>
      </c>
      <c r="K104" s="223"/>
      <c r="L104" s="168"/>
      <c r="M104" s="168"/>
      <c r="N104" s="168"/>
      <c r="O104" s="181"/>
      <c r="P104" s="181"/>
    </row>
    <row r="105" spans="1:16" ht="21.75" customHeight="1" x14ac:dyDescent="0.3">
      <c r="A105" s="175"/>
      <c r="B105" s="176"/>
      <c r="C105" s="176"/>
      <c r="D105" s="189">
        <v>2</v>
      </c>
      <c r="E105" s="190" t="s">
        <v>46</v>
      </c>
      <c r="F105" s="191"/>
      <c r="G105" s="192"/>
      <c r="H105" s="186"/>
      <c r="I105" s="187"/>
      <c r="J105" s="187">
        <f ca="1">IFERROR(__xludf.DUMMYFUNCTION("IMPORTRANGE(""https://docs.google.com/spreadsheets/d/11923uPwbBZFjjGgGUA6NLw09EwE0CqkOc4q9oUmW1yo/edit?usp=sharing"",""พิษณุโลก!J40"")"),0)</f>
        <v>0</v>
      </c>
      <c r="K105" s="223"/>
      <c r="L105" s="168" t="s">
        <v>40</v>
      </c>
      <c r="M105" s="168"/>
      <c r="N105" s="168" t="s">
        <v>40</v>
      </c>
      <c r="O105" s="181"/>
      <c r="P105" s="181"/>
    </row>
    <row r="106" spans="1:16" ht="21.75" customHeight="1" x14ac:dyDescent="0.3">
      <c r="A106" s="175"/>
      <c r="B106" s="176"/>
      <c r="C106" s="176"/>
      <c r="D106" s="193"/>
      <c r="E106" s="194" t="s">
        <v>47</v>
      </c>
      <c r="F106" s="195"/>
      <c r="G106" s="196"/>
      <c r="H106" s="186"/>
      <c r="I106" s="187"/>
      <c r="J106" s="187">
        <f ca="1">IFERROR(__xludf.DUMMYFUNCTION("IMPORTRANGE(""https://docs.google.com/spreadsheets/d/11923uPwbBZFjjGgGUA6NLw09EwE0CqkOc4q9oUmW1yo/edit?usp=sharing"",""พิษณุโลก!J41"")"),0)</f>
        <v>0</v>
      </c>
      <c r="K106" s="223"/>
      <c r="L106" s="168"/>
      <c r="M106" s="168"/>
      <c r="N106" s="168"/>
      <c r="O106" s="181"/>
      <c r="P106" s="181"/>
    </row>
    <row r="107" spans="1:16" ht="21.75" customHeight="1" x14ac:dyDescent="0.3">
      <c r="A107" s="175"/>
      <c r="B107" s="176"/>
      <c r="C107" s="176"/>
      <c r="D107" s="193"/>
      <c r="E107" s="194" t="s">
        <v>48</v>
      </c>
      <c r="F107" s="195"/>
      <c r="G107" s="196"/>
      <c r="H107" s="186"/>
      <c r="I107" s="187"/>
      <c r="J107" s="187">
        <f ca="1">IFERROR(__xludf.DUMMYFUNCTION("IMPORTRANGE(""https://docs.google.com/spreadsheets/d/11923uPwbBZFjjGgGUA6NLw09EwE0CqkOc4q9oUmW1yo/edit?usp=sharing"",""พิษณุโลก!J42"")"),0)</f>
        <v>0</v>
      </c>
      <c r="K107" s="223"/>
      <c r="L107" s="168"/>
      <c r="M107" s="168"/>
      <c r="N107" s="168"/>
      <c r="O107" s="181"/>
      <c r="P107" s="181"/>
    </row>
    <row r="108" spans="1:16" ht="21.75" customHeight="1" x14ac:dyDescent="0.3">
      <c r="A108" s="175"/>
      <c r="B108" s="176"/>
      <c r="C108" s="176"/>
      <c r="D108" s="193"/>
      <c r="E108" s="195"/>
      <c r="F108" s="195" t="s">
        <v>60</v>
      </c>
      <c r="G108" s="195"/>
      <c r="H108" s="180" t="s">
        <v>61</v>
      </c>
      <c r="I108" s="202">
        <f ca="1">IFERROR(__xludf.DUMMYFUNCTION("IMPORTRANGE(""https://docs.google.com/spreadsheets/d/11923uPwbBZFjjGgGUA6NLw09EwE0CqkOc4q9oUmW1yo/edit?usp=sharing"",""พิษณุโลก!I43"")"),0)</f>
        <v>0</v>
      </c>
      <c r="J108" s="203">
        <f ca="1">IFERROR(__xludf.DUMMYFUNCTION("IMPORTRANGE(""https://docs.google.com/spreadsheets/d/11923uPwbBZFjjGgGUA6NLw09EwE0CqkOc4q9oUmW1yo/edit?usp=sharing"",""พิษณุโลก!J43"")"),0)</f>
        <v>0</v>
      </c>
      <c r="K108" s="223">
        <f t="shared" ref="K108:K113" ca="1" si="57">IF(I108&gt;0,J108*100/I108,0)</f>
        <v>0</v>
      </c>
      <c r="L108" s="168"/>
      <c r="M108" s="168"/>
      <c r="N108" s="168"/>
      <c r="O108" s="181"/>
      <c r="P108" s="181"/>
    </row>
    <row r="109" spans="1:16" ht="21.75" customHeight="1" x14ac:dyDescent="0.3">
      <c r="A109" s="175"/>
      <c r="B109" s="176"/>
      <c r="C109" s="176"/>
      <c r="D109" s="193"/>
      <c r="E109" s="198"/>
      <c r="F109" s="194" t="s">
        <v>62</v>
      </c>
      <c r="G109" s="195"/>
      <c r="H109" s="180" t="s">
        <v>37</v>
      </c>
      <c r="I109" s="202">
        <f ca="1">IFERROR(__xludf.DUMMYFUNCTION("IMPORTRANGE(""https://docs.google.com/spreadsheets/d/11923uPwbBZFjjGgGUA6NLw09EwE0CqkOc4q9oUmW1yo/edit?usp=sharing"",""พิษณุโลก!I44"")"),0)</f>
        <v>0</v>
      </c>
      <c r="J109" s="203">
        <f ca="1">IFERROR(__xludf.DUMMYFUNCTION("IMPORTRANGE(""https://docs.google.com/spreadsheets/d/11923uPwbBZFjjGgGUA6NLw09EwE0CqkOc4q9oUmW1yo/edit?usp=sharing"",""พิษณุโลก!J44"")"),0)</f>
        <v>0</v>
      </c>
      <c r="K109" s="223">
        <f t="shared" ca="1" si="57"/>
        <v>0</v>
      </c>
      <c r="L109" s="168"/>
      <c r="M109" s="168"/>
      <c r="N109" s="168"/>
      <c r="O109" s="181"/>
      <c r="P109" s="181"/>
    </row>
    <row r="110" spans="1:16" ht="21.75" customHeight="1" x14ac:dyDescent="0.3">
      <c r="A110" s="175"/>
      <c r="B110" s="176"/>
      <c r="C110" s="176"/>
      <c r="D110" s="193"/>
      <c r="E110" s="198"/>
      <c r="F110" s="195"/>
      <c r="G110" s="224" t="s">
        <v>63</v>
      </c>
      <c r="H110" s="180" t="s">
        <v>37</v>
      </c>
      <c r="I110" s="202">
        <f ca="1">IFERROR(__xludf.DUMMYFUNCTION("IMPORTRANGE(""https://docs.google.com/spreadsheets/d/11923uPwbBZFjjGgGUA6NLw09EwE0CqkOc4q9oUmW1yo/edit?usp=sharing"",""พิษณุโลก!I45"")"),0)</f>
        <v>0</v>
      </c>
      <c r="J110" s="203">
        <f ca="1">IFERROR(__xludf.DUMMYFUNCTION("IMPORTRANGE(""https://docs.google.com/spreadsheets/d/11923uPwbBZFjjGgGUA6NLw09EwE0CqkOc4q9oUmW1yo/edit?usp=sharing"",""พิษณุโลก!J45"")"),0)</f>
        <v>0</v>
      </c>
      <c r="K110" s="223">
        <f t="shared" ca="1" si="57"/>
        <v>0</v>
      </c>
      <c r="L110" s="168"/>
      <c r="M110" s="168"/>
      <c r="N110" s="168"/>
      <c r="O110" s="181"/>
      <c r="P110" s="181"/>
    </row>
    <row r="111" spans="1:16" ht="21.75" customHeight="1" x14ac:dyDescent="0.3">
      <c r="A111" s="175"/>
      <c r="B111" s="176"/>
      <c r="C111" s="176"/>
      <c r="D111" s="193"/>
      <c r="E111" s="198"/>
      <c r="F111" s="195"/>
      <c r="G111" s="224" t="s">
        <v>64</v>
      </c>
      <c r="H111" s="180" t="s">
        <v>37</v>
      </c>
      <c r="I111" s="202">
        <f ca="1">IFERROR(__xludf.DUMMYFUNCTION("IMPORTRANGE(""https://docs.google.com/spreadsheets/d/11923uPwbBZFjjGgGUA6NLw09EwE0CqkOc4q9oUmW1yo/edit?usp=sharing"",""พิษณุโลก!I46"")"),0)</f>
        <v>0</v>
      </c>
      <c r="J111" s="203">
        <f ca="1">IFERROR(__xludf.DUMMYFUNCTION("IMPORTRANGE(""https://docs.google.com/spreadsheets/d/11923uPwbBZFjjGgGUA6NLw09EwE0CqkOc4q9oUmW1yo/edit?usp=sharing"",""พิษณุโลก!J46"")"),0)</f>
        <v>0</v>
      </c>
      <c r="K111" s="223">
        <f t="shared" ca="1" si="57"/>
        <v>0</v>
      </c>
      <c r="L111" s="168"/>
      <c r="M111" s="168"/>
      <c r="N111" s="168"/>
      <c r="O111" s="181"/>
      <c r="P111" s="181"/>
    </row>
    <row r="112" spans="1:16" ht="21.75" customHeight="1" x14ac:dyDescent="0.3">
      <c r="A112" s="175"/>
      <c r="B112" s="176"/>
      <c r="C112" s="176"/>
      <c r="D112" s="193"/>
      <c r="E112" s="198"/>
      <c r="F112" s="195"/>
      <c r="G112" s="225" t="s">
        <v>65</v>
      </c>
      <c r="H112" s="180" t="s">
        <v>37</v>
      </c>
      <c r="I112" s="202">
        <f ca="1">IFERROR(__xludf.DUMMYFUNCTION("IMPORTRANGE(""https://docs.google.com/spreadsheets/d/11923uPwbBZFjjGgGUA6NLw09EwE0CqkOc4q9oUmW1yo/edit?usp=sharing"",""พิษณุโลก!I47"")"),0)</f>
        <v>0</v>
      </c>
      <c r="J112" s="203">
        <f ca="1">IFERROR(__xludf.DUMMYFUNCTION("IMPORTRANGE(""https://docs.google.com/spreadsheets/d/11923uPwbBZFjjGgGUA6NLw09EwE0CqkOc4q9oUmW1yo/edit?usp=sharing"",""พิษณุโลก!J47"")"),0)</f>
        <v>0</v>
      </c>
      <c r="K112" s="223">
        <f t="shared" ca="1" si="57"/>
        <v>0</v>
      </c>
      <c r="L112" s="168"/>
      <c r="M112" s="168"/>
      <c r="N112" s="168"/>
      <c r="O112" s="181"/>
      <c r="P112" s="181"/>
    </row>
    <row r="113" spans="1:16" ht="21.75" customHeight="1" x14ac:dyDescent="0.3">
      <c r="A113" s="175"/>
      <c r="B113" s="176"/>
      <c r="C113" s="176"/>
      <c r="D113" s="193"/>
      <c r="E113" s="198"/>
      <c r="F113" s="195" t="s">
        <v>66</v>
      </c>
      <c r="G113" s="195"/>
      <c r="H113" s="180" t="s">
        <v>59</v>
      </c>
      <c r="I113" s="202">
        <f ca="1">IFERROR(__xludf.DUMMYFUNCTION("IMPORTRANGE(""https://docs.google.com/spreadsheets/d/11923uPwbBZFjjGgGUA6NLw09EwE0CqkOc4q9oUmW1yo/edit?usp=sharing"",""พิษณุโลก!I48"")"),0)</f>
        <v>0</v>
      </c>
      <c r="J113" s="203">
        <f ca="1">IFERROR(__xludf.DUMMYFUNCTION("IMPORTRANGE(""https://docs.google.com/spreadsheets/d/11923uPwbBZFjjGgGUA6NLw09EwE0CqkOc4q9oUmW1yo/edit?usp=sharing"",""พิษณุโลก!J48"")"),0)</f>
        <v>0</v>
      </c>
      <c r="K113" s="223">
        <f t="shared" ca="1" si="57"/>
        <v>0</v>
      </c>
      <c r="L113" s="168"/>
      <c r="M113" s="168"/>
      <c r="N113" s="168"/>
      <c r="O113" s="181"/>
      <c r="P113" s="181"/>
    </row>
    <row r="114" spans="1:16" ht="21.75" customHeight="1" x14ac:dyDescent="0.3">
      <c r="A114" s="175"/>
      <c r="B114" s="176"/>
      <c r="C114" s="176"/>
      <c r="D114" s="193"/>
      <c r="E114" s="194" t="s">
        <v>54</v>
      </c>
      <c r="F114" s="195"/>
      <c r="G114" s="196"/>
      <c r="H114" s="186"/>
      <c r="I114" s="187"/>
      <c r="J114" s="187">
        <f ca="1">IFERROR(__xludf.DUMMYFUNCTION("IMPORTRANGE(""https://docs.google.com/spreadsheets/d/11923uPwbBZFjjGgGUA6NLw09EwE0CqkOc4q9oUmW1yo/edit?usp=sharing"",""พิษณุโลก!J49"")"),0)</f>
        <v>0</v>
      </c>
      <c r="K114" s="223"/>
      <c r="L114" s="168"/>
      <c r="M114" s="168"/>
      <c r="N114" s="168"/>
      <c r="O114" s="181"/>
      <c r="P114" s="181"/>
    </row>
    <row r="115" spans="1:16" ht="21.75" customHeight="1" x14ac:dyDescent="0.3">
      <c r="A115" s="175"/>
      <c r="B115" s="176"/>
      <c r="C115" s="176"/>
      <c r="D115" s="205">
        <v>3</v>
      </c>
      <c r="E115" s="206" t="s">
        <v>55</v>
      </c>
      <c r="F115" s="207"/>
      <c r="G115" s="208"/>
      <c r="H115" s="186"/>
      <c r="I115" s="187"/>
      <c r="J115" s="226">
        <f ca="1">IFERROR(__xludf.DUMMYFUNCTION("IMPORTRANGE(""https://docs.google.com/spreadsheets/d/11923uPwbBZFjjGgGUA6NLw09EwE0CqkOc4q9oUmW1yo/edit?usp=sharing"",""พิษณุโลก!J50"")"),0)</f>
        <v>0</v>
      </c>
      <c r="K115" s="223"/>
      <c r="L115" s="168"/>
      <c r="M115" s="168"/>
      <c r="N115" s="168"/>
      <c r="O115" s="181"/>
      <c r="P115" s="181"/>
    </row>
    <row r="116" spans="1:16" ht="21.75" customHeight="1" x14ac:dyDescent="0.3">
      <c r="A116" s="210" t="s">
        <v>67</v>
      </c>
      <c r="B116" s="227"/>
      <c r="C116" s="228"/>
      <c r="D116" s="227"/>
      <c r="E116" s="229"/>
      <c r="F116" s="229"/>
      <c r="G116" s="230"/>
      <c r="H116" s="215"/>
      <c r="I116" s="216"/>
      <c r="J116" s="216"/>
      <c r="K116" s="217"/>
      <c r="L116" s="218"/>
      <c r="M116" s="218"/>
      <c r="N116" s="218"/>
      <c r="O116" s="219"/>
      <c r="P116" s="219"/>
    </row>
    <row r="117" spans="1:16" ht="21.75" customHeight="1" x14ac:dyDescent="0.3">
      <c r="A117" s="137"/>
      <c r="B117" s="138" t="s">
        <v>68</v>
      </c>
      <c r="C117" s="231"/>
      <c r="D117" s="139"/>
      <c r="E117" s="138"/>
      <c r="F117" s="138"/>
      <c r="G117" s="220"/>
      <c r="H117" s="140" t="s">
        <v>37</v>
      </c>
      <c r="I117" s="141">
        <f ca="1">IFERROR(__xludf.DUMMYFUNCTION("IMPORTRANGE(""https://docs.google.com/spreadsheets/d/11923uPwbBZFjjGgGUA6NLw09EwE0CqkOc4q9oUmW1yo/edit?usp=sharing"",""พิษณุโลก!I52"")"),0)</f>
        <v>0</v>
      </c>
      <c r="J117" s="141">
        <f ca="1">IFERROR(__xludf.DUMMYFUNCTION("IMPORTRANGE(""https://docs.google.com/spreadsheets/d/11923uPwbBZFjjGgGUA6NLw09EwE0CqkOc4q9oUmW1yo/edit?usp=sharing"",""พิษณุโลก!J52"")"),0)</f>
        <v>0</v>
      </c>
      <c r="K117" s="142">
        <f ca="1">IF(I117&gt;0,J117*100/I117,0)</f>
        <v>0</v>
      </c>
      <c r="L117" s="143"/>
      <c r="M117" s="143"/>
      <c r="N117" s="144"/>
      <c r="O117" s="142"/>
      <c r="P117" s="142"/>
    </row>
    <row r="118" spans="1:16" ht="21.75" customHeight="1" x14ac:dyDescent="0.45">
      <c r="A118" s="145"/>
      <c r="B118" s="146"/>
      <c r="C118" s="147" t="s">
        <v>16</v>
      </c>
      <c r="D118" s="537" t="s">
        <v>17</v>
      </c>
      <c r="E118" s="528"/>
      <c r="F118" s="528"/>
      <c r="G118" s="528"/>
      <c r="H118" s="148" t="s">
        <v>12</v>
      </c>
      <c r="I118" s="162"/>
      <c r="J118" s="162"/>
      <c r="K118" s="163"/>
      <c r="L118" s="151">
        <f t="shared" ref="L118:N118" ca="1" si="58">L119+L120</f>
        <v>0</v>
      </c>
      <c r="M118" s="151">
        <f t="shared" ca="1" si="58"/>
        <v>0</v>
      </c>
      <c r="N118" s="151">
        <f t="shared" ca="1" si="58"/>
        <v>0</v>
      </c>
      <c r="O118" s="150">
        <f t="shared" ref="O118:O120" ca="1" si="59">IF(L118&gt;0,N118*100/L118,0)</f>
        <v>0</v>
      </c>
      <c r="P118" s="150">
        <f t="shared" ref="P118:P120" ca="1" si="60">IF(M118&gt;0,N118*100/M118,0)</f>
        <v>0</v>
      </c>
    </row>
    <row r="119" spans="1:16" ht="21.75" customHeight="1" x14ac:dyDescent="0.45">
      <c r="A119" s="152"/>
      <c r="B119" s="32"/>
      <c r="C119" s="32"/>
      <c r="D119" s="32"/>
      <c r="E119" s="32"/>
      <c r="F119" s="32"/>
      <c r="G119" s="33" t="s">
        <v>18</v>
      </c>
      <c r="H119" s="153" t="s">
        <v>12</v>
      </c>
      <c r="I119" s="162"/>
      <c r="J119" s="162"/>
      <c r="K119" s="163"/>
      <c r="L119" s="87">
        <f t="shared" ref="L119:N119" si="61">L121+L125</f>
        <v>0</v>
      </c>
      <c r="M119" s="87">
        <f t="shared" si="61"/>
        <v>0</v>
      </c>
      <c r="N119" s="87">
        <f t="shared" si="61"/>
        <v>0</v>
      </c>
      <c r="O119" s="155">
        <f t="shared" si="59"/>
        <v>0</v>
      </c>
      <c r="P119" s="155">
        <f t="shared" si="60"/>
        <v>0</v>
      </c>
    </row>
    <row r="120" spans="1:16" ht="21.75" customHeight="1" x14ac:dyDescent="0.45">
      <c r="A120" s="152"/>
      <c r="B120" s="32"/>
      <c r="C120" s="32"/>
      <c r="D120" s="32"/>
      <c r="E120" s="32"/>
      <c r="F120" s="32"/>
      <c r="G120" s="33" t="s">
        <v>19</v>
      </c>
      <c r="H120" s="153" t="s">
        <v>12</v>
      </c>
      <c r="I120" s="162"/>
      <c r="J120" s="162"/>
      <c r="K120" s="163"/>
      <c r="L120" s="87">
        <f t="shared" ref="L120:N120" ca="1" si="62">L122+L126</f>
        <v>0</v>
      </c>
      <c r="M120" s="87">
        <f t="shared" ca="1" si="62"/>
        <v>0</v>
      </c>
      <c r="N120" s="87">
        <f t="shared" ca="1" si="62"/>
        <v>0</v>
      </c>
      <c r="O120" s="155">
        <f t="shared" ca="1" si="59"/>
        <v>0</v>
      </c>
      <c r="P120" s="155">
        <f t="shared" ca="1" si="60"/>
        <v>0</v>
      </c>
    </row>
    <row r="121" spans="1:16" ht="21.75" customHeight="1" x14ac:dyDescent="0.3">
      <c r="A121" s="156"/>
      <c r="B121" s="157"/>
      <c r="C121" s="157" t="s">
        <v>16</v>
      </c>
      <c r="D121" s="158" t="s">
        <v>38</v>
      </c>
      <c r="E121" s="159"/>
      <c r="F121" s="159"/>
      <c r="G121" s="160" t="s">
        <v>39</v>
      </c>
      <c r="H121" s="161" t="s">
        <v>12</v>
      </c>
      <c r="I121" s="162" t="s">
        <v>40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3">
      <c r="A122" s="156"/>
      <c r="B122" s="157"/>
      <c r="C122" s="157"/>
      <c r="D122" s="166"/>
      <c r="E122" s="159"/>
      <c r="F122" s="159" t="s">
        <v>40</v>
      </c>
      <c r="G122" s="160" t="s">
        <v>41</v>
      </c>
      <c r="H122" s="161" t="s">
        <v>12</v>
      </c>
      <c r="I122" s="162"/>
      <c r="J122" s="162"/>
      <c r="K122" s="163"/>
      <c r="L122" s="167">
        <f ca="1">L123+L124</f>
        <v>0</v>
      </c>
      <c r="M122" s="167">
        <f ca="1">IFERROR(__xludf.DUMMYFUNCTION("IMPORTRANGE(""https://docs.google.com/spreadsheets/d/1Yj_ptqi66GCucihVvJfMjLAmec39IyEx_6qawtMGysU/edit?usp=sharing"",""สบก!BA28"")"),0)</f>
        <v>0</v>
      </c>
      <c r="N122" s="168">
        <f ca="1">IFERROR(__xludf.DUMMYFUNCTION("IMPORTRANGE(""https://docs.google.com/spreadsheets/d/1Yj_ptqi66GCucihVvJfMjLAmec39IyEx_6qawtMGysU/edit?usp=sharing"",""สบก!BB28"")"),0)</f>
        <v>0</v>
      </c>
      <c r="O122" s="168">
        <f ca="1">IF(L122&gt;0,N122*100/L122,0)</f>
        <v>0</v>
      </c>
      <c r="P122" s="168">
        <f ca="1">IF(M122&gt;0,N122*100/M122,0)</f>
        <v>0</v>
      </c>
    </row>
    <row r="123" spans="1:16" ht="21.75" customHeight="1" x14ac:dyDescent="0.3">
      <c r="A123" s="156"/>
      <c r="B123" s="157"/>
      <c r="C123" s="157"/>
      <c r="D123" s="166"/>
      <c r="E123" s="159"/>
      <c r="F123" s="159"/>
      <c r="G123" s="169" t="s">
        <v>42</v>
      </c>
      <c r="H123" s="161" t="s">
        <v>12</v>
      </c>
      <c r="I123" s="162"/>
      <c r="J123" s="162"/>
      <c r="K123" s="163"/>
      <c r="L123" s="167">
        <f ca="1">IFERROR(__xludf.DUMMYFUNCTION("IMPORTRANGE(""https://docs.google.com/spreadsheets/d/1Yj_ptqi66GCucihVvJfMjLAmec39IyEx_6qawtMGysU/edit?usp=sharing"",""สบก!AW28"")"),0)</f>
        <v>0</v>
      </c>
      <c r="M123" s="167"/>
      <c r="N123" s="167"/>
      <c r="O123" s="168"/>
      <c r="P123" s="168"/>
    </row>
    <row r="124" spans="1:16" ht="21.75" customHeight="1" x14ac:dyDescent="0.3">
      <c r="A124" s="156"/>
      <c r="B124" s="157"/>
      <c r="C124" s="157"/>
      <c r="D124" s="166"/>
      <c r="E124" s="159"/>
      <c r="F124" s="159"/>
      <c r="G124" s="169" t="s">
        <v>43</v>
      </c>
      <c r="H124" s="161" t="s">
        <v>12</v>
      </c>
      <c r="I124" s="162"/>
      <c r="J124" s="187"/>
      <c r="K124" s="223"/>
      <c r="L124" s="167">
        <f ca="1">IFERROR(__xludf.DUMMYFUNCTION("IMPORTRANGE(""https://docs.google.com/spreadsheets/d/1Yj_ptqi66GCucihVvJfMjLAmec39IyEx_6qawtMGysU/edit?usp=sharing"",""สบก!AX28"")"),0)</f>
        <v>0</v>
      </c>
      <c r="M124" s="167"/>
      <c r="N124" s="167"/>
      <c r="O124" s="168"/>
      <c r="P124" s="168"/>
    </row>
    <row r="125" spans="1:16" ht="21.75" customHeight="1" x14ac:dyDescent="0.45">
      <c r="A125" s="170"/>
      <c r="B125" s="80"/>
      <c r="C125" s="81" t="s">
        <v>16</v>
      </c>
      <c r="D125" s="534" t="s">
        <v>23</v>
      </c>
      <c r="E125" s="530"/>
      <c r="F125" s="88"/>
      <c r="G125" s="82" t="s">
        <v>18</v>
      </c>
      <c r="H125" s="171" t="s">
        <v>12</v>
      </c>
      <c r="I125" s="187"/>
      <c r="J125" s="187"/>
      <c r="K125" s="223"/>
      <c r="L125" s="41">
        <v>0</v>
      </c>
      <c r="M125" s="41"/>
      <c r="N125" s="41"/>
      <c r="O125" s="41"/>
      <c r="P125" s="41"/>
    </row>
    <row r="126" spans="1:16" ht="21.75" customHeight="1" x14ac:dyDescent="0.45">
      <c r="A126" s="172"/>
      <c r="B126" s="91"/>
      <c r="C126" s="91"/>
      <c r="D126" s="173"/>
      <c r="E126" s="92"/>
      <c r="F126" s="92"/>
      <c r="G126" s="93" t="s">
        <v>19</v>
      </c>
      <c r="H126" s="174" t="s">
        <v>12</v>
      </c>
      <c r="I126" s="187"/>
      <c r="J126" s="187"/>
      <c r="K126" s="223"/>
      <c r="L126" s="49">
        <f ca="1">IFERROR(__xludf.DUMMYFUNCTION("IMPORTRANGE(""https://docs.google.com/spreadsheets/d/1Yj_ptqi66GCucihVvJfMjLAmec39IyEx_6qawtMGysU/edit?usp=sharing"",""สบก!AY28"")"),0)</f>
        <v>0</v>
      </c>
      <c r="M126" s="49"/>
      <c r="N126" s="49">
        <f ca="1">IFERROR(__xludf.DUMMYFUNCTION("IMPORTRANGE(""https://docs.google.com/spreadsheets/d/1Yj_ptqi66GCucihVvJfMjLAmec39IyEx_6qawtMGysU/edit?usp=sharing"",""สบก!BC28"")"),0)</f>
        <v>0</v>
      </c>
      <c r="O126" s="49">
        <f ca="1">IF(L126&gt;0,N126*100/L126,0)</f>
        <v>0</v>
      </c>
      <c r="P126" s="49"/>
    </row>
    <row r="127" spans="1:16" ht="21.75" customHeight="1" x14ac:dyDescent="0.3">
      <c r="A127" s="175"/>
      <c r="B127" s="176"/>
      <c r="C127" s="157" t="s">
        <v>16</v>
      </c>
      <c r="D127" s="232" t="s">
        <v>255</v>
      </c>
      <c r="E127" s="178"/>
      <c r="F127" s="178"/>
      <c r="G127" s="179"/>
      <c r="H127" s="180"/>
      <c r="I127" s="162"/>
      <c r="J127" s="187"/>
      <c r="K127" s="223"/>
      <c r="L127" s="168"/>
      <c r="M127" s="168"/>
      <c r="N127" s="168"/>
      <c r="O127" s="181"/>
      <c r="P127" s="181"/>
    </row>
    <row r="128" spans="1:16" ht="21.75" customHeight="1" x14ac:dyDescent="0.3">
      <c r="A128" s="175"/>
      <c r="B128" s="176"/>
      <c r="C128" s="176"/>
      <c r="D128" s="182">
        <v>1</v>
      </c>
      <c r="E128" s="183" t="s">
        <v>45</v>
      </c>
      <c r="F128" s="184"/>
      <c r="G128" s="185"/>
      <c r="H128" s="186"/>
      <c r="I128" s="187"/>
      <c r="J128" s="203">
        <f ca="1">IFERROR(__xludf.DUMMYFUNCTION("IMPORTRANGE(""https://docs.google.com/spreadsheets/d/11923uPwbBZFjjGgGUA6NLw09EwE0CqkOc4q9oUmW1yo/edit?usp=sharing"",""พิษณุโลก!J58"")"),0)</f>
        <v>0</v>
      </c>
      <c r="K128" s="223"/>
      <c r="L128" s="168"/>
      <c r="M128" s="168"/>
      <c r="N128" s="168"/>
      <c r="O128" s="181"/>
      <c r="P128" s="181"/>
    </row>
    <row r="129" spans="1:16" ht="21.75" customHeight="1" x14ac:dyDescent="0.3">
      <c r="A129" s="175"/>
      <c r="B129" s="176"/>
      <c r="C129" s="176"/>
      <c r="D129" s="189">
        <v>2</v>
      </c>
      <c r="E129" s="190" t="s">
        <v>46</v>
      </c>
      <c r="F129" s="191"/>
      <c r="G129" s="192"/>
      <c r="H129" s="186"/>
      <c r="I129" s="187"/>
      <c r="J129" s="187">
        <f ca="1">IFERROR(__xludf.DUMMYFUNCTION("IMPORTRANGE(""https://docs.google.com/spreadsheets/d/11923uPwbBZFjjGgGUA6NLw09EwE0CqkOc4q9oUmW1yo/edit?usp=sharing"",""พิษณุโลก!J59"")"),0)</f>
        <v>0</v>
      </c>
      <c r="K129" s="223"/>
      <c r="L129" s="168" t="s">
        <v>40</v>
      </c>
      <c r="M129" s="168"/>
      <c r="N129" s="168" t="s">
        <v>40</v>
      </c>
      <c r="O129" s="181"/>
      <c r="P129" s="181"/>
    </row>
    <row r="130" spans="1:16" ht="21.75" customHeight="1" x14ac:dyDescent="0.3">
      <c r="A130" s="175"/>
      <c r="B130" s="176"/>
      <c r="C130" s="176"/>
      <c r="D130" s="193"/>
      <c r="E130" s="194" t="s">
        <v>47</v>
      </c>
      <c r="F130" s="195"/>
      <c r="G130" s="196"/>
      <c r="H130" s="186"/>
      <c r="I130" s="187"/>
      <c r="J130" s="187">
        <f ca="1">IFERROR(__xludf.DUMMYFUNCTION("IMPORTRANGE(""https://docs.google.com/spreadsheets/d/11923uPwbBZFjjGgGUA6NLw09EwE0CqkOc4q9oUmW1yo/edit?usp=sharing"",""พิษณุโลก!J60"")"),0)</f>
        <v>0</v>
      </c>
      <c r="K130" s="223"/>
      <c r="L130" s="168"/>
      <c r="M130" s="168"/>
      <c r="N130" s="168"/>
      <c r="O130" s="181"/>
      <c r="P130" s="181"/>
    </row>
    <row r="131" spans="1:16" ht="21.75" customHeight="1" x14ac:dyDescent="0.3">
      <c r="A131" s="175"/>
      <c r="B131" s="176"/>
      <c r="C131" s="176"/>
      <c r="D131" s="193"/>
      <c r="E131" s="194" t="s">
        <v>48</v>
      </c>
      <c r="F131" s="195"/>
      <c r="G131" s="196"/>
      <c r="H131" s="186"/>
      <c r="I131" s="187"/>
      <c r="J131" s="187">
        <f ca="1">IFERROR(__xludf.DUMMYFUNCTION("IMPORTRANGE(""https://docs.google.com/spreadsheets/d/11923uPwbBZFjjGgGUA6NLw09EwE0CqkOc4q9oUmW1yo/edit?usp=sharing"",""พิษณุโลก!J61"")"),0)</f>
        <v>0</v>
      </c>
      <c r="K131" s="223"/>
      <c r="L131" s="168"/>
      <c r="M131" s="168"/>
      <c r="N131" s="168"/>
      <c r="O131" s="181"/>
      <c r="P131" s="181"/>
    </row>
    <row r="132" spans="1:16" ht="21.75" customHeight="1" x14ac:dyDescent="0.3">
      <c r="A132" s="175"/>
      <c r="B132" s="176"/>
      <c r="C132" s="176"/>
      <c r="D132" s="193"/>
      <c r="E132" s="198"/>
      <c r="F132" s="194" t="s">
        <v>70</v>
      </c>
      <c r="G132" s="196"/>
      <c r="H132" s="180" t="s">
        <v>37</v>
      </c>
      <c r="I132" s="187">
        <f ca="1">IFERROR(__xludf.DUMMYFUNCTION("IMPORTRANGE(""https://docs.google.com/spreadsheets/d/11923uPwbBZFjjGgGUA6NLw09EwE0CqkOc4q9oUmW1yo/edit?usp=sharing"",""พิษณุโลก!I62"")"),0)</f>
        <v>0</v>
      </c>
      <c r="J132" s="203">
        <f ca="1">IFERROR(__xludf.DUMMYFUNCTION("IMPORTRANGE(""https://docs.google.com/spreadsheets/d/11923uPwbBZFjjGgGUA6NLw09EwE0CqkOc4q9oUmW1yo/edit?usp=sharing"",""พิษณุโลก!J62"")"),0)</f>
        <v>0</v>
      </c>
      <c r="K132" s="223">
        <f t="shared" ref="K132:K133" ca="1" si="63">IF(I132&gt;0,J132*100/I132,0)</f>
        <v>0</v>
      </c>
      <c r="L132" s="168"/>
      <c r="M132" s="168"/>
      <c r="N132" s="168"/>
      <c r="O132" s="181"/>
      <c r="P132" s="181"/>
    </row>
    <row r="133" spans="1:16" ht="21.75" customHeight="1" x14ac:dyDescent="0.3">
      <c r="A133" s="175"/>
      <c r="B133" s="176"/>
      <c r="C133" s="176"/>
      <c r="D133" s="193"/>
      <c r="E133" s="198"/>
      <c r="F133" s="194" t="s">
        <v>71</v>
      </c>
      <c r="G133" s="196"/>
      <c r="H133" s="180" t="s">
        <v>37</v>
      </c>
      <c r="I133" s="187">
        <f ca="1">IFERROR(__xludf.DUMMYFUNCTION("IMPORTRANGE(""https://docs.google.com/spreadsheets/d/11923uPwbBZFjjGgGUA6NLw09EwE0CqkOc4q9oUmW1yo/edit?usp=sharing"",""พิษณุโลก!I63"")"),0)</f>
        <v>0</v>
      </c>
      <c r="J133" s="203">
        <f ca="1">IFERROR(__xludf.DUMMYFUNCTION("IMPORTRANGE(""https://docs.google.com/spreadsheets/d/11923uPwbBZFjjGgGUA6NLw09EwE0CqkOc4q9oUmW1yo/edit?usp=sharing"",""พิษณุโลก!J63"")"),0)</f>
        <v>0</v>
      </c>
      <c r="K133" s="223">
        <f t="shared" ca="1" si="63"/>
        <v>0</v>
      </c>
      <c r="L133" s="168"/>
      <c r="M133" s="168"/>
      <c r="N133" s="168"/>
      <c r="O133" s="181"/>
      <c r="P133" s="181"/>
    </row>
    <row r="134" spans="1:16" ht="21.75" customHeight="1" x14ac:dyDescent="0.3">
      <c r="A134" s="175"/>
      <c r="B134" s="176"/>
      <c r="C134" s="176"/>
      <c r="D134" s="193"/>
      <c r="E134" s="194" t="s">
        <v>54</v>
      </c>
      <c r="F134" s="195"/>
      <c r="G134" s="196"/>
      <c r="H134" s="186"/>
      <c r="I134" s="187"/>
      <c r="J134" s="187">
        <f ca="1">IFERROR(__xludf.DUMMYFUNCTION("IMPORTRANGE(""https://docs.google.com/spreadsheets/d/11923uPwbBZFjjGgGUA6NLw09EwE0CqkOc4q9oUmW1yo/edit?usp=sharing"",""พิษณุโลก!J64"")"),0)</f>
        <v>0</v>
      </c>
      <c r="K134" s="223"/>
      <c r="L134" s="168"/>
      <c r="M134" s="168"/>
      <c r="N134" s="168"/>
      <c r="O134" s="181"/>
      <c r="P134" s="181"/>
    </row>
    <row r="135" spans="1:16" ht="21.75" customHeight="1" x14ac:dyDescent="0.3">
      <c r="A135" s="233"/>
      <c r="B135" s="234"/>
      <c r="C135" s="234"/>
      <c r="D135" s="235">
        <v>3</v>
      </c>
      <c r="E135" s="236" t="s">
        <v>55</v>
      </c>
      <c r="F135" s="237"/>
      <c r="G135" s="238"/>
      <c r="H135" s="239"/>
      <c r="I135" s="240"/>
      <c r="J135" s="241">
        <f ca="1">IFERROR(__xludf.DUMMYFUNCTION("IMPORTRANGE(""https://docs.google.com/spreadsheets/d/11923uPwbBZFjjGgGUA6NLw09EwE0CqkOc4q9oUmW1yo/edit?usp=sharing"",""พิษณุโลก!J65"")"),0)</f>
        <v>0</v>
      </c>
      <c r="K135" s="242"/>
      <c r="L135" s="243"/>
      <c r="M135" s="243"/>
      <c r="N135" s="243"/>
      <c r="O135" s="244"/>
      <c r="P135" s="244"/>
    </row>
    <row r="136" spans="1:16" ht="21.75" customHeight="1" x14ac:dyDescent="0.3">
      <c r="A136" s="245" t="s">
        <v>72</v>
      </c>
      <c r="B136" s="246"/>
      <c r="C136" s="246"/>
      <c r="D136" s="246"/>
      <c r="E136" s="247"/>
      <c r="F136" s="247"/>
      <c r="G136" s="248"/>
      <c r="H136" s="249"/>
      <c r="I136" s="250"/>
      <c r="J136" s="250"/>
      <c r="K136" s="251"/>
      <c r="L136" s="252"/>
      <c r="M136" s="252"/>
      <c r="N136" s="252"/>
      <c r="O136" s="252"/>
      <c r="P136" s="252"/>
    </row>
    <row r="137" spans="1:16" ht="21.75" customHeight="1" x14ac:dyDescent="0.3">
      <c r="A137" s="253" t="s">
        <v>73</v>
      </c>
      <c r="B137" s="254"/>
      <c r="C137" s="254"/>
      <c r="D137" s="255"/>
      <c r="E137" s="255"/>
      <c r="F137" s="255"/>
      <c r="G137" s="256"/>
      <c r="H137" s="257"/>
      <c r="I137" s="258"/>
      <c r="J137" s="258"/>
      <c r="K137" s="259"/>
      <c r="L137" s="259"/>
      <c r="M137" s="259"/>
      <c r="N137" s="259"/>
      <c r="O137" s="260"/>
      <c r="P137" s="260"/>
    </row>
    <row r="138" spans="1:16" ht="21.75" customHeight="1" x14ac:dyDescent="0.3">
      <c r="A138" s="261"/>
      <c r="B138" s="262" t="s">
        <v>74</v>
      </c>
      <c r="C138" s="263"/>
      <c r="D138" s="262"/>
      <c r="E138" s="262"/>
      <c r="F138" s="262"/>
      <c r="G138" s="264"/>
      <c r="H138" s="265" t="s">
        <v>37</v>
      </c>
      <c r="I138" s="266">
        <f ca="1">IFERROR(__xludf.DUMMYFUNCTION("IMPORTRANGE(""https://docs.google.com/spreadsheets/d/11923uPwbBZFjjGgGUA6NLw09EwE0CqkOc4q9oUmW1yo/edit?usp=sharing"",""พิษณุโลก!I68"")"),15)</f>
        <v>15</v>
      </c>
      <c r="J138" s="266">
        <f ca="1">IFERROR(__xludf.DUMMYFUNCTION("IMPORTRANGE(""https://docs.google.com/spreadsheets/d/11923uPwbBZFjjGgGUA6NLw09EwE0CqkOc4q9oUmW1yo/edit?usp=sharing"",""พิษณุโลก!J68"")"),15)</f>
        <v>15</v>
      </c>
      <c r="K138" s="267">
        <f ca="1">IF(I138&gt;0,J138*100/I138,0)</f>
        <v>100</v>
      </c>
      <c r="L138" s="268"/>
      <c r="M138" s="268"/>
      <c r="N138" s="268"/>
      <c r="O138" s="267"/>
      <c r="P138" s="267"/>
    </row>
    <row r="139" spans="1:16" ht="21.75" customHeight="1" x14ac:dyDescent="0.3">
      <c r="A139" s="261"/>
      <c r="B139" s="262" t="s">
        <v>75</v>
      </c>
      <c r="C139" s="263"/>
      <c r="D139" s="262"/>
      <c r="E139" s="262"/>
      <c r="F139" s="262"/>
      <c r="G139" s="264"/>
      <c r="H139" s="265"/>
      <c r="I139" s="266"/>
      <c r="J139" s="266"/>
      <c r="K139" s="267"/>
      <c r="L139" s="268"/>
      <c r="M139" s="268"/>
      <c r="N139" s="268"/>
      <c r="O139" s="267"/>
      <c r="P139" s="267"/>
    </row>
    <row r="140" spans="1:16" ht="21.75" customHeight="1" x14ac:dyDescent="0.45">
      <c r="A140" s="145"/>
      <c r="B140" s="146"/>
      <c r="C140" s="147" t="s">
        <v>16</v>
      </c>
      <c r="D140" s="537" t="s">
        <v>17</v>
      </c>
      <c r="E140" s="528"/>
      <c r="F140" s="528"/>
      <c r="G140" s="528"/>
      <c r="H140" s="148" t="s">
        <v>12</v>
      </c>
      <c r="I140" s="162"/>
      <c r="J140" s="162"/>
      <c r="K140" s="163"/>
      <c r="L140" s="151">
        <f t="shared" ref="L140:N140" ca="1" si="64">L141+L142</f>
        <v>348000</v>
      </c>
      <c r="M140" s="151">
        <f t="shared" ca="1" si="64"/>
        <v>200750</v>
      </c>
      <c r="N140" s="151">
        <f t="shared" ca="1" si="64"/>
        <v>138242</v>
      </c>
      <c r="O140" s="150">
        <f t="shared" ref="O140:O142" ca="1" si="65">IF(L140&gt;0,N140*100/L140,0)</f>
        <v>39.72471264367816</v>
      </c>
      <c r="P140" s="150">
        <f t="shared" ref="P140:P142" ca="1" si="66">IF(M140&gt;0,N140*100/M140,0)</f>
        <v>68.862764632627645</v>
      </c>
    </row>
    <row r="141" spans="1:16" ht="21.75" customHeight="1" x14ac:dyDescent="0.45">
      <c r="A141" s="152"/>
      <c r="B141" s="32"/>
      <c r="C141" s="32"/>
      <c r="D141" s="32"/>
      <c r="E141" s="32"/>
      <c r="F141" s="32"/>
      <c r="G141" s="33" t="s">
        <v>18</v>
      </c>
      <c r="H141" s="153" t="s">
        <v>12</v>
      </c>
      <c r="I141" s="162"/>
      <c r="J141" s="162"/>
      <c r="K141" s="163"/>
      <c r="L141" s="87">
        <f t="shared" ref="L141:N141" si="67">L143+L147</f>
        <v>0</v>
      </c>
      <c r="M141" s="87">
        <f t="shared" si="67"/>
        <v>0</v>
      </c>
      <c r="N141" s="87">
        <f t="shared" si="67"/>
        <v>0</v>
      </c>
      <c r="O141" s="155">
        <f t="shared" si="65"/>
        <v>0</v>
      </c>
      <c r="P141" s="155">
        <f t="shared" si="66"/>
        <v>0</v>
      </c>
    </row>
    <row r="142" spans="1:16" ht="21.75" customHeight="1" x14ac:dyDescent="0.45">
      <c r="A142" s="152"/>
      <c r="B142" s="32"/>
      <c r="C142" s="32"/>
      <c r="D142" s="32"/>
      <c r="E142" s="32"/>
      <c r="F142" s="32"/>
      <c r="G142" s="33" t="s">
        <v>19</v>
      </c>
      <c r="H142" s="153" t="s">
        <v>12</v>
      </c>
      <c r="I142" s="162"/>
      <c r="J142" s="162"/>
      <c r="K142" s="163"/>
      <c r="L142" s="87">
        <f t="shared" ref="L142:N142" ca="1" si="68">L144+L148</f>
        <v>348000</v>
      </c>
      <c r="M142" s="87">
        <f t="shared" ca="1" si="68"/>
        <v>200750</v>
      </c>
      <c r="N142" s="87">
        <f t="shared" ca="1" si="68"/>
        <v>138242</v>
      </c>
      <c r="O142" s="155">
        <f t="shared" ca="1" si="65"/>
        <v>39.72471264367816</v>
      </c>
      <c r="P142" s="155">
        <f t="shared" ca="1" si="66"/>
        <v>68.862764632627645</v>
      </c>
    </row>
    <row r="143" spans="1:16" ht="21.75" customHeight="1" x14ac:dyDescent="0.3">
      <c r="A143" s="156"/>
      <c r="B143" s="157"/>
      <c r="C143" s="157" t="s">
        <v>16</v>
      </c>
      <c r="D143" s="158" t="s">
        <v>38</v>
      </c>
      <c r="E143" s="159"/>
      <c r="F143" s="159"/>
      <c r="G143" s="160" t="s">
        <v>39</v>
      </c>
      <c r="H143" s="161" t="s">
        <v>12</v>
      </c>
      <c r="I143" s="162" t="s">
        <v>40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3">
      <c r="A144" s="156"/>
      <c r="B144" s="157"/>
      <c r="C144" s="157"/>
      <c r="D144" s="166"/>
      <c r="E144" s="159"/>
      <c r="F144" s="159" t="s">
        <v>40</v>
      </c>
      <c r="G144" s="160" t="s">
        <v>41</v>
      </c>
      <c r="H144" s="161" t="s">
        <v>12</v>
      </c>
      <c r="I144" s="162"/>
      <c r="J144" s="162"/>
      <c r="K144" s="163"/>
      <c r="L144" s="167">
        <f ca="1">L145+L146</f>
        <v>348000</v>
      </c>
      <c r="M144" s="167">
        <f ca="1">IFERROR(__xludf.DUMMYFUNCTION("IMPORTRANGE(""https://docs.google.com/spreadsheets/d/1Yj_ptqi66GCucihVvJfMjLAmec39IyEx_6qawtMGysU/edit?usp=sharing"",""สบก!BJ28"")"),200750)</f>
        <v>200750</v>
      </c>
      <c r="N144" s="168">
        <f ca="1">IFERROR(__xludf.DUMMYFUNCTION("IMPORTRANGE(""https://docs.google.com/spreadsheets/d/1Yj_ptqi66GCucihVvJfMjLAmec39IyEx_6qawtMGysU/edit?usp=sharing"",""สบก!BK28"")"),138242)</f>
        <v>138242</v>
      </c>
      <c r="O144" s="168">
        <f ca="1">IF(L144&gt;0,N144*100/L144,0)</f>
        <v>39.72471264367816</v>
      </c>
      <c r="P144" s="168">
        <f ca="1">IF(M144&gt;0,N144*100/M144,0)</f>
        <v>68.862764632627645</v>
      </c>
    </row>
    <row r="145" spans="1:16" ht="21.75" customHeight="1" x14ac:dyDescent="0.3">
      <c r="A145" s="156"/>
      <c r="B145" s="157"/>
      <c r="C145" s="157"/>
      <c r="D145" s="166"/>
      <c r="E145" s="159"/>
      <c r="F145" s="159"/>
      <c r="G145" s="169" t="s">
        <v>42</v>
      </c>
      <c r="H145" s="161" t="s">
        <v>12</v>
      </c>
      <c r="I145" s="162"/>
      <c r="J145" s="162"/>
      <c r="K145" s="163"/>
      <c r="L145" s="167">
        <f ca="1">IFERROR(__xludf.DUMMYFUNCTION("IMPORTRANGE(""https://docs.google.com/spreadsheets/d/1Yj_ptqi66GCucihVvJfMjLAmec39IyEx_6qawtMGysU/edit?usp=sharing"",""สบก!BF28"")"),264000)</f>
        <v>264000</v>
      </c>
      <c r="M145" s="167"/>
      <c r="N145" s="167"/>
      <c r="O145" s="168"/>
      <c r="P145" s="168"/>
    </row>
    <row r="146" spans="1:16" ht="21.75" customHeight="1" x14ac:dyDescent="0.3">
      <c r="A146" s="156"/>
      <c r="B146" s="157"/>
      <c r="C146" s="157"/>
      <c r="D146" s="166"/>
      <c r="E146" s="159"/>
      <c r="F146" s="159"/>
      <c r="G146" s="169" t="s">
        <v>43</v>
      </c>
      <c r="H146" s="161" t="s">
        <v>12</v>
      </c>
      <c r="I146" s="162"/>
      <c r="J146" s="162"/>
      <c r="K146" s="163"/>
      <c r="L146" s="167">
        <f ca="1">IFERROR(__xludf.DUMMYFUNCTION("IMPORTRANGE(""https://docs.google.com/spreadsheets/d/1Yj_ptqi66GCucihVvJfMjLAmec39IyEx_6qawtMGysU/edit?usp=sharing"",""สบก!BG28"")"),84000)</f>
        <v>84000</v>
      </c>
      <c r="M146" s="167"/>
      <c r="N146" s="167"/>
      <c r="O146" s="168"/>
      <c r="P146" s="168"/>
    </row>
    <row r="147" spans="1:16" ht="21.75" customHeight="1" x14ac:dyDescent="0.45">
      <c r="A147" s="170"/>
      <c r="B147" s="80"/>
      <c r="C147" s="81" t="s">
        <v>16</v>
      </c>
      <c r="D147" s="534" t="s">
        <v>23</v>
      </c>
      <c r="E147" s="530"/>
      <c r="F147" s="88"/>
      <c r="G147" s="82" t="s">
        <v>18</v>
      </c>
      <c r="H147" s="171" t="s">
        <v>12</v>
      </c>
      <c r="I147" s="187"/>
      <c r="J147" s="187"/>
      <c r="K147" s="223"/>
      <c r="L147" s="41">
        <v>0</v>
      </c>
      <c r="M147" s="41"/>
      <c r="N147" s="41"/>
      <c r="O147" s="41"/>
      <c r="P147" s="41"/>
    </row>
    <row r="148" spans="1:16" ht="21.75" customHeight="1" x14ac:dyDescent="0.45">
      <c r="A148" s="172"/>
      <c r="B148" s="91"/>
      <c r="C148" s="91"/>
      <c r="D148" s="173"/>
      <c r="E148" s="92"/>
      <c r="F148" s="92"/>
      <c r="G148" s="93" t="s">
        <v>19</v>
      </c>
      <c r="H148" s="174" t="s">
        <v>12</v>
      </c>
      <c r="I148" s="187"/>
      <c r="J148" s="187"/>
      <c r="K148" s="223"/>
      <c r="L148" s="49">
        <f ca="1">IFERROR(__xludf.DUMMYFUNCTION("IMPORTRANGE(""https://docs.google.com/spreadsheets/d/1Yj_ptqi66GCucihVvJfMjLAmec39IyEx_6qawtMGysU/edit?usp=sharing"",""สบก!BH28"")"),0)</f>
        <v>0</v>
      </c>
      <c r="M148" s="49"/>
      <c r="N148" s="49">
        <f ca="1">IFERROR(__xludf.DUMMYFUNCTION("IMPORTRANGE(""https://docs.google.com/spreadsheets/d/1Yj_ptqi66GCucihVvJfMjLAmec39IyEx_6qawtMGysU/edit?usp=sharing"",""สบก!BL28"")"),0)</f>
        <v>0</v>
      </c>
      <c r="O148" s="49">
        <f ca="1">IF(L148&gt;0,N148*100/L148,0)</f>
        <v>0</v>
      </c>
      <c r="P148" s="49"/>
    </row>
    <row r="149" spans="1:16" ht="21.75" customHeight="1" x14ac:dyDescent="0.3">
      <c r="A149" s="269"/>
      <c r="B149" s="270"/>
      <c r="C149" s="271" t="s">
        <v>76</v>
      </c>
      <c r="D149" s="271"/>
      <c r="E149" s="271"/>
      <c r="F149" s="271"/>
      <c r="G149" s="272"/>
      <c r="H149" s="273" t="s">
        <v>77</v>
      </c>
      <c r="I149" s="274">
        <f ca="1">IFERROR(__xludf.DUMMYFUNCTION("IMPORTRANGE(""https://docs.google.com/spreadsheets/d/11923uPwbBZFjjGgGUA6NLw09EwE0CqkOc4q9oUmW1yo/edit?usp=sharing"",""พิษณุโลก!I74"")"),4)</f>
        <v>4</v>
      </c>
      <c r="J149" s="274">
        <f ca="1">IFERROR(__xludf.DUMMYFUNCTION("IMPORTRANGE(""https://docs.google.com/spreadsheets/d/11923uPwbBZFjjGgGUA6NLw09EwE0CqkOc4q9oUmW1yo/edit?usp=sharing"",""พิษณุโลก!J74"")"),2)</f>
        <v>2</v>
      </c>
      <c r="K149" s="275">
        <f ca="1">IF(I149&gt;0,J149*100/I149,0)</f>
        <v>50</v>
      </c>
      <c r="L149" s="276"/>
      <c r="M149" s="276"/>
      <c r="N149" s="276"/>
      <c r="O149" s="276"/>
      <c r="P149" s="276"/>
    </row>
    <row r="150" spans="1:16" ht="21.75" customHeight="1" x14ac:dyDescent="0.3">
      <c r="A150" s="156"/>
      <c r="B150" s="157"/>
      <c r="C150" s="157" t="s">
        <v>16</v>
      </c>
      <c r="D150" s="158" t="s">
        <v>38</v>
      </c>
      <c r="E150" s="159"/>
      <c r="F150" s="159"/>
      <c r="G150" s="160" t="s">
        <v>39</v>
      </c>
      <c r="H150" s="161" t="s">
        <v>12</v>
      </c>
      <c r="I150" s="162" t="s">
        <v>40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3">
      <c r="A151" s="156"/>
      <c r="B151" s="157"/>
      <c r="C151" s="157"/>
      <c r="D151" s="166"/>
      <c r="E151" s="159"/>
      <c r="F151" s="159" t="s">
        <v>40</v>
      </c>
      <c r="G151" s="160" t="s">
        <v>41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3">
      <c r="A152" s="156"/>
      <c r="B152" s="157"/>
      <c r="C152" s="157"/>
      <c r="D152" s="166"/>
      <c r="E152" s="159"/>
      <c r="F152" s="159"/>
      <c r="G152" s="169" t="s">
        <v>43</v>
      </c>
      <c r="H152" s="161" t="s">
        <v>12</v>
      </c>
      <c r="I152" s="162"/>
      <c r="J152" s="162"/>
      <c r="K152" s="163"/>
      <c r="L152" s="168"/>
      <c r="M152" s="168"/>
      <c r="N152" s="167"/>
      <c r="O152" s="168"/>
      <c r="P152" s="168"/>
    </row>
    <row r="153" spans="1:16" ht="21.75" customHeight="1" x14ac:dyDescent="0.3">
      <c r="A153" s="175"/>
      <c r="B153" s="176"/>
      <c r="C153" s="157" t="s">
        <v>16</v>
      </c>
      <c r="D153" s="177" t="s">
        <v>44</v>
      </c>
      <c r="E153" s="178"/>
      <c r="F153" s="178"/>
      <c r="G153" s="179"/>
      <c r="H153" s="180"/>
      <c r="I153" s="162"/>
      <c r="J153" s="162"/>
      <c r="K153" s="163"/>
      <c r="L153" s="181"/>
      <c r="M153" s="181"/>
      <c r="N153" s="181"/>
      <c r="O153" s="181"/>
      <c r="P153" s="181"/>
    </row>
    <row r="154" spans="1:16" ht="21.75" customHeight="1" x14ac:dyDescent="0.3">
      <c r="A154" s="175"/>
      <c r="B154" s="176"/>
      <c r="C154" s="176"/>
      <c r="D154" s="182">
        <v>1</v>
      </c>
      <c r="E154" s="183" t="s">
        <v>45</v>
      </c>
      <c r="F154" s="184"/>
      <c r="G154" s="185"/>
      <c r="H154" s="186"/>
      <c r="I154" s="187"/>
      <c r="J154" s="188">
        <f ca="1">IFERROR(__xludf.DUMMYFUNCTION("IMPORTRANGE(""https://docs.google.com/spreadsheets/d/11923uPwbBZFjjGgGUA6NLw09EwE0CqkOc4q9oUmW1yo/edit?usp=sharing"",""พิษณุโลก!J79"")"),0)</f>
        <v>0</v>
      </c>
      <c r="K154" s="163"/>
      <c r="L154" s="181"/>
      <c r="M154" s="181"/>
      <c r="N154" s="181"/>
      <c r="O154" s="181"/>
      <c r="P154" s="181"/>
    </row>
    <row r="155" spans="1:16" ht="21.75" customHeight="1" x14ac:dyDescent="0.3">
      <c r="A155" s="175"/>
      <c r="B155" s="176"/>
      <c r="C155" s="176"/>
      <c r="D155" s="189">
        <v>2</v>
      </c>
      <c r="E155" s="190" t="s">
        <v>46</v>
      </c>
      <c r="F155" s="191"/>
      <c r="G155" s="192"/>
      <c r="H155" s="186"/>
      <c r="I155" s="187"/>
      <c r="J155" s="197">
        <f ca="1">IFERROR(__xludf.DUMMYFUNCTION("IMPORTRANGE(""https://docs.google.com/spreadsheets/d/11923uPwbBZFjjGgGUA6NLw09EwE0CqkOc4q9oUmW1yo/edit?usp=sharing"",""พิษณุโลก!J80"")"),1)</f>
        <v>1</v>
      </c>
      <c r="K155" s="163"/>
      <c r="L155" s="181"/>
      <c r="M155" s="181"/>
      <c r="N155" s="181"/>
      <c r="O155" s="181"/>
      <c r="P155" s="181"/>
    </row>
    <row r="156" spans="1:16" ht="21.75" customHeight="1" x14ac:dyDescent="0.3">
      <c r="A156" s="175"/>
      <c r="B156" s="176"/>
      <c r="C156" s="176"/>
      <c r="D156" s="193"/>
      <c r="E156" s="194" t="s">
        <v>47</v>
      </c>
      <c r="F156" s="195"/>
      <c r="G156" s="196"/>
      <c r="H156" s="186"/>
      <c r="I156" s="187"/>
      <c r="J156" s="197">
        <f ca="1">IFERROR(__xludf.DUMMYFUNCTION("IMPORTRANGE(""https://docs.google.com/spreadsheets/d/11923uPwbBZFjjGgGUA6NLw09EwE0CqkOc4q9oUmW1yo/edit?usp=sharing"",""พิษณุโลก!J81"")"),0)</f>
        <v>0</v>
      </c>
      <c r="K156" s="163"/>
      <c r="L156" s="181"/>
      <c r="M156" s="181"/>
      <c r="N156" s="181"/>
      <c r="O156" s="181"/>
      <c r="P156" s="181"/>
    </row>
    <row r="157" spans="1:16" ht="21.75" customHeight="1" x14ac:dyDescent="0.3">
      <c r="A157" s="175"/>
      <c r="B157" s="176"/>
      <c r="C157" s="176"/>
      <c r="D157" s="193"/>
      <c r="E157" s="194" t="s">
        <v>48</v>
      </c>
      <c r="F157" s="195"/>
      <c r="G157" s="196"/>
      <c r="H157" s="186"/>
      <c r="I157" s="187"/>
      <c r="J157" s="197">
        <f ca="1">IFERROR(__xludf.DUMMYFUNCTION("IMPORTRANGE(""https://docs.google.com/spreadsheets/d/11923uPwbBZFjjGgGUA6NLw09EwE0CqkOc4q9oUmW1yo/edit?usp=sharing"",""พิษณุโลก!J82"")"),1)</f>
        <v>1</v>
      </c>
      <c r="K157" s="163"/>
      <c r="L157" s="181"/>
      <c r="M157" s="181"/>
      <c r="N157" s="181"/>
      <c r="O157" s="181"/>
      <c r="P157" s="181"/>
    </row>
    <row r="158" spans="1:16" ht="21.75" customHeight="1" x14ac:dyDescent="0.3">
      <c r="A158" s="175"/>
      <c r="B158" s="176"/>
      <c r="C158" s="176"/>
      <c r="D158" s="193"/>
      <c r="E158" s="198"/>
      <c r="F158" s="194" t="s">
        <v>78</v>
      </c>
      <c r="G158" s="196"/>
      <c r="H158" s="180" t="s">
        <v>77</v>
      </c>
      <c r="I158" s="187">
        <f ca="1">IFERROR(__xludf.DUMMYFUNCTION("IMPORTRANGE(""https://docs.google.com/spreadsheets/d/11923uPwbBZFjjGgGUA6NLw09EwE0CqkOc4q9oUmW1yo/edit?usp=sharing"",""พิษณุโลก!I83"")"),4)</f>
        <v>4</v>
      </c>
      <c r="J158" s="188">
        <f ca="1">IFERROR(__xludf.DUMMYFUNCTION("IMPORTRANGE(""https://docs.google.com/spreadsheets/d/11923uPwbBZFjjGgGUA6NLw09EwE0CqkOc4q9oUmW1yo/edit?usp=sharing"",""พิษณุโลก!J83"")"),2)</f>
        <v>2</v>
      </c>
      <c r="K158" s="163">
        <f ca="1">IF(I158&gt;0,J158*100/I158,0)</f>
        <v>50</v>
      </c>
      <c r="L158" s="181"/>
      <c r="M158" s="181"/>
      <c r="N158" s="181"/>
      <c r="O158" s="181"/>
      <c r="P158" s="181"/>
    </row>
    <row r="159" spans="1:16" ht="21.75" customHeight="1" x14ac:dyDescent="0.3">
      <c r="A159" s="175"/>
      <c r="B159" s="176"/>
      <c r="C159" s="176"/>
      <c r="D159" s="193"/>
      <c r="E159" s="195"/>
      <c r="F159" s="277" t="s">
        <v>79</v>
      </c>
      <c r="G159" s="196"/>
      <c r="H159" s="278" t="s">
        <v>37</v>
      </c>
      <c r="I159" s="187"/>
      <c r="J159" s="203">
        <f ca="1">IFERROR(__xludf.DUMMYFUNCTION("IMPORTRANGE(""https://docs.google.com/spreadsheets/d/11923uPwbBZFjjGgGUA6NLw09EwE0CqkOc4q9oUmW1yo/edit?usp=sharing"",""พิษณุโลก!J84"")"),127)</f>
        <v>127</v>
      </c>
      <c r="K159" s="163"/>
      <c r="L159" s="181"/>
      <c r="M159" s="181"/>
      <c r="N159" s="181"/>
      <c r="O159" s="181"/>
      <c r="P159" s="181"/>
    </row>
    <row r="160" spans="1:16" ht="21.75" customHeight="1" x14ac:dyDescent="0.45">
      <c r="A160" s="175"/>
      <c r="B160" s="176"/>
      <c r="C160" s="176"/>
      <c r="D160" s="193"/>
      <c r="E160" s="195"/>
      <c r="F160" s="195"/>
      <c r="G160" s="279" t="s">
        <v>80</v>
      </c>
      <c r="H160" s="278" t="s">
        <v>37</v>
      </c>
      <c r="I160" s="187"/>
      <c r="J160" s="280">
        <f ca="1">IFERROR(__xludf.DUMMYFUNCTION("IMPORTRANGE(""https://docs.google.com/spreadsheets/d/11923uPwbBZFjjGgGUA6NLw09EwE0CqkOc4q9oUmW1yo/edit?usp=sharing"",""พิษณุโลก!J85"")"),127)</f>
        <v>127</v>
      </c>
      <c r="K160" s="163"/>
      <c r="L160" s="181"/>
      <c r="M160" s="181"/>
      <c r="N160" s="181"/>
      <c r="O160" s="181"/>
      <c r="P160" s="181"/>
    </row>
    <row r="161" spans="1:16" ht="21.75" customHeight="1" x14ac:dyDescent="0.45">
      <c r="A161" s="175"/>
      <c r="B161" s="176"/>
      <c r="C161" s="176"/>
      <c r="D161" s="193"/>
      <c r="E161" s="195"/>
      <c r="F161" s="195"/>
      <c r="G161" s="279" t="s">
        <v>81</v>
      </c>
      <c r="H161" s="278" t="s">
        <v>37</v>
      </c>
      <c r="I161" s="187"/>
      <c r="J161" s="280">
        <f ca="1">IFERROR(__xludf.DUMMYFUNCTION("IMPORTRANGE(""https://docs.google.com/spreadsheets/d/11923uPwbBZFjjGgGUA6NLw09EwE0CqkOc4q9oUmW1yo/edit?usp=sharing"",""พิษณุโลก!J86"")"),0)</f>
        <v>0</v>
      </c>
      <c r="K161" s="163"/>
      <c r="L161" s="181"/>
      <c r="M161" s="181"/>
      <c r="N161" s="181"/>
      <c r="O161" s="181"/>
      <c r="P161" s="181"/>
    </row>
    <row r="162" spans="1:16" ht="21.75" customHeight="1" x14ac:dyDescent="0.3">
      <c r="A162" s="175"/>
      <c r="B162" s="176"/>
      <c r="C162" s="176"/>
      <c r="D162" s="193"/>
      <c r="E162" s="194" t="s">
        <v>54</v>
      </c>
      <c r="F162" s="195"/>
      <c r="G162" s="196"/>
      <c r="H162" s="186"/>
      <c r="I162" s="187"/>
      <c r="J162" s="197">
        <f ca="1">IFERROR(__xludf.DUMMYFUNCTION("IMPORTRANGE(""https://docs.google.com/spreadsheets/d/11923uPwbBZFjjGgGUA6NLw09EwE0CqkOc4q9oUmW1yo/edit?usp=sharing"",""พิษณุโลก!J87"")"),0)</f>
        <v>0</v>
      </c>
      <c r="K162" s="163"/>
      <c r="L162" s="181"/>
      <c r="M162" s="181"/>
      <c r="N162" s="181"/>
      <c r="O162" s="181"/>
      <c r="P162" s="181"/>
    </row>
    <row r="163" spans="1:16" ht="21.75" customHeight="1" x14ac:dyDescent="0.3">
      <c r="A163" s="175"/>
      <c r="B163" s="176"/>
      <c r="C163" s="176"/>
      <c r="D163" s="205">
        <v>3</v>
      </c>
      <c r="E163" s="206" t="s">
        <v>55</v>
      </c>
      <c r="F163" s="207"/>
      <c r="G163" s="208"/>
      <c r="H163" s="186"/>
      <c r="I163" s="187"/>
      <c r="J163" s="209">
        <f ca="1">IFERROR(__xludf.DUMMYFUNCTION("IMPORTRANGE(""https://docs.google.com/spreadsheets/d/11923uPwbBZFjjGgGUA6NLw09EwE0CqkOc4q9oUmW1yo/edit?usp=sharing"",""พิษณุโลก!J88"")"),0)</f>
        <v>0</v>
      </c>
      <c r="K163" s="163"/>
      <c r="L163" s="181"/>
      <c r="M163" s="181"/>
      <c r="N163" s="181"/>
      <c r="O163" s="181"/>
      <c r="P163" s="181"/>
    </row>
    <row r="164" spans="1:16" ht="21.75" customHeight="1" x14ac:dyDescent="0.3">
      <c r="A164" s="269"/>
      <c r="B164" s="270"/>
      <c r="C164" s="271" t="s">
        <v>82</v>
      </c>
      <c r="D164" s="271"/>
      <c r="E164" s="271"/>
      <c r="F164" s="271"/>
      <c r="G164" s="272"/>
      <c r="H164" s="281" t="s">
        <v>83</v>
      </c>
      <c r="I164" s="282">
        <f ca="1">IFERROR(__xludf.DUMMYFUNCTION("IMPORTRANGE(""https://docs.google.com/spreadsheets/d/11923uPwbBZFjjGgGUA6NLw09EwE0CqkOc4q9oUmW1yo/edit?usp=sharing"",""พิษณุโลก!I89"")"),3)</f>
        <v>3</v>
      </c>
      <c r="J164" s="282">
        <f ca="1">IFERROR(__xludf.DUMMYFUNCTION("IMPORTRANGE(""https://docs.google.com/spreadsheets/d/11923uPwbBZFjjGgGUA6NLw09EwE0CqkOc4q9oUmW1yo/edit?usp=sharing"",""พิษณุโลก!J89"")"),0)</f>
        <v>0</v>
      </c>
      <c r="K164" s="283">
        <f ca="1">IF(I164&gt;0,J164*100/I164,0)</f>
        <v>0</v>
      </c>
      <c r="L164" s="276"/>
      <c r="M164" s="276"/>
      <c r="N164" s="276"/>
      <c r="O164" s="276"/>
      <c r="P164" s="276"/>
    </row>
    <row r="165" spans="1:16" ht="21.75" customHeight="1" x14ac:dyDescent="0.3">
      <c r="A165" s="156"/>
      <c r="B165" s="157"/>
      <c r="C165" s="157" t="s">
        <v>16</v>
      </c>
      <c r="D165" s="158" t="s">
        <v>38</v>
      </c>
      <c r="E165" s="159"/>
      <c r="F165" s="159"/>
      <c r="G165" s="160" t="s">
        <v>39</v>
      </c>
      <c r="H165" s="161" t="s">
        <v>12</v>
      </c>
      <c r="I165" s="162" t="s">
        <v>40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3">
      <c r="A166" s="156"/>
      <c r="B166" s="157"/>
      <c r="C166" s="157"/>
      <c r="D166" s="166"/>
      <c r="E166" s="159"/>
      <c r="F166" s="159" t="s">
        <v>40</v>
      </c>
      <c r="G166" s="160" t="s">
        <v>41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3">
      <c r="A167" s="156"/>
      <c r="B167" s="157"/>
      <c r="C167" s="157"/>
      <c r="D167" s="166"/>
      <c r="E167" s="159"/>
      <c r="F167" s="159"/>
      <c r="G167" s="169" t="s">
        <v>43</v>
      </c>
      <c r="H167" s="161" t="s">
        <v>12</v>
      </c>
      <c r="I167" s="162"/>
      <c r="J167" s="162"/>
      <c r="K167" s="163"/>
      <c r="L167" s="168"/>
      <c r="M167" s="168"/>
      <c r="N167" s="167"/>
      <c r="O167" s="168"/>
      <c r="P167" s="168"/>
    </row>
    <row r="168" spans="1:16" ht="21.75" customHeight="1" x14ac:dyDescent="0.3">
      <c r="A168" s="175"/>
      <c r="B168" s="176"/>
      <c r="C168" s="157" t="s">
        <v>16</v>
      </c>
      <c r="D168" s="177" t="s">
        <v>44</v>
      </c>
      <c r="E168" s="178"/>
      <c r="F168" s="178"/>
      <c r="G168" s="179"/>
      <c r="H168" s="180"/>
      <c r="I168" s="162"/>
      <c r="J168" s="162"/>
      <c r="K168" s="163"/>
      <c r="L168" s="181"/>
      <c r="M168" s="181"/>
      <c r="N168" s="181"/>
      <c r="O168" s="181"/>
      <c r="P168" s="181"/>
    </row>
    <row r="169" spans="1:16" ht="21.75" customHeight="1" x14ac:dyDescent="0.3">
      <c r="A169" s="175"/>
      <c r="B169" s="176"/>
      <c r="C169" s="176"/>
      <c r="D169" s="182">
        <v>1</v>
      </c>
      <c r="E169" s="183" t="s">
        <v>45</v>
      </c>
      <c r="F169" s="184"/>
      <c r="G169" s="185"/>
      <c r="H169" s="186"/>
      <c r="I169" s="187"/>
      <c r="J169" s="188">
        <f ca="1">IFERROR(__xludf.DUMMYFUNCTION("IMPORTRANGE(""https://docs.google.com/spreadsheets/d/11923uPwbBZFjjGgGUA6NLw09EwE0CqkOc4q9oUmW1yo/edit?usp=sharing"",""พิษณุโลก!J94"")"),0)</f>
        <v>0</v>
      </c>
      <c r="K169" s="163"/>
      <c r="L169" s="181"/>
      <c r="M169" s="181"/>
      <c r="N169" s="181"/>
      <c r="O169" s="181"/>
      <c r="P169" s="181"/>
    </row>
    <row r="170" spans="1:16" ht="21.75" customHeight="1" x14ac:dyDescent="0.3">
      <c r="A170" s="175"/>
      <c r="B170" s="176"/>
      <c r="C170" s="176"/>
      <c r="D170" s="189">
        <v>2</v>
      </c>
      <c r="E170" s="190" t="s">
        <v>46</v>
      </c>
      <c r="F170" s="191"/>
      <c r="G170" s="192"/>
      <c r="H170" s="186"/>
      <c r="I170" s="187"/>
      <c r="J170" s="197">
        <f ca="1">IFERROR(__xludf.DUMMYFUNCTION("IMPORTRANGE(""https://docs.google.com/spreadsheets/d/11923uPwbBZFjjGgGUA6NLw09EwE0CqkOc4q9oUmW1yo/edit?usp=sharing"",""พิษณุโลก!J95"")"),1)</f>
        <v>1</v>
      </c>
      <c r="K170" s="163"/>
      <c r="L170" s="181"/>
      <c r="M170" s="181"/>
      <c r="N170" s="181"/>
      <c r="O170" s="181"/>
      <c r="P170" s="181"/>
    </row>
    <row r="171" spans="1:16" ht="21.75" customHeight="1" x14ac:dyDescent="0.3">
      <c r="A171" s="175"/>
      <c r="B171" s="176"/>
      <c r="C171" s="176"/>
      <c r="D171" s="193"/>
      <c r="E171" s="194" t="s">
        <v>47</v>
      </c>
      <c r="F171" s="195"/>
      <c r="G171" s="196"/>
      <c r="H171" s="186"/>
      <c r="I171" s="187"/>
      <c r="J171" s="197">
        <f ca="1">IFERROR(__xludf.DUMMYFUNCTION("IMPORTRANGE(""https://docs.google.com/spreadsheets/d/11923uPwbBZFjjGgGUA6NLw09EwE0CqkOc4q9oUmW1yo/edit?usp=sharing"",""พิษณุโลก!J96"")"),0)</f>
        <v>0</v>
      </c>
      <c r="K171" s="163"/>
      <c r="L171" s="181"/>
      <c r="M171" s="181"/>
      <c r="N171" s="181"/>
      <c r="O171" s="181"/>
      <c r="P171" s="181"/>
    </row>
    <row r="172" spans="1:16" ht="21.75" customHeight="1" x14ac:dyDescent="0.3">
      <c r="A172" s="175"/>
      <c r="B172" s="176"/>
      <c r="C172" s="176"/>
      <c r="D172" s="193"/>
      <c r="E172" s="194" t="s">
        <v>48</v>
      </c>
      <c r="F172" s="195"/>
      <c r="G172" s="196"/>
      <c r="H172" s="186"/>
      <c r="I172" s="187"/>
      <c r="J172" s="197">
        <f ca="1">IFERROR(__xludf.DUMMYFUNCTION("IMPORTRANGE(""https://docs.google.com/spreadsheets/d/11923uPwbBZFjjGgGUA6NLw09EwE0CqkOc4q9oUmW1yo/edit?usp=sharing"",""พิษณุโลก!J97"")"),0)</f>
        <v>0</v>
      </c>
      <c r="K172" s="163"/>
      <c r="L172" s="181"/>
      <c r="M172" s="181"/>
      <c r="N172" s="181"/>
      <c r="O172" s="181"/>
      <c r="P172" s="181"/>
    </row>
    <row r="173" spans="1:16" ht="21.75" customHeight="1" x14ac:dyDescent="0.3">
      <c r="A173" s="175"/>
      <c r="B173" s="176"/>
      <c r="C173" s="176"/>
      <c r="D173" s="193"/>
      <c r="E173" s="198"/>
      <c r="F173" s="204" t="s">
        <v>84</v>
      </c>
      <c r="G173" s="196"/>
      <c r="H173" s="180" t="s">
        <v>83</v>
      </c>
      <c r="I173" s="187">
        <f ca="1">IFERROR(__xludf.DUMMYFUNCTION("IMPORTRANGE(""https://docs.google.com/spreadsheets/d/11923uPwbBZFjjGgGUA6NLw09EwE0CqkOc4q9oUmW1yo/edit?usp=sharing"",""พิษณุโลก!I98"")"),3)</f>
        <v>3</v>
      </c>
      <c r="J173" s="188">
        <f ca="1">IFERROR(__xludf.DUMMYFUNCTION("IMPORTRANGE(""https://docs.google.com/spreadsheets/d/11923uPwbBZFjjGgGUA6NLw09EwE0CqkOc4q9oUmW1yo/edit?usp=sharing"",""พิษณุโลก!J98"")"),0)</f>
        <v>0</v>
      </c>
      <c r="K173" s="163">
        <f ca="1">IF(I173&gt;0,J173*100/I173,0)</f>
        <v>0</v>
      </c>
      <c r="L173" s="168"/>
      <c r="M173" s="168"/>
      <c r="N173" s="167"/>
      <c r="O173" s="168"/>
      <c r="P173" s="168"/>
    </row>
    <row r="174" spans="1:16" ht="21.75" customHeight="1" x14ac:dyDescent="0.3">
      <c r="A174" s="175"/>
      <c r="B174" s="176"/>
      <c r="C174" s="176"/>
      <c r="D174" s="193"/>
      <c r="E174" s="194" t="s">
        <v>54</v>
      </c>
      <c r="F174" s="195"/>
      <c r="G174" s="196"/>
      <c r="H174" s="186"/>
      <c r="I174" s="187"/>
      <c r="J174" s="197">
        <f ca="1">IFERROR(__xludf.DUMMYFUNCTION("IMPORTRANGE(""https://docs.google.com/spreadsheets/d/11923uPwbBZFjjGgGUA6NLw09EwE0CqkOc4q9oUmW1yo/edit?usp=sharing"",""พิษณุโลก!J99"")"),0)</f>
        <v>0</v>
      </c>
      <c r="K174" s="163"/>
      <c r="L174" s="181"/>
      <c r="M174" s="181"/>
      <c r="N174" s="181"/>
      <c r="O174" s="181"/>
      <c r="P174" s="181"/>
    </row>
    <row r="175" spans="1:16" ht="21.75" customHeight="1" x14ac:dyDescent="0.3">
      <c r="A175" s="175"/>
      <c r="B175" s="176"/>
      <c r="C175" s="176"/>
      <c r="D175" s="205">
        <v>3</v>
      </c>
      <c r="E175" s="206" t="s">
        <v>55</v>
      </c>
      <c r="F175" s="207"/>
      <c r="G175" s="208"/>
      <c r="H175" s="186"/>
      <c r="I175" s="187"/>
      <c r="J175" s="209">
        <f ca="1">IFERROR(__xludf.DUMMYFUNCTION("IMPORTRANGE(""https://docs.google.com/spreadsheets/d/11923uPwbBZFjjGgGUA6NLw09EwE0CqkOc4q9oUmW1yo/edit?usp=sharing"",""พิษณุโลก!J100"")"),0)</f>
        <v>0</v>
      </c>
      <c r="K175" s="163"/>
      <c r="L175" s="181"/>
      <c r="M175" s="181"/>
      <c r="N175" s="181"/>
      <c r="O175" s="181"/>
      <c r="P175" s="181"/>
    </row>
    <row r="176" spans="1:16" ht="21.75" customHeight="1" x14ac:dyDescent="0.3">
      <c r="A176" s="269"/>
      <c r="B176" s="270"/>
      <c r="C176" s="271" t="s">
        <v>85</v>
      </c>
      <c r="D176" s="271"/>
      <c r="E176" s="271"/>
      <c r="F176" s="271"/>
      <c r="G176" s="272"/>
      <c r="H176" s="281" t="s">
        <v>83</v>
      </c>
      <c r="I176" s="282">
        <f ca="1">IFERROR(__xludf.DUMMYFUNCTION("IMPORTRANGE(""https://docs.google.com/spreadsheets/d/11923uPwbBZFjjGgGUA6NLw09EwE0CqkOc4q9oUmW1yo/edit?usp=sharing"",""พิษณุโลก!I101"")"),0)</f>
        <v>0</v>
      </c>
      <c r="J176" s="282">
        <f ca="1">IFERROR(__xludf.DUMMYFUNCTION("IMPORTRANGE(""https://docs.google.com/spreadsheets/d/11923uPwbBZFjjGgGUA6NLw09EwE0CqkOc4q9oUmW1yo/edit?usp=sharing"",""พิษณุโลก!J101"")"),0)</f>
        <v>0</v>
      </c>
      <c r="K176" s="283">
        <f ca="1">IF(I176&gt;0,J176*100/I176,0)</f>
        <v>0</v>
      </c>
      <c r="L176" s="276"/>
      <c r="M176" s="276"/>
      <c r="N176" s="276"/>
      <c r="O176" s="276"/>
      <c r="P176" s="276"/>
    </row>
    <row r="177" spans="1:16" ht="21.75" customHeight="1" x14ac:dyDescent="0.3">
      <c r="A177" s="156"/>
      <c r="B177" s="157"/>
      <c r="C177" s="157" t="s">
        <v>16</v>
      </c>
      <c r="D177" s="158" t="s">
        <v>38</v>
      </c>
      <c r="E177" s="159"/>
      <c r="F177" s="159"/>
      <c r="G177" s="160" t="s">
        <v>39</v>
      </c>
      <c r="H177" s="161" t="s">
        <v>12</v>
      </c>
      <c r="I177" s="162" t="s">
        <v>40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3">
      <c r="A178" s="156"/>
      <c r="B178" s="157"/>
      <c r="C178" s="157"/>
      <c r="D178" s="166"/>
      <c r="E178" s="159"/>
      <c r="F178" s="159" t="s">
        <v>40</v>
      </c>
      <c r="G178" s="160" t="s">
        <v>41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3">
      <c r="A179" s="156"/>
      <c r="B179" s="157"/>
      <c r="C179" s="157"/>
      <c r="D179" s="166"/>
      <c r="E179" s="159"/>
      <c r="F179" s="159"/>
      <c r="G179" s="169" t="s">
        <v>43</v>
      </c>
      <c r="H179" s="161" t="s">
        <v>12</v>
      </c>
      <c r="I179" s="162"/>
      <c r="J179" s="187"/>
      <c r="K179" s="223"/>
      <c r="L179" s="168"/>
      <c r="M179" s="168"/>
      <c r="N179" s="167"/>
      <c r="O179" s="168"/>
      <c r="P179" s="168"/>
    </row>
    <row r="180" spans="1:16" ht="21.75" customHeight="1" x14ac:dyDescent="0.3">
      <c r="A180" s="175"/>
      <c r="B180" s="176"/>
      <c r="C180" s="157" t="s">
        <v>16</v>
      </c>
      <c r="D180" s="177" t="s">
        <v>44</v>
      </c>
      <c r="E180" s="178"/>
      <c r="F180" s="178"/>
      <c r="G180" s="179"/>
      <c r="H180" s="180"/>
      <c r="I180" s="162"/>
      <c r="J180" s="187"/>
      <c r="K180" s="223"/>
      <c r="L180" s="168"/>
      <c r="M180" s="168"/>
      <c r="N180" s="168"/>
      <c r="O180" s="181"/>
      <c r="P180" s="181"/>
    </row>
    <row r="181" spans="1:16" ht="21.75" customHeight="1" x14ac:dyDescent="0.3">
      <c r="A181" s="175"/>
      <c r="B181" s="176"/>
      <c r="C181" s="176"/>
      <c r="D181" s="182">
        <v>1</v>
      </c>
      <c r="E181" s="183" t="s">
        <v>45</v>
      </c>
      <c r="F181" s="184"/>
      <c r="G181" s="185"/>
      <c r="H181" s="186"/>
      <c r="I181" s="187"/>
      <c r="J181" s="187">
        <f ca="1">IFERROR(__xludf.DUMMYFUNCTION("IMPORTRANGE(""https://docs.google.com/spreadsheets/d/11923uPwbBZFjjGgGUA6NLw09EwE0CqkOc4q9oUmW1yo/edit?usp=sharing"",""พิษณุโลก!J106"")"),0)</f>
        <v>0</v>
      </c>
      <c r="K181" s="223"/>
      <c r="L181" s="168"/>
      <c r="M181" s="168"/>
      <c r="N181" s="168"/>
      <c r="O181" s="181"/>
      <c r="P181" s="181"/>
    </row>
    <row r="182" spans="1:16" ht="21.75" customHeight="1" x14ac:dyDescent="0.3">
      <c r="A182" s="175"/>
      <c r="B182" s="176"/>
      <c r="C182" s="176"/>
      <c r="D182" s="189">
        <v>2</v>
      </c>
      <c r="E182" s="190" t="s">
        <v>46</v>
      </c>
      <c r="F182" s="191"/>
      <c r="G182" s="192"/>
      <c r="H182" s="186"/>
      <c r="I182" s="187"/>
      <c r="J182" s="187">
        <f ca="1">IFERROR(__xludf.DUMMYFUNCTION("IMPORTRANGE(""https://docs.google.com/spreadsheets/d/11923uPwbBZFjjGgGUA6NLw09EwE0CqkOc4q9oUmW1yo/edit?usp=sharing"",""พิษณุโลก!J107"")"),0)</f>
        <v>0</v>
      </c>
      <c r="K182" s="223"/>
      <c r="L182" s="168"/>
      <c r="M182" s="168"/>
      <c r="N182" s="168"/>
      <c r="O182" s="181"/>
      <c r="P182" s="181"/>
    </row>
    <row r="183" spans="1:16" ht="21.75" customHeight="1" x14ac:dyDescent="0.3">
      <c r="A183" s="175"/>
      <c r="B183" s="176"/>
      <c r="C183" s="176"/>
      <c r="D183" s="193"/>
      <c r="E183" s="194" t="s">
        <v>47</v>
      </c>
      <c r="F183" s="195"/>
      <c r="G183" s="196"/>
      <c r="H183" s="186"/>
      <c r="I183" s="187"/>
      <c r="J183" s="187">
        <f ca="1">IFERROR(__xludf.DUMMYFUNCTION("IMPORTRANGE(""https://docs.google.com/spreadsheets/d/11923uPwbBZFjjGgGUA6NLw09EwE0CqkOc4q9oUmW1yo/edit?usp=sharing"",""พิษณุโลก!J108"")"),0)</f>
        <v>0</v>
      </c>
      <c r="K183" s="223"/>
      <c r="L183" s="168"/>
      <c r="M183" s="168"/>
      <c r="N183" s="168"/>
      <c r="O183" s="181"/>
      <c r="P183" s="181"/>
    </row>
    <row r="184" spans="1:16" ht="21.75" customHeight="1" x14ac:dyDescent="0.3">
      <c r="A184" s="175"/>
      <c r="B184" s="176"/>
      <c r="C184" s="176"/>
      <c r="D184" s="193"/>
      <c r="E184" s="194" t="s">
        <v>48</v>
      </c>
      <c r="F184" s="195"/>
      <c r="G184" s="196"/>
      <c r="H184" s="186"/>
      <c r="I184" s="187"/>
      <c r="J184" s="187">
        <f ca="1">IFERROR(__xludf.DUMMYFUNCTION("IMPORTRANGE(""https://docs.google.com/spreadsheets/d/11923uPwbBZFjjGgGUA6NLw09EwE0CqkOc4q9oUmW1yo/edit?usp=sharing"",""พิษณุโลก!J109"")"),0)</f>
        <v>0</v>
      </c>
      <c r="K184" s="223"/>
      <c r="L184" s="168"/>
      <c r="M184" s="168"/>
      <c r="N184" s="168"/>
      <c r="O184" s="181"/>
      <c r="P184" s="181"/>
    </row>
    <row r="185" spans="1:16" ht="21.75" customHeight="1" x14ac:dyDescent="0.3">
      <c r="A185" s="175"/>
      <c r="B185" s="176"/>
      <c r="C185" s="176"/>
      <c r="D185" s="193"/>
      <c r="E185" s="198"/>
      <c r="F185" s="194" t="s">
        <v>86</v>
      </c>
      <c r="G185" s="196"/>
      <c r="H185" s="180" t="s">
        <v>83</v>
      </c>
      <c r="I185" s="187">
        <f ca="1">IFERROR(__xludf.DUMMYFUNCTION("IMPORTRANGE(""https://docs.google.com/spreadsheets/d/11923uPwbBZFjjGgGUA6NLw09EwE0CqkOc4q9oUmW1yo/edit?usp=sharing"",""พิษณุโลก!I110"")"),0)</f>
        <v>0</v>
      </c>
      <c r="J185" s="203">
        <f ca="1">IFERROR(__xludf.DUMMYFUNCTION("IMPORTRANGE(""https://docs.google.com/spreadsheets/d/11923uPwbBZFjjGgGUA6NLw09EwE0CqkOc4q9oUmW1yo/edit?usp=sharing"",""พิษณุโลก!J110"")"),0)</f>
        <v>0</v>
      </c>
      <c r="K185" s="223">
        <f t="shared" ref="K185:K186" ca="1" si="69">IF(I185&gt;0,J185*100/I185,0)</f>
        <v>0</v>
      </c>
      <c r="L185" s="168"/>
      <c r="M185" s="168"/>
      <c r="N185" s="167"/>
      <c r="O185" s="168"/>
      <c r="P185" s="168"/>
    </row>
    <row r="186" spans="1:16" ht="21.75" customHeight="1" x14ac:dyDescent="0.3">
      <c r="A186" s="175"/>
      <c r="B186" s="176"/>
      <c r="C186" s="176"/>
      <c r="D186" s="193"/>
      <c r="E186" s="198"/>
      <c r="F186" s="194" t="s">
        <v>87</v>
      </c>
      <c r="G186" s="196"/>
      <c r="H186" s="180" t="s">
        <v>83</v>
      </c>
      <c r="I186" s="187">
        <f ca="1">IFERROR(__xludf.DUMMYFUNCTION("IMPORTRANGE(""https://docs.google.com/spreadsheets/d/11923uPwbBZFjjGgGUA6NLw09EwE0CqkOc4q9oUmW1yo/edit?usp=sharing"",""พิษณุโลก!I111"")"),0)</f>
        <v>0</v>
      </c>
      <c r="J186" s="203">
        <f ca="1">IFERROR(__xludf.DUMMYFUNCTION("IMPORTRANGE(""https://docs.google.com/spreadsheets/d/11923uPwbBZFjjGgGUA6NLw09EwE0CqkOc4q9oUmW1yo/edit?usp=sharing"",""พิษณุโลก!J111"")"),0)</f>
        <v>0</v>
      </c>
      <c r="K186" s="223">
        <f t="shared" ca="1" si="69"/>
        <v>0</v>
      </c>
      <c r="L186" s="168"/>
      <c r="M186" s="168"/>
      <c r="N186" s="167"/>
      <c r="O186" s="168"/>
      <c r="P186" s="168"/>
    </row>
    <row r="187" spans="1:16" ht="21.75" customHeight="1" x14ac:dyDescent="0.3">
      <c r="A187" s="175"/>
      <c r="B187" s="176"/>
      <c r="C187" s="176"/>
      <c r="D187" s="193"/>
      <c r="E187" s="194" t="s">
        <v>54</v>
      </c>
      <c r="F187" s="195"/>
      <c r="G187" s="196"/>
      <c r="H187" s="186"/>
      <c r="I187" s="187"/>
      <c r="J187" s="187">
        <f ca="1">IFERROR(__xludf.DUMMYFUNCTION("IMPORTRANGE(""https://docs.google.com/spreadsheets/d/11923uPwbBZFjjGgGUA6NLw09EwE0CqkOc4q9oUmW1yo/edit?usp=sharing"",""พิษณุโลก!J112"")"),0)</f>
        <v>0</v>
      </c>
      <c r="K187" s="223"/>
      <c r="L187" s="168"/>
      <c r="M187" s="168"/>
      <c r="N187" s="168"/>
      <c r="O187" s="181"/>
      <c r="P187" s="181"/>
    </row>
    <row r="188" spans="1:16" ht="21.75" customHeight="1" x14ac:dyDescent="0.3">
      <c r="A188" s="175"/>
      <c r="B188" s="176"/>
      <c r="C188" s="176"/>
      <c r="D188" s="205">
        <v>3</v>
      </c>
      <c r="E188" s="206" t="s">
        <v>55</v>
      </c>
      <c r="F188" s="207"/>
      <c r="G188" s="208"/>
      <c r="H188" s="186"/>
      <c r="I188" s="187"/>
      <c r="J188" s="226">
        <f ca="1">IFERROR(__xludf.DUMMYFUNCTION("IMPORTRANGE(""https://docs.google.com/spreadsheets/d/11923uPwbBZFjjGgGUA6NLw09EwE0CqkOc4q9oUmW1yo/edit?usp=sharing"",""พิษณุโลก!J113"")"),0)</f>
        <v>0</v>
      </c>
      <c r="K188" s="223"/>
      <c r="L188" s="168"/>
      <c r="M188" s="168"/>
      <c r="N188" s="168"/>
      <c r="O188" s="181"/>
      <c r="P188" s="181"/>
    </row>
    <row r="189" spans="1:16" ht="21.75" customHeight="1" x14ac:dyDescent="0.3">
      <c r="A189" s="269"/>
      <c r="B189" s="270"/>
      <c r="C189" s="271" t="s">
        <v>88</v>
      </c>
      <c r="D189" s="271"/>
      <c r="E189" s="271"/>
      <c r="F189" s="271"/>
      <c r="G189" s="272"/>
      <c r="H189" s="284" t="s">
        <v>89</v>
      </c>
      <c r="I189" s="282">
        <f ca="1">IFERROR(__xludf.DUMMYFUNCTION("IMPORTRANGE(""https://docs.google.com/spreadsheets/d/11923uPwbBZFjjGgGUA6NLw09EwE0CqkOc4q9oUmW1yo/edit?usp=sharing"",""พิษณุโลก!I114"")"),50000)</f>
        <v>50000</v>
      </c>
      <c r="J189" s="282">
        <f ca="1">IFERROR(__xludf.DUMMYFUNCTION("IMPORTRANGE(""https://docs.google.com/spreadsheets/d/11923uPwbBZFjjGgGUA6NLw09EwE0CqkOc4q9oUmW1yo/edit?usp=sharing"",""พิษณุโลก!J114"")"),0)</f>
        <v>0</v>
      </c>
      <c r="K189" s="283">
        <f ca="1">IF(I189&gt;0,J189*100/I189,0)</f>
        <v>0</v>
      </c>
      <c r="L189" s="276"/>
      <c r="M189" s="276"/>
      <c r="N189" s="276"/>
      <c r="O189" s="276"/>
      <c r="P189" s="276"/>
    </row>
    <row r="190" spans="1:16" ht="21.75" customHeight="1" x14ac:dyDescent="0.3">
      <c r="A190" s="156"/>
      <c r="B190" s="157"/>
      <c r="C190" s="157" t="s">
        <v>16</v>
      </c>
      <c r="D190" s="158" t="s">
        <v>38</v>
      </c>
      <c r="E190" s="159"/>
      <c r="F190" s="159"/>
      <c r="G190" s="160" t="s">
        <v>39</v>
      </c>
      <c r="H190" s="161" t="s">
        <v>12</v>
      </c>
      <c r="I190" s="162" t="s">
        <v>40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3">
      <c r="A191" s="156"/>
      <c r="B191" s="157"/>
      <c r="C191" s="157"/>
      <c r="D191" s="166"/>
      <c r="E191" s="159"/>
      <c r="F191" s="159" t="s">
        <v>40</v>
      </c>
      <c r="G191" s="160" t="s">
        <v>41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3">
      <c r="A192" s="156"/>
      <c r="B192" s="157"/>
      <c r="C192" s="157"/>
      <c r="D192" s="166"/>
      <c r="E192" s="159"/>
      <c r="F192" s="159"/>
      <c r="G192" s="169" t="s">
        <v>43</v>
      </c>
      <c r="H192" s="161" t="s">
        <v>12</v>
      </c>
      <c r="I192" s="162"/>
      <c r="J192" s="162"/>
      <c r="K192" s="163"/>
      <c r="L192" s="168"/>
      <c r="M192" s="168"/>
      <c r="N192" s="167"/>
      <c r="O192" s="168"/>
      <c r="P192" s="168"/>
    </row>
    <row r="193" spans="1:16" ht="21.75" customHeight="1" x14ac:dyDescent="0.3">
      <c r="A193" s="175"/>
      <c r="B193" s="176"/>
      <c r="C193" s="157" t="s">
        <v>16</v>
      </c>
      <c r="D193" s="177" t="s">
        <v>44</v>
      </c>
      <c r="E193" s="178"/>
      <c r="F193" s="178"/>
      <c r="G193" s="179"/>
      <c r="H193" s="180"/>
      <c r="I193" s="162"/>
      <c r="J193" s="162"/>
      <c r="K193" s="163"/>
      <c r="L193" s="181"/>
      <c r="M193" s="181"/>
      <c r="N193" s="181"/>
      <c r="O193" s="181"/>
      <c r="P193" s="181"/>
    </row>
    <row r="194" spans="1:16" ht="21.75" customHeight="1" x14ac:dyDescent="0.3">
      <c r="A194" s="175"/>
      <c r="B194" s="176"/>
      <c r="C194" s="176"/>
      <c r="D194" s="182">
        <v>1</v>
      </c>
      <c r="E194" s="183" t="s">
        <v>45</v>
      </c>
      <c r="F194" s="184"/>
      <c r="G194" s="185"/>
      <c r="H194" s="186"/>
      <c r="I194" s="187"/>
      <c r="J194" s="197">
        <f ca="1">IFERROR(__xludf.DUMMYFUNCTION("IMPORTRANGE(""https://docs.google.com/spreadsheets/d/11923uPwbBZFjjGgGUA6NLw09EwE0CqkOc4q9oUmW1yo/edit?usp=sharing"",""พิษณุโลก!J119"")"),0)</f>
        <v>0</v>
      </c>
      <c r="K194" s="163"/>
      <c r="L194" s="181"/>
      <c r="M194" s="181"/>
      <c r="N194" s="181"/>
      <c r="O194" s="181"/>
      <c r="P194" s="181"/>
    </row>
    <row r="195" spans="1:16" ht="21.75" customHeight="1" x14ac:dyDescent="0.3">
      <c r="A195" s="175"/>
      <c r="B195" s="176"/>
      <c r="C195" s="176"/>
      <c r="D195" s="189">
        <v>2</v>
      </c>
      <c r="E195" s="190" t="s">
        <v>46</v>
      </c>
      <c r="F195" s="191"/>
      <c r="G195" s="192"/>
      <c r="H195" s="186"/>
      <c r="I195" s="187"/>
      <c r="J195" s="188">
        <f ca="1">IFERROR(__xludf.DUMMYFUNCTION("IMPORTRANGE(""https://docs.google.com/spreadsheets/d/11923uPwbBZFjjGgGUA6NLw09EwE0CqkOc4q9oUmW1yo/edit?usp=sharing"",""พิษณุโลก!J120"")"),1)</f>
        <v>1</v>
      </c>
      <c r="K195" s="163"/>
      <c r="L195" s="181"/>
      <c r="M195" s="181"/>
      <c r="N195" s="181"/>
      <c r="O195" s="181"/>
      <c r="P195" s="181"/>
    </row>
    <row r="196" spans="1:16" ht="21.75" customHeight="1" x14ac:dyDescent="0.3">
      <c r="A196" s="175"/>
      <c r="B196" s="176"/>
      <c r="C196" s="176"/>
      <c r="D196" s="193"/>
      <c r="E196" s="194" t="s">
        <v>47</v>
      </c>
      <c r="F196" s="195"/>
      <c r="G196" s="196"/>
      <c r="H196" s="186"/>
      <c r="I196" s="187"/>
      <c r="J196" s="188">
        <f ca="1">IFERROR(__xludf.DUMMYFUNCTION("IMPORTRANGE(""https://docs.google.com/spreadsheets/d/11923uPwbBZFjjGgGUA6NLw09EwE0CqkOc4q9oUmW1yo/edit?usp=sharing"",""พิษณุโลก!J121"")"),1)</f>
        <v>1</v>
      </c>
      <c r="K196" s="163"/>
      <c r="L196" s="181"/>
      <c r="M196" s="181"/>
      <c r="N196" s="181"/>
      <c r="O196" s="181"/>
      <c r="P196" s="181"/>
    </row>
    <row r="197" spans="1:16" ht="21.75" customHeight="1" x14ac:dyDescent="0.3">
      <c r="A197" s="175"/>
      <c r="B197" s="176"/>
      <c r="C197" s="176"/>
      <c r="D197" s="193"/>
      <c r="E197" s="194" t="s">
        <v>48</v>
      </c>
      <c r="F197" s="195"/>
      <c r="G197" s="196"/>
      <c r="H197" s="186"/>
      <c r="I197" s="187"/>
      <c r="J197" s="197">
        <f ca="1">IFERROR(__xludf.DUMMYFUNCTION("IMPORTRANGE(""https://docs.google.com/spreadsheets/d/11923uPwbBZFjjGgGUA6NLw09EwE0CqkOc4q9oUmW1yo/edit?usp=sharing"",""พิษณุโลก!J122"")"),1)</f>
        <v>1</v>
      </c>
      <c r="K197" s="163"/>
      <c r="L197" s="181"/>
      <c r="M197" s="181"/>
      <c r="N197" s="181"/>
      <c r="O197" s="181"/>
      <c r="P197" s="181"/>
    </row>
    <row r="198" spans="1:16" ht="21.75" customHeight="1" x14ac:dyDescent="0.3">
      <c r="A198" s="175"/>
      <c r="B198" s="176"/>
      <c r="C198" s="176"/>
      <c r="D198" s="193"/>
      <c r="E198" s="195"/>
      <c r="F198" s="195" t="s">
        <v>90</v>
      </c>
      <c r="G198" s="196"/>
      <c r="H198" s="180"/>
      <c r="I198" s="187"/>
      <c r="J198" s="187"/>
      <c r="K198" s="163"/>
      <c r="L198" s="181"/>
      <c r="M198" s="181"/>
      <c r="N198" s="181"/>
      <c r="O198" s="181"/>
      <c r="P198" s="181"/>
    </row>
    <row r="199" spans="1:16" ht="21.75" customHeight="1" x14ac:dyDescent="0.3">
      <c r="A199" s="175"/>
      <c r="B199" s="176"/>
      <c r="C199" s="176"/>
      <c r="D199" s="193"/>
      <c r="E199" s="198"/>
      <c r="F199" s="195"/>
      <c r="G199" s="194" t="s">
        <v>91</v>
      </c>
      <c r="H199" s="180" t="s">
        <v>89</v>
      </c>
      <c r="I199" s="187">
        <f ca="1">IFERROR(__xludf.DUMMYFUNCTION("IMPORTRANGE(""https://docs.google.com/spreadsheets/d/11923uPwbBZFjjGgGUA6NLw09EwE0CqkOc4q9oUmW1yo/edit?usp=sharing"",""พิษณุโลก!I124"")"),50000)</f>
        <v>50000</v>
      </c>
      <c r="J199" s="188">
        <f ca="1">IFERROR(__xludf.DUMMYFUNCTION("IMPORTRANGE(""https://docs.google.com/spreadsheets/d/11923uPwbBZFjjGgGUA6NLw09EwE0CqkOc4q9oUmW1yo/edit?usp=sharing"",""พิษณุโลก!J124"")"),0)</f>
        <v>0</v>
      </c>
      <c r="K199" s="163">
        <f t="shared" ref="K199:K201" ca="1" si="70">IF(I199&gt;0,J199*100/I199,0)</f>
        <v>0</v>
      </c>
      <c r="L199" s="181"/>
      <c r="M199" s="181"/>
      <c r="N199" s="181"/>
      <c r="O199" s="181"/>
      <c r="P199" s="181"/>
    </row>
    <row r="200" spans="1:16" ht="21.75" customHeight="1" x14ac:dyDescent="0.3">
      <c r="A200" s="175"/>
      <c r="B200" s="176"/>
      <c r="C200" s="176"/>
      <c r="D200" s="193"/>
      <c r="E200" s="198"/>
      <c r="F200" s="195"/>
      <c r="G200" s="194" t="s">
        <v>92</v>
      </c>
      <c r="H200" s="180" t="s">
        <v>89</v>
      </c>
      <c r="I200" s="187">
        <f ca="1">IFERROR(__xludf.DUMMYFUNCTION("IMPORTRANGE(""https://docs.google.com/spreadsheets/d/11923uPwbBZFjjGgGUA6NLw09EwE0CqkOc4q9oUmW1yo/edit?usp=sharing"",""พิษณุโลก!I125"")"),50000)</f>
        <v>50000</v>
      </c>
      <c r="J200" s="188">
        <f ca="1">IFERROR(__xludf.DUMMYFUNCTION("IMPORTRANGE(""https://docs.google.com/spreadsheets/d/11923uPwbBZFjjGgGUA6NLw09EwE0CqkOc4q9oUmW1yo/edit?usp=sharing"",""พิษณุโลก!J125"")"),0)</f>
        <v>0</v>
      </c>
      <c r="K200" s="163">
        <f t="shared" ca="1" si="70"/>
        <v>0</v>
      </c>
      <c r="L200" s="168"/>
      <c r="M200" s="168"/>
      <c r="N200" s="167"/>
      <c r="O200" s="168"/>
      <c r="P200" s="168"/>
    </row>
    <row r="201" spans="1:16" ht="21.75" customHeight="1" x14ac:dyDescent="0.3">
      <c r="A201" s="175"/>
      <c r="B201" s="176"/>
      <c r="C201" s="176"/>
      <c r="D201" s="193"/>
      <c r="E201" s="198"/>
      <c r="F201" s="195" t="s">
        <v>93</v>
      </c>
      <c r="G201" s="196"/>
      <c r="H201" s="180" t="s">
        <v>37</v>
      </c>
      <c r="I201" s="187">
        <f ca="1">IFERROR(__xludf.DUMMYFUNCTION("IMPORTRANGE(""https://docs.google.com/spreadsheets/d/11923uPwbBZFjjGgGUA6NLw09EwE0CqkOc4q9oUmW1yo/edit?usp=sharing"",""พิษณุโลก!I126"")"),15)</f>
        <v>15</v>
      </c>
      <c r="J201" s="188">
        <f ca="1">IFERROR(__xludf.DUMMYFUNCTION("IMPORTRANGE(""https://docs.google.com/spreadsheets/d/11923uPwbBZFjjGgGUA6NLw09EwE0CqkOc4q9oUmW1yo/edit?usp=sharing"",""พิษณุโลก!J126"")"),15)</f>
        <v>15</v>
      </c>
      <c r="K201" s="163">
        <f t="shared" ca="1" si="70"/>
        <v>100</v>
      </c>
      <c r="L201" s="168"/>
      <c r="M201" s="168"/>
      <c r="N201" s="167"/>
      <c r="O201" s="168"/>
      <c r="P201" s="168"/>
    </row>
    <row r="202" spans="1:16" ht="21.75" customHeight="1" x14ac:dyDescent="0.3">
      <c r="A202" s="175"/>
      <c r="B202" s="176"/>
      <c r="C202" s="176"/>
      <c r="D202" s="193"/>
      <c r="E202" s="194" t="s">
        <v>54</v>
      </c>
      <c r="F202" s="195"/>
      <c r="G202" s="196"/>
      <c r="H202" s="186"/>
      <c r="I202" s="187"/>
      <c r="J202" s="197">
        <f ca="1">IFERROR(__xludf.DUMMYFUNCTION("IMPORTRANGE(""https://docs.google.com/spreadsheets/d/11923uPwbBZFjjGgGUA6NLw09EwE0CqkOc4q9oUmW1yo/edit?usp=sharing"",""พิษณุโลก!J127"")"),0)</f>
        <v>0</v>
      </c>
      <c r="K202" s="163"/>
      <c r="L202" s="181"/>
      <c r="M202" s="181"/>
      <c r="N202" s="181"/>
      <c r="O202" s="181"/>
      <c r="P202" s="181"/>
    </row>
    <row r="203" spans="1:16" ht="21.75" customHeight="1" x14ac:dyDescent="0.3">
      <c r="A203" s="233"/>
      <c r="B203" s="234"/>
      <c r="C203" s="234"/>
      <c r="D203" s="235">
        <v>3</v>
      </c>
      <c r="E203" s="236" t="s">
        <v>55</v>
      </c>
      <c r="F203" s="237"/>
      <c r="G203" s="238"/>
      <c r="H203" s="239"/>
      <c r="I203" s="240"/>
      <c r="J203" s="285">
        <f ca="1">IFERROR(__xludf.DUMMYFUNCTION("IMPORTRANGE(""https://docs.google.com/spreadsheets/d/11923uPwbBZFjjGgGUA6NLw09EwE0CqkOc4q9oUmW1yo/edit?usp=sharing"",""พิษณุโลก!J128"")"),0)</f>
        <v>0</v>
      </c>
      <c r="K203" s="286"/>
      <c r="L203" s="244"/>
      <c r="M203" s="244"/>
      <c r="N203" s="244"/>
      <c r="O203" s="244"/>
      <c r="P203" s="244"/>
    </row>
    <row r="204" spans="1:16" ht="21.75" customHeight="1" x14ac:dyDescent="0.3">
      <c r="A204" s="269"/>
      <c r="B204" s="270"/>
      <c r="C204" s="287" t="s">
        <v>94</v>
      </c>
      <c r="D204" s="271"/>
      <c r="E204" s="271"/>
      <c r="F204" s="271"/>
      <c r="G204" s="272"/>
      <c r="H204" s="284" t="s">
        <v>37</v>
      </c>
      <c r="I204" s="282">
        <f ca="1">IFERROR(__xludf.DUMMYFUNCTION("IMPORTRANGE(""https://docs.google.com/spreadsheets/d/11923uPwbBZFjjGgGUA6NLw09EwE0CqkOc4q9oUmW1yo/edit?usp=sharing"",""พิษณุโลก!I129"")"),0)</f>
        <v>0</v>
      </c>
      <c r="J204" s="282">
        <f ca="1">IFERROR(__xludf.DUMMYFUNCTION("IMPORTRANGE(""https://docs.google.com/spreadsheets/d/11923uPwbBZFjjGgGUA6NLw09EwE0CqkOc4q9oUmW1yo/edit?usp=sharing"",""พิษณุโลก!J129"")"),0)</f>
        <v>0</v>
      </c>
      <c r="K204" s="283">
        <f ca="1">IF(I204&gt;0,J204*100/I204,0)</f>
        <v>0</v>
      </c>
      <c r="L204" s="276"/>
      <c r="M204" s="276"/>
      <c r="N204" s="276"/>
      <c r="O204" s="276"/>
      <c r="P204" s="276"/>
    </row>
    <row r="205" spans="1:16" ht="21.75" customHeight="1" x14ac:dyDescent="0.3">
      <c r="A205" s="156"/>
      <c r="B205" s="157"/>
      <c r="C205" s="157" t="s">
        <v>16</v>
      </c>
      <c r="D205" s="158" t="s">
        <v>38</v>
      </c>
      <c r="E205" s="159"/>
      <c r="F205" s="159"/>
      <c r="G205" s="160" t="s">
        <v>39</v>
      </c>
      <c r="H205" s="161" t="s">
        <v>12</v>
      </c>
      <c r="I205" s="162" t="s">
        <v>40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3">
      <c r="A206" s="156"/>
      <c r="B206" s="157"/>
      <c r="C206" s="157"/>
      <c r="D206" s="166"/>
      <c r="E206" s="159"/>
      <c r="F206" s="159" t="s">
        <v>40</v>
      </c>
      <c r="G206" s="160" t="s">
        <v>41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3">
      <c r="A207" s="156"/>
      <c r="B207" s="157"/>
      <c r="C207" s="157"/>
      <c r="D207" s="166"/>
      <c r="E207" s="159"/>
      <c r="F207" s="159"/>
      <c r="G207" s="169" t="s">
        <v>43</v>
      </c>
      <c r="H207" s="161" t="s">
        <v>12</v>
      </c>
      <c r="I207" s="162"/>
      <c r="J207" s="187"/>
      <c r="K207" s="223"/>
      <c r="L207" s="168"/>
      <c r="M207" s="168"/>
      <c r="N207" s="167"/>
      <c r="O207" s="168"/>
      <c r="P207" s="168"/>
    </row>
    <row r="208" spans="1:16" ht="21.75" customHeight="1" x14ac:dyDescent="0.3">
      <c r="A208" s="175"/>
      <c r="B208" s="176"/>
      <c r="C208" s="157" t="s">
        <v>16</v>
      </c>
      <c r="D208" s="177" t="s">
        <v>44</v>
      </c>
      <c r="E208" s="178"/>
      <c r="F208" s="178"/>
      <c r="G208" s="179"/>
      <c r="H208" s="180"/>
      <c r="I208" s="162"/>
      <c r="J208" s="187"/>
      <c r="K208" s="223"/>
      <c r="L208" s="168"/>
      <c r="M208" s="168"/>
      <c r="N208" s="168"/>
      <c r="O208" s="181"/>
      <c r="P208" s="181"/>
    </row>
    <row r="209" spans="1:16" ht="21.75" customHeight="1" x14ac:dyDescent="0.3">
      <c r="A209" s="175"/>
      <c r="B209" s="176"/>
      <c r="C209" s="176"/>
      <c r="D209" s="182">
        <v>1</v>
      </c>
      <c r="E209" s="183" t="s">
        <v>45</v>
      </c>
      <c r="F209" s="184"/>
      <c r="G209" s="185"/>
      <c r="H209" s="186"/>
      <c r="I209" s="187"/>
      <c r="J209" s="187">
        <f ca="1">IFERROR(__xludf.DUMMYFUNCTION("IMPORTRANGE(""https://docs.google.com/spreadsheets/d/11923uPwbBZFjjGgGUA6NLw09EwE0CqkOc4q9oUmW1yo/edit?usp=sharing"",""พิษณุโลก!J134"")"),0)</f>
        <v>0</v>
      </c>
      <c r="K209" s="223"/>
      <c r="L209" s="168"/>
      <c r="M209" s="168"/>
      <c r="N209" s="168"/>
      <c r="O209" s="181"/>
      <c r="P209" s="181"/>
    </row>
    <row r="210" spans="1:16" ht="21.75" customHeight="1" x14ac:dyDescent="0.3">
      <c r="A210" s="175"/>
      <c r="B210" s="176"/>
      <c r="C210" s="176"/>
      <c r="D210" s="189">
        <v>2</v>
      </c>
      <c r="E210" s="190" t="s">
        <v>46</v>
      </c>
      <c r="F210" s="191"/>
      <c r="G210" s="192"/>
      <c r="H210" s="186"/>
      <c r="I210" s="187"/>
      <c r="J210" s="187">
        <f ca="1">IFERROR(__xludf.DUMMYFUNCTION("IMPORTRANGE(""https://docs.google.com/spreadsheets/d/11923uPwbBZFjjGgGUA6NLw09EwE0CqkOc4q9oUmW1yo/edit?usp=sharing"",""พิษณุโลก!J135"")"),0)</f>
        <v>0</v>
      </c>
      <c r="K210" s="223"/>
      <c r="L210" s="168"/>
      <c r="M210" s="168"/>
      <c r="N210" s="168"/>
      <c r="O210" s="181"/>
      <c r="P210" s="181"/>
    </row>
    <row r="211" spans="1:16" ht="21.75" customHeight="1" x14ac:dyDescent="0.3">
      <c r="A211" s="175"/>
      <c r="B211" s="176"/>
      <c r="C211" s="176"/>
      <c r="D211" s="193"/>
      <c r="E211" s="194" t="s">
        <v>47</v>
      </c>
      <c r="F211" s="195"/>
      <c r="G211" s="196"/>
      <c r="H211" s="186"/>
      <c r="I211" s="187"/>
      <c r="J211" s="187">
        <f ca="1">IFERROR(__xludf.DUMMYFUNCTION("IMPORTRANGE(""https://docs.google.com/spreadsheets/d/11923uPwbBZFjjGgGUA6NLw09EwE0CqkOc4q9oUmW1yo/edit?usp=sharing"",""พิษณุโลก!J136"")"),0)</f>
        <v>0</v>
      </c>
      <c r="K211" s="223"/>
      <c r="L211" s="168"/>
      <c r="M211" s="168"/>
      <c r="N211" s="168"/>
      <c r="O211" s="181"/>
      <c r="P211" s="181"/>
    </row>
    <row r="212" spans="1:16" ht="21.75" customHeight="1" x14ac:dyDescent="0.3">
      <c r="A212" s="175"/>
      <c r="B212" s="176"/>
      <c r="C212" s="176"/>
      <c r="D212" s="193"/>
      <c r="E212" s="194" t="s">
        <v>48</v>
      </c>
      <c r="F212" s="195"/>
      <c r="G212" s="196"/>
      <c r="H212" s="186"/>
      <c r="I212" s="187"/>
      <c r="J212" s="187">
        <f ca="1">IFERROR(__xludf.DUMMYFUNCTION("IMPORTRANGE(""https://docs.google.com/spreadsheets/d/11923uPwbBZFjjGgGUA6NLw09EwE0CqkOc4q9oUmW1yo/edit?usp=sharing"",""พิษณุโลก!J137"")"),0)</f>
        <v>0</v>
      </c>
      <c r="K212" s="223"/>
      <c r="L212" s="168"/>
      <c r="M212" s="168"/>
      <c r="N212" s="168"/>
      <c r="O212" s="181"/>
      <c r="P212" s="181"/>
    </row>
    <row r="213" spans="1:16" ht="21.75" customHeight="1" x14ac:dyDescent="0.3">
      <c r="A213" s="175"/>
      <c r="B213" s="176"/>
      <c r="C213" s="176"/>
      <c r="D213" s="193"/>
      <c r="E213" s="198"/>
      <c r="F213" s="195" t="s">
        <v>95</v>
      </c>
      <c r="G213" s="196"/>
      <c r="H213" s="180" t="s">
        <v>37</v>
      </c>
      <c r="I213" s="187">
        <f ca="1">IFERROR(__xludf.DUMMYFUNCTION("IMPORTRANGE(""https://docs.google.com/spreadsheets/d/11923uPwbBZFjjGgGUA6NLw09EwE0CqkOc4q9oUmW1yo/edit?usp=sharing"",""พิษณุโลก!I138"")"),0)</f>
        <v>0</v>
      </c>
      <c r="J213" s="203">
        <f ca="1">IFERROR(__xludf.DUMMYFUNCTION("IMPORTRANGE(""https://docs.google.com/spreadsheets/d/11923uPwbBZFjjGgGUA6NLw09EwE0CqkOc4q9oUmW1yo/edit?usp=sharing"",""พิษณุโลก!J138"")"),0)</f>
        <v>0</v>
      </c>
      <c r="K213" s="223">
        <f ca="1">IF(I213&gt;0,J213*100/I213,0)</f>
        <v>0</v>
      </c>
      <c r="L213" s="168"/>
      <c r="M213" s="168"/>
      <c r="N213" s="167"/>
      <c r="O213" s="168"/>
      <c r="P213" s="168"/>
    </row>
    <row r="214" spans="1:16" ht="21.75" customHeight="1" x14ac:dyDescent="0.3">
      <c r="A214" s="175"/>
      <c r="B214" s="176"/>
      <c r="C214" s="176"/>
      <c r="D214" s="193"/>
      <c r="E214" s="198"/>
      <c r="F214" s="194" t="s">
        <v>53</v>
      </c>
      <c r="G214" s="196"/>
      <c r="H214" s="180"/>
      <c r="I214" s="187"/>
      <c r="J214" s="187"/>
      <c r="K214" s="223"/>
      <c r="L214" s="168"/>
      <c r="M214" s="168"/>
      <c r="N214" s="168"/>
      <c r="O214" s="181"/>
      <c r="P214" s="181"/>
    </row>
    <row r="215" spans="1:16" ht="21.75" customHeight="1" x14ac:dyDescent="0.3">
      <c r="A215" s="175"/>
      <c r="B215" s="176"/>
      <c r="C215" s="176"/>
      <c r="D215" s="193"/>
      <c r="E215" s="198"/>
      <c r="F215" s="195"/>
      <c r="G215" s="225" t="s">
        <v>96</v>
      </c>
      <c r="H215" s="180" t="s">
        <v>37</v>
      </c>
      <c r="I215" s="187">
        <f ca="1">IFERROR(__xludf.DUMMYFUNCTION("IMPORTRANGE(""https://docs.google.com/spreadsheets/d/11923uPwbBZFjjGgGUA6NLw09EwE0CqkOc4q9oUmW1yo/edit?usp=sharing"",""พิษณุโลก!I140"")"),0)</f>
        <v>0</v>
      </c>
      <c r="J215" s="203">
        <f ca="1">IFERROR(__xludf.DUMMYFUNCTION("IMPORTRANGE(""https://docs.google.com/spreadsheets/d/11923uPwbBZFjjGgGUA6NLw09EwE0CqkOc4q9oUmW1yo/edit?usp=sharing"",""พิษณุโลก!J140"")"),0)</f>
        <v>0</v>
      </c>
      <c r="K215" s="223">
        <f t="shared" ref="K215:K216" ca="1" si="71">IF(I215&gt;0,J215*100/I215,0)</f>
        <v>0</v>
      </c>
      <c r="L215" s="168"/>
      <c r="M215" s="168"/>
      <c r="N215" s="167"/>
      <c r="O215" s="168"/>
      <c r="P215" s="168"/>
    </row>
    <row r="216" spans="1:16" ht="21.75" customHeight="1" x14ac:dyDescent="0.3">
      <c r="A216" s="175"/>
      <c r="B216" s="176"/>
      <c r="C216" s="176"/>
      <c r="D216" s="193"/>
      <c r="E216" s="198"/>
      <c r="F216" s="195"/>
      <c r="G216" s="225" t="s">
        <v>97</v>
      </c>
      <c r="H216" s="180" t="s">
        <v>59</v>
      </c>
      <c r="I216" s="187">
        <f ca="1">IFERROR(__xludf.DUMMYFUNCTION("IMPORTRANGE(""https://docs.google.com/spreadsheets/d/11923uPwbBZFjjGgGUA6NLw09EwE0CqkOc4q9oUmW1yo/edit?usp=sharing"",""พิษณุโลก!I141"")"),0)</f>
        <v>0</v>
      </c>
      <c r="J216" s="203">
        <f ca="1">IFERROR(__xludf.DUMMYFUNCTION("IMPORTRANGE(""https://docs.google.com/spreadsheets/d/11923uPwbBZFjjGgGUA6NLw09EwE0CqkOc4q9oUmW1yo/edit?usp=sharing"",""พิษณุโลก!J141"")"),0)</f>
        <v>0</v>
      </c>
      <c r="K216" s="223">
        <f t="shared" ca="1" si="71"/>
        <v>0</v>
      </c>
      <c r="L216" s="168"/>
      <c r="M216" s="168"/>
      <c r="N216" s="167"/>
      <c r="O216" s="168"/>
      <c r="P216" s="168"/>
    </row>
    <row r="217" spans="1:16" ht="21.75" customHeight="1" x14ac:dyDescent="0.3">
      <c r="A217" s="175"/>
      <c r="B217" s="176"/>
      <c r="C217" s="176"/>
      <c r="D217" s="193"/>
      <c r="E217" s="194" t="s">
        <v>54</v>
      </c>
      <c r="F217" s="195"/>
      <c r="G217" s="196"/>
      <c r="H217" s="186"/>
      <c r="I217" s="187"/>
      <c r="J217" s="187">
        <f ca="1">IFERROR(__xludf.DUMMYFUNCTION("IMPORTRANGE(""https://docs.google.com/spreadsheets/d/11923uPwbBZFjjGgGUA6NLw09EwE0CqkOc4q9oUmW1yo/edit?usp=sharing"",""พิษณุโลก!J142"")"),0)</f>
        <v>0</v>
      </c>
      <c r="K217" s="223"/>
      <c r="L217" s="168"/>
      <c r="M217" s="168"/>
      <c r="N217" s="168"/>
      <c r="O217" s="181"/>
      <c r="P217" s="181"/>
    </row>
    <row r="218" spans="1:16" ht="21.75" customHeight="1" x14ac:dyDescent="0.3">
      <c r="A218" s="233"/>
      <c r="B218" s="234"/>
      <c r="C218" s="234"/>
      <c r="D218" s="235">
        <v>3</v>
      </c>
      <c r="E218" s="236" t="s">
        <v>55</v>
      </c>
      <c r="F218" s="237"/>
      <c r="G218" s="238"/>
      <c r="H218" s="239"/>
      <c r="I218" s="240"/>
      <c r="J218" s="241">
        <f ca="1">IFERROR(__xludf.DUMMYFUNCTION("IMPORTRANGE(""https://docs.google.com/spreadsheets/d/11923uPwbBZFjjGgGUA6NLw09EwE0CqkOc4q9oUmW1yo/edit?usp=sharing"",""พิษณุโลก!J143"")"),0)</f>
        <v>0</v>
      </c>
      <c r="K218" s="242"/>
      <c r="L218" s="243"/>
      <c r="M218" s="243"/>
      <c r="N218" s="243"/>
      <c r="O218" s="244"/>
      <c r="P218" s="244"/>
    </row>
    <row r="219" spans="1:16" ht="21.75" customHeight="1" x14ac:dyDescent="0.3">
      <c r="A219" s="261"/>
      <c r="B219" s="262" t="s">
        <v>98</v>
      </c>
      <c r="C219" s="263"/>
      <c r="D219" s="262"/>
      <c r="E219" s="262"/>
      <c r="F219" s="262"/>
      <c r="G219" s="264"/>
      <c r="H219" s="265" t="s">
        <v>37</v>
      </c>
      <c r="I219" s="266">
        <f ca="1">IFERROR(__xludf.DUMMYFUNCTION("IMPORTRANGE(""https://docs.google.com/spreadsheets/d/11923uPwbBZFjjGgGUA6NLw09EwE0CqkOc4q9oUmW1yo/edit?usp=sharing"",""พิษณุโลก!I144"")"),0)</f>
        <v>0</v>
      </c>
      <c r="J219" s="266">
        <f ca="1">IFERROR(__xludf.DUMMYFUNCTION("IMPORTRANGE(""https://docs.google.com/spreadsheets/d/11923uPwbBZFjjGgGUA6NLw09EwE0CqkOc4q9oUmW1yo/edit?usp=sharing"",""พิษณุโลก!J144"")"),0)</f>
        <v>0</v>
      </c>
      <c r="K219" s="267">
        <f ca="1">IF(I219&gt;0,J219*100/I219,0)</f>
        <v>0</v>
      </c>
      <c r="L219" s="268"/>
      <c r="M219" s="268"/>
      <c r="N219" s="268"/>
      <c r="O219" s="267"/>
      <c r="P219" s="267"/>
    </row>
    <row r="220" spans="1:16" ht="21.75" customHeight="1" x14ac:dyDescent="0.45">
      <c r="A220" s="145"/>
      <c r="B220" s="146"/>
      <c r="C220" s="147" t="s">
        <v>16</v>
      </c>
      <c r="D220" s="537" t="s">
        <v>17</v>
      </c>
      <c r="E220" s="528"/>
      <c r="F220" s="528"/>
      <c r="G220" s="528"/>
      <c r="H220" s="148" t="s">
        <v>12</v>
      </c>
      <c r="I220" s="162"/>
      <c r="J220" s="162"/>
      <c r="K220" s="163"/>
      <c r="L220" s="151">
        <f t="shared" ref="L220:N220" ca="1" si="72">L221+L222</f>
        <v>0</v>
      </c>
      <c r="M220" s="151">
        <f t="shared" ca="1" si="72"/>
        <v>0</v>
      </c>
      <c r="N220" s="151">
        <f t="shared" ca="1" si="72"/>
        <v>0</v>
      </c>
      <c r="O220" s="150">
        <f t="shared" ref="O220:O222" ca="1" si="73">IF(L220&gt;0,N220*100/L220,0)</f>
        <v>0</v>
      </c>
      <c r="P220" s="150">
        <f t="shared" ref="P220:P222" ca="1" si="74">IF(M220&gt;0,N220*100/M220,0)</f>
        <v>0</v>
      </c>
    </row>
    <row r="221" spans="1:16" ht="21.75" customHeight="1" x14ac:dyDescent="0.45">
      <c r="A221" s="152"/>
      <c r="B221" s="32"/>
      <c r="C221" s="32"/>
      <c r="D221" s="32"/>
      <c r="E221" s="32"/>
      <c r="F221" s="32"/>
      <c r="G221" s="33" t="s">
        <v>18</v>
      </c>
      <c r="H221" s="153" t="s">
        <v>12</v>
      </c>
      <c r="I221" s="162"/>
      <c r="J221" s="162"/>
      <c r="K221" s="163"/>
      <c r="L221" s="87">
        <f t="shared" ref="L221:N221" si="75">L223+L227</f>
        <v>0</v>
      </c>
      <c r="M221" s="87">
        <f t="shared" si="75"/>
        <v>0</v>
      </c>
      <c r="N221" s="87">
        <f t="shared" si="75"/>
        <v>0</v>
      </c>
      <c r="O221" s="155">
        <f t="shared" si="73"/>
        <v>0</v>
      </c>
      <c r="P221" s="155">
        <f t="shared" si="74"/>
        <v>0</v>
      </c>
    </row>
    <row r="222" spans="1:16" ht="21.75" customHeight="1" x14ac:dyDescent="0.45">
      <c r="A222" s="152"/>
      <c r="B222" s="32"/>
      <c r="C222" s="32"/>
      <c r="D222" s="32"/>
      <c r="E222" s="32"/>
      <c r="F222" s="32"/>
      <c r="G222" s="33" t="s">
        <v>19</v>
      </c>
      <c r="H222" s="153" t="s">
        <v>12</v>
      </c>
      <c r="I222" s="162"/>
      <c r="J222" s="162"/>
      <c r="K222" s="163"/>
      <c r="L222" s="87">
        <f t="shared" ref="L222:N222" ca="1" si="76">L224+L228</f>
        <v>0</v>
      </c>
      <c r="M222" s="87">
        <f t="shared" ca="1" si="76"/>
        <v>0</v>
      </c>
      <c r="N222" s="87">
        <f t="shared" ca="1" si="76"/>
        <v>0</v>
      </c>
      <c r="O222" s="155">
        <f t="shared" ca="1" si="73"/>
        <v>0</v>
      </c>
      <c r="P222" s="155">
        <f t="shared" ca="1" si="74"/>
        <v>0</v>
      </c>
    </row>
    <row r="223" spans="1:16" ht="21.75" customHeight="1" x14ac:dyDescent="0.3">
      <c r="A223" s="156"/>
      <c r="B223" s="157"/>
      <c r="C223" s="157" t="s">
        <v>16</v>
      </c>
      <c r="D223" s="158" t="s">
        <v>38</v>
      </c>
      <c r="E223" s="159"/>
      <c r="F223" s="159"/>
      <c r="G223" s="160" t="s">
        <v>39</v>
      </c>
      <c r="H223" s="161" t="s">
        <v>12</v>
      </c>
      <c r="I223" s="162" t="s">
        <v>40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3">
      <c r="A224" s="156"/>
      <c r="B224" s="157"/>
      <c r="C224" s="157"/>
      <c r="D224" s="166"/>
      <c r="E224" s="159"/>
      <c r="F224" s="159" t="s">
        <v>40</v>
      </c>
      <c r="G224" s="160" t="s">
        <v>41</v>
      </c>
      <c r="H224" s="161" t="s">
        <v>12</v>
      </c>
      <c r="I224" s="162"/>
      <c r="J224" s="162"/>
      <c r="K224" s="163"/>
      <c r="L224" s="167">
        <f ca="1">L225+L226</f>
        <v>0</v>
      </c>
      <c r="M224" s="167">
        <f ca="1">IFERROR(__xludf.DUMMYFUNCTION("IMPORTRANGE(""https://docs.google.com/spreadsheets/d/1Yj_ptqi66GCucihVvJfMjLAmec39IyEx_6qawtMGysU/edit?usp=sharing"",""สบก!BS28"")"),0)</f>
        <v>0</v>
      </c>
      <c r="N224" s="168">
        <f ca="1">IFERROR(__xludf.DUMMYFUNCTION("IMPORTRANGE(""https://docs.google.com/spreadsheets/d/1Yj_ptqi66GCucihVvJfMjLAmec39IyEx_6qawtMGysU/edit?usp=sharing"",""สบก!BT28"")"),0)</f>
        <v>0</v>
      </c>
      <c r="O224" s="168">
        <f ca="1">IF(L224&gt;0,N224*100/L224,0)</f>
        <v>0</v>
      </c>
      <c r="P224" s="168">
        <f ca="1">IF(M224&gt;0,N224*100/M224,0)</f>
        <v>0</v>
      </c>
    </row>
    <row r="225" spans="1:16" ht="21.75" customHeight="1" x14ac:dyDescent="0.3">
      <c r="A225" s="156"/>
      <c r="B225" s="157"/>
      <c r="C225" s="157"/>
      <c r="D225" s="166"/>
      <c r="E225" s="159"/>
      <c r="F225" s="159"/>
      <c r="G225" s="169" t="s">
        <v>42</v>
      </c>
      <c r="H225" s="161" t="s">
        <v>12</v>
      </c>
      <c r="I225" s="162"/>
      <c r="J225" s="162"/>
      <c r="K225" s="163"/>
      <c r="L225" s="167">
        <f ca="1">IFERROR(__xludf.DUMMYFUNCTION("IMPORTRANGE(""https://docs.google.com/spreadsheets/d/1Yj_ptqi66GCucihVvJfMjLAmec39IyEx_6qawtMGysU/edit?usp=sharing"",""สบก!BO28"")"),0)</f>
        <v>0</v>
      </c>
      <c r="M225" s="167"/>
      <c r="N225" s="167"/>
      <c r="O225" s="168"/>
      <c r="P225" s="168"/>
    </row>
    <row r="226" spans="1:16" ht="21.75" customHeight="1" x14ac:dyDescent="0.3">
      <c r="A226" s="156"/>
      <c r="B226" s="157"/>
      <c r="C226" s="157"/>
      <c r="D226" s="166"/>
      <c r="E226" s="159"/>
      <c r="F226" s="159"/>
      <c r="G226" s="169" t="s">
        <v>43</v>
      </c>
      <c r="H226" s="161" t="s">
        <v>12</v>
      </c>
      <c r="I226" s="162"/>
      <c r="J226" s="162"/>
      <c r="K226" s="163"/>
      <c r="L226" s="167">
        <f ca="1">IFERROR(__xludf.DUMMYFUNCTION("IMPORTRANGE(""https://docs.google.com/spreadsheets/d/1Yj_ptqi66GCucihVvJfMjLAmec39IyEx_6qawtMGysU/edit?usp=sharing"",""สบก!BP28"")"),0)</f>
        <v>0</v>
      </c>
      <c r="M226" s="167"/>
      <c r="N226" s="167"/>
      <c r="O226" s="168"/>
      <c r="P226" s="168"/>
    </row>
    <row r="227" spans="1:16" ht="21.75" customHeight="1" x14ac:dyDescent="0.45">
      <c r="A227" s="170"/>
      <c r="B227" s="80"/>
      <c r="C227" s="81" t="s">
        <v>16</v>
      </c>
      <c r="D227" s="534" t="s">
        <v>23</v>
      </c>
      <c r="E227" s="530"/>
      <c r="F227" s="88"/>
      <c r="G227" s="82" t="s">
        <v>18</v>
      </c>
      <c r="H227" s="171" t="s">
        <v>12</v>
      </c>
      <c r="I227" s="200"/>
      <c r="J227" s="200"/>
      <c r="K227" s="288"/>
      <c r="L227" s="41">
        <v>0</v>
      </c>
      <c r="M227" s="41"/>
      <c r="N227" s="41"/>
      <c r="O227" s="41"/>
      <c r="P227" s="41"/>
    </row>
    <row r="228" spans="1:16" ht="21.75" customHeight="1" x14ac:dyDescent="0.45">
      <c r="A228" s="172"/>
      <c r="B228" s="91"/>
      <c r="C228" s="91"/>
      <c r="D228" s="173"/>
      <c r="E228" s="92"/>
      <c r="F228" s="92"/>
      <c r="G228" s="93" t="s">
        <v>19</v>
      </c>
      <c r="H228" s="174" t="s">
        <v>12</v>
      </c>
      <c r="I228" s="200"/>
      <c r="J228" s="200"/>
      <c r="K228" s="288"/>
      <c r="L228" s="49">
        <f ca="1">IFERROR(__xludf.DUMMYFUNCTION("IMPORTRANGE(""https://docs.google.com/spreadsheets/d/1Yj_ptqi66GCucihVvJfMjLAmec39IyEx_6qawtMGysU/edit?usp=sharing"",""สบก!BQ28"")"),0)</f>
        <v>0</v>
      </c>
      <c r="M228" s="49"/>
      <c r="N228" s="49">
        <f ca="1">IFERROR(__xludf.DUMMYFUNCTION("IMPORTRANGE(""https://docs.google.com/spreadsheets/d/1Yj_ptqi66GCucihVvJfMjLAmec39IyEx_6qawtMGysU/edit?usp=sharing"",""สบก!BU28"")"),0)</f>
        <v>0</v>
      </c>
      <c r="O228" s="49">
        <f ca="1">IF(L228&gt;0,N228*100/L228,0)</f>
        <v>0</v>
      </c>
      <c r="P228" s="49"/>
    </row>
    <row r="229" spans="1:16" ht="21.75" customHeight="1" x14ac:dyDescent="0.3">
      <c r="A229" s="175"/>
      <c r="B229" s="289"/>
      <c r="C229" s="263" t="s">
        <v>99</v>
      </c>
      <c r="D229" s="262"/>
      <c r="E229" s="262"/>
      <c r="F229" s="262"/>
      <c r="G229" s="264"/>
      <c r="H229" s="265" t="s">
        <v>37</v>
      </c>
      <c r="I229" s="266">
        <f ca="1">IFERROR(__xludf.DUMMYFUNCTION("IMPORTRANGE(""https://docs.google.com/spreadsheets/d/11923uPwbBZFjjGgGUA6NLw09EwE0CqkOc4q9oUmW1yo/edit?usp=sharing"",""พิษณุโลก!I149"")"),0)</f>
        <v>0</v>
      </c>
      <c r="J229" s="266">
        <f ca="1">IFERROR(__xludf.DUMMYFUNCTION("IMPORTRANGE(""https://docs.google.com/spreadsheets/d/11923uPwbBZFjjGgGUA6NLw09EwE0CqkOc4q9oUmW1yo/edit?usp=sharing"",""พิษณุโลก!J149"")"),0)</f>
        <v>0</v>
      </c>
      <c r="K229" s="267">
        <f ca="1">IF(I229&gt;0,J229*100/I229,0)</f>
        <v>0</v>
      </c>
      <c r="L229" s="290"/>
      <c r="M229" s="290"/>
      <c r="N229" s="290"/>
      <c r="O229" s="290"/>
      <c r="P229" s="290"/>
    </row>
    <row r="230" spans="1:16" ht="21.75" customHeight="1" x14ac:dyDescent="0.3">
      <c r="A230" s="175"/>
      <c r="B230" s="176"/>
      <c r="C230" s="157" t="s">
        <v>16</v>
      </c>
      <c r="D230" s="177" t="s">
        <v>44</v>
      </c>
      <c r="E230" s="178"/>
      <c r="F230" s="178"/>
      <c r="G230" s="179"/>
      <c r="H230" s="180"/>
      <c r="I230" s="162"/>
      <c r="J230" s="162"/>
      <c r="K230" s="163"/>
      <c r="L230" s="181"/>
      <c r="M230" s="181"/>
      <c r="N230" s="181"/>
      <c r="O230" s="181"/>
      <c r="P230" s="181"/>
    </row>
    <row r="231" spans="1:16" ht="21.75" customHeight="1" x14ac:dyDescent="0.3">
      <c r="A231" s="175"/>
      <c r="B231" s="176"/>
      <c r="C231" s="176"/>
      <c r="D231" s="182">
        <v>1</v>
      </c>
      <c r="E231" s="183" t="s">
        <v>45</v>
      </c>
      <c r="F231" s="184"/>
      <c r="G231" s="185"/>
      <c r="H231" s="186"/>
      <c r="I231" s="187"/>
      <c r="J231" s="197">
        <f ca="1">IFERROR(__xludf.DUMMYFUNCTION("IMPORTRANGE(""https://docs.google.com/spreadsheets/d/11923uPwbBZFjjGgGUA6NLw09EwE0CqkOc4q9oUmW1yo/edit?usp=sharing"",""พิษณุโลก!J151"")"),0)</f>
        <v>0</v>
      </c>
      <c r="K231" s="163"/>
      <c r="L231" s="181"/>
      <c r="M231" s="181"/>
      <c r="N231" s="181"/>
      <c r="O231" s="181"/>
      <c r="P231" s="181"/>
    </row>
    <row r="232" spans="1:16" ht="21.75" customHeight="1" x14ac:dyDescent="0.3">
      <c r="A232" s="175"/>
      <c r="B232" s="176"/>
      <c r="C232" s="176"/>
      <c r="D232" s="189">
        <v>2</v>
      </c>
      <c r="E232" s="190" t="s">
        <v>46</v>
      </c>
      <c r="F232" s="191"/>
      <c r="G232" s="192"/>
      <c r="H232" s="186"/>
      <c r="I232" s="187"/>
      <c r="J232" s="188">
        <f ca="1">IFERROR(__xludf.DUMMYFUNCTION("IMPORTRANGE(""https://docs.google.com/spreadsheets/d/11923uPwbBZFjjGgGUA6NLw09EwE0CqkOc4q9oUmW1yo/edit?usp=sharing"",""พิษณุโลก!J152"")"),0)</f>
        <v>0</v>
      </c>
      <c r="K232" s="163"/>
      <c r="L232" s="181" t="s">
        <v>40</v>
      </c>
      <c r="M232" s="181"/>
      <c r="N232" s="181" t="s">
        <v>40</v>
      </c>
      <c r="O232" s="181"/>
      <c r="P232" s="181"/>
    </row>
    <row r="233" spans="1:16" ht="21.75" customHeight="1" x14ac:dyDescent="0.3">
      <c r="A233" s="175"/>
      <c r="B233" s="176"/>
      <c r="C233" s="176"/>
      <c r="D233" s="193"/>
      <c r="E233" s="194" t="s">
        <v>47</v>
      </c>
      <c r="F233" s="195"/>
      <c r="G233" s="196"/>
      <c r="H233" s="186"/>
      <c r="I233" s="187"/>
      <c r="J233" s="188">
        <f ca="1">IFERROR(__xludf.DUMMYFUNCTION("IMPORTRANGE(""https://docs.google.com/spreadsheets/d/11923uPwbBZFjjGgGUA6NLw09EwE0CqkOc4q9oUmW1yo/edit?usp=sharing"",""พิษณุโลก!J153"")"),0)</f>
        <v>0</v>
      </c>
      <c r="K233" s="163"/>
      <c r="L233" s="181"/>
      <c r="M233" s="181"/>
      <c r="N233" s="181"/>
      <c r="O233" s="181"/>
      <c r="P233" s="181"/>
    </row>
    <row r="234" spans="1:16" ht="21.75" customHeight="1" x14ac:dyDescent="0.3">
      <c r="A234" s="175"/>
      <c r="B234" s="176"/>
      <c r="C234" s="176"/>
      <c r="D234" s="193"/>
      <c r="E234" s="194" t="s">
        <v>48</v>
      </c>
      <c r="F234" s="195"/>
      <c r="G234" s="196"/>
      <c r="H234" s="186"/>
      <c r="I234" s="187"/>
      <c r="J234" s="197">
        <f ca="1">IFERROR(__xludf.DUMMYFUNCTION("IMPORTRANGE(""https://docs.google.com/spreadsheets/d/11923uPwbBZFjjGgGUA6NLw09EwE0CqkOc4q9oUmW1yo/edit?usp=sharing"",""พิษณุโลก!J154"")"),0)</f>
        <v>0</v>
      </c>
      <c r="K234" s="163"/>
      <c r="L234" s="181"/>
      <c r="M234" s="181"/>
      <c r="N234" s="181"/>
      <c r="O234" s="181"/>
      <c r="P234" s="181"/>
    </row>
    <row r="235" spans="1:16" ht="21.75" customHeight="1" x14ac:dyDescent="0.3">
      <c r="A235" s="175"/>
      <c r="B235" s="176"/>
      <c r="C235" s="176"/>
      <c r="D235" s="193"/>
      <c r="E235" s="198"/>
      <c r="F235" s="195"/>
      <c r="G235" s="291" t="s">
        <v>70</v>
      </c>
      <c r="H235" s="186" t="s">
        <v>37</v>
      </c>
      <c r="I235" s="187">
        <f ca="1">IFERROR(__xludf.DUMMYFUNCTION("IMPORTRANGE(""https://docs.google.com/spreadsheets/d/11923uPwbBZFjjGgGUA6NLw09EwE0CqkOc4q9oUmW1yo/edit?usp=sharing"",""พิษณุโลก!I155"")"),0)</f>
        <v>0</v>
      </c>
      <c r="J235" s="188">
        <f ca="1">IFERROR(__xludf.DUMMYFUNCTION("IMPORTRANGE(""https://docs.google.com/spreadsheets/d/11923uPwbBZFjjGgGUA6NLw09EwE0CqkOc4q9oUmW1yo/edit?usp=sharing"",""พิษณุโลก!J155"")"),0)</f>
        <v>0</v>
      </c>
      <c r="K235" s="163">
        <f ca="1">IF(I235&gt;0,J235*100/I235,0)</f>
        <v>0</v>
      </c>
      <c r="L235" s="181"/>
      <c r="M235" s="181"/>
      <c r="N235" s="181"/>
      <c r="O235" s="181"/>
      <c r="P235" s="181"/>
    </row>
    <row r="236" spans="1:16" ht="21.75" customHeight="1" x14ac:dyDescent="0.3">
      <c r="A236" s="175"/>
      <c r="B236" s="176"/>
      <c r="C236" s="176"/>
      <c r="D236" s="193"/>
      <c r="E236" s="194" t="s">
        <v>54</v>
      </c>
      <c r="F236" s="195"/>
      <c r="G236" s="196"/>
      <c r="H236" s="186"/>
      <c r="I236" s="187"/>
      <c r="J236" s="197">
        <f ca="1">IFERROR(__xludf.DUMMYFUNCTION("IMPORTRANGE(""https://docs.google.com/spreadsheets/d/11923uPwbBZFjjGgGUA6NLw09EwE0CqkOc4q9oUmW1yo/edit?usp=sharing"",""พิษณุโลก!J156"")"),0)</f>
        <v>0</v>
      </c>
      <c r="K236" s="163"/>
      <c r="L236" s="181"/>
      <c r="M236" s="181"/>
      <c r="N236" s="181"/>
      <c r="O236" s="181"/>
      <c r="P236" s="181"/>
    </row>
    <row r="237" spans="1:16" ht="21.75" customHeight="1" x14ac:dyDescent="0.3">
      <c r="A237" s="175"/>
      <c r="B237" s="176"/>
      <c r="C237" s="176"/>
      <c r="D237" s="205">
        <v>3</v>
      </c>
      <c r="E237" s="206" t="s">
        <v>55</v>
      </c>
      <c r="F237" s="207"/>
      <c r="G237" s="208"/>
      <c r="H237" s="186"/>
      <c r="I237" s="187"/>
      <c r="J237" s="209">
        <f ca="1">IFERROR(__xludf.DUMMYFUNCTION("IMPORTRANGE(""https://docs.google.com/spreadsheets/d/11923uPwbBZFjjGgGUA6NLw09EwE0CqkOc4q9oUmW1yo/edit?usp=sharing"",""พิษณุโลก!J157"")"),0)</f>
        <v>0</v>
      </c>
      <c r="K237" s="163"/>
      <c r="L237" s="181"/>
      <c r="M237" s="181"/>
      <c r="N237" s="181"/>
      <c r="O237" s="181"/>
      <c r="P237" s="181"/>
    </row>
    <row r="238" spans="1:16" ht="21.75" customHeight="1" x14ac:dyDescent="0.3">
      <c r="A238" s="175"/>
      <c r="B238" s="176"/>
      <c r="C238" s="263" t="s">
        <v>100</v>
      </c>
      <c r="D238" s="292"/>
      <c r="E238" s="262"/>
      <c r="F238" s="262"/>
      <c r="G238" s="264"/>
      <c r="H238" s="265" t="s">
        <v>37</v>
      </c>
      <c r="I238" s="266">
        <f ca="1">IFERROR(__xludf.DUMMYFUNCTION("IMPORTRANGE(""https://docs.google.com/spreadsheets/d/11923uPwbBZFjjGgGUA6NLw09EwE0CqkOc4q9oUmW1yo/edit?usp=sharing"",""พิษณุโลก!I158"")"),0)</f>
        <v>0</v>
      </c>
      <c r="J238" s="266">
        <f ca="1">IFERROR(__xludf.DUMMYFUNCTION("IMPORTRANGE(""https://docs.google.com/spreadsheets/d/11923uPwbBZFjjGgGUA6NLw09EwE0CqkOc4q9oUmW1yo/edit?usp=sharing"",""พิษณุโลก!J158"")"),0)</f>
        <v>0</v>
      </c>
      <c r="K238" s="267">
        <f ca="1">IF(I238&gt;0,J238*100/I238,0)</f>
        <v>0</v>
      </c>
      <c r="L238" s="181"/>
      <c r="M238" s="181"/>
      <c r="N238" s="181"/>
      <c r="O238" s="181"/>
      <c r="P238" s="181"/>
    </row>
    <row r="239" spans="1:16" ht="21.75" customHeight="1" x14ac:dyDescent="0.3">
      <c r="A239" s="175"/>
      <c r="B239" s="176"/>
      <c r="C239" s="157" t="s">
        <v>16</v>
      </c>
      <c r="D239" s="177" t="s">
        <v>44</v>
      </c>
      <c r="E239" s="178"/>
      <c r="F239" s="178"/>
      <c r="G239" s="179"/>
      <c r="H239" s="180"/>
      <c r="I239" s="162"/>
      <c r="J239" s="162"/>
      <c r="K239" s="163"/>
      <c r="L239" s="181"/>
      <c r="M239" s="181"/>
      <c r="N239" s="181"/>
      <c r="O239" s="181"/>
      <c r="P239" s="181"/>
    </row>
    <row r="240" spans="1:16" ht="21.75" customHeight="1" x14ac:dyDescent="0.3">
      <c r="A240" s="175"/>
      <c r="B240" s="176"/>
      <c r="C240" s="176"/>
      <c r="D240" s="182">
        <v>1</v>
      </c>
      <c r="E240" s="183" t="s">
        <v>45</v>
      </c>
      <c r="F240" s="184"/>
      <c r="G240" s="185"/>
      <c r="H240" s="186"/>
      <c r="I240" s="187"/>
      <c r="J240" s="187" t="str">
        <f ca="1">IFERROR(__xludf.DUMMYFUNCTION("IMPORTRANGE(""https://docs.google.com/spreadsheets/d/11923uPwbBZFjjGgGUA6NLw09EwE0CqkOc4q9oUmW1yo/edit?usp=sharing"",""พิษณุโลก!J159"")"),"")</f>
        <v/>
      </c>
      <c r="K240" s="163"/>
      <c r="L240" s="181"/>
      <c r="M240" s="181"/>
      <c r="N240" s="181"/>
      <c r="O240" s="181"/>
      <c r="P240" s="181"/>
    </row>
    <row r="241" spans="1:16" ht="21.75" customHeight="1" x14ac:dyDescent="0.3">
      <c r="A241" s="175"/>
      <c r="B241" s="176"/>
      <c r="C241" s="176"/>
      <c r="D241" s="189">
        <v>2</v>
      </c>
      <c r="E241" s="190" t="s">
        <v>46</v>
      </c>
      <c r="F241" s="191"/>
      <c r="G241" s="192"/>
      <c r="H241" s="186"/>
      <c r="I241" s="187"/>
      <c r="J241" s="187">
        <f ca="1">IFERROR(__xludf.DUMMYFUNCTION("IMPORTRANGE(""https://docs.google.com/spreadsheets/d/11923uPwbBZFjjGgGUA6NLw09EwE0CqkOc4q9oUmW1yo/edit?usp=sharing"",""พิษณุโลก!J161"")"),0)</f>
        <v>0</v>
      </c>
      <c r="K241" s="163"/>
      <c r="L241" s="181" t="s">
        <v>40</v>
      </c>
      <c r="M241" s="181"/>
      <c r="N241" s="181" t="s">
        <v>40</v>
      </c>
      <c r="O241" s="181"/>
      <c r="P241" s="181"/>
    </row>
    <row r="242" spans="1:16" ht="21.75" customHeight="1" x14ac:dyDescent="0.3">
      <c r="A242" s="175"/>
      <c r="B242" s="176"/>
      <c r="C242" s="176"/>
      <c r="D242" s="193"/>
      <c r="E242" s="194" t="s">
        <v>47</v>
      </c>
      <c r="F242" s="195"/>
      <c r="G242" s="196"/>
      <c r="H242" s="186"/>
      <c r="I242" s="187"/>
      <c r="J242" s="187">
        <f ca="1">IFERROR(__xludf.DUMMYFUNCTION("IMPORTRANGE(""https://docs.google.com/spreadsheets/d/11923uPwbBZFjjGgGUA6NLw09EwE0CqkOc4q9oUmW1yo/edit?usp=sharing"",""พิษณุโลก!J162"")"),0)</f>
        <v>0</v>
      </c>
      <c r="K242" s="163"/>
      <c r="L242" s="181"/>
      <c r="M242" s="181"/>
      <c r="N242" s="181"/>
      <c r="O242" s="181"/>
      <c r="P242" s="181"/>
    </row>
    <row r="243" spans="1:16" ht="21.75" customHeight="1" x14ac:dyDescent="0.3">
      <c r="A243" s="175"/>
      <c r="B243" s="176"/>
      <c r="C243" s="176"/>
      <c r="D243" s="193"/>
      <c r="E243" s="194" t="s">
        <v>48</v>
      </c>
      <c r="F243" s="195"/>
      <c r="G243" s="196"/>
      <c r="H243" s="186"/>
      <c r="I243" s="187"/>
      <c r="J243" s="187">
        <f ca="1">IFERROR(__xludf.DUMMYFUNCTION("IMPORTRANGE(""https://docs.google.com/spreadsheets/d/11923uPwbBZFjjGgGUA6NLw09EwE0CqkOc4q9oUmW1yo/edit?usp=sharing"",""พิษณุโลก!J163"")"),0)</f>
        <v>0</v>
      </c>
      <c r="K243" s="163"/>
      <c r="L243" s="181"/>
      <c r="M243" s="181"/>
      <c r="N243" s="181"/>
      <c r="O243" s="181"/>
      <c r="P243" s="181"/>
    </row>
    <row r="244" spans="1:16" ht="21.75" customHeight="1" x14ac:dyDescent="0.3">
      <c r="A244" s="175"/>
      <c r="B244" s="176"/>
      <c r="C244" s="176"/>
      <c r="D244" s="193"/>
      <c r="E244" s="195"/>
      <c r="F244" s="194" t="s">
        <v>101</v>
      </c>
      <c r="G244" s="195"/>
      <c r="H244" s="186" t="s">
        <v>37</v>
      </c>
      <c r="I244" s="203">
        <f ca="1">IFERROR(__xludf.DUMMYFUNCTION("IMPORTRANGE(""https://docs.google.com/spreadsheets/d/11923uPwbBZFjjGgGUA6NLw09EwE0CqkOc4q9oUmW1yo/edit?usp=sharing"",""พิษณุโลก!I164"")"),0)</f>
        <v>0</v>
      </c>
      <c r="J244" s="187">
        <f ca="1">IFERROR(__xludf.DUMMYFUNCTION("IMPORTRANGE(""https://docs.google.com/spreadsheets/d/11923uPwbBZFjjGgGUA6NLw09EwE0CqkOc4q9oUmW1yo/edit?usp=sharing"",""พิษณุโลก!J164"")"),0)</f>
        <v>0</v>
      </c>
      <c r="K244" s="163">
        <f ca="1">IF(I244&gt;0,J244*100/I244,0)</f>
        <v>0</v>
      </c>
      <c r="L244" s="181"/>
      <c r="M244" s="181"/>
      <c r="N244" s="181"/>
      <c r="O244" s="181"/>
      <c r="P244" s="181"/>
    </row>
    <row r="245" spans="1:16" ht="21.75" customHeight="1" x14ac:dyDescent="0.3">
      <c r="A245" s="175"/>
      <c r="B245" s="176"/>
      <c r="C245" s="176"/>
      <c r="D245" s="193"/>
      <c r="E245" s="194" t="s">
        <v>54</v>
      </c>
      <c r="F245" s="195"/>
      <c r="G245" s="196"/>
      <c r="H245" s="186"/>
      <c r="I245" s="187"/>
      <c r="J245" s="187">
        <f ca="1">IFERROR(__xludf.DUMMYFUNCTION("IMPORTRANGE(""https://docs.google.com/spreadsheets/d/11923uPwbBZFjjGgGUA6NLw09EwE0CqkOc4q9oUmW1yo/edit?usp=sharing"",""พิษณุโลก!J165"")"),0)</f>
        <v>0</v>
      </c>
      <c r="K245" s="163"/>
      <c r="L245" s="181"/>
      <c r="M245" s="181"/>
      <c r="N245" s="181"/>
      <c r="O245" s="181"/>
      <c r="P245" s="181"/>
    </row>
    <row r="246" spans="1:16" ht="21.75" customHeight="1" x14ac:dyDescent="0.3">
      <c r="A246" s="233"/>
      <c r="B246" s="234"/>
      <c r="C246" s="234"/>
      <c r="D246" s="235">
        <v>3</v>
      </c>
      <c r="E246" s="236" t="s">
        <v>55</v>
      </c>
      <c r="F246" s="237"/>
      <c r="G246" s="238"/>
      <c r="H246" s="239"/>
      <c r="I246" s="240"/>
      <c r="J246" s="241">
        <f ca="1">IFERROR(__xludf.DUMMYFUNCTION("IMPORTRANGE(""https://docs.google.com/spreadsheets/d/11923uPwbBZFjjGgGUA6NLw09EwE0CqkOc4q9oUmW1yo/edit?usp=sharing"",""พิษณุโลก!J166"")"),0)</f>
        <v>0</v>
      </c>
      <c r="K246" s="286"/>
      <c r="L246" s="244"/>
      <c r="M246" s="244"/>
      <c r="N246" s="244"/>
      <c r="O246" s="244"/>
      <c r="P246" s="244"/>
    </row>
    <row r="247" spans="1:16" ht="21.75" customHeight="1" x14ac:dyDescent="0.3">
      <c r="A247" s="293" t="s">
        <v>102</v>
      </c>
      <c r="B247" s="294"/>
      <c r="C247" s="294"/>
      <c r="D247" s="294"/>
      <c r="E247" s="295"/>
      <c r="F247" s="295"/>
      <c r="G247" s="296"/>
      <c r="H247" s="297"/>
      <c r="I247" s="298"/>
      <c r="J247" s="298"/>
      <c r="K247" s="299"/>
      <c r="L247" s="300"/>
      <c r="M247" s="300"/>
      <c r="N247" s="300"/>
      <c r="O247" s="301"/>
      <c r="P247" s="301"/>
    </row>
    <row r="248" spans="1:16" ht="21.75" customHeight="1" x14ac:dyDescent="0.3">
      <c r="A248" s="302" t="s">
        <v>103</v>
      </c>
      <c r="B248" s="303"/>
      <c r="C248" s="303"/>
      <c r="D248" s="304"/>
      <c r="E248" s="304"/>
      <c r="F248" s="304"/>
      <c r="G248" s="305"/>
      <c r="H248" s="306"/>
      <c r="I248" s="307"/>
      <c r="J248" s="307"/>
      <c r="K248" s="308"/>
      <c r="L248" s="308"/>
      <c r="M248" s="308"/>
      <c r="N248" s="308"/>
      <c r="O248" s="309"/>
      <c r="P248" s="309"/>
    </row>
    <row r="249" spans="1:16" ht="21.75" customHeight="1" x14ac:dyDescent="0.3">
      <c r="A249" s="310"/>
      <c r="B249" s="311" t="s">
        <v>104</v>
      </c>
      <c r="C249" s="311"/>
      <c r="D249" s="311"/>
      <c r="E249" s="311"/>
      <c r="F249" s="311"/>
      <c r="G249" s="312"/>
      <c r="H249" s="313" t="s">
        <v>37</v>
      </c>
      <c r="I249" s="314">
        <f ca="1">IFERROR(__xludf.DUMMYFUNCTION("IMPORTRANGE(""https://docs.google.com/spreadsheets/d/11923uPwbBZFjjGgGUA6NLw09EwE0CqkOc4q9oUmW1yo/edit?usp=sharing"",""พิษณุโลก!I169"")"),0)</f>
        <v>0</v>
      </c>
      <c r="J249" s="314">
        <f ca="1">IFERROR(__xludf.DUMMYFUNCTION("IMPORTRANGE(""https://docs.google.com/spreadsheets/d/11923uPwbBZFjjGgGUA6NLw09EwE0CqkOc4q9oUmW1yo/edit?usp=sharing"",""พิษณุโลก!J169"")"),0)</f>
        <v>0</v>
      </c>
      <c r="K249" s="315">
        <f ca="1">IF(I249&gt;0,J249*100/I249,0)</f>
        <v>0</v>
      </c>
      <c r="L249" s="316"/>
      <c r="M249" s="316"/>
      <c r="N249" s="316"/>
      <c r="O249" s="315"/>
      <c r="P249" s="315"/>
    </row>
    <row r="250" spans="1:16" ht="21.75" customHeight="1" x14ac:dyDescent="0.45">
      <c r="A250" s="145"/>
      <c r="B250" s="146"/>
      <c r="C250" s="147" t="s">
        <v>16</v>
      </c>
      <c r="D250" s="537" t="s">
        <v>17</v>
      </c>
      <c r="E250" s="528"/>
      <c r="F250" s="528"/>
      <c r="G250" s="528"/>
      <c r="H250" s="148" t="s">
        <v>12</v>
      </c>
      <c r="I250" s="162"/>
      <c r="J250" s="162"/>
      <c r="K250" s="163"/>
      <c r="L250" s="151">
        <f t="shared" ref="L250:N250" ca="1" si="77">L251+L252</f>
        <v>0</v>
      </c>
      <c r="M250" s="151">
        <f t="shared" ca="1" si="77"/>
        <v>0</v>
      </c>
      <c r="N250" s="151">
        <f t="shared" ca="1" si="77"/>
        <v>0</v>
      </c>
      <c r="O250" s="150">
        <f t="shared" ref="O250:O252" ca="1" si="78">IF(L250&gt;0,N250*100/L250,0)</f>
        <v>0</v>
      </c>
      <c r="P250" s="150">
        <f t="shared" ref="P250:P252" ca="1" si="79">IF(M250&gt;0,N250*100/M250,0)</f>
        <v>0</v>
      </c>
    </row>
    <row r="251" spans="1:16" ht="21.75" customHeight="1" x14ac:dyDescent="0.45">
      <c r="A251" s="152"/>
      <c r="B251" s="32"/>
      <c r="C251" s="32"/>
      <c r="D251" s="32"/>
      <c r="E251" s="32"/>
      <c r="F251" s="32"/>
      <c r="G251" s="33" t="s">
        <v>18</v>
      </c>
      <c r="H251" s="153" t="s">
        <v>12</v>
      </c>
      <c r="I251" s="162"/>
      <c r="J251" s="162"/>
      <c r="K251" s="163"/>
      <c r="L251" s="87">
        <f t="shared" ref="L251:N251" si="80">L253+L257</f>
        <v>0</v>
      </c>
      <c r="M251" s="87">
        <f t="shared" si="80"/>
        <v>0</v>
      </c>
      <c r="N251" s="87">
        <f t="shared" si="80"/>
        <v>0</v>
      </c>
      <c r="O251" s="155">
        <f t="shared" si="78"/>
        <v>0</v>
      </c>
      <c r="P251" s="155">
        <f t="shared" si="79"/>
        <v>0</v>
      </c>
    </row>
    <row r="252" spans="1:16" ht="21.75" customHeight="1" x14ac:dyDescent="0.45">
      <c r="A252" s="152"/>
      <c r="B252" s="32"/>
      <c r="C252" s="32"/>
      <c r="D252" s="32"/>
      <c r="E252" s="32"/>
      <c r="F252" s="32"/>
      <c r="G252" s="33" t="s">
        <v>19</v>
      </c>
      <c r="H252" s="153" t="s">
        <v>12</v>
      </c>
      <c r="I252" s="162"/>
      <c r="J252" s="162"/>
      <c r="K252" s="163"/>
      <c r="L252" s="87">
        <f t="shared" ref="L252:N252" ca="1" si="81">L254+L258</f>
        <v>0</v>
      </c>
      <c r="M252" s="87">
        <f t="shared" ca="1" si="81"/>
        <v>0</v>
      </c>
      <c r="N252" s="87">
        <f t="shared" ca="1" si="81"/>
        <v>0</v>
      </c>
      <c r="O252" s="155">
        <f t="shared" ca="1" si="78"/>
        <v>0</v>
      </c>
      <c r="P252" s="155">
        <f t="shared" ca="1" si="79"/>
        <v>0</v>
      </c>
    </row>
    <row r="253" spans="1:16" ht="21.75" customHeight="1" x14ac:dyDescent="0.3">
      <c r="A253" s="156"/>
      <c r="B253" s="157"/>
      <c r="C253" s="157" t="s">
        <v>16</v>
      </c>
      <c r="D253" s="158" t="s">
        <v>38</v>
      </c>
      <c r="E253" s="159"/>
      <c r="F253" s="159"/>
      <c r="G253" s="160" t="s">
        <v>39</v>
      </c>
      <c r="H253" s="161" t="s">
        <v>12</v>
      </c>
      <c r="I253" s="162" t="s">
        <v>40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3">
      <c r="A254" s="156"/>
      <c r="B254" s="157"/>
      <c r="C254" s="157"/>
      <c r="D254" s="166"/>
      <c r="E254" s="159"/>
      <c r="F254" s="159" t="s">
        <v>40</v>
      </c>
      <c r="G254" s="160" t="s">
        <v>41</v>
      </c>
      <c r="H254" s="161" t="s">
        <v>12</v>
      </c>
      <c r="I254" s="162"/>
      <c r="J254" s="162"/>
      <c r="K254" s="163"/>
      <c r="L254" s="167">
        <f ca="1">L255+L256</f>
        <v>0</v>
      </c>
      <c r="M254" s="167">
        <f ca="1">IFERROR(__xludf.DUMMYFUNCTION("IMPORTRANGE(""https://docs.google.com/spreadsheets/d/1Yj_ptqi66GCucihVvJfMjLAmec39IyEx_6qawtMGysU/edit?usp=sharing"",""สบก!CB28"")"),0)</f>
        <v>0</v>
      </c>
      <c r="N254" s="168">
        <f ca="1">IFERROR(__xludf.DUMMYFUNCTION("IMPORTRANGE(""https://docs.google.com/spreadsheets/d/1Yj_ptqi66GCucihVvJfMjLAmec39IyEx_6qawtMGysU/edit?usp=sharing"",""สบก!CC28"")"),0)</f>
        <v>0</v>
      </c>
      <c r="O254" s="168">
        <f ca="1">IF(L254&gt;0,N254*100/L254,0)</f>
        <v>0</v>
      </c>
      <c r="P254" s="168">
        <f ca="1">IF(M254&gt;0,N254*100/M254,0)</f>
        <v>0</v>
      </c>
    </row>
    <row r="255" spans="1:16" ht="21.75" customHeight="1" x14ac:dyDescent="0.3">
      <c r="A255" s="156"/>
      <c r="B255" s="157"/>
      <c r="C255" s="157"/>
      <c r="D255" s="166"/>
      <c r="E255" s="159"/>
      <c r="F255" s="159"/>
      <c r="G255" s="169" t="s">
        <v>42</v>
      </c>
      <c r="H255" s="161" t="s">
        <v>12</v>
      </c>
      <c r="I255" s="162"/>
      <c r="J255" s="162"/>
      <c r="K255" s="163"/>
      <c r="L255" s="167">
        <f ca="1">IFERROR(__xludf.DUMMYFUNCTION("IMPORTRANGE(""https://docs.google.com/spreadsheets/d/1Yj_ptqi66GCucihVvJfMjLAmec39IyEx_6qawtMGysU/edit?usp=sharing"",""สบก!BX28"")"),0)</f>
        <v>0</v>
      </c>
      <c r="M255" s="167"/>
      <c r="N255" s="167"/>
      <c r="O255" s="168"/>
      <c r="P255" s="168"/>
    </row>
    <row r="256" spans="1:16" ht="21.75" customHeight="1" x14ac:dyDescent="0.3">
      <c r="A256" s="156"/>
      <c r="B256" s="157"/>
      <c r="C256" s="157"/>
      <c r="D256" s="166"/>
      <c r="E256" s="159"/>
      <c r="F256" s="159"/>
      <c r="G256" s="169" t="s">
        <v>43</v>
      </c>
      <c r="H256" s="161" t="s">
        <v>12</v>
      </c>
      <c r="I256" s="162"/>
      <c r="J256" s="162"/>
      <c r="K256" s="163"/>
      <c r="L256" s="167">
        <f ca="1">IFERROR(__xludf.DUMMYFUNCTION("IMPORTRANGE(""https://docs.google.com/spreadsheets/d/1Yj_ptqi66GCucihVvJfMjLAmec39IyEx_6qawtMGysU/edit?usp=sharing"",""สบก!BY28"")"),0)</f>
        <v>0</v>
      </c>
      <c r="M256" s="167"/>
      <c r="N256" s="167"/>
      <c r="O256" s="168"/>
      <c r="P256" s="168"/>
    </row>
    <row r="257" spans="1:16" ht="21.75" customHeight="1" x14ac:dyDescent="0.45">
      <c r="A257" s="170"/>
      <c r="B257" s="80"/>
      <c r="C257" s="81" t="s">
        <v>16</v>
      </c>
      <c r="D257" s="534" t="s">
        <v>23</v>
      </c>
      <c r="E257" s="530"/>
      <c r="F257" s="88"/>
      <c r="G257" s="82" t="s">
        <v>18</v>
      </c>
      <c r="H257" s="171" t="s">
        <v>12</v>
      </c>
      <c r="I257" s="162"/>
      <c r="J257" s="162"/>
      <c r="K257" s="163"/>
      <c r="L257" s="41">
        <v>0</v>
      </c>
      <c r="M257" s="41"/>
      <c r="N257" s="41"/>
      <c r="O257" s="41"/>
      <c r="P257" s="41"/>
    </row>
    <row r="258" spans="1:16" ht="21.75" customHeight="1" x14ac:dyDescent="0.45">
      <c r="A258" s="172"/>
      <c r="B258" s="91"/>
      <c r="C258" s="91"/>
      <c r="D258" s="173"/>
      <c r="E258" s="92"/>
      <c r="F258" s="92"/>
      <c r="G258" s="93" t="s">
        <v>19</v>
      </c>
      <c r="H258" s="174" t="s">
        <v>12</v>
      </c>
      <c r="I258" s="162"/>
      <c r="J258" s="162"/>
      <c r="K258" s="163"/>
      <c r="L258" s="49">
        <f ca="1">IFERROR(__xludf.DUMMYFUNCTION("IMPORTRANGE(""https://docs.google.com/spreadsheets/d/1Yj_ptqi66GCucihVvJfMjLAmec39IyEx_6qawtMGysU/edit?usp=sharing"",""สบก!BZ28"")"),0)</f>
        <v>0</v>
      </c>
      <c r="M258" s="49"/>
      <c r="N258" s="49">
        <f ca="1">IFERROR(__xludf.DUMMYFUNCTION("IMPORTRANGE(""https://docs.google.com/spreadsheets/d/1Yj_ptqi66GCucihVvJfMjLAmec39IyEx_6qawtMGysU/edit?usp=sharing"",""สบก!CD28"")"),0)</f>
        <v>0</v>
      </c>
      <c r="O258" s="49">
        <f ca="1">IF(L258&gt;0,N258*100/L258,0)</f>
        <v>0</v>
      </c>
      <c r="P258" s="49"/>
    </row>
    <row r="259" spans="1:16" ht="21.75" customHeight="1" x14ac:dyDescent="0.3">
      <c r="A259" s="175"/>
      <c r="B259" s="176"/>
      <c r="C259" s="157" t="s">
        <v>16</v>
      </c>
      <c r="D259" s="177" t="s">
        <v>44</v>
      </c>
      <c r="E259" s="178"/>
      <c r="F259" s="178"/>
      <c r="G259" s="179"/>
      <c r="H259" s="180"/>
      <c r="I259" s="162"/>
      <c r="J259" s="162"/>
      <c r="K259" s="163"/>
      <c r="L259" s="181"/>
      <c r="M259" s="181"/>
      <c r="N259" s="181"/>
      <c r="O259" s="181"/>
      <c r="P259" s="181"/>
    </row>
    <row r="260" spans="1:16" ht="21.75" customHeight="1" x14ac:dyDescent="0.3">
      <c r="A260" s="175"/>
      <c r="B260" s="176"/>
      <c r="C260" s="176"/>
      <c r="D260" s="182">
        <v>1</v>
      </c>
      <c r="E260" s="183" t="s">
        <v>45</v>
      </c>
      <c r="F260" s="184"/>
      <c r="G260" s="185"/>
      <c r="H260" s="186"/>
      <c r="I260" s="187"/>
      <c r="J260" s="188">
        <f ca="1">IFERROR(__xludf.DUMMYFUNCTION("IMPORTRANGE(""https://docs.google.com/spreadsheets/d/11923uPwbBZFjjGgGUA6NLw09EwE0CqkOc4q9oUmW1yo/edit?usp=sharing"",""พิษณุโลก!J175"")"),0)</f>
        <v>0</v>
      </c>
      <c r="K260" s="163"/>
      <c r="L260" s="181"/>
      <c r="M260" s="181"/>
      <c r="N260" s="181"/>
      <c r="O260" s="181"/>
      <c r="P260" s="181"/>
    </row>
    <row r="261" spans="1:16" ht="21.75" customHeight="1" x14ac:dyDescent="0.3">
      <c r="A261" s="175"/>
      <c r="B261" s="176"/>
      <c r="C261" s="176"/>
      <c r="D261" s="189">
        <v>2</v>
      </c>
      <c r="E261" s="190" t="s">
        <v>46</v>
      </c>
      <c r="F261" s="191"/>
      <c r="G261" s="192"/>
      <c r="H261" s="186"/>
      <c r="I261" s="187"/>
      <c r="J261" s="197">
        <f ca="1">IFERROR(__xludf.DUMMYFUNCTION("IMPORTRANGE(""https://docs.google.com/spreadsheets/d/11923uPwbBZFjjGgGUA6NLw09EwE0CqkOc4q9oUmW1yo/edit?usp=sharing"",""พิษณุโลก!J176"")"),0)</f>
        <v>0</v>
      </c>
      <c r="K261" s="163"/>
      <c r="L261" s="181" t="s">
        <v>40</v>
      </c>
      <c r="M261" s="181"/>
      <c r="N261" s="181" t="s">
        <v>40</v>
      </c>
      <c r="O261" s="181"/>
      <c r="P261" s="181"/>
    </row>
    <row r="262" spans="1:16" ht="21.75" customHeight="1" x14ac:dyDescent="0.3">
      <c r="A262" s="175"/>
      <c r="B262" s="176"/>
      <c r="C262" s="176"/>
      <c r="D262" s="193"/>
      <c r="E262" s="194" t="s">
        <v>47</v>
      </c>
      <c r="F262" s="195"/>
      <c r="G262" s="196"/>
      <c r="H262" s="186"/>
      <c r="I262" s="187"/>
      <c r="J262" s="197">
        <f ca="1">IFERROR(__xludf.DUMMYFUNCTION("IMPORTRANGE(""https://docs.google.com/spreadsheets/d/11923uPwbBZFjjGgGUA6NLw09EwE0CqkOc4q9oUmW1yo/edit?usp=sharing"",""พิษณุโลก!J177"")"),0)</f>
        <v>0</v>
      </c>
      <c r="K262" s="163"/>
      <c r="L262" s="181"/>
      <c r="M262" s="181"/>
      <c r="N262" s="181"/>
      <c r="O262" s="181"/>
      <c r="P262" s="181"/>
    </row>
    <row r="263" spans="1:16" ht="21.75" customHeight="1" x14ac:dyDescent="0.3">
      <c r="A263" s="175"/>
      <c r="B263" s="176"/>
      <c r="C263" s="176"/>
      <c r="D263" s="193"/>
      <c r="E263" s="194" t="s">
        <v>48</v>
      </c>
      <c r="F263" s="195"/>
      <c r="G263" s="196"/>
      <c r="H263" s="186"/>
      <c r="I263" s="187"/>
      <c r="J263" s="197">
        <f ca="1">IFERROR(__xludf.DUMMYFUNCTION("IMPORTRANGE(""https://docs.google.com/spreadsheets/d/11923uPwbBZFjjGgGUA6NLw09EwE0CqkOc4q9oUmW1yo/edit?usp=sharing"",""พิษณุโลก!J178"")"),0)</f>
        <v>0</v>
      </c>
      <c r="K263" s="163"/>
      <c r="L263" s="181"/>
      <c r="M263" s="181"/>
      <c r="N263" s="181"/>
      <c r="O263" s="181"/>
      <c r="P263" s="181"/>
    </row>
    <row r="264" spans="1:16" ht="21.75" customHeight="1" x14ac:dyDescent="0.3">
      <c r="A264" s="175"/>
      <c r="B264" s="176"/>
      <c r="C264" s="176"/>
      <c r="D264" s="193"/>
      <c r="E264" s="198"/>
      <c r="F264" s="194" t="s">
        <v>105</v>
      </c>
      <c r="G264" s="196"/>
      <c r="H264" s="180" t="s">
        <v>59</v>
      </c>
      <c r="I264" s="187">
        <f ca="1">IFERROR(__xludf.DUMMYFUNCTION("IMPORTRANGE(""https://docs.google.com/spreadsheets/d/11923uPwbBZFjjGgGUA6NLw09EwE0CqkOc4q9oUmW1yo/edit?usp=sharing"",""พิษณุโลก!I179"")"),0)</f>
        <v>0</v>
      </c>
      <c r="J264" s="188">
        <f ca="1">IFERROR(__xludf.DUMMYFUNCTION("IMPORTRANGE(""https://docs.google.com/spreadsheets/d/11923uPwbBZFjjGgGUA6NLw09EwE0CqkOc4q9oUmW1yo/edit?usp=sharing"",""พิษณุโลก!J179"")"),0)</f>
        <v>0</v>
      </c>
      <c r="K264" s="163">
        <f t="shared" ref="K264:K267" ca="1" si="82">IF(I264&gt;0,J264*100/I264,0)</f>
        <v>0</v>
      </c>
      <c r="L264" s="181"/>
      <c r="M264" s="181"/>
      <c r="N264" s="181"/>
      <c r="O264" s="181"/>
      <c r="P264" s="181"/>
    </row>
    <row r="265" spans="1:16" ht="21.75" customHeight="1" x14ac:dyDescent="0.3">
      <c r="A265" s="175"/>
      <c r="B265" s="176"/>
      <c r="C265" s="176"/>
      <c r="D265" s="193"/>
      <c r="E265" s="198"/>
      <c r="F265" s="194" t="s">
        <v>106</v>
      </c>
      <c r="G265" s="196"/>
      <c r="H265" s="180" t="s">
        <v>37</v>
      </c>
      <c r="I265" s="187">
        <f ca="1">IFERROR(__xludf.DUMMYFUNCTION("IMPORTRANGE(""https://docs.google.com/spreadsheets/d/11923uPwbBZFjjGgGUA6NLw09EwE0CqkOc4q9oUmW1yo/edit?usp=sharing"",""พิษณุโลก!I180"")"),0)</f>
        <v>0</v>
      </c>
      <c r="J265" s="188">
        <f ca="1">IFERROR(__xludf.DUMMYFUNCTION("IMPORTRANGE(""https://docs.google.com/spreadsheets/d/11923uPwbBZFjjGgGUA6NLw09EwE0CqkOc4q9oUmW1yo/edit?usp=sharing"",""พิษณุโลก!J180"")"),0)</f>
        <v>0</v>
      </c>
      <c r="K265" s="163">
        <f t="shared" ca="1" si="82"/>
        <v>0</v>
      </c>
      <c r="L265" s="181"/>
      <c r="M265" s="181"/>
      <c r="N265" s="181"/>
      <c r="O265" s="181"/>
      <c r="P265" s="181"/>
    </row>
    <row r="266" spans="1:16" ht="21.75" customHeight="1" x14ac:dyDescent="0.3">
      <c r="A266" s="175"/>
      <c r="B266" s="176"/>
      <c r="C266" s="176"/>
      <c r="D266" s="193"/>
      <c r="E266" s="198"/>
      <c r="F266" s="194" t="s">
        <v>107</v>
      </c>
      <c r="G266" s="196"/>
      <c r="H266" s="180" t="s">
        <v>37</v>
      </c>
      <c r="I266" s="187">
        <f ca="1">IFERROR(__xludf.DUMMYFUNCTION("IMPORTRANGE(""https://docs.google.com/spreadsheets/d/11923uPwbBZFjjGgGUA6NLw09EwE0CqkOc4q9oUmW1yo/edit?usp=sharing"",""พิษณุโลก!I181"")"),0)</f>
        <v>0</v>
      </c>
      <c r="J266" s="188">
        <f ca="1">IFERROR(__xludf.DUMMYFUNCTION("IMPORTRANGE(""https://docs.google.com/spreadsheets/d/11923uPwbBZFjjGgGUA6NLw09EwE0CqkOc4q9oUmW1yo/edit?usp=sharing"",""พิษณุโลก!J181"")"),0)</f>
        <v>0</v>
      </c>
      <c r="K266" s="163">
        <f t="shared" ca="1" si="82"/>
        <v>0</v>
      </c>
      <c r="L266" s="181"/>
      <c r="M266" s="181"/>
      <c r="N266" s="181"/>
      <c r="O266" s="181"/>
      <c r="P266" s="181"/>
    </row>
    <row r="267" spans="1:16" ht="21.75" customHeight="1" x14ac:dyDescent="0.3">
      <c r="A267" s="175"/>
      <c r="B267" s="176"/>
      <c r="C267" s="176"/>
      <c r="D267" s="193"/>
      <c r="E267" s="198"/>
      <c r="F267" s="194" t="s">
        <v>108</v>
      </c>
      <c r="G267" s="196"/>
      <c r="H267" s="180" t="s">
        <v>37</v>
      </c>
      <c r="I267" s="187">
        <f ca="1">IFERROR(__xludf.DUMMYFUNCTION("IMPORTRANGE(""https://docs.google.com/spreadsheets/d/11923uPwbBZFjjGgGUA6NLw09EwE0CqkOc4q9oUmW1yo/edit?usp=sharing"",""พิษณุโลก!I182"")"),0)</f>
        <v>0</v>
      </c>
      <c r="J267" s="188">
        <f ca="1">IFERROR(__xludf.DUMMYFUNCTION("IMPORTRANGE(""https://docs.google.com/spreadsheets/d/11923uPwbBZFjjGgGUA6NLw09EwE0CqkOc4q9oUmW1yo/edit?usp=sharing"",""พิษณุโลก!J182"")"),0)</f>
        <v>0</v>
      </c>
      <c r="K267" s="163">
        <f t="shared" ca="1" si="82"/>
        <v>0</v>
      </c>
      <c r="L267" s="181"/>
      <c r="M267" s="181"/>
      <c r="N267" s="181"/>
      <c r="O267" s="181"/>
      <c r="P267" s="181"/>
    </row>
    <row r="268" spans="1:16" ht="21.75" customHeight="1" x14ac:dyDescent="0.3">
      <c r="A268" s="175"/>
      <c r="B268" s="176"/>
      <c r="C268" s="176"/>
      <c r="D268" s="193"/>
      <c r="E268" s="194" t="s">
        <v>54</v>
      </c>
      <c r="F268" s="195"/>
      <c r="G268" s="196"/>
      <c r="H268" s="186"/>
      <c r="I268" s="187"/>
      <c r="J268" s="197">
        <f ca="1">IFERROR(__xludf.DUMMYFUNCTION("IMPORTRANGE(""https://docs.google.com/spreadsheets/d/11923uPwbBZFjjGgGUA6NLw09EwE0CqkOc4q9oUmW1yo/edit?usp=sharing"",""พิษณุโลก!J183"")"),0)</f>
        <v>0</v>
      </c>
      <c r="K268" s="163"/>
      <c r="L268" s="181"/>
      <c r="M268" s="181"/>
      <c r="N268" s="181"/>
      <c r="O268" s="181"/>
      <c r="P268" s="181"/>
    </row>
    <row r="269" spans="1:16" ht="21.75" customHeight="1" x14ac:dyDescent="0.3">
      <c r="A269" s="233"/>
      <c r="B269" s="234"/>
      <c r="C269" s="234"/>
      <c r="D269" s="235">
        <v>3</v>
      </c>
      <c r="E269" s="236" t="s">
        <v>55</v>
      </c>
      <c r="F269" s="237"/>
      <c r="G269" s="238"/>
      <c r="H269" s="239"/>
      <c r="I269" s="240"/>
      <c r="J269" s="285">
        <f ca="1">IFERROR(__xludf.DUMMYFUNCTION("IMPORTRANGE(""https://docs.google.com/spreadsheets/d/11923uPwbBZFjjGgGUA6NLw09EwE0CqkOc4q9oUmW1yo/edit?usp=sharing"",""พิษณุโลก!J184"")"),0)</f>
        <v>0</v>
      </c>
      <c r="K269" s="286"/>
      <c r="L269" s="244"/>
      <c r="M269" s="244"/>
      <c r="N269" s="244"/>
      <c r="O269" s="244"/>
      <c r="P269" s="244"/>
    </row>
    <row r="270" spans="1:16" ht="21.75" customHeight="1" x14ac:dyDescent="0.3">
      <c r="A270" s="310"/>
      <c r="B270" s="311" t="s">
        <v>109</v>
      </c>
      <c r="C270" s="311"/>
      <c r="D270" s="311"/>
      <c r="E270" s="311"/>
      <c r="F270" s="311"/>
      <c r="G270" s="312"/>
      <c r="H270" s="313" t="s">
        <v>37</v>
      </c>
      <c r="I270" s="314">
        <f ca="1">IFERROR(__xludf.DUMMYFUNCTION("IMPORTRANGE(""https://docs.google.com/spreadsheets/d/11923uPwbBZFjjGgGUA6NLw09EwE0CqkOc4q9oUmW1yo/edit?usp=sharing"",""พิษณุโลก!I185"")"),15)</f>
        <v>15</v>
      </c>
      <c r="J270" s="314">
        <f ca="1">IFERROR(__xludf.DUMMYFUNCTION("IMPORTRANGE(""https://docs.google.com/spreadsheets/d/11923uPwbBZFjjGgGUA6NLw09EwE0CqkOc4q9oUmW1yo/edit?usp=sharing"",""พิษณุโลก!J185"")"),15)</f>
        <v>15</v>
      </c>
      <c r="K270" s="315">
        <f ca="1">IF(I270&gt;0,J270*100/I270,0)</f>
        <v>100</v>
      </c>
      <c r="L270" s="316"/>
      <c r="M270" s="316"/>
      <c r="N270" s="316"/>
      <c r="O270" s="315"/>
      <c r="P270" s="315"/>
    </row>
    <row r="271" spans="1:16" ht="21.75" customHeight="1" x14ac:dyDescent="0.45">
      <c r="A271" s="145"/>
      <c r="B271" s="146"/>
      <c r="C271" s="147" t="s">
        <v>16</v>
      </c>
      <c r="D271" s="537" t="s">
        <v>17</v>
      </c>
      <c r="E271" s="528"/>
      <c r="F271" s="528"/>
      <c r="G271" s="528"/>
      <c r="H271" s="148" t="s">
        <v>12</v>
      </c>
      <c r="I271" s="162"/>
      <c r="J271" s="162"/>
      <c r="K271" s="163"/>
      <c r="L271" s="151">
        <f t="shared" ref="L271:N271" ca="1" si="83">L272+L273</f>
        <v>55200</v>
      </c>
      <c r="M271" s="151">
        <f t="shared" ca="1" si="83"/>
        <v>32250</v>
      </c>
      <c r="N271" s="151">
        <f t="shared" ca="1" si="83"/>
        <v>26620</v>
      </c>
      <c r="O271" s="150">
        <f t="shared" ref="O271:O273" ca="1" si="84">IF(L271&gt;0,N271*100/L271,0)</f>
        <v>48.224637681159422</v>
      </c>
      <c r="P271" s="150">
        <f t="shared" ref="P271:P273" ca="1" si="85">IF(M271&gt;0,N271*100/M271,0)</f>
        <v>82.542635658914733</v>
      </c>
    </row>
    <row r="272" spans="1:16" ht="21.75" customHeight="1" x14ac:dyDescent="0.45">
      <c r="A272" s="152"/>
      <c r="B272" s="32"/>
      <c r="C272" s="32"/>
      <c r="D272" s="32"/>
      <c r="E272" s="32"/>
      <c r="F272" s="32"/>
      <c r="G272" s="33" t="s">
        <v>18</v>
      </c>
      <c r="H272" s="153" t="s">
        <v>12</v>
      </c>
      <c r="I272" s="162"/>
      <c r="J272" s="162"/>
      <c r="K272" s="163"/>
      <c r="L272" s="87">
        <f t="shared" ref="L272:N272" si="86">L274+L278</f>
        <v>0</v>
      </c>
      <c r="M272" s="87">
        <f t="shared" si="86"/>
        <v>0</v>
      </c>
      <c r="N272" s="87">
        <f t="shared" si="86"/>
        <v>0</v>
      </c>
      <c r="O272" s="155">
        <f t="shared" si="84"/>
        <v>0</v>
      </c>
      <c r="P272" s="155">
        <f t="shared" si="85"/>
        <v>0</v>
      </c>
    </row>
    <row r="273" spans="1:16" ht="21.75" customHeight="1" x14ac:dyDescent="0.45">
      <c r="A273" s="152"/>
      <c r="B273" s="32"/>
      <c r="C273" s="32"/>
      <c r="D273" s="32"/>
      <c r="E273" s="32"/>
      <c r="F273" s="32"/>
      <c r="G273" s="33" t="s">
        <v>19</v>
      </c>
      <c r="H273" s="153" t="s">
        <v>12</v>
      </c>
      <c r="I273" s="162"/>
      <c r="J273" s="162"/>
      <c r="K273" s="163"/>
      <c r="L273" s="87">
        <f t="shared" ref="L273:N273" ca="1" si="87">L275+L279</f>
        <v>55200</v>
      </c>
      <c r="M273" s="87">
        <f t="shared" ca="1" si="87"/>
        <v>32250</v>
      </c>
      <c r="N273" s="87">
        <f t="shared" ca="1" si="87"/>
        <v>26620</v>
      </c>
      <c r="O273" s="155">
        <f t="shared" ca="1" si="84"/>
        <v>48.224637681159422</v>
      </c>
      <c r="P273" s="155">
        <f t="shared" ca="1" si="85"/>
        <v>82.542635658914733</v>
      </c>
    </row>
    <row r="274" spans="1:16" ht="21.75" customHeight="1" x14ac:dyDescent="0.3">
      <c r="A274" s="156"/>
      <c r="B274" s="157"/>
      <c r="C274" s="157" t="s">
        <v>16</v>
      </c>
      <c r="D274" s="158" t="s">
        <v>38</v>
      </c>
      <c r="E274" s="159"/>
      <c r="F274" s="159"/>
      <c r="G274" s="160" t="s">
        <v>39</v>
      </c>
      <c r="H274" s="161" t="s">
        <v>12</v>
      </c>
      <c r="I274" s="162" t="s">
        <v>40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3">
      <c r="A275" s="156"/>
      <c r="B275" s="157"/>
      <c r="C275" s="157"/>
      <c r="D275" s="166"/>
      <c r="E275" s="159"/>
      <c r="F275" s="159" t="s">
        <v>40</v>
      </c>
      <c r="G275" s="160" t="s">
        <v>41</v>
      </c>
      <c r="H275" s="161" t="s">
        <v>12</v>
      </c>
      <c r="I275" s="162"/>
      <c r="J275" s="162"/>
      <c r="K275" s="163"/>
      <c r="L275" s="167">
        <f ca="1">L276+L277</f>
        <v>55200</v>
      </c>
      <c r="M275" s="167">
        <f ca="1">IFERROR(__xludf.DUMMYFUNCTION("IMPORTRANGE(""https://docs.google.com/spreadsheets/d/1Yj_ptqi66GCucihVvJfMjLAmec39IyEx_6qawtMGysU/edit?usp=sharing"",""สบก!CK28"")"),32250)</f>
        <v>32250</v>
      </c>
      <c r="N275" s="168">
        <f ca="1">IFERROR(__xludf.DUMMYFUNCTION("IMPORTRANGE(""https://docs.google.com/spreadsheets/d/1Yj_ptqi66GCucihVvJfMjLAmec39IyEx_6qawtMGysU/edit?usp=sharing"",""สบก!CL28"")"),26620)</f>
        <v>26620</v>
      </c>
      <c r="O275" s="168">
        <f ca="1">IF(L275&gt;0,N275*100/L275,0)</f>
        <v>48.224637681159422</v>
      </c>
      <c r="P275" s="168">
        <f ca="1">IF(M275&gt;0,N275*100/M275,0)</f>
        <v>82.542635658914733</v>
      </c>
    </row>
    <row r="276" spans="1:16" ht="21.75" customHeight="1" x14ac:dyDescent="0.3">
      <c r="A276" s="156"/>
      <c r="B276" s="157"/>
      <c r="C276" s="157"/>
      <c r="D276" s="166"/>
      <c r="E276" s="159"/>
      <c r="F276" s="159"/>
      <c r="G276" s="169" t="s">
        <v>42</v>
      </c>
      <c r="H276" s="161" t="s">
        <v>12</v>
      </c>
      <c r="I276" s="162"/>
      <c r="J276" s="162"/>
      <c r="K276" s="163"/>
      <c r="L276" s="167">
        <f ca="1">IFERROR(__xludf.DUMMYFUNCTION("IMPORTRANGE(""https://docs.google.com/spreadsheets/d/1Yj_ptqi66GCucihVvJfMjLAmec39IyEx_6qawtMGysU/edit?usp=sharing"",""สบก!CG28"")"),0)</f>
        <v>0</v>
      </c>
      <c r="M276" s="167"/>
      <c r="N276" s="167"/>
      <c r="O276" s="168"/>
      <c r="P276" s="168"/>
    </row>
    <row r="277" spans="1:16" ht="21.75" customHeight="1" x14ac:dyDescent="0.3">
      <c r="A277" s="156"/>
      <c r="B277" s="157"/>
      <c r="C277" s="157"/>
      <c r="D277" s="166"/>
      <c r="E277" s="159"/>
      <c r="F277" s="159"/>
      <c r="G277" s="169" t="s">
        <v>43</v>
      </c>
      <c r="H277" s="161" t="s">
        <v>12</v>
      </c>
      <c r="I277" s="162"/>
      <c r="J277" s="162"/>
      <c r="K277" s="163"/>
      <c r="L277" s="167">
        <f ca="1">IFERROR(__xludf.DUMMYFUNCTION("IMPORTRANGE(""https://docs.google.com/spreadsheets/d/1Yj_ptqi66GCucihVvJfMjLAmec39IyEx_6qawtMGysU/edit?usp=sharing"",""สบก!CH28"")"),55200)</f>
        <v>55200</v>
      </c>
      <c r="M277" s="167"/>
      <c r="N277" s="167"/>
      <c r="O277" s="168"/>
      <c r="P277" s="168"/>
    </row>
    <row r="278" spans="1:16" ht="21.75" customHeight="1" x14ac:dyDescent="0.45">
      <c r="A278" s="170"/>
      <c r="B278" s="80"/>
      <c r="C278" s="81" t="s">
        <v>16</v>
      </c>
      <c r="D278" s="534" t="s">
        <v>23</v>
      </c>
      <c r="E278" s="530"/>
      <c r="F278" s="88"/>
      <c r="G278" s="82" t="s">
        <v>18</v>
      </c>
      <c r="H278" s="171" t="s">
        <v>12</v>
      </c>
      <c r="I278" s="162"/>
      <c r="J278" s="162"/>
      <c r="K278" s="163"/>
      <c r="L278" s="41">
        <v>0</v>
      </c>
      <c r="M278" s="41"/>
      <c r="N278" s="41"/>
      <c r="O278" s="41"/>
      <c r="P278" s="41"/>
    </row>
    <row r="279" spans="1:16" ht="21.75" customHeight="1" x14ac:dyDescent="0.45">
      <c r="A279" s="172"/>
      <c r="B279" s="91"/>
      <c r="C279" s="91"/>
      <c r="D279" s="173"/>
      <c r="E279" s="92"/>
      <c r="F279" s="92"/>
      <c r="G279" s="93" t="s">
        <v>19</v>
      </c>
      <c r="H279" s="174" t="s">
        <v>12</v>
      </c>
      <c r="I279" s="162"/>
      <c r="J279" s="162"/>
      <c r="K279" s="163"/>
      <c r="L279" s="49">
        <f ca="1">IFERROR(__xludf.DUMMYFUNCTION("IMPORTRANGE(""https://docs.google.com/spreadsheets/d/1Yj_ptqi66GCucihVvJfMjLAmec39IyEx_6qawtMGysU/edit?usp=sharing"",""สบก!CI28"")"),0)</f>
        <v>0</v>
      </c>
      <c r="M279" s="49"/>
      <c r="N279" s="49">
        <f ca="1">IFERROR(__xludf.DUMMYFUNCTION("IMPORTRANGE(""https://docs.google.com/spreadsheets/d/1Yj_ptqi66GCucihVvJfMjLAmec39IyEx_6qawtMGysU/edit?usp=sharing"",""สบก!CM28"")"),0)</f>
        <v>0</v>
      </c>
      <c r="O279" s="49">
        <f ca="1">IF(L279&gt;0,N279*100/L279,0)</f>
        <v>0</v>
      </c>
      <c r="P279" s="49"/>
    </row>
    <row r="280" spans="1:16" ht="21.75" customHeight="1" x14ac:dyDescent="0.3">
      <c r="A280" s="175"/>
      <c r="B280" s="176"/>
      <c r="C280" s="157" t="s">
        <v>16</v>
      </c>
      <c r="D280" s="177" t="s">
        <v>44</v>
      </c>
      <c r="E280" s="178"/>
      <c r="F280" s="178"/>
      <c r="G280" s="179"/>
      <c r="H280" s="180"/>
      <c r="I280" s="162"/>
      <c r="J280" s="162"/>
      <c r="K280" s="163"/>
      <c r="L280" s="181"/>
      <c r="M280" s="181"/>
      <c r="N280" s="181"/>
      <c r="O280" s="181"/>
      <c r="P280" s="181"/>
    </row>
    <row r="281" spans="1:16" ht="21.75" customHeight="1" x14ac:dyDescent="0.3">
      <c r="A281" s="175"/>
      <c r="B281" s="176"/>
      <c r="C281" s="176"/>
      <c r="D281" s="182">
        <v>1</v>
      </c>
      <c r="E281" s="183" t="s">
        <v>45</v>
      </c>
      <c r="F281" s="184"/>
      <c r="G281" s="185"/>
      <c r="H281" s="186"/>
      <c r="I281" s="187"/>
      <c r="J281" s="188">
        <f ca="1">IFERROR(__xludf.DUMMYFUNCTION("IMPORTRANGE(""https://docs.google.com/spreadsheets/d/11923uPwbBZFjjGgGUA6NLw09EwE0CqkOc4q9oUmW1yo/edit?usp=sharing"",""พิษณุโลก!J191"")"),0)</f>
        <v>0</v>
      </c>
      <c r="K281" s="163"/>
      <c r="L281" s="181"/>
      <c r="M281" s="181"/>
      <c r="N281" s="181"/>
      <c r="O281" s="181"/>
      <c r="P281" s="181"/>
    </row>
    <row r="282" spans="1:16" ht="21.75" customHeight="1" x14ac:dyDescent="0.3">
      <c r="A282" s="175"/>
      <c r="B282" s="176"/>
      <c r="C282" s="176"/>
      <c r="D282" s="189">
        <v>2</v>
      </c>
      <c r="E282" s="190" t="s">
        <v>46</v>
      </c>
      <c r="F282" s="191"/>
      <c r="G282" s="192"/>
      <c r="H282" s="186"/>
      <c r="I282" s="187"/>
      <c r="J282" s="197">
        <f ca="1">IFERROR(__xludf.DUMMYFUNCTION("IMPORTRANGE(""https://docs.google.com/spreadsheets/d/11923uPwbBZFjjGgGUA6NLw09EwE0CqkOc4q9oUmW1yo/edit?usp=sharing"",""พิษณุโลก!J192"")"),1)</f>
        <v>1</v>
      </c>
      <c r="K282" s="163"/>
      <c r="L282" s="181"/>
      <c r="M282" s="181"/>
      <c r="N282" s="181"/>
      <c r="O282" s="181"/>
      <c r="P282" s="181"/>
    </row>
    <row r="283" spans="1:16" ht="21.75" customHeight="1" x14ac:dyDescent="0.3">
      <c r="A283" s="175"/>
      <c r="B283" s="176"/>
      <c r="C283" s="176"/>
      <c r="D283" s="193"/>
      <c r="E283" s="194" t="s">
        <v>47</v>
      </c>
      <c r="F283" s="195"/>
      <c r="G283" s="196"/>
      <c r="H283" s="186"/>
      <c r="I283" s="187"/>
      <c r="J283" s="197">
        <f ca="1">IFERROR(__xludf.DUMMYFUNCTION("IMPORTRANGE(""https://docs.google.com/spreadsheets/d/11923uPwbBZFjjGgGUA6NLw09EwE0CqkOc4q9oUmW1yo/edit?usp=sharing"",""พิษณุโลก!J193"")"),1)</f>
        <v>1</v>
      </c>
      <c r="K283" s="163"/>
      <c r="L283" s="181"/>
      <c r="M283" s="181"/>
      <c r="N283" s="181"/>
      <c r="O283" s="181"/>
      <c r="P283" s="181"/>
    </row>
    <row r="284" spans="1:16" ht="21.75" customHeight="1" x14ac:dyDescent="0.3">
      <c r="A284" s="175"/>
      <c r="B284" s="176"/>
      <c r="C284" s="176"/>
      <c r="D284" s="193"/>
      <c r="E284" s="194" t="s">
        <v>48</v>
      </c>
      <c r="F284" s="195"/>
      <c r="G284" s="196"/>
      <c r="H284" s="186"/>
      <c r="I284" s="187"/>
      <c r="J284" s="197">
        <f ca="1">IFERROR(__xludf.DUMMYFUNCTION("IMPORTRANGE(""https://docs.google.com/spreadsheets/d/11923uPwbBZFjjGgGUA6NLw09EwE0CqkOc4q9oUmW1yo/edit?usp=sharing"",""พิษณุโลก!J194"")"),1)</f>
        <v>1</v>
      </c>
      <c r="K284" s="163"/>
      <c r="L284" s="181"/>
      <c r="M284" s="181"/>
      <c r="N284" s="181"/>
      <c r="O284" s="181"/>
      <c r="P284" s="181"/>
    </row>
    <row r="285" spans="1:16" ht="21.75" customHeight="1" x14ac:dyDescent="0.3">
      <c r="A285" s="175"/>
      <c r="B285" s="176"/>
      <c r="C285" s="176"/>
      <c r="D285" s="193"/>
      <c r="E285" s="195"/>
      <c r="F285" s="194" t="s">
        <v>110</v>
      </c>
      <c r="G285" s="196"/>
      <c r="H285" s="186" t="s">
        <v>37</v>
      </c>
      <c r="I285" s="187">
        <f ca="1">IFERROR(__xludf.DUMMYFUNCTION("IMPORTRANGE(""https://docs.google.com/spreadsheets/d/11923uPwbBZFjjGgGUA6NLw09EwE0CqkOc4q9oUmW1yo/edit?usp=sharing"",""พิษณุโลก!I195"")"),15)</f>
        <v>15</v>
      </c>
      <c r="J285" s="188">
        <f ca="1">IFERROR(__xludf.DUMMYFUNCTION("IMPORTRANGE(""https://docs.google.com/spreadsheets/d/11923uPwbBZFjjGgGUA6NLw09EwE0CqkOc4q9oUmW1yo/edit?usp=sharing"",""พิษณุโลก!J195"")"),15)</f>
        <v>15</v>
      </c>
      <c r="K285" s="163">
        <f ca="1">IF(I285&gt;0,J285*100/I285,0)</f>
        <v>100</v>
      </c>
      <c r="L285" s="181"/>
      <c r="M285" s="181"/>
      <c r="N285" s="181"/>
      <c r="O285" s="181"/>
      <c r="P285" s="181"/>
    </row>
    <row r="286" spans="1:16" ht="21.75" customHeight="1" x14ac:dyDescent="0.3">
      <c r="A286" s="175"/>
      <c r="B286" s="176"/>
      <c r="C286" s="176"/>
      <c r="D286" s="193"/>
      <c r="E286" s="194" t="s">
        <v>54</v>
      </c>
      <c r="F286" s="195"/>
      <c r="G286" s="196"/>
      <c r="H286" s="186"/>
      <c r="I286" s="187"/>
      <c r="J286" s="197">
        <f ca="1">IFERROR(__xludf.DUMMYFUNCTION("IMPORTRANGE(""https://docs.google.com/spreadsheets/d/11923uPwbBZFjjGgGUA6NLw09EwE0CqkOc4q9oUmW1yo/edit?usp=sharing"",""พิษณุโลก!J196"")"),0)</f>
        <v>0</v>
      </c>
      <c r="K286" s="163"/>
      <c r="L286" s="181"/>
      <c r="M286" s="181"/>
      <c r="N286" s="181"/>
      <c r="O286" s="181"/>
      <c r="P286" s="181"/>
    </row>
    <row r="287" spans="1:16" ht="21.75" customHeight="1" x14ac:dyDescent="0.3">
      <c r="A287" s="175"/>
      <c r="B287" s="176"/>
      <c r="C287" s="176"/>
      <c r="D287" s="205">
        <v>3</v>
      </c>
      <c r="E287" s="206" t="s">
        <v>55</v>
      </c>
      <c r="F287" s="207"/>
      <c r="G287" s="208"/>
      <c r="H287" s="186"/>
      <c r="I287" s="187"/>
      <c r="J287" s="209">
        <f ca="1">IFERROR(__xludf.DUMMYFUNCTION("IMPORTRANGE(""https://docs.google.com/spreadsheets/d/11923uPwbBZFjjGgGUA6NLw09EwE0CqkOc4q9oUmW1yo/edit?usp=sharing"",""พิษณุโลก!J197"")"),0)</f>
        <v>0</v>
      </c>
      <c r="K287" s="163"/>
      <c r="L287" s="181"/>
      <c r="M287" s="181"/>
      <c r="N287" s="181"/>
      <c r="O287" s="181"/>
      <c r="P287" s="181"/>
    </row>
    <row r="288" spans="1:16" ht="21.75" customHeight="1" x14ac:dyDescent="0.3">
      <c r="A288" s="302" t="s">
        <v>111</v>
      </c>
      <c r="B288" s="303"/>
      <c r="C288" s="303"/>
      <c r="D288" s="304"/>
      <c r="E288" s="303"/>
      <c r="F288" s="303"/>
      <c r="G288" s="317"/>
      <c r="H288" s="318"/>
      <c r="I288" s="319"/>
      <c r="J288" s="319"/>
      <c r="K288" s="320"/>
      <c r="L288" s="320"/>
      <c r="M288" s="320"/>
      <c r="N288" s="320"/>
      <c r="O288" s="309"/>
      <c r="P288" s="309"/>
    </row>
    <row r="289" spans="1:16" ht="21.75" customHeight="1" x14ac:dyDescent="0.3">
      <c r="A289" s="321"/>
      <c r="B289" s="311" t="s">
        <v>112</v>
      </c>
      <c r="C289" s="322"/>
      <c r="D289" s="323"/>
      <c r="E289" s="311"/>
      <c r="F289" s="311"/>
      <c r="G289" s="312"/>
      <c r="H289" s="313" t="s">
        <v>37</v>
      </c>
      <c r="I289" s="314">
        <f ca="1">IFERROR(__xludf.DUMMYFUNCTION("IMPORTRANGE(""https://docs.google.com/spreadsheets/d/11923uPwbBZFjjGgGUA6NLw09EwE0CqkOc4q9oUmW1yo/edit?usp=sharing"",""พิษณุโลก!I199"")"),0)</f>
        <v>0</v>
      </c>
      <c r="J289" s="314">
        <f ca="1">IFERROR(__xludf.DUMMYFUNCTION("IMPORTRANGE(""https://docs.google.com/spreadsheets/d/11923uPwbBZFjjGgGUA6NLw09EwE0CqkOc4q9oUmW1yo/edit?usp=sharing"",""พิษณุโลก!J199"")"),0)</f>
        <v>0</v>
      </c>
      <c r="K289" s="315">
        <f ca="1">IF(I289&gt;0,J289*100/I289,0)</f>
        <v>0</v>
      </c>
      <c r="L289" s="316"/>
      <c r="M289" s="316"/>
      <c r="N289" s="316"/>
      <c r="O289" s="315"/>
      <c r="P289" s="315"/>
    </row>
    <row r="290" spans="1:16" ht="21.75" customHeight="1" x14ac:dyDescent="0.45">
      <c r="A290" s="145"/>
      <c r="B290" s="146"/>
      <c r="C290" s="147" t="s">
        <v>16</v>
      </c>
      <c r="D290" s="537" t="s">
        <v>17</v>
      </c>
      <c r="E290" s="528"/>
      <c r="F290" s="528"/>
      <c r="G290" s="528"/>
      <c r="H290" s="148" t="s">
        <v>12</v>
      </c>
      <c r="I290" s="187"/>
      <c r="J290" s="187"/>
      <c r="K290" s="223"/>
      <c r="L290" s="151">
        <f t="shared" ref="L290:N290" ca="1" si="88">L291+L292</f>
        <v>0</v>
      </c>
      <c r="M290" s="151">
        <f t="shared" ca="1" si="88"/>
        <v>0</v>
      </c>
      <c r="N290" s="151">
        <f t="shared" ca="1" si="88"/>
        <v>0</v>
      </c>
      <c r="O290" s="150">
        <f t="shared" ref="O290:O292" ca="1" si="89">IF(L290&gt;0,N290*100/L290,0)</f>
        <v>0</v>
      </c>
      <c r="P290" s="150">
        <f t="shared" ref="P290:P292" ca="1" si="90">IF(M290&gt;0,N290*100/M290,0)</f>
        <v>0</v>
      </c>
    </row>
    <row r="291" spans="1:16" ht="21.75" customHeight="1" x14ac:dyDescent="0.45">
      <c r="A291" s="152"/>
      <c r="B291" s="32"/>
      <c r="C291" s="32"/>
      <c r="D291" s="32"/>
      <c r="E291" s="32"/>
      <c r="F291" s="32"/>
      <c r="G291" s="33" t="s">
        <v>18</v>
      </c>
      <c r="H291" s="153" t="s">
        <v>12</v>
      </c>
      <c r="I291" s="187"/>
      <c r="J291" s="187"/>
      <c r="K291" s="223"/>
      <c r="L291" s="87">
        <f t="shared" ref="L291:N291" si="91">L293+L297</f>
        <v>0</v>
      </c>
      <c r="M291" s="87">
        <f t="shared" si="91"/>
        <v>0</v>
      </c>
      <c r="N291" s="87">
        <f t="shared" si="91"/>
        <v>0</v>
      </c>
      <c r="O291" s="155">
        <f t="shared" si="89"/>
        <v>0</v>
      </c>
      <c r="P291" s="155">
        <f t="shared" si="90"/>
        <v>0</v>
      </c>
    </row>
    <row r="292" spans="1:16" ht="21.75" customHeight="1" x14ac:dyDescent="0.45">
      <c r="A292" s="152"/>
      <c r="B292" s="32"/>
      <c r="C292" s="32"/>
      <c r="D292" s="32"/>
      <c r="E292" s="32"/>
      <c r="F292" s="32"/>
      <c r="G292" s="33" t="s">
        <v>19</v>
      </c>
      <c r="H292" s="153" t="s">
        <v>12</v>
      </c>
      <c r="I292" s="187"/>
      <c r="J292" s="187"/>
      <c r="K292" s="223"/>
      <c r="L292" s="87">
        <f t="shared" ref="L292:N292" ca="1" si="92">L294+L298</f>
        <v>0</v>
      </c>
      <c r="M292" s="87">
        <f t="shared" ca="1" si="92"/>
        <v>0</v>
      </c>
      <c r="N292" s="87">
        <f t="shared" ca="1" si="92"/>
        <v>0</v>
      </c>
      <c r="O292" s="155">
        <f t="shared" ca="1" si="89"/>
        <v>0</v>
      </c>
      <c r="P292" s="155">
        <f t="shared" ca="1" si="90"/>
        <v>0</v>
      </c>
    </row>
    <row r="293" spans="1:16" ht="21.75" customHeight="1" x14ac:dyDescent="0.3">
      <c r="A293" s="156"/>
      <c r="B293" s="157"/>
      <c r="C293" s="157" t="s">
        <v>16</v>
      </c>
      <c r="D293" s="158" t="s">
        <v>38</v>
      </c>
      <c r="E293" s="159"/>
      <c r="F293" s="159"/>
      <c r="G293" s="160" t="s">
        <v>39</v>
      </c>
      <c r="H293" s="161" t="s">
        <v>12</v>
      </c>
      <c r="I293" s="187" t="s">
        <v>40</v>
      </c>
      <c r="J293" s="187"/>
      <c r="K293" s="223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3">
      <c r="A294" s="156"/>
      <c r="B294" s="157"/>
      <c r="C294" s="157"/>
      <c r="D294" s="166"/>
      <c r="E294" s="159"/>
      <c r="F294" s="159" t="s">
        <v>40</v>
      </c>
      <c r="G294" s="160" t="s">
        <v>41</v>
      </c>
      <c r="H294" s="161" t="s">
        <v>12</v>
      </c>
      <c r="I294" s="187"/>
      <c r="J294" s="187"/>
      <c r="K294" s="223"/>
      <c r="L294" s="167">
        <f ca="1">L295+L296</f>
        <v>0</v>
      </c>
      <c r="M294" s="167">
        <f ca="1">IFERROR(__xludf.DUMMYFUNCTION("IMPORTRANGE(""https://docs.google.com/spreadsheets/d/1Yj_ptqi66GCucihVvJfMjLAmec39IyEx_6qawtMGysU/edit?usp=sharing"",""สบก!CT28"")"),0)</f>
        <v>0</v>
      </c>
      <c r="N294" s="168">
        <f ca="1">IFERROR(__xludf.DUMMYFUNCTION("IMPORTRANGE(""https://docs.google.com/spreadsheets/d/1Yj_ptqi66GCucihVvJfMjLAmec39IyEx_6qawtMGysU/edit?usp=sharing"",""สบก!CU28"")"),0)</f>
        <v>0</v>
      </c>
      <c r="O294" s="168">
        <f ca="1">IF(L294&gt;0,N294*100/L294,0)</f>
        <v>0</v>
      </c>
      <c r="P294" s="168">
        <f ca="1">IF(M294&gt;0,N294*100/M294,0)</f>
        <v>0</v>
      </c>
    </row>
    <row r="295" spans="1:16" ht="21.75" customHeight="1" x14ac:dyDescent="0.3">
      <c r="A295" s="156"/>
      <c r="B295" s="157"/>
      <c r="C295" s="157"/>
      <c r="D295" s="166"/>
      <c r="E295" s="159"/>
      <c r="F295" s="159"/>
      <c r="G295" s="169" t="s">
        <v>42</v>
      </c>
      <c r="H295" s="161" t="s">
        <v>12</v>
      </c>
      <c r="I295" s="187"/>
      <c r="J295" s="187"/>
      <c r="K295" s="223"/>
      <c r="L295" s="167">
        <f ca="1">IFERROR(__xludf.DUMMYFUNCTION("IMPORTRANGE(""https://docs.google.com/spreadsheets/d/1Yj_ptqi66GCucihVvJfMjLAmec39IyEx_6qawtMGysU/edit?usp=sharing"",""สบก!CP28"")"),0)</f>
        <v>0</v>
      </c>
      <c r="M295" s="167"/>
      <c r="N295" s="167"/>
      <c r="O295" s="168"/>
      <c r="P295" s="168"/>
    </row>
    <row r="296" spans="1:16" ht="21.75" customHeight="1" x14ac:dyDescent="0.3">
      <c r="A296" s="156"/>
      <c r="B296" s="157"/>
      <c r="C296" s="157"/>
      <c r="D296" s="166"/>
      <c r="E296" s="159"/>
      <c r="F296" s="159"/>
      <c r="G296" s="169" t="s">
        <v>43</v>
      </c>
      <c r="H296" s="161" t="s">
        <v>12</v>
      </c>
      <c r="I296" s="187"/>
      <c r="J296" s="187"/>
      <c r="K296" s="223"/>
      <c r="L296" s="167">
        <f ca="1">IFERROR(__xludf.DUMMYFUNCTION("IMPORTRANGE(""https://docs.google.com/spreadsheets/d/1Yj_ptqi66GCucihVvJfMjLAmec39IyEx_6qawtMGysU/edit?usp=sharing"",""สบก!CQ28"")"),0)</f>
        <v>0</v>
      </c>
      <c r="M296" s="167"/>
      <c r="N296" s="167"/>
      <c r="O296" s="168"/>
      <c r="P296" s="168"/>
    </row>
    <row r="297" spans="1:16" ht="21.75" customHeight="1" x14ac:dyDescent="0.45">
      <c r="A297" s="170"/>
      <c r="B297" s="80"/>
      <c r="C297" s="81" t="s">
        <v>16</v>
      </c>
      <c r="D297" s="534" t="s">
        <v>23</v>
      </c>
      <c r="E297" s="530"/>
      <c r="F297" s="88"/>
      <c r="G297" s="82" t="s">
        <v>18</v>
      </c>
      <c r="H297" s="171" t="s">
        <v>12</v>
      </c>
      <c r="I297" s="187"/>
      <c r="J297" s="187"/>
      <c r="K297" s="223"/>
      <c r="L297" s="41">
        <v>0</v>
      </c>
      <c r="M297" s="41"/>
      <c r="N297" s="41"/>
      <c r="O297" s="41"/>
      <c r="P297" s="41"/>
    </row>
    <row r="298" spans="1:16" ht="21.75" customHeight="1" x14ac:dyDescent="0.45">
      <c r="A298" s="172"/>
      <c r="B298" s="91"/>
      <c r="C298" s="91"/>
      <c r="D298" s="173"/>
      <c r="E298" s="92"/>
      <c r="F298" s="92"/>
      <c r="G298" s="93" t="s">
        <v>19</v>
      </c>
      <c r="H298" s="174" t="s">
        <v>12</v>
      </c>
      <c r="I298" s="187"/>
      <c r="J298" s="187"/>
      <c r="K298" s="223"/>
      <c r="L298" s="49">
        <f ca="1">IFERROR(__xludf.DUMMYFUNCTION("IMPORTRANGE(""https://docs.google.com/spreadsheets/d/1Yj_ptqi66GCucihVvJfMjLAmec39IyEx_6qawtMGysU/edit?usp=sharing"",""สบก!CR28"")"),0)</f>
        <v>0</v>
      </c>
      <c r="M298" s="49"/>
      <c r="N298" s="49">
        <f ca="1">IFERROR(__xludf.DUMMYFUNCTION("IMPORTRANGE(""https://docs.google.com/spreadsheets/d/1Yj_ptqi66GCucihVvJfMjLAmec39IyEx_6qawtMGysU/edit?usp=sharing"",""สบก!CV28"")"),0)</f>
        <v>0</v>
      </c>
      <c r="O298" s="49">
        <f ca="1">IF(L298&gt;0,N298*100/L298,0)</f>
        <v>0</v>
      </c>
      <c r="P298" s="49"/>
    </row>
    <row r="299" spans="1:16" ht="21.75" customHeight="1" x14ac:dyDescent="0.3">
      <c r="A299" s="175"/>
      <c r="B299" s="176"/>
      <c r="C299" s="157" t="s">
        <v>16</v>
      </c>
      <c r="D299" s="177" t="s">
        <v>44</v>
      </c>
      <c r="E299" s="178"/>
      <c r="F299" s="178"/>
      <c r="G299" s="179"/>
      <c r="H299" s="180"/>
      <c r="I299" s="187"/>
      <c r="J299" s="187"/>
      <c r="K299" s="223"/>
      <c r="L299" s="168"/>
      <c r="M299" s="168"/>
      <c r="N299" s="168"/>
      <c r="O299" s="181"/>
      <c r="P299" s="181"/>
    </row>
    <row r="300" spans="1:16" ht="21.75" customHeight="1" x14ac:dyDescent="0.3">
      <c r="A300" s="175"/>
      <c r="B300" s="176"/>
      <c r="C300" s="176"/>
      <c r="D300" s="182">
        <v>1</v>
      </c>
      <c r="E300" s="183" t="s">
        <v>45</v>
      </c>
      <c r="F300" s="184"/>
      <c r="G300" s="185"/>
      <c r="H300" s="186"/>
      <c r="I300" s="187"/>
      <c r="J300" s="187">
        <f ca="1">IFERROR(__xludf.DUMMYFUNCTION("IMPORTRANGE(""https://docs.google.com/spreadsheets/d/11923uPwbBZFjjGgGUA6NLw09EwE0CqkOc4q9oUmW1yo/edit?usp=sharing"",""พิษณุโลก!J205"")"),0)</f>
        <v>0</v>
      </c>
      <c r="K300" s="223"/>
      <c r="L300" s="168"/>
      <c r="M300" s="168"/>
      <c r="N300" s="168"/>
      <c r="O300" s="181"/>
      <c r="P300" s="181"/>
    </row>
    <row r="301" spans="1:16" ht="21.75" customHeight="1" x14ac:dyDescent="0.3">
      <c r="A301" s="175"/>
      <c r="B301" s="176"/>
      <c r="C301" s="176"/>
      <c r="D301" s="189">
        <v>2</v>
      </c>
      <c r="E301" s="190" t="s">
        <v>46</v>
      </c>
      <c r="F301" s="191"/>
      <c r="G301" s="192"/>
      <c r="H301" s="186"/>
      <c r="I301" s="187"/>
      <c r="J301" s="187">
        <f ca="1">IFERROR(__xludf.DUMMYFUNCTION("IMPORTRANGE(""https://docs.google.com/spreadsheets/d/11923uPwbBZFjjGgGUA6NLw09EwE0CqkOc4q9oUmW1yo/edit?usp=sharing"",""พิษณุโลก!J206"")"),0)</f>
        <v>0</v>
      </c>
      <c r="K301" s="223"/>
      <c r="L301" s="168" t="s">
        <v>40</v>
      </c>
      <c r="M301" s="168"/>
      <c r="N301" s="168" t="s">
        <v>40</v>
      </c>
      <c r="O301" s="181"/>
      <c r="P301" s="181"/>
    </row>
    <row r="302" spans="1:16" ht="21.75" customHeight="1" x14ac:dyDescent="0.3">
      <c r="A302" s="175"/>
      <c r="B302" s="176"/>
      <c r="C302" s="176"/>
      <c r="D302" s="193"/>
      <c r="E302" s="194" t="s">
        <v>47</v>
      </c>
      <c r="F302" s="195"/>
      <c r="G302" s="196"/>
      <c r="H302" s="186"/>
      <c r="I302" s="187"/>
      <c r="J302" s="187">
        <f ca="1">IFERROR(__xludf.DUMMYFUNCTION("IMPORTRANGE(""https://docs.google.com/spreadsheets/d/11923uPwbBZFjjGgGUA6NLw09EwE0CqkOc4q9oUmW1yo/edit?usp=sharing"",""พิษณุโลก!J207"")"),0)</f>
        <v>0</v>
      </c>
      <c r="K302" s="223"/>
      <c r="L302" s="168"/>
      <c r="M302" s="168"/>
      <c r="N302" s="168"/>
      <c r="O302" s="181"/>
      <c r="P302" s="181"/>
    </row>
    <row r="303" spans="1:16" ht="21.75" customHeight="1" x14ac:dyDescent="0.3">
      <c r="A303" s="175"/>
      <c r="B303" s="176"/>
      <c r="C303" s="176"/>
      <c r="D303" s="193"/>
      <c r="E303" s="194" t="s">
        <v>48</v>
      </c>
      <c r="F303" s="195"/>
      <c r="G303" s="196"/>
      <c r="H303" s="186"/>
      <c r="I303" s="187"/>
      <c r="J303" s="187">
        <f ca="1">IFERROR(__xludf.DUMMYFUNCTION("IMPORTRANGE(""https://docs.google.com/spreadsheets/d/11923uPwbBZFjjGgGUA6NLw09EwE0CqkOc4q9oUmW1yo/edit?usp=sharing"",""พิษณุโลก!J208"")"),0)</f>
        <v>0</v>
      </c>
      <c r="K303" s="223"/>
      <c r="L303" s="168"/>
      <c r="M303" s="168"/>
      <c r="N303" s="168"/>
      <c r="O303" s="181"/>
      <c r="P303" s="181"/>
    </row>
    <row r="304" spans="1:16" ht="21.75" customHeight="1" x14ac:dyDescent="0.3">
      <c r="A304" s="175"/>
      <c r="B304" s="176"/>
      <c r="C304" s="176"/>
      <c r="D304" s="193"/>
      <c r="E304" s="198"/>
      <c r="F304" s="194" t="s">
        <v>113</v>
      </c>
      <c r="G304" s="196"/>
      <c r="H304" s="180" t="s">
        <v>37</v>
      </c>
      <c r="I304" s="187">
        <f ca="1">IFERROR(__xludf.DUMMYFUNCTION("IMPORTRANGE(""https://docs.google.com/spreadsheets/d/11923uPwbBZFjjGgGUA6NLw09EwE0CqkOc4q9oUmW1yo/edit?usp=sharing"",""พิษณุโลก!I209"")"),0)</f>
        <v>0</v>
      </c>
      <c r="J304" s="203">
        <f ca="1">IFERROR(__xludf.DUMMYFUNCTION("IMPORTRANGE(""https://docs.google.com/spreadsheets/d/11923uPwbBZFjjGgGUA6NLw09EwE0CqkOc4q9oUmW1yo/edit?usp=sharing"",""พิษณุโลก!J209"")"),0)</f>
        <v>0</v>
      </c>
      <c r="K304" s="223">
        <f ca="1">IF(I304&gt;0,J304*100/I304,0)</f>
        <v>0</v>
      </c>
      <c r="L304" s="168"/>
      <c r="M304" s="168"/>
      <c r="N304" s="168"/>
      <c r="O304" s="181"/>
      <c r="P304" s="181"/>
    </row>
    <row r="305" spans="1:16" ht="21.75" customHeight="1" x14ac:dyDescent="0.3">
      <c r="A305" s="175"/>
      <c r="B305" s="176"/>
      <c r="C305" s="176"/>
      <c r="D305" s="193"/>
      <c r="E305" s="198"/>
      <c r="F305" s="194" t="s">
        <v>114</v>
      </c>
      <c r="G305" s="196"/>
      <c r="H305" s="180"/>
      <c r="I305" s="187"/>
      <c r="J305" s="187"/>
      <c r="K305" s="223"/>
      <c r="L305" s="168"/>
      <c r="M305" s="168"/>
      <c r="N305" s="168"/>
      <c r="O305" s="181"/>
      <c r="P305" s="181"/>
    </row>
    <row r="306" spans="1:16" ht="21.75" customHeight="1" x14ac:dyDescent="0.3">
      <c r="A306" s="175"/>
      <c r="B306" s="176"/>
      <c r="C306" s="176"/>
      <c r="D306" s="193"/>
      <c r="E306" s="198"/>
      <c r="F306" s="195" t="s">
        <v>53</v>
      </c>
      <c r="G306" s="196"/>
      <c r="H306" s="180" t="s">
        <v>37</v>
      </c>
      <c r="I306" s="187">
        <f ca="1">IFERROR(__xludf.DUMMYFUNCTION("IMPORTRANGE(""https://docs.google.com/spreadsheets/d/11923uPwbBZFjjGgGUA6NLw09EwE0CqkOc4q9oUmW1yo/edit?usp=sharing"",""พิษณุโลก!I211"")"),0)</f>
        <v>0</v>
      </c>
      <c r="J306" s="203">
        <f ca="1">IFERROR(__xludf.DUMMYFUNCTION("IMPORTRANGE(""https://docs.google.com/spreadsheets/d/11923uPwbBZFjjGgGUA6NLw09EwE0CqkOc4q9oUmW1yo/edit?usp=sharing"",""พิษณุโลก!J211"")"),0)</f>
        <v>0</v>
      </c>
      <c r="K306" s="223">
        <f ca="1">IF(I306&gt;0,J306*100/I306,0)</f>
        <v>0</v>
      </c>
      <c r="L306" s="168"/>
      <c r="M306" s="168"/>
      <c r="N306" s="168"/>
      <c r="O306" s="181"/>
      <c r="P306" s="181"/>
    </row>
    <row r="307" spans="1:16" ht="21.75" customHeight="1" x14ac:dyDescent="0.3">
      <c r="A307" s="175"/>
      <c r="B307" s="176"/>
      <c r="C307" s="176"/>
      <c r="D307" s="193"/>
      <c r="E307" s="194" t="s">
        <v>54</v>
      </c>
      <c r="F307" s="195"/>
      <c r="G307" s="196"/>
      <c r="H307" s="186"/>
      <c r="I307" s="187"/>
      <c r="J307" s="187">
        <f ca="1">IFERROR(__xludf.DUMMYFUNCTION("IMPORTRANGE(""https://docs.google.com/spreadsheets/d/11923uPwbBZFjjGgGUA6NLw09EwE0CqkOc4q9oUmW1yo/edit?usp=sharing"",""พิษณุโลก!J212"")"),0)</f>
        <v>0</v>
      </c>
      <c r="K307" s="223"/>
      <c r="L307" s="168"/>
      <c r="M307" s="168"/>
      <c r="N307" s="168"/>
      <c r="O307" s="181"/>
      <c r="P307" s="181"/>
    </row>
    <row r="308" spans="1:16" ht="21.75" customHeight="1" x14ac:dyDescent="0.3">
      <c r="A308" s="175"/>
      <c r="B308" s="176"/>
      <c r="C308" s="176"/>
      <c r="D308" s="205">
        <v>3</v>
      </c>
      <c r="E308" s="206" t="s">
        <v>55</v>
      </c>
      <c r="F308" s="207"/>
      <c r="G308" s="208"/>
      <c r="H308" s="186"/>
      <c r="I308" s="187"/>
      <c r="J308" s="324">
        <f ca="1">IFERROR(__xludf.DUMMYFUNCTION("IMPORTRANGE(""https://docs.google.com/spreadsheets/d/11923uPwbBZFjjGgGUA6NLw09EwE0CqkOc4q9oUmW1yo/edit?usp=sharing"",""พิษณุโลก!J213"")"),0)</f>
        <v>0</v>
      </c>
      <c r="K308" s="223"/>
      <c r="L308" s="168"/>
      <c r="M308" s="168"/>
      <c r="N308" s="168"/>
      <c r="O308" s="181"/>
      <c r="P308" s="181"/>
    </row>
    <row r="309" spans="1:16" ht="21.75" customHeight="1" x14ac:dyDescent="0.3">
      <c r="A309" s="325"/>
      <c r="B309" s="326" t="s">
        <v>115</v>
      </c>
      <c r="C309" s="327"/>
      <c r="D309" s="328"/>
      <c r="E309" s="326"/>
      <c r="F309" s="326"/>
      <c r="G309" s="329"/>
      <c r="H309" s="330" t="s">
        <v>116</v>
      </c>
      <c r="I309" s="331">
        <f ca="1">IFERROR(__xludf.DUMMYFUNCTION("IMPORTRANGE(""https://docs.google.com/spreadsheets/d/11923uPwbBZFjjGgGUA6NLw09EwE0CqkOc4q9oUmW1yo/edit?usp=sharing"",""พิษณุโลก!I214"")"),0)</f>
        <v>0</v>
      </c>
      <c r="J309" s="331">
        <f ca="1">IFERROR(__xludf.DUMMYFUNCTION("IMPORTRANGE(""https://docs.google.com/spreadsheets/d/11923uPwbBZFjjGgGUA6NLw09EwE0CqkOc4q9oUmW1yo/edit?usp=sharing"",""พิษณุโลก!J214"")"),0)</f>
        <v>0</v>
      </c>
      <c r="K309" s="332">
        <f ca="1">IF(I309&gt;0,J309*100/I309,0)</f>
        <v>0</v>
      </c>
      <c r="L309" s="333"/>
      <c r="M309" s="333"/>
      <c r="N309" s="333"/>
      <c r="O309" s="332"/>
      <c r="P309" s="332"/>
    </row>
    <row r="310" spans="1:16" ht="21.75" customHeight="1" x14ac:dyDescent="0.45">
      <c r="A310" s="145"/>
      <c r="B310" s="146"/>
      <c r="C310" s="147" t="s">
        <v>16</v>
      </c>
      <c r="D310" s="537" t="s">
        <v>17</v>
      </c>
      <c r="E310" s="528"/>
      <c r="F310" s="528"/>
      <c r="G310" s="528"/>
      <c r="H310" s="148" t="s">
        <v>12</v>
      </c>
      <c r="I310" s="334"/>
      <c r="J310" s="334"/>
      <c r="K310" s="335"/>
      <c r="L310" s="151">
        <f t="shared" ref="L310:N310" ca="1" si="93">L311+L312</f>
        <v>0</v>
      </c>
      <c r="M310" s="151">
        <f t="shared" ca="1" si="93"/>
        <v>0</v>
      </c>
      <c r="N310" s="151">
        <f t="shared" ca="1" si="93"/>
        <v>0</v>
      </c>
      <c r="O310" s="150">
        <f t="shared" ref="O310:O312" ca="1" si="94">IF(L310&gt;0,N310*100/L310,0)</f>
        <v>0</v>
      </c>
      <c r="P310" s="150">
        <f t="shared" ref="P310:P312" ca="1" si="95">IF(M310&gt;0,N310*100/M310,0)</f>
        <v>0</v>
      </c>
    </row>
    <row r="311" spans="1:16" ht="21.75" customHeight="1" x14ac:dyDescent="0.45">
      <c r="A311" s="152"/>
      <c r="B311" s="32"/>
      <c r="C311" s="32"/>
      <c r="D311" s="32"/>
      <c r="E311" s="32"/>
      <c r="F311" s="32"/>
      <c r="G311" s="33" t="s">
        <v>18</v>
      </c>
      <c r="H311" s="153" t="s">
        <v>12</v>
      </c>
      <c r="I311" s="334"/>
      <c r="J311" s="334"/>
      <c r="K311" s="335"/>
      <c r="L311" s="87">
        <f t="shared" ref="L311:N311" si="96">L313+L317</f>
        <v>0</v>
      </c>
      <c r="M311" s="87">
        <f t="shared" si="96"/>
        <v>0</v>
      </c>
      <c r="N311" s="87">
        <f t="shared" si="96"/>
        <v>0</v>
      </c>
      <c r="O311" s="155">
        <f t="shared" si="94"/>
        <v>0</v>
      </c>
      <c r="P311" s="155">
        <f t="shared" si="95"/>
        <v>0</v>
      </c>
    </row>
    <row r="312" spans="1:16" ht="21.75" customHeight="1" x14ac:dyDescent="0.45">
      <c r="A312" s="152"/>
      <c r="B312" s="32"/>
      <c r="C312" s="32"/>
      <c r="D312" s="32"/>
      <c r="E312" s="32"/>
      <c r="F312" s="32"/>
      <c r="G312" s="33" t="s">
        <v>19</v>
      </c>
      <c r="H312" s="153" t="s">
        <v>12</v>
      </c>
      <c r="I312" s="334"/>
      <c r="J312" s="334"/>
      <c r="K312" s="335"/>
      <c r="L312" s="87">
        <f t="shared" ref="L312:N312" ca="1" si="97">L314+L318</f>
        <v>0</v>
      </c>
      <c r="M312" s="87">
        <f t="shared" ca="1" si="97"/>
        <v>0</v>
      </c>
      <c r="N312" s="87">
        <f t="shared" ca="1" si="97"/>
        <v>0</v>
      </c>
      <c r="O312" s="155">
        <f t="shared" ca="1" si="94"/>
        <v>0</v>
      </c>
      <c r="P312" s="155">
        <f t="shared" ca="1" si="95"/>
        <v>0</v>
      </c>
    </row>
    <row r="313" spans="1:16" ht="21.75" customHeight="1" x14ac:dyDescent="0.3">
      <c r="A313" s="156"/>
      <c r="B313" s="157"/>
      <c r="C313" s="157" t="s">
        <v>16</v>
      </c>
      <c r="D313" s="158" t="s">
        <v>38</v>
      </c>
      <c r="E313" s="159"/>
      <c r="F313" s="159"/>
      <c r="G313" s="160" t="s">
        <v>39</v>
      </c>
      <c r="H313" s="161" t="s">
        <v>12</v>
      </c>
      <c r="I313" s="162" t="s">
        <v>40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3">
      <c r="A314" s="156"/>
      <c r="B314" s="157"/>
      <c r="C314" s="157"/>
      <c r="D314" s="166"/>
      <c r="E314" s="159"/>
      <c r="F314" s="159" t="s">
        <v>40</v>
      </c>
      <c r="G314" s="160" t="s">
        <v>41</v>
      </c>
      <c r="H314" s="161" t="s">
        <v>12</v>
      </c>
      <c r="I314" s="162"/>
      <c r="J314" s="162"/>
      <c r="K314" s="163"/>
      <c r="L314" s="167">
        <f ca="1">L315+L316</f>
        <v>0</v>
      </c>
      <c r="M314" s="167">
        <f ca="1">IFERROR(__xludf.DUMMYFUNCTION("IMPORTRANGE(""https://docs.google.com/spreadsheets/d/1Yj_ptqi66GCucihVvJfMjLAmec39IyEx_6qawtMGysU/edit?usp=sharing"",""สบก!DC28"")"),0)</f>
        <v>0</v>
      </c>
      <c r="N314" s="168">
        <f ca="1">IFERROR(__xludf.DUMMYFUNCTION("IMPORTRANGE(""https://docs.google.com/spreadsheets/d/1Yj_ptqi66GCucihVvJfMjLAmec39IyEx_6qawtMGysU/edit?usp=sharing"",""สบก!DD28"")"),0)</f>
        <v>0</v>
      </c>
      <c r="O314" s="168">
        <f ca="1">IF(L314&gt;0,N314*100/L314,0)</f>
        <v>0</v>
      </c>
      <c r="P314" s="168">
        <f ca="1">IF(M314&gt;0,N314*100/M314,0)</f>
        <v>0</v>
      </c>
    </row>
    <row r="315" spans="1:16" ht="21.75" customHeight="1" x14ac:dyDescent="0.3">
      <c r="A315" s="156"/>
      <c r="B315" s="157"/>
      <c r="C315" s="157"/>
      <c r="D315" s="166"/>
      <c r="E315" s="159"/>
      <c r="F315" s="159"/>
      <c r="G315" s="169" t="s">
        <v>42</v>
      </c>
      <c r="H315" s="161" t="s">
        <v>12</v>
      </c>
      <c r="I315" s="162"/>
      <c r="J315" s="162"/>
      <c r="K315" s="163"/>
      <c r="L315" s="167">
        <f ca="1">IFERROR(__xludf.DUMMYFUNCTION("IMPORTRANGE(""https://docs.google.com/spreadsheets/d/1Yj_ptqi66GCucihVvJfMjLAmec39IyEx_6qawtMGysU/edit?usp=sharing"",""สบก!CY28"")"),0)</f>
        <v>0</v>
      </c>
      <c r="M315" s="167"/>
      <c r="N315" s="167"/>
      <c r="O315" s="168"/>
      <c r="P315" s="168"/>
    </row>
    <row r="316" spans="1:16" ht="21.75" customHeight="1" x14ac:dyDescent="0.3">
      <c r="A316" s="156"/>
      <c r="B316" s="157"/>
      <c r="C316" s="157"/>
      <c r="D316" s="166"/>
      <c r="E316" s="159"/>
      <c r="F316" s="159"/>
      <c r="G316" s="169" t="s">
        <v>43</v>
      </c>
      <c r="H316" s="161" t="s">
        <v>12</v>
      </c>
      <c r="I316" s="162"/>
      <c r="J316" s="187"/>
      <c r="K316" s="223"/>
      <c r="L316" s="167">
        <f ca="1">IFERROR(__xludf.DUMMYFUNCTION("IMPORTRANGE(""https://docs.google.com/spreadsheets/d/1Yj_ptqi66GCucihVvJfMjLAmec39IyEx_6qawtMGysU/edit?usp=sharing"",""สบก!CZ28"")"),0)</f>
        <v>0</v>
      </c>
      <c r="M316" s="167"/>
      <c r="N316" s="167"/>
      <c r="O316" s="168"/>
      <c r="P316" s="168"/>
    </row>
    <row r="317" spans="1:16" ht="21.75" customHeight="1" x14ac:dyDescent="0.45">
      <c r="A317" s="170"/>
      <c r="B317" s="80"/>
      <c r="C317" s="81" t="s">
        <v>16</v>
      </c>
      <c r="D317" s="534" t="s">
        <v>23</v>
      </c>
      <c r="E317" s="530"/>
      <c r="F317" s="88"/>
      <c r="G317" s="82" t="s">
        <v>18</v>
      </c>
      <c r="H317" s="171" t="s">
        <v>12</v>
      </c>
      <c r="I317" s="162"/>
      <c r="J317" s="187"/>
      <c r="K317" s="223"/>
      <c r="L317" s="41">
        <v>0</v>
      </c>
      <c r="M317" s="41"/>
      <c r="N317" s="41"/>
      <c r="O317" s="41"/>
      <c r="P317" s="41"/>
    </row>
    <row r="318" spans="1:16" ht="21.75" customHeight="1" x14ac:dyDescent="0.45">
      <c r="A318" s="172"/>
      <c r="B318" s="91"/>
      <c r="C318" s="91"/>
      <c r="D318" s="173"/>
      <c r="E318" s="92"/>
      <c r="F318" s="92"/>
      <c r="G318" s="93" t="s">
        <v>19</v>
      </c>
      <c r="H318" s="174" t="s">
        <v>12</v>
      </c>
      <c r="I318" s="162"/>
      <c r="J318" s="187"/>
      <c r="K318" s="223"/>
      <c r="L318" s="49">
        <f ca="1">IFERROR(__xludf.DUMMYFUNCTION("IMPORTRANGE(""https://docs.google.com/spreadsheets/d/1Yj_ptqi66GCucihVvJfMjLAmec39IyEx_6qawtMGysU/edit?usp=sharing"",""สบก!DA28"")"),0)</f>
        <v>0</v>
      </c>
      <c r="M318" s="49"/>
      <c r="N318" s="49">
        <f ca="1">IFERROR(__xludf.DUMMYFUNCTION("IMPORTRANGE(""https://docs.google.com/spreadsheets/d/1Yj_ptqi66GCucihVvJfMjLAmec39IyEx_6qawtMGysU/edit?usp=sharing"",""สบก!DE28"")"),0)</f>
        <v>0</v>
      </c>
      <c r="O318" s="49">
        <f ca="1">IF(L318&gt;0,N318*100/L318,0)</f>
        <v>0</v>
      </c>
      <c r="P318" s="49"/>
    </row>
    <row r="319" spans="1:16" ht="21.75" customHeight="1" x14ac:dyDescent="0.3">
      <c r="A319" s="175"/>
      <c r="B319" s="176"/>
      <c r="C319" s="157" t="s">
        <v>16</v>
      </c>
      <c r="D319" s="177" t="s">
        <v>44</v>
      </c>
      <c r="E319" s="178"/>
      <c r="F319" s="178"/>
      <c r="G319" s="179"/>
      <c r="H319" s="180"/>
      <c r="I319" s="162"/>
      <c r="J319" s="187"/>
      <c r="K319" s="223"/>
      <c r="L319" s="168"/>
      <c r="M319" s="168"/>
      <c r="N319" s="168"/>
      <c r="O319" s="181"/>
      <c r="P319" s="181"/>
    </row>
    <row r="320" spans="1:16" ht="21.75" customHeight="1" x14ac:dyDescent="0.3">
      <c r="A320" s="175"/>
      <c r="B320" s="176"/>
      <c r="C320" s="176"/>
      <c r="D320" s="182">
        <v>1</v>
      </c>
      <c r="E320" s="183" t="s">
        <v>45</v>
      </c>
      <c r="F320" s="184"/>
      <c r="G320" s="185"/>
      <c r="H320" s="186"/>
      <c r="I320" s="187"/>
      <c r="J320" s="187">
        <f ca="1">IFERROR(__xludf.DUMMYFUNCTION("IMPORTRANGE(""https://docs.google.com/spreadsheets/d/11923uPwbBZFjjGgGUA6NLw09EwE0CqkOc4q9oUmW1yo/edit?usp=sharing"",""พิษณุโลก!J220"")"),0)</f>
        <v>0</v>
      </c>
      <c r="K320" s="223"/>
      <c r="L320" s="168"/>
      <c r="M320" s="168"/>
      <c r="N320" s="168"/>
      <c r="O320" s="181"/>
      <c r="P320" s="181"/>
    </row>
    <row r="321" spans="1:16" ht="21.75" customHeight="1" x14ac:dyDescent="0.3">
      <c r="A321" s="175"/>
      <c r="B321" s="176"/>
      <c r="C321" s="176"/>
      <c r="D321" s="189">
        <v>2</v>
      </c>
      <c r="E321" s="190" t="s">
        <v>46</v>
      </c>
      <c r="F321" s="191"/>
      <c r="G321" s="192"/>
      <c r="H321" s="186"/>
      <c r="I321" s="187"/>
      <c r="J321" s="187">
        <f ca="1">IFERROR(__xludf.DUMMYFUNCTION("IMPORTRANGE(""https://docs.google.com/spreadsheets/d/11923uPwbBZFjjGgGUA6NLw09EwE0CqkOc4q9oUmW1yo/edit?usp=sharing"",""พิษณุโลก!J221"")"),0)</f>
        <v>0</v>
      </c>
      <c r="K321" s="223"/>
      <c r="L321" s="168" t="s">
        <v>40</v>
      </c>
      <c r="M321" s="168"/>
      <c r="N321" s="168" t="s">
        <v>40</v>
      </c>
      <c r="O321" s="181"/>
      <c r="P321" s="181"/>
    </row>
    <row r="322" spans="1:16" ht="21.75" customHeight="1" x14ac:dyDescent="0.3">
      <c r="A322" s="175"/>
      <c r="B322" s="176"/>
      <c r="C322" s="176"/>
      <c r="D322" s="193"/>
      <c r="E322" s="194" t="s">
        <v>47</v>
      </c>
      <c r="F322" s="195"/>
      <c r="G322" s="196"/>
      <c r="H322" s="186"/>
      <c r="I322" s="187"/>
      <c r="J322" s="187">
        <f ca="1">IFERROR(__xludf.DUMMYFUNCTION("IMPORTRANGE(""https://docs.google.com/spreadsheets/d/11923uPwbBZFjjGgGUA6NLw09EwE0CqkOc4q9oUmW1yo/edit?usp=sharing"",""พิษณุโลก!J222"")"),0)</f>
        <v>0</v>
      </c>
      <c r="K322" s="223"/>
      <c r="L322" s="168"/>
      <c r="M322" s="168"/>
      <c r="N322" s="168"/>
      <c r="O322" s="181"/>
      <c r="P322" s="181"/>
    </row>
    <row r="323" spans="1:16" ht="21.75" customHeight="1" x14ac:dyDescent="0.3">
      <c r="A323" s="175"/>
      <c r="B323" s="176"/>
      <c r="C323" s="176"/>
      <c r="D323" s="193"/>
      <c r="E323" s="194" t="s">
        <v>48</v>
      </c>
      <c r="F323" s="195"/>
      <c r="G323" s="196"/>
      <c r="H323" s="186"/>
      <c r="I323" s="187"/>
      <c r="J323" s="187">
        <f ca="1">IFERROR(__xludf.DUMMYFUNCTION("IMPORTRANGE(""https://docs.google.com/spreadsheets/d/11923uPwbBZFjjGgGUA6NLw09EwE0CqkOc4q9oUmW1yo/edit?usp=sharing"",""พิษณุโลก!J223"")"),0)</f>
        <v>0</v>
      </c>
      <c r="K323" s="223"/>
      <c r="L323" s="168"/>
      <c r="M323" s="168"/>
      <c r="N323" s="168"/>
      <c r="O323" s="181"/>
      <c r="P323" s="181"/>
    </row>
    <row r="324" spans="1:16" ht="21.75" customHeight="1" x14ac:dyDescent="0.3">
      <c r="A324" s="175"/>
      <c r="B324" s="176"/>
      <c r="C324" s="176"/>
      <c r="D324" s="193"/>
      <c r="E324" s="198"/>
      <c r="F324" s="194" t="s">
        <v>117</v>
      </c>
      <c r="G324" s="196"/>
      <c r="H324" s="186" t="s">
        <v>116</v>
      </c>
      <c r="I324" s="187">
        <f ca="1">IFERROR(__xludf.DUMMYFUNCTION("IMPORTRANGE(""https://docs.google.com/spreadsheets/d/11923uPwbBZFjjGgGUA6NLw09EwE0CqkOc4q9oUmW1yo/edit?usp=sharing"",""พิษณุโลก!I224"")"),0)</f>
        <v>0</v>
      </c>
      <c r="J324" s="203">
        <f ca="1">IFERROR(__xludf.DUMMYFUNCTION("IMPORTRANGE(""https://docs.google.com/spreadsheets/d/11923uPwbBZFjjGgGUA6NLw09EwE0CqkOc4q9oUmW1yo/edit?usp=sharing"",""พิษณุโลก!J224"")"),0)</f>
        <v>0</v>
      </c>
      <c r="K324" s="223">
        <f ca="1">IF(I324&gt;0,J324*100/I324,0)</f>
        <v>0</v>
      </c>
      <c r="L324" s="168"/>
      <c r="M324" s="168"/>
      <c r="N324" s="168"/>
      <c r="O324" s="181"/>
      <c r="P324" s="181"/>
    </row>
    <row r="325" spans="1:16" ht="21.75" customHeight="1" x14ac:dyDescent="0.3">
      <c r="A325" s="175"/>
      <c r="B325" s="176"/>
      <c r="C325" s="176"/>
      <c r="D325" s="193"/>
      <c r="E325" s="194" t="s">
        <v>54</v>
      </c>
      <c r="F325" s="195"/>
      <c r="G325" s="196"/>
      <c r="H325" s="186"/>
      <c r="I325" s="187"/>
      <c r="J325" s="187">
        <f ca="1">IFERROR(__xludf.DUMMYFUNCTION("IMPORTRANGE(""https://docs.google.com/spreadsheets/d/11923uPwbBZFjjGgGUA6NLw09EwE0CqkOc4q9oUmW1yo/edit?usp=sharing"",""พิษณุโลก!J225"")"),0)</f>
        <v>0</v>
      </c>
      <c r="K325" s="223"/>
      <c r="L325" s="168"/>
      <c r="M325" s="168"/>
      <c r="N325" s="168"/>
      <c r="O325" s="181"/>
      <c r="P325" s="181"/>
    </row>
    <row r="326" spans="1:16" ht="21.75" customHeight="1" x14ac:dyDescent="0.3">
      <c r="A326" s="175"/>
      <c r="B326" s="176"/>
      <c r="C326" s="176"/>
      <c r="D326" s="205">
        <v>3</v>
      </c>
      <c r="E326" s="206" t="s">
        <v>55</v>
      </c>
      <c r="F326" s="207"/>
      <c r="G326" s="208"/>
      <c r="H326" s="186"/>
      <c r="I326" s="187"/>
      <c r="J326" s="226">
        <f ca="1">IFERROR(__xludf.DUMMYFUNCTION("IMPORTRANGE(""https://docs.google.com/spreadsheets/d/11923uPwbBZFjjGgGUA6NLw09EwE0CqkOc4q9oUmW1yo/edit?usp=sharing"",""พิษณุโลก!J226"")"),0)</f>
        <v>0</v>
      </c>
      <c r="K326" s="223"/>
      <c r="L326" s="168"/>
      <c r="M326" s="168"/>
      <c r="N326" s="168"/>
      <c r="O326" s="181"/>
      <c r="P326" s="181"/>
    </row>
    <row r="327" spans="1:16" ht="21.75" customHeight="1" x14ac:dyDescent="0.3">
      <c r="A327" s="302" t="s">
        <v>118</v>
      </c>
      <c r="B327" s="303"/>
      <c r="C327" s="303"/>
      <c r="D327" s="304"/>
      <c r="E327" s="303"/>
      <c r="F327" s="303"/>
      <c r="G327" s="317"/>
      <c r="H327" s="306"/>
      <c r="I327" s="307"/>
      <c r="J327" s="307"/>
      <c r="K327" s="308"/>
      <c r="L327" s="308"/>
      <c r="M327" s="308"/>
      <c r="N327" s="308"/>
      <c r="O327" s="309"/>
      <c r="P327" s="309"/>
    </row>
    <row r="328" spans="1:16" ht="21.75" customHeight="1" x14ac:dyDescent="0.3">
      <c r="A328" s="310"/>
      <c r="B328" s="336" t="s">
        <v>119</v>
      </c>
      <c r="C328" s="323"/>
      <c r="D328" s="311"/>
      <c r="E328" s="311"/>
      <c r="F328" s="311"/>
      <c r="G328" s="312"/>
      <c r="H328" s="313" t="s">
        <v>37</v>
      </c>
      <c r="I328" s="337">
        <f ca="1">IFERROR(__xludf.DUMMYFUNCTION("IMPORTRANGE(""https://docs.google.com/spreadsheets/d/11923uPwbBZFjjGgGUA6NLw09EwE0CqkOc4q9oUmW1yo/edit?usp=sharing"",""พิษณุโลก!I228"")"),220)</f>
        <v>220</v>
      </c>
      <c r="J328" s="337">
        <f ca="1">IFERROR(__xludf.DUMMYFUNCTION("IMPORTRANGE(""https://docs.google.com/spreadsheets/d/11923uPwbBZFjjGgGUA6NLw09EwE0CqkOc4q9oUmW1yo/edit?usp=sharing"",""พิษณุโลก!J228"")"),70)</f>
        <v>70</v>
      </c>
      <c r="K328" s="315">
        <f ca="1">IF(I328&gt;0,J328*100/I328,0)</f>
        <v>31.818181818181817</v>
      </c>
      <c r="L328" s="316"/>
      <c r="M328" s="316"/>
      <c r="N328" s="316"/>
      <c r="O328" s="315"/>
      <c r="P328" s="315"/>
    </row>
    <row r="329" spans="1:16" ht="21.75" customHeight="1" x14ac:dyDescent="0.45">
      <c r="A329" s="145"/>
      <c r="B329" s="146"/>
      <c r="C329" s="147" t="s">
        <v>16</v>
      </c>
      <c r="D329" s="537" t="s">
        <v>17</v>
      </c>
      <c r="E329" s="528"/>
      <c r="F329" s="528"/>
      <c r="G329" s="528"/>
      <c r="H329" s="148" t="s">
        <v>12</v>
      </c>
      <c r="I329" s="162"/>
      <c r="J329" s="162"/>
      <c r="K329" s="163"/>
      <c r="L329" s="151">
        <f t="shared" ref="L329:N329" ca="1" si="98">L330+L331</f>
        <v>693330</v>
      </c>
      <c r="M329" s="151">
        <f t="shared" ca="1" si="98"/>
        <v>387130</v>
      </c>
      <c r="N329" s="151">
        <f t="shared" ca="1" si="98"/>
        <v>355340</v>
      </c>
      <c r="O329" s="150">
        <f t="shared" ref="O329:O331" ca="1" si="99">IF(L329&gt;0,N329*100/L329,0)</f>
        <v>51.251207938499704</v>
      </c>
      <c r="P329" s="150">
        <f t="shared" ref="P329:P331" ca="1" si="100">IF(M329&gt;0,N329*100/M329,0)</f>
        <v>91.78828817193191</v>
      </c>
    </row>
    <row r="330" spans="1:16" ht="21.75" customHeight="1" x14ac:dyDescent="0.45">
      <c r="A330" s="152"/>
      <c r="B330" s="32"/>
      <c r="C330" s="32"/>
      <c r="D330" s="32"/>
      <c r="E330" s="32"/>
      <c r="F330" s="32"/>
      <c r="G330" s="33" t="s">
        <v>18</v>
      </c>
      <c r="H330" s="153" t="s">
        <v>12</v>
      </c>
      <c r="I330" s="162"/>
      <c r="J330" s="162"/>
      <c r="K330" s="163"/>
      <c r="L330" s="87">
        <f t="shared" ref="L330:N330" si="101">L332+L336</f>
        <v>0</v>
      </c>
      <c r="M330" s="87">
        <f t="shared" si="101"/>
        <v>0</v>
      </c>
      <c r="N330" s="87">
        <f t="shared" si="101"/>
        <v>0</v>
      </c>
      <c r="O330" s="155">
        <f t="shared" si="99"/>
        <v>0</v>
      </c>
      <c r="P330" s="155">
        <f t="shared" si="100"/>
        <v>0</v>
      </c>
    </row>
    <row r="331" spans="1:16" ht="21.75" customHeight="1" x14ac:dyDescent="0.45">
      <c r="A331" s="152"/>
      <c r="B331" s="32"/>
      <c r="C331" s="32"/>
      <c r="D331" s="32"/>
      <c r="E331" s="32"/>
      <c r="F331" s="32"/>
      <c r="G331" s="33" t="s">
        <v>19</v>
      </c>
      <c r="H331" s="153" t="s">
        <v>12</v>
      </c>
      <c r="I331" s="162"/>
      <c r="J331" s="162"/>
      <c r="K331" s="163"/>
      <c r="L331" s="87">
        <f t="shared" ref="L331:N331" ca="1" si="102">L333+L337</f>
        <v>693330</v>
      </c>
      <c r="M331" s="87">
        <f t="shared" ca="1" si="102"/>
        <v>387130</v>
      </c>
      <c r="N331" s="87">
        <f t="shared" ca="1" si="102"/>
        <v>355340</v>
      </c>
      <c r="O331" s="155">
        <f t="shared" ca="1" si="99"/>
        <v>51.251207938499704</v>
      </c>
      <c r="P331" s="155">
        <f t="shared" ca="1" si="100"/>
        <v>91.78828817193191</v>
      </c>
    </row>
    <row r="332" spans="1:16" ht="21.75" customHeight="1" x14ac:dyDescent="0.3">
      <c r="A332" s="156"/>
      <c r="B332" s="157"/>
      <c r="C332" s="157" t="s">
        <v>16</v>
      </c>
      <c r="D332" s="158" t="s">
        <v>38</v>
      </c>
      <c r="E332" s="159"/>
      <c r="F332" s="159"/>
      <c r="G332" s="160" t="s">
        <v>39</v>
      </c>
      <c r="H332" s="161" t="s">
        <v>12</v>
      </c>
      <c r="I332" s="162" t="s">
        <v>40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3">
      <c r="A333" s="156"/>
      <c r="B333" s="157"/>
      <c r="C333" s="157"/>
      <c r="D333" s="166"/>
      <c r="E333" s="159"/>
      <c r="F333" s="159" t="s">
        <v>40</v>
      </c>
      <c r="G333" s="160" t="s">
        <v>41</v>
      </c>
      <c r="H333" s="161" t="s">
        <v>12</v>
      </c>
      <c r="I333" s="162"/>
      <c r="J333" s="162"/>
      <c r="K333" s="163"/>
      <c r="L333" s="167">
        <f ca="1">L334+L335</f>
        <v>678330</v>
      </c>
      <c r="M333" s="167">
        <f ca="1">IFERROR(__xludf.DUMMYFUNCTION("IMPORTRANGE(""https://docs.google.com/spreadsheets/d/1Yj_ptqi66GCucihVvJfMjLAmec39IyEx_6qawtMGysU/edit?usp=sharing"",""สบก!DL28"")"),372130)</f>
        <v>372130</v>
      </c>
      <c r="N333" s="168">
        <f ca="1">IFERROR(__xludf.DUMMYFUNCTION("IMPORTRANGE(""https://docs.google.com/spreadsheets/d/1Yj_ptqi66GCucihVvJfMjLAmec39IyEx_6qawtMGysU/edit?usp=sharing"",""สบก!DM28"")"),340340)</f>
        <v>340340</v>
      </c>
      <c r="O333" s="168">
        <f ca="1">IF(L333&gt;0,N333*100/L333,0)</f>
        <v>50.173219524420269</v>
      </c>
      <c r="P333" s="168">
        <f ca="1">IF(M333&gt;0,N333*100/M333,0)</f>
        <v>91.457286432160799</v>
      </c>
    </row>
    <row r="334" spans="1:16" ht="21.75" customHeight="1" x14ac:dyDescent="0.3">
      <c r="A334" s="156"/>
      <c r="B334" s="157"/>
      <c r="C334" s="157"/>
      <c r="D334" s="166"/>
      <c r="E334" s="159"/>
      <c r="F334" s="159"/>
      <c r="G334" s="169" t="s">
        <v>42</v>
      </c>
      <c r="H334" s="161" t="s">
        <v>12</v>
      </c>
      <c r="I334" s="162"/>
      <c r="J334" s="162"/>
      <c r="K334" s="163"/>
      <c r="L334" s="167">
        <f ca="1">IFERROR(__xludf.DUMMYFUNCTION("IMPORTRANGE(""https://docs.google.com/spreadsheets/d/1Yj_ptqi66GCucihVvJfMjLAmec39IyEx_6qawtMGysU/edit?usp=sharing"",""สบก!DH28"")"),306000)</f>
        <v>306000</v>
      </c>
      <c r="M334" s="167"/>
      <c r="N334" s="167"/>
      <c r="O334" s="168"/>
      <c r="P334" s="168"/>
    </row>
    <row r="335" spans="1:16" ht="21.75" customHeight="1" x14ac:dyDescent="0.3">
      <c r="A335" s="156"/>
      <c r="B335" s="157"/>
      <c r="C335" s="157"/>
      <c r="D335" s="166"/>
      <c r="E335" s="159"/>
      <c r="F335" s="159"/>
      <c r="G335" s="169" t="s">
        <v>43</v>
      </c>
      <c r="H335" s="161" t="s">
        <v>12</v>
      </c>
      <c r="I335" s="162"/>
      <c r="J335" s="162"/>
      <c r="K335" s="163"/>
      <c r="L335" s="167">
        <f ca="1">IFERROR(__xludf.DUMMYFUNCTION("IMPORTRANGE(""https://docs.google.com/spreadsheets/d/1Yj_ptqi66GCucihVvJfMjLAmec39IyEx_6qawtMGysU/edit?usp=sharing"",""สบก!DI28"")"),372330)</f>
        <v>372330</v>
      </c>
      <c r="M335" s="167"/>
      <c r="N335" s="167"/>
      <c r="O335" s="168"/>
      <c r="P335" s="168"/>
    </row>
    <row r="336" spans="1:16" ht="21.75" customHeight="1" x14ac:dyDescent="0.45">
      <c r="A336" s="170"/>
      <c r="B336" s="80"/>
      <c r="C336" s="81" t="s">
        <v>16</v>
      </c>
      <c r="D336" s="534" t="s">
        <v>23</v>
      </c>
      <c r="E336" s="530"/>
      <c r="F336" s="88"/>
      <c r="G336" s="82" t="s">
        <v>18</v>
      </c>
      <c r="H336" s="171" t="s">
        <v>12</v>
      </c>
      <c r="I336" s="162"/>
      <c r="J336" s="162"/>
      <c r="K336" s="163"/>
      <c r="L336" s="41">
        <v>0</v>
      </c>
      <c r="M336" s="41"/>
      <c r="N336" s="41"/>
      <c r="O336" s="41"/>
      <c r="P336" s="41"/>
    </row>
    <row r="337" spans="1:16" ht="21.75" customHeight="1" x14ac:dyDescent="0.45">
      <c r="A337" s="172"/>
      <c r="B337" s="91"/>
      <c r="C337" s="91"/>
      <c r="D337" s="173"/>
      <c r="E337" s="92"/>
      <c r="F337" s="92"/>
      <c r="G337" s="93" t="s">
        <v>19</v>
      </c>
      <c r="H337" s="174" t="s">
        <v>12</v>
      </c>
      <c r="I337" s="162"/>
      <c r="J337" s="162"/>
      <c r="K337" s="163"/>
      <c r="L337" s="49">
        <f ca="1">IFERROR(__xludf.DUMMYFUNCTION("IMPORTRANGE(""https://docs.google.com/spreadsheets/d/1Yj_ptqi66GCucihVvJfMjLAmec39IyEx_6qawtMGysU/edit?usp=sharing"",""สบก!DJ28"")"),15000)</f>
        <v>15000</v>
      </c>
      <c r="M337" s="49">
        <f ca="1">L337</f>
        <v>15000</v>
      </c>
      <c r="N337" s="49">
        <f ca="1">IFERROR(__xludf.DUMMYFUNCTION("IMPORTRANGE(""https://docs.google.com/spreadsheets/d/1Yj_ptqi66GCucihVvJfMjLAmec39IyEx_6qawtMGysU/edit?usp=sharing"",""สบก!DN28"")"),15000)</f>
        <v>15000</v>
      </c>
      <c r="O337" s="49">
        <f ca="1">IF(L337&gt;0,N337*100/L337,0)</f>
        <v>100</v>
      </c>
      <c r="P337" s="49">
        <f ca="1">IF(M337&gt;0,N337*100/M337,0)</f>
        <v>100</v>
      </c>
    </row>
    <row r="338" spans="1:16" ht="21.75" customHeight="1" x14ac:dyDescent="0.3">
      <c r="A338" s="175"/>
      <c r="B338" s="289"/>
      <c r="C338" s="338" t="s">
        <v>120</v>
      </c>
      <c r="D338" s="195"/>
      <c r="E338" s="195"/>
      <c r="F338" s="195"/>
      <c r="G338" s="196"/>
      <c r="H338" s="180"/>
      <c r="I338" s="339"/>
      <c r="J338" s="339"/>
      <c r="K338" s="340"/>
      <c r="L338" s="181"/>
      <c r="M338" s="181"/>
      <c r="N338" s="181"/>
      <c r="O338" s="341"/>
      <c r="P338" s="341"/>
    </row>
    <row r="339" spans="1:16" ht="21.75" customHeight="1" x14ac:dyDescent="0.3">
      <c r="A339" s="175"/>
      <c r="B339" s="289"/>
      <c r="C339" s="176"/>
      <c r="D339" s="195"/>
      <c r="E339" s="194" t="s">
        <v>121</v>
      </c>
      <c r="F339" s="195"/>
      <c r="G339" s="196"/>
      <c r="H339" s="342" t="s">
        <v>37</v>
      </c>
      <c r="I339" s="203">
        <f ca="1">IFERROR(__xludf.DUMMYFUNCTION("IMPORTRANGE(""https://docs.google.com/spreadsheets/d/11923uPwbBZFjjGgGUA6NLw09EwE0CqkOc4q9oUmW1yo/edit?usp=sharing"",""พิษณุโลก!I234"")"),0)</f>
        <v>0</v>
      </c>
      <c r="J339" s="187">
        <f ca="1">IFERROR(__xludf.DUMMYFUNCTION("IMPORTRANGE(""https://docs.google.com/spreadsheets/d/11923uPwbBZFjjGgGUA6NLw09EwE0CqkOc4q9oUmW1yo/edit?usp=sharing"",""พิษณุโลก!J234"")"),140)</f>
        <v>140</v>
      </c>
      <c r="K339" s="340">
        <f t="shared" ref="K339:K346" ca="1" si="103">IF(I339&gt;0,J339*100/I339,0)</f>
        <v>0</v>
      </c>
      <c r="L339" s="181"/>
      <c r="M339" s="181"/>
      <c r="N339" s="181"/>
      <c r="O339" s="341"/>
      <c r="P339" s="341"/>
    </row>
    <row r="340" spans="1:16" ht="21.75" customHeight="1" x14ac:dyDescent="0.3">
      <c r="A340" s="175"/>
      <c r="B340" s="289"/>
      <c r="C340" s="176"/>
      <c r="D340" s="195"/>
      <c r="E340" s="195"/>
      <c r="F340" s="195"/>
      <c r="G340" s="196"/>
      <c r="H340" s="342" t="s">
        <v>122</v>
      </c>
      <c r="I340" s="187">
        <f ca="1">IFERROR(__xludf.DUMMYFUNCTION("IMPORTRANGE(""https://docs.google.com/spreadsheets/d/11923uPwbBZFjjGgGUA6NLw09EwE0CqkOc4q9oUmW1yo/edit?usp=sharing"",""พิษณุโลก!I235"")"),2040)</f>
        <v>2040</v>
      </c>
      <c r="J340" s="187">
        <f ca="1">IFERROR(__xludf.DUMMYFUNCTION("IMPORTRANGE(""https://docs.google.com/spreadsheets/d/11923uPwbBZFjjGgGUA6NLw09EwE0CqkOc4q9oUmW1yo/edit?usp=sharing"",""พิษณุโลก!J235"")"),1458.33)</f>
        <v>1458.33</v>
      </c>
      <c r="K340" s="340">
        <f t="shared" ca="1" si="103"/>
        <v>71.486764705882351</v>
      </c>
      <c r="L340" s="181"/>
      <c r="M340" s="181"/>
      <c r="N340" s="181"/>
      <c r="O340" s="341"/>
      <c r="P340" s="341"/>
    </row>
    <row r="341" spans="1:16" ht="21.75" customHeight="1" x14ac:dyDescent="0.3">
      <c r="A341" s="175"/>
      <c r="B341" s="289"/>
      <c r="C341" s="176"/>
      <c r="D341" s="195"/>
      <c r="E341" s="194" t="s">
        <v>123</v>
      </c>
      <c r="F341" s="195"/>
      <c r="G341" s="196"/>
      <c r="H341" s="180" t="s">
        <v>37</v>
      </c>
      <c r="I341" s="187">
        <f ca="1">IFERROR(__xludf.DUMMYFUNCTION("IMPORTRANGE(""https://docs.google.com/spreadsheets/d/11923uPwbBZFjjGgGUA6NLw09EwE0CqkOc4q9oUmW1yo/edit?usp=sharing"",""พิษณุโลก!I236"")"),220)</f>
        <v>220</v>
      </c>
      <c r="J341" s="187">
        <f ca="1">IFERROR(__xludf.DUMMYFUNCTION("IMPORTRANGE(""https://docs.google.com/spreadsheets/d/11923uPwbBZFjjGgGUA6NLw09EwE0CqkOc4q9oUmW1yo/edit?usp=sharing"",""พิษณุโลก!J236"")"),150)</f>
        <v>150</v>
      </c>
      <c r="K341" s="340">
        <f t="shared" ca="1" si="103"/>
        <v>68.181818181818187</v>
      </c>
      <c r="L341" s="181"/>
      <c r="M341" s="181"/>
      <c r="N341" s="181"/>
      <c r="O341" s="341"/>
      <c r="P341" s="341"/>
    </row>
    <row r="342" spans="1:16" ht="21.75" customHeight="1" x14ac:dyDescent="0.3">
      <c r="A342" s="175"/>
      <c r="B342" s="289"/>
      <c r="C342" s="176"/>
      <c r="D342" s="195"/>
      <c r="E342" s="195"/>
      <c r="F342" s="195"/>
      <c r="G342" s="196"/>
      <c r="H342" s="180" t="s">
        <v>122</v>
      </c>
      <c r="I342" s="343">
        <f ca="1">IFERROR(__xludf.DUMMYFUNCTION("IMPORTRANGE(""https://docs.google.com/spreadsheets/d/11923uPwbBZFjjGgGUA6NLw09EwE0CqkOc4q9oUmW1yo/edit?usp=sharing"",""พิษณุโลก!I237"")"),0)</f>
        <v>0</v>
      </c>
      <c r="J342" s="187">
        <f ca="1">IFERROR(__xludf.DUMMYFUNCTION("IMPORTRANGE(""https://docs.google.com/spreadsheets/d/11923uPwbBZFjjGgGUA6NLw09EwE0CqkOc4q9oUmW1yo/edit?usp=sharing"",""พิษณุโลก!J237"")"),1665.46)</f>
        <v>1665.46</v>
      </c>
      <c r="K342" s="340">
        <f t="shared" ca="1" si="103"/>
        <v>0</v>
      </c>
      <c r="L342" s="181"/>
      <c r="M342" s="181"/>
      <c r="N342" s="181"/>
      <c r="O342" s="341"/>
      <c r="P342" s="341"/>
    </row>
    <row r="343" spans="1:16" ht="21.75" customHeight="1" x14ac:dyDescent="0.3">
      <c r="A343" s="175"/>
      <c r="B343" s="289"/>
      <c r="C343" s="176"/>
      <c r="D343" s="195"/>
      <c r="E343" s="194" t="s">
        <v>124</v>
      </c>
      <c r="F343" s="195"/>
      <c r="G343" s="196"/>
      <c r="H343" s="180" t="s">
        <v>37</v>
      </c>
      <c r="I343" s="187">
        <f ca="1">IFERROR(__xludf.DUMMYFUNCTION("IMPORTRANGE(""https://docs.google.com/spreadsheets/d/11923uPwbBZFjjGgGUA6NLw09EwE0CqkOc4q9oUmW1yo/edit?usp=sharing"",""พิษณุโลก!I238"")"),220)</f>
        <v>220</v>
      </c>
      <c r="J343" s="187">
        <f ca="1">IFERROR(__xludf.DUMMYFUNCTION("IMPORTRANGE(""https://docs.google.com/spreadsheets/d/11923uPwbBZFjjGgGUA6NLw09EwE0CqkOc4q9oUmW1yo/edit?usp=sharing"",""พิษณุโลก!J238"")"),0)</f>
        <v>0</v>
      </c>
      <c r="K343" s="340">
        <f t="shared" ca="1" si="103"/>
        <v>0</v>
      </c>
      <c r="L343" s="181"/>
      <c r="M343" s="181"/>
      <c r="N343" s="181"/>
      <c r="O343" s="341"/>
      <c r="P343" s="341"/>
    </row>
    <row r="344" spans="1:16" ht="21.75" customHeight="1" x14ac:dyDescent="0.3">
      <c r="A344" s="175"/>
      <c r="B344" s="289"/>
      <c r="C344" s="176"/>
      <c r="D344" s="195"/>
      <c r="E344" s="195"/>
      <c r="F344" s="195"/>
      <c r="G344" s="196"/>
      <c r="H344" s="180" t="s">
        <v>122</v>
      </c>
      <c r="I344" s="343">
        <f ca="1">IFERROR(__xludf.DUMMYFUNCTION("IMPORTRANGE(""https://docs.google.com/spreadsheets/d/11923uPwbBZFjjGgGUA6NLw09EwE0CqkOc4q9oUmW1yo/edit?usp=sharing"",""พิษณุโลก!I239"")"),0)</f>
        <v>0</v>
      </c>
      <c r="J344" s="187">
        <f ca="1">IFERROR(__xludf.DUMMYFUNCTION("IMPORTRANGE(""https://docs.google.com/spreadsheets/d/11923uPwbBZFjjGgGUA6NLw09EwE0CqkOc4q9oUmW1yo/edit?usp=sharing"",""พิษณุโลก!J239"")"),0)</f>
        <v>0</v>
      </c>
      <c r="K344" s="340">
        <f t="shared" ca="1" si="103"/>
        <v>0</v>
      </c>
      <c r="L344" s="181"/>
      <c r="M344" s="181"/>
      <c r="N344" s="181"/>
      <c r="O344" s="341"/>
      <c r="P344" s="341"/>
    </row>
    <row r="345" spans="1:16" ht="21.75" customHeight="1" x14ac:dyDescent="0.3">
      <c r="A345" s="175"/>
      <c r="B345" s="289"/>
      <c r="C345" s="176"/>
      <c r="D345" s="195"/>
      <c r="E345" s="194" t="s">
        <v>125</v>
      </c>
      <c r="F345" s="195"/>
      <c r="G345" s="196"/>
      <c r="H345" s="180" t="s">
        <v>37</v>
      </c>
      <c r="I345" s="187">
        <f ca="1">IFERROR(__xludf.DUMMYFUNCTION("IMPORTRANGE(""https://docs.google.com/spreadsheets/d/11923uPwbBZFjjGgGUA6NLw09EwE0CqkOc4q9oUmW1yo/edit?usp=sharing"",""พิษณุโลก!I240"")"),220)</f>
        <v>220</v>
      </c>
      <c r="J345" s="187">
        <f ca="1">IFERROR(__xludf.DUMMYFUNCTION("IMPORTRANGE(""https://docs.google.com/spreadsheets/d/11923uPwbBZFjjGgGUA6NLw09EwE0CqkOc4q9oUmW1yo/edit?usp=sharing"",""พิษณุโลก!J240"")"),70)</f>
        <v>70</v>
      </c>
      <c r="K345" s="340">
        <f t="shared" ca="1" si="103"/>
        <v>31.818181818181817</v>
      </c>
      <c r="L345" s="181"/>
      <c r="M345" s="181"/>
      <c r="N345" s="181"/>
      <c r="O345" s="341"/>
      <c r="P345" s="341"/>
    </row>
    <row r="346" spans="1:16" ht="21.75" customHeight="1" x14ac:dyDescent="0.3">
      <c r="A346" s="233"/>
      <c r="B346" s="344"/>
      <c r="C346" s="234"/>
      <c r="D346" s="344"/>
      <c r="E346" s="345"/>
      <c r="F346" s="345"/>
      <c r="G346" s="346"/>
      <c r="H346" s="347" t="s">
        <v>122</v>
      </c>
      <c r="I346" s="348">
        <f ca="1">IFERROR(__xludf.DUMMYFUNCTION("IMPORTRANGE(""https://docs.google.com/spreadsheets/d/11923uPwbBZFjjGgGUA6NLw09EwE0CqkOc4q9oUmW1yo/edit?usp=sharing"",""พิษณุโลก!I241"")"),0)</f>
        <v>0</v>
      </c>
      <c r="J346" s="187">
        <f ca="1">IFERROR(__xludf.DUMMYFUNCTION("IMPORTRANGE(""https://docs.google.com/spreadsheets/d/11923uPwbBZFjjGgGUA6NLw09EwE0CqkOc4q9oUmW1yo/edit?usp=sharing"",""พิษณุโลก!J241"")"),662.13)</f>
        <v>662.13</v>
      </c>
      <c r="K346" s="349">
        <f t="shared" ca="1" si="103"/>
        <v>0</v>
      </c>
      <c r="L346" s="244"/>
      <c r="M346" s="244"/>
      <c r="N346" s="244"/>
      <c r="O346" s="350"/>
      <c r="P346" s="350"/>
    </row>
    <row r="347" spans="1:16" ht="21.75" customHeight="1" x14ac:dyDescent="0.3">
      <c r="A347" s="351" t="s">
        <v>126</v>
      </c>
      <c r="B347" s="352"/>
      <c r="C347" s="352"/>
      <c r="D347" s="352"/>
      <c r="E347" s="352"/>
      <c r="F347" s="352"/>
      <c r="G347" s="353"/>
      <c r="H347" s="354"/>
      <c r="I347" s="355"/>
      <c r="J347" s="355"/>
      <c r="K347" s="356"/>
      <c r="L347" s="356">
        <f ca="1">IFERROR(__xludf.DUMMYFUNCTION("IMPORTRANGE(""https://docs.google.com/spreadsheets/d/11923uPwbBZFjjGgGUA6NLw09EwE0CqkOc4q9oUmW1yo/edit?usp=sharing"",""พิษณุโลก!L242"")"),2734339)</f>
        <v>2734339</v>
      </c>
      <c r="M347" s="356"/>
      <c r="N347" s="356">
        <f ca="1">IFERROR(__xludf.DUMMYFUNCTION("IMPORTRANGE(""https://docs.google.com/spreadsheets/d/11923uPwbBZFjjGgGUA6NLw09EwE0CqkOc4q9oUmW1yo/edit?usp=sharing"",""พิษณุโลก!M242"")"),289916.56)</f>
        <v>289916.56</v>
      </c>
      <c r="O347" s="356">
        <f ca="1">+IF(L347&gt;0,N347*100/L347,0)</f>
        <v>10.602802359180775</v>
      </c>
      <c r="P347" s="356"/>
    </row>
    <row r="348" spans="1:16" ht="21.75" customHeight="1" x14ac:dyDescent="0.3">
      <c r="A348" s="357" t="s">
        <v>127</v>
      </c>
      <c r="B348" s="358"/>
      <c r="C348" s="358"/>
      <c r="D348" s="358"/>
      <c r="E348" s="358"/>
      <c r="F348" s="358"/>
      <c r="G348" s="359"/>
      <c r="H348" s="360"/>
      <c r="I348" s="361"/>
      <c r="J348" s="361"/>
      <c r="K348" s="362"/>
      <c r="L348" s="362"/>
      <c r="M348" s="362"/>
      <c r="N348" s="362"/>
      <c r="O348" s="363"/>
      <c r="P348" s="363"/>
    </row>
    <row r="349" spans="1:16" ht="21.75" customHeight="1" x14ac:dyDescent="0.3">
      <c r="A349" s="364"/>
      <c r="B349" s="365">
        <v>1</v>
      </c>
      <c r="C349" s="366" t="s">
        <v>128</v>
      </c>
      <c r="D349" s="366"/>
      <c r="E349" s="366"/>
      <c r="F349" s="366"/>
      <c r="G349" s="367"/>
      <c r="H349" s="368" t="s">
        <v>122</v>
      </c>
      <c r="I349" s="369">
        <f ca="1">IFERROR(__xludf.DUMMYFUNCTION("IMPORTRANGE(""https://docs.google.com/spreadsheets/d/11923uPwbBZFjjGgGUA6NLw09EwE0CqkOc4q9oUmW1yo/edit?usp=sharing"",""พิษณุโลก!I244"")"),0)</f>
        <v>0</v>
      </c>
      <c r="J349" s="369">
        <f ca="1">IFERROR(__xludf.DUMMYFUNCTION("IMPORTRANGE(""https://docs.google.com/spreadsheets/d/11923uPwbBZFjjGgGUA6NLw09EwE0CqkOc4q9oUmW1yo/edit?usp=sharing"",""พิษณุโลก!J244"")"),0)</f>
        <v>0</v>
      </c>
      <c r="K349" s="370">
        <f t="shared" ref="K349:K350" ca="1" si="104">IF(I349&gt;0,J349*100/I349,0)</f>
        <v>0</v>
      </c>
      <c r="L349" s="371">
        <f ca="1">IFERROR(__xludf.DUMMYFUNCTION("IMPORTRANGE(""https://docs.google.com/spreadsheets/d/11923uPwbBZFjjGgGUA6NLw09EwE0CqkOc4q9oUmW1yo/edit?usp=sharing"",""พิษณุโลก!L244"")"),0)</f>
        <v>0</v>
      </c>
      <c r="M349" s="371"/>
      <c r="N349" s="371">
        <f ca="1">IFERROR(__xludf.DUMMYFUNCTION("IMPORTRANGE(""https://docs.google.com/spreadsheets/d/11923uPwbBZFjjGgGUA6NLw09EwE0CqkOc4q9oUmW1yo/edit?usp=sharing"",""พิษณุโลก!M244"")"),0)</f>
        <v>0</v>
      </c>
      <c r="O349" s="371">
        <f ca="1">+IF(L349&gt;0,N349*100/L349,0)</f>
        <v>0</v>
      </c>
      <c r="P349" s="371"/>
    </row>
    <row r="350" spans="1:16" ht="21.75" customHeight="1" x14ac:dyDescent="0.3">
      <c r="A350" s="364"/>
      <c r="B350" s="365"/>
      <c r="C350" s="366"/>
      <c r="D350" s="366"/>
      <c r="E350" s="366"/>
      <c r="F350" s="366"/>
      <c r="G350" s="367"/>
      <c r="H350" s="368" t="s">
        <v>37</v>
      </c>
      <c r="I350" s="369">
        <f ca="1">IFERROR(__xludf.DUMMYFUNCTION("IMPORTRANGE(""https://docs.google.com/spreadsheets/d/11923uPwbBZFjjGgGUA6NLw09EwE0CqkOc4q9oUmW1yo/edit?usp=sharing"",""พิษณุโลก!I245"")"),0)</f>
        <v>0</v>
      </c>
      <c r="J350" s="369">
        <f ca="1">IFERROR(__xludf.DUMMYFUNCTION("IMPORTRANGE(""https://docs.google.com/spreadsheets/d/11923uPwbBZFjjGgGUA6NLw09EwE0CqkOc4q9oUmW1yo/edit?usp=sharing"",""พิษณุโลก!J245"")"),0)</f>
        <v>0</v>
      </c>
      <c r="K350" s="370">
        <f t="shared" ca="1" si="104"/>
        <v>0</v>
      </c>
      <c r="L350" s="371"/>
      <c r="M350" s="371"/>
      <c r="N350" s="371"/>
      <c r="O350" s="371"/>
      <c r="P350" s="371"/>
    </row>
    <row r="351" spans="1:16" ht="21.75" customHeight="1" x14ac:dyDescent="0.3">
      <c r="A351" s="156"/>
      <c r="B351" s="157"/>
      <c r="C351" s="157" t="s">
        <v>16</v>
      </c>
      <c r="D351" s="158" t="s">
        <v>38</v>
      </c>
      <c r="E351" s="159"/>
      <c r="F351" s="159"/>
      <c r="G351" s="160" t="s">
        <v>39</v>
      </c>
      <c r="H351" s="161" t="s">
        <v>12</v>
      </c>
      <c r="I351" s="162" t="s">
        <v>40</v>
      </c>
      <c r="J351" s="162"/>
      <c r="K351" s="163"/>
      <c r="L351" s="164">
        <f ca="1">IFERROR(__xludf.DUMMYFUNCTION("IMPORTRANGE(""https://docs.google.com/spreadsheets/d/11923uPwbBZFjjGgGUA6NLw09EwE0CqkOc4q9oUmW1yo/edit?usp=sharing"",""พิษณุโลก!L246"")"),0)</f>
        <v>0</v>
      </c>
      <c r="M351" s="164"/>
      <c r="N351" s="164">
        <f ca="1">IFERROR(__xludf.DUMMYFUNCTION("IMPORTRANGE(""https://docs.google.com/spreadsheets/d/11923uPwbBZFjjGgGUA6NLw09EwE0CqkOc4q9oUmW1yo/edit?usp=sharing"",""พิษณุโลก!M246"")"),0)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3">
      <c r="A352" s="156"/>
      <c r="B352" s="157"/>
      <c r="C352" s="157"/>
      <c r="D352" s="166"/>
      <c r="E352" s="159"/>
      <c r="F352" s="159" t="s">
        <v>40</v>
      </c>
      <c r="G352" s="160" t="s">
        <v>41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IFERROR(__xludf.DUMMYFUNCTION("IMPORTRANGE(""https://docs.google.com/spreadsheets/d/11923uPwbBZFjjGgGUA6NLw09EwE0CqkOc4q9oUmW1yo/edit?usp=sharing"",""พิษณุโลก!L247"")"),0)</f>
        <v>0</v>
      </c>
      <c r="M352" s="165"/>
      <c r="N352" s="164">
        <f ca="1">IFERROR(__xludf.DUMMYFUNCTION("IMPORTRANGE(""https://docs.google.com/spreadsheets/d/11923uPwbBZFjjGgGUA6NLw09EwE0CqkOc4q9oUmW1yo/edit?usp=sharing"",""พิษณุโลก!M247"")"),0)</f>
        <v>0</v>
      </c>
      <c r="O352" s="165">
        <f t="shared" ca="1" si="105"/>
        <v>0</v>
      </c>
      <c r="P352" s="165"/>
    </row>
    <row r="353" spans="1:16" ht="21.75" customHeight="1" x14ac:dyDescent="0.3">
      <c r="A353" s="156"/>
      <c r="B353" s="157"/>
      <c r="C353" s="157"/>
      <c r="D353" s="166"/>
      <c r="E353" s="159"/>
      <c r="F353" s="159"/>
      <c r="G353" s="372" t="s">
        <v>129</v>
      </c>
      <c r="H353" s="161" t="s">
        <v>12</v>
      </c>
      <c r="I353" s="162"/>
      <c r="J353" s="162"/>
      <c r="K353" s="163"/>
      <c r="L353" s="168">
        <f ca="1">IFERROR(__xludf.DUMMYFUNCTION("IMPORTRANGE(""https://docs.google.com/spreadsheets/d/11923uPwbBZFjjGgGUA6NLw09EwE0CqkOc4q9oUmW1yo/edit?usp=sharing"",""พิษณุโลก!L248"")"),0)</f>
        <v>0</v>
      </c>
      <c r="M353" s="168"/>
      <c r="N353" s="168">
        <f ca="1">IFERROR(__xludf.DUMMYFUNCTION("IMPORTRANGE(""https://docs.google.com/spreadsheets/d/11923uPwbBZFjjGgGUA6NLw09EwE0CqkOc4q9oUmW1yo/edit?usp=sharing"",""พิษณุโลก!M248"")"),0)</f>
        <v>0</v>
      </c>
      <c r="O353" s="168">
        <f t="shared" ca="1" si="105"/>
        <v>0</v>
      </c>
      <c r="P353" s="168"/>
    </row>
    <row r="354" spans="1:16" ht="21.75" customHeight="1" x14ac:dyDescent="0.3">
      <c r="A354" s="156"/>
      <c r="B354" s="157"/>
      <c r="C354" s="157"/>
      <c r="D354" s="166"/>
      <c r="E354" s="159"/>
      <c r="F354" s="159"/>
      <c r="G354" s="372" t="s">
        <v>130</v>
      </c>
      <c r="H354" s="161" t="s">
        <v>12</v>
      </c>
      <c r="I354" s="162"/>
      <c r="J354" s="162"/>
      <c r="K354" s="163"/>
      <c r="L354" s="168">
        <f ca="1">IFERROR(__xludf.DUMMYFUNCTION("IMPORTRANGE(""https://docs.google.com/spreadsheets/d/11923uPwbBZFjjGgGUA6NLw09EwE0CqkOc4q9oUmW1yo/edit?usp=sharing"",""พิษณุโลก!L249"")"),0)</f>
        <v>0</v>
      </c>
      <c r="M354" s="168"/>
      <c r="N354" s="167">
        <f ca="1">IFERROR(__xludf.DUMMYFUNCTION("IMPORTRANGE(""https://docs.google.com/spreadsheets/d/11923uPwbBZFjjGgGUA6NLw09EwE0CqkOc4q9oUmW1yo/edit?usp=sharing"",""พิษณุโลก!M249"")"),0)</f>
        <v>0</v>
      </c>
      <c r="O354" s="168">
        <f t="shared" ca="1" si="105"/>
        <v>0</v>
      </c>
      <c r="P354" s="168"/>
    </row>
    <row r="355" spans="1:16" ht="21.75" customHeight="1" x14ac:dyDescent="0.3">
      <c r="A355" s="373"/>
      <c r="B355" s="374"/>
      <c r="C355" s="157"/>
      <c r="D355" s="375"/>
      <c r="E355" s="159"/>
      <c r="F355" s="159"/>
      <c r="G355" s="376" t="s">
        <v>131</v>
      </c>
      <c r="H355" s="161" t="s">
        <v>12</v>
      </c>
      <c r="I355" s="187"/>
      <c r="J355" s="187"/>
      <c r="K355" s="223"/>
      <c r="L355" s="168"/>
      <c r="M355" s="168"/>
      <c r="N355" s="377">
        <f ca="1">IFERROR(__xludf.DUMMYFUNCTION("IMPORTRANGE(""https://docs.google.com/spreadsheets/d/11923uPwbBZFjjGgGUA6NLw09EwE0CqkOc4q9oUmW1yo/edit?usp=sharing"",""พิษณุโลก!M250"")"),0)</f>
        <v>0</v>
      </c>
      <c r="O355" s="168"/>
      <c r="P355" s="168"/>
    </row>
    <row r="356" spans="1:16" ht="21.75" customHeight="1" x14ac:dyDescent="0.3">
      <c r="A356" s="373"/>
      <c r="B356" s="374"/>
      <c r="C356" s="157"/>
      <c r="D356" s="375"/>
      <c r="E356" s="159"/>
      <c r="F356" s="159"/>
      <c r="G356" s="376" t="s">
        <v>132</v>
      </c>
      <c r="H356" s="161" t="s">
        <v>12</v>
      </c>
      <c r="I356" s="187"/>
      <c r="J356" s="187"/>
      <c r="K356" s="223"/>
      <c r="L356" s="168"/>
      <c r="M356" s="168"/>
      <c r="N356" s="377">
        <f ca="1">IFERROR(__xludf.DUMMYFUNCTION("IMPORTRANGE(""https://docs.google.com/spreadsheets/d/11923uPwbBZFjjGgGUA6NLw09EwE0CqkOc4q9oUmW1yo/edit?usp=sharing"",""พิษณุโลก!M251"")"),0)</f>
        <v>0</v>
      </c>
      <c r="O356" s="168"/>
      <c r="P356" s="168"/>
    </row>
    <row r="357" spans="1:16" ht="21.75" customHeight="1" x14ac:dyDescent="0.3">
      <c r="A357" s="373"/>
      <c r="B357" s="374"/>
      <c r="C357" s="157"/>
      <c r="D357" s="375"/>
      <c r="E357" s="159"/>
      <c r="F357" s="159"/>
      <c r="G357" s="376" t="s">
        <v>133</v>
      </c>
      <c r="H357" s="161" t="s">
        <v>12</v>
      </c>
      <c r="I357" s="187"/>
      <c r="J357" s="187"/>
      <c r="K357" s="223"/>
      <c r="L357" s="168"/>
      <c r="M357" s="168"/>
      <c r="N357" s="377">
        <f ca="1">IFERROR(__xludf.DUMMYFUNCTION("IMPORTRANGE(""https://docs.google.com/spreadsheets/d/11923uPwbBZFjjGgGUA6NLw09EwE0CqkOc4q9oUmW1yo/edit?usp=sharing"",""พิษณุโลก!M252"")"),0)</f>
        <v>0</v>
      </c>
      <c r="O357" s="168"/>
      <c r="P357" s="168"/>
    </row>
    <row r="358" spans="1:16" ht="21.75" customHeight="1" x14ac:dyDescent="0.3">
      <c r="A358" s="373"/>
      <c r="B358" s="374"/>
      <c r="C358" s="157"/>
      <c r="D358" s="375"/>
      <c r="E358" s="159"/>
      <c r="F358" s="159"/>
      <c r="G358" s="376" t="s">
        <v>134</v>
      </c>
      <c r="H358" s="161" t="s">
        <v>12</v>
      </c>
      <c r="I358" s="187"/>
      <c r="J358" s="187"/>
      <c r="K358" s="223"/>
      <c r="L358" s="168"/>
      <c r="M358" s="168"/>
      <c r="N358" s="377">
        <f ca="1">IFERROR(__xludf.DUMMYFUNCTION("IMPORTRANGE(""https://docs.google.com/spreadsheets/d/11923uPwbBZFjjGgGUA6NLw09EwE0CqkOc4q9oUmW1yo/edit?usp=sharing"",""พิษณุโลก!M253"")"),0)</f>
        <v>0</v>
      </c>
      <c r="O358" s="168"/>
      <c r="P358" s="168"/>
    </row>
    <row r="359" spans="1:16" ht="21.75" customHeight="1" x14ac:dyDescent="0.3">
      <c r="A359" s="175"/>
      <c r="B359" s="176"/>
      <c r="C359" s="157" t="s">
        <v>16</v>
      </c>
      <c r="D359" s="177" t="s">
        <v>44</v>
      </c>
      <c r="E359" s="178"/>
      <c r="F359" s="178"/>
      <c r="G359" s="179"/>
      <c r="H359" s="180"/>
      <c r="I359" s="162"/>
      <c r="J359" s="162"/>
      <c r="K359" s="163"/>
      <c r="L359" s="181"/>
      <c r="M359" s="181"/>
      <c r="N359" s="181"/>
      <c r="O359" s="181"/>
      <c r="P359" s="181"/>
    </row>
    <row r="360" spans="1:16" ht="21.75" customHeight="1" x14ac:dyDescent="0.3">
      <c r="A360" s="175"/>
      <c r="B360" s="176"/>
      <c r="C360" s="176"/>
      <c r="D360" s="182">
        <v>1</v>
      </c>
      <c r="E360" s="183" t="s">
        <v>45</v>
      </c>
      <c r="F360" s="184"/>
      <c r="G360" s="185"/>
      <c r="H360" s="186"/>
      <c r="I360" s="187"/>
      <c r="J360" s="197">
        <f ca="1">IFERROR(__xludf.DUMMYFUNCTION("IMPORTRANGE(""https://docs.google.com/spreadsheets/d/11923uPwbBZFjjGgGUA6NLw09EwE0CqkOc4q9oUmW1yo/edit?usp=sharing"",""พิษณุโลก!J255"")"),0)</f>
        <v>0</v>
      </c>
      <c r="K360" s="163"/>
      <c r="L360" s="181"/>
      <c r="M360" s="181"/>
      <c r="N360" s="181"/>
      <c r="O360" s="181"/>
      <c r="P360" s="181"/>
    </row>
    <row r="361" spans="1:16" ht="21.75" customHeight="1" x14ac:dyDescent="0.3">
      <c r="A361" s="175"/>
      <c r="B361" s="176"/>
      <c r="C361" s="176"/>
      <c r="D361" s="189">
        <v>2</v>
      </c>
      <c r="E361" s="190" t="s">
        <v>46</v>
      </c>
      <c r="F361" s="191"/>
      <c r="G361" s="192"/>
      <c r="H361" s="186"/>
      <c r="I361" s="187"/>
      <c r="J361" s="188">
        <f ca="1">IFERROR(__xludf.DUMMYFUNCTION("IMPORTRANGE(""https://docs.google.com/spreadsheets/d/11923uPwbBZFjjGgGUA6NLw09EwE0CqkOc4q9oUmW1yo/edit?usp=sharing"",""พิษณุโลก!J256"")"),0)</f>
        <v>0</v>
      </c>
      <c r="K361" s="163"/>
      <c r="L361" s="181" t="s">
        <v>40</v>
      </c>
      <c r="M361" s="181"/>
      <c r="N361" s="181" t="s">
        <v>40</v>
      </c>
      <c r="O361" s="181"/>
      <c r="P361" s="181"/>
    </row>
    <row r="362" spans="1:16" ht="21.75" customHeight="1" x14ac:dyDescent="0.3">
      <c r="A362" s="175"/>
      <c r="B362" s="176"/>
      <c r="C362" s="176"/>
      <c r="D362" s="193"/>
      <c r="E362" s="194" t="s">
        <v>47</v>
      </c>
      <c r="F362" s="195"/>
      <c r="G362" s="196"/>
      <c r="H362" s="186"/>
      <c r="I362" s="187"/>
      <c r="J362" s="188">
        <f ca="1">IFERROR(__xludf.DUMMYFUNCTION("IMPORTRANGE(""https://docs.google.com/spreadsheets/d/11923uPwbBZFjjGgGUA6NLw09EwE0CqkOc4q9oUmW1yo/edit?usp=sharing"",""พิษณุโลก!J257"")"),0)</f>
        <v>0</v>
      </c>
      <c r="K362" s="163"/>
      <c r="L362" s="181"/>
      <c r="M362" s="181"/>
      <c r="N362" s="181"/>
      <c r="O362" s="181"/>
      <c r="P362" s="181"/>
    </row>
    <row r="363" spans="1:16" ht="21.75" customHeight="1" x14ac:dyDescent="0.3">
      <c r="A363" s="175"/>
      <c r="B363" s="176"/>
      <c r="C363" s="176"/>
      <c r="D363" s="193"/>
      <c r="E363" s="194" t="s">
        <v>48</v>
      </c>
      <c r="F363" s="195"/>
      <c r="G363" s="196"/>
      <c r="H363" s="186"/>
      <c r="I363" s="187"/>
      <c r="J363" s="197">
        <f ca="1">IFERROR(__xludf.DUMMYFUNCTION("IMPORTRANGE(""https://docs.google.com/spreadsheets/d/11923uPwbBZFjjGgGUA6NLw09EwE0CqkOc4q9oUmW1yo/edit?usp=sharing"",""พิษณุโลก!J258"")"),0)</f>
        <v>0</v>
      </c>
      <c r="K363" s="163"/>
      <c r="L363" s="181"/>
      <c r="M363" s="181"/>
      <c r="N363" s="181"/>
      <c r="O363" s="181"/>
      <c r="P363" s="181"/>
    </row>
    <row r="364" spans="1:16" ht="21.75" hidden="1" customHeight="1" x14ac:dyDescent="0.3">
      <c r="A364" s="175"/>
      <c r="B364" s="176"/>
      <c r="C364" s="176"/>
      <c r="D364" s="193"/>
      <c r="E364" s="198"/>
      <c r="F364" s="194" t="s">
        <v>70</v>
      </c>
      <c r="G364" s="196"/>
      <c r="H364" s="180"/>
      <c r="I364" s="187"/>
      <c r="J364" s="187">
        <f ca="1">IFERROR(__xludf.DUMMYFUNCTION("IMPORTRANGE(""https://docs.google.com/spreadsheets/d/11923uPwbBZFjjGgGUA6NLw09EwE0CqkOc4q9oUmW1yo/edit?usp=sharing"",""พิษณุโลก!J166"")"),0)</f>
        <v>0</v>
      </c>
      <c r="K364" s="163"/>
      <c r="L364" s="181"/>
      <c r="M364" s="181"/>
      <c r="N364" s="181"/>
      <c r="O364" s="181"/>
      <c r="P364" s="181"/>
    </row>
    <row r="365" spans="1:16" ht="21.75" hidden="1" customHeight="1" x14ac:dyDescent="0.3">
      <c r="A365" s="175"/>
      <c r="B365" s="176"/>
      <c r="C365" s="176"/>
      <c r="D365" s="193"/>
      <c r="E365" s="198"/>
      <c r="F365" s="195"/>
      <c r="G365" s="225" t="s">
        <v>135</v>
      </c>
      <c r="H365" s="180" t="s">
        <v>37</v>
      </c>
      <c r="I365" s="187">
        <f ca="1">IFERROR(__xludf.DUMMYFUNCTION("IMPORTRANGE(""https://docs.google.com/spreadsheets/d/1C3CXT74ZlgGe6_JY_1olB1XN4rF0dxEuIIF-xsYjHgg/edit?usp=sharing"",""งบกองทุน!f63"")"),0)</f>
        <v>0</v>
      </c>
      <c r="J365" s="187">
        <f ca="1">IFERROR(__xludf.DUMMYFUNCTION("IMPORTRANGE(""https://docs.google.com/spreadsheets/d/11923uPwbBZFjjGgGUA6NLw09EwE0CqkOc4q9oUmW1yo/edit?usp=sharing"",""พิษณุโลก!J166"")"),0)</f>
        <v>0</v>
      </c>
      <c r="K365" s="163">
        <f ca="1">IF(I365&gt;0,J365*100/I365,0)</f>
        <v>0</v>
      </c>
      <c r="L365" s="181"/>
      <c r="M365" s="181"/>
      <c r="N365" s="181"/>
      <c r="O365" s="181"/>
      <c r="P365" s="181"/>
    </row>
    <row r="366" spans="1:16" ht="21.75" hidden="1" customHeight="1" x14ac:dyDescent="0.3">
      <c r="A366" s="175"/>
      <c r="B366" s="176"/>
      <c r="C366" s="176"/>
      <c r="D366" s="193"/>
      <c r="E366" s="198"/>
      <c r="F366" s="195"/>
      <c r="G366" s="196" t="s">
        <v>136</v>
      </c>
      <c r="H366" s="180"/>
      <c r="I366" s="162"/>
      <c r="J366" s="187">
        <f ca="1">IFERROR(__xludf.DUMMYFUNCTION("IMPORTRANGE(""https://docs.google.com/spreadsheets/d/11923uPwbBZFjjGgGUA6NLw09EwE0CqkOc4q9oUmW1yo/edit?usp=sharing"",""พิษณุโลก!J166"")"),0)</f>
        <v>0</v>
      </c>
      <c r="K366" s="163"/>
      <c r="L366" s="181"/>
      <c r="M366" s="181"/>
      <c r="N366" s="181"/>
      <c r="O366" s="181"/>
      <c r="P366" s="181"/>
    </row>
    <row r="367" spans="1:16" ht="21.75" hidden="1" customHeight="1" x14ac:dyDescent="0.3">
      <c r="A367" s="175"/>
      <c r="B367" s="176"/>
      <c r="C367" s="176"/>
      <c r="D367" s="193"/>
      <c r="E367" s="198"/>
      <c r="F367" s="195"/>
      <c r="G367" s="225" t="s">
        <v>137</v>
      </c>
      <c r="H367" s="186" t="s">
        <v>122</v>
      </c>
      <c r="I367" s="187">
        <f ca="1">SUM(I369,I371)</f>
        <v>0</v>
      </c>
      <c r="J367" s="187">
        <f ca="1">IFERROR(__xludf.DUMMYFUNCTION("IMPORTRANGE(""https://docs.google.com/spreadsheets/d/11923uPwbBZFjjGgGUA6NLw09EwE0CqkOc4q9oUmW1yo/edit?usp=sharing"",""พิษณุโลก!J166"")"),0)</f>
        <v>0</v>
      </c>
      <c r="K367" s="163">
        <f t="shared" ref="K367:K373" ca="1" si="106">IF(I367&gt;0,J367*100/I367,0)</f>
        <v>0</v>
      </c>
      <c r="L367" s="181"/>
      <c r="M367" s="181"/>
      <c r="N367" s="181"/>
      <c r="O367" s="181"/>
      <c r="P367" s="181"/>
    </row>
    <row r="368" spans="1:16" ht="21.75" customHeight="1" x14ac:dyDescent="0.3">
      <c r="A368" s="175"/>
      <c r="B368" s="176"/>
      <c r="C368" s="176"/>
      <c r="D368" s="193"/>
      <c r="E368" s="198"/>
      <c r="F368" s="378" t="s">
        <v>138</v>
      </c>
      <c r="G368" s="379"/>
      <c r="H368" s="186" t="s">
        <v>37</v>
      </c>
      <c r="I368" s="162">
        <f ca="1">IFERROR(__xludf.DUMMYFUNCTION("IMPORTRANGE(""https://docs.google.com/spreadsheets/d/11923uPwbBZFjjGgGUA6NLw09EwE0CqkOc4q9oUmW1yo/edit?usp=sharing"",""พิษณุโลก!I263"")"),0)</f>
        <v>0</v>
      </c>
      <c r="J368" s="187">
        <f ca="1">IFERROR(__xludf.DUMMYFUNCTION("IMPORTRANGE(""https://docs.google.com/spreadsheets/d/11923uPwbBZFjjGgGUA6NLw09EwE0CqkOc4q9oUmW1yo/edit?usp=sharing"",""พิษณุโลก!J263"")"),0)</f>
        <v>0</v>
      </c>
      <c r="K368" s="163">
        <f t="shared" ca="1" si="106"/>
        <v>0</v>
      </c>
      <c r="L368" s="181"/>
      <c r="M368" s="181"/>
      <c r="N368" s="181"/>
      <c r="O368" s="181"/>
      <c r="P368" s="181"/>
    </row>
    <row r="369" spans="1:16" ht="21.75" hidden="1" customHeight="1" x14ac:dyDescent="0.3">
      <c r="A369" s="175"/>
      <c r="B369" s="176"/>
      <c r="C369" s="176"/>
      <c r="D369" s="193"/>
      <c r="E369" s="198"/>
      <c r="F369" s="195"/>
      <c r="G369" s="379"/>
      <c r="H369" s="180" t="s">
        <v>122</v>
      </c>
      <c r="I369" s="162">
        <f ca="1">IFERROR(__xludf.DUMMYFUNCTION("IMPORTRANGE(""https://docs.google.com/spreadsheets/d/11923uPwbBZFjjGgGUA6NLw09EwE0CqkOc4q9oUmW1yo/edit?usp=sharing"",""พิษณุโลก!I164"")"),0)</f>
        <v>0</v>
      </c>
      <c r="J369" s="203">
        <f ca="1">IFERROR(__xludf.DUMMYFUNCTION("IMPORTRANGE(""https://docs.google.com/spreadsheets/d/11923uPwbBZFjjGgGUA6NLw09EwE0CqkOc4q9oUmW1yo/edit?usp=sharing"",""พิษณุโลก!J164"")"),0)</f>
        <v>0</v>
      </c>
      <c r="K369" s="163">
        <f t="shared" ca="1" si="106"/>
        <v>0</v>
      </c>
      <c r="L369" s="181"/>
      <c r="M369" s="181"/>
      <c r="N369" s="181"/>
      <c r="O369" s="181"/>
      <c r="P369" s="181"/>
    </row>
    <row r="370" spans="1:16" ht="21.75" customHeight="1" x14ac:dyDescent="0.3">
      <c r="A370" s="175"/>
      <c r="B370" s="176"/>
      <c r="C370" s="176"/>
      <c r="D370" s="193"/>
      <c r="E370" s="198"/>
      <c r="F370" s="195"/>
      <c r="G370" s="378" t="s">
        <v>139</v>
      </c>
      <c r="H370" s="180" t="s">
        <v>37</v>
      </c>
      <c r="I370" s="162">
        <f ca="1">IFERROR(__xludf.DUMMYFUNCTION("IMPORTRANGE(""https://docs.google.com/spreadsheets/d/11923uPwbBZFjjGgGUA6NLw09EwE0CqkOc4q9oUmW1yo/edit?usp=sharing"",""พิษณุโลก!I265"")"),0)</f>
        <v>0</v>
      </c>
      <c r="J370" s="203">
        <f ca="1">IFERROR(__xludf.DUMMYFUNCTION("IMPORTRANGE(""https://docs.google.com/spreadsheets/d/11923uPwbBZFjjGgGUA6NLw09EwE0CqkOc4q9oUmW1yo/edit?usp=sharing"",""พิษณุโลก!J265"")"),0)</f>
        <v>0</v>
      </c>
      <c r="K370" s="163">
        <f t="shared" ca="1" si="106"/>
        <v>0</v>
      </c>
      <c r="L370" s="181"/>
      <c r="M370" s="181"/>
      <c r="N370" s="181"/>
      <c r="O370" s="181"/>
      <c r="P370" s="181"/>
    </row>
    <row r="371" spans="1:16" ht="21.75" hidden="1" customHeight="1" x14ac:dyDescent="0.3">
      <c r="A371" s="175"/>
      <c r="B371" s="176"/>
      <c r="C371" s="176"/>
      <c r="D371" s="193"/>
      <c r="E371" s="198"/>
      <c r="F371" s="195"/>
      <c r="G371" s="379"/>
      <c r="H371" s="180" t="s">
        <v>122</v>
      </c>
      <c r="I371" s="162">
        <f ca="1">IFERROR(__xludf.DUMMYFUNCTION("IMPORTRANGE(""https://docs.google.com/spreadsheets/d/11923uPwbBZFjjGgGUA6NLw09EwE0CqkOc4q9oUmW1yo/edit?usp=sharing"",""พิษณุโลก!I164"")"),0)</f>
        <v>0</v>
      </c>
      <c r="J371" s="188">
        <f ca="1">IFERROR(__xludf.DUMMYFUNCTION("IMPORTRANGE(""https://docs.google.com/spreadsheets/d/11923uPwbBZFjjGgGUA6NLw09EwE0CqkOc4q9oUmW1yo/edit?usp=sharing"",""พิษณุโลก!J164"")"),0)</f>
        <v>0</v>
      </c>
      <c r="K371" s="163">
        <f t="shared" ca="1" si="106"/>
        <v>0</v>
      </c>
      <c r="L371" s="181"/>
      <c r="M371" s="181"/>
      <c r="N371" s="181"/>
      <c r="O371" s="181"/>
      <c r="P371" s="181"/>
    </row>
    <row r="372" spans="1:16" ht="21.75" customHeight="1" x14ac:dyDescent="0.3">
      <c r="A372" s="175"/>
      <c r="B372" s="176"/>
      <c r="C372" s="176"/>
      <c r="D372" s="193"/>
      <c r="E372" s="198"/>
      <c r="F372" s="195"/>
      <c r="G372" s="378" t="s">
        <v>140</v>
      </c>
      <c r="H372" s="180" t="s">
        <v>37</v>
      </c>
      <c r="I372" s="162">
        <f ca="1">IFERROR(__xludf.DUMMYFUNCTION("IMPORTRANGE(""https://docs.google.com/spreadsheets/d/11923uPwbBZFjjGgGUA6NLw09EwE0CqkOc4q9oUmW1yo/edit?usp=sharing"",""พิษณุโลก!I267"")"),0)</f>
        <v>0</v>
      </c>
      <c r="J372" s="188">
        <f ca="1">IFERROR(__xludf.DUMMYFUNCTION("IMPORTRANGE(""https://docs.google.com/spreadsheets/d/11923uPwbBZFjjGgGUA6NLw09EwE0CqkOc4q9oUmW1yo/edit?usp=sharing"",""พิษณุโลก!J267"")"),0)</f>
        <v>0</v>
      </c>
      <c r="K372" s="163">
        <f t="shared" ca="1" si="106"/>
        <v>0</v>
      </c>
      <c r="L372" s="181"/>
      <c r="M372" s="181"/>
      <c r="N372" s="181"/>
      <c r="O372" s="181"/>
      <c r="P372" s="181"/>
    </row>
    <row r="373" spans="1:16" ht="21.75" hidden="1" customHeight="1" x14ac:dyDescent="0.3">
      <c r="A373" s="175"/>
      <c r="B373" s="176"/>
      <c r="C373" s="176"/>
      <c r="D373" s="193"/>
      <c r="E373" s="198"/>
      <c r="F373" s="195"/>
      <c r="G373" s="225" t="s">
        <v>141</v>
      </c>
      <c r="H373" s="180" t="s">
        <v>37</v>
      </c>
      <c r="I373" s="187">
        <f ca="1">IFERROR(__xludf.DUMMYFUNCTION("IMPORTRANGE(""https://docs.google.com/spreadsheets/d/11923uPwbBZFjjGgGUA6NLw09EwE0CqkOc4q9oUmW1yo/edit?usp=sharing"",""พิษณุโลก!I164"")"),0)</f>
        <v>0</v>
      </c>
      <c r="J373" s="203">
        <f ca="1">IFERROR(__xludf.DUMMYFUNCTION("IMPORTRANGE(""https://docs.google.com/spreadsheets/d/11923uPwbBZFjjGgGUA6NLw09EwE0CqkOc4q9oUmW1yo/edit?usp=sharing"",""พิษณุโลก!J164"")"),0)</f>
        <v>0</v>
      </c>
      <c r="K373" s="163">
        <f t="shared" ca="1" si="106"/>
        <v>0</v>
      </c>
      <c r="L373" s="181"/>
      <c r="M373" s="181"/>
      <c r="N373" s="181"/>
      <c r="O373" s="181"/>
      <c r="P373" s="181"/>
    </row>
    <row r="374" spans="1:16" ht="21.75" hidden="1" customHeight="1" x14ac:dyDescent="0.3">
      <c r="A374" s="175"/>
      <c r="B374" s="176"/>
      <c r="C374" s="176"/>
      <c r="D374" s="193"/>
      <c r="E374" s="198"/>
      <c r="F374" s="195"/>
      <c r="G374" s="196" t="s">
        <v>142</v>
      </c>
      <c r="H374" s="180"/>
      <c r="I374" s="187">
        <f ca="1">IFERROR(__xludf.DUMMYFUNCTION("IMPORTRANGE(""https://docs.google.com/spreadsheets/d/11923uPwbBZFjjGgGUA6NLw09EwE0CqkOc4q9oUmW1yo/edit?usp=sharing"",""พิษณุโลก!I164"")"),0)</f>
        <v>0</v>
      </c>
      <c r="J374" s="187">
        <f ca="1">IFERROR(__xludf.DUMMYFUNCTION("IMPORTRANGE(""https://docs.google.com/spreadsheets/d/11923uPwbBZFjjGgGUA6NLw09EwE0CqkOc4q9oUmW1yo/edit?usp=sharing"",""พิษณุโลก!J164"")"),0)</f>
        <v>0</v>
      </c>
      <c r="K374" s="163"/>
      <c r="L374" s="181"/>
      <c r="M374" s="181"/>
      <c r="N374" s="181"/>
      <c r="O374" s="181"/>
      <c r="P374" s="181"/>
    </row>
    <row r="375" spans="1:16" ht="21.75" customHeight="1" x14ac:dyDescent="0.3">
      <c r="A375" s="175"/>
      <c r="B375" s="176"/>
      <c r="C375" s="176"/>
      <c r="D375" s="193"/>
      <c r="E375" s="195"/>
      <c r="F375" s="204" t="s">
        <v>53</v>
      </c>
      <c r="G375" s="196"/>
      <c r="H375" s="278" t="s">
        <v>122</v>
      </c>
      <c r="I375" s="187">
        <f ca="1">IFERROR(__xludf.DUMMYFUNCTION("IMPORTRANGE(""https://docs.google.com/spreadsheets/d/11923uPwbBZFjjGgGUA6NLw09EwE0CqkOc4q9oUmW1yo/edit?usp=sharing"",""พิษณุโลก!I270"")"),0)</f>
        <v>0</v>
      </c>
      <c r="J375" s="187">
        <f ca="1">IFERROR(__xludf.DUMMYFUNCTION("IMPORTRANGE(""https://docs.google.com/spreadsheets/d/11923uPwbBZFjjGgGUA6NLw09EwE0CqkOc4q9oUmW1yo/edit?usp=sharing"",""พิษณุโลก!J270"")"),0)</f>
        <v>0</v>
      </c>
      <c r="K375" s="163">
        <f t="shared" ref="K375:K377" ca="1" si="107">IF(I375&gt;0,J375*100/I375,0)</f>
        <v>0</v>
      </c>
      <c r="L375" s="181"/>
      <c r="M375" s="181"/>
      <c r="N375" s="181"/>
      <c r="O375" s="181"/>
      <c r="P375" s="181"/>
    </row>
    <row r="376" spans="1:16" ht="21.75" customHeight="1" x14ac:dyDescent="0.3">
      <c r="A376" s="175"/>
      <c r="B376" s="176"/>
      <c r="C376" s="176"/>
      <c r="D376" s="193"/>
      <c r="E376" s="195"/>
      <c r="F376" s="195"/>
      <c r="G376" s="279" t="s">
        <v>143</v>
      </c>
      <c r="H376" s="278" t="s">
        <v>122</v>
      </c>
      <c r="I376" s="187">
        <f ca="1">IFERROR(__xludf.DUMMYFUNCTION("IMPORTRANGE(""https://docs.google.com/spreadsheets/d/11923uPwbBZFjjGgGUA6NLw09EwE0CqkOc4q9oUmW1yo/edit?usp=sharing"",""พิษณุโลก!I271"")"),0)</f>
        <v>0</v>
      </c>
      <c r="J376" s="188">
        <f ca="1">IFERROR(__xludf.DUMMYFUNCTION("IMPORTRANGE(""https://docs.google.com/spreadsheets/d/11923uPwbBZFjjGgGUA6NLw09EwE0CqkOc4q9oUmW1yo/edit?usp=sharing"",""พิษณุโลก!J271"")"),0)</f>
        <v>0</v>
      </c>
      <c r="K376" s="163">
        <f t="shared" ca="1" si="107"/>
        <v>0</v>
      </c>
      <c r="L376" s="181"/>
      <c r="M376" s="181"/>
      <c r="N376" s="181"/>
      <c r="O376" s="181"/>
      <c r="P376" s="181"/>
    </row>
    <row r="377" spans="1:16" ht="21.75" customHeight="1" x14ac:dyDescent="0.3">
      <c r="A377" s="175"/>
      <c r="B377" s="176"/>
      <c r="C377" s="176"/>
      <c r="D377" s="193"/>
      <c r="E377" s="195"/>
      <c r="F377" s="195"/>
      <c r="G377" s="279" t="s">
        <v>144</v>
      </c>
      <c r="H377" s="278" t="s">
        <v>122</v>
      </c>
      <c r="I377" s="187">
        <f ca="1">IFERROR(__xludf.DUMMYFUNCTION("IMPORTRANGE(""https://docs.google.com/spreadsheets/d/11923uPwbBZFjjGgGUA6NLw09EwE0CqkOc4q9oUmW1yo/edit?usp=sharing"",""พิษณุโลก!I272"")"),0)</f>
        <v>0</v>
      </c>
      <c r="J377" s="203">
        <f ca="1">IFERROR(__xludf.DUMMYFUNCTION("IMPORTRANGE(""https://docs.google.com/spreadsheets/d/11923uPwbBZFjjGgGUA6NLw09EwE0CqkOc4q9oUmW1yo/edit?usp=sharing"",""พิษณุโลก!J272"")"),0)</f>
        <v>0</v>
      </c>
      <c r="K377" s="163">
        <f t="shared" ca="1" si="107"/>
        <v>0</v>
      </c>
      <c r="L377" s="181"/>
      <c r="M377" s="181"/>
      <c r="N377" s="181"/>
      <c r="O377" s="181"/>
      <c r="P377" s="181"/>
    </row>
    <row r="378" spans="1:16" ht="21.75" customHeight="1" x14ac:dyDescent="0.3">
      <c r="A378" s="175"/>
      <c r="B378" s="176"/>
      <c r="C378" s="176"/>
      <c r="D378" s="193"/>
      <c r="E378" s="194" t="s">
        <v>54</v>
      </c>
      <c r="F378" s="195"/>
      <c r="G378" s="196"/>
      <c r="H378" s="186"/>
      <c r="I378" s="187"/>
      <c r="J378" s="197">
        <f ca="1">IFERROR(__xludf.DUMMYFUNCTION("IMPORTRANGE(""https://docs.google.com/spreadsheets/d/11923uPwbBZFjjGgGUA6NLw09EwE0CqkOc4q9oUmW1yo/edit?usp=sharing"",""พิษณุโลก!J273"")"),0)</f>
        <v>0</v>
      </c>
      <c r="K378" s="163"/>
      <c r="L378" s="181"/>
      <c r="M378" s="181"/>
      <c r="N378" s="181"/>
      <c r="O378" s="181"/>
      <c r="P378" s="181"/>
    </row>
    <row r="379" spans="1:16" ht="21.75" customHeight="1" x14ac:dyDescent="0.3">
      <c r="A379" s="175"/>
      <c r="B379" s="176"/>
      <c r="C379" s="176"/>
      <c r="D379" s="205">
        <v>3</v>
      </c>
      <c r="E379" s="206" t="s">
        <v>55</v>
      </c>
      <c r="F379" s="207"/>
      <c r="G379" s="208"/>
      <c r="H379" s="186"/>
      <c r="I379" s="187"/>
      <c r="J379" s="209">
        <f ca="1">IFERROR(__xludf.DUMMYFUNCTION("IMPORTRANGE(""https://docs.google.com/spreadsheets/d/11923uPwbBZFjjGgGUA6NLw09EwE0CqkOc4q9oUmW1yo/edit?usp=sharing"",""พิษณุโลก!J274"")"),0)</f>
        <v>0</v>
      </c>
      <c r="K379" s="163"/>
      <c r="L379" s="181"/>
      <c r="M379" s="181"/>
      <c r="N379" s="181"/>
      <c r="O379" s="181"/>
      <c r="P379" s="181"/>
    </row>
    <row r="380" spans="1:16" ht="21.75" customHeight="1" x14ac:dyDescent="0.3">
      <c r="A380" s="364"/>
      <c r="B380" s="365">
        <v>2</v>
      </c>
      <c r="C380" s="366" t="s">
        <v>145</v>
      </c>
      <c r="D380" s="366"/>
      <c r="E380" s="380"/>
      <c r="F380" s="380"/>
      <c r="G380" s="381"/>
      <c r="H380" s="368" t="s">
        <v>122</v>
      </c>
      <c r="I380" s="369">
        <f ca="1">IFERROR(__xludf.DUMMYFUNCTION("IMPORTRANGE(""https://docs.google.com/spreadsheets/d/11923uPwbBZFjjGgGUA6NLw09EwE0CqkOc4q9oUmW1yo/edit?usp=sharing"",""พิษณุโลก!I275"")"),1000)</f>
        <v>1000</v>
      </c>
      <c r="J380" s="369">
        <f ca="1">IFERROR(__xludf.DUMMYFUNCTION("IMPORTRANGE(""https://docs.google.com/spreadsheets/d/11923uPwbBZFjjGgGUA6NLw09EwE0CqkOc4q9oUmW1yo/edit?usp=sharing"",""พิษณุโลก!J275"")"),1000)</f>
        <v>1000</v>
      </c>
      <c r="K380" s="370">
        <f t="shared" ref="K380:K381" ca="1" si="108">IF(I380&gt;0,J380*100/I380,0)</f>
        <v>100</v>
      </c>
      <c r="L380" s="371">
        <f ca="1">IFERROR(__xludf.DUMMYFUNCTION("IMPORTRANGE(""https://docs.google.com/spreadsheets/d/11923uPwbBZFjjGgGUA6NLw09EwE0CqkOc4q9oUmW1yo/edit?usp=sharing"",""พิษณุโลก!L275"")"),1028520)</f>
        <v>1028520</v>
      </c>
      <c r="M380" s="371"/>
      <c r="N380" s="371">
        <f ca="1">IFERROR(__xludf.DUMMYFUNCTION("IMPORTRANGE(""https://docs.google.com/spreadsheets/d/11923uPwbBZFjjGgGUA6NLw09EwE0CqkOc4q9oUmW1yo/edit?usp=sharing"",""พิษณุโลก!M275"")"),59180.09)</f>
        <v>59180.09</v>
      </c>
      <c r="O380" s="371">
        <f ca="1">+IF(L380&gt;0,N380*100/L380,0)</f>
        <v>5.7539075564889357</v>
      </c>
      <c r="P380" s="371"/>
    </row>
    <row r="381" spans="1:16" ht="21.75" customHeight="1" x14ac:dyDescent="0.3">
      <c r="A381" s="364"/>
      <c r="B381" s="365"/>
      <c r="C381" s="366"/>
      <c r="D381" s="382"/>
      <c r="E381" s="383"/>
      <c r="F381" s="383"/>
      <c r="G381" s="384"/>
      <c r="H381" s="368" t="s">
        <v>37</v>
      </c>
      <c r="I381" s="369">
        <f ca="1">IFERROR(__xludf.DUMMYFUNCTION("IMPORTRANGE(""https://docs.google.com/spreadsheets/d/11923uPwbBZFjjGgGUA6NLw09EwE0CqkOc4q9oUmW1yo/edit?usp=sharing"",""พิษณุโลก!I276"")"),100)</f>
        <v>100</v>
      </c>
      <c r="J381" s="369">
        <f ca="1">IFERROR(__xludf.DUMMYFUNCTION("IMPORTRANGE(""https://docs.google.com/spreadsheets/d/11923uPwbBZFjjGgGUA6NLw09EwE0CqkOc4q9oUmW1yo/edit?usp=sharing"",""พิษณุโลก!J276"")"),100)</f>
        <v>100</v>
      </c>
      <c r="K381" s="370">
        <f t="shared" ca="1" si="108"/>
        <v>100</v>
      </c>
      <c r="L381" s="371"/>
      <c r="M381" s="371"/>
      <c r="N381" s="371"/>
      <c r="O381" s="371"/>
      <c r="P381" s="371"/>
    </row>
    <row r="382" spans="1:16" ht="21.75" customHeight="1" x14ac:dyDescent="0.3">
      <c r="A382" s="156"/>
      <c r="B382" s="157"/>
      <c r="C382" s="157" t="s">
        <v>16</v>
      </c>
      <c r="D382" s="158" t="s">
        <v>38</v>
      </c>
      <c r="E382" s="159"/>
      <c r="F382" s="159"/>
      <c r="G382" s="160" t="s">
        <v>39</v>
      </c>
      <c r="H382" s="161" t="s">
        <v>12</v>
      </c>
      <c r="I382" s="162" t="s">
        <v>40</v>
      </c>
      <c r="J382" s="162"/>
      <c r="K382" s="163"/>
      <c r="L382" s="164">
        <f ca="1">IFERROR(__xludf.DUMMYFUNCTION("IMPORTRANGE(""https://docs.google.com/spreadsheets/d/11923uPwbBZFjjGgGUA6NLw09EwE0CqkOc4q9oUmW1yo/edit?usp=sharing"",""พิษณุโลก!L277"")"),0)</f>
        <v>0</v>
      </c>
      <c r="M382" s="164"/>
      <c r="N382" s="164">
        <f ca="1">IFERROR(__xludf.DUMMYFUNCTION("IMPORTRANGE(""https://docs.google.com/spreadsheets/d/11923uPwbBZFjjGgGUA6NLw09EwE0CqkOc4q9oUmW1yo/edit?usp=sharing"",""พิษณุโลก!M277"")"),0)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3">
      <c r="A383" s="156"/>
      <c r="B383" s="157"/>
      <c r="C383" s="157"/>
      <c r="D383" s="166"/>
      <c r="E383" s="159"/>
      <c r="F383" s="159" t="s">
        <v>40</v>
      </c>
      <c r="G383" s="160" t="s">
        <v>41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IFERROR(__xludf.DUMMYFUNCTION("IMPORTRANGE(""https://docs.google.com/spreadsheets/d/11923uPwbBZFjjGgGUA6NLw09EwE0CqkOc4q9oUmW1yo/edit?usp=sharing"",""พิษณุโลก!L278"")"),1028520)</f>
        <v>1028520</v>
      </c>
      <c r="M383" s="165"/>
      <c r="N383" s="165">
        <f ca="1">IFERROR(__xludf.DUMMYFUNCTION("IMPORTRANGE(""https://docs.google.com/spreadsheets/d/11923uPwbBZFjjGgGUA6NLw09EwE0CqkOc4q9oUmW1yo/edit?usp=sharing"",""พิษณุโลก!M278"")"),59180.09)</f>
        <v>59180.09</v>
      </c>
      <c r="O383" s="165">
        <f t="shared" ca="1" si="109"/>
        <v>5.7539075564889357</v>
      </c>
      <c r="P383" s="165"/>
    </row>
    <row r="384" spans="1:16" ht="21.75" customHeight="1" x14ac:dyDescent="0.3">
      <c r="A384" s="156"/>
      <c r="B384" s="157"/>
      <c r="C384" s="157"/>
      <c r="D384" s="166"/>
      <c r="E384" s="159"/>
      <c r="F384" s="159"/>
      <c r="G384" s="372" t="s">
        <v>129</v>
      </c>
      <c r="H384" s="161" t="s">
        <v>12</v>
      </c>
      <c r="I384" s="162"/>
      <c r="J384" s="162"/>
      <c r="K384" s="163"/>
      <c r="L384" s="168">
        <f ca="1">IFERROR(__xludf.DUMMYFUNCTION("IMPORTRANGE(""https://docs.google.com/spreadsheets/d/11923uPwbBZFjjGgGUA6NLw09EwE0CqkOc4q9oUmW1yo/edit?usp=sharing"",""พิษณุโลก!L279"")"),0)</f>
        <v>0</v>
      </c>
      <c r="M384" s="168"/>
      <c r="N384" s="168">
        <f ca="1">IFERROR(__xludf.DUMMYFUNCTION("IMPORTRANGE(""https://docs.google.com/spreadsheets/d/11923uPwbBZFjjGgGUA6NLw09EwE0CqkOc4q9oUmW1yo/edit?usp=sharing"",""พิษณุโลก!M279"")"),0)</f>
        <v>0</v>
      </c>
      <c r="O384" s="168">
        <f t="shared" ca="1" si="109"/>
        <v>0</v>
      </c>
      <c r="P384" s="168"/>
    </row>
    <row r="385" spans="1:16" ht="21.75" customHeight="1" x14ac:dyDescent="0.3">
      <c r="A385" s="156"/>
      <c r="B385" s="157"/>
      <c r="C385" s="157"/>
      <c r="D385" s="166"/>
      <c r="E385" s="159"/>
      <c r="F385" s="159"/>
      <c r="G385" s="372" t="s">
        <v>130</v>
      </c>
      <c r="H385" s="161" t="s">
        <v>12</v>
      </c>
      <c r="I385" s="162"/>
      <c r="J385" s="162"/>
      <c r="K385" s="163"/>
      <c r="L385" s="168">
        <f ca="1">IFERROR(__xludf.DUMMYFUNCTION("IMPORTRANGE(""https://docs.google.com/spreadsheets/d/11923uPwbBZFjjGgGUA6NLw09EwE0CqkOc4q9oUmW1yo/edit?usp=sharing"",""พิษณุโลก!L280"")"),1028520)</f>
        <v>1028520</v>
      </c>
      <c r="M385" s="168"/>
      <c r="N385" s="167">
        <f ca="1">IFERROR(__xludf.DUMMYFUNCTION("IMPORTRANGE(""https://docs.google.com/spreadsheets/d/11923uPwbBZFjjGgGUA6NLw09EwE0CqkOc4q9oUmW1yo/edit?usp=sharing"",""พิษณุโลก!M280"")"),59180.09)</f>
        <v>59180.09</v>
      </c>
      <c r="O385" s="168">
        <f t="shared" ca="1" si="109"/>
        <v>5.7539075564889357</v>
      </c>
      <c r="P385" s="168"/>
    </row>
    <row r="386" spans="1:16" ht="21.75" customHeight="1" x14ac:dyDescent="0.3">
      <c r="A386" s="373"/>
      <c r="B386" s="374"/>
      <c r="C386" s="157"/>
      <c r="D386" s="375"/>
      <c r="E386" s="159"/>
      <c r="F386" s="159"/>
      <c r="G386" s="376" t="s">
        <v>131</v>
      </c>
      <c r="H386" s="161" t="s">
        <v>12</v>
      </c>
      <c r="I386" s="187"/>
      <c r="J386" s="187"/>
      <c r="K386" s="223"/>
      <c r="L386" s="168"/>
      <c r="M386" s="168"/>
      <c r="N386" s="377">
        <f ca="1">IFERROR(__xludf.DUMMYFUNCTION("IMPORTRANGE(""https://docs.google.com/spreadsheets/d/11923uPwbBZFjjGgGUA6NLw09EwE0CqkOc4q9oUmW1yo/edit?usp=sharing"",""พิษณุโลก!M281"")"),25800)</f>
        <v>25800</v>
      </c>
      <c r="O386" s="168"/>
      <c r="P386" s="168"/>
    </row>
    <row r="387" spans="1:16" ht="21.75" customHeight="1" x14ac:dyDescent="0.3">
      <c r="A387" s="373"/>
      <c r="B387" s="374"/>
      <c r="C387" s="157"/>
      <c r="D387" s="375"/>
      <c r="E387" s="159"/>
      <c r="F387" s="159"/>
      <c r="G387" s="376" t="s">
        <v>132</v>
      </c>
      <c r="H387" s="161" t="s">
        <v>12</v>
      </c>
      <c r="I387" s="187"/>
      <c r="J387" s="187"/>
      <c r="K387" s="223"/>
      <c r="L387" s="168"/>
      <c r="M387" s="168"/>
      <c r="N387" s="377">
        <f ca="1">IFERROR(__xludf.DUMMYFUNCTION("IMPORTRANGE(""https://docs.google.com/spreadsheets/d/11923uPwbBZFjjGgGUA6NLw09EwE0CqkOc4q9oUmW1yo/edit?usp=sharing"",""พิษณุโลก!M282"")"),0)</f>
        <v>0</v>
      </c>
      <c r="O387" s="168"/>
      <c r="P387" s="168"/>
    </row>
    <row r="388" spans="1:16" ht="21.75" customHeight="1" x14ac:dyDescent="0.3">
      <c r="A388" s="373"/>
      <c r="B388" s="374"/>
      <c r="C388" s="157"/>
      <c r="D388" s="375"/>
      <c r="E388" s="159"/>
      <c r="F388" s="159"/>
      <c r="G388" s="376" t="s">
        <v>133</v>
      </c>
      <c r="H388" s="161" t="s">
        <v>12</v>
      </c>
      <c r="I388" s="187"/>
      <c r="J388" s="187"/>
      <c r="K388" s="223"/>
      <c r="L388" s="168"/>
      <c r="M388" s="168"/>
      <c r="N388" s="377">
        <f ca="1">IFERROR(__xludf.DUMMYFUNCTION("IMPORTRANGE(""https://docs.google.com/spreadsheets/d/11923uPwbBZFjjGgGUA6NLw09EwE0CqkOc4q9oUmW1yo/edit?usp=sharing"",""พิษณุโลก!M283"")"),31900.09)</f>
        <v>31900.09</v>
      </c>
      <c r="O388" s="168"/>
      <c r="P388" s="168"/>
    </row>
    <row r="389" spans="1:16" ht="21.75" customHeight="1" x14ac:dyDescent="0.3">
      <c r="A389" s="373"/>
      <c r="B389" s="374"/>
      <c r="C389" s="157"/>
      <c r="D389" s="375"/>
      <c r="E389" s="159"/>
      <c r="F389" s="159"/>
      <c r="G389" s="376" t="s">
        <v>134</v>
      </c>
      <c r="H389" s="161" t="s">
        <v>12</v>
      </c>
      <c r="I389" s="187"/>
      <c r="J389" s="187"/>
      <c r="K389" s="223"/>
      <c r="L389" s="168"/>
      <c r="M389" s="168"/>
      <c r="N389" s="377">
        <f ca="1">IFERROR(__xludf.DUMMYFUNCTION("IMPORTRANGE(""https://docs.google.com/spreadsheets/d/11923uPwbBZFjjGgGUA6NLw09EwE0CqkOc4q9oUmW1yo/edit?usp=sharing"",""พิษณุโลก!M284"")"),1480)</f>
        <v>1480</v>
      </c>
      <c r="O389" s="168"/>
      <c r="P389" s="168"/>
    </row>
    <row r="390" spans="1:16" ht="21.75" customHeight="1" x14ac:dyDescent="0.3">
      <c r="A390" s="175"/>
      <c r="B390" s="176"/>
      <c r="C390" s="157" t="s">
        <v>16</v>
      </c>
      <c r="D390" s="177" t="s">
        <v>44</v>
      </c>
      <c r="E390" s="178"/>
      <c r="F390" s="178"/>
      <c r="G390" s="179"/>
      <c r="H390" s="180"/>
      <c r="I390" s="162"/>
      <c r="J390" s="162"/>
      <c r="K390" s="163"/>
      <c r="L390" s="181"/>
      <c r="M390" s="181"/>
      <c r="N390" s="181"/>
      <c r="O390" s="181"/>
      <c r="P390" s="181"/>
    </row>
    <row r="391" spans="1:16" ht="21.75" customHeight="1" x14ac:dyDescent="0.3">
      <c r="A391" s="175"/>
      <c r="B391" s="176"/>
      <c r="C391" s="176"/>
      <c r="D391" s="182">
        <v>1</v>
      </c>
      <c r="E391" s="183" t="s">
        <v>45</v>
      </c>
      <c r="F391" s="184"/>
      <c r="G391" s="185"/>
      <c r="H391" s="186"/>
      <c r="I391" s="187"/>
      <c r="J391" s="197">
        <f ca="1">IFERROR(__xludf.DUMMYFUNCTION("IMPORTRANGE(""https://docs.google.com/spreadsheets/d/11923uPwbBZFjjGgGUA6NLw09EwE0CqkOc4q9oUmW1yo/edit?usp=sharing"",""พิษณุโลก!J286"")"),0)</f>
        <v>0</v>
      </c>
      <c r="K391" s="163"/>
      <c r="L391" s="181"/>
      <c r="M391" s="181"/>
      <c r="N391" s="181"/>
      <c r="O391" s="181"/>
      <c r="P391" s="181"/>
    </row>
    <row r="392" spans="1:16" ht="21.75" customHeight="1" x14ac:dyDescent="0.3">
      <c r="A392" s="175"/>
      <c r="B392" s="176"/>
      <c r="C392" s="176"/>
      <c r="D392" s="189">
        <v>2</v>
      </c>
      <c r="E392" s="190" t="s">
        <v>46</v>
      </c>
      <c r="F392" s="191"/>
      <c r="G392" s="192"/>
      <c r="H392" s="186"/>
      <c r="I392" s="187"/>
      <c r="J392" s="188">
        <f ca="1">IFERROR(__xludf.DUMMYFUNCTION("IMPORTRANGE(""https://docs.google.com/spreadsheets/d/11923uPwbBZFjjGgGUA6NLw09EwE0CqkOc4q9oUmW1yo/edit?usp=sharing"",""พิษณุโลก!J287"")"),1)</f>
        <v>1</v>
      </c>
      <c r="K392" s="163"/>
      <c r="L392" s="181" t="s">
        <v>40</v>
      </c>
      <c r="M392" s="181"/>
      <c r="N392" s="181" t="s">
        <v>40</v>
      </c>
      <c r="O392" s="181"/>
      <c r="P392" s="181"/>
    </row>
    <row r="393" spans="1:16" ht="21.75" customHeight="1" x14ac:dyDescent="0.3">
      <c r="A393" s="175"/>
      <c r="B393" s="176"/>
      <c r="C393" s="176"/>
      <c r="D393" s="193"/>
      <c r="E393" s="194" t="s">
        <v>47</v>
      </c>
      <c r="F393" s="195"/>
      <c r="G393" s="196"/>
      <c r="H393" s="186"/>
      <c r="I393" s="187"/>
      <c r="J393" s="188">
        <f ca="1">IFERROR(__xludf.DUMMYFUNCTION("IMPORTRANGE(""https://docs.google.com/spreadsheets/d/11923uPwbBZFjjGgGUA6NLw09EwE0CqkOc4q9oUmW1yo/edit?usp=sharing"",""พิษณุโลก!J288"")"),1)</f>
        <v>1</v>
      </c>
      <c r="K393" s="163"/>
      <c r="L393" s="181"/>
      <c r="M393" s="181"/>
      <c r="N393" s="181"/>
      <c r="O393" s="181"/>
      <c r="P393" s="181"/>
    </row>
    <row r="394" spans="1:16" ht="21.75" customHeight="1" x14ac:dyDescent="0.3">
      <c r="A394" s="175"/>
      <c r="B394" s="176"/>
      <c r="C394" s="176"/>
      <c r="D394" s="193"/>
      <c r="E394" s="194" t="s">
        <v>48</v>
      </c>
      <c r="F394" s="195"/>
      <c r="G394" s="196"/>
      <c r="H394" s="186"/>
      <c r="I394" s="187"/>
      <c r="J394" s="197">
        <f ca="1">IFERROR(__xludf.DUMMYFUNCTION("IMPORTRANGE(""https://docs.google.com/spreadsheets/d/11923uPwbBZFjjGgGUA6NLw09EwE0CqkOc4q9oUmW1yo/edit?usp=sharing"",""พิษณุโลก!J289"")"),1)</f>
        <v>1</v>
      </c>
      <c r="K394" s="163"/>
      <c r="L394" s="181"/>
      <c r="M394" s="181"/>
      <c r="N394" s="181"/>
      <c r="O394" s="181"/>
      <c r="P394" s="181"/>
    </row>
    <row r="395" spans="1:16" ht="21.75" customHeight="1" x14ac:dyDescent="0.3">
      <c r="A395" s="175"/>
      <c r="B395" s="176"/>
      <c r="C395" s="176"/>
      <c r="D395" s="193"/>
      <c r="E395" s="198"/>
      <c r="F395" s="194" t="s">
        <v>146</v>
      </c>
      <c r="G395" s="195"/>
      <c r="H395" s="186"/>
      <c r="I395" s="187"/>
      <c r="J395" s="187"/>
      <c r="K395" s="163"/>
      <c r="L395" s="181"/>
      <c r="M395" s="181"/>
      <c r="N395" s="181"/>
      <c r="O395" s="181"/>
      <c r="P395" s="181"/>
    </row>
    <row r="396" spans="1:16" ht="21.75" customHeight="1" x14ac:dyDescent="0.3">
      <c r="A396" s="175"/>
      <c r="B396" s="176"/>
      <c r="C396" s="176"/>
      <c r="D396" s="193"/>
      <c r="E396" s="198"/>
      <c r="F396" s="195"/>
      <c r="G396" s="291" t="s">
        <v>70</v>
      </c>
      <c r="H396" s="186" t="s">
        <v>37</v>
      </c>
      <c r="I396" s="187">
        <f ca="1">IFERROR(__xludf.DUMMYFUNCTION("IMPORTRANGE(""https://docs.google.com/spreadsheets/d/11923uPwbBZFjjGgGUA6NLw09EwE0CqkOc4q9oUmW1yo/edit?usp=sharing"",""พิษณุโลก!I291"")"),100)</f>
        <v>100</v>
      </c>
      <c r="J396" s="197">
        <f ca="1">IFERROR(__xludf.DUMMYFUNCTION("IMPORTRANGE(""https://docs.google.com/spreadsheets/d/11923uPwbBZFjjGgGUA6NLw09EwE0CqkOc4q9oUmW1yo/edit?usp=sharing"",""พิษณุโลก!J291"")"),100)</f>
        <v>100</v>
      </c>
      <c r="K396" s="163">
        <f t="shared" ref="K396:K398" ca="1" si="110">IF(I396&gt;0,J396*100/I396,0)</f>
        <v>100</v>
      </c>
      <c r="L396" s="181"/>
      <c r="M396" s="181"/>
      <c r="N396" s="181"/>
      <c r="O396" s="181"/>
      <c r="P396" s="181"/>
    </row>
    <row r="397" spans="1:16" ht="21.75" customHeight="1" x14ac:dyDescent="0.3">
      <c r="A397" s="175"/>
      <c r="B397" s="176"/>
      <c r="C397" s="176"/>
      <c r="D397" s="193"/>
      <c r="E397" s="198"/>
      <c r="F397" s="195"/>
      <c r="G397" s="196" t="s">
        <v>53</v>
      </c>
      <c r="H397" s="186" t="s">
        <v>122</v>
      </c>
      <c r="I397" s="187">
        <f ca="1">IFERROR(__xludf.DUMMYFUNCTION("IMPORTRANGE(""https://docs.google.com/spreadsheets/d/11923uPwbBZFjjGgGUA6NLw09EwE0CqkOc4q9oUmW1yo/edit?usp=sharing"",""พิษณุโลก!I292"")"),1000)</f>
        <v>1000</v>
      </c>
      <c r="J397" s="197">
        <f ca="1">IFERROR(__xludf.DUMMYFUNCTION("IMPORTRANGE(""https://docs.google.com/spreadsheets/d/11923uPwbBZFjjGgGUA6NLw09EwE0CqkOc4q9oUmW1yo/edit?usp=sharing"",""พิษณุโลก!J292"")"),1000)</f>
        <v>1000</v>
      </c>
      <c r="K397" s="163">
        <f t="shared" ca="1" si="110"/>
        <v>100</v>
      </c>
      <c r="L397" s="181"/>
      <c r="M397" s="181"/>
      <c r="N397" s="181"/>
      <c r="O397" s="181"/>
      <c r="P397" s="181"/>
    </row>
    <row r="398" spans="1:16" ht="21.75" customHeight="1" x14ac:dyDescent="0.3">
      <c r="A398" s="175"/>
      <c r="B398" s="176"/>
      <c r="C398" s="176"/>
      <c r="D398" s="193"/>
      <c r="E398" s="198"/>
      <c r="F398" s="195"/>
      <c r="G398" s="196"/>
      <c r="H398" s="186" t="s">
        <v>37</v>
      </c>
      <c r="I398" s="187">
        <f ca="1">IFERROR(__xludf.DUMMYFUNCTION("IMPORTRANGE(""https://docs.google.com/spreadsheets/d/11923uPwbBZFjjGgGUA6NLw09EwE0CqkOc4q9oUmW1yo/edit?usp=sharing"",""พิษณุโลก!I293"")"),100)</f>
        <v>100</v>
      </c>
      <c r="J398" s="197">
        <f ca="1">IFERROR(__xludf.DUMMYFUNCTION("IMPORTRANGE(""https://docs.google.com/spreadsheets/d/11923uPwbBZFjjGgGUA6NLw09EwE0CqkOc4q9oUmW1yo/edit?usp=sharing"",""พิษณุโลก!J293"")"),0)</f>
        <v>0</v>
      </c>
      <c r="K398" s="163">
        <f t="shared" ca="1" si="110"/>
        <v>0</v>
      </c>
      <c r="L398" s="181"/>
      <c r="M398" s="181"/>
      <c r="N398" s="181"/>
      <c r="O398" s="181"/>
      <c r="P398" s="181"/>
    </row>
    <row r="399" spans="1:16" ht="21.75" customHeight="1" x14ac:dyDescent="0.3">
      <c r="A399" s="175"/>
      <c r="B399" s="176"/>
      <c r="C399" s="176"/>
      <c r="D399" s="193"/>
      <c r="E399" s="194" t="s">
        <v>54</v>
      </c>
      <c r="F399" s="195"/>
      <c r="G399" s="196"/>
      <c r="H399" s="186"/>
      <c r="I399" s="187"/>
      <c r="J399" s="197">
        <f ca="1">IFERROR(__xludf.DUMMYFUNCTION("IMPORTRANGE(""https://docs.google.com/spreadsheets/d/11923uPwbBZFjjGgGUA6NLw09EwE0CqkOc4q9oUmW1yo/edit?usp=sharing"",""พิษณุโลก!J294"")"),0)</f>
        <v>0</v>
      </c>
      <c r="K399" s="163"/>
      <c r="L399" s="181"/>
      <c r="M399" s="181"/>
      <c r="N399" s="181"/>
      <c r="O399" s="181"/>
      <c r="P399" s="181"/>
    </row>
    <row r="400" spans="1:16" ht="21.75" customHeight="1" x14ac:dyDescent="0.3">
      <c r="A400" s="175"/>
      <c r="B400" s="176"/>
      <c r="C400" s="176"/>
      <c r="D400" s="205">
        <v>3</v>
      </c>
      <c r="E400" s="206" t="s">
        <v>55</v>
      </c>
      <c r="F400" s="207"/>
      <c r="G400" s="208"/>
      <c r="H400" s="186"/>
      <c r="I400" s="187"/>
      <c r="J400" s="209">
        <f ca="1">IFERROR(__xludf.DUMMYFUNCTION("IMPORTRANGE(""https://docs.google.com/spreadsheets/d/11923uPwbBZFjjGgGUA6NLw09EwE0CqkOc4q9oUmW1yo/edit?usp=sharing"",""พิษณุโลก!J295"")"),0)</f>
        <v>0</v>
      </c>
      <c r="K400" s="163"/>
      <c r="L400" s="181"/>
      <c r="M400" s="181"/>
      <c r="N400" s="181"/>
      <c r="O400" s="181"/>
      <c r="P400" s="181"/>
    </row>
    <row r="401" spans="1:16" ht="21.75" customHeight="1" x14ac:dyDescent="0.3">
      <c r="A401" s="364"/>
      <c r="B401" s="365">
        <v>3</v>
      </c>
      <c r="C401" s="365" t="s">
        <v>147</v>
      </c>
      <c r="D401" s="366"/>
      <c r="E401" s="366"/>
      <c r="F401" s="366"/>
      <c r="G401" s="367"/>
      <c r="H401" s="368" t="s">
        <v>122</v>
      </c>
      <c r="I401" s="369">
        <f ca="1">IFERROR(__xludf.DUMMYFUNCTION("IMPORTRANGE(""https://docs.google.com/spreadsheets/d/11923uPwbBZFjjGgGUA6NLw09EwE0CqkOc4q9oUmW1yo/edit?usp=sharing"",""พิษณุโลก!I296"")"),225)</f>
        <v>225</v>
      </c>
      <c r="J401" s="369">
        <f ca="1">IFERROR(__xludf.DUMMYFUNCTION("IMPORTRANGE(""https://docs.google.com/spreadsheets/d/11923uPwbBZFjjGgGUA6NLw09EwE0CqkOc4q9oUmW1yo/edit?usp=sharing"",""พิษณุโลก!J296"")"),195)</f>
        <v>195</v>
      </c>
      <c r="K401" s="370">
        <f t="shared" ref="K401:K402" ca="1" si="111">IF(I401&gt;0,J401*100/I401,0)</f>
        <v>86.666666666666671</v>
      </c>
      <c r="L401" s="371">
        <f ca="1">IFERROR(__xludf.DUMMYFUNCTION("IMPORTRANGE(""https://docs.google.com/spreadsheets/d/11923uPwbBZFjjGgGUA6NLw09EwE0CqkOc4q9oUmW1yo/edit?usp=sharing"",""พิษณุโลก!L296"")"),252320)</f>
        <v>252320</v>
      </c>
      <c r="M401" s="371"/>
      <c r="N401" s="371">
        <f ca="1">IFERROR(__xludf.DUMMYFUNCTION("IMPORTRANGE(""https://docs.google.com/spreadsheets/d/11923uPwbBZFjjGgGUA6NLw09EwE0CqkOc4q9oUmW1yo/edit?usp=sharing"",""พิษณุโลก!M296"")"),75260)</f>
        <v>75260</v>
      </c>
      <c r="O401" s="371">
        <f ca="1">+IF(L401&gt;0,N401*100/L401,0)</f>
        <v>29.827203551046292</v>
      </c>
      <c r="P401" s="371"/>
    </row>
    <row r="402" spans="1:16" ht="21.75" customHeight="1" x14ac:dyDescent="0.3">
      <c r="A402" s="364"/>
      <c r="B402" s="365"/>
      <c r="C402" s="365"/>
      <c r="D402" s="382"/>
      <c r="E402" s="382"/>
      <c r="F402" s="382"/>
      <c r="G402" s="385"/>
      <c r="H402" s="368" t="s">
        <v>37</v>
      </c>
      <c r="I402" s="369">
        <f ca="1">IFERROR(__xludf.DUMMYFUNCTION("IMPORTRANGE(""https://docs.google.com/spreadsheets/d/11923uPwbBZFjjGgGUA6NLw09EwE0CqkOc4q9oUmW1yo/edit?usp=sharing"",""พิษณุโลก!I297"")"),75)</f>
        <v>75</v>
      </c>
      <c r="J402" s="369">
        <f ca="1">IFERROR(__xludf.DUMMYFUNCTION("IMPORTRANGE(""https://docs.google.com/spreadsheets/d/11923uPwbBZFjjGgGUA6NLw09EwE0CqkOc4q9oUmW1yo/edit?usp=sharing"",""พิษณุโลก!J297"")"),65)</f>
        <v>65</v>
      </c>
      <c r="K402" s="370">
        <f t="shared" ca="1" si="111"/>
        <v>86.666666666666671</v>
      </c>
      <c r="L402" s="371"/>
      <c r="M402" s="371"/>
      <c r="N402" s="371"/>
      <c r="O402" s="371"/>
      <c r="P402" s="371"/>
    </row>
    <row r="403" spans="1:16" ht="21.75" customHeight="1" x14ac:dyDescent="0.3">
      <c r="A403" s="156"/>
      <c r="B403" s="157"/>
      <c r="C403" s="157" t="s">
        <v>16</v>
      </c>
      <c r="D403" s="158" t="s">
        <v>38</v>
      </c>
      <c r="E403" s="159"/>
      <c r="F403" s="159"/>
      <c r="G403" s="160" t="s">
        <v>39</v>
      </c>
      <c r="H403" s="161" t="s">
        <v>12</v>
      </c>
      <c r="I403" s="162" t="s">
        <v>40</v>
      </c>
      <c r="J403" s="162"/>
      <c r="K403" s="163"/>
      <c r="L403" s="164">
        <f ca="1">IFERROR(__xludf.DUMMYFUNCTION("IMPORTRANGE(""https://docs.google.com/spreadsheets/d/11923uPwbBZFjjGgGUA6NLw09EwE0CqkOc4q9oUmW1yo/edit?usp=sharing"",""พิษณุโลก!L298"")"),0)</f>
        <v>0</v>
      </c>
      <c r="M403" s="164"/>
      <c r="N403" s="168">
        <f ca="1">IFERROR(__xludf.DUMMYFUNCTION("IMPORTRANGE(""https://docs.google.com/spreadsheets/d/11923uPwbBZFjjGgGUA6NLw09EwE0CqkOc4q9oUmW1yo/edit?usp=sharing"",""พิษณุโลก!M298"")"),0)</f>
        <v>0</v>
      </c>
      <c r="O403" s="168">
        <f t="shared" ref="O403:O406" ca="1" si="112">+IF(L403&gt;0,N403*100/L403,0)</f>
        <v>0</v>
      </c>
      <c r="P403" s="168"/>
    </row>
    <row r="404" spans="1:16" ht="21.75" customHeight="1" x14ac:dyDescent="0.3">
      <c r="A404" s="156"/>
      <c r="B404" s="157"/>
      <c r="C404" s="157"/>
      <c r="D404" s="166"/>
      <c r="E404" s="159"/>
      <c r="F404" s="159" t="s">
        <v>40</v>
      </c>
      <c r="G404" s="160" t="s">
        <v>41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IFERROR(__xludf.DUMMYFUNCTION("IMPORTRANGE(""https://docs.google.com/spreadsheets/d/11923uPwbBZFjjGgGUA6NLw09EwE0CqkOc4q9oUmW1yo/edit?usp=sharing"",""พิษณุโลก!L299"")"),252320)</f>
        <v>252320</v>
      </c>
      <c r="M404" s="165"/>
      <c r="N404" s="168">
        <f ca="1">IFERROR(__xludf.DUMMYFUNCTION("IMPORTRANGE(""https://docs.google.com/spreadsheets/d/11923uPwbBZFjjGgGUA6NLw09EwE0CqkOc4q9oUmW1yo/edit?usp=sharing"",""พิษณุโลก!M299"")"),75260)</f>
        <v>75260</v>
      </c>
      <c r="O404" s="168">
        <f t="shared" ca="1" si="112"/>
        <v>29.827203551046292</v>
      </c>
      <c r="P404" s="168"/>
    </row>
    <row r="405" spans="1:16" ht="21.75" customHeight="1" x14ac:dyDescent="0.3">
      <c r="A405" s="156"/>
      <c r="B405" s="157"/>
      <c r="C405" s="157"/>
      <c r="D405" s="166"/>
      <c r="E405" s="159"/>
      <c r="F405" s="159"/>
      <c r="G405" s="372" t="s">
        <v>129</v>
      </c>
      <c r="H405" s="161" t="s">
        <v>12</v>
      </c>
      <c r="I405" s="162"/>
      <c r="J405" s="162"/>
      <c r="K405" s="163"/>
      <c r="L405" s="168">
        <f ca="1">IFERROR(__xludf.DUMMYFUNCTION("IMPORTRANGE(""https://docs.google.com/spreadsheets/d/11923uPwbBZFjjGgGUA6NLw09EwE0CqkOc4q9oUmW1yo/edit?usp=sharing"",""พิษณุโลก!L300"")"),0)</f>
        <v>0</v>
      </c>
      <c r="M405" s="168"/>
      <c r="N405" s="168">
        <f ca="1">IFERROR(__xludf.DUMMYFUNCTION("IMPORTRANGE(""https://docs.google.com/spreadsheets/d/11923uPwbBZFjjGgGUA6NLw09EwE0CqkOc4q9oUmW1yo/edit?usp=sharing"",""พิษณุโลก!M300"")"),0)</f>
        <v>0</v>
      </c>
      <c r="O405" s="168">
        <f t="shared" ca="1" si="112"/>
        <v>0</v>
      </c>
      <c r="P405" s="168"/>
    </row>
    <row r="406" spans="1:16" ht="21.75" customHeight="1" x14ac:dyDescent="0.3">
      <c r="A406" s="156"/>
      <c r="B406" s="157"/>
      <c r="C406" s="157"/>
      <c r="D406" s="166"/>
      <c r="E406" s="159"/>
      <c r="F406" s="159"/>
      <c r="G406" s="372" t="s">
        <v>130</v>
      </c>
      <c r="H406" s="161" t="s">
        <v>12</v>
      </c>
      <c r="I406" s="162"/>
      <c r="J406" s="162"/>
      <c r="K406" s="163"/>
      <c r="L406" s="168">
        <f ca="1">IFERROR(__xludf.DUMMYFUNCTION("IMPORTRANGE(""https://docs.google.com/spreadsheets/d/11923uPwbBZFjjGgGUA6NLw09EwE0CqkOc4q9oUmW1yo/edit?usp=sharing"",""พิษณุโลก!L301"")"),252320)</f>
        <v>252320</v>
      </c>
      <c r="M406" s="168"/>
      <c r="N406" s="168">
        <f ca="1">IFERROR(__xludf.DUMMYFUNCTION("IMPORTRANGE(""https://docs.google.com/spreadsheets/d/11923uPwbBZFjjGgGUA6NLw09EwE0CqkOc4q9oUmW1yo/edit?usp=sharing"",""พิษณุโลก!M301"")"),75260)</f>
        <v>75260</v>
      </c>
      <c r="O406" s="168">
        <f t="shared" ca="1" si="112"/>
        <v>29.827203551046292</v>
      </c>
      <c r="P406" s="168"/>
    </row>
    <row r="407" spans="1:16" ht="21.75" customHeight="1" x14ac:dyDescent="0.3">
      <c r="A407" s="373"/>
      <c r="B407" s="374"/>
      <c r="C407" s="157"/>
      <c r="D407" s="375"/>
      <c r="E407" s="159"/>
      <c r="F407" s="159"/>
      <c r="G407" s="376" t="s">
        <v>131</v>
      </c>
      <c r="H407" s="161" t="s">
        <v>12</v>
      </c>
      <c r="I407" s="187"/>
      <c r="J407" s="187"/>
      <c r="K407" s="223"/>
      <c r="L407" s="168"/>
      <c r="M407" s="168"/>
      <c r="N407" s="377">
        <f ca="1">IFERROR(__xludf.DUMMYFUNCTION("IMPORTRANGE(""https://docs.google.com/spreadsheets/d/11923uPwbBZFjjGgGUA6NLw09EwE0CqkOc4q9oUmW1yo/edit?usp=sharing"",""พิษณุโลก!M302"")"),75260)</f>
        <v>75260</v>
      </c>
      <c r="O407" s="168"/>
      <c r="P407" s="168"/>
    </row>
    <row r="408" spans="1:16" ht="21.75" customHeight="1" x14ac:dyDescent="0.3">
      <c r="A408" s="373"/>
      <c r="B408" s="374"/>
      <c r="C408" s="157"/>
      <c r="D408" s="375"/>
      <c r="E408" s="159"/>
      <c r="F408" s="159"/>
      <c r="G408" s="376" t="s">
        <v>132</v>
      </c>
      <c r="H408" s="161" t="s">
        <v>12</v>
      </c>
      <c r="I408" s="187"/>
      <c r="J408" s="187"/>
      <c r="K408" s="223"/>
      <c r="L408" s="168"/>
      <c r="M408" s="168"/>
      <c r="N408" s="377">
        <f ca="1">IFERROR(__xludf.DUMMYFUNCTION("IMPORTRANGE(""https://docs.google.com/spreadsheets/d/11923uPwbBZFjjGgGUA6NLw09EwE0CqkOc4q9oUmW1yo/edit?usp=sharing"",""พิษณุโลก!M303"")"),0)</f>
        <v>0</v>
      </c>
      <c r="O408" s="168"/>
      <c r="P408" s="168"/>
    </row>
    <row r="409" spans="1:16" ht="21.75" customHeight="1" x14ac:dyDescent="0.3">
      <c r="A409" s="373"/>
      <c r="B409" s="374"/>
      <c r="C409" s="157"/>
      <c r="D409" s="375"/>
      <c r="E409" s="159"/>
      <c r="F409" s="159"/>
      <c r="G409" s="376" t="s">
        <v>133</v>
      </c>
      <c r="H409" s="161" t="s">
        <v>12</v>
      </c>
      <c r="I409" s="187"/>
      <c r="J409" s="187"/>
      <c r="K409" s="223"/>
      <c r="L409" s="168"/>
      <c r="M409" s="168"/>
      <c r="N409" s="377">
        <f ca="1">IFERROR(__xludf.DUMMYFUNCTION("IMPORTRANGE(""https://docs.google.com/spreadsheets/d/11923uPwbBZFjjGgGUA6NLw09EwE0CqkOc4q9oUmW1yo/edit?usp=sharing"",""พิษณุโลก!M304"")"),0)</f>
        <v>0</v>
      </c>
      <c r="O409" s="168"/>
      <c r="P409" s="168"/>
    </row>
    <row r="410" spans="1:16" ht="21.75" customHeight="1" x14ac:dyDescent="0.3">
      <c r="A410" s="373"/>
      <c r="B410" s="374"/>
      <c r="C410" s="157"/>
      <c r="D410" s="375"/>
      <c r="E410" s="159"/>
      <c r="F410" s="159"/>
      <c r="G410" s="376" t="s">
        <v>134</v>
      </c>
      <c r="H410" s="161" t="s">
        <v>12</v>
      </c>
      <c r="I410" s="187"/>
      <c r="J410" s="187"/>
      <c r="K410" s="223"/>
      <c r="L410" s="168"/>
      <c r="M410" s="168"/>
      <c r="N410" s="377">
        <f ca="1">IFERROR(__xludf.DUMMYFUNCTION("IMPORTRANGE(""https://docs.google.com/spreadsheets/d/11923uPwbBZFjjGgGUA6NLw09EwE0CqkOc4q9oUmW1yo/edit?usp=sharing"",""พิษณุโลก!M305"")"),0)</f>
        <v>0</v>
      </c>
      <c r="O410" s="168"/>
      <c r="P410" s="168"/>
    </row>
    <row r="411" spans="1:16" ht="21.75" customHeight="1" x14ac:dyDescent="0.3">
      <c r="A411" s="175"/>
      <c r="B411" s="176"/>
      <c r="C411" s="157" t="s">
        <v>16</v>
      </c>
      <c r="D411" s="177" t="s">
        <v>44</v>
      </c>
      <c r="E411" s="178"/>
      <c r="F411" s="178"/>
      <c r="G411" s="179"/>
      <c r="H411" s="180"/>
      <c r="I411" s="162"/>
      <c r="J411" s="162"/>
      <c r="K411" s="163"/>
      <c r="L411" s="181"/>
      <c r="M411" s="181"/>
      <c r="N411" s="181"/>
      <c r="O411" s="181"/>
      <c r="P411" s="181"/>
    </row>
    <row r="412" spans="1:16" ht="21.75" customHeight="1" x14ac:dyDescent="0.3">
      <c r="A412" s="175"/>
      <c r="B412" s="176"/>
      <c r="C412" s="176"/>
      <c r="D412" s="182">
        <v>1</v>
      </c>
      <c r="E412" s="183" t="s">
        <v>45</v>
      </c>
      <c r="F412" s="184"/>
      <c r="G412" s="185"/>
      <c r="H412" s="186"/>
      <c r="I412" s="187"/>
      <c r="J412" s="197">
        <f ca="1">IFERROR(__xludf.DUMMYFUNCTION("IMPORTRANGE(""https://docs.google.com/spreadsheets/d/11923uPwbBZFjjGgGUA6NLw09EwE0CqkOc4q9oUmW1yo/edit?usp=sharing"",""พิษณุโลก!J307"")"),0)</f>
        <v>0</v>
      </c>
      <c r="K412" s="163"/>
      <c r="L412" s="181"/>
      <c r="M412" s="181"/>
      <c r="N412" s="181"/>
      <c r="O412" s="181"/>
      <c r="P412" s="181"/>
    </row>
    <row r="413" spans="1:16" ht="21.75" customHeight="1" x14ac:dyDescent="0.3">
      <c r="A413" s="175"/>
      <c r="B413" s="176"/>
      <c r="C413" s="176"/>
      <c r="D413" s="189">
        <v>2</v>
      </c>
      <c r="E413" s="190" t="s">
        <v>46</v>
      </c>
      <c r="F413" s="191"/>
      <c r="G413" s="192"/>
      <c r="H413" s="186"/>
      <c r="I413" s="187"/>
      <c r="J413" s="188">
        <f ca="1">IFERROR(__xludf.DUMMYFUNCTION("IMPORTRANGE(""https://docs.google.com/spreadsheets/d/11923uPwbBZFjjGgGUA6NLw09EwE0CqkOc4q9oUmW1yo/edit?usp=sharing"",""พิษณุโลก!J308"")"),1)</f>
        <v>1</v>
      </c>
      <c r="K413" s="163"/>
      <c r="L413" s="181" t="s">
        <v>40</v>
      </c>
      <c r="M413" s="181"/>
      <c r="N413" s="181" t="s">
        <v>40</v>
      </c>
      <c r="O413" s="181"/>
      <c r="P413" s="181"/>
    </row>
    <row r="414" spans="1:16" ht="21.75" customHeight="1" x14ac:dyDescent="0.3">
      <c r="A414" s="175"/>
      <c r="B414" s="176"/>
      <c r="C414" s="176"/>
      <c r="D414" s="193"/>
      <c r="E414" s="194" t="s">
        <v>47</v>
      </c>
      <c r="F414" s="195"/>
      <c r="G414" s="196"/>
      <c r="H414" s="186"/>
      <c r="I414" s="187"/>
      <c r="J414" s="188">
        <f ca="1">IFERROR(__xludf.DUMMYFUNCTION("IMPORTRANGE(""https://docs.google.com/spreadsheets/d/11923uPwbBZFjjGgGUA6NLw09EwE0CqkOc4q9oUmW1yo/edit?usp=sharing"",""พิษณุโลก!J309"")"),1)</f>
        <v>1</v>
      </c>
      <c r="K414" s="163"/>
      <c r="L414" s="181"/>
      <c r="M414" s="181"/>
      <c r="N414" s="181"/>
      <c r="O414" s="181"/>
      <c r="P414" s="181"/>
    </row>
    <row r="415" spans="1:16" ht="21.75" customHeight="1" x14ac:dyDescent="0.3">
      <c r="A415" s="175"/>
      <c r="B415" s="176"/>
      <c r="C415" s="176"/>
      <c r="D415" s="193"/>
      <c r="E415" s="194" t="s">
        <v>48</v>
      </c>
      <c r="F415" s="195"/>
      <c r="G415" s="196"/>
      <c r="H415" s="186"/>
      <c r="I415" s="187"/>
      <c r="J415" s="197">
        <f ca="1">IFERROR(__xludf.DUMMYFUNCTION("IMPORTRANGE(""https://docs.google.com/spreadsheets/d/11923uPwbBZFjjGgGUA6NLw09EwE0CqkOc4q9oUmW1yo/edit?usp=sharing"",""พิษณุโลก!J310"")"),1)</f>
        <v>1</v>
      </c>
      <c r="K415" s="163"/>
      <c r="L415" s="181"/>
      <c r="M415" s="181"/>
      <c r="N415" s="181"/>
      <c r="O415" s="181"/>
      <c r="P415" s="181"/>
    </row>
    <row r="416" spans="1:16" ht="21.75" customHeight="1" x14ac:dyDescent="0.3">
      <c r="A416" s="175"/>
      <c r="B416" s="176"/>
      <c r="C416" s="176"/>
      <c r="D416" s="193"/>
      <c r="E416" s="198"/>
      <c r="F416" s="194" t="s">
        <v>70</v>
      </c>
      <c r="G416" s="386"/>
      <c r="H416" s="387" t="s">
        <v>37</v>
      </c>
      <c r="I416" s="200">
        <f ca="1">IFERROR(__xludf.DUMMYFUNCTION("IMPORTRANGE(""https://docs.google.com/spreadsheets/d/11923uPwbBZFjjGgGUA6NLw09EwE0CqkOc4q9oUmW1yo/edit?usp=sharing"",""พิษณุโลก!I311"")"),75)</f>
        <v>75</v>
      </c>
      <c r="J416" s="200">
        <f ca="1">IFERROR(__xludf.DUMMYFUNCTION("IMPORTRANGE(""https://docs.google.com/spreadsheets/d/11923uPwbBZFjjGgGUA6NLw09EwE0CqkOc4q9oUmW1yo/edit?usp=sharing"",""พิษณุโลก!J311"")"),65)</f>
        <v>65</v>
      </c>
      <c r="K416" s="201">
        <f t="shared" ref="K416:K432" ca="1" si="113">IF(I416&gt;0,J416*100/I416,0)</f>
        <v>86.666666666666671</v>
      </c>
      <c r="L416" s="181"/>
      <c r="M416" s="181"/>
      <c r="N416" s="181"/>
      <c r="O416" s="181"/>
      <c r="P416" s="181"/>
    </row>
    <row r="417" spans="1:16" ht="21.75" customHeight="1" x14ac:dyDescent="0.45">
      <c r="A417" s="175"/>
      <c r="B417" s="176"/>
      <c r="C417" s="176"/>
      <c r="D417" s="193"/>
      <c r="E417" s="198"/>
      <c r="F417" s="388" t="s">
        <v>148</v>
      </c>
      <c r="G417" s="196"/>
      <c r="H417" s="199" t="s">
        <v>37</v>
      </c>
      <c r="I417" s="389">
        <f ca="1">IFERROR(__xludf.DUMMYFUNCTION("IMPORTRANGE(""https://docs.google.com/spreadsheets/d/11923uPwbBZFjjGgGUA6NLw09EwE0CqkOc4q9oUmW1yo/edit?usp=sharing"",""พิษณุโลก!I312"")"),25)</f>
        <v>25</v>
      </c>
      <c r="J417" s="390">
        <f ca="1">IFERROR(__xludf.DUMMYFUNCTION("IMPORTRANGE(""https://docs.google.com/spreadsheets/d/11923uPwbBZFjjGgGUA6NLw09EwE0CqkOc4q9oUmW1yo/edit?usp=sharing"",""พิษณุโลก!J312"")"),25)</f>
        <v>25</v>
      </c>
      <c r="K417" s="201">
        <f t="shared" ca="1" si="113"/>
        <v>100</v>
      </c>
      <c r="L417" s="181"/>
      <c r="M417" s="181"/>
      <c r="N417" s="181"/>
      <c r="O417" s="181"/>
      <c r="P417" s="181"/>
    </row>
    <row r="418" spans="1:16" ht="21.75" customHeight="1" x14ac:dyDescent="0.45">
      <c r="A418" s="175"/>
      <c r="B418" s="176"/>
      <c r="C418" s="176"/>
      <c r="D418" s="193"/>
      <c r="E418" s="198"/>
      <c r="F418" s="195"/>
      <c r="G418" s="196"/>
      <c r="H418" s="199" t="s">
        <v>122</v>
      </c>
      <c r="I418" s="389">
        <f ca="1">IFERROR(__xludf.DUMMYFUNCTION("IMPORTRANGE(""https://docs.google.com/spreadsheets/d/11923uPwbBZFjjGgGUA6NLw09EwE0CqkOc4q9oUmW1yo/edit?usp=sharing"",""พิษณุโลก!I313"")"),75)</f>
        <v>75</v>
      </c>
      <c r="J418" s="391">
        <f ca="1">IFERROR(__xludf.DUMMYFUNCTION("IMPORTRANGE(""https://docs.google.com/spreadsheets/d/11923uPwbBZFjjGgGUA6NLw09EwE0CqkOc4q9oUmW1yo/edit?usp=sharing"",""พิษณุโลก!J313"")"),75)</f>
        <v>75</v>
      </c>
      <c r="K418" s="201">
        <f t="shared" ca="1" si="113"/>
        <v>100</v>
      </c>
      <c r="L418" s="181"/>
      <c r="M418" s="181"/>
      <c r="N418" s="181"/>
      <c r="O418" s="181"/>
      <c r="P418" s="181"/>
    </row>
    <row r="419" spans="1:16" ht="21.75" customHeight="1" x14ac:dyDescent="0.45">
      <c r="A419" s="175"/>
      <c r="B419" s="176"/>
      <c r="C419" s="176"/>
      <c r="D419" s="193"/>
      <c r="E419" s="198"/>
      <c r="F419" s="195"/>
      <c r="G419" s="225" t="s">
        <v>149</v>
      </c>
      <c r="H419" s="180" t="s">
        <v>37</v>
      </c>
      <c r="I419" s="339">
        <f ca="1">IFERROR(__xludf.DUMMYFUNCTION("IMPORTRANGE(""https://docs.google.com/spreadsheets/d/11923uPwbBZFjjGgGUA6NLw09EwE0CqkOc4q9oUmW1yo/edit?usp=sharing"",""พิษณุโลก!I314"")"),25)</f>
        <v>25</v>
      </c>
      <c r="J419" s="392">
        <f ca="1">IFERROR(__xludf.DUMMYFUNCTION("IMPORTRANGE(""https://docs.google.com/spreadsheets/d/11923uPwbBZFjjGgGUA6NLw09EwE0CqkOc4q9oUmW1yo/edit?usp=sharing"",""พิษณุโลก!J314"")"),25)</f>
        <v>25</v>
      </c>
      <c r="K419" s="163">
        <f t="shared" ca="1" si="113"/>
        <v>100</v>
      </c>
      <c r="L419" s="181"/>
      <c r="M419" s="181"/>
      <c r="N419" s="181"/>
      <c r="O419" s="181"/>
      <c r="P419" s="181"/>
    </row>
    <row r="420" spans="1:16" ht="21.75" customHeight="1" x14ac:dyDescent="0.45">
      <c r="A420" s="233"/>
      <c r="B420" s="234"/>
      <c r="C420" s="234"/>
      <c r="D420" s="393"/>
      <c r="E420" s="394"/>
      <c r="F420" s="345"/>
      <c r="G420" s="395" t="s">
        <v>150</v>
      </c>
      <c r="H420" s="347" t="s">
        <v>37</v>
      </c>
      <c r="I420" s="396">
        <f ca="1">IFERROR(__xludf.DUMMYFUNCTION("IMPORTRANGE(""https://docs.google.com/spreadsheets/d/11923uPwbBZFjjGgGUA6NLw09EwE0CqkOc4q9oUmW1yo/edit?usp=sharing"",""พิษณุโลก!I315"")"),25)</f>
        <v>25</v>
      </c>
      <c r="J420" s="392">
        <f ca="1">IFERROR(__xludf.DUMMYFUNCTION("IMPORTRANGE(""https://docs.google.com/spreadsheets/d/11923uPwbBZFjjGgGUA6NLw09EwE0CqkOc4q9oUmW1yo/edit?usp=sharing"",""พิษณุโลก!J315"")"),25)</f>
        <v>25</v>
      </c>
      <c r="K420" s="286">
        <f t="shared" ca="1" si="113"/>
        <v>100</v>
      </c>
      <c r="L420" s="244"/>
      <c r="M420" s="244"/>
      <c r="N420" s="244"/>
      <c r="O420" s="244"/>
      <c r="P420" s="244"/>
    </row>
    <row r="421" spans="1:16" ht="21.75" customHeight="1" x14ac:dyDescent="0.45">
      <c r="A421" s="175"/>
      <c r="B421" s="176"/>
      <c r="C421" s="176"/>
      <c r="D421" s="193"/>
      <c r="E421" s="198"/>
      <c r="F421" s="388" t="s">
        <v>151</v>
      </c>
      <c r="G421" s="196"/>
      <c r="H421" s="199" t="s">
        <v>37</v>
      </c>
      <c r="I421" s="389">
        <f ca="1">IFERROR(__xludf.DUMMYFUNCTION("IMPORTRANGE(""https://docs.google.com/spreadsheets/d/11923uPwbBZFjjGgGUA6NLw09EwE0CqkOc4q9oUmW1yo/edit?usp=sharing"",""พิษณุโลก!I316"")"),40)</f>
        <v>40</v>
      </c>
      <c r="J421" s="390">
        <f ca="1">IFERROR(__xludf.DUMMYFUNCTION("IMPORTRANGE(""https://docs.google.com/spreadsheets/d/11923uPwbBZFjjGgGUA6NLw09EwE0CqkOc4q9oUmW1yo/edit?usp=sharing"",""พิษณุโลก!J316"")"),40)</f>
        <v>40</v>
      </c>
      <c r="K421" s="201">
        <f t="shared" ca="1" si="113"/>
        <v>100</v>
      </c>
      <c r="L421" s="181"/>
      <c r="M421" s="181"/>
      <c r="N421" s="181"/>
      <c r="O421" s="181"/>
      <c r="P421" s="181"/>
    </row>
    <row r="422" spans="1:16" ht="21.75" customHeight="1" x14ac:dyDescent="0.45">
      <c r="A422" s="175"/>
      <c r="B422" s="176"/>
      <c r="C422" s="176"/>
      <c r="D422" s="193"/>
      <c r="E422" s="198"/>
      <c r="F422" s="195"/>
      <c r="G422" s="196"/>
      <c r="H422" s="199" t="s">
        <v>122</v>
      </c>
      <c r="I422" s="389">
        <f ca="1">IFERROR(__xludf.DUMMYFUNCTION("IMPORTRANGE(""https://docs.google.com/spreadsheets/d/11923uPwbBZFjjGgGUA6NLw09EwE0CqkOc4q9oUmW1yo/edit?usp=sharing"",""พิษณุโลก!I317"")"),120)</f>
        <v>120</v>
      </c>
      <c r="J422" s="391">
        <f ca="1">IFERROR(__xludf.DUMMYFUNCTION("IMPORTRANGE(""https://docs.google.com/spreadsheets/d/11923uPwbBZFjjGgGUA6NLw09EwE0CqkOc4q9oUmW1yo/edit?usp=sharing"",""พิษณุโลก!J317"")"),120)</f>
        <v>120</v>
      </c>
      <c r="K422" s="201">
        <f t="shared" ca="1" si="113"/>
        <v>100</v>
      </c>
      <c r="L422" s="181"/>
      <c r="M422" s="181"/>
      <c r="N422" s="181"/>
      <c r="O422" s="181"/>
      <c r="P422" s="181"/>
    </row>
    <row r="423" spans="1:16" ht="21.75" customHeight="1" x14ac:dyDescent="0.45">
      <c r="A423" s="175"/>
      <c r="B423" s="176"/>
      <c r="C423" s="176"/>
      <c r="D423" s="193"/>
      <c r="E423" s="198"/>
      <c r="F423" s="195"/>
      <c r="G423" s="225" t="s">
        <v>152</v>
      </c>
      <c r="H423" s="180" t="s">
        <v>37</v>
      </c>
      <c r="I423" s="339">
        <f ca="1">IFERROR(__xludf.DUMMYFUNCTION("IMPORTRANGE(""https://docs.google.com/spreadsheets/d/11923uPwbBZFjjGgGUA6NLw09EwE0CqkOc4q9oUmW1yo/edit?usp=sharing"",""พิษณุโลก!I318"")"),40)</f>
        <v>40</v>
      </c>
      <c r="J423" s="392">
        <f ca="1">IFERROR(__xludf.DUMMYFUNCTION("IMPORTRANGE(""https://docs.google.com/spreadsheets/d/11923uPwbBZFjjGgGUA6NLw09EwE0CqkOc4q9oUmW1yo/edit?usp=sharing"",""พิษณุโลก!J318"")"),40)</f>
        <v>40</v>
      </c>
      <c r="K423" s="163">
        <f t="shared" ca="1" si="113"/>
        <v>100</v>
      </c>
      <c r="L423" s="181"/>
      <c r="M423" s="181"/>
      <c r="N423" s="181"/>
      <c r="O423" s="181"/>
      <c r="P423" s="181"/>
    </row>
    <row r="424" spans="1:16" ht="21.75" customHeight="1" x14ac:dyDescent="0.45">
      <c r="A424" s="175"/>
      <c r="B424" s="176"/>
      <c r="C424" s="176"/>
      <c r="D424" s="193"/>
      <c r="E424" s="198"/>
      <c r="F424" s="195"/>
      <c r="G424" s="225" t="s">
        <v>153</v>
      </c>
      <c r="H424" s="180" t="s">
        <v>37</v>
      </c>
      <c r="I424" s="339">
        <f ca="1">IFERROR(__xludf.DUMMYFUNCTION("IMPORTRANGE(""https://docs.google.com/spreadsheets/d/11923uPwbBZFjjGgGUA6NLw09EwE0CqkOc4q9oUmW1yo/edit?usp=sharing"",""พิษณุโลก!I319"")"),40)</f>
        <v>40</v>
      </c>
      <c r="J424" s="392">
        <f ca="1">IFERROR(__xludf.DUMMYFUNCTION("IMPORTRANGE(""https://docs.google.com/spreadsheets/d/11923uPwbBZFjjGgGUA6NLw09EwE0CqkOc4q9oUmW1yo/edit?usp=sharing"",""พิษณุโลก!J319"")"),40)</f>
        <v>40</v>
      </c>
      <c r="K424" s="163">
        <f t="shared" ca="1" si="113"/>
        <v>100</v>
      </c>
      <c r="L424" s="181"/>
      <c r="M424" s="181"/>
      <c r="N424" s="181"/>
      <c r="O424" s="181"/>
      <c r="P424" s="181"/>
    </row>
    <row r="425" spans="1:16" ht="21.75" customHeight="1" x14ac:dyDescent="0.45">
      <c r="A425" s="175"/>
      <c r="B425" s="176"/>
      <c r="C425" s="176"/>
      <c r="D425" s="193"/>
      <c r="E425" s="198"/>
      <c r="F425" s="195"/>
      <c r="G425" s="225" t="s">
        <v>154</v>
      </c>
      <c r="H425" s="180" t="s">
        <v>37</v>
      </c>
      <c r="I425" s="339">
        <f ca="1">IFERROR(__xludf.DUMMYFUNCTION("IMPORTRANGE(""https://docs.google.com/spreadsheets/d/11923uPwbBZFjjGgGUA6NLw09EwE0CqkOc4q9oUmW1yo/edit?usp=sharing"",""พิษณุโลก!I320"")"),40)</f>
        <v>40</v>
      </c>
      <c r="J425" s="392">
        <f ca="1">IFERROR(__xludf.DUMMYFUNCTION("IMPORTRANGE(""https://docs.google.com/spreadsheets/d/11923uPwbBZFjjGgGUA6NLw09EwE0CqkOc4q9oUmW1yo/edit?usp=sharing"",""พิษณุโลก!J320"")"),40)</f>
        <v>40</v>
      </c>
      <c r="K425" s="163">
        <f t="shared" ca="1" si="113"/>
        <v>100</v>
      </c>
      <c r="L425" s="181"/>
      <c r="M425" s="181"/>
      <c r="N425" s="181"/>
      <c r="O425" s="181"/>
      <c r="P425" s="181"/>
    </row>
    <row r="426" spans="1:16" ht="21.75" customHeight="1" x14ac:dyDescent="0.45">
      <c r="A426" s="175"/>
      <c r="B426" s="176"/>
      <c r="C426" s="176"/>
      <c r="D426" s="193"/>
      <c r="E426" s="198"/>
      <c r="F426" s="397" t="s">
        <v>155</v>
      </c>
      <c r="G426" s="196"/>
      <c r="H426" s="199" t="s">
        <v>37</v>
      </c>
      <c r="I426" s="389">
        <f ca="1">IFERROR(__xludf.DUMMYFUNCTION("IMPORTRANGE(""https://docs.google.com/spreadsheets/d/11923uPwbBZFjjGgGUA6NLw09EwE0CqkOc4q9oUmW1yo/edit?usp=sharing"",""พิษณุโลก!I321"")"),10)</f>
        <v>10</v>
      </c>
      <c r="J426" s="390">
        <f ca="1">IFERROR(__xludf.DUMMYFUNCTION("IMPORTRANGE(""https://docs.google.com/spreadsheets/d/11923uPwbBZFjjGgGUA6NLw09EwE0CqkOc4q9oUmW1yo/edit?usp=sharing"",""พิษณุโลก!J321"")"),0)</f>
        <v>0</v>
      </c>
      <c r="K426" s="201">
        <f t="shared" ca="1" si="113"/>
        <v>0</v>
      </c>
      <c r="L426" s="181"/>
      <c r="M426" s="181"/>
      <c r="N426" s="181"/>
      <c r="O426" s="181"/>
      <c r="P426" s="181"/>
    </row>
    <row r="427" spans="1:16" ht="21.75" customHeight="1" x14ac:dyDescent="0.45">
      <c r="A427" s="175"/>
      <c r="B427" s="176"/>
      <c r="C427" s="176"/>
      <c r="D427" s="193"/>
      <c r="E427" s="198"/>
      <c r="F427" s="195"/>
      <c r="G427" s="196"/>
      <c r="H427" s="199" t="s">
        <v>122</v>
      </c>
      <c r="I427" s="389">
        <f ca="1">IFERROR(__xludf.DUMMYFUNCTION("IMPORTRANGE(""https://docs.google.com/spreadsheets/d/11923uPwbBZFjjGgGUA6NLw09EwE0CqkOc4q9oUmW1yo/edit?usp=sharing"",""พิษณุโลก!I322"")"),30)</f>
        <v>30</v>
      </c>
      <c r="J427" s="391">
        <f ca="1">IFERROR(__xludf.DUMMYFUNCTION("IMPORTRANGE(""https://docs.google.com/spreadsheets/d/11923uPwbBZFjjGgGUA6NLw09EwE0CqkOc4q9oUmW1yo/edit?usp=sharing"",""พิษณุโลก!J322"")"),0)</f>
        <v>0</v>
      </c>
      <c r="K427" s="201">
        <f t="shared" ca="1" si="113"/>
        <v>0</v>
      </c>
      <c r="L427" s="181"/>
      <c r="M427" s="181"/>
      <c r="N427" s="181"/>
      <c r="O427" s="181"/>
      <c r="P427" s="181"/>
    </row>
    <row r="428" spans="1:16" ht="21.75" customHeight="1" x14ac:dyDescent="0.45">
      <c r="A428" s="175"/>
      <c r="B428" s="176"/>
      <c r="C428" s="176"/>
      <c r="D428" s="193"/>
      <c r="E428" s="198"/>
      <c r="F428" s="195"/>
      <c r="G428" s="225" t="s">
        <v>156</v>
      </c>
      <c r="H428" s="180" t="s">
        <v>37</v>
      </c>
      <c r="I428" s="398">
        <f ca="1">IFERROR(__xludf.DUMMYFUNCTION("IMPORTRANGE(""https://docs.google.com/spreadsheets/d/11923uPwbBZFjjGgGUA6NLw09EwE0CqkOc4q9oUmW1yo/edit?usp=sharing"",""พิษณุโลก!I323"")"),10)</f>
        <v>10</v>
      </c>
      <c r="J428" s="392">
        <f ca="1">IFERROR(__xludf.DUMMYFUNCTION("IMPORTRANGE(""https://docs.google.com/spreadsheets/d/11923uPwbBZFjjGgGUA6NLw09EwE0CqkOc4q9oUmW1yo/edit?usp=sharing"",""พิษณุโลก!J323"")"),0)</f>
        <v>0</v>
      </c>
      <c r="K428" s="163">
        <f t="shared" ca="1" si="113"/>
        <v>0</v>
      </c>
      <c r="L428" s="181"/>
      <c r="M428" s="181"/>
      <c r="N428" s="181"/>
      <c r="O428" s="181"/>
      <c r="P428" s="181"/>
    </row>
    <row r="429" spans="1:16" ht="21.75" customHeight="1" x14ac:dyDescent="0.45">
      <c r="A429" s="175"/>
      <c r="B429" s="176"/>
      <c r="C429" s="176"/>
      <c r="D429" s="193"/>
      <c r="E429" s="198"/>
      <c r="F429" s="195"/>
      <c r="G429" s="225" t="s">
        <v>157</v>
      </c>
      <c r="H429" s="180" t="s">
        <v>37</v>
      </c>
      <c r="I429" s="398">
        <f ca="1">IFERROR(__xludf.DUMMYFUNCTION("IMPORTRANGE(""https://docs.google.com/spreadsheets/d/11923uPwbBZFjjGgGUA6NLw09EwE0CqkOc4q9oUmW1yo/edit?usp=sharing"",""พิษณุโลก!I324"")"),10)</f>
        <v>10</v>
      </c>
      <c r="J429" s="392">
        <f ca="1">IFERROR(__xludf.DUMMYFUNCTION("IMPORTRANGE(""https://docs.google.com/spreadsheets/d/11923uPwbBZFjjGgGUA6NLw09EwE0CqkOc4q9oUmW1yo/edit?usp=sharing"",""พิษณุโลก!J324"")"),0)</f>
        <v>0</v>
      </c>
      <c r="K429" s="163">
        <f t="shared" ca="1" si="113"/>
        <v>0</v>
      </c>
      <c r="L429" s="181"/>
      <c r="M429" s="181"/>
      <c r="N429" s="181"/>
      <c r="O429" s="181"/>
      <c r="P429" s="181"/>
    </row>
    <row r="430" spans="1:16" ht="21.75" customHeight="1" x14ac:dyDescent="0.45">
      <c r="A430" s="175"/>
      <c r="B430" s="176"/>
      <c r="C430" s="176"/>
      <c r="D430" s="193"/>
      <c r="E430" s="198"/>
      <c r="F430" s="194" t="s">
        <v>53</v>
      </c>
      <c r="G430" s="386"/>
      <c r="H430" s="399" t="s">
        <v>37</v>
      </c>
      <c r="I430" s="200">
        <f ca="1">IFERROR(__xludf.DUMMYFUNCTION("IMPORTRANGE(""https://docs.google.com/spreadsheets/d/11923uPwbBZFjjGgGUA6NLw09EwE0CqkOc4q9oUmW1yo/edit?usp=sharing"",""พิษณุโลก!I325"")"),65)</f>
        <v>65</v>
      </c>
      <c r="J430" s="390">
        <f ca="1">IFERROR(__xludf.DUMMYFUNCTION("IMPORTRANGE(""https://docs.google.com/spreadsheets/d/11923uPwbBZFjjGgGUA6NLw09EwE0CqkOc4q9oUmW1yo/edit?usp=sharing"",""พิษณุโลก!J325"")"),0)</f>
        <v>0</v>
      </c>
      <c r="K430" s="201">
        <f t="shared" ca="1" si="113"/>
        <v>0</v>
      </c>
      <c r="L430" s="181"/>
      <c r="M430" s="181"/>
      <c r="N430" s="181"/>
      <c r="O430" s="181"/>
      <c r="P430" s="181"/>
    </row>
    <row r="431" spans="1:16" ht="21.75" customHeight="1" x14ac:dyDescent="0.45">
      <c r="A431" s="400"/>
      <c r="B431" s="401"/>
      <c r="C431" s="401"/>
      <c r="D431" s="402"/>
      <c r="E431" s="198"/>
      <c r="F431" s="195"/>
      <c r="G431" s="225" t="s">
        <v>158</v>
      </c>
      <c r="H431" s="180" t="s">
        <v>37</v>
      </c>
      <c r="I431" s="398">
        <f ca="1">IFERROR(__xludf.DUMMYFUNCTION("IMPORTRANGE(""https://docs.google.com/spreadsheets/d/11923uPwbBZFjjGgGUA6NLw09EwE0CqkOc4q9oUmW1yo/edit?usp=sharing"",""พิษณุโลก!I326"")"),25)</f>
        <v>25</v>
      </c>
      <c r="J431" s="392">
        <f ca="1">IFERROR(__xludf.DUMMYFUNCTION("IMPORTRANGE(""https://docs.google.com/spreadsheets/d/11923uPwbBZFjjGgGUA6NLw09EwE0CqkOc4q9oUmW1yo/edit?usp=sharing"",""พิษณุโลก!J326"")"),0)</f>
        <v>0</v>
      </c>
      <c r="K431" s="163">
        <f t="shared" ca="1" si="113"/>
        <v>0</v>
      </c>
      <c r="L431" s="181"/>
      <c r="M431" s="181"/>
      <c r="N431" s="181"/>
      <c r="O431" s="181"/>
      <c r="P431" s="181"/>
    </row>
    <row r="432" spans="1:16" ht="21.75" customHeight="1" x14ac:dyDescent="0.45">
      <c r="A432" s="400"/>
      <c r="B432" s="401"/>
      <c r="C432" s="401"/>
      <c r="D432" s="402"/>
      <c r="E432" s="198"/>
      <c r="F432" s="195"/>
      <c r="G432" s="225" t="s">
        <v>159</v>
      </c>
      <c r="H432" s="180" t="s">
        <v>37</v>
      </c>
      <c r="I432" s="398">
        <f ca="1">IFERROR(__xludf.DUMMYFUNCTION("IMPORTRANGE(""https://docs.google.com/spreadsheets/d/11923uPwbBZFjjGgGUA6NLw09EwE0CqkOc4q9oUmW1yo/edit?usp=sharing"",""พิษณุโลก!I327"")"),40)</f>
        <v>40</v>
      </c>
      <c r="J432" s="392">
        <f ca="1">IFERROR(__xludf.DUMMYFUNCTION("IMPORTRANGE(""https://docs.google.com/spreadsheets/d/11923uPwbBZFjjGgGUA6NLw09EwE0CqkOc4q9oUmW1yo/edit?usp=sharing"",""พิษณุโลก!J327"")"),0)</f>
        <v>0</v>
      </c>
      <c r="K432" s="163">
        <f t="shared" ca="1" si="113"/>
        <v>0</v>
      </c>
      <c r="L432" s="181"/>
      <c r="M432" s="181"/>
      <c r="N432" s="181"/>
      <c r="O432" s="181"/>
      <c r="P432" s="181"/>
    </row>
    <row r="433" spans="1:16" ht="21.75" customHeight="1" x14ac:dyDescent="0.3">
      <c r="A433" s="175"/>
      <c r="B433" s="176"/>
      <c r="C433" s="176"/>
      <c r="D433" s="193"/>
      <c r="E433" s="194" t="s">
        <v>54</v>
      </c>
      <c r="F433" s="195"/>
      <c r="G433" s="196"/>
      <c r="H433" s="186"/>
      <c r="I433" s="187"/>
      <c r="J433" s="197">
        <f ca="1">IFERROR(__xludf.DUMMYFUNCTION("IMPORTRANGE(""https://docs.google.com/spreadsheets/d/11923uPwbBZFjjGgGUA6NLw09EwE0CqkOc4q9oUmW1yo/edit?usp=sharing"",""พิษณุโลก!J328"")"),0)</f>
        <v>0</v>
      </c>
      <c r="K433" s="163"/>
      <c r="L433" s="181"/>
      <c r="M433" s="181"/>
      <c r="N433" s="181"/>
      <c r="O433" s="181"/>
      <c r="P433" s="181"/>
    </row>
    <row r="434" spans="1:16" ht="21.75" customHeight="1" x14ac:dyDescent="0.3">
      <c r="A434" s="175"/>
      <c r="B434" s="176"/>
      <c r="C434" s="176"/>
      <c r="D434" s="205">
        <v>3</v>
      </c>
      <c r="E434" s="206" t="s">
        <v>55</v>
      </c>
      <c r="F434" s="207"/>
      <c r="G434" s="208"/>
      <c r="H434" s="186"/>
      <c r="I434" s="187"/>
      <c r="J434" s="209">
        <f ca="1">IFERROR(__xludf.DUMMYFUNCTION("IMPORTRANGE(""https://docs.google.com/spreadsheets/d/11923uPwbBZFjjGgGUA6NLw09EwE0CqkOc4q9oUmW1yo/edit?usp=sharing"",""พิษณุโลก!J329"")"),0)</f>
        <v>0</v>
      </c>
      <c r="K434" s="163"/>
      <c r="L434" s="181"/>
      <c r="M434" s="181"/>
      <c r="N434" s="181"/>
      <c r="O434" s="181"/>
      <c r="P434" s="181"/>
    </row>
    <row r="435" spans="1:16" ht="21.75" customHeight="1" x14ac:dyDescent="0.3">
      <c r="A435" s="403"/>
      <c r="B435" s="404">
        <v>4</v>
      </c>
      <c r="C435" s="404" t="s">
        <v>160</v>
      </c>
      <c r="D435" s="405"/>
      <c r="E435" s="405"/>
      <c r="F435" s="405"/>
      <c r="G435" s="406"/>
      <c r="H435" s="407" t="s">
        <v>37</v>
      </c>
      <c r="I435" s="408">
        <f ca="1">IFERROR(__xludf.DUMMYFUNCTION("IMPORTRANGE(""https://docs.google.com/spreadsheets/d/11923uPwbBZFjjGgGUA6NLw09EwE0CqkOc4q9oUmW1yo/edit?usp=sharing"",""พิษณุโลก!I330"")"),20)</f>
        <v>20</v>
      </c>
      <c r="J435" s="408">
        <f ca="1">IFERROR(__xludf.DUMMYFUNCTION("IMPORTRANGE(""https://docs.google.com/spreadsheets/d/11923uPwbBZFjjGgGUA6NLw09EwE0CqkOc4q9oUmW1yo/edit?usp=sharing"",""พิษณุโลก!J330"")"),20)</f>
        <v>20</v>
      </c>
      <c r="K435" s="409">
        <f ca="1">IF(I435&gt;0,J435*100/I435,0)</f>
        <v>100</v>
      </c>
      <c r="L435" s="410">
        <f ca="1">IFERROR(__xludf.DUMMYFUNCTION("IMPORTRANGE(""https://docs.google.com/spreadsheets/d/11923uPwbBZFjjGgGUA6NLw09EwE0CqkOc4q9oUmW1yo/edit?usp=sharing"",""พิษณุโลก!L330"")"),95000)</f>
        <v>95000</v>
      </c>
      <c r="M435" s="410"/>
      <c r="N435" s="410">
        <f ca="1">IFERROR(__xludf.DUMMYFUNCTION("IMPORTRANGE(""https://docs.google.com/spreadsheets/d/11923uPwbBZFjjGgGUA6NLw09EwE0CqkOc4q9oUmW1yo/edit?usp=sharing"",""พิษณุโลก!M330"")"),6860)</f>
        <v>6860</v>
      </c>
      <c r="O435" s="410">
        <f t="shared" ref="O435:O439" ca="1" si="114">+IF(L435&gt;0,N435*100/L435,0)</f>
        <v>7.2210526315789476</v>
      </c>
      <c r="P435" s="410"/>
    </row>
    <row r="436" spans="1:16" ht="21.75" customHeight="1" x14ac:dyDescent="0.3">
      <c r="A436" s="156"/>
      <c r="B436" s="157"/>
      <c r="C436" s="157" t="s">
        <v>16</v>
      </c>
      <c r="D436" s="158" t="s">
        <v>38</v>
      </c>
      <c r="E436" s="159"/>
      <c r="F436" s="159"/>
      <c r="G436" s="160" t="s">
        <v>39</v>
      </c>
      <c r="H436" s="161" t="s">
        <v>12</v>
      </c>
      <c r="I436" s="162" t="s">
        <v>40</v>
      </c>
      <c r="J436" s="162"/>
      <c r="K436" s="163"/>
      <c r="L436" s="164">
        <f ca="1">IFERROR(__xludf.DUMMYFUNCTION("IMPORTRANGE(""https://docs.google.com/spreadsheets/d/11923uPwbBZFjjGgGUA6NLw09EwE0CqkOc4q9oUmW1yo/edit?usp=sharing"",""พิษณุโลก!L331"")"),0)</f>
        <v>0</v>
      </c>
      <c r="M436" s="164"/>
      <c r="N436" s="168">
        <f ca="1">IFERROR(__xludf.DUMMYFUNCTION("IMPORTRANGE(""https://docs.google.com/spreadsheets/d/11923uPwbBZFjjGgGUA6NLw09EwE0CqkOc4q9oUmW1yo/edit?usp=sharing"",""พิษณุโลก!M331"")"),0)</f>
        <v>0</v>
      </c>
      <c r="O436" s="168">
        <f t="shared" ca="1" si="114"/>
        <v>0</v>
      </c>
      <c r="P436" s="168"/>
    </row>
    <row r="437" spans="1:16" ht="21.75" customHeight="1" x14ac:dyDescent="0.3">
      <c r="A437" s="156"/>
      <c r="B437" s="157"/>
      <c r="C437" s="157"/>
      <c r="D437" s="166"/>
      <c r="E437" s="159"/>
      <c r="F437" s="159" t="s">
        <v>40</v>
      </c>
      <c r="G437" s="160" t="s">
        <v>41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IFERROR(__xludf.DUMMYFUNCTION("IMPORTRANGE(""https://docs.google.com/spreadsheets/d/11923uPwbBZFjjGgGUA6NLw09EwE0CqkOc4q9oUmW1yo/edit?usp=sharing"",""พิษณุโลก!L332"")"),95000)</f>
        <v>95000</v>
      </c>
      <c r="M437" s="165"/>
      <c r="N437" s="168">
        <f ca="1">IFERROR(__xludf.DUMMYFUNCTION("IMPORTRANGE(""https://docs.google.com/spreadsheets/d/11923uPwbBZFjjGgGUA6NLw09EwE0CqkOc4q9oUmW1yo/edit?usp=sharing"",""พิษณุโลก!M332"")"),6860)</f>
        <v>6860</v>
      </c>
      <c r="O437" s="168">
        <f t="shared" ca="1" si="114"/>
        <v>7.2210526315789476</v>
      </c>
      <c r="P437" s="168"/>
    </row>
    <row r="438" spans="1:16" ht="21.75" customHeight="1" x14ac:dyDescent="0.3">
      <c r="A438" s="156"/>
      <c r="B438" s="157"/>
      <c r="C438" s="157"/>
      <c r="D438" s="166"/>
      <c r="E438" s="159"/>
      <c r="F438" s="159"/>
      <c r="G438" s="372" t="s">
        <v>129</v>
      </c>
      <c r="H438" s="161" t="s">
        <v>12</v>
      </c>
      <c r="I438" s="162"/>
      <c r="J438" s="162"/>
      <c r="K438" s="163"/>
      <c r="L438" s="168">
        <f ca="1">IFERROR(__xludf.DUMMYFUNCTION("IMPORTRANGE(""https://docs.google.com/spreadsheets/d/11923uPwbBZFjjGgGUA6NLw09EwE0CqkOc4q9oUmW1yo/edit?usp=sharing"",""พิษณุโลก!L333"")"),0)</f>
        <v>0</v>
      </c>
      <c r="M438" s="168"/>
      <c r="N438" s="168">
        <f ca="1">IFERROR(__xludf.DUMMYFUNCTION("IMPORTRANGE(""https://docs.google.com/spreadsheets/d/11923uPwbBZFjjGgGUA6NLw09EwE0CqkOc4q9oUmW1yo/edit?usp=sharing"",""พิษณุโลก!M333"")"),0)</f>
        <v>0</v>
      </c>
      <c r="O438" s="168">
        <f t="shared" ca="1" si="114"/>
        <v>0</v>
      </c>
      <c r="P438" s="168"/>
    </row>
    <row r="439" spans="1:16" ht="21.75" customHeight="1" x14ac:dyDescent="0.3">
      <c r="A439" s="156"/>
      <c r="B439" s="157"/>
      <c r="C439" s="157"/>
      <c r="D439" s="166"/>
      <c r="E439" s="159"/>
      <c r="F439" s="159"/>
      <c r="G439" s="372" t="s">
        <v>130</v>
      </c>
      <c r="H439" s="161" t="s">
        <v>12</v>
      </c>
      <c r="I439" s="162"/>
      <c r="J439" s="162"/>
      <c r="K439" s="163"/>
      <c r="L439" s="168">
        <f ca="1">IFERROR(__xludf.DUMMYFUNCTION("IMPORTRANGE(""https://docs.google.com/spreadsheets/d/11923uPwbBZFjjGgGUA6NLw09EwE0CqkOc4q9oUmW1yo/edit?usp=sharing"",""พิษณุโลก!L334"")"),95000)</f>
        <v>95000</v>
      </c>
      <c r="M439" s="168"/>
      <c r="N439" s="168">
        <f ca="1">IFERROR(__xludf.DUMMYFUNCTION("IMPORTRANGE(""https://docs.google.com/spreadsheets/d/11923uPwbBZFjjGgGUA6NLw09EwE0CqkOc4q9oUmW1yo/edit?usp=sharing"",""พิษณุโลก!M334"")"),6860)</f>
        <v>6860</v>
      </c>
      <c r="O439" s="168">
        <f t="shared" ca="1" si="114"/>
        <v>7.2210526315789476</v>
      </c>
      <c r="P439" s="168"/>
    </row>
    <row r="440" spans="1:16" ht="21.75" customHeight="1" x14ac:dyDescent="0.3">
      <c r="A440" s="373"/>
      <c r="B440" s="374"/>
      <c r="C440" s="157"/>
      <c r="D440" s="375"/>
      <c r="E440" s="159"/>
      <c r="F440" s="159"/>
      <c r="G440" s="376" t="s">
        <v>131</v>
      </c>
      <c r="H440" s="161" t="s">
        <v>12</v>
      </c>
      <c r="I440" s="187"/>
      <c r="J440" s="187"/>
      <c r="K440" s="223"/>
      <c r="L440" s="168"/>
      <c r="M440" s="168"/>
      <c r="N440" s="377">
        <f ca="1">IFERROR(__xludf.DUMMYFUNCTION("IMPORTRANGE(""https://docs.google.com/spreadsheets/d/11923uPwbBZFjjGgGUA6NLw09EwE0CqkOc4q9oUmW1yo/edit?usp=sharing"",""พิษณุโลก!M335"")"),6860)</f>
        <v>6860</v>
      </c>
      <c r="O440" s="168"/>
      <c r="P440" s="168"/>
    </row>
    <row r="441" spans="1:16" ht="21.75" customHeight="1" x14ac:dyDescent="0.3">
      <c r="A441" s="373"/>
      <c r="B441" s="374"/>
      <c r="C441" s="157"/>
      <c r="D441" s="375"/>
      <c r="E441" s="159"/>
      <c r="F441" s="159"/>
      <c r="G441" s="376" t="s">
        <v>132</v>
      </c>
      <c r="H441" s="161" t="s">
        <v>12</v>
      </c>
      <c r="I441" s="187"/>
      <c r="J441" s="187"/>
      <c r="K441" s="223"/>
      <c r="L441" s="168"/>
      <c r="M441" s="168"/>
      <c r="N441" s="377">
        <f ca="1">IFERROR(__xludf.DUMMYFUNCTION("IMPORTRANGE(""https://docs.google.com/spreadsheets/d/11923uPwbBZFjjGgGUA6NLw09EwE0CqkOc4q9oUmW1yo/edit?usp=sharing"",""พิษณุโลก!M336"")"),0)</f>
        <v>0</v>
      </c>
      <c r="O441" s="168"/>
      <c r="P441" s="168"/>
    </row>
    <row r="442" spans="1:16" ht="21.75" customHeight="1" x14ac:dyDescent="0.3">
      <c r="A442" s="373"/>
      <c r="B442" s="374"/>
      <c r="C442" s="157"/>
      <c r="D442" s="375"/>
      <c r="E442" s="159"/>
      <c r="F442" s="159"/>
      <c r="G442" s="376" t="s">
        <v>133</v>
      </c>
      <c r="H442" s="161" t="s">
        <v>12</v>
      </c>
      <c r="I442" s="187"/>
      <c r="J442" s="187"/>
      <c r="K442" s="223"/>
      <c r="L442" s="168"/>
      <c r="M442" s="168"/>
      <c r="N442" s="377">
        <f ca="1">IFERROR(__xludf.DUMMYFUNCTION("IMPORTRANGE(""https://docs.google.com/spreadsheets/d/11923uPwbBZFjjGgGUA6NLw09EwE0CqkOc4q9oUmW1yo/edit?usp=sharing"",""พิษณุโลก!M337"")"),0)</f>
        <v>0</v>
      </c>
      <c r="O442" s="168"/>
      <c r="P442" s="168"/>
    </row>
    <row r="443" spans="1:16" ht="21.75" customHeight="1" x14ac:dyDescent="0.3">
      <c r="A443" s="373"/>
      <c r="B443" s="374"/>
      <c r="C443" s="157"/>
      <c r="D443" s="375"/>
      <c r="E443" s="159"/>
      <c r="F443" s="159"/>
      <c r="G443" s="376" t="s">
        <v>134</v>
      </c>
      <c r="H443" s="161" t="s">
        <v>12</v>
      </c>
      <c r="I443" s="187"/>
      <c r="J443" s="187"/>
      <c r="K443" s="223"/>
      <c r="L443" s="168"/>
      <c r="M443" s="168"/>
      <c r="N443" s="377">
        <f ca="1">IFERROR(__xludf.DUMMYFUNCTION("IMPORTRANGE(""https://docs.google.com/spreadsheets/d/11923uPwbBZFjjGgGUA6NLw09EwE0CqkOc4q9oUmW1yo/edit?usp=sharing"",""พิษณุโลก!M338"")"),0)</f>
        <v>0</v>
      </c>
      <c r="O443" s="168"/>
      <c r="P443" s="168"/>
    </row>
    <row r="444" spans="1:16" ht="21.75" customHeight="1" x14ac:dyDescent="0.3">
      <c r="A444" s="175"/>
      <c r="B444" s="176"/>
      <c r="C444" s="157" t="s">
        <v>16</v>
      </c>
      <c r="D444" s="177" t="s">
        <v>44</v>
      </c>
      <c r="E444" s="178"/>
      <c r="F444" s="178"/>
      <c r="G444" s="179"/>
      <c r="H444" s="180"/>
      <c r="I444" s="162"/>
      <c r="J444" s="162"/>
      <c r="K444" s="163"/>
      <c r="L444" s="181"/>
      <c r="M444" s="181"/>
      <c r="N444" s="181"/>
      <c r="O444" s="181"/>
      <c r="P444" s="181"/>
    </row>
    <row r="445" spans="1:16" ht="21.75" customHeight="1" x14ac:dyDescent="0.3">
      <c r="A445" s="175"/>
      <c r="B445" s="176"/>
      <c r="C445" s="176"/>
      <c r="D445" s="182">
        <v>1</v>
      </c>
      <c r="E445" s="183" t="s">
        <v>45</v>
      </c>
      <c r="F445" s="184"/>
      <c r="G445" s="185"/>
      <c r="H445" s="186"/>
      <c r="I445" s="187"/>
      <c r="J445" s="209">
        <f ca="1">IFERROR(__xludf.DUMMYFUNCTION("IMPORTRANGE(""https://docs.google.com/spreadsheets/d/11923uPwbBZFjjGgGUA6NLw09EwE0CqkOc4q9oUmW1yo/edit?usp=sharing"",""พิษณุโลก!J340"")"),0)</f>
        <v>0</v>
      </c>
      <c r="K445" s="163"/>
      <c r="L445" s="181"/>
      <c r="M445" s="181"/>
      <c r="N445" s="181"/>
      <c r="O445" s="181"/>
      <c r="P445" s="181"/>
    </row>
    <row r="446" spans="1:16" ht="21.75" customHeight="1" x14ac:dyDescent="0.3">
      <c r="A446" s="175"/>
      <c r="B446" s="176"/>
      <c r="C446" s="176"/>
      <c r="D446" s="189">
        <v>2</v>
      </c>
      <c r="E446" s="190" t="s">
        <v>46</v>
      </c>
      <c r="F446" s="191"/>
      <c r="G446" s="192"/>
      <c r="H446" s="186"/>
      <c r="I446" s="187"/>
      <c r="J446" s="411">
        <f ca="1">IFERROR(__xludf.DUMMYFUNCTION("IMPORTRANGE(""https://docs.google.com/spreadsheets/d/11923uPwbBZFjjGgGUA6NLw09EwE0CqkOc4q9oUmW1yo/edit?usp=sharing"",""พิษณุโลก!J341"")"),1)</f>
        <v>1</v>
      </c>
      <c r="K446" s="163"/>
      <c r="L446" s="181" t="s">
        <v>40</v>
      </c>
      <c r="M446" s="181"/>
      <c r="N446" s="181" t="s">
        <v>40</v>
      </c>
      <c r="O446" s="181"/>
      <c r="P446" s="181"/>
    </row>
    <row r="447" spans="1:16" ht="21.75" customHeight="1" x14ac:dyDescent="0.3">
      <c r="A447" s="175"/>
      <c r="B447" s="176"/>
      <c r="C447" s="176"/>
      <c r="D447" s="193"/>
      <c r="E447" s="194" t="s">
        <v>161</v>
      </c>
      <c r="F447" s="195"/>
      <c r="G447" s="196"/>
      <c r="H447" s="186"/>
      <c r="I447" s="187"/>
      <c r="J447" s="188">
        <f ca="1">IFERROR(__xludf.DUMMYFUNCTION("IMPORTRANGE(""https://docs.google.com/spreadsheets/d/11923uPwbBZFjjGgGUA6NLw09EwE0CqkOc4q9oUmW1yo/edit?usp=sharing"",""พิษณุโลก!J342"")"),1)</f>
        <v>1</v>
      </c>
      <c r="K447" s="163"/>
      <c r="L447" s="181"/>
      <c r="M447" s="181"/>
      <c r="N447" s="181"/>
      <c r="O447" s="181"/>
      <c r="P447" s="181"/>
    </row>
    <row r="448" spans="1:16" ht="21.75" customHeight="1" x14ac:dyDescent="0.3">
      <c r="A448" s="175"/>
      <c r="B448" s="176"/>
      <c r="C448" s="176"/>
      <c r="D448" s="193"/>
      <c r="E448" s="194" t="s">
        <v>48</v>
      </c>
      <c r="F448" s="195"/>
      <c r="G448" s="196"/>
      <c r="H448" s="186"/>
      <c r="I448" s="187"/>
      <c r="J448" s="188">
        <f ca="1">IFERROR(__xludf.DUMMYFUNCTION("IMPORTRANGE(""https://docs.google.com/spreadsheets/d/11923uPwbBZFjjGgGUA6NLw09EwE0CqkOc4q9oUmW1yo/edit?usp=sharing"",""พิษณุโลก!J343"")"),1)</f>
        <v>1</v>
      </c>
      <c r="K448" s="163"/>
      <c r="L448" s="181"/>
      <c r="M448" s="181"/>
      <c r="N448" s="181"/>
      <c r="O448" s="181"/>
      <c r="P448" s="181"/>
    </row>
    <row r="449" spans="1:16" ht="21.75" customHeight="1" x14ac:dyDescent="0.3">
      <c r="A449" s="175"/>
      <c r="B449" s="176"/>
      <c r="C449" s="176"/>
      <c r="D449" s="193"/>
      <c r="E449" s="198"/>
      <c r="F449" s="412" t="s">
        <v>101</v>
      </c>
      <c r="G449" s="196"/>
      <c r="H449" s="186" t="s">
        <v>37</v>
      </c>
      <c r="I449" s="389">
        <f ca="1">IFERROR(__xludf.DUMMYFUNCTION("IMPORTRANGE(""https://docs.google.com/spreadsheets/d/11923uPwbBZFjjGgGUA6NLw09EwE0CqkOc4q9oUmW1yo/edit?usp=sharing"",""พิษณุโลก!I344"")"),20)</f>
        <v>20</v>
      </c>
      <c r="J449" s="200">
        <f ca="1">IFERROR(__xludf.DUMMYFUNCTION("IMPORTRANGE(""https://docs.google.com/spreadsheets/d/11923uPwbBZFjjGgGUA6NLw09EwE0CqkOc4q9oUmW1yo/edit?usp=sharing"",""พิษณุโลก!J344"")"),20)</f>
        <v>20</v>
      </c>
      <c r="K449" s="163">
        <f t="shared" ref="K449:K452" ca="1" si="115">IF(I449&gt;0,J449*100/I449,0)</f>
        <v>100</v>
      </c>
      <c r="L449" s="181"/>
      <c r="M449" s="181"/>
      <c r="N449" s="181"/>
      <c r="O449" s="181"/>
      <c r="P449" s="181"/>
    </row>
    <row r="450" spans="1:16" ht="21.75" customHeight="1" x14ac:dyDescent="0.3">
      <c r="A450" s="175"/>
      <c r="B450" s="176"/>
      <c r="C450" s="176"/>
      <c r="D450" s="193"/>
      <c r="E450" s="198"/>
      <c r="F450" s="195"/>
      <c r="G450" s="225" t="s">
        <v>162</v>
      </c>
      <c r="H450" s="186" t="s">
        <v>37</v>
      </c>
      <c r="I450" s="339">
        <f ca="1">IFERROR(__xludf.DUMMYFUNCTION("IMPORTRANGE(""https://docs.google.com/spreadsheets/d/11923uPwbBZFjjGgGUA6NLw09EwE0CqkOc4q9oUmW1yo/edit?usp=sharing"",""พิษณุโลก!I345"")"),20)</f>
        <v>20</v>
      </c>
      <c r="J450" s="188">
        <f ca="1">IFERROR(__xludf.DUMMYFUNCTION("IMPORTRANGE(""https://docs.google.com/spreadsheets/d/11923uPwbBZFjjGgGUA6NLw09EwE0CqkOc4q9oUmW1yo/edit?usp=sharing"",""พิษณุโลก!J345"")"),20)</f>
        <v>20</v>
      </c>
      <c r="K450" s="163">
        <f t="shared" ca="1" si="115"/>
        <v>100</v>
      </c>
      <c r="L450" s="181"/>
      <c r="M450" s="181"/>
      <c r="N450" s="181"/>
      <c r="O450" s="181"/>
      <c r="P450" s="181"/>
    </row>
    <row r="451" spans="1:16" ht="21.75" customHeight="1" x14ac:dyDescent="0.3">
      <c r="A451" s="175"/>
      <c r="B451" s="176"/>
      <c r="C451" s="176"/>
      <c r="D451" s="193"/>
      <c r="E451" s="198"/>
      <c r="F451" s="195"/>
      <c r="G451" s="279" t="s">
        <v>163</v>
      </c>
      <c r="H451" s="186" t="s">
        <v>37</v>
      </c>
      <c r="I451" s="339">
        <f ca="1">IFERROR(__xludf.DUMMYFUNCTION("IMPORTRANGE(""https://docs.google.com/spreadsheets/d/11923uPwbBZFjjGgGUA6NLw09EwE0CqkOc4q9oUmW1yo/edit?usp=sharing"",""พิษณุโลก!I346"")"),0)</f>
        <v>0</v>
      </c>
      <c r="J451" s="187">
        <f ca="1">IFERROR(__xludf.DUMMYFUNCTION("IMPORTRANGE(""https://docs.google.com/spreadsheets/d/11923uPwbBZFjjGgGUA6NLw09EwE0CqkOc4q9oUmW1yo/edit?usp=sharing"",""พิษณุโลก!J346"")"),0)</f>
        <v>0</v>
      </c>
      <c r="K451" s="163">
        <f t="shared" ca="1" si="115"/>
        <v>0</v>
      </c>
      <c r="L451" s="181"/>
      <c r="M451" s="181"/>
      <c r="N451" s="181"/>
      <c r="O451" s="181"/>
      <c r="P451" s="181"/>
    </row>
    <row r="452" spans="1:16" ht="21.75" customHeight="1" x14ac:dyDescent="0.3">
      <c r="A452" s="175"/>
      <c r="B452" s="176"/>
      <c r="C452" s="176"/>
      <c r="D452" s="193"/>
      <c r="E452" s="198"/>
      <c r="F452" s="195"/>
      <c r="G452" s="196" t="s">
        <v>164</v>
      </c>
      <c r="H452" s="186" t="s">
        <v>37</v>
      </c>
      <c r="I452" s="187">
        <f ca="1">IFERROR(__xludf.DUMMYFUNCTION("IMPORTRANGE(""https://docs.google.com/spreadsheets/d/11923uPwbBZFjjGgGUA6NLw09EwE0CqkOc4q9oUmW1yo/edit?usp=sharing"",""พิษณุโลก!I347"")"),0)</f>
        <v>0</v>
      </c>
      <c r="J452" s="187">
        <f ca="1">IFERROR(__xludf.DUMMYFUNCTION("IMPORTRANGE(""https://docs.google.com/spreadsheets/d/11923uPwbBZFjjGgGUA6NLw09EwE0CqkOc4q9oUmW1yo/edit?usp=sharing"",""พิษณุโลก!J347"")"),0)</f>
        <v>0</v>
      </c>
      <c r="K452" s="163">
        <f t="shared" ca="1" si="115"/>
        <v>0</v>
      </c>
      <c r="L452" s="181"/>
      <c r="M452" s="181"/>
      <c r="N452" s="181"/>
      <c r="O452" s="181"/>
      <c r="P452" s="181"/>
    </row>
    <row r="453" spans="1:16" ht="21.75" customHeight="1" x14ac:dyDescent="0.3">
      <c r="A453" s="175"/>
      <c r="B453" s="176"/>
      <c r="C453" s="176"/>
      <c r="D453" s="193"/>
      <c r="E453" s="194" t="s">
        <v>54</v>
      </c>
      <c r="F453" s="195"/>
      <c r="G453" s="196"/>
      <c r="H453" s="186"/>
      <c r="I453" s="187"/>
      <c r="J453" s="197">
        <f ca="1">IFERROR(__xludf.DUMMYFUNCTION("IMPORTRANGE(""https://docs.google.com/spreadsheets/d/11923uPwbBZFjjGgGUA6NLw09EwE0CqkOc4q9oUmW1yo/edit?usp=sharing"",""พิษณุโลก!J348"")"),0)</f>
        <v>0</v>
      </c>
      <c r="K453" s="163"/>
      <c r="L453" s="181"/>
      <c r="M453" s="181"/>
      <c r="N453" s="181"/>
      <c r="O453" s="181"/>
      <c r="P453" s="181"/>
    </row>
    <row r="454" spans="1:16" ht="21.75" customHeight="1" x14ac:dyDescent="0.3">
      <c r="A454" s="175"/>
      <c r="B454" s="176"/>
      <c r="C454" s="176"/>
      <c r="D454" s="205">
        <v>3</v>
      </c>
      <c r="E454" s="206" t="s">
        <v>55</v>
      </c>
      <c r="F454" s="207"/>
      <c r="G454" s="208"/>
      <c r="H454" s="186"/>
      <c r="I454" s="187"/>
      <c r="J454" s="209">
        <f ca="1">IFERROR(__xludf.DUMMYFUNCTION("IMPORTRANGE(""https://docs.google.com/spreadsheets/d/11923uPwbBZFjjGgGUA6NLw09EwE0CqkOc4q9oUmW1yo/edit?usp=sharing"",""พิษณุโลก!J349"")"),0)</f>
        <v>0</v>
      </c>
      <c r="K454" s="163"/>
      <c r="L454" s="181"/>
      <c r="M454" s="181"/>
      <c r="N454" s="181"/>
      <c r="O454" s="181"/>
      <c r="P454" s="181"/>
    </row>
    <row r="455" spans="1:16" ht="21.75" customHeight="1" x14ac:dyDescent="0.3">
      <c r="A455" s="364"/>
      <c r="B455" s="365">
        <v>5</v>
      </c>
      <c r="C455" s="366" t="s">
        <v>165</v>
      </c>
      <c r="D455" s="366"/>
      <c r="E455" s="366"/>
      <c r="F455" s="366"/>
      <c r="G455" s="367"/>
      <c r="H455" s="368" t="s">
        <v>122</v>
      </c>
      <c r="I455" s="369">
        <f ca="1">IFERROR(__xludf.DUMMYFUNCTION("IMPORTRANGE(""https://docs.google.com/spreadsheets/d/11923uPwbBZFjjGgGUA6NLw09EwE0CqkOc4q9oUmW1yo/edit?usp=sharing"",""พิษณุโลก!I350"")"),63132)</f>
        <v>63132</v>
      </c>
      <c r="J455" s="369">
        <f ca="1">IFERROR(__xludf.DUMMYFUNCTION("IMPORTRANGE(""https://docs.google.com/spreadsheets/d/11923uPwbBZFjjGgGUA6NLw09EwE0CqkOc4q9oUmW1yo/edit?usp=sharing"",""พิษณุโลก!J350"")"),0)</f>
        <v>0</v>
      </c>
      <c r="K455" s="370">
        <f ca="1">IF(I455&gt;0,J455*100/I455,0)</f>
        <v>0</v>
      </c>
      <c r="L455" s="371">
        <f ca="1">IFERROR(__xludf.DUMMYFUNCTION("IMPORTRANGE(""https://docs.google.com/spreadsheets/d/11923uPwbBZFjjGgGUA6NLw09EwE0CqkOc4q9oUmW1yo/edit?usp=sharing"",""พิษณุโลก!L350"")"),513545)</f>
        <v>513545</v>
      </c>
      <c r="M455" s="371"/>
      <c r="N455" s="371">
        <f ca="1">IFERROR(__xludf.DUMMYFUNCTION("IMPORTRANGE(""https://docs.google.com/spreadsheets/d/11923uPwbBZFjjGgGUA6NLw09EwE0CqkOc4q9oUmW1yo/edit?usp=sharing"",""พิษณุโลก!M350"")"),86028.09)</f>
        <v>86028.09</v>
      </c>
      <c r="O455" s="371">
        <f t="shared" ref="O455:O459" ca="1" si="116">+IF(L455&gt;0,N455*100/L455,0)</f>
        <v>16.751811428404523</v>
      </c>
      <c r="P455" s="371"/>
    </row>
    <row r="456" spans="1:16" ht="21.75" customHeight="1" x14ac:dyDescent="0.3">
      <c r="A456" s="156"/>
      <c r="B456" s="157"/>
      <c r="C456" s="157" t="s">
        <v>16</v>
      </c>
      <c r="D456" s="158" t="s">
        <v>38</v>
      </c>
      <c r="E456" s="159"/>
      <c r="F456" s="159"/>
      <c r="G456" s="160" t="s">
        <v>39</v>
      </c>
      <c r="H456" s="161" t="s">
        <v>12</v>
      </c>
      <c r="I456" s="162" t="s">
        <v>40</v>
      </c>
      <c r="J456" s="162"/>
      <c r="K456" s="163"/>
      <c r="L456" s="164">
        <f ca="1">IFERROR(__xludf.DUMMYFUNCTION("IMPORTRANGE(""https://docs.google.com/spreadsheets/d/11923uPwbBZFjjGgGUA6NLw09EwE0CqkOc4q9oUmW1yo/edit?usp=sharing"",""พิษณุโลก!L351"")"),0)</f>
        <v>0</v>
      </c>
      <c r="M456" s="164"/>
      <c r="N456" s="168">
        <f ca="1">IFERROR(__xludf.DUMMYFUNCTION("IMPORTRANGE(""https://docs.google.com/spreadsheets/d/11923uPwbBZFjjGgGUA6NLw09EwE0CqkOc4q9oUmW1yo/edit?usp=sharing"",""พิษณุโลก!M351"")"),0)</f>
        <v>0</v>
      </c>
      <c r="O456" s="168">
        <f t="shared" ca="1" si="116"/>
        <v>0</v>
      </c>
      <c r="P456" s="168"/>
    </row>
    <row r="457" spans="1:16" ht="21.75" customHeight="1" x14ac:dyDescent="0.3">
      <c r="A457" s="156"/>
      <c r="B457" s="157"/>
      <c r="C457" s="157"/>
      <c r="D457" s="166"/>
      <c r="E457" s="159"/>
      <c r="F457" s="159" t="s">
        <v>40</v>
      </c>
      <c r="G457" s="160" t="s">
        <v>41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IFERROR(__xludf.DUMMYFUNCTION("IMPORTRANGE(""https://docs.google.com/spreadsheets/d/11923uPwbBZFjjGgGUA6NLw09EwE0CqkOc4q9oUmW1yo/edit?usp=sharing"",""พิษณุโลก!L352"")"),513545)</f>
        <v>513545</v>
      </c>
      <c r="M457" s="165"/>
      <c r="N457" s="168">
        <f ca="1">IFERROR(__xludf.DUMMYFUNCTION("IMPORTRANGE(""https://docs.google.com/spreadsheets/d/11923uPwbBZFjjGgGUA6NLw09EwE0CqkOc4q9oUmW1yo/edit?usp=sharing"",""พิษณุโลก!M352"")"),86028.09)</f>
        <v>86028.09</v>
      </c>
      <c r="O457" s="168">
        <f t="shared" ca="1" si="116"/>
        <v>16.751811428404523</v>
      </c>
      <c r="P457" s="168"/>
    </row>
    <row r="458" spans="1:16" ht="21.75" customHeight="1" x14ac:dyDescent="0.3">
      <c r="A458" s="156"/>
      <c r="B458" s="157"/>
      <c r="C458" s="157"/>
      <c r="D458" s="166"/>
      <c r="E458" s="159"/>
      <c r="F458" s="159"/>
      <c r="G458" s="372" t="s">
        <v>129</v>
      </c>
      <c r="H458" s="161" t="s">
        <v>12</v>
      </c>
      <c r="I458" s="162"/>
      <c r="J458" s="162"/>
      <c r="K458" s="163"/>
      <c r="L458" s="168">
        <f ca="1">IFERROR(__xludf.DUMMYFUNCTION("IMPORTRANGE(""https://docs.google.com/spreadsheets/d/11923uPwbBZFjjGgGUA6NLw09EwE0CqkOc4q9oUmW1yo/edit?usp=sharing"",""พิษณุโลก!L353"")"),0)</f>
        <v>0</v>
      </c>
      <c r="M458" s="168"/>
      <c r="N458" s="168">
        <f ca="1">IFERROR(__xludf.DUMMYFUNCTION("IMPORTRANGE(""https://docs.google.com/spreadsheets/d/11923uPwbBZFjjGgGUA6NLw09EwE0CqkOc4q9oUmW1yo/edit?usp=sharing"",""พิษณุโลก!M353"")"),0)</f>
        <v>0</v>
      </c>
      <c r="O458" s="168">
        <f t="shared" ca="1" si="116"/>
        <v>0</v>
      </c>
      <c r="P458" s="168"/>
    </row>
    <row r="459" spans="1:16" ht="21.75" customHeight="1" x14ac:dyDescent="0.3">
      <c r="A459" s="156"/>
      <c r="B459" s="157"/>
      <c r="C459" s="157"/>
      <c r="D459" s="166"/>
      <c r="E459" s="159"/>
      <c r="F459" s="159"/>
      <c r="G459" s="372" t="s">
        <v>130</v>
      </c>
      <c r="H459" s="161" t="s">
        <v>12</v>
      </c>
      <c r="I459" s="162"/>
      <c r="J459" s="162"/>
      <c r="K459" s="163"/>
      <c r="L459" s="168">
        <f ca="1">IFERROR(__xludf.DUMMYFUNCTION("IMPORTRANGE(""https://docs.google.com/spreadsheets/d/11923uPwbBZFjjGgGUA6NLw09EwE0CqkOc4q9oUmW1yo/edit?usp=sharing"",""พิษณุโลก!L354"")"),513545)</f>
        <v>513545</v>
      </c>
      <c r="M459" s="168"/>
      <c r="N459" s="168">
        <f ca="1">IFERROR(__xludf.DUMMYFUNCTION("IMPORTRANGE(""https://docs.google.com/spreadsheets/d/11923uPwbBZFjjGgGUA6NLw09EwE0CqkOc4q9oUmW1yo/edit?usp=sharing"",""พิษณุโลก!M354"")"),86028.09)</f>
        <v>86028.09</v>
      </c>
      <c r="O459" s="168">
        <f t="shared" ca="1" si="116"/>
        <v>16.751811428404523</v>
      </c>
      <c r="P459" s="168"/>
    </row>
    <row r="460" spans="1:16" ht="21.75" customHeight="1" x14ac:dyDescent="0.3">
      <c r="A460" s="373"/>
      <c r="B460" s="374"/>
      <c r="C460" s="157"/>
      <c r="D460" s="375"/>
      <c r="E460" s="159"/>
      <c r="F460" s="159"/>
      <c r="G460" s="376" t="s">
        <v>131</v>
      </c>
      <c r="H460" s="161" t="s">
        <v>12</v>
      </c>
      <c r="I460" s="187"/>
      <c r="J460" s="187"/>
      <c r="K460" s="223"/>
      <c r="L460" s="168"/>
      <c r="M460" s="168"/>
      <c r="N460" s="167">
        <f ca="1">IFERROR(__xludf.DUMMYFUNCTION("IMPORTRANGE(""https://docs.google.com/spreadsheets/d/11923uPwbBZFjjGgGUA6NLw09EwE0CqkOc4q9oUmW1yo/edit?usp=sharing"",""พิษณุโลก!M355"")"),0)</f>
        <v>0</v>
      </c>
      <c r="O460" s="168"/>
      <c r="P460" s="168"/>
    </row>
    <row r="461" spans="1:16" ht="21.75" customHeight="1" x14ac:dyDescent="0.3">
      <c r="A461" s="373"/>
      <c r="B461" s="374"/>
      <c r="C461" s="157"/>
      <c r="D461" s="375"/>
      <c r="E461" s="159"/>
      <c r="F461" s="159"/>
      <c r="G461" s="376" t="s">
        <v>132</v>
      </c>
      <c r="H461" s="161" t="s">
        <v>12</v>
      </c>
      <c r="I461" s="187"/>
      <c r="J461" s="187"/>
      <c r="K461" s="223"/>
      <c r="L461" s="168"/>
      <c r="M461" s="168"/>
      <c r="N461" s="167">
        <f ca="1">IFERROR(__xludf.DUMMYFUNCTION("IMPORTRANGE(""https://docs.google.com/spreadsheets/d/11923uPwbBZFjjGgGUA6NLw09EwE0CqkOc4q9oUmW1yo/edit?usp=sharing"",""พิษณุโลก!M356"")"),0)</f>
        <v>0</v>
      </c>
      <c r="O461" s="168"/>
      <c r="P461" s="168"/>
    </row>
    <row r="462" spans="1:16" ht="21.75" customHeight="1" x14ac:dyDescent="0.3">
      <c r="A462" s="373"/>
      <c r="B462" s="374"/>
      <c r="C462" s="157"/>
      <c r="D462" s="375"/>
      <c r="E462" s="159"/>
      <c r="F462" s="159"/>
      <c r="G462" s="376" t="s">
        <v>133</v>
      </c>
      <c r="H462" s="161" t="s">
        <v>12</v>
      </c>
      <c r="I462" s="187"/>
      <c r="J462" s="187"/>
      <c r="K462" s="223"/>
      <c r="L462" s="168"/>
      <c r="M462" s="168"/>
      <c r="N462" s="377">
        <f ca="1">IFERROR(__xludf.DUMMYFUNCTION("IMPORTRANGE(""https://docs.google.com/spreadsheets/d/11923uPwbBZFjjGgGUA6NLw09EwE0CqkOc4q9oUmW1yo/edit?usp=sharing"",""พิษณุโลก!M357"")"),31900.09)</f>
        <v>31900.09</v>
      </c>
      <c r="O462" s="168"/>
      <c r="P462" s="168"/>
    </row>
    <row r="463" spans="1:16" ht="21.75" customHeight="1" x14ac:dyDescent="0.3">
      <c r="A463" s="373"/>
      <c r="B463" s="374"/>
      <c r="C463" s="157"/>
      <c r="D463" s="375"/>
      <c r="E463" s="159"/>
      <c r="F463" s="159"/>
      <c r="G463" s="376" t="s">
        <v>134</v>
      </c>
      <c r="H463" s="161" t="s">
        <v>12</v>
      </c>
      <c r="I463" s="187"/>
      <c r="J463" s="187"/>
      <c r="K463" s="223"/>
      <c r="L463" s="168"/>
      <c r="M463" s="168"/>
      <c r="N463" s="377">
        <f ca="1">IFERROR(__xludf.DUMMYFUNCTION("IMPORTRANGE(""https://docs.google.com/spreadsheets/d/11923uPwbBZFjjGgGUA6NLw09EwE0CqkOc4q9oUmW1yo/edit?usp=sharing"",""พิษณุโลก!M358"")"),54128)</f>
        <v>54128</v>
      </c>
      <c r="O463" s="168"/>
      <c r="P463" s="168"/>
    </row>
    <row r="464" spans="1:16" ht="21.75" customHeight="1" x14ac:dyDescent="0.3">
      <c r="A464" s="175"/>
      <c r="B464" s="176"/>
      <c r="C464" s="413" t="s">
        <v>166</v>
      </c>
      <c r="D464" s="413"/>
      <c r="E464" s="414"/>
      <c r="F464" s="414"/>
      <c r="G464" s="415"/>
      <c r="H464" s="265" t="s">
        <v>122</v>
      </c>
      <c r="I464" s="266">
        <f ca="1">IFERROR(__xludf.DUMMYFUNCTION("IMPORTRANGE(""https://docs.google.com/spreadsheets/d/11923uPwbBZFjjGgGUA6NLw09EwE0CqkOc4q9oUmW1yo/edit?usp=sharing"",""พิษณุโลก!I359"")"),63132)</f>
        <v>63132</v>
      </c>
      <c r="J464" s="266">
        <f ca="1">IFERROR(__xludf.DUMMYFUNCTION("IMPORTRANGE(""https://docs.google.com/spreadsheets/d/11923uPwbBZFjjGgGUA6NLw09EwE0CqkOc4q9oUmW1yo/edit?usp=sharing"",""พิษณุโลก!J359"")"),0)</f>
        <v>0</v>
      </c>
      <c r="K464" s="267">
        <f t="shared" ref="K464:K515" ca="1" si="117">IF(I464&gt;0,J464*100/I464,0)</f>
        <v>0</v>
      </c>
      <c r="L464" s="290"/>
      <c r="M464" s="290"/>
      <c r="N464" s="290"/>
      <c r="O464" s="290"/>
      <c r="P464" s="290"/>
    </row>
    <row r="465" spans="1:16" ht="21.75" customHeight="1" x14ac:dyDescent="0.3">
      <c r="A465" s="400"/>
      <c r="B465" s="401"/>
      <c r="C465" s="401"/>
      <c r="D465" s="402"/>
      <c r="E465" s="193" t="s">
        <v>167</v>
      </c>
      <c r="F465" s="195"/>
      <c r="G465" s="196"/>
      <c r="H465" s="416" t="s">
        <v>122</v>
      </c>
      <c r="I465" s="417">
        <f ca="1">IFERROR(__xludf.DUMMYFUNCTION("IMPORTRANGE(""https://docs.google.com/spreadsheets/d/11923uPwbBZFjjGgGUA6NLw09EwE0CqkOc4q9oUmW1yo/edit?usp=sharing"",""พิษณุโลก!I360"")"),63132)</f>
        <v>63132</v>
      </c>
      <c r="J465" s="418">
        <f ca="1">IFERROR(__xludf.DUMMYFUNCTION("IMPORTRANGE(""https://docs.google.com/spreadsheets/d/11923uPwbBZFjjGgGUA6NLw09EwE0CqkOc4q9oUmW1yo/edit?usp=sharing"",""พิษณุโลก!J360"")"),63063.29)</f>
        <v>63063.29</v>
      </c>
      <c r="K465" s="201">
        <f t="shared" ca="1" si="117"/>
        <v>99.891164544129765</v>
      </c>
      <c r="L465" s="181"/>
      <c r="M465" s="181"/>
      <c r="N465" s="181"/>
      <c r="O465" s="181"/>
      <c r="P465" s="181"/>
    </row>
    <row r="466" spans="1:16" ht="21.75" customHeight="1" x14ac:dyDescent="0.3">
      <c r="A466" s="400"/>
      <c r="B466" s="401"/>
      <c r="C466" s="401"/>
      <c r="D466" s="402"/>
      <c r="E466" s="195"/>
      <c r="F466" s="195"/>
      <c r="G466" s="196"/>
      <c r="H466" s="416" t="s">
        <v>36</v>
      </c>
      <c r="I466" s="417">
        <f ca="1">IFERROR(__xludf.DUMMYFUNCTION("IMPORTRANGE(""https://docs.google.com/spreadsheets/d/11923uPwbBZFjjGgGUA6NLw09EwE0CqkOc4q9oUmW1yo/edit?usp=sharing"",""พิษณุโลก!I361"")"),5640)</f>
        <v>5640</v>
      </c>
      <c r="J466" s="418">
        <f ca="1">IFERROR(__xludf.DUMMYFUNCTION("IMPORTRANGE(""https://docs.google.com/spreadsheets/d/11923uPwbBZFjjGgGUA6NLw09EwE0CqkOc4q9oUmW1yo/edit?usp=sharing"",""พิษณุโลก!J361"")"),5549)</f>
        <v>5549</v>
      </c>
      <c r="K466" s="201">
        <f t="shared" ca="1" si="117"/>
        <v>98.386524822695037</v>
      </c>
      <c r="L466" s="181"/>
      <c r="M466" s="181"/>
      <c r="N466" s="181"/>
      <c r="O466" s="181"/>
      <c r="P466" s="181"/>
    </row>
    <row r="467" spans="1:16" ht="21.75" customHeight="1" x14ac:dyDescent="0.3">
      <c r="A467" s="400"/>
      <c r="B467" s="401"/>
      <c r="C467" s="401"/>
      <c r="D467" s="402"/>
      <c r="E467" s="195"/>
      <c r="F467" s="388" t="s">
        <v>168</v>
      </c>
      <c r="G467" s="419"/>
      <c r="H467" s="420" t="s">
        <v>122</v>
      </c>
      <c r="I467" s="202">
        <f ca="1">IFERROR(__xludf.DUMMYFUNCTION("IMPORTRANGE(""https://docs.google.com/spreadsheets/d/11923uPwbBZFjjGgGUA6NLw09EwE0CqkOc4q9oUmW1yo/edit?usp=sharing"",""พิษณุโลก!I362"")"),0)</f>
        <v>0</v>
      </c>
      <c r="J467" s="188">
        <f ca="1">IFERROR(__xludf.DUMMYFUNCTION("IMPORTRANGE(""https://docs.google.com/spreadsheets/d/11923uPwbBZFjjGgGUA6NLw09EwE0CqkOc4q9oUmW1yo/edit?usp=sharing"",""พิษณุโลก!J362"")"),51556.44)</f>
        <v>51556.44</v>
      </c>
      <c r="K467" s="163">
        <f t="shared" ca="1" si="117"/>
        <v>0</v>
      </c>
      <c r="L467" s="181"/>
      <c r="M467" s="181"/>
      <c r="N467" s="181"/>
      <c r="O467" s="181"/>
      <c r="P467" s="181"/>
    </row>
    <row r="468" spans="1:16" ht="21.75" customHeight="1" x14ac:dyDescent="0.3">
      <c r="A468" s="400"/>
      <c r="B468" s="401"/>
      <c r="C468" s="401"/>
      <c r="D468" s="402"/>
      <c r="E468" s="195"/>
      <c r="F468" s="195"/>
      <c r="G468" s="419"/>
      <c r="H468" s="420" t="s">
        <v>36</v>
      </c>
      <c r="I468" s="202">
        <f ca="1">IFERROR(__xludf.DUMMYFUNCTION("IMPORTRANGE(""https://docs.google.com/spreadsheets/d/11923uPwbBZFjjGgGUA6NLw09EwE0CqkOc4q9oUmW1yo/edit?usp=sharing"",""พิษณุโลก!I363"")"),0)</f>
        <v>0</v>
      </c>
      <c r="J468" s="188">
        <f ca="1">IFERROR(__xludf.DUMMYFUNCTION("IMPORTRANGE(""https://docs.google.com/spreadsheets/d/11923uPwbBZFjjGgGUA6NLw09EwE0CqkOc4q9oUmW1yo/edit?usp=sharing"",""พิษณุโลก!J363"")"),4799)</f>
        <v>4799</v>
      </c>
      <c r="K468" s="163">
        <f t="shared" ca="1" si="117"/>
        <v>0</v>
      </c>
      <c r="L468" s="181"/>
      <c r="M468" s="181"/>
      <c r="N468" s="181"/>
      <c r="O468" s="181"/>
      <c r="P468" s="181"/>
    </row>
    <row r="469" spans="1:16" ht="21.75" customHeight="1" x14ac:dyDescent="0.3">
      <c r="A469" s="400"/>
      <c r="B469" s="401"/>
      <c r="C469" s="401"/>
      <c r="D469" s="402"/>
      <c r="E469" s="195"/>
      <c r="F469" s="388" t="s">
        <v>169</v>
      </c>
      <c r="G469" s="419"/>
      <c r="H469" s="420" t="s">
        <v>122</v>
      </c>
      <c r="I469" s="202">
        <f ca="1">IFERROR(__xludf.DUMMYFUNCTION("IMPORTRANGE(""https://docs.google.com/spreadsheets/d/11923uPwbBZFjjGgGUA6NLw09EwE0CqkOc4q9oUmW1yo/edit?usp=sharing"",""พิษณุโลก!I364"")"),0)</f>
        <v>0</v>
      </c>
      <c r="J469" s="188">
        <f ca="1">IFERROR(__xludf.DUMMYFUNCTION("IMPORTRANGE(""https://docs.google.com/spreadsheets/d/11923uPwbBZFjjGgGUA6NLw09EwE0CqkOc4q9oUmW1yo/edit?usp=sharing"",""พิษณุโลก!J364"")"),10619.85)</f>
        <v>10619.85</v>
      </c>
      <c r="K469" s="163">
        <f t="shared" ca="1" si="117"/>
        <v>0</v>
      </c>
      <c r="L469" s="181"/>
      <c r="M469" s="181"/>
      <c r="N469" s="181"/>
      <c r="O469" s="181"/>
      <c r="P469" s="181"/>
    </row>
    <row r="470" spans="1:16" ht="21.75" customHeight="1" x14ac:dyDescent="0.3">
      <c r="A470" s="400"/>
      <c r="B470" s="401"/>
      <c r="C470" s="401"/>
      <c r="D470" s="402"/>
      <c r="E470" s="195"/>
      <c r="F470" s="195"/>
      <c r="G470" s="419"/>
      <c r="H470" s="420" t="s">
        <v>36</v>
      </c>
      <c r="I470" s="202">
        <f ca="1">IFERROR(__xludf.DUMMYFUNCTION("IMPORTRANGE(""https://docs.google.com/spreadsheets/d/11923uPwbBZFjjGgGUA6NLw09EwE0CqkOc4q9oUmW1yo/edit?usp=sharing"",""พิษณุโลก!I365"")"),0)</f>
        <v>0</v>
      </c>
      <c r="J470" s="188">
        <f ca="1">IFERROR(__xludf.DUMMYFUNCTION("IMPORTRANGE(""https://docs.google.com/spreadsheets/d/11923uPwbBZFjjGgGUA6NLw09EwE0CqkOc4q9oUmW1yo/edit?usp=sharing"",""พิษณุโลก!J365"")"),672)</f>
        <v>672</v>
      </c>
      <c r="K470" s="163">
        <f t="shared" ca="1" si="117"/>
        <v>0</v>
      </c>
      <c r="L470" s="181"/>
      <c r="M470" s="181"/>
      <c r="N470" s="181"/>
      <c r="O470" s="181"/>
      <c r="P470" s="181"/>
    </row>
    <row r="471" spans="1:16" ht="21.75" customHeight="1" x14ac:dyDescent="0.3">
      <c r="A471" s="400"/>
      <c r="B471" s="401"/>
      <c r="C471" s="401"/>
      <c r="D471" s="402"/>
      <c r="E471" s="195"/>
      <c r="F471" s="388" t="s">
        <v>170</v>
      </c>
      <c r="G471" s="419"/>
      <c r="H471" s="420" t="s">
        <v>122</v>
      </c>
      <c r="I471" s="202">
        <f ca="1">IFERROR(__xludf.DUMMYFUNCTION("IMPORTRANGE(""https://docs.google.com/spreadsheets/d/11923uPwbBZFjjGgGUA6NLw09EwE0CqkOc4q9oUmW1yo/edit?usp=sharing"",""พิษณุโลก!I366"")"),0)</f>
        <v>0</v>
      </c>
      <c r="J471" s="188">
        <f ca="1">IFERROR(__xludf.DUMMYFUNCTION("IMPORTRANGE(""https://docs.google.com/spreadsheets/d/11923uPwbBZFjjGgGUA6NLw09EwE0CqkOc4q9oUmW1yo/edit?usp=sharing"",""พิษณุโลก!J366"")"),887)</f>
        <v>887</v>
      </c>
      <c r="K471" s="163">
        <f t="shared" ca="1" si="117"/>
        <v>0</v>
      </c>
      <c r="L471" s="181"/>
      <c r="M471" s="181"/>
      <c r="N471" s="181"/>
      <c r="O471" s="181"/>
      <c r="P471" s="181"/>
    </row>
    <row r="472" spans="1:16" ht="21.75" customHeight="1" x14ac:dyDescent="0.3">
      <c r="A472" s="400"/>
      <c r="B472" s="401"/>
      <c r="C472" s="401"/>
      <c r="D472" s="402"/>
      <c r="E472" s="195"/>
      <c r="F472" s="195"/>
      <c r="G472" s="195"/>
      <c r="H472" s="420" t="s">
        <v>36</v>
      </c>
      <c r="I472" s="202">
        <f ca="1">IFERROR(__xludf.DUMMYFUNCTION("IMPORTRANGE(""https://docs.google.com/spreadsheets/d/11923uPwbBZFjjGgGUA6NLw09EwE0CqkOc4q9oUmW1yo/edit?usp=sharing"",""พิษณุโลก!I367"")"),0)</f>
        <v>0</v>
      </c>
      <c r="J472" s="188">
        <f ca="1">IFERROR(__xludf.DUMMYFUNCTION("IMPORTRANGE(""https://docs.google.com/spreadsheets/d/11923uPwbBZFjjGgGUA6NLw09EwE0CqkOc4q9oUmW1yo/edit?usp=sharing"",""พิษณุโลก!J367"")"),78)</f>
        <v>78</v>
      </c>
      <c r="K472" s="163">
        <f t="shared" ca="1" si="117"/>
        <v>0</v>
      </c>
      <c r="L472" s="181"/>
      <c r="M472" s="181"/>
      <c r="N472" s="181"/>
      <c r="O472" s="181"/>
      <c r="P472" s="181"/>
    </row>
    <row r="473" spans="1:16" ht="21.75" customHeight="1" x14ac:dyDescent="0.3">
      <c r="A473" s="400"/>
      <c r="B473" s="401"/>
      <c r="C473" s="401"/>
      <c r="D473" s="402"/>
      <c r="E473" s="289" t="s">
        <v>171</v>
      </c>
      <c r="F473" s="195"/>
      <c r="G473" s="196"/>
      <c r="H473" s="416" t="s">
        <v>122</v>
      </c>
      <c r="I473" s="418">
        <f ca="1">IFERROR(__xludf.DUMMYFUNCTION("IMPORTRANGE(""https://docs.google.com/spreadsheets/d/11923uPwbBZFjjGgGUA6NLw09EwE0CqkOc4q9oUmW1yo/edit?usp=sharing"",""พิษณุโลก!I368"")"),63132)</f>
        <v>63132</v>
      </c>
      <c r="J473" s="418">
        <f ca="1">IFERROR(__xludf.DUMMYFUNCTION("IMPORTRANGE(""https://docs.google.com/spreadsheets/d/11923uPwbBZFjjGgGUA6NLw09EwE0CqkOc4q9oUmW1yo/edit?usp=sharing"",""พิษณุโลก!J368"")"),0)</f>
        <v>0</v>
      </c>
      <c r="K473" s="201">
        <f t="shared" ca="1" si="117"/>
        <v>0</v>
      </c>
      <c r="L473" s="181"/>
      <c r="M473" s="181"/>
      <c r="N473" s="181"/>
      <c r="O473" s="181"/>
      <c r="P473" s="181"/>
    </row>
    <row r="474" spans="1:16" ht="21.75" customHeight="1" x14ac:dyDescent="0.3">
      <c r="A474" s="400"/>
      <c r="B474" s="401"/>
      <c r="C474" s="401"/>
      <c r="D474" s="402"/>
      <c r="E474" s="195"/>
      <c r="F474" s="195"/>
      <c r="G474" s="196"/>
      <c r="H474" s="416" t="s">
        <v>36</v>
      </c>
      <c r="I474" s="417">
        <f ca="1">IFERROR(__xludf.DUMMYFUNCTION("IMPORTRANGE(""https://docs.google.com/spreadsheets/d/11923uPwbBZFjjGgGUA6NLw09EwE0CqkOc4q9oUmW1yo/edit?usp=sharing"",""พิษณุโลก!I369"")"),5640)</f>
        <v>5640</v>
      </c>
      <c r="J474" s="418">
        <f ca="1">IFERROR(__xludf.DUMMYFUNCTION("IMPORTRANGE(""https://docs.google.com/spreadsheets/d/11923uPwbBZFjjGgGUA6NLw09EwE0CqkOc4q9oUmW1yo/edit?usp=sharing"",""พิษณุโลก!J369"")"),0)</f>
        <v>0</v>
      </c>
      <c r="K474" s="163">
        <f t="shared" ca="1" si="117"/>
        <v>0</v>
      </c>
      <c r="L474" s="181"/>
      <c r="M474" s="181"/>
      <c r="N474" s="181"/>
      <c r="O474" s="181"/>
      <c r="P474" s="181"/>
    </row>
    <row r="475" spans="1:16" ht="21.75" customHeight="1" x14ac:dyDescent="0.3">
      <c r="A475" s="400"/>
      <c r="B475" s="401"/>
      <c r="C475" s="401"/>
      <c r="D475" s="402"/>
      <c r="E475" s="195"/>
      <c r="F475" s="194" t="s">
        <v>172</v>
      </c>
      <c r="G475" s="419"/>
      <c r="H475" s="420" t="s">
        <v>122</v>
      </c>
      <c r="I475" s="202">
        <f ca="1">IFERROR(__xludf.DUMMYFUNCTION("IMPORTRANGE(""https://docs.google.com/spreadsheets/d/11923uPwbBZFjjGgGUA6NLw09EwE0CqkOc4q9oUmW1yo/edit?usp=sharing"",""พิษณุโลก!I370"")"),0)</f>
        <v>0</v>
      </c>
      <c r="J475" s="188">
        <f ca="1">IFERROR(__xludf.DUMMYFUNCTION("IMPORTRANGE(""https://docs.google.com/spreadsheets/d/11923uPwbBZFjjGgGUA6NLw09EwE0CqkOc4q9oUmW1yo/edit?usp=sharing"",""พิษณุโลก!J370"")"),0)</f>
        <v>0</v>
      </c>
      <c r="K475" s="163">
        <f t="shared" ca="1" si="117"/>
        <v>0</v>
      </c>
      <c r="L475" s="181"/>
      <c r="M475" s="181"/>
      <c r="N475" s="181"/>
      <c r="O475" s="181"/>
      <c r="P475" s="181"/>
    </row>
    <row r="476" spans="1:16" ht="21.75" customHeight="1" x14ac:dyDescent="0.3">
      <c r="A476" s="400"/>
      <c r="B476" s="401"/>
      <c r="C476" s="401"/>
      <c r="D476" s="402"/>
      <c r="E476" s="195"/>
      <c r="F476" s="195"/>
      <c r="G476" s="419"/>
      <c r="H476" s="420" t="s">
        <v>36</v>
      </c>
      <c r="I476" s="202">
        <f ca="1">IFERROR(__xludf.DUMMYFUNCTION("IMPORTRANGE(""https://docs.google.com/spreadsheets/d/11923uPwbBZFjjGgGUA6NLw09EwE0CqkOc4q9oUmW1yo/edit?usp=sharing"",""พิษณุโลก!I371"")"),0)</f>
        <v>0</v>
      </c>
      <c r="J476" s="188">
        <f ca="1">IFERROR(__xludf.DUMMYFUNCTION("IMPORTRANGE(""https://docs.google.com/spreadsheets/d/11923uPwbBZFjjGgGUA6NLw09EwE0CqkOc4q9oUmW1yo/edit?usp=sharing"",""พิษณุโลก!J371"")"),0)</f>
        <v>0</v>
      </c>
      <c r="K476" s="163">
        <f t="shared" ca="1" si="117"/>
        <v>0</v>
      </c>
      <c r="L476" s="181"/>
      <c r="M476" s="181"/>
      <c r="N476" s="181"/>
      <c r="O476" s="181"/>
      <c r="P476" s="181"/>
    </row>
    <row r="477" spans="1:16" ht="21.75" customHeight="1" x14ac:dyDescent="0.3">
      <c r="A477" s="400"/>
      <c r="B477" s="401"/>
      <c r="C477" s="401"/>
      <c r="D477" s="402"/>
      <c r="E477" s="195"/>
      <c r="F477" s="194" t="s">
        <v>173</v>
      </c>
      <c r="G477" s="419"/>
      <c r="H477" s="420" t="s">
        <v>122</v>
      </c>
      <c r="I477" s="202">
        <f ca="1">IFERROR(__xludf.DUMMYFUNCTION("IMPORTRANGE(""https://docs.google.com/spreadsheets/d/11923uPwbBZFjjGgGUA6NLw09EwE0CqkOc4q9oUmW1yo/edit?usp=sharing"",""พิษณุโลก!I372"")"),0)</f>
        <v>0</v>
      </c>
      <c r="J477" s="188">
        <f ca="1">IFERROR(__xludf.DUMMYFUNCTION("IMPORTRANGE(""https://docs.google.com/spreadsheets/d/11923uPwbBZFjjGgGUA6NLw09EwE0CqkOc4q9oUmW1yo/edit?usp=sharing"",""พิษณุโลก!J372"")"),0)</f>
        <v>0</v>
      </c>
      <c r="K477" s="163">
        <f t="shared" ca="1" si="117"/>
        <v>0</v>
      </c>
      <c r="L477" s="181"/>
      <c r="M477" s="181"/>
      <c r="N477" s="181"/>
      <c r="O477" s="181"/>
      <c r="P477" s="181"/>
    </row>
    <row r="478" spans="1:16" ht="21.75" customHeight="1" x14ac:dyDescent="0.3">
      <c r="A478" s="400"/>
      <c r="B478" s="401"/>
      <c r="C478" s="401"/>
      <c r="D478" s="402"/>
      <c r="E478" s="195"/>
      <c r="F478" s="195"/>
      <c r="G478" s="419"/>
      <c r="H478" s="420" t="s">
        <v>36</v>
      </c>
      <c r="I478" s="202">
        <f ca="1">IFERROR(__xludf.DUMMYFUNCTION("IMPORTRANGE(""https://docs.google.com/spreadsheets/d/11923uPwbBZFjjGgGUA6NLw09EwE0CqkOc4q9oUmW1yo/edit?usp=sharing"",""พิษณุโลก!I373"")"),0)</f>
        <v>0</v>
      </c>
      <c r="J478" s="188">
        <f ca="1">IFERROR(__xludf.DUMMYFUNCTION("IMPORTRANGE(""https://docs.google.com/spreadsheets/d/11923uPwbBZFjjGgGUA6NLw09EwE0CqkOc4q9oUmW1yo/edit?usp=sharing"",""พิษณุโลก!J373"")"),0)</f>
        <v>0</v>
      </c>
      <c r="K478" s="163">
        <f t="shared" ca="1" si="117"/>
        <v>0</v>
      </c>
      <c r="L478" s="181"/>
      <c r="M478" s="181"/>
      <c r="N478" s="181"/>
      <c r="O478" s="181"/>
      <c r="P478" s="181"/>
    </row>
    <row r="479" spans="1:16" ht="21.75" customHeight="1" x14ac:dyDescent="0.3">
      <c r="A479" s="400"/>
      <c r="B479" s="401"/>
      <c r="C479" s="401"/>
      <c r="D479" s="402"/>
      <c r="E479" s="195"/>
      <c r="F479" s="194" t="s">
        <v>174</v>
      </c>
      <c r="G479" s="419"/>
      <c r="H479" s="420" t="s">
        <v>122</v>
      </c>
      <c r="I479" s="202">
        <f ca="1">IFERROR(__xludf.DUMMYFUNCTION("IMPORTRANGE(""https://docs.google.com/spreadsheets/d/11923uPwbBZFjjGgGUA6NLw09EwE0CqkOc4q9oUmW1yo/edit?usp=sharing"",""พิษณุโลก!I374"")"),0)</f>
        <v>0</v>
      </c>
      <c r="J479" s="188">
        <f ca="1">IFERROR(__xludf.DUMMYFUNCTION("IMPORTRANGE(""https://docs.google.com/spreadsheets/d/11923uPwbBZFjjGgGUA6NLw09EwE0CqkOc4q9oUmW1yo/edit?usp=sharing"",""พิษณุโลก!J374"")"),0)</f>
        <v>0</v>
      </c>
      <c r="K479" s="163">
        <f t="shared" ca="1" si="117"/>
        <v>0</v>
      </c>
      <c r="L479" s="181"/>
      <c r="M479" s="181"/>
      <c r="N479" s="181"/>
      <c r="O479" s="181"/>
      <c r="P479" s="181"/>
    </row>
    <row r="480" spans="1:16" ht="21.75" customHeight="1" x14ac:dyDescent="0.3">
      <c r="A480" s="400"/>
      <c r="B480" s="401"/>
      <c r="C480" s="401"/>
      <c r="D480" s="402"/>
      <c r="E480" s="195"/>
      <c r="F480" s="195"/>
      <c r="G480" s="196"/>
      <c r="H480" s="420" t="s">
        <v>36</v>
      </c>
      <c r="I480" s="202">
        <f ca="1">IFERROR(__xludf.DUMMYFUNCTION("IMPORTRANGE(""https://docs.google.com/spreadsheets/d/11923uPwbBZFjjGgGUA6NLw09EwE0CqkOc4q9oUmW1yo/edit?usp=sharing"",""พิษณุโลก!I375"")"),0)</f>
        <v>0</v>
      </c>
      <c r="J480" s="188">
        <f ca="1">IFERROR(__xludf.DUMMYFUNCTION("IMPORTRANGE(""https://docs.google.com/spreadsheets/d/11923uPwbBZFjjGgGUA6NLw09EwE0CqkOc4q9oUmW1yo/edit?usp=sharing"",""พิษณุโลก!J375"")"),0)</f>
        <v>0</v>
      </c>
      <c r="K480" s="163">
        <f t="shared" ca="1" si="117"/>
        <v>0</v>
      </c>
      <c r="L480" s="181"/>
      <c r="M480" s="181"/>
      <c r="N480" s="181"/>
      <c r="O480" s="181"/>
      <c r="P480" s="181"/>
    </row>
    <row r="481" spans="1:16" ht="21.75" customHeight="1" x14ac:dyDescent="0.3">
      <c r="A481" s="421"/>
      <c r="B481" s="422"/>
      <c r="C481" s="422"/>
      <c r="D481" s="423"/>
      <c r="E481" s="424" t="s">
        <v>175</v>
      </c>
      <c r="F481" s="425"/>
      <c r="G481" s="426"/>
      <c r="H481" s="427" t="s">
        <v>122</v>
      </c>
      <c r="I481" s="418">
        <f ca="1">IFERROR(__xludf.DUMMYFUNCTION("IMPORTRANGE(""https://docs.google.com/spreadsheets/d/11923uPwbBZFjjGgGUA6NLw09EwE0CqkOc4q9oUmW1yo/edit?usp=sharing"",""พิษณุโลก!I376"")"),63132)</f>
        <v>63132</v>
      </c>
      <c r="J481" s="418">
        <f ca="1">IFERROR(__xludf.DUMMYFUNCTION("IMPORTRANGE(""https://docs.google.com/spreadsheets/d/11923uPwbBZFjjGgGUA6NLw09EwE0CqkOc4q9oUmW1yo/edit?usp=sharing"",""พิษณุโลก!J376"")"),0)</f>
        <v>0</v>
      </c>
      <c r="K481" s="201">
        <f t="shared" ca="1" si="117"/>
        <v>0</v>
      </c>
      <c r="L481" s="428"/>
      <c r="M481" s="428"/>
      <c r="N481" s="428"/>
      <c r="O481" s="428"/>
      <c r="P481" s="428"/>
    </row>
    <row r="482" spans="1:16" ht="21.75" customHeight="1" x14ac:dyDescent="0.3">
      <c r="A482" s="400"/>
      <c r="B482" s="401"/>
      <c r="C482" s="401"/>
      <c r="D482" s="402"/>
      <c r="E482" s="195"/>
      <c r="F482" s="195"/>
      <c r="G482" s="196"/>
      <c r="H482" s="416" t="s">
        <v>36</v>
      </c>
      <c r="I482" s="417">
        <f ca="1">IFERROR(__xludf.DUMMYFUNCTION("IMPORTRANGE(""https://docs.google.com/spreadsheets/d/11923uPwbBZFjjGgGUA6NLw09EwE0CqkOc4q9oUmW1yo/edit?usp=sharing"",""พิษณุโลก!I377"")"),5640)</f>
        <v>5640</v>
      </c>
      <c r="J482" s="418">
        <f ca="1">IFERROR(__xludf.DUMMYFUNCTION("IMPORTRANGE(""https://docs.google.com/spreadsheets/d/11923uPwbBZFjjGgGUA6NLw09EwE0CqkOc4q9oUmW1yo/edit?usp=sharing"",""พิษณุโลก!J377"")"),0)</f>
        <v>0</v>
      </c>
      <c r="K482" s="163">
        <f t="shared" ca="1" si="117"/>
        <v>0</v>
      </c>
      <c r="L482" s="181"/>
      <c r="M482" s="181"/>
      <c r="N482" s="181"/>
      <c r="O482" s="181"/>
      <c r="P482" s="181"/>
    </row>
    <row r="483" spans="1:16" ht="21.75" customHeight="1" x14ac:dyDescent="0.3">
      <c r="A483" s="400"/>
      <c r="B483" s="401"/>
      <c r="C483" s="401"/>
      <c r="D483" s="402"/>
      <c r="E483" s="195"/>
      <c r="F483" s="194" t="s">
        <v>176</v>
      </c>
      <c r="G483" s="419"/>
      <c r="H483" s="420" t="s">
        <v>122</v>
      </c>
      <c r="I483" s="202">
        <f ca="1">IFERROR(__xludf.DUMMYFUNCTION("IMPORTRANGE(""https://docs.google.com/spreadsheets/d/11923uPwbBZFjjGgGUA6NLw09EwE0CqkOc4q9oUmW1yo/edit?usp=sharing"",""พิษณุโลก!I378"")"),0)</f>
        <v>0</v>
      </c>
      <c r="J483" s="188">
        <f ca="1">IFERROR(__xludf.DUMMYFUNCTION("IMPORTRANGE(""https://docs.google.com/spreadsheets/d/11923uPwbBZFjjGgGUA6NLw09EwE0CqkOc4q9oUmW1yo/edit?usp=sharing"",""พิษณุโลก!J378"")"),0)</f>
        <v>0</v>
      </c>
      <c r="K483" s="163">
        <f t="shared" ca="1" si="117"/>
        <v>0</v>
      </c>
      <c r="L483" s="181"/>
      <c r="M483" s="181"/>
      <c r="N483" s="181"/>
      <c r="O483" s="181"/>
      <c r="P483" s="181"/>
    </row>
    <row r="484" spans="1:16" ht="21.75" customHeight="1" x14ac:dyDescent="0.3">
      <c r="A484" s="400"/>
      <c r="B484" s="401"/>
      <c r="C484" s="401"/>
      <c r="D484" s="402"/>
      <c r="E484" s="195"/>
      <c r="F484" s="195"/>
      <c r="G484" s="419"/>
      <c r="H484" s="420" t="s">
        <v>36</v>
      </c>
      <c r="I484" s="202">
        <f ca="1">IFERROR(__xludf.DUMMYFUNCTION("IMPORTRANGE(""https://docs.google.com/spreadsheets/d/11923uPwbBZFjjGgGUA6NLw09EwE0CqkOc4q9oUmW1yo/edit?usp=sharing"",""พิษณุโลก!I379"")"),0)</f>
        <v>0</v>
      </c>
      <c r="J484" s="188">
        <f ca="1">IFERROR(__xludf.DUMMYFUNCTION("IMPORTRANGE(""https://docs.google.com/spreadsheets/d/11923uPwbBZFjjGgGUA6NLw09EwE0CqkOc4q9oUmW1yo/edit?usp=sharing"",""พิษณุโลก!J379"")"),0)</f>
        <v>0</v>
      </c>
      <c r="K484" s="163">
        <f t="shared" ca="1" si="117"/>
        <v>0</v>
      </c>
      <c r="L484" s="181"/>
      <c r="M484" s="181"/>
      <c r="N484" s="181"/>
      <c r="O484" s="181"/>
      <c r="P484" s="181"/>
    </row>
    <row r="485" spans="1:16" ht="21.75" customHeight="1" x14ac:dyDescent="0.3">
      <c r="A485" s="400"/>
      <c r="B485" s="401"/>
      <c r="C485" s="401"/>
      <c r="D485" s="402"/>
      <c r="E485" s="195"/>
      <c r="F485" s="194" t="s">
        <v>177</v>
      </c>
      <c r="G485" s="419"/>
      <c r="H485" s="420" t="s">
        <v>122</v>
      </c>
      <c r="I485" s="202">
        <f ca="1">IFERROR(__xludf.DUMMYFUNCTION("IMPORTRANGE(""https://docs.google.com/spreadsheets/d/11923uPwbBZFjjGgGUA6NLw09EwE0CqkOc4q9oUmW1yo/edit?usp=sharing"",""พิษณุโลก!I380"")"),0)</f>
        <v>0</v>
      </c>
      <c r="J485" s="188">
        <f ca="1">IFERROR(__xludf.DUMMYFUNCTION("IMPORTRANGE(""https://docs.google.com/spreadsheets/d/11923uPwbBZFjjGgGUA6NLw09EwE0CqkOc4q9oUmW1yo/edit?usp=sharing"",""พิษณุโลก!J380"")"),0)</f>
        <v>0</v>
      </c>
      <c r="K485" s="163">
        <f t="shared" ca="1" si="117"/>
        <v>0</v>
      </c>
      <c r="L485" s="181"/>
      <c r="M485" s="181"/>
      <c r="N485" s="181"/>
      <c r="O485" s="181"/>
      <c r="P485" s="181"/>
    </row>
    <row r="486" spans="1:16" ht="21.75" customHeight="1" x14ac:dyDescent="0.3">
      <c r="A486" s="400"/>
      <c r="B486" s="401"/>
      <c r="C486" s="401"/>
      <c r="D486" s="402"/>
      <c r="E486" s="195"/>
      <c r="F486" s="195"/>
      <c r="G486" s="419"/>
      <c r="H486" s="420" t="s">
        <v>36</v>
      </c>
      <c r="I486" s="202">
        <f ca="1">IFERROR(__xludf.DUMMYFUNCTION("IMPORTRANGE(""https://docs.google.com/spreadsheets/d/11923uPwbBZFjjGgGUA6NLw09EwE0CqkOc4q9oUmW1yo/edit?usp=sharing"",""พิษณุโลก!I381"")"),0)</f>
        <v>0</v>
      </c>
      <c r="J486" s="188">
        <f ca="1">IFERROR(__xludf.DUMMYFUNCTION("IMPORTRANGE(""https://docs.google.com/spreadsheets/d/11923uPwbBZFjjGgGUA6NLw09EwE0CqkOc4q9oUmW1yo/edit?usp=sharing"",""พิษณุโลก!J381"")"),0)</f>
        <v>0</v>
      </c>
      <c r="K486" s="163">
        <f t="shared" ca="1" si="117"/>
        <v>0</v>
      </c>
      <c r="L486" s="181"/>
      <c r="M486" s="181"/>
      <c r="N486" s="181"/>
      <c r="O486" s="181"/>
      <c r="P486" s="181"/>
    </row>
    <row r="487" spans="1:16" ht="21.75" customHeight="1" x14ac:dyDescent="0.3">
      <c r="A487" s="400"/>
      <c r="B487" s="401"/>
      <c r="C487" s="401"/>
      <c r="D487" s="402"/>
      <c r="E487" s="195"/>
      <c r="F487" s="194" t="s">
        <v>178</v>
      </c>
      <c r="G487" s="419"/>
      <c r="H487" s="420" t="s">
        <v>122</v>
      </c>
      <c r="I487" s="202">
        <f ca="1">IFERROR(__xludf.DUMMYFUNCTION("IMPORTRANGE(""https://docs.google.com/spreadsheets/d/11923uPwbBZFjjGgGUA6NLw09EwE0CqkOc4q9oUmW1yo/edit?usp=sharing"",""พิษณุโลก!I382"")"),0)</f>
        <v>0</v>
      </c>
      <c r="J487" s="418">
        <f ca="1">IFERROR(__xludf.DUMMYFUNCTION("IMPORTRANGE(""https://docs.google.com/spreadsheets/d/11923uPwbBZFjjGgGUA6NLw09EwE0CqkOc4q9oUmW1yo/edit?usp=sharing"",""พิษณุโลก!J382"")"),0)</f>
        <v>0</v>
      </c>
      <c r="K487" s="163">
        <f t="shared" ca="1" si="117"/>
        <v>0</v>
      </c>
      <c r="L487" s="181"/>
      <c r="M487" s="181"/>
      <c r="N487" s="181"/>
      <c r="O487" s="181"/>
      <c r="P487" s="181"/>
    </row>
    <row r="488" spans="1:16" ht="21.75" customHeight="1" x14ac:dyDescent="0.3">
      <c r="A488" s="400"/>
      <c r="B488" s="401"/>
      <c r="C488" s="401"/>
      <c r="D488" s="402"/>
      <c r="E488" s="195"/>
      <c r="F488" s="195"/>
      <c r="G488" s="195"/>
      <c r="H488" s="420" t="s">
        <v>36</v>
      </c>
      <c r="I488" s="202">
        <f ca="1">IFERROR(__xludf.DUMMYFUNCTION("IMPORTRANGE(""https://docs.google.com/spreadsheets/d/11923uPwbBZFjjGgGUA6NLw09EwE0CqkOc4q9oUmW1yo/edit?usp=sharing"",""พิษณุโลก!I383"")"),0)</f>
        <v>0</v>
      </c>
      <c r="J488" s="418">
        <f ca="1">IFERROR(__xludf.DUMMYFUNCTION("IMPORTRANGE(""https://docs.google.com/spreadsheets/d/11923uPwbBZFjjGgGUA6NLw09EwE0CqkOc4q9oUmW1yo/edit?usp=sharing"",""พิษณุโลก!J383"")"),0)</f>
        <v>0</v>
      </c>
      <c r="K488" s="163">
        <f t="shared" ca="1" si="117"/>
        <v>0</v>
      </c>
      <c r="L488" s="181"/>
      <c r="M488" s="181"/>
      <c r="N488" s="181"/>
      <c r="O488" s="181"/>
      <c r="P488" s="181"/>
    </row>
    <row r="489" spans="1:16" ht="21.75" customHeight="1" x14ac:dyDescent="0.3">
      <c r="A489" s="400"/>
      <c r="B489" s="401"/>
      <c r="C489" s="401"/>
      <c r="D489" s="402"/>
      <c r="E489" s="195"/>
      <c r="F489" s="195"/>
      <c r="G489" s="194" t="s">
        <v>179</v>
      </c>
      <c r="H489" s="420" t="s">
        <v>122</v>
      </c>
      <c r="I489" s="202">
        <f ca="1">IFERROR(__xludf.DUMMYFUNCTION("IMPORTRANGE(""https://docs.google.com/spreadsheets/d/11923uPwbBZFjjGgGUA6NLw09EwE0CqkOc4q9oUmW1yo/edit?usp=sharing"",""พิษณุโลก!I384"")"),0)</f>
        <v>0</v>
      </c>
      <c r="J489" s="188">
        <f ca="1">IFERROR(__xludf.DUMMYFUNCTION("IMPORTRANGE(""https://docs.google.com/spreadsheets/d/11923uPwbBZFjjGgGUA6NLw09EwE0CqkOc4q9oUmW1yo/edit?usp=sharing"",""พิษณุโลก!J384"")"),0)</f>
        <v>0</v>
      </c>
      <c r="K489" s="163">
        <f t="shared" ca="1" si="117"/>
        <v>0</v>
      </c>
      <c r="L489" s="181"/>
      <c r="M489" s="181"/>
      <c r="N489" s="181"/>
      <c r="O489" s="181"/>
      <c r="P489" s="181"/>
    </row>
    <row r="490" spans="1:16" ht="21.75" customHeight="1" x14ac:dyDescent="0.3">
      <c r="A490" s="400"/>
      <c r="B490" s="401"/>
      <c r="C490" s="401"/>
      <c r="D490" s="402"/>
      <c r="E490" s="195"/>
      <c r="F490" s="195"/>
      <c r="G490" s="195"/>
      <c r="H490" s="420" t="s">
        <v>36</v>
      </c>
      <c r="I490" s="202">
        <f ca="1">IFERROR(__xludf.DUMMYFUNCTION("IMPORTRANGE(""https://docs.google.com/spreadsheets/d/11923uPwbBZFjjGgGUA6NLw09EwE0CqkOc4q9oUmW1yo/edit?usp=sharing"",""พิษณุโลก!I385"")"),0)</f>
        <v>0</v>
      </c>
      <c r="J490" s="188">
        <f ca="1">IFERROR(__xludf.DUMMYFUNCTION("IMPORTRANGE(""https://docs.google.com/spreadsheets/d/11923uPwbBZFjjGgGUA6NLw09EwE0CqkOc4q9oUmW1yo/edit?usp=sharing"",""พิษณุโลก!J385"")"),0)</f>
        <v>0</v>
      </c>
      <c r="K490" s="163">
        <f t="shared" ca="1" si="117"/>
        <v>0</v>
      </c>
      <c r="L490" s="181"/>
      <c r="M490" s="181"/>
      <c r="N490" s="181"/>
      <c r="O490" s="181"/>
      <c r="P490" s="181"/>
    </row>
    <row r="491" spans="1:16" ht="21.75" customHeight="1" x14ac:dyDescent="0.3">
      <c r="A491" s="400"/>
      <c r="B491" s="401"/>
      <c r="C491" s="401"/>
      <c r="D491" s="402"/>
      <c r="E491" s="195"/>
      <c r="F491" s="195"/>
      <c r="G491" s="194" t="s">
        <v>180</v>
      </c>
      <c r="H491" s="420" t="s">
        <v>122</v>
      </c>
      <c r="I491" s="202">
        <f ca="1">IFERROR(__xludf.DUMMYFUNCTION("IMPORTRANGE(""https://docs.google.com/spreadsheets/d/11923uPwbBZFjjGgGUA6NLw09EwE0CqkOc4q9oUmW1yo/edit?usp=sharing"",""พิษณุโลก!I386"")"),0)</f>
        <v>0</v>
      </c>
      <c r="J491" s="188">
        <f ca="1">IFERROR(__xludf.DUMMYFUNCTION("IMPORTRANGE(""https://docs.google.com/spreadsheets/d/11923uPwbBZFjjGgGUA6NLw09EwE0CqkOc4q9oUmW1yo/edit?usp=sharing"",""พิษณุโลก!J386"")"),0)</f>
        <v>0</v>
      </c>
      <c r="K491" s="163">
        <f t="shared" ca="1" si="117"/>
        <v>0</v>
      </c>
      <c r="L491" s="181"/>
      <c r="M491" s="181"/>
      <c r="N491" s="181"/>
      <c r="O491" s="181"/>
      <c r="P491" s="181"/>
    </row>
    <row r="492" spans="1:16" ht="21.75" customHeight="1" x14ac:dyDescent="0.3">
      <c r="A492" s="400"/>
      <c r="B492" s="401"/>
      <c r="C492" s="401"/>
      <c r="D492" s="402"/>
      <c r="E492" s="195"/>
      <c r="F492" s="195"/>
      <c r="G492" s="196"/>
      <c r="H492" s="420" t="s">
        <v>36</v>
      </c>
      <c r="I492" s="202">
        <f ca="1">IFERROR(__xludf.DUMMYFUNCTION("IMPORTRANGE(""https://docs.google.com/spreadsheets/d/11923uPwbBZFjjGgGUA6NLw09EwE0CqkOc4q9oUmW1yo/edit?usp=sharing"",""พิษณุโลก!I387"")"),0)</f>
        <v>0</v>
      </c>
      <c r="J492" s="188">
        <f ca="1">IFERROR(__xludf.DUMMYFUNCTION("IMPORTRANGE(""https://docs.google.com/spreadsheets/d/11923uPwbBZFjjGgGUA6NLw09EwE0CqkOc4q9oUmW1yo/edit?usp=sharing"",""พิษณุโลก!J387"")"),0)</f>
        <v>0</v>
      </c>
      <c r="K492" s="163">
        <f t="shared" ca="1" si="117"/>
        <v>0</v>
      </c>
      <c r="L492" s="181"/>
      <c r="M492" s="181"/>
      <c r="N492" s="181"/>
      <c r="O492" s="181"/>
      <c r="P492" s="181"/>
    </row>
    <row r="493" spans="1:16" ht="21.75" customHeight="1" x14ac:dyDescent="0.3">
      <c r="A493" s="400"/>
      <c r="B493" s="401"/>
      <c r="C493" s="401"/>
      <c r="D493" s="402"/>
      <c r="E493" s="195"/>
      <c r="F493" s="194" t="s">
        <v>181</v>
      </c>
      <c r="G493" s="419"/>
      <c r="H493" s="420" t="s">
        <v>122</v>
      </c>
      <c r="I493" s="202">
        <f ca="1">IFERROR(__xludf.DUMMYFUNCTION("IMPORTRANGE(""https://docs.google.com/spreadsheets/d/11923uPwbBZFjjGgGUA6NLw09EwE0CqkOc4q9oUmW1yo/edit?usp=sharing"",""พิษณุโลก!I388"")"),0)</f>
        <v>0</v>
      </c>
      <c r="J493" s="188">
        <f ca="1">IFERROR(__xludf.DUMMYFUNCTION("IMPORTRANGE(""https://docs.google.com/spreadsheets/d/11923uPwbBZFjjGgGUA6NLw09EwE0CqkOc4q9oUmW1yo/edit?usp=sharing"",""พิษณุโลก!J388"")"),0)</f>
        <v>0</v>
      </c>
      <c r="K493" s="163">
        <f t="shared" ca="1" si="117"/>
        <v>0</v>
      </c>
      <c r="L493" s="181"/>
      <c r="M493" s="181"/>
      <c r="N493" s="181"/>
      <c r="O493" s="181"/>
      <c r="P493" s="181"/>
    </row>
    <row r="494" spans="1:16" ht="21.75" customHeight="1" x14ac:dyDescent="0.3">
      <c r="A494" s="429"/>
      <c r="B494" s="430"/>
      <c r="C494" s="430"/>
      <c r="D494" s="431"/>
      <c r="E494" s="345"/>
      <c r="F494" s="345"/>
      <c r="G494" s="345"/>
      <c r="H494" s="432" t="s">
        <v>36</v>
      </c>
      <c r="I494" s="433">
        <f ca="1">IFERROR(__xludf.DUMMYFUNCTION("IMPORTRANGE(""https://docs.google.com/spreadsheets/d/11923uPwbBZFjjGgGUA6NLw09EwE0CqkOc4q9oUmW1yo/edit?usp=sharing"",""พิษณุโลก!I389"")"),0)</f>
        <v>0</v>
      </c>
      <c r="J494" s="434">
        <f ca="1">IFERROR(__xludf.DUMMYFUNCTION("IMPORTRANGE(""https://docs.google.com/spreadsheets/d/11923uPwbBZFjjGgGUA6NLw09EwE0CqkOc4q9oUmW1yo/edit?usp=sharing"",""พิษณุโลก!J389"")"),0)</f>
        <v>0</v>
      </c>
      <c r="K494" s="286">
        <f t="shared" ca="1" si="117"/>
        <v>0</v>
      </c>
      <c r="L494" s="244"/>
      <c r="M494" s="244"/>
      <c r="N494" s="244"/>
      <c r="O494" s="244"/>
      <c r="P494" s="244"/>
    </row>
    <row r="495" spans="1:16" ht="21.75" customHeight="1" x14ac:dyDescent="0.3">
      <c r="A495" s="400"/>
      <c r="B495" s="401"/>
      <c r="C495" s="401"/>
      <c r="D495" s="402"/>
      <c r="E495" s="195"/>
      <c r="F495" s="195">
        <v>3.5</v>
      </c>
      <c r="G495" s="419" t="s">
        <v>182</v>
      </c>
      <c r="H495" s="420" t="s">
        <v>122</v>
      </c>
      <c r="I495" s="433">
        <f ca="1">IFERROR(__xludf.DUMMYFUNCTION("IMPORTRANGE(""https://docs.google.com/spreadsheets/d/11923uPwbBZFjjGgGUA6NLw09EwE0CqkOc4q9oUmW1yo/edit?usp=sharing"",""พิษณุโลก!I390"")"),0)</f>
        <v>0</v>
      </c>
      <c r="J495" s="434">
        <f ca="1">IFERROR(__xludf.DUMMYFUNCTION("IMPORTRANGE(""https://docs.google.com/spreadsheets/d/11923uPwbBZFjjGgGUA6NLw09EwE0CqkOc4q9oUmW1yo/edit?usp=sharing"",""พิษณุโลก!J390"")"),0)</f>
        <v>0</v>
      </c>
      <c r="K495" s="163">
        <f t="shared" ca="1" si="117"/>
        <v>0</v>
      </c>
      <c r="L495" s="181"/>
      <c r="M495" s="181"/>
      <c r="N495" s="181"/>
      <c r="O495" s="181"/>
      <c r="P495" s="181"/>
    </row>
    <row r="496" spans="1:16" ht="21.75" customHeight="1" x14ac:dyDescent="0.3">
      <c r="A496" s="429"/>
      <c r="B496" s="430"/>
      <c r="C496" s="430"/>
      <c r="D496" s="431"/>
      <c r="E496" s="345"/>
      <c r="F496" s="345"/>
      <c r="G496" s="345"/>
      <c r="H496" s="432" t="s">
        <v>36</v>
      </c>
      <c r="I496" s="433">
        <f ca="1">IFERROR(__xludf.DUMMYFUNCTION("IMPORTRANGE(""https://docs.google.com/spreadsheets/d/11923uPwbBZFjjGgGUA6NLw09EwE0CqkOc4q9oUmW1yo/edit?usp=sharing"",""พิษณุโลก!I391"")"),0)</f>
        <v>0</v>
      </c>
      <c r="J496" s="434">
        <f ca="1">IFERROR(__xludf.DUMMYFUNCTION("IMPORTRANGE(""https://docs.google.com/spreadsheets/d/11923uPwbBZFjjGgGUA6NLw09EwE0CqkOc4q9oUmW1yo/edit?usp=sharing"",""พิษณุโลก!J391"")"),0)</f>
        <v>0</v>
      </c>
      <c r="K496" s="286">
        <f t="shared" ca="1" si="117"/>
        <v>0</v>
      </c>
      <c r="L496" s="244"/>
      <c r="M496" s="244"/>
      <c r="N496" s="244"/>
      <c r="O496" s="244"/>
      <c r="P496" s="244"/>
    </row>
    <row r="497" spans="1:16" ht="21.75" customHeight="1" x14ac:dyDescent="0.3">
      <c r="A497" s="435"/>
      <c r="B497" s="436"/>
      <c r="C497" s="437" t="s">
        <v>183</v>
      </c>
      <c r="D497" s="437"/>
      <c r="E497" s="438"/>
      <c r="F497" s="438"/>
      <c r="G497" s="439"/>
      <c r="H497" s="440" t="s">
        <v>122</v>
      </c>
      <c r="I497" s="441">
        <f ca="1">IFERROR(__xludf.DUMMYFUNCTION("IMPORTRANGE(""https://docs.google.com/spreadsheets/d/11923uPwbBZFjjGgGUA6NLw09EwE0CqkOc4q9oUmW1yo/edit?usp=sharing"",""พิษณุโลก!I392"")"),1774)</f>
        <v>1774</v>
      </c>
      <c r="J497" s="441">
        <f ca="1">IFERROR(__xludf.DUMMYFUNCTION("IMPORTRANGE(""https://docs.google.com/spreadsheets/d/11923uPwbBZFjjGgGUA6NLw09EwE0CqkOc4q9oUmW1yo/edit?usp=sharing"",""พิษณุโลก!J392"")"),998)</f>
        <v>998</v>
      </c>
      <c r="K497" s="442">
        <f t="shared" ca="1" si="117"/>
        <v>56.25704622322435</v>
      </c>
      <c r="L497" s="443"/>
      <c r="M497" s="443"/>
      <c r="N497" s="443"/>
      <c r="O497" s="443"/>
      <c r="P497" s="443"/>
    </row>
    <row r="498" spans="1:16" ht="21.75" customHeight="1" x14ac:dyDescent="0.3">
      <c r="A498" s="175"/>
      <c r="B498" s="176"/>
      <c r="C498" s="176"/>
      <c r="D498" s="402"/>
      <c r="E498" s="444" t="s">
        <v>184</v>
      </c>
      <c r="F498" s="445"/>
      <c r="G498" s="446"/>
      <c r="H498" s="447" t="s">
        <v>122</v>
      </c>
      <c r="I498" s="418">
        <f ca="1">IFERROR(__xludf.DUMMYFUNCTION("IMPORTRANGE(""https://docs.google.com/spreadsheets/d/11923uPwbBZFjjGgGUA6NLw09EwE0CqkOc4q9oUmW1yo/edit?usp=sharing"",""พิษณุโลก!I393"")"),1774)</f>
        <v>1774</v>
      </c>
      <c r="J498" s="418">
        <f ca="1">IFERROR(__xludf.DUMMYFUNCTION("IMPORTRANGE(""https://docs.google.com/spreadsheets/d/11923uPwbBZFjjGgGUA6NLw09EwE0CqkOc4q9oUmW1yo/edit?usp=sharing"",""พิษณุโลก!J393"")"),998)</f>
        <v>998</v>
      </c>
      <c r="K498" s="163">
        <f t="shared" ca="1" si="117"/>
        <v>56.25704622322435</v>
      </c>
      <c r="L498" s="181"/>
      <c r="M498" s="181"/>
      <c r="N498" s="181"/>
      <c r="O498" s="181"/>
      <c r="P498" s="181"/>
    </row>
    <row r="499" spans="1:16" ht="21.75" customHeight="1" x14ac:dyDescent="0.3">
      <c r="A499" s="175"/>
      <c r="B499" s="176"/>
      <c r="C499" s="176"/>
      <c r="D499" s="193"/>
      <c r="E499" s="445"/>
      <c r="F499" s="445"/>
      <c r="G499" s="446"/>
      <c r="H499" s="447" t="s">
        <v>36</v>
      </c>
      <c r="I499" s="418">
        <f ca="1">IFERROR(__xludf.DUMMYFUNCTION("IMPORTRANGE(""https://docs.google.com/spreadsheets/d/11923uPwbBZFjjGgGUA6NLw09EwE0CqkOc4q9oUmW1yo/edit?usp=sharing"",""พิษณุโลก!I394"")"),106)</f>
        <v>106</v>
      </c>
      <c r="J499" s="418">
        <f ca="1">IFERROR(__xludf.DUMMYFUNCTION("IMPORTRANGE(""https://docs.google.com/spreadsheets/d/11923uPwbBZFjjGgGUA6NLw09EwE0CqkOc4q9oUmW1yo/edit?usp=sharing"",""พิษณุโลก!J394"")"),60)</f>
        <v>60</v>
      </c>
      <c r="K499" s="201">
        <f t="shared" ca="1" si="117"/>
        <v>56.60377358490566</v>
      </c>
      <c r="L499" s="181"/>
      <c r="M499" s="181"/>
      <c r="N499" s="181"/>
      <c r="O499" s="181"/>
      <c r="P499" s="181"/>
    </row>
    <row r="500" spans="1:16" ht="21.75" customHeight="1" x14ac:dyDescent="0.3">
      <c r="A500" s="175"/>
      <c r="B500" s="176"/>
      <c r="C500" s="176"/>
      <c r="D500" s="402"/>
      <c r="E500" s="402" t="s">
        <v>185</v>
      </c>
      <c r="F500" s="195"/>
      <c r="G500" s="196"/>
      <c r="H500" s="420" t="s">
        <v>122</v>
      </c>
      <c r="I500" s="202">
        <f ca="1">IFERROR(__xludf.DUMMYFUNCTION("IMPORTRANGE(""https://docs.google.com/spreadsheets/d/11923uPwbBZFjjGgGUA6NLw09EwE0CqkOc4q9oUmW1yo/edit?usp=sharing"",""พิษณุโลก!I395"")"),0)</f>
        <v>0</v>
      </c>
      <c r="J500" s="162">
        <f ca="1">IFERROR(__xludf.DUMMYFUNCTION("IMPORTRANGE(""https://docs.google.com/spreadsheets/d/11923uPwbBZFjjGgGUA6NLw09EwE0CqkOc4q9oUmW1yo/edit?usp=sharing"",""พิษณุโลก!J395"")"),975)</f>
        <v>975</v>
      </c>
      <c r="K500" s="163">
        <f t="shared" ca="1" si="117"/>
        <v>0</v>
      </c>
      <c r="L500" s="181"/>
      <c r="M500" s="181"/>
      <c r="N500" s="181"/>
      <c r="O500" s="181"/>
      <c r="P500" s="181"/>
    </row>
    <row r="501" spans="1:16" ht="21.75" customHeight="1" x14ac:dyDescent="0.3">
      <c r="A501" s="175"/>
      <c r="B501" s="176"/>
      <c r="C501" s="176"/>
      <c r="D501" s="193"/>
      <c r="E501" s="195"/>
      <c r="F501" s="195"/>
      <c r="G501" s="196"/>
      <c r="H501" s="420" t="s">
        <v>36</v>
      </c>
      <c r="I501" s="202">
        <f ca="1">IFERROR(__xludf.DUMMYFUNCTION("IMPORTRANGE(""https://docs.google.com/spreadsheets/d/11923uPwbBZFjjGgGUA6NLw09EwE0CqkOc4q9oUmW1yo/edit?usp=sharing"",""พิษณุโลก!I396"")"),0)</f>
        <v>0</v>
      </c>
      <c r="J501" s="162">
        <f ca="1">IFERROR(__xludf.DUMMYFUNCTION("IMPORTRANGE(""https://docs.google.com/spreadsheets/d/11923uPwbBZFjjGgGUA6NLw09EwE0CqkOc4q9oUmW1yo/edit?usp=sharing"",""พิษณุโลก!J396"")"),59)</f>
        <v>59</v>
      </c>
      <c r="K501" s="163">
        <f t="shared" ca="1" si="117"/>
        <v>0</v>
      </c>
      <c r="L501" s="181"/>
      <c r="M501" s="181"/>
      <c r="N501" s="181"/>
      <c r="O501" s="181"/>
      <c r="P501" s="181"/>
    </row>
    <row r="502" spans="1:16" ht="21.75" customHeight="1" x14ac:dyDescent="0.3">
      <c r="A502" s="175"/>
      <c r="B502" s="176"/>
      <c r="C502" s="176"/>
      <c r="D502" s="193"/>
      <c r="E502" s="195"/>
      <c r="F502" s="397" t="s">
        <v>186</v>
      </c>
      <c r="G502" s="419"/>
      <c r="H502" s="420" t="s">
        <v>122</v>
      </c>
      <c r="I502" s="202">
        <f ca="1">IFERROR(__xludf.DUMMYFUNCTION("IMPORTRANGE(""https://docs.google.com/spreadsheets/d/11923uPwbBZFjjGgGUA6NLw09EwE0CqkOc4q9oUmW1yo/edit?usp=sharing"",""พิษณุโลก!I397"")"),0)</f>
        <v>0</v>
      </c>
      <c r="J502" s="188">
        <f ca="1">IFERROR(__xludf.DUMMYFUNCTION("IMPORTRANGE(""https://docs.google.com/spreadsheets/d/11923uPwbBZFjjGgGUA6NLw09EwE0CqkOc4q9oUmW1yo/edit?usp=sharing"",""พิษณุโลก!J397"")"),550)</f>
        <v>550</v>
      </c>
      <c r="K502" s="163">
        <f t="shared" ca="1" si="117"/>
        <v>0</v>
      </c>
      <c r="L502" s="181"/>
      <c r="M502" s="181"/>
      <c r="N502" s="181"/>
      <c r="O502" s="181"/>
      <c r="P502" s="181"/>
    </row>
    <row r="503" spans="1:16" ht="21.75" customHeight="1" x14ac:dyDescent="0.3">
      <c r="A503" s="175"/>
      <c r="B503" s="176"/>
      <c r="C503" s="176"/>
      <c r="D503" s="193"/>
      <c r="E503" s="195"/>
      <c r="F503" s="195"/>
      <c r="G503" s="419"/>
      <c r="H503" s="420" t="s">
        <v>36</v>
      </c>
      <c r="I503" s="187">
        <f ca="1">IFERROR(__xludf.DUMMYFUNCTION("IMPORTRANGE(""https://docs.google.com/spreadsheets/d/11923uPwbBZFjjGgGUA6NLw09EwE0CqkOc4q9oUmW1yo/edit?usp=sharing"",""พิษณุโลก!I398"")"),0)</f>
        <v>0</v>
      </c>
      <c r="J503" s="197">
        <f ca="1">IFERROR(__xludf.DUMMYFUNCTION("IMPORTRANGE(""https://docs.google.com/spreadsheets/d/11923uPwbBZFjjGgGUA6NLw09EwE0CqkOc4q9oUmW1yo/edit?usp=sharing"",""พิษณุโลก!J398"")"),31)</f>
        <v>31</v>
      </c>
      <c r="K503" s="163">
        <f t="shared" ca="1" si="117"/>
        <v>0</v>
      </c>
      <c r="L503" s="181"/>
      <c r="M503" s="181"/>
      <c r="N503" s="181"/>
      <c r="O503" s="181"/>
      <c r="P503" s="181"/>
    </row>
    <row r="504" spans="1:16" ht="21.75" customHeight="1" x14ac:dyDescent="0.3">
      <c r="A504" s="175"/>
      <c r="B504" s="176"/>
      <c r="C504" s="176"/>
      <c r="D504" s="193"/>
      <c r="E504" s="195"/>
      <c r="F504" s="388" t="s">
        <v>187</v>
      </c>
      <c r="G504" s="419"/>
      <c r="H504" s="420" t="s">
        <v>122</v>
      </c>
      <c r="I504" s="203">
        <f ca="1">IFERROR(__xludf.DUMMYFUNCTION("IMPORTRANGE(""https://docs.google.com/spreadsheets/d/11923uPwbBZFjjGgGUA6NLw09EwE0CqkOc4q9oUmW1yo/edit?usp=sharing"",""พิษณุโลก!I399"")"),0)</f>
        <v>0</v>
      </c>
      <c r="J504" s="188">
        <f ca="1">IFERROR(__xludf.DUMMYFUNCTION("IMPORTRANGE(""https://docs.google.com/spreadsheets/d/11923uPwbBZFjjGgGUA6NLw09EwE0CqkOc4q9oUmW1yo/edit?usp=sharing"",""พิษณุโลก!J399"")"),425)</f>
        <v>425</v>
      </c>
      <c r="K504" s="163">
        <f t="shared" ca="1" si="117"/>
        <v>0</v>
      </c>
      <c r="L504" s="181"/>
      <c r="M504" s="181"/>
      <c r="N504" s="181"/>
      <c r="O504" s="181"/>
      <c r="P504" s="181"/>
    </row>
    <row r="505" spans="1:16" ht="21.75" customHeight="1" x14ac:dyDescent="0.3">
      <c r="A505" s="175"/>
      <c r="B505" s="176"/>
      <c r="C505" s="176"/>
      <c r="D505" s="193"/>
      <c r="E505" s="195"/>
      <c r="F505" s="195"/>
      <c r="G505" s="419"/>
      <c r="H505" s="420" t="s">
        <v>36</v>
      </c>
      <c r="I505" s="187">
        <f ca="1">IFERROR(__xludf.DUMMYFUNCTION("IMPORTRANGE(""https://docs.google.com/spreadsheets/d/11923uPwbBZFjjGgGUA6NLw09EwE0CqkOc4q9oUmW1yo/edit?usp=sharing"",""พิษณุโลก!I400"")"),0)</f>
        <v>0</v>
      </c>
      <c r="J505" s="197">
        <f ca="1">IFERROR(__xludf.DUMMYFUNCTION("IMPORTRANGE(""https://docs.google.com/spreadsheets/d/11923uPwbBZFjjGgGUA6NLw09EwE0CqkOc4q9oUmW1yo/edit?usp=sharing"",""พิษณุโลก!J400"")"),28)</f>
        <v>28</v>
      </c>
      <c r="K505" s="163">
        <f t="shared" ca="1" si="117"/>
        <v>0</v>
      </c>
      <c r="L505" s="181"/>
      <c r="M505" s="181"/>
      <c r="N505" s="181"/>
      <c r="O505" s="181"/>
      <c r="P505" s="181"/>
    </row>
    <row r="506" spans="1:16" ht="21.75" customHeight="1" x14ac:dyDescent="0.3">
      <c r="A506" s="175"/>
      <c r="B506" s="176"/>
      <c r="C506" s="176"/>
      <c r="D506" s="193"/>
      <c r="E506" s="195"/>
      <c r="F506" s="397" t="s">
        <v>188</v>
      </c>
      <c r="G506" s="419"/>
      <c r="H506" s="420" t="s">
        <v>122</v>
      </c>
      <c r="I506" s="203">
        <f ca="1">IFERROR(__xludf.DUMMYFUNCTION("IMPORTRANGE(""https://docs.google.com/spreadsheets/d/11923uPwbBZFjjGgGUA6NLw09EwE0CqkOc4q9oUmW1yo/edit?usp=sharing"",""พิษณุโลก!I401"")"),0)</f>
        <v>0</v>
      </c>
      <c r="J506" s="188">
        <f ca="1">IFERROR(__xludf.DUMMYFUNCTION("IMPORTRANGE(""https://docs.google.com/spreadsheets/d/11923uPwbBZFjjGgGUA6NLw09EwE0CqkOc4q9oUmW1yo/edit?usp=sharing"",""พิษณุโลก!J401"")"),0)</f>
        <v>0</v>
      </c>
      <c r="K506" s="163">
        <f t="shared" ca="1" si="117"/>
        <v>0</v>
      </c>
      <c r="L506" s="181"/>
      <c r="M506" s="181"/>
      <c r="N506" s="181"/>
      <c r="O506" s="181"/>
      <c r="P506" s="181"/>
    </row>
    <row r="507" spans="1:16" ht="21.75" customHeight="1" x14ac:dyDescent="0.3">
      <c r="A507" s="175"/>
      <c r="B507" s="176"/>
      <c r="C507" s="176"/>
      <c r="D507" s="193"/>
      <c r="E507" s="195"/>
      <c r="F507" s="195"/>
      <c r="G507" s="195"/>
      <c r="H507" s="420" t="s">
        <v>36</v>
      </c>
      <c r="I507" s="187">
        <f ca="1">IFERROR(__xludf.DUMMYFUNCTION("IMPORTRANGE(""https://docs.google.com/spreadsheets/d/11923uPwbBZFjjGgGUA6NLw09EwE0CqkOc4q9oUmW1yo/edit?usp=sharing"",""พิษณุโลก!I402"")"),0)</f>
        <v>0</v>
      </c>
      <c r="J507" s="197">
        <f ca="1">IFERROR(__xludf.DUMMYFUNCTION("IMPORTRANGE(""https://docs.google.com/spreadsheets/d/11923uPwbBZFjjGgGUA6NLw09EwE0CqkOc4q9oUmW1yo/edit?usp=sharing"",""พิษณุโลก!J402"")"),0)</f>
        <v>0</v>
      </c>
      <c r="K507" s="163">
        <f t="shared" ca="1" si="117"/>
        <v>0</v>
      </c>
      <c r="L507" s="181"/>
      <c r="M507" s="181"/>
      <c r="N507" s="181"/>
      <c r="O507" s="181"/>
      <c r="P507" s="181"/>
    </row>
    <row r="508" spans="1:16" ht="21.75" customHeight="1" x14ac:dyDescent="0.3">
      <c r="A508" s="175"/>
      <c r="B508" s="176"/>
      <c r="C508" s="176"/>
      <c r="D508" s="193"/>
      <c r="E508" s="194" t="s">
        <v>189</v>
      </c>
      <c r="F508" s="195"/>
      <c r="G508" s="419"/>
      <c r="H508" s="420" t="s">
        <v>122</v>
      </c>
      <c r="I508" s="187">
        <f ca="1">IFERROR(__xludf.DUMMYFUNCTION("IMPORTRANGE(""https://docs.google.com/spreadsheets/d/11923uPwbBZFjjGgGUA6NLw09EwE0CqkOc4q9oUmW1yo/edit?usp=sharing"",""พิษณุโลก!I403"")"),0)</f>
        <v>0</v>
      </c>
      <c r="J508" s="162">
        <f ca="1">IFERROR(__xludf.DUMMYFUNCTION("IMPORTRANGE(""https://docs.google.com/spreadsheets/d/11923uPwbBZFjjGgGUA6NLw09EwE0CqkOc4q9oUmW1yo/edit?usp=sharing"",""พิษณุโลก!J403"")"),23)</f>
        <v>23</v>
      </c>
      <c r="K508" s="163">
        <f t="shared" ca="1" si="117"/>
        <v>0</v>
      </c>
      <c r="L508" s="181"/>
      <c r="M508" s="181"/>
      <c r="N508" s="181"/>
      <c r="O508" s="181"/>
      <c r="P508" s="181"/>
    </row>
    <row r="509" spans="1:16" ht="21.75" customHeight="1" x14ac:dyDescent="0.3">
      <c r="A509" s="175"/>
      <c r="B509" s="176"/>
      <c r="C509" s="176"/>
      <c r="D509" s="193"/>
      <c r="E509" s="195"/>
      <c r="F509" s="195"/>
      <c r="G509" s="195"/>
      <c r="H509" s="420" t="s">
        <v>36</v>
      </c>
      <c r="I509" s="187">
        <f ca="1">IFERROR(__xludf.DUMMYFUNCTION("IMPORTRANGE(""https://docs.google.com/spreadsheets/d/11923uPwbBZFjjGgGUA6NLw09EwE0CqkOc4q9oUmW1yo/edit?usp=sharing"",""พิษณุโลก!I404"")"),0)</f>
        <v>0</v>
      </c>
      <c r="J509" s="162">
        <f ca="1">IFERROR(__xludf.DUMMYFUNCTION("IMPORTRANGE(""https://docs.google.com/spreadsheets/d/11923uPwbBZFjjGgGUA6NLw09EwE0CqkOc4q9oUmW1yo/edit?usp=sharing"",""พิษณุโลก!J404"")"),1)</f>
        <v>1</v>
      </c>
      <c r="K509" s="163">
        <f t="shared" ca="1" si="117"/>
        <v>0</v>
      </c>
      <c r="L509" s="181"/>
      <c r="M509" s="181"/>
      <c r="N509" s="181"/>
      <c r="O509" s="181"/>
      <c r="P509" s="181"/>
    </row>
    <row r="510" spans="1:16" ht="21.75" customHeight="1" x14ac:dyDescent="0.3">
      <c r="A510" s="175"/>
      <c r="B510" s="176"/>
      <c r="C510" s="176"/>
      <c r="D510" s="193"/>
      <c r="E510" s="195"/>
      <c r="F510" s="194" t="s">
        <v>190</v>
      </c>
      <c r="G510" s="195"/>
      <c r="H510" s="420" t="s">
        <v>122</v>
      </c>
      <c r="I510" s="187">
        <f ca="1">IFERROR(__xludf.DUMMYFUNCTION("IMPORTRANGE(""https://docs.google.com/spreadsheets/d/11923uPwbBZFjjGgGUA6NLw09EwE0CqkOc4q9oUmW1yo/edit?usp=sharing"",""พิษณุโลก!I405"")"),0)</f>
        <v>0</v>
      </c>
      <c r="J510" s="197">
        <f ca="1">IFERROR(__xludf.DUMMYFUNCTION("IMPORTRANGE(""https://docs.google.com/spreadsheets/d/11923uPwbBZFjjGgGUA6NLw09EwE0CqkOc4q9oUmW1yo/edit?usp=sharing"",""พิษณุโลก!J405"")"),23)</f>
        <v>23</v>
      </c>
      <c r="K510" s="163">
        <f t="shared" ca="1" si="117"/>
        <v>0</v>
      </c>
      <c r="L510" s="181"/>
      <c r="M510" s="181"/>
      <c r="N510" s="181"/>
      <c r="O510" s="181"/>
      <c r="P510" s="181"/>
    </row>
    <row r="511" spans="1:16" ht="21.75" customHeight="1" x14ac:dyDescent="0.3">
      <c r="A511" s="175"/>
      <c r="B511" s="176"/>
      <c r="C511" s="176"/>
      <c r="D511" s="193"/>
      <c r="E511" s="195"/>
      <c r="F511" s="195"/>
      <c r="G511" s="195"/>
      <c r="H511" s="420" t="s">
        <v>36</v>
      </c>
      <c r="I511" s="187">
        <f ca="1">IFERROR(__xludf.DUMMYFUNCTION("IMPORTRANGE(""https://docs.google.com/spreadsheets/d/11923uPwbBZFjjGgGUA6NLw09EwE0CqkOc4q9oUmW1yo/edit?usp=sharing"",""พิษณุโลก!I406"")"),0)</f>
        <v>0</v>
      </c>
      <c r="J511" s="197">
        <f ca="1">IFERROR(__xludf.DUMMYFUNCTION("IMPORTRANGE(""https://docs.google.com/spreadsheets/d/11923uPwbBZFjjGgGUA6NLw09EwE0CqkOc4q9oUmW1yo/edit?usp=sharing"",""พิษณุโลก!J406"")"),1)</f>
        <v>1</v>
      </c>
      <c r="K511" s="163">
        <f t="shared" ca="1" si="117"/>
        <v>0</v>
      </c>
      <c r="L511" s="181"/>
      <c r="M511" s="181"/>
      <c r="N511" s="181"/>
      <c r="O511" s="181"/>
      <c r="P511" s="181"/>
    </row>
    <row r="512" spans="1:16" ht="21.75" customHeight="1" x14ac:dyDescent="0.3">
      <c r="A512" s="175"/>
      <c r="B512" s="176"/>
      <c r="C512" s="176"/>
      <c r="D512" s="193"/>
      <c r="E512" s="195"/>
      <c r="F512" s="194" t="s">
        <v>191</v>
      </c>
      <c r="G512" s="195"/>
      <c r="H512" s="420" t="s">
        <v>122</v>
      </c>
      <c r="I512" s="187">
        <f ca="1">IFERROR(__xludf.DUMMYFUNCTION("IMPORTRANGE(""https://docs.google.com/spreadsheets/d/11923uPwbBZFjjGgGUA6NLw09EwE0CqkOc4q9oUmW1yo/edit?usp=sharing"",""พิษณุโลก!I407"")"),0)</f>
        <v>0</v>
      </c>
      <c r="J512" s="197">
        <f ca="1">IFERROR(__xludf.DUMMYFUNCTION("IMPORTRANGE(""https://docs.google.com/spreadsheets/d/11923uPwbBZFjjGgGUA6NLw09EwE0CqkOc4q9oUmW1yo/edit?usp=sharing"",""พิษณุโลก!J407"")"),0)</f>
        <v>0</v>
      </c>
      <c r="K512" s="163">
        <f t="shared" ca="1" si="117"/>
        <v>0</v>
      </c>
      <c r="L512" s="181"/>
      <c r="M512" s="181"/>
      <c r="N512" s="181"/>
      <c r="O512" s="181"/>
      <c r="P512" s="181"/>
    </row>
    <row r="513" spans="1:16" ht="21.75" customHeight="1" x14ac:dyDescent="0.3">
      <c r="A513" s="175"/>
      <c r="B513" s="176"/>
      <c r="C513" s="176"/>
      <c r="D513" s="193"/>
      <c r="E513" s="195"/>
      <c r="F513" s="195"/>
      <c r="G513" s="196"/>
      <c r="H513" s="420" t="s">
        <v>36</v>
      </c>
      <c r="I513" s="187">
        <f ca="1">IFERROR(__xludf.DUMMYFUNCTION("IMPORTRANGE(""https://docs.google.com/spreadsheets/d/11923uPwbBZFjjGgGUA6NLw09EwE0CqkOc4q9oUmW1yo/edit?usp=sharing"",""พิษณุโลก!I408"")"),0)</f>
        <v>0</v>
      </c>
      <c r="J513" s="197">
        <f ca="1">IFERROR(__xludf.DUMMYFUNCTION("IMPORTRANGE(""https://docs.google.com/spreadsheets/d/11923uPwbBZFjjGgGUA6NLw09EwE0CqkOc4q9oUmW1yo/edit?usp=sharing"",""พิษณุโลก!J408"")"),0)</f>
        <v>0</v>
      </c>
      <c r="K513" s="163">
        <f t="shared" ca="1" si="117"/>
        <v>0</v>
      </c>
      <c r="L513" s="181"/>
      <c r="M513" s="181"/>
      <c r="N513" s="181"/>
      <c r="O513" s="181"/>
      <c r="P513" s="181"/>
    </row>
    <row r="514" spans="1:16" ht="21.75" customHeight="1" x14ac:dyDescent="0.3">
      <c r="A514" s="175"/>
      <c r="B514" s="176"/>
      <c r="C514" s="176"/>
      <c r="D514" s="402"/>
      <c r="E514" s="448" t="s">
        <v>192</v>
      </c>
      <c r="F514" s="195"/>
      <c r="G514" s="196"/>
      <c r="H514" s="420" t="s">
        <v>122</v>
      </c>
      <c r="I514" s="187">
        <f ca="1">IFERROR(__xludf.DUMMYFUNCTION("IMPORTRANGE(""https://docs.google.com/spreadsheets/d/11923uPwbBZFjjGgGUA6NLw09EwE0CqkOc4q9oUmW1yo/edit?usp=sharing"",""พิษณุโลก!I409"")"),0)</f>
        <v>0</v>
      </c>
      <c r="J514" s="197">
        <f ca="1">IFERROR(__xludf.DUMMYFUNCTION("IMPORTRANGE(""https://docs.google.com/spreadsheets/d/11923uPwbBZFjjGgGUA6NLw09EwE0CqkOc4q9oUmW1yo/edit?usp=sharing"",""พิษณุโลก!J409"")"),0)</f>
        <v>0</v>
      </c>
      <c r="K514" s="163">
        <f t="shared" ca="1" si="117"/>
        <v>0</v>
      </c>
      <c r="L514" s="181"/>
      <c r="M514" s="181"/>
      <c r="N514" s="181"/>
      <c r="O514" s="181"/>
      <c r="P514" s="181"/>
    </row>
    <row r="515" spans="1:16" ht="21.75" customHeight="1" x14ac:dyDescent="0.3">
      <c r="A515" s="175"/>
      <c r="B515" s="176"/>
      <c r="C515" s="176"/>
      <c r="D515" s="193"/>
      <c r="E515" s="195"/>
      <c r="F515" s="195"/>
      <c r="G515" s="196"/>
      <c r="H515" s="420" t="s">
        <v>36</v>
      </c>
      <c r="I515" s="187">
        <f ca="1">IFERROR(__xludf.DUMMYFUNCTION("IMPORTRANGE(""https://docs.google.com/spreadsheets/d/11923uPwbBZFjjGgGUA6NLw09EwE0CqkOc4q9oUmW1yo/edit?usp=sharing"",""พิษณุโลก!I410"")"),0)</f>
        <v>0</v>
      </c>
      <c r="J515" s="197">
        <f ca="1">IFERROR(__xludf.DUMMYFUNCTION("IMPORTRANGE(""https://docs.google.com/spreadsheets/d/11923uPwbBZFjjGgGUA6NLw09EwE0CqkOc4q9oUmW1yo/edit?usp=sharing"",""พิษณุโลก!J410"")"),0)</f>
        <v>0</v>
      </c>
      <c r="K515" s="163">
        <f t="shared" ca="1" si="117"/>
        <v>0</v>
      </c>
      <c r="L515" s="181"/>
      <c r="M515" s="181"/>
      <c r="N515" s="181"/>
      <c r="O515" s="181"/>
      <c r="P515" s="181"/>
    </row>
    <row r="516" spans="1:16" ht="21.75" customHeight="1" x14ac:dyDescent="0.3">
      <c r="A516" s="175"/>
      <c r="B516" s="176"/>
      <c r="C516" s="413" t="s">
        <v>193</v>
      </c>
      <c r="D516" s="413"/>
      <c r="E516" s="449"/>
      <c r="F516" s="449"/>
      <c r="G516" s="450"/>
      <c r="H516" s="451" t="s">
        <v>122</v>
      </c>
      <c r="I516" s="266">
        <f ca="1">IFERROR(__xludf.DUMMYFUNCTION("IMPORTRANGE(""https://docs.google.com/spreadsheets/d/11923uPwbBZFjjGgGUA6NLw09EwE0CqkOc4q9oUmW1yo/edit?usp=sharing"",""พิษณุโลก!I411"")"),0)</f>
        <v>0</v>
      </c>
      <c r="J516" s="266">
        <f ca="1">IFERROR(__xludf.DUMMYFUNCTION("IMPORTRANGE(""https://docs.google.com/spreadsheets/d/11923uPwbBZFjjGgGUA6NLw09EwE0CqkOc4q9oUmW1yo/edit?usp=sharing"",""พิษณุโลก!J411"")"),0)</f>
        <v>0</v>
      </c>
      <c r="K516" s="267">
        <v>0</v>
      </c>
      <c r="L516" s="181"/>
      <c r="M516" s="181"/>
      <c r="N516" s="181"/>
      <c r="O516" s="181"/>
      <c r="P516" s="181"/>
    </row>
    <row r="517" spans="1:16" ht="21.75" customHeight="1" x14ac:dyDescent="0.3">
      <c r="A517" s="175"/>
      <c r="B517" s="176"/>
      <c r="C517" s="452"/>
      <c r="D517" s="452"/>
      <c r="E517" s="452" t="s">
        <v>194</v>
      </c>
      <c r="F517" s="453"/>
      <c r="G517" s="454"/>
      <c r="H517" s="455" t="s">
        <v>122</v>
      </c>
      <c r="I517" s="282">
        <f ca="1">IFERROR(__xludf.DUMMYFUNCTION("IMPORTRANGE(""https://docs.google.com/spreadsheets/d/11923uPwbBZFjjGgGUA6NLw09EwE0CqkOc4q9oUmW1yo/edit?usp=sharing"",""พิษณุโลก!I412"")"),0)</f>
        <v>0</v>
      </c>
      <c r="J517" s="282">
        <f ca="1">IFERROR(__xludf.DUMMYFUNCTION("IMPORTRANGE(""https://docs.google.com/spreadsheets/d/11923uPwbBZFjjGgGUA6NLw09EwE0CqkOc4q9oUmW1yo/edit?usp=sharing"",""พิษณุโลก!J412"")"),0)</f>
        <v>0</v>
      </c>
      <c r="K517" s="283">
        <v>0</v>
      </c>
      <c r="L517" s="181"/>
      <c r="M517" s="181"/>
      <c r="N517" s="181"/>
      <c r="O517" s="181"/>
      <c r="P517" s="181"/>
    </row>
    <row r="518" spans="1:16" ht="21.75" customHeight="1" x14ac:dyDescent="0.3">
      <c r="A518" s="175"/>
      <c r="B518" s="176"/>
      <c r="C518" s="452"/>
      <c r="D518" s="452"/>
      <c r="E518" s="452" t="s">
        <v>195</v>
      </c>
      <c r="F518" s="453"/>
      <c r="G518" s="454"/>
      <c r="H518" s="455" t="s">
        <v>36</v>
      </c>
      <c r="I518" s="282">
        <f ca="1">IFERROR(__xludf.DUMMYFUNCTION("IMPORTRANGE(""https://docs.google.com/spreadsheets/d/11923uPwbBZFjjGgGUA6NLw09EwE0CqkOc4q9oUmW1yo/edit?usp=sharing"",""พิษณุโลก!I413"")"),0)</f>
        <v>0</v>
      </c>
      <c r="J518" s="282">
        <f ca="1">IFERROR(__xludf.DUMMYFUNCTION("IMPORTRANGE(""https://docs.google.com/spreadsheets/d/11923uPwbBZFjjGgGUA6NLw09EwE0CqkOc4q9oUmW1yo/edit?usp=sharing"",""พิษณุโลก!J413"")"),0)</f>
        <v>0</v>
      </c>
      <c r="K518" s="283">
        <v>0</v>
      </c>
      <c r="L518" s="181"/>
      <c r="M518" s="181"/>
      <c r="N518" s="181"/>
      <c r="O518" s="181"/>
      <c r="P518" s="181"/>
    </row>
    <row r="519" spans="1:16" ht="21.75" customHeight="1" x14ac:dyDescent="0.3">
      <c r="A519" s="175"/>
      <c r="B519" s="176"/>
      <c r="C519" s="176"/>
      <c r="D519" s="193"/>
      <c r="E519" s="195"/>
      <c r="F519" s="195"/>
      <c r="G519" s="225" t="s">
        <v>196</v>
      </c>
      <c r="H519" s="420" t="s">
        <v>122</v>
      </c>
      <c r="I519" s="187">
        <f ca="1">IFERROR(__xludf.DUMMYFUNCTION("IMPORTRANGE(""https://docs.google.com/spreadsheets/d/11923uPwbBZFjjGgGUA6NLw09EwE0CqkOc4q9oUmW1yo/edit?usp=sharing"",""พิษณุโลก!I414"")"),0)</f>
        <v>0</v>
      </c>
      <c r="J519" s="187">
        <f ca="1">IFERROR(__xludf.DUMMYFUNCTION("IMPORTRANGE(""https://docs.google.com/spreadsheets/d/11923uPwbBZFjjGgGUA6NLw09EwE0CqkOc4q9oUmW1yo/edit?usp=sharing"",""พิษณุโลก!J414"")"),0)</f>
        <v>0</v>
      </c>
      <c r="K519" s="163">
        <v>0</v>
      </c>
      <c r="L519" s="181"/>
      <c r="M519" s="181"/>
      <c r="N519" s="181"/>
      <c r="O519" s="181"/>
      <c r="P519" s="181"/>
    </row>
    <row r="520" spans="1:16" ht="21.75" customHeight="1" x14ac:dyDescent="0.3">
      <c r="A520" s="175"/>
      <c r="B520" s="176"/>
      <c r="C520" s="176"/>
      <c r="D520" s="193"/>
      <c r="E520" s="195"/>
      <c r="F520" s="195"/>
      <c r="G520" s="196"/>
      <c r="H520" s="420" t="s">
        <v>36</v>
      </c>
      <c r="I520" s="187">
        <f ca="1">IFERROR(__xludf.DUMMYFUNCTION("IMPORTRANGE(""https://docs.google.com/spreadsheets/d/11923uPwbBZFjjGgGUA6NLw09EwE0CqkOc4q9oUmW1yo/edit?usp=sharing"",""พิษณุโลก!I415"")"),0)</f>
        <v>0</v>
      </c>
      <c r="J520" s="187">
        <f ca="1">IFERROR(__xludf.DUMMYFUNCTION("IMPORTRANGE(""https://docs.google.com/spreadsheets/d/11923uPwbBZFjjGgGUA6NLw09EwE0CqkOc4q9oUmW1yo/edit?usp=sharing"",""พิษณุโลก!J415"")"),0)</f>
        <v>0</v>
      </c>
      <c r="K520" s="163">
        <v>0</v>
      </c>
      <c r="L520" s="181"/>
      <c r="M520" s="181"/>
      <c r="N520" s="181"/>
      <c r="O520" s="181"/>
      <c r="P520" s="181"/>
    </row>
    <row r="521" spans="1:16" ht="21.75" customHeight="1" x14ac:dyDescent="0.3">
      <c r="A521" s="175"/>
      <c r="B521" s="176"/>
      <c r="C521" s="176"/>
      <c r="D521" s="193"/>
      <c r="E521" s="195"/>
      <c r="F521" s="195"/>
      <c r="G521" s="225" t="s">
        <v>197</v>
      </c>
      <c r="H521" s="420" t="s">
        <v>122</v>
      </c>
      <c r="I521" s="187">
        <f ca="1">IFERROR(__xludf.DUMMYFUNCTION("IMPORTRANGE(""https://docs.google.com/spreadsheets/d/11923uPwbBZFjjGgGUA6NLw09EwE0CqkOc4q9oUmW1yo/edit?usp=sharing"",""พิษณุโลก!I416"")"),0)</f>
        <v>0</v>
      </c>
      <c r="J521" s="187">
        <f ca="1">IFERROR(__xludf.DUMMYFUNCTION("IMPORTRANGE(""https://docs.google.com/spreadsheets/d/11923uPwbBZFjjGgGUA6NLw09EwE0CqkOc4q9oUmW1yo/edit?usp=sharing"",""พิษณุโลก!J416"")"),0)</f>
        <v>0</v>
      </c>
      <c r="K521" s="163">
        <v>0</v>
      </c>
      <c r="L521" s="181"/>
      <c r="M521" s="181"/>
      <c r="N521" s="181"/>
      <c r="O521" s="181"/>
      <c r="P521" s="181"/>
    </row>
    <row r="522" spans="1:16" ht="21.75" customHeight="1" x14ac:dyDescent="0.3">
      <c r="A522" s="175"/>
      <c r="B522" s="176"/>
      <c r="C522" s="176"/>
      <c r="D522" s="193"/>
      <c r="E522" s="195"/>
      <c r="F522" s="195"/>
      <c r="G522" s="196"/>
      <c r="H522" s="420" t="s">
        <v>36</v>
      </c>
      <c r="I522" s="187">
        <f ca="1">IFERROR(__xludf.DUMMYFUNCTION("IMPORTRANGE(""https://docs.google.com/spreadsheets/d/11923uPwbBZFjjGgGUA6NLw09EwE0CqkOc4q9oUmW1yo/edit?usp=sharing"",""พิษณุโลก!I417"")"),0)</f>
        <v>0</v>
      </c>
      <c r="J522" s="187">
        <f ca="1">IFERROR(__xludf.DUMMYFUNCTION("IMPORTRANGE(""https://docs.google.com/spreadsheets/d/11923uPwbBZFjjGgGUA6NLw09EwE0CqkOc4q9oUmW1yo/edit?usp=sharing"",""พิษณุโลก!J417"")"),0)</f>
        <v>0</v>
      </c>
      <c r="K522" s="163">
        <v>0</v>
      </c>
      <c r="L522" s="181"/>
      <c r="M522" s="181"/>
      <c r="N522" s="181"/>
      <c r="O522" s="181"/>
      <c r="P522" s="181"/>
    </row>
    <row r="523" spans="1:16" ht="21.75" customHeight="1" x14ac:dyDescent="0.3">
      <c r="A523" s="175"/>
      <c r="B523" s="176"/>
      <c r="C523" s="176"/>
      <c r="D523" s="193"/>
      <c r="E523" s="195"/>
      <c r="F523" s="195"/>
      <c r="G523" s="456" t="s">
        <v>198</v>
      </c>
      <c r="H523" s="420" t="s">
        <v>122</v>
      </c>
      <c r="I523" s="187">
        <f ca="1">IFERROR(__xludf.DUMMYFUNCTION("IMPORTRANGE(""https://docs.google.com/spreadsheets/d/11923uPwbBZFjjGgGUA6NLw09EwE0CqkOc4q9oUmW1yo/edit?usp=sharing"",""พิษณุโลก!I418"")"),0)</f>
        <v>0</v>
      </c>
      <c r="J523" s="187">
        <f ca="1">IFERROR(__xludf.DUMMYFUNCTION("IMPORTRANGE(""https://docs.google.com/spreadsheets/d/11923uPwbBZFjjGgGUA6NLw09EwE0CqkOc4q9oUmW1yo/edit?usp=sharing"",""พิษณุโลก!J418"")"),22)</f>
        <v>22</v>
      </c>
      <c r="K523" s="163">
        <v>0</v>
      </c>
      <c r="L523" s="181"/>
      <c r="M523" s="181"/>
      <c r="N523" s="181"/>
      <c r="O523" s="181"/>
      <c r="P523" s="181"/>
    </row>
    <row r="524" spans="1:16" ht="21.75" customHeight="1" x14ac:dyDescent="0.3">
      <c r="A524" s="175"/>
      <c r="B524" s="176"/>
      <c r="C524" s="176"/>
      <c r="D524" s="193"/>
      <c r="E524" s="195"/>
      <c r="F524" s="195"/>
      <c r="G524" s="196"/>
      <c r="H524" s="420" t="s">
        <v>36</v>
      </c>
      <c r="I524" s="187">
        <f ca="1">IFERROR(__xludf.DUMMYFUNCTION("IMPORTRANGE(""https://docs.google.com/spreadsheets/d/11923uPwbBZFjjGgGUA6NLw09EwE0CqkOc4q9oUmW1yo/edit?usp=sharing"",""พิษณุโลก!I419"")"),0)</f>
        <v>0</v>
      </c>
      <c r="J524" s="187">
        <f ca="1">IFERROR(__xludf.DUMMYFUNCTION("IMPORTRANGE(""https://docs.google.com/spreadsheets/d/11923uPwbBZFjjGgGUA6NLw09EwE0CqkOc4q9oUmW1yo/edit?usp=sharing"",""พิษณุโลก!J419"")"),2)</f>
        <v>2</v>
      </c>
      <c r="K524" s="163">
        <v>0</v>
      </c>
      <c r="L524" s="181"/>
      <c r="M524" s="181"/>
      <c r="N524" s="181"/>
      <c r="O524" s="181"/>
      <c r="P524" s="181"/>
    </row>
    <row r="525" spans="1:16" ht="21.75" customHeight="1" x14ac:dyDescent="0.3">
      <c r="A525" s="175"/>
      <c r="B525" s="176"/>
      <c r="C525" s="452"/>
      <c r="D525" s="452"/>
      <c r="E525" s="452" t="s">
        <v>199</v>
      </c>
      <c r="F525" s="453"/>
      <c r="G525" s="454"/>
      <c r="H525" s="455" t="s">
        <v>122</v>
      </c>
      <c r="I525" s="282">
        <f ca="1">IFERROR(__xludf.DUMMYFUNCTION("IMPORTRANGE(""https://docs.google.com/spreadsheets/d/11923uPwbBZFjjGgGUA6NLw09EwE0CqkOc4q9oUmW1yo/edit?usp=sharing"",""พิษณุโลก!I420"")"),22)</f>
        <v>22</v>
      </c>
      <c r="J525" s="282">
        <f ca="1">IFERROR(__xludf.DUMMYFUNCTION("IMPORTRANGE(""https://docs.google.com/spreadsheets/d/11923uPwbBZFjjGgGUA6NLw09EwE0CqkOc4q9oUmW1yo/edit?usp=sharing"",""พิษณุโลก!J420"")"),0)</f>
        <v>0</v>
      </c>
      <c r="K525" s="283">
        <v>0</v>
      </c>
      <c r="L525" s="181"/>
      <c r="M525" s="181"/>
      <c r="N525" s="181"/>
      <c r="O525" s="181"/>
      <c r="P525" s="181"/>
    </row>
    <row r="526" spans="1:16" ht="21.75" customHeight="1" x14ac:dyDescent="0.3">
      <c r="A526" s="175"/>
      <c r="B526" s="176"/>
      <c r="C526" s="452"/>
      <c r="D526" s="452"/>
      <c r="E526" s="452" t="s">
        <v>200</v>
      </c>
      <c r="F526" s="453"/>
      <c r="G526" s="454"/>
      <c r="H526" s="455" t="s">
        <v>36</v>
      </c>
      <c r="I526" s="282">
        <f ca="1">IFERROR(__xludf.DUMMYFUNCTION("IMPORTRANGE(""https://docs.google.com/spreadsheets/d/11923uPwbBZFjjGgGUA6NLw09EwE0CqkOc4q9oUmW1yo/edit?usp=sharing"",""พิษณุโลก!I421"")"),2)</f>
        <v>2</v>
      </c>
      <c r="J526" s="282">
        <f ca="1">IFERROR(__xludf.DUMMYFUNCTION("IMPORTRANGE(""https://docs.google.com/spreadsheets/d/11923uPwbBZFjjGgGUA6NLw09EwE0CqkOc4q9oUmW1yo/edit?usp=sharing"",""พิษณุโลก!J421"")"),0)</f>
        <v>0</v>
      </c>
      <c r="K526" s="283">
        <v>0</v>
      </c>
      <c r="L526" s="181"/>
      <c r="M526" s="181"/>
      <c r="N526" s="181"/>
      <c r="O526" s="181"/>
      <c r="P526" s="181"/>
    </row>
    <row r="527" spans="1:16" ht="21.75" customHeight="1" x14ac:dyDescent="0.3">
      <c r="A527" s="175"/>
      <c r="B527" s="176"/>
      <c r="C527" s="176"/>
      <c r="D527" s="193"/>
      <c r="E527" s="195"/>
      <c r="F527" s="195"/>
      <c r="G527" s="225" t="s">
        <v>196</v>
      </c>
      <c r="H527" s="420" t="s">
        <v>122</v>
      </c>
      <c r="I527" s="187">
        <f ca="1">IFERROR(__xludf.DUMMYFUNCTION("IMPORTRANGE(""https://docs.google.com/spreadsheets/d/11923uPwbBZFjjGgGUA6NLw09EwE0CqkOc4q9oUmW1yo/edit?usp=sharing"",""พิษณุโลก!I422"")"),0)</f>
        <v>0</v>
      </c>
      <c r="J527" s="197">
        <f ca="1">IFERROR(__xludf.DUMMYFUNCTION("IMPORTRANGE(""https://docs.google.com/spreadsheets/d/11923uPwbBZFjjGgGUA6NLw09EwE0CqkOc4q9oUmW1yo/edit?usp=sharing"",""พิษณุโลก!J422"")"),0)</f>
        <v>0</v>
      </c>
      <c r="K527" s="163">
        <v>0</v>
      </c>
      <c r="L527" s="181"/>
      <c r="M527" s="181"/>
      <c r="N527" s="181"/>
      <c r="O527" s="181"/>
      <c r="P527" s="181"/>
    </row>
    <row r="528" spans="1:16" ht="21.75" customHeight="1" x14ac:dyDescent="0.3">
      <c r="A528" s="175"/>
      <c r="B528" s="176"/>
      <c r="C528" s="176"/>
      <c r="D528" s="193"/>
      <c r="E528" s="195"/>
      <c r="F528" s="195"/>
      <c r="G528" s="196"/>
      <c r="H528" s="420" t="s">
        <v>36</v>
      </c>
      <c r="I528" s="187">
        <f ca="1">IFERROR(__xludf.DUMMYFUNCTION("IMPORTRANGE(""https://docs.google.com/spreadsheets/d/11923uPwbBZFjjGgGUA6NLw09EwE0CqkOc4q9oUmW1yo/edit?usp=sharing"",""พิษณุโลก!I423"")"),0)</f>
        <v>0</v>
      </c>
      <c r="J528" s="197">
        <f ca="1">IFERROR(__xludf.DUMMYFUNCTION("IMPORTRANGE(""https://docs.google.com/spreadsheets/d/11923uPwbBZFjjGgGUA6NLw09EwE0CqkOc4q9oUmW1yo/edit?usp=sharing"",""พิษณุโลก!J423"")"),0)</f>
        <v>0</v>
      </c>
      <c r="K528" s="163">
        <v>0</v>
      </c>
      <c r="L528" s="181"/>
      <c r="M528" s="181"/>
      <c r="N528" s="181"/>
      <c r="O528" s="181"/>
      <c r="P528" s="181"/>
    </row>
    <row r="529" spans="1:16" ht="21.75" customHeight="1" x14ac:dyDescent="0.3">
      <c r="A529" s="175"/>
      <c r="B529" s="176"/>
      <c r="C529" s="176"/>
      <c r="D529" s="193"/>
      <c r="E529" s="195"/>
      <c r="F529" s="195"/>
      <c r="G529" s="225" t="s">
        <v>197</v>
      </c>
      <c r="H529" s="420" t="s">
        <v>122</v>
      </c>
      <c r="I529" s="187">
        <f ca="1">IFERROR(__xludf.DUMMYFUNCTION("IMPORTRANGE(""https://docs.google.com/spreadsheets/d/11923uPwbBZFjjGgGUA6NLw09EwE0CqkOc4q9oUmW1yo/edit?usp=sharing"",""พิษณุโลก!I424"")"),0)</f>
        <v>0</v>
      </c>
      <c r="J529" s="197">
        <f ca="1">IFERROR(__xludf.DUMMYFUNCTION("IMPORTRANGE(""https://docs.google.com/spreadsheets/d/11923uPwbBZFjjGgGUA6NLw09EwE0CqkOc4q9oUmW1yo/edit?usp=sharing"",""พิษณุโลก!J424"")"),0)</f>
        <v>0</v>
      </c>
      <c r="K529" s="163">
        <v>0</v>
      </c>
      <c r="L529" s="181"/>
      <c r="M529" s="181"/>
      <c r="N529" s="181"/>
      <c r="O529" s="181"/>
      <c r="P529" s="181"/>
    </row>
    <row r="530" spans="1:16" ht="21.75" customHeight="1" x14ac:dyDescent="0.3">
      <c r="A530" s="175"/>
      <c r="B530" s="176"/>
      <c r="C530" s="176"/>
      <c r="D530" s="193"/>
      <c r="E530" s="195"/>
      <c r="F530" s="195"/>
      <c r="G530" s="196"/>
      <c r="H530" s="420" t="s">
        <v>36</v>
      </c>
      <c r="I530" s="187">
        <f ca="1">IFERROR(__xludf.DUMMYFUNCTION("IMPORTRANGE(""https://docs.google.com/spreadsheets/d/11923uPwbBZFjjGgGUA6NLw09EwE0CqkOc4q9oUmW1yo/edit?usp=sharing"",""พิษณุโลก!I425"")"),0)</f>
        <v>0</v>
      </c>
      <c r="J530" s="197">
        <f ca="1">IFERROR(__xludf.DUMMYFUNCTION("IMPORTRANGE(""https://docs.google.com/spreadsheets/d/11923uPwbBZFjjGgGUA6NLw09EwE0CqkOc4q9oUmW1yo/edit?usp=sharing"",""พิษณุโลก!J425"")"),0)</f>
        <v>0</v>
      </c>
      <c r="K530" s="163">
        <v>0</v>
      </c>
      <c r="L530" s="181"/>
      <c r="M530" s="181"/>
      <c r="N530" s="181"/>
      <c r="O530" s="181"/>
      <c r="P530" s="181"/>
    </row>
    <row r="531" spans="1:16" ht="21.75" customHeight="1" x14ac:dyDescent="0.3">
      <c r="A531" s="175"/>
      <c r="B531" s="176"/>
      <c r="C531" s="176"/>
      <c r="D531" s="193"/>
      <c r="E531" s="195"/>
      <c r="F531" s="195"/>
      <c r="G531" s="225" t="s">
        <v>201</v>
      </c>
      <c r="H531" s="420" t="s">
        <v>122</v>
      </c>
      <c r="I531" s="187">
        <f ca="1">IFERROR(__xludf.DUMMYFUNCTION("IMPORTRANGE(""https://docs.google.com/spreadsheets/d/11923uPwbBZFjjGgGUA6NLw09EwE0CqkOc4q9oUmW1yo/edit?usp=sharing"",""พิษณุโลก!I426"")"),0)</f>
        <v>0</v>
      </c>
      <c r="J531" s="197">
        <f ca="1">IFERROR(__xludf.DUMMYFUNCTION("IMPORTRANGE(""https://docs.google.com/spreadsheets/d/11923uPwbBZFjjGgGUA6NLw09EwE0CqkOc4q9oUmW1yo/edit?usp=sharing"",""พิษณุโลก!J426"")"),0)</f>
        <v>0</v>
      </c>
      <c r="K531" s="163">
        <v>0</v>
      </c>
      <c r="L531" s="181"/>
      <c r="M531" s="181"/>
      <c r="N531" s="181"/>
      <c r="O531" s="181"/>
      <c r="P531" s="181"/>
    </row>
    <row r="532" spans="1:16" ht="21.75" customHeight="1" x14ac:dyDescent="0.3">
      <c r="A532" s="457"/>
      <c r="B532" s="458"/>
      <c r="C532" s="458"/>
      <c r="D532" s="459"/>
      <c r="E532" s="460"/>
      <c r="F532" s="460"/>
      <c r="G532" s="461"/>
      <c r="H532" s="462" t="s">
        <v>36</v>
      </c>
      <c r="I532" s="463">
        <f ca="1">IFERROR(__xludf.DUMMYFUNCTION("IMPORTRANGE(""https://docs.google.com/spreadsheets/d/11923uPwbBZFjjGgGUA6NLw09EwE0CqkOc4q9oUmW1yo/edit?usp=sharing"",""พิษณุโลก!I427"")"),0)</f>
        <v>0</v>
      </c>
      <c r="J532" s="464">
        <f ca="1">IFERROR(__xludf.DUMMYFUNCTION("IMPORTRANGE(""https://docs.google.com/spreadsheets/d/11923uPwbBZFjjGgGUA6NLw09EwE0CqkOc4q9oUmW1yo/edit?usp=sharing"",""พิษณุโลก!J427"")"),0)</f>
        <v>0</v>
      </c>
      <c r="K532" s="465">
        <v>0</v>
      </c>
      <c r="L532" s="466"/>
      <c r="M532" s="466"/>
      <c r="N532" s="466"/>
      <c r="O532" s="466"/>
      <c r="P532" s="466"/>
    </row>
    <row r="533" spans="1:16" ht="21.75" customHeight="1" x14ac:dyDescent="0.3">
      <c r="A533" s="403"/>
      <c r="B533" s="404">
        <v>6</v>
      </c>
      <c r="C533" s="405" t="s">
        <v>202</v>
      </c>
      <c r="D533" s="405"/>
      <c r="E533" s="405"/>
      <c r="F533" s="405"/>
      <c r="G533" s="406"/>
      <c r="H533" s="407" t="s">
        <v>37</v>
      </c>
      <c r="I533" s="408">
        <f ca="1">IFERROR(__xludf.DUMMYFUNCTION("IMPORTRANGE(""https://docs.google.com/spreadsheets/d/11923uPwbBZFjjGgGUA6NLw09EwE0CqkOc4q9oUmW1yo/edit?usp=sharing"",""พิษณุโลก!I428"")"),22)</f>
        <v>22</v>
      </c>
      <c r="J533" s="408">
        <f ca="1">IFERROR(__xludf.DUMMYFUNCTION("IMPORTRANGE(""https://docs.google.com/spreadsheets/d/11923uPwbBZFjjGgGUA6NLw09EwE0CqkOc4q9oUmW1yo/edit?usp=sharing"",""พิษณุโลก!J428"")"),22)</f>
        <v>22</v>
      </c>
      <c r="K533" s="409">
        <f ca="1">IF(I533&gt;0,J533*100/I533,0)</f>
        <v>100</v>
      </c>
      <c r="L533" s="410">
        <f ca="1">IFERROR(__xludf.DUMMYFUNCTION("IMPORTRANGE(""https://docs.google.com/spreadsheets/d/11923uPwbBZFjjGgGUA6NLw09EwE0CqkOc4q9oUmW1yo/edit?usp=sharing"",""พิษณุโลก!L428"")"),34340)</f>
        <v>34340</v>
      </c>
      <c r="M533" s="410"/>
      <c r="N533" s="410">
        <f ca="1">IFERROR(__xludf.DUMMYFUNCTION("IMPORTRANGE(""https://docs.google.com/spreadsheets/d/11923uPwbBZFjjGgGUA6NLw09EwE0CqkOc4q9oUmW1yo/edit?usp=sharing"",""พิษณุโลก!M428"")"),21160)</f>
        <v>21160</v>
      </c>
      <c r="O533" s="410">
        <f t="shared" ref="O533:O537" ca="1" si="118">+IF(L533&gt;0,N533*100/L533,0)</f>
        <v>61.619103086779269</v>
      </c>
      <c r="P533" s="410"/>
    </row>
    <row r="534" spans="1:16" ht="21.75" customHeight="1" x14ac:dyDescent="0.3">
      <c r="A534" s="156"/>
      <c r="B534" s="157"/>
      <c r="C534" s="157" t="s">
        <v>16</v>
      </c>
      <c r="D534" s="158" t="s">
        <v>38</v>
      </c>
      <c r="E534" s="159"/>
      <c r="F534" s="159"/>
      <c r="G534" s="160" t="s">
        <v>39</v>
      </c>
      <c r="H534" s="161" t="s">
        <v>12</v>
      </c>
      <c r="I534" s="162" t="s">
        <v>40</v>
      </c>
      <c r="J534" s="162"/>
      <c r="K534" s="163"/>
      <c r="L534" s="164">
        <f ca="1">IFERROR(__xludf.DUMMYFUNCTION("IMPORTRANGE(""https://docs.google.com/spreadsheets/d/11923uPwbBZFjjGgGUA6NLw09EwE0CqkOc4q9oUmW1yo/edit?usp=sharing"",""พิษณุโลก!L429"")"),0)</f>
        <v>0</v>
      </c>
      <c r="M534" s="164"/>
      <c r="N534" s="168">
        <f ca="1">IFERROR(__xludf.DUMMYFUNCTION("IMPORTRANGE(""https://docs.google.com/spreadsheets/d/11923uPwbBZFjjGgGUA6NLw09EwE0CqkOc4q9oUmW1yo/edit?usp=sharing"",""พิษณุโลก!M429"")"),0)</f>
        <v>0</v>
      </c>
      <c r="O534" s="168">
        <f t="shared" ca="1" si="118"/>
        <v>0</v>
      </c>
      <c r="P534" s="168"/>
    </row>
    <row r="535" spans="1:16" ht="21.75" customHeight="1" x14ac:dyDescent="0.3">
      <c r="A535" s="156"/>
      <c r="B535" s="157"/>
      <c r="C535" s="157"/>
      <c r="D535" s="166"/>
      <c r="E535" s="159"/>
      <c r="F535" s="159" t="s">
        <v>40</v>
      </c>
      <c r="G535" s="160" t="s">
        <v>41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IFERROR(__xludf.DUMMYFUNCTION("IMPORTRANGE(""https://docs.google.com/spreadsheets/d/11923uPwbBZFjjGgGUA6NLw09EwE0CqkOc4q9oUmW1yo/edit?usp=sharing"",""พิษณุโลก!L430"")"),34340)</f>
        <v>34340</v>
      </c>
      <c r="M535" s="165"/>
      <c r="N535" s="168">
        <f ca="1">IFERROR(__xludf.DUMMYFUNCTION("IMPORTRANGE(""https://docs.google.com/spreadsheets/d/11923uPwbBZFjjGgGUA6NLw09EwE0CqkOc4q9oUmW1yo/edit?usp=sharing"",""พิษณุโลก!M430"")"),21160)</f>
        <v>21160</v>
      </c>
      <c r="O535" s="168">
        <f t="shared" ca="1" si="118"/>
        <v>61.619103086779269</v>
      </c>
      <c r="P535" s="168"/>
    </row>
    <row r="536" spans="1:16" ht="21.75" customHeight="1" x14ac:dyDescent="0.3">
      <c r="A536" s="156"/>
      <c r="B536" s="157"/>
      <c r="C536" s="157"/>
      <c r="D536" s="166"/>
      <c r="E536" s="159"/>
      <c r="F536" s="159"/>
      <c r="G536" s="372" t="s">
        <v>129</v>
      </c>
      <c r="H536" s="161" t="s">
        <v>12</v>
      </c>
      <c r="I536" s="162"/>
      <c r="J536" s="162"/>
      <c r="K536" s="163"/>
      <c r="L536" s="168">
        <f ca="1">IFERROR(__xludf.DUMMYFUNCTION("IMPORTRANGE(""https://docs.google.com/spreadsheets/d/11923uPwbBZFjjGgGUA6NLw09EwE0CqkOc4q9oUmW1yo/edit?usp=sharing"",""พิษณุโลก!L431"")"),0)</f>
        <v>0</v>
      </c>
      <c r="M536" s="168"/>
      <c r="N536" s="168">
        <f ca="1">IFERROR(__xludf.DUMMYFUNCTION("IMPORTRANGE(""https://docs.google.com/spreadsheets/d/11923uPwbBZFjjGgGUA6NLw09EwE0CqkOc4q9oUmW1yo/edit?usp=sharing"",""พิษณุโลก!M431"")"),0)</f>
        <v>0</v>
      </c>
      <c r="O536" s="168">
        <f t="shared" ca="1" si="118"/>
        <v>0</v>
      </c>
      <c r="P536" s="168"/>
    </row>
    <row r="537" spans="1:16" ht="21.75" customHeight="1" x14ac:dyDescent="0.3">
      <c r="A537" s="156"/>
      <c r="B537" s="157"/>
      <c r="C537" s="157"/>
      <c r="D537" s="166"/>
      <c r="E537" s="159"/>
      <c r="F537" s="159"/>
      <c r="G537" s="372" t="s">
        <v>130</v>
      </c>
      <c r="H537" s="161" t="s">
        <v>12</v>
      </c>
      <c r="I537" s="162"/>
      <c r="J537" s="162"/>
      <c r="K537" s="163"/>
      <c r="L537" s="168">
        <f ca="1">IFERROR(__xludf.DUMMYFUNCTION("IMPORTRANGE(""https://docs.google.com/spreadsheets/d/11923uPwbBZFjjGgGUA6NLw09EwE0CqkOc4q9oUmW1yo/edit?usp=sharing"",""พิษณุโลก!L432"")"),34340)</f>
        <v>34340</v>
      </c>
      <c r="M537" s="168"/>
      <c r="N537" s="168">
        <f ca="1">IFERROR(__xludf.DUMMYFUNCTION("IMPORTRANGE(""https://docs.google.com/spreadsheets/d/11923uPwbBZFjjGgGUA6NLw09EwE0CqkOc4q9oUmW1yo/edit?usp=sharing"",""พิษณุโลก!M432"")"),21160)</f>
        <v>21160</v>
      </c>
      <c r="O537" s="168">
        <f t="shared" ca="1" si="118"/>
        <v>61.619103086779269</v>
      </c>
      <c r="P537" s="168"/>
    </row>
    <row r="538" spans="1:16" ht="21.75" customHeight="1" x14ac:dyDescent="0.3">
      <c r="A538" s="373"/>
      <c r="B538" s="374"/>
      <c r="C538" s="157"/>
      <c r="D538" s="375"/>
      <c r="E538" s="159"/>
      <c r="F538" s="159"/>
      <c r="G538" s="376" t="s">
        <v>131</v>
      </c>
      <c r="H538" s="161" t="s">
        <v>12</v>
      </c>
      <c r="I538" s="187"/>
      <c r="J538" s="187"/>
      <c r="K538" s="223"/>
      <c r="L538" s="168"/>
      <c r="M538" s="168"/>
      <c r="N538" s="377">
        <f ca="1">IFERROR(__xludf.DUMMYFUNCTION("IMPORTRANGE(""https://docs.google.com/spreadsheets/d/11923uPwbBZFjjGgGUA6NLw09EwE0CqkOc4q9oUmW1yo/edit?usp=sharing"",""พิษณุโลก!M433"")"),19880)</f>
        <v>19880</v>
      </c>
      <c r="O538" s="168"/>
      <c r="P538" s="168"/>
    </row>
    <row r="539" spans="1:16" ht="21.75" customHeight="1" x14ac:dyDescent="0.3">
      <c r="A539" s="373"/>
      <c r="B539" s="374"/>
      <c r="C539" s="157"/>
      <c r="D539" s="375"/>
      <c r="E539" s="159"/>
      <c r="F539" s="159"/>
      <c r="G539" s="376" t="s">
        <v>132</v>
      </c>
      <c r="H539" s="161" t="s">
        <v>12</v>
      </c>
      <c r="I539" s="187"/>
      <c r="J539" s="187"/>
      <c r="K539" s="223"/>
      <c r="L539" s="168"/>
      <c r="M539" s="168"/>
      <c r="N539" s="377">
        <f ca="1">IFERROR(__xludf.DUMMYFUNCTION("IMPORTRANGE(""https://docs.google.com/spreadsheets/d/11923uPwbBZFjjGgGUA6NLw09EwE0CqkOc4q9oUmW1yo/edit?usp=sharing"",""พิษณุโลก!M434"")"),0)</f>
        <v>0</v>
      </c>
      <c r="O539" s="168"/>
      <c r="P539" s="168"/>
    </row>
    <row r="540" spans="1:16" ht="21.75" customHeight="1" x14ac:dyDescent="0.3">
      <c r="A540" s="373"/>
      <c r="B540" s="374"/>
      <c r="C540" s="157"/>
      <c r="D540" s="375"/>
      <c r="E540" s="159"/>
      <c r="F540" s="159"/>
      <c r="G540" s="376" t="s">
        <v>133</v>
      </c>
      <c r="H540" s="161" t="s">
        <v>12</v>
      </c>
      <c r="I540" s="187"/>
      <c r="J540" s="187"/>
      <c r="K540" s="223"/>
      <c r="L540" s="168"/>
      <c r="M540" s="168"/>
      <c r="N540" s="377">
        <f ca="1">IFERROR(__xludf.DUMMYFUNCTION("IMPORTRANGE(""https://docs.google.com/spreadsheets/d/11923uPwbBZFjjGgGUA6NLw09EwE0CqkOc4q9oUmW1yo/edit?usp=sharing"",""พิษณุโลก!M435"")"),0)</f>
        <v>0</v>
      </c>
      <c r="O540" s="168"/>
      <c r="P540" s="168"/>
    </row>
    <row r="541" spans="1:16" ht="21.75" customHeight="1" x14ac:dyDescent="0.3">
      <c r="A541" s="373"/>
      <c r="B541" s="374"/>
      <c r="C541" s="157"/>
      <c r="D541" s="375"/>
      <c r="E541" s="159"/>
      <c r="F541" s="159"/>
      <c r="G541" s="376" t="s">
        <v>134</v>
      </c>
      <c r="H541" s="161" t="s">
        <v>12</v>
      </c>
      <c r="I541" s="187"/>
      <c r="J541" s="187"/>
      <c r="K541" s="223"/>
      <c r="L541" s="168"/>
      <c r="M541" s="168"/>
      <c r="N541" s="377">
        <f ca="1">IFERROR(__xludf.DUMMYFUNCTION("IMPORTRANGE(""https://docs.google.com/spreadsheets/d/11923uPwbBZFjjGgGUA6NLw09EwE0CqkOc4q9oUmW1yo/edit?usp=sharing"",""พิษณุโลก!M436"")"),1280)</f>
        <v>1280</v>
      </c>
      <c r="O541" s="168"/>
      <c r="P541" s="168"/>
    </row>
    <row r="542" spans="1:16" ht="21.75" customHeight="1" x14ac:dyDescent="0.3">
      <c r="A542" s="175"/>
      <c r="B542" s="176"/>
      <c r="C542" s="157" t="s">
        <v>16</v>
      </c>
      <c r="D542" s="177" t="s">
        <v>44</v>
      </c>
      <c r="E542" s="178"/>
      <c r="F542" s="178"/>
      <c r="G542" s="179"/>
      <c r="H542" s="180"/>
      <c r="I542" s="162"/>
      <c r="J542" s="162"/>
      <c r="K542" s="163"/>
      <c r="L542" s="181"/>
      <c r="M542" s="181"/>
      <c r="N542" s="181"/>
      <c r="O542" s="181"/>
      <c r="P542" s="181"/>
    </row>
    <row r="543" spans="1:16" ht="21.75" customHeight="1" x14ac:dyDescent="0.3">
      <c r="A543" s="175"/>
      <c r="B543" s="176"/>
      <c r="C543" s="176"/>
      <c r="D543" s="182">
        <v>1</v>
      </c>
      <c r="E543" s="183" t="s">
        <v>45</v>
      </c>
      <c r="F543" s="184"/>
      <c r="G543" s="185"/>
      <c r="H543" s="186"/>
      <c r="I543" s="187"/>
      <c r="J543" s="197">
        <f ca="1">IFERROR(__xludf.DUMMYFUNCTION("IMPORTRANGE(""https://docs.google.com/spreadsheets/d/11923uPwbBZFjjGgGUA6NLw09EwE0CqkOc4q9oUmW1yo/edit?usp=sharing"",""พิษณุโลก!J438"")"),0)</f>
        <v>0</v>
      </c>
      <c r="K543" s="163"/>
      <c r="L543" s="181"/>
      <c r="M543" s="181"/>
      <c r="N543" s="181"/>
      <c r="O543" s="181"/>
      <c r="P543" s="181"/>
    </row>
    <row r="544" spans="1:16" ht="21.75" customHeight="1" x14ac:dyDescent="0.3">
      <c r="A544" s="175"/>
      <c r="B544" s="176"/>
      <c r="C544" s="176"/>
      <c r="D544" s="189">
        <v>2</v>
      </c>
      <c r="E544" s="190" t="s">
        <v>46</v>
      </c>
      <c r="F544" s="191"/>
      <c r="G544" s="192"/>
      <c r="H544" s="186"/>
      <c r="I544" s="187"/>
      <c r="J544" s="188">
        <f ca="1">IFERROR(__xludf.DUMMYFUNCTION("IMPORTRANGE(""https://docs.google.com/spreadsheets/d/11923uPwbBZFjjGgGUA6NLw09EwE0CqkOc4q9oUmW1yo/edit?usp=sharing"",""พิษณุโลก!J439"")"),1)</f>
        <v>1</v>
      </c>
      <c r="K544" s="163"/>
      <c r="L544" s="181" t="s">
        <v>40</v>
      </c>
      <c r="M544" s="181"/>
      <c r="N544" s="181" t="s">
        <v>40</v>
      </c>
      <c r="O544" s="181"/>
      <c r="P544" s="181"/>
    </row>
    <row r="545" spans="1:16" ht="21.75" customHeight="1" x14ac:dyDescent="0.3">
      <c r="A545" s="175"/>
      <c r="B545" s="176"/>
      <c r="C545" s="176"/>
      <c r="D545" s="193"/>
      <c r="E545" s="194" t="s">
        <v>47</v>
      </c>
      <c r="F545" s="195"/>
      <c r="G545" s="196"/>
      <c r="H545" s="186"/>
      <c r="I545" s="187"/>
      <c r="J545" s="188">
        <f ca="1">IFERROR(__xludf.DUMMYFUNCTION("IMPORTRANGE(""https://docs.google.com/spreadsheets/d/11923uPwbBZFjjGgGUA6NLw09EwE0CqkOc4q9oUmW1yo/edit?usp=sharing"",""พิษณุโลก!J440"")"),1)</f>
        <v>1</v>
      </c>
      <c r="K545" s="163"/>
      <c r="L545" s="181"/>
      <c r="M545" s="181"/>
      <c r="N545" s="181"/>
      <c r="O545" s="181"/>
      <c r="P545" s="181"/>
    </row>
    <row r="546" spans="1:16" ht="21.75" customHeight="1" x14ac:dyDescent="0.3">
      <c r="A546" s="175"/>
      <c r="B546" s="176"/>
      <c r="C546" s="176"/>
      <c r="D546" s="193"/>
      <c r="E546" s="194" t="s">
        <v>48</v>
      </c>
      <c r="F546" s="195"/>
      <c r="G546" s="196"/>
      <c r="H546" s="186"/>
      <c r="I546" s="187"/>
      <c r="J546" s="197">
        <f ca="1">IFERROR(__xludf.DUMMYFUNCTION("IMPORTRANGE(""https://docs.google.com/spreadsheets/d/11923uPwbBZFjjGgGUA6NLw09EwE0CqkOc4q9oUmW1yo/edit?usp=sharing"",""พิษณุโลก!J441"")"),1)</f>
        <v>1</v>
      </c>
      <c r="K546" s="163"/>
      <c r="L546" s="181"/>
      <c r="M546" s="181"/>
      <c r="N546" s="181"/>
      <c r="O546" s="181"/>
      <c r="P546" s="181"/>
    </row>
    <row r="547" spans="1:16" ht="21.75" customHeight="1" x14ac:dyDescent="0.3">
      <c r="A547" s="175"/>
      <c r="B547" s="176"/>
      <c r="C547" s="176"/>
      <c r="D547" s="193"/>
      <c r="E547" s="198"/>
      <c r="F547" s="195"/>
      <c r="G547" s="225" t="s">
        <v>203</v>
      </c>
      <c r="H547" s="186" t="s">
        <v>37</v>
      </c>
      <c r="I547" s="203">
        <f ca="1">IFERROR(__xludf.DUMMYFUNCTION("IMPORTRANGE(""https://docs.google.com/spreadsheets/d/11923uPwbBZFjjGgGUA6NLw09EwE0CqkOc4q9oUmW1yo/edit?usp=sharing"",""พิษณุโลก!I442"")"),22)</f>
        <v>22</v>
      </c>
      <c r="J547" s="188">
        <f ca="1">IFERROR(__xludf.DUMMYFUNCTION("IMPORTRANGE(""https://docs.google.com/spreadsheets/d/11923uPwbBZFjjGgGUA6NLw09EwE0CqkOc4q9oUmW1yo/edit?usp=sharing"",""พิษณุโลก!J442"")"),22)</f>
        <v>22</v>
      </c>
      <c r="K547" s="163">
        <f t="shared" ref="K547:K548" ca="1" si="119">IF(I547&gt;0,J547*100/I547,0)</f>
        <v>100</v>
      </c>
      <c r="L547" s="181"/>
      <c r="M547" s="181"/>
      <c r="N547" s="181"/>
      <c r="O547" s="181"/>
      <c r="P547" s="181"/>
    </row>
    <row r="548" spans="1:16" ht="21.75" hidden="1" customHeight="1" x14ac:dyDescent="0.3">
      <c r="A548" s="175"/>
      <c r="B548" s="176"/>
      <c r="C548" s="176"/>
      <c r="D548" s="193"/>
      <c r="E548" s="198"/>
      <c r="F548" s="195"/>
      <c r="G548" s="225" t="s">
        <v>204</v>
      </c>
      <c r="H548" s="186" t="s">
        <v>37</v>
      </c>
      <c r="I548" s="339">
        <f ca="1">IFERROR(__xludf.DUMMYFUNCTION("IMPORTRANGE(""https://docs.google.com/spreadsheets/d/1C3CXT74ZlgGe6_JY_1olB1XN4rF0dxEuIIF-xsYjHgg/edit?usp=sharing"",""งบกองทุน!dr63"")"),0)</f>
        <v>0</v>
      </c>
      <c r="J548" s="197">
        <f ca="1">IFERROR(__xludf.DUMMYFUNCTION("IMPORTRANGE(""https://docs.google.com/spreadsheets/d/11923uPwbBZFjjGgGUA6NLw09EwE0CqkOc4q9oUmW1yo/edit?usp=sharing"",""พิษณุโลก!J166"")"),0)</f>
        <v>0</v>
      </c>
      <c r="K548" s="163">
        <f t="shared" ca="1" si="119"/>
        <v>0</v>
      </c>
      <c r="L548" s="181"/>
      <c r="M548" s="181"/>
      <c r="N548" s="181"/>
      <c r="O548" s="181"/>
      <c r="P548" s="181"/>
    </row>
    <row r="549" spans="1:16" ht="21.75" customHeight="1" x14ac:dyDescent="0.3">
      <c r="A549" s="175"/>
      <c r="B549" s="176"/>
      <c r="C549" s="176"/>
      <c r="D549" s="193"/>
      <c r="E549" s="194" t="s">
        <v>54</v>
      </c>
      <c r="F549" s="195"/>
      <c r="G549" s="196"/>
      <c r="H549" s="186"/>
      <c r="I549" s="187"/>
      <c r="J549" s="197">
        <f ca="1">IFERROR(__xludf.DUMMYFUNCTION("IMPORTRANGE(""https://docs.google.com/spreadsheets/d/11923uPwbBZFjjGgGUA6NLw09EwE0CqkOc4q9oUmW1yo/edit?usp=sharing"",""พิษณุโลก!J444"")"),0)</f>
        <v>0</v>
      </c>
      <c r="K549" s="163"/>
      <c r="L549" s="181"/>
      <c r="M549" s="181"/>
      <c r="N549" s="181"/>
      <c r="O549" s="181"/>
      <c r="P549" s="181"/>
    </row>
    <row r="550" spans="1:16" ht="21.75" customHeight="1" x14ac:dyDescent="0.3">
      <c r="A550" s="457"/>
      <c r="B550" s="458"/>
      <c r="C550" s="458"/>
      <c r="D550" s="467">
        <v>3</v>
      </c>
      <c r="E550" s="468" t="s">
        <v>55</v>
      </c>
      <c r="F550" s="469"/>
      <c r="G550" s="470"/>
      <c r="H550" s="471"/>
      <c r="I550" s="463"/>
      <c r="J550" s="472">
        <f ca="1">IFERROR(__xludf.DUMMYFUNCTION("IMPORTRANGE(""https://docs.google.com/spreadsheets/d/11923uPwbBZFjjGgGUA6NLw09EwE0CqkOc4q9oUmW1yo/edit?usp=sharing"",""พิษณุโลก!J445"")"),0)</f>
        <v>0</v>
      </c>
      <c r="K550" s="465"/>
      <c r="L550" s="466"/>
      <c r="M550" s="466"/>
      <c r="N550" s="466"/>
      <c r="O550" s="466"/>
      <c r="P550" s="466"/>
    </row>
    <row r="551" spans="1:16" ht="21.75" customHeight="1" x14ac:dyDescent="0.3">
      <c r="A551" s="403"/>
      <c r="B551" s="404">
        <v>7</v>
      </c>
      <c r="C551" s="405" t="s">
        <v>205</v>
      </c>
      <c r="D551" s="405"/>
      <c r="E551" s="405"/>
      <c r="F551" s="405"/>
      <c r="G551" s="406"/>
      <c r="H551" s="407" t="s">
        <v>122</v>
      </c>
      <c r="I551" s="408">
        <f ca="1">IFERROR(__xludf.DUMMYFUNCTION("IMPORTRANGE(""https://docs.google.com/spreadsheets/d/11923uPwbBZFjjGgGUA6NLw09EwE0CqkOc4q9oUmW1yo/edit?usp=sharing"",""พิษณุโลก!I446"")"),9000)</f>
        <v>9000</v>
      </c>
      <c r="J551" s="408">
        <f ca="1">IFERROR(__xludf.DUMMYFUNCTION("IMPORTRANGE(""https://docs.google.com/spreadsheets/d/11923uPwbBZFjjGgGUA6NLw09EwE0CqkOc4q9oUmW1yo/edit?usp=sharing"",""พิษณุโลก!J446"")"),865)</f>
        <v>865</v>
      </c>
      <c r="K551" s="409">
        <f ca="1">IF(I551&gt;0,J551*100/I551,0)</f>
        <v>9.6111111111111107</v>
      </c>
      <c r="L551" s="410">
        <f ca="1">IFERROR(__xludf.DUMMYFUNCTION("IMPORTRANGE(""https://docs.google.com/spreadsheets/d/11923uPwbBZFjjGgGUA6NLw09EwE0CqkOc4q9oUmW1yo/edit?usp=sharing"",""พิษณุโลก!L446"")"),534000)</f>
        <v>534000</v>
      </c>
      <c r="M551" s="410"/>
      <c r="N551" s="410">
        <f ca="1">IFERROR(__xludf.DUMMYFUNCTION("IMPORTRANGE(""https://docs.google.com/spreadsheets/d/11923uPwbBZFjjGgGUA6NLw09EwE0CqkOc4q9oUmW1yo/edit?usp=sharing"",""พิษณุโลก!M446"")"),29707.74)</f>
        <v>29707.74</v>
      </c>
      <c r="O551" s="410">
        <f t="shared" ref="O551:O555" ca="1" si="120">+IF(L551&gt;0,N551*100/L551,0)</f>
        <v>5.5632471910112358</v>
      </c>
      <c r="P551" s="410"/>
    </row>
    <row r="552" spans="1:16" ht="21.75" customHeight="1" x14ac:dyDescent="0.3">
      <c r="A552" s="156"/>
      <c r="B552" s="157"/>
      <c r="C552" s="157" t="s">
        <v>16</v>
      </c>
      <c r="D552" s="158" t="s">
        <v>38</v>
      </c>
      <c r="E552" s="159"/>
      <c r="F552" s="159"/>
      <c r="G552" s="160" t="s">
        <v>39</v>
      </c>
      <c r="H552" s="161" t="s">
        <v>12</v>
      </c>
      <c r="I552" s="162" t="s">
        <v>40</v>
      </c>
      <c r="J552" s="162"/>
      <c r="K552" s="163"/>
      <c r="L552" s="164">
        <f ca="1">IFERROR(__xludf.DUMMYFUNCTION("IMPORTRANGE(""https://docs.google.com/spreadsheets/d/11923uPwbBZFjjGgGUA6NLw09EwE0CqkOc4q9oUmW1yo/edit?usp=sharing"",""พิษณุโลก!L447"")"),0)</f>
        <v>0</v>
      </c>
      <c r="M552" s="164"/>
      <c r="N552" s="168">
        <f ca="1">IFERROR(__xludf.DUMMYFUNCTION("IMPORTRANGE(""https://docs.google.com/spreadsheets/d/11923uPwbBZFjjGgGUA6NLw09EwE0CqkOc4q9oUmW1yo/edit?usp=sharing"",""พิษณุโลก!M447"")"),0)</f>
        <v>0</v>
      </c>
      <c r="O552" s="168">
        <f t="shared" ca="1" si="120"/>
        <v>0</v>
      </c>
      <c r="P552" s="168"/>
    </row>
    <row r="553" spans="1:16" ht="21.75" customHeight="1" x14ac:dyDescent="0.3">
      <c r="A553" s="156"/>
      <c r="B553" s="157"/>
      <c r="C553" s="157"/>
      <c r="D553" s="166"/>
      <c r="E553" s="159"/>
      <c r="F553" s="159" t="s">
        <v>40</v>
      </c>
      <c r="G553" s="160" t="s">
        <v>41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IFERROR(__xludf.DUMMYFUNCTION("IMPORTRANGE(""https://docs.google.com/spreadsheets/d/11923uPwbBZFjjGgGUA6NLw09EwE0CqkOc4q9oUmW1yo/edit?usp=sharing"",""พิษณุโลก!L448"")"),534000)</f>
        <v>534000</v>
      </c>
      <c r="M553" s="165"/>
      <c r="N553" s="168">
        <f ca="1">IFERROR(__xludf.DUMMYFUNCTION("IMPORTRANGE(""https://docs.google.com/spreadsheets/d/11923uPwbBZFjjGgGUA6NLw09EwE0CqkOc4q9oUmW1yo/edit?usp=sharing"",""พิษณุโลก!M448"")"),29707.74)</f>
        <v>29707.74</v>
      </c>
      <c r="O553" s="168">
        <f t="shared" ca="1" si="120"/>
        <v>5.5632471910112358</v>
      </c>
      <c r="P553" s="168"/>
    </row>
    <row r="554" spans="1:16" ht="21.75" customHeight="1" x14ac:dyDescent="0.3">
      <c r="A554" s="156"/>
      <c r="B554" s="157"/>
      <c r="C554" s="157"/>
      <c r="D554" s="166"/>
      <c r="E554" s="159"/>
      <c r="F554" s="159"/>
      <c r="G554" s="372" t="s">
        <v>129</v>
      </c>
      <c r="H554" s="161" t="s">
        <v>12</v>
      </c>
      <c r="I554" s="162"/>
      <c r="J554" s="162"/>
      <c r="K554" s="163"/>
      <c r="L554" s="168">
        <f ca="1">IFERROR(__xludf.DUMMYFUNCTION("IMPORTRANGE(""https://docs.google.com/spreadsheets/d/11923uPwbBZFjjGgGUA6NLw09EwE0CqkOc4q9oUmW1yo/edit?usp=sharing"",""พิษณุโลก!L449"")"),0)</f>
        <v>0</v>
      </c>
      <c r="M554" s="168"/>
      <c r="N554" s="168">
        <f ca="1">IFERROR(__xludf.DUMMYFUNCTION("IMPORTRANGE(""https://docs.google.com/spreadsheets/d/11923uPwbBZFjjGgGUA6NLw09EwE0CqkOc4q9oUmW1yo/edit?usp=sharing"",""พิษณุโลก!M449"")"),0)</f>
        <v>0</v>
      </c>
      <c r="O554" s="168">
        <f t="shared" ca="1" si="120"/>
        <v>0</v>
      </c>
      <c r="P554" s="168"/>
    </row>
    <row r="555" spans="1:16" ht="21.75" customHeight="1" x14ac:dyDescent="0.3">
      <c r="A555" s="156"/>
      <c r="B555" s="157"/>
      <c r="C555" s="157"/>
      <c r="D555" s="166"/>
      <c r="E555" s="159"/>
      <c r="F555" s="159"/>
      <c r="G555" s="372" t="s">
        <v>130</v>
      </c>
      <c r="H555" s="161" t="s">
        <v>12</v>
      </c>
      <c r="I555" s="162"/>
      <c r="J555" s="162"/>
      <c r="K555" s="163"/>
      <c r="L555" s="168">
        <f ca="1">IFERROR(__xludf.DUMMYFUNCTION("IMPORTRANGE(""https://docs.google.com/spreadsheets/d/11923uPwbBZFjjGgGUA6NLw09EwE0CqkOc4q9oUmW1yo/edit?usp=sharing"",""พิษณุโลก!L450"")"),534000)</f>
        <v>534000</v>
      </c>
      <c r="M555" s="168"/>
      <c r="N555" s="168">
        <f ca="1">IFERROR(__xludf.DUMMYFUNCTION("IMPORTRANGE(""https://docs.google.com/spreadsheets/d/11923uPwbBZFjjGgGUA6NLw09EwE0CqkOc4q9oUmW1yo/edit?usp=sharing"",""พิษณุโลก!M450"")"),29707.74)</f>
        <v>29707.74</v>
      </c>
      <c r="O555" s="168">
        <f t="shared" ca="1" si="120"/>
        <v>5.5632471910112358</v>
      </c>
      <c r="P555" s="168"/>
    </row>
    <row r="556" spans="1:16" ht="21.75" customHeight="1" x14ac:dyDescent="0.3">
      <c r="A556" s="373"/>
      <c r="B556" s="374"/>
      <c r="C556" s="157"/>
      <c r="D556" s="375"/>
      <c r="E556" s="159"/>
      <c r="F556" s="159"/>
      <c r="G556" s="376" t="s">
        <v>131</v>
      </c>
      <c r="H556" s="161" t="s">
        <v>12</v>
      </c>
      <c r="I556" s="187"/>
      <c r="J556" s="187"/>
      <c r="K556" s="223"/>
      <c r="L556" s="168"/>
      <c r="M556" s="168"/>
      <c r="N556" s="167">
        <f ca="1">IFERROR(__xludf.DUMMYFUNCTION("IMPORTRANGE(""https://docs.google.com/spreadsheets/d/11923uPwbBZFjjGgGUA6NLw09EwE0CqkOc4q9oUmW1yo/edit?usp=sharing"",""พิษณุโลก!M451"")"),0)</f>
        <v>0</v>
      </c>
      <c r="O556" s="168"/>
      <c r="P556" s="168"/>
    </row>
    <row r="557" spans="1:16" ht="21.75" customHeight="1" x14ac:dyDescent="0.3">
      <c r="A557" s="373"/>
      <c r="B557" s="374"/>
      <c r="C557" s="157"/>
      <c r="D557" s="375"/>
      <c r="E557" s="159"/>
      <c r="F557" s="159"/>
      <c r="G557" s="376" t="s">
        <v>132</v>
      </c>
      <c r="H557" s="161" t="s">
        <v>12</v>
      </c>
      <c r="I557" s="187"/>
      <c r="J557" s="187"/>
      <c r="K557" s="223"/>
      <c r="L557" s="168"/>
      <c r="M557" s="168"/>
      <c r="N557" s="167">
        <f ca="1">IFERROR(__xludf.DUMMYFUNCTION("IMPORTRANGE(""https://docs.google.com/spreadsheets/d/11923uPwbBZFjjGgGUA6NLw09EwE0CqkOc4q9oUmW1yo/edit?usp=sharing"",""พิษณุโลก!M452"")"),0)</f>
        <v>0</v>
      </c>
      <c r="O557" s="168"/>
      <c r="P557" s="168"/>
    </row>
    <row r="558" spans="1:16" ht="21.75" customHeight="1" x14ac:dyDescent="0.3">
      <c r="A558" s="373"/>
      <c r="B558" s="374"/>
      <c r="C558" s="157"/>
      <c r="D558" s="375"/>
      <c r="E558" s="159"/>
      <c r="F558" s="159"/>
      <c r="G558" s="376" t="s">
        <v>133</v>
      </c>
      <c r="H558" s="161" t="s">
        <v>12</v>
      </c>
      <c r="I558" s="187"/>
      <c r="J558" s="187"/>
      <c r="K558" s="223"/>
      <c r="L558" s="168"/>
      <c r="M558" s="168"/>
      <c r="N558" s="167">
        <f ca="1">IFERROR(__xludf.DUMMYFUNCTION("IMPORTRANGE(""https://docs.google.com/spreadsheets/d/11923uPwbBZFjjGgGUA6NLw09EwE0CqkOc4q9oUmW1yo/edit?usp=sharing"",""พิษณุโลก!M453"")"),0)</f>
        <v>0</v>
      </c>
      <c r="O558" s="168"/>
      <c r="P558" s="168"/>
    </row>
    <row r="559" spans="1:16" ht="21.75" customHeight="1" x14ac:dyDescent="0.3">
      <c r="A559" s="373"/>
      <c r="B559" s="374"/>
      <c r="C559" s="157"/>
      <c r="D559" s="375"/>
      <c r="E559" s="159"/>
      <c r="F559" s="159"/>
      <c r="G559" s="376" t="s">
        <v>134</v>
      </c>
      <c r="H559" s="161" t="s">
        <v>12</v>
      </c>
      <c r="I559" s="187"/>
      <c r="J559" s="187"/>
      <c r="K559" s="223"/>
      <c r="L559" s="168"/>
      <c r="M559" s="168"/>
      <c r="N559" s="167">
        <f ca="1">IFERROR(__xludf.DUMMYFUNCTION("IMPORTRANGE(""https://docs.google.com/spreadsheets/d/11923uPwbBZFjjGgGUA6NLw09EwE0CqkOc4q9oUmW1yo/edit?usp=sharing"",""พิษณุโลก!M454"")"),29707.74)</f>
        <v>29707.74</v>
      </c>
      <c r="O559" s="168"/>
      <c r="P559" s="168"/>
    </row>
    <row r="560" spans="1:16" ht="21.75" customHeight="1" x14ac:dyDescent="0.3">
      <c r="A560" s="175"/>
      <c r="B560" s="176"/>
      <c r="C560" s="176"/>
      <c r="D560" s="193"/>
      <c r="E560" s="195"/>
      <c r="F560" s="277" t="s">
        <v>206</v>
      </c>
      <c r="G560" s="196"/>
      <c r="H560" s="473" t="s">
        <v>122</v>
      </c>
      <c r="I560" s="162">
        <f ca="1">IFERROR(__xludf.DUMMYFUNCTION("IMPORTRANGE(""https://docs.google.com/spreadsheets/d/11923uPwbBZFjjGgGUA6NLw09EwE0CqkOc4q9oUmW1yo/edit?usp=sharing"",""พิษณุโลก!I455"")"),9000)</f>
        <v>9000</v>
      </c>
      <c r="J560" s="162">
        <f ca="1">IFERROR(__xludf.DUMMYFUNCTION("IMPORTRANGE(""https://docs.google.com/spreadsheets/d/11923uPwbBZFjjGgGUA6NLw09EwE0CqkOc4q9oUmW1yo/edit?usp=sharing"",""พิษณุโลก!J455"")"),865)</f>
        <v>865</v>
      </c>
      <c r="K560" s="223">
        <f t="shared" ref="K560:K564" ca="1" si="121">IF(I560&gt;0,J560*100/I560,0)</f>
        <v>9.6111111111111107</v>
      </c>
      <c r="L560" s="168"/>
      <c r="M560" s="168"/>
      <c r="N560" s="168"/>
      <c r="O560" s="181"/>
      <c r="P560" s="181"/>
    </row>
    <row r="561" spans="1:16" ht="21.75" customHeight="1" x14ac:dyDescent="0.3">
      <c r="A561" s="175"/>
      <c r="B561" s="176"/>
      <c r="C561" s="176"/>
      <c r="D561" s="193"/>
      <c r="E561" s="195"/>
      <c r="F561" s="195"/>
      <c r="G561" s="196"/>
      <c r="H561" s="473" t="s">
        <v>36</v>
      </c>
      <c r="I561" s="162">
        <f ca="1">IFERROR(__xludf.DUMMYFUNCTION("IMPORTRANGE(""https://docs.google.com/spreadsheets/d/11923uPwbBZFjjGgGUA6NLw09EwE0CqkOc4q9oUmW1yo/edit?usp=sharing"",""พิษณุโลก!I456"")"),0)</f>
        <v>0</v>
      </c>
      <c r="J561" s="203">
        <f ca="1">IFERROR(__xludf.DUMMYFUNCTION("IMPORTRANGE(""https://docs.google.com/spreadsheets/d/11923uPwbBZFjjGgGUA6NLw09EwE0CqkOc4q9oUmW1yo/edit?usp=sharing"",""พิษณุโลก!J456"")"),55)</f>
        <v>55</v>
      </c>
      <c r="K561" s="223">
        <f t="shared" ca="1" si="121"/>
        <v>0</v>
      </c>
      <c r="L561" s="168"/>
      <c r="M561" s="168"/>
      <c r="N561" s="168"/>
      <c r="O561" s="181"/>
      <c r="P561" s="181"/>
    </row>
    <row r="562" spans="1:16" ht="21.75" customHeight="1" x14ac:dyDescent="0.3">
      <c r="A562" s="175"/>
      <c r="B562" s="176"/>
      <c r="C562" s="176"/>
      <c r="D562" s="193"/>
      <c r="E562" s="195"/>
      <c r="F562" s="195" t="s">
        <v>207</v>
      </c>
      <c r="G562" s="196"/>
      <c r="H562" s="473" t="s">
        <v>122</v>
      </c>
      <c r="I562" s="162">
        <v>0</v>
      </c>
      <c r="J562" s="203" t="str">
        <f ca="1">IFERROR(__xludf.DUMMYFUNCTION("IMPORTRANGE(""https://docs.google.com/spreadsheets/d/11923uPwbBZFjjGgGUA6NLw09EwE0CqkOc4q9oUmW1yo/edit?usp=sharing"",""พิษณุโลก!J457"")"),"")</f>
        <v/>
      </c>
      <c r="K562" s="163">
        <f t="shared" si="121"/>
        <v>0</v>
      </c>
      <c r="L562" s="181"/>
      <c r="M562" s="181"/>
      <c r="N562" s="181"/>
      <c r="O562" s="181"/>
      <c r="P562" s="181"/>
    </row>
    <row r="563" spans="1:16" ht="21.75" customHeight="1" x14ac:dyDescent="0.3">
      <c r="A563" s="175"/>
      <c r="B563" s="176"/>
      <c r="C563" s="176"/>
      <c r="D563" s="193"/>
      <c r="E563" s="195"/>
      <c r="F563" s="195"/>
      <c r="G563" s="196"/>
      <c r="H563" s="473" t="s">
        <v>36</v>
      </c>
      <c r="I563" s="162">
        <v>0</v>
      </c>
      <c r="J563" s="187" t="str">
        <f ca="1">IFERROR(__xludf.DUMMYFUNCTION("IMPORTRANGE(""https://docs.google.com/spreadsheets/d/11923uPwbBZFjjGgGUA6NLw09EwE0CqkOc4q9oUmW1yo/edit?usp=sharing"",""พิษณุโลก!J458"")"),"")</f>
        <v/>
      </c>
      <c r="K563" s="163">
        <f t="shared" si="121"/>
        <v>0</v>
      </c>
      <c r="L563" s="181"/>
      <c r="M563" s="181"/>
      <c r="N563" s="181"/>
      <c r="O563" s="181"/>
      <c r="P563" s="181"/>
    </row>
    <row r="564" spans="1:16" ht="21.75" customHeight="1" x14ac:dyDescent="0.3">
      <c r="A564" s="364"/>
      <c r="B564" s="365">
        <v>8</v>
      </c>
      <c r="C564" s="366" t="s">
        <v>208</v>
      </c>
      <c r="D564" s="366"/>
      <c r="E564" s="366"/>
      <c r="F564" s="366"/>
      <c r="G564" s="367"/>
      <c r="H564" s="368" t="s">
        <v>37</v>
      </c>
      <c r="I564" s="369">
        <f ca="1">IFERROR(__xludf.DUMMYFUNCTION("IMPORTRANGE(""https://docs.google.com/spreadsheets/d/11923uPwbBZFjjGgGUA6NLw09EwE0CqkOc4q9oUmW1yo/edit?usp=sharing"",""พิษณุโลก!I459"")"),1500)</f>
        <v>1500</v>
      </c>
      <c r="J564" s="369">
        <f ca="1">IFERROR(__xludf.DUMMYFUNCTION("IMPORTRANGE(""https://docs.google.com/spreadsheets/d/11923uPwbBZFjjGgGUA6NLw09EwE0CqkOc4q9oUmW1yo/edit?usp=sharing"",""พิษณุโลก!J459"")"),1231)</f>
        <v>1231</v>
      </c>
      <c r="K564" s="370">
        <f t="shared" ca="1" si="121"/>
        <v>82.066666666666663</v>
      </c>
      <c r="L564" s="371">
        <f ca="1">IFERROR(__xludf.DUMMYFUNCTION("IMPORTRANGE(""https://docs.google.com/spreadsheets/d/11923uPwbBZFjjGgGUA6NLw09EwE0CqkOc4q9oUmW1yo/edit?usp=sharing"",""พิษณุโลก!L459"")"),144240)</f>
        <v>144240</v>
      </c>
      <c r="M564" s="371"/>
      <c r="N564" s="371">
        <f ca="1">IFERROR(__xludf.DUMMYFUNCTION("IMPORTRANGE(""https://docs.google.com/spreadsheets/d/11923uPwbBZFjjGgGUA6NLw09EwE0CqkOc4q9oUmW1yo/edit?usp=sharing"",""พิษณุโลก!M459"")"),11080.64)</f>
        <v>11080.64</v>
      </c>
      <c r="O564" s="371">
        <f t="shared" ref="O564:O568" ca="1" si="122">+IF(L564&gt;0,N564*100/L564,0)</f>
        <v>7.6820854132002214</v>
      </c>
      <c r="P564" s="371"/>
    </row>
    <row r="565" spans="1:16" ht="21.75" customHeight="1" x14ac:dyDescent="0.3">
      <c r="A565" s="156"/>
      <c r="B565" s="157"/>
      <c r="C565" s="157" t="s">
        <v>16</v>
      </c>
      <c r="D565" s="158" t="s">
        <v>38</v>
      </c>
      <c r="E565" s="159"/>
      <c r="F565" s="159"/>
      <c r="G565" s="160" t="s">
        <v>39</v>
      </c>
      <c r="H565" s="161" t="s">
        <v>12</v>
      </c>
      <c r="I565" s="162" t="s">
        <v>40</v>
      </c>
      <c r="J565" s="162"/>
      <c r="K565" s="163"/>
      <c r="L565" s="164">
        <f ca="1">IFERROR(__xludf.DUMMYFUNCTION("IMPORTRANGE(""https://docs.google.com/spreadsheets/d/11923uPwbBZFjjGgGUA6NLw09EwE0CqkOc4q9oUmW1yo/edit?usp=sharing"",""พิษณุโลก!L460"")"),0)</f>
        <v>0</v>
      </c>
      <c r="M565" s="164"/>
      <c r="N565" s="168">
        <f ca="1">IFERROR(__xludf.DUMMYFUNCTION("IMPORTRANGE(""https://docs.google.com/spreadsheets/d/11923uPwbBZFjjGgGUA6NLw09EwE0CqkOc4q9oUmW1yo/edit?usp=sharing"",""พิษณุโลก!M460"")"),0)</f>
        <v>0</v>
      </c>
      <c r="O565" s="168">
        <f t="shared" ca="1" si="122"/>
        <v>0</v>
      </c>
      <c r="P565" s="168"/>
    </row>
    <row r="566" spans="1:16" ht="21.75" customHeight="1" x14ac:dyDescent="0.3">
      <c r="A566" s="156"/>
      <c r="B566" s="157"/>
      <c r="C566" s="157"/>
      <c r="D566" s="166"/>
      <c r="E566" s="159"/>
      <c r="F566" s="159" t="s">
        <v>40</v>
      </c>
      <c r="G566" s="160" t="s">
        <v>41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IFERROR(__xludf.DUMMYFUNCTION("IMPORTRANGE(""https://docs.google.com/spreadsheets/d/11923uPwbBZFjjGgGUA6NLw09EwE0CqkOc4q9oUmW1yo/edit?usp=sharing"",""พิษณุโลก!L461"")"),144240)</f>
        <v>144240</v>
      </c>
      <c r="M566" s="165"/>
      <c r="N566" s="168">
        <f ca="1">IFERROR(__xludf.DUMMYFUNCTION("IMPORTRANGE(""https://docs.google.com/spreadsheets/d/11923uPwbBZFjjGgGUA6NLw09EwE0CqkOc4q9oUmW1yo/edit?usp=sharing"",""พิษณุโลก!M461"")"),11080.64)</f>
        <v>11080.64</v>
      </c>
      <c r="O566" s="168">
        <f t="shared" ca="1" si="122"/>
        <v>7.6820854132002214</v>
      </c>
      <c r="P566" s="168"/>
    </row>
    <row r="567" spans="1:16" ht="21.75" customHeight="1" x14ac:dyDescent="0.3">
      <c r="A567" s="156"/>
      <c r="B567" s="157"/>
      <c r="C567" s="157"/>
      <c r="D567" s="166"/>
      <c r="E567" s="159"/>
      <c r="F567" s="159"/>
      <c r="G567" s="372" t="s">
        <v>129</v>
      </c>
      <c r="H567" s="161" t="s">
        <v>12</v>
      </c>
      <c r="I567" s="162"/>
      <c r="J567" s="162"/>
      <c r="K567" s="163"/>
      <c r="L567" s="168">
        <f ca="1">IFERROR(__xludf.DUMMYFUNCTION("IMPORTRANGE(""https://docs.google.com/spreadsheets/d/11923uPwbBZFjjGgGUA6NLw09EwE0CqkOc4q9oUmW1yo/edit?usp=sharing"",""พิษณุโลก!L462"")"),0)</f>
        <v>0</v>
      </c>
      <c r="M567" s="168"/>
      <c r="N567" s="168">
        <f ca="1">IFERROR(__xludf.DUMMYFUNCTION("IMPORTRANGE(""https://docs.google.com/spreadsheets/d/11923uPwbBZFjjGgGUA6NLw09EwE0CqkOc4q9oUmW1yo/edit?usp=sharing"",""พิษณุโลก!M462"")"),0)</f>
        <v>0</v>
      </c>
      <c r="O567" s="168">
        <f t="shared" ca="1" si="122"/>
        <v>0</v>
      </c>
      <c r="P567" s="168"/>
    </row>
    <row r="568" spans="1:16" ht="21.75" customHeight="1" x14ac:dyDescent="0.3">
      <c r="A568" s="156"/>
      <c r="B568" s="157"/>
      <c r="C568" s="157"/>
      <c r="D568" s="166"/>
      <c r="E568" s="159"/>
      <c r="F568" s="159"/>
      <c r="G568" s="372" t="s">
        <v>130</v>
      </c>
      <c r="H568" s="161" t="s">
        <v>12</v>
      </c>
      <c r="I568" s="162"/>
      <c r="J568" s="162"/>
      <c r="K568" s="163"/>
      <c r="L568" s="168">
        <f ca="1">IFERROR(__xludf.DUMMYFUNCTION("IMPORTRANGE(""https://docs.google.com/spreadsheets/d/11923uPwbBZFjjGgGUA6NLw09EwE0CqkOc4q9oUmW1yo/edit?usp=sharing"",""พิษณุโลก!L463"")"),144240)</f>
        <v>144240</v>
      </c>
      <c r="M568" s="168"/>
      <c r="N568" s="168">
        <f ca="1">IFERROR(__xludf.DUMMYFUNCTION("IMPORTRANGE(""https://docs.google.com/spreadsheets/d/11923uPwbBZFjjGgGUA6NLw09EwE0CqkOc4q9oUmW1yo/edit?usp=sharing"",""พิษณุโลก!M463"")"),11080.64)</f>
        <v>11080.64</v>
      </c>
      <c r="O568" s="168">
        <f t="shared" ca="1" si="122"/>
        <v>7.6820854132002214</v>
      </c>
      <c r="P568" s="168"/>
    </row>
    <row r="569" spans="1:16" ht="21.75" customHeight="1" x14ac:dyDescent="0.3">
      <c r="A569" s="373"/>
      <c r="B569" s="374"/>
      <c r="C569" s="157"/>
      <c r="D569" s="375"/>
      <c r="E569" s="159"/>
      <c r="F569" s="159"/>
      <c r="G569" s="376" t="s">
        <v>131</v>
      </c>
      <c r="H569" s="161" t="s">
        <v>12</v>
      </c>
      <c r="I569" s="187"/>
      <c r="J569" s="187"/>
      <c r="K569" s="223"/>
      <c r="L569" s="168"/>
      <c r="M569" s="168"/>
      <c r="N569" s="167">
        <f ca="1">IFERROR(__xludf.DUMMYFUNCTION("IMPORTRANGE(""https://docs.google.com/spreadsheets/d/11923uPwbBZFjjGgGUA6NLw09EwE0CqkOc4q9oUmW1yo/edit?usp=sharing"",""พิษณุโลก!M464"")"),0)</f>
        <v>0</v>
      </c>
      <c r="O569" s="168"/>
      <c r="P569" s="168"/>
    </row>
    <row r="570" spans="1:16" ht="21.75" customHeight="1" x14ac:dyDescent="0.3">
      <c r="A570" s="373"/>
      <c r="B570" s="374"/>
      <c r="C570" s="157"/>
      <c r="D570" s="375"/>
      <c r="E570" s="159"/>
      <c r="F570" s="159"/>
      <c r="G570" s="376" t="s">
        <v>132</v>
      </c>
      <c r="H570" s="161" t="s">
        <v>12</v>
      </c>
      <c r="I570" s="187"/>
      <c r="J570" s="187"/>
      <c r="K570" s="223"/>
      <c r="L570" s="168"/>
      <c r="M570" s="168"/>
      <c r="N570" s="167">
        <f ca="1">IFERROR(__xludf.DUMMYFUNCTION("IMPORTRANGE(""https://docs.google.com/spreadsheets/d/11923uPwbBZFjjGgGUA6NLw09EwE0CqkOc4q9oUmW1yo/edit?usp=sharing"",""พิษณุโลก!M465"")"),0)</f>
        <v>0</v>
      </c>
      <c r="O570" s="168"/>
      <c r="P570" s="168"/>
    </row>
    <row r="571" spans="1:16" ht="21.75" customHeight="1" x14ac:dyDescent="0.3">
      <c r="A571" s="373"/>
      <c r="B571" s="374"/>
      <c r="C571" s="157"/>
      <c r="D571" s="375"/>
      <c r="E571" s="159"/>
      <c r="F571" s="159"/>
      <c r="G571" s="376" t="s">
        <v>133</v>
      </c>
      <c r="H571" s="161" t="s">
        <v>12</v>
      </c>
      <c r="I571" s="187"/>
      <c r="J571" s="187"/>
      <c r="K571" s="223"/>
      <c r="L571" s="168"/>
      <c r="M571" s="168"/>
      <c r="N571" s="377">
        <f ca="1">IFERROR(__xludf.DUMMYFUNCTION("IMPORTRANGE(""https://docs.google.com/spreadsheets/d/11923uPwbBZFjjGgGUA6NLw09EwE0CqkOc4q9oUmW1yo/edit?usp=sharing"",""พิษณุโลก!M466"")"),9580.64)</f>
        <v>9580.64</v>
      </c>
      <c r="O571" s="168"/>
      <c r="P571" s="168"/>
    </row>
    <row r="572" spans="1:16" ht="21.75" customHeight="1" x14ac:dyDescent="0.3">
      <c r="A572" s="373"/>
      <c r="B572" s="374"/>
      <c r="C572" s="157"/>
      <c r="D572" s="375"/>
      <c r="E572" s="159"/>
      <c r="F572" s="159"/>
      <c r="G572" s="376" t="s">
        <v>134</v>
      </c>
      <c r="H572" s="161" t="s">
        <v>12</v>
      </c>
      <c r="I572" s="187"/>
      <c r="J572" s="187"/>
      <c r="K572" s="223"/>
      <c r="L572" s="168"/>
      <c r="M572" s="168"/>
      <c r="N572" s="377">
        <f ca="1">IFERROR(__xludf.DUMMYFUNCTION("IMPORTRANGE(""https://docs.google.com/spreadsheets/d/11923uPwbBZFjjGgGUA6NLw09EwE0CqkOc4q9oUmW1yo/edit?usp=sharing"",""พิษณุโลก!M467"")"),1500)</f>
        <v>1500</v>
      </c>
      <c r="O572" s="168"/>
      <c r="P572" s="168"/>
    </row>
    <row r="573" spans="1:16" ht="21.75" customHeight="1" x14ac:dyDescent="0.3">
      <c r="A573" s="175"/>
      <c r="B573" s="176"/>
      <c r="C573" s="176"/>
      <c r="D573" s="195"/>
      <c r="E573" s="194" t="s">
        <v>40</v>
      </c>
      <c r="F573" s="412" t="s">
        <v>209</v>
      </c>
      <c r="G573" s="386"/>
      <c r="H573" s="474" t="s">
        <v>37</v>
      </c>
      <c r="I573" s="418">
        <f ca="1">IFERROR(__xludf.DUMMYFUNCTION("IMPORTRANGE(""https://docs.google.com/spreadsheets/d/11923uPwbBZFjjGgGUA6NLw09EwE0CqkOc4q9oUmW1yo/edit?usp=sharing"",""พิษณุโลก!I468"")"),1500)</f>
        <v>1500</v>
      </c>
      <c r="J573" s="418">
        <f ca="1">IFERROR(__xludf.DUMMYFUNCTION("IMPORTRANGE(""https://docs.google.com/spreadsheets/d/11923uPwbBZFjjGgGUA6NLw09EwE0CqkOc4q9oUmW1yo/edit?usp=sharing"",""พิษณุโลก!J468"")"),1231)</f>
        <v>1231</v>
      </c>
      <c r="K573" s="201">
        <f ca="1">IF(I573&gt;0,J573*100/I573,0)</f>
        <v>82.066666666666663</v>
      </c>
      <c r="L573" s="181"/>
      <c r="M573" s="181"/>
      <c r="N573" s="181"/>
      <c r="O573" s="181"/>
      <c r="P573" s="181"/>
    </row>
    <row r="574" spans="1:16" ht="21.75" customHeight="1" x14ac:dyDescent="0.3">
      <c r="A574" s="175"/>
      <c r="B574" s="176"/>
      <c r="C574" s="176"/>
      <c r="D574" s="195"/>
      <c r="E574" s="195"/>
      <c r="F574" s="194" t="s">
        <v>210</v>
      </c>
      <c r="G574" s="196"/>
      <c r="H574" s="473"/>
      <c r="I574" s="162"/>
      <c r="J574" s="162"/>
      <c r="K574" s="163"/>
      <c r="L574" s="181"/>
      <c r="M574" s="181"/>
      <c r="N574" s="181"/>
      <c r="O574" s="181"/>
      <c r="P574" s="181"/>
    </row>
    <row r="575" spans="1:16" ht="21.75" customHeight="1" x14ac:dyDescent="0.3">
      <c r="A575" s="175"/>
      <c r="B575" s="176"/>
      <c r="C575" s="176"/>
      <c r="D575" s="195"/>
      <c r="E575" s="194" t="s">
        <v>40</v>
      </c>
      <c r="F575" s="194" t="s">
        <v>211</v>
      </c>
      <c r="G575" s="196"/>
      <c r="H575" s="473" t="s">
        <v>77</v>
      </c>
      <c r="I575" s="202">
        <f ca="1">IFERROR(__xludf.DUMMYFUNCTION("IMPORTRANGE(""https://docs.google.com/spreadsheets/d/11923uPwbBZFjjGgGUA6NLw09EwE0CqkOc4q9oUmW1yo/edit?usp=sharing"",""พิษณุโลก!I470"")"),0)</f>
        <v>0</v>
      </c>
      <c r="J575" s="197">
        <f ca="1">IFERROR(__xludf.DUMMYFUNCTION("IMPORTRANGE(""https://docs.google.com/spreadsheets/d/11923uPwbBZFjjGgGUA6NLw09EwE0CqkOc4q9oUmW1yo/edit?usp=sharing"",""พิษณุโลก!J470"")"),4)</f>
        <v>4</v>
      </c>
      <c r="K575" s="163">
        <f t="shared" ref="K575:K579" ca="1" si="123">IF(I575&gt;0,J575*100/I575,0)</f>
        <v>0</v>
      </c>
      <c r="L575" s="181"/>
      <c r="M575" s="181"/>
      <c r="N575" s="181"/>
      <c r="O575" s="181"/>
      <c r="P575" s="181"/>
    </row>
    <row r="576" spans="1:16" ht="21.75" customHeight="1" x14ac:dyDescent="0.3">
      <c r="A576" s="175"/>
      <c r="B576" s="176"/>
      <c r="C576" s="176"/>
      <c r="D576" s="195"/>
      <c r="E576" s="195"/>
      <c r="F576" s="194" t="s">
        <v>212</v>
      </c>
      <c r="G576" s="196"/>
      <c r="H576" s="473" t="s">
        <v>37</v>
      </c>
      <c r="I576" s="202">
        <f ca="1">IFERROR(__xludf.DUMMYFUNCTION("IMPORTRANGE(""https://docs.google.com/spreadsheets/d/11923uPwbBZFjjGgGUA6NLw09EwE0CqkOc4q9oUmW1yo/edit?usp=sharing"",""พิษณุโลก!I471"")"),0)</f>
        <v>0</v>
      </c>
      <c r="J576" s="197">
        <f ca="1">IFERROR(__xludf.DUMMYFUNCTION("IMPORTRANGE(""https://docs.google.com/spreadsheets/d/11923uPwbBZFjjGgGUA6NLw09EwE0CqkOc4q9oUmW1yo/edit?usp=sharing"",""พิษณุโลก!J471"")"),165)</f>
        <v>165</v>
      </c>
      <c r="K576" s="163">
        <f t="shared" ca="1" si="123"/>
        <v>0</v>
      </c>
      <c r="L576" s="181"/>
      <c r="M576" s="181"/>
      <c r="N576" s="181"/>
      <c r="O576" s="181"/>
      <c r="P576" s="181"/>
    </row>
    <row r="577" spans="1:16" ht="21.75" customHeight="1" x14ac:dyDescent="0.3">
      <c r="A577" s="175"/>
      <c r="B577" s="176"/>
      <c r="C577" s="176"/>
      <c r="D577" s="195"/>
      <c r="E577" s="195"/>
      <c r="F577" s="194" t="s">
        <v>213</v>
      </c>
      <c r="G577" s="196"/>
      <c r="H577" s="473" t="s">
        <v>37</v>
      </c>
      <c r="I577" s="202">
        <f ca="1">IFERROR(__xludf.DUMMYFUNCTION("IMPORTRANGE(""https://docs.google.com/spreadsheets/d/11923uPwbBZFjjGgGUA6NLw09EwE0CqkOc4q9oUmW1yo/edit?usp=sharing"",""พิษณุโลก!I472"")"),0)</f>
        <v>0</v>
      </c>
      <c r="J577" s="188">
        <f ca="1">IFERROR(__xludf.DUMMYFUNCTION("IMPORTRANGE(""https://docs.google.com/spreadsheets/d/11923uPwbBZFjjGgGUA6NLw09EwE0CqkOc4q9oUmW1yo/edit?usp=sharing"",""พิษณุโลก!J472"")"),1062)</f>
        <v>1062</v>
      </c>
      <c r="K577" s="163">
        <f t="shared" ca="1" si="123"/>
        <v>0</v>
      </c>
      <c r="L577" s="181"/>
      <c r="M577" s="181"/>
      <c r="N577" s="181"/>
      <c r="O577" s="181"/>
      <c r="P577" s="181"/>
    </row>
    <row r="578" spans="1:16" ht="21.75" customHeight="1" x14ac:dyDescent="0.3">
      <c r="A578" s="175"/>
      <c r="B578" s="176"/>
      <c r="C578" s="176"/>
      <c r="D578" s="195"/>
      <c r="E578" s="195"/>
      <c r="F578" s="194" t="s">
        <v>214</v>
      </c>
      <c r="G578" s="419"/>
      <c r="H578" s="473" t="s">
        <v>37</v>
      </c>
      <c r="I578" s="202">
        <f ca="1">IFERROR(__xludf.DUMMYFUNCTION("IMPORTRANGE(""https://docs.google.com/spreadsheets/d/11923uPwbBZFjjGgGUA6NLw09EwE0CqkOc4q9oUmW1yo/edit?usp=sharing"",""พิษณุโลก!I473"")"),0)</f>
        <v>0</v>
      </c>
      <c r="J578" s="197">
        <f ca="1">IFERROR(__xludf.DUMMYFUNCTION("IMPORTRANGE(""https://docs.google.com/spreadsheets/d/11923uPwbBZFjjGgGUA6NLw09EwE0CqkOc4q9oUmW1yo/edit?usp=sharing"",""พิษณุโลก!J473"")"),4)</f>
        <v>4</v>
      </c>
      <c r="K578" s="163">
        <f t="shared" ca="1" si="123"/>
        <v>0</v>
      </c>
      <c r="L578" s="181"/>
      <c r="M578" s="181"/>
      <c r="N578" s="181"/>
      <c r="O578" s="181"/>
      <c r="P578" s="181"/>
    </row>
    <row r="579" spans="1:16" ht="21.75" customHeight="1" x14ac:dyDescent="0.3">
      <c r="A579" s="175"/>
      <c r="B579" s="176"/>
      <c r="C579" s="176"/>
      <c r="D579" s="195"/>
      <c r="E579" s="195"/>
      <c r="F579" s="194" t="s">
        <v>215</v>
      </c>
      <c r="G579" s="419"/>
      <c r="H579" s="473" t="s">
        <v>37</v>
      </c>
      <c r="I579" s="202">
        <f ca="1">IFERROR(__xludf.DUMMYFUNCTION("IMPORTRANGE(""https://docs.google.com/spreadsheets/d/11923uPwbBZFjjGgGUA6NLw09EwE0CqkOc4q9oUmW1yo/edit?usp=sharing"",""พิษณุโลก!I474"")"),0)</f>
        <v>0</v>
      </c>
      <c r="J579" s="197">
        <f ca="1">IFERROR(__xludf.DUMMYFUNCTION("IMPORTRANGE(""https://docs.google.com/spreadsheets/d/11923uPwbBZFjjGgGUA6NLw09EwE0CqkOc4q9oUmW1yo/edit?usp=sharing"",""พิษณุโลก!J474"")"),0)</f>
        <v>0</v>
      </c>
      <c r="K579" s="163">
        <f t="shared" ca="1" si="123"/>
        <v>0</v>
      </c>
      <c r="L579" s="181"/>
      <c r="M579" s="181"/>
      <c r="N579" s="181"/>
      <c r="O579" s="181"/>
      <c r="P579" s="181"/>
    </row>
    <row r="580" spans="1:16" ht="21.75" customHeight="1" x14ac:dyDescent="0.3">
      <c r="A580" s="364"/>
      <c r="B580" s="365">
        <v>9</v>
      </c>
      <c r="C580" s="475" t="s">
        <v>216</v>
      </c>
      <c r="D580" s="366"/>
      <c r="E580" s="366"/>
      <c r="F580" s="366"/>
      <c r="G580" s="367"/>
      <c r="H580" s="368" t="s">
        <v>37</v>
      </c>
      <c r="I580" s="369">
        <f ca="1">IFERROR(__xludf.DUMMYFUNCTION("IMPORTRANGE(""https://docs.google.com/spreadsheets/d/11923uPwbBZFjjGgGUA6NLw09EwE0CqkOc4q9oUmW1yo/edit?usp=sharing"",""พิษณุโลก!I475"")"),24)</f>
        <v>24</v>
      </c>
      <c r="J580" s="369">
        <f ca="1">IFERROR(__xludf.DUMMYFUNCTION("IMPORTRANGE(""https://docs.google.com/spreadsheets/d/11923uPwbBZFjjGgGUA6NLw09EwE0CqkOc4q9oUmW1yo/edit?usp=sharing"",""พิษณุโลก!J475"")"),3)</f>
        <v>3</v>
      </c>
      <c r="K580" s="370">
        <f ca="1">IF(I580&gt;0,J580*100/I580,0)</f>
        <v>12.5</v>
      </c>
      <c r="L580" s="371">
        <f ca="1">IFERROR(__xludf.DUMMYFUNCTION("IMPORTRANGE(""https://docs.google.com/spreadsheets/d/11923uPwbBZFjjGgGUA6NLw09EwE0CqkOc4q9oUmW1yo/edit?usp=sharing"",""พิษณุโลก!L475"")"),127824)</f>
        <v>127824</v>
      </c>
      <c r="M580" s="371"/>
      <c r="N580" s="371">
        <f ca="1">IFERROR(__xludf.DUMMYFUNCTION("IMPORTRANGE(""https://docs.google.com/spreadsheets/d/11923uPwbBZFjjGgGUA6NLw09EwE0CqkOc4q9oUmW1yo/edit?usp=sharing"",""พิษณุโลก!M475"")"),240)</f>
        <v>240</v>
      </c>
      <c r="O580" s="371">
        <f t="shared" ref="O580:O584" ca="1" si="124">+IF(L580&gt;0,N580*100/L580,0)</f>
        <v>0.1877581674802854</v>
      </c>
      <c r="P580" s="371"/>
    </row>
    <row r="581" spans="1:16" ht="21.75" customHeight="1" x14ac:dyDescent="0.3">
      <c r="A581" s="156"/>
      <c r="B581" s="157"/>
      <c r="C581" s="157" t="s">
        <v>16</v>
      </c>
      <c r="D581" s="158" t="s">
        <v>38</v>
      </c>
      <c r="E581" s="159"/>
      <c r="F581" s="159"/>
      <c r="G581" s="160" t="s">
        <v>39</v>
      </c>
      <c r="H581" s="161" t="s">
        <v>12</v>
      </c>
      <c r="I581" s="162" t="s">
        <v>40</v>
      </c>
      <c r="J581" s="162"/>
      <c r="K581" s="163"/>
      <c r="L581" s="164">
        <f ca="1">IFERROR(__xludf.DUMMYFUNCTION("IMPORTRANGE(""https://docs.google.com/spreadsheets/d/11923uPwbBZFjjGgGUA6NLw09EwE0CqkOc4q9oUmW1yo/edit?usp=sharing"",""พิษณุโลก!L476"")"),0)</f>
        <v>0</v>
      </c>
      <c r="M581" s="164"/>
      <c r="N581" s="168">
        <f ca="1">IFERROR(__xludf.DUMMYFUNCTION("IMPORTRANGE(""https://docs.google.com/spreadsheets/d/11923uPwbBZFjjGgGUA6NLw09EwE0CqkOc4q9oUmW1yo/edit?usp=sharing"",""พิษณุโลก!M476"")"),0)</f>
        <v>0</v>
      </c>
      <c r="O581" s="168">
        <f t="shared" ca="1" si="124"/>
        <v>0</v>
      </c>
      <c r="P581" s="168"/>
    </row>
    <row r="582" spans="1:16" ht="21.75" customHeight="1" x14ac:dyDescent="0.3">
      <c r="A582" s="156"/>
      <c r="B582" s="157"/>
      <c r="C582" s="157"/>
      <c r="D582" s="166"/>
      <c r="E582" s="159"/>
      <c r="F582" s="159" t="s">
        <v>40</v>
      </c>
      <c r="G582" s="160" t="s">
        <v>41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IFERROR(__xludf.DUMMYFUNCTION("IMPORTRANGE(""https://docs.google.com/spreadsheets/d/11923uPwbBZFjjGgGUA6NLw09EwE0CqkOc4q9oUmW1yo/edit?usp=sharing"",""พิษณุโลก!L477"")"),127824)</f>
        <v>127824</v>
      </c>
      <c r="M582" s="165"/>
      <c r="N582" s="168">
        <f ca="1">IFERROR(__xludf.DUMMYFUNCTION("IMPORTRANGE(""https://docs.google.com/spreadsheets/d/11923uPwbBZFjjGgGUA6NLw09EwE0CqkOc4q9oUmW1yo/edit?usp=sharing"",""พิษณุโลก!M477"")"),240)</f>
        <v>240</v>
      </c>
      <c r="O582" s="168">
        <f t="shared" ca="1" si="124"/>
        <v>0.1877581674802854</v>
      </c>
      <c r="P582" s="168"/>
    </row>
    <row r="583" spans="1:16" ht="21.75" customHeight="1" x14ac:dyDescent="0.3">
      <c r="A583" s="156"/>
      <c r="B583" s="157"/>
      <c r="C583" s="157"/>
      <c r="D583" s="166"/>
      <c r="E583" s="159"/>
      <c r="F583" s="159"/>
      <c r="G583" s="372" t="s">
        <v>129</v>
      </c>
      <c r="H583" s="161" t="s">
        <v>12</v>
      </c>
      <c r="I583" s="162"/>
      <c r="J583" s="162"/>
      <c r="K583" s="163"/>
      <c r="L583" s="168">
        <f ca="1">IFERROR(__xludf.DUMMYFUNCTION("IMPORTRANGE(""https://docs.google.com/spreadsheets/d/11923uPwbBZFjjGgGUA6NLw09EwE0CqkOc4q9oUmW1yo/edit?usp=sharing"",""พิษณุโลก!L478"")"),0)</f>
        <v>0</v>
      </c>
      <c r="M583" s="168"/>
      <c r="N583" s="168">
        <f ca="1">IFERROR(__xludf.DUMMYFUNCTION("IMPORTRANGE(""https://docs.google.com/spreadsheets/d/11923uPwbBZFjjGgGUA6NLw09EwE0CqkOc4q9oUmW1yo/edit?usp=sharing"",""พิษณุโลก!M478"")"),0)</f>
        <v>0</v>
      </c>
      <c r="O583" s="168">
        <f t="shared" ca="1" si="124"/>
        <v>0</v>
      </c>
      <c r="P583" s="168"/>
    </row>
    <row r="584" spans="1:16" ht="21.75" customHeight="1" x14ac:dyDescent="0.3">
      <c r="A584" s="156"/>
      <c r="B584" s="157"/>
      <c r="C584" s="157"/>
      <c r="D584" s="166"/>
      <c r="E584" s="159"/>
      <c r="F584" s="159"/>
      <c r="G584" s="372" t="s">
        <v>130</v>
      </c>
      <c r="H584" s="161" t="s">
        <v>12</v>
      </c>
      <c r="I584" s="162"/>
      <c r="J584" s="162"/>
      <c r="K584" s="163"/>
      <c r="L584" s="168">
        <f ca="1">IFERROR(__xludf.DUMMYFUNCTION("IMPORTRANGE(""https://docs.google.com/spreadsheets/d/11923uPwbBZFjjGgGUA6NLw09EwE0CqkOc4q9oUmW1yo/edit?usp=sharing"",""พิษณุโลก!L479"")"),127824)</f>
        <v>127824</v>
      </c>
      <c r="M584" s="168"/>
      <c r="N584" s="168">
        <f ca="1">IFERROR(__xludf.DUMMYFUNCTION("IMPORTRANGE(""https://docs.google.com/spreadsheets/d/11923uPwbBZFjjGgGUA6NLw09EwE0CqkOc4q9oUmW1yo/edit?usp=sharing"",""พิษณุโลก!M479"")"),240)</f>
        <v>240</v>
      </c>
      <c r="O584" s="168">
        <f t="shared" ca="1" si="124"/>
        <v>0.1877581674802854</v>
      </c>
      <c r="P584" s="168"/>
    </row>
    <row r="585" spans="1:16" ht="21.75" customHeight="1" x14ac:dyDescent="0.3">
      <c r="A585" s="373"/>
      <c r="B585" s="374"/>
      <c r="C585" s="157"/>
      <c r="D585" s="375"/>
      <c r="E585" s="159"/>
      <c r="F585" s="159"/>
      <c r="G585" s="376" t="s">
        <v>131</v>
      </c>
      <c r="H585" s="161" t="s">
        <v>12</v>
      </c>
      <c r="I585" s="187"/>
      <c r="J585" s="187"/>
      <c r="K585" s="223"/>
      <c r="L585" s="168"/>
      <c r="M585" s="168"/>
      <c r="N585" s="167">
        <f ca="1">IFERROR(__xludf.DUMMYFUNCTION("IMPORTRANGE(""https://docs.google.com/spreadsheets/d/11923uPwbBZFjjGgGUA6NLw09EwE0CqkOc4q9oUmW1yo/edit?usp=sharing"",""พิษณุโลก!M480"")"),0)</f>
        <v>0</v>
      </c>
      <c r="O585" s="168"/>
      <c r="P585" s="168"/>
    </row>
    <row r="586" spans="1:16" ht="21.75" customHeight="1" x14ac:dyDescent="0.3">
      <c r="A586" s="373"/>
      <c r="B586" s="374"/>
      <c r="C586" s="157"/>
      <c r="D586" s="375"/>
      <c r="E586" s="159"/>
      <c r="F586" s="159"/>
      <c r="G586" s="376" t="s">
        <v>132</v>
      </c>
      <c r="H586" s="161" t="s">
        <v>12</v>
      </c>
      <c r="I586" s="187"/>
      <c r="J586" s="187"/>
      <c r="K586" s="223"/>
      <c r="L586" s="168"/>
      <c r="M586" s="168"/>
      <c r="N586" s="167">
        <f ca="1">IFERROR(__xludf.DUMMYFUNCTION("IMPORTRANGE(""https://docs.google.com/spreadsheets/d/11923uPwbBZFjjGgGUA6NLw09EwE0CqkOc4q9oUmW1yo/edit?usp=sharing"",""พิษณุโลก!M481"")"),0)</f>
        <v>0</v>
      </c>
      <c r="O586" s="168"/>
      <c r="P586" s="168"/>
    </row>
    <row r="587" spans="1:16" ht="21.75" customHeight="1" x14ac:dyDescent="0.3">
      <c r="A587" s="373"/>
      <c r="B587" s="374"/>
      <c r="C587" s="157"/>
      <c r="D587" s="375"/>
      <c r="E587" s="159"/>
      <c r="F587" s="159"/>
      <c r="G587" s="376" t="s">
        <v>133</v>
      </c>
      <c r="H587" s="161" t="s">
        <v>12</v>
      </c>
      <c r="I587" s="187"/>
      <c r="J587" s="187"/>
      <c r="K587" s="223"/>
      <c r="L587" s="168"/>
      <c r="M587" s="168"/>
      <c r="N587" s="167">
        <f ca="1">IFERROR(__xludf.DUMMYFUNCTION("IMPORTRANGE(""https://docs.google.com/spreadsheets/d/11923uPwbBZFjjGgGUA6NLw09EwE0CqkOc4q9oUmW1yo/edit?usp=sharing"",""พิษณุโลก!M482"")"),0)</f>
        <v>0</v>
      </c>
      <c r="O587" s="168"/>
      <c r="P587" s="168"/>
    </row>
    <row r="588" spans="1:16" ht="21.75" customHeight="1" x14ac:dyDescent="0.3">
      <c r="A588" s="373"/>
      <c r="B588" s="374"/>
      <c r="C588" s="157"/>
      <c r="D588" s="375"/>
      <c r="E588" s="159"/>
      <c r="F588" s="159"/>
      <c r="G588" s="376" t="s">
        <v>134</v>
      </c>
      <c r="H588" s="161" t="s">
        <v>12</v>
      </c>
      <c r="I588" s="187"/>
      <c r="J588" s="187"/>
      <c r="K588" s="223"/>
      <c r="L588" s="168"/>
      <c r="M588" s="168"/>
      <c r="N588" s="167">
        <f ca="1">IFERROR(__xludf.DUMMYFUNCTION("IMPORTRANGE(""https://docs.google.com/spreadsheets/d/11923uPwbBZFjjGgGUA6NLw09EwE0CqkOc4q9oUmW1yo/edit?usp=sharing"",""พิษณุโลก!M483"")"),240)</f>
        <v>240</v>
      </c>
      <c r="O588" s="168"/>
      <c r="P588" s="168"/>
    </row>
    <row r="589" spans="1:16" ht="21.75" customHeight="1" x14ac:dyDescent="0.3">
      <c r="A589" s="476"/>
      <c r="B589" s="166"/>
      <c r="C589" s="157"/>
      <c r="D589" s="289"/>
      <c r="E589" s="194" t="s">
        <v>217</v>
      </c>
      <c r="F589" s="195"/>
      <c r="G589" s="196"/>
      <c r="H589" s="180" t="s">
        <v>36</v>
      </c>
      <c r="I589" s="339">
        <f ca="1">IFERROR(__xludf.DUMMYFUNCTION("IMPORTRANGE(""https://docs.google.com/spreadsheets/d/11923uPwbBZFjjGgGUA6NLw09EwE0CqkOc4q9oUmW1yo/edit?usp=sharing"",""พิษณุโลก!I484"")"),24)</f>
        <v>24</v>
      </c>
      <c r="J589" s="187">
        <f ca="1">IFERROR(__xludf.DUMMYFUNCTION("IMPORTRANGE(""https://docs.google.com/spreadsheets/d/11923uPwbBZFjjGgGUA6NLw09EwE0CqkOc4q9oUmW1yo/edit?usp=sharing"",""พิษณุโลก!J484"")"),5)</f>
        <v>5</v>
      </c>
      <c r="K589" s="163">
        <f t="shared" ref="K589:K596" ca="1" si="125">IF(I589&gt;0,J589*100/I589,0)</f>
        <v>20.833333333333332</v>
      </c>
      <c r="L589" s="181"/>
      <c r="M589" s="181"/>
      <c r="N589" s="168"/>
      <c r="O589" s="181"/>
      <c r="P589" s="181"/>
    </row>
    <row r="590" spans="1:16" ht="21.75" customHeight="1" x14ac:dyDescent="0.3">
      <c r="A590" s="476"/>
      <c r="B590" s="166"/>
      <c r="C590" s="157"/>
      <c r="D590" s="289"/>
      <c r="E590" s="195"/>
      <c r="F590" s="195"/>
      <c r="G590" s="196"/>
      <c r="H590" s="180" t="s">
        <v>122</v>
      </c>
      <c r="I590" s="343">
        <f ca="1">IFERROR(__xludf.DUMMYFUNCTION("IMPORTRANGE(""https://docs.google.com/spreadsheets/d/11923uPwbBZFjjGgGUA6NLw09EwE0CqkOc4q9oUmW1yo/edit?usp=sharing"",""พิษณุโลก!I485"")"),0)</f>
        <v>0</v>
      </c>
      <c r="J590" s="187">
        <f ca="1">IFERROR(__xludf.DUMMYFUNCTION("IMPORTRANGE(""https://docs.google.com/spreadsheets/d/11923uPwbBZFjjGgGUA6NLw09EwE0CqkOc4q9oUmW1yo/edit?usp=sharing"",""พิษณุโลก!J485"")"),28.33)</f>
        <v>28.33</v>
      </c>
      <c r="K590" s="477">
        <f t="shared" ca="1" si="125"/>
        <v>0</v>
      </c>
      <c r="L590" s="181"/>
      <c r="M590" s="181"/>
      <c r="N590" s="168"/>
      <c r="O590" s="181"/>
      <c r="P590" s="181"/>
    </row>
    <row r="591" spans="1:16" ht="21.75" customHeight="1" x14ac:dyDescent="0.3">
      <c r="A591" s="476"/>
      <c r="B591" s="166"/>
      <c r="C591" s="157"/>
      <c r="D591" s="289"/>
      <c r="E591" s="194" t="s">
        <v>123</v>
      </c>
      <c r="F591" s="195"/>
      <c r="G591" s="196"/>
      <c r="H591" s="180" t="s">
        <v>37</v>
      </c>
      <c r="I591" s="339">
        <f ca="1">IFERROR(__xludf.DUMMYFUNCTION("IMPORTRANGE(""https://docs.google.com/spreadsheets/d/11923uPwbBZFjjGgGUA6NLw09EwE0CqkOc4q9oUmW1yo/edit?usp=sharing"",""พิษณุโลก!I486"")"),24)</f>
        <v>24</v>
      </c>
      <c r="J591" s="187">
        <f ca="1">IFERROR(__xludf.DUMMYFUNCTION("IMPORTRANGE(""https://docs.google.com/spreadsheets/d/11923uPwbBZFjjGgGUA6NLw09EwE0CqkOc4q9oUmW1yo/edit?usp=sharing"",""พิษณุโลก!J486"")"),3)</f>
        <v>3</v>
      </c>
      <c r="K591" s="163">
        <f t="shared" ca="1" si="125"/>
        <v>12.5</v>
      </c>
      <c r="L591" s="181"/>
      <c r="M591" s="181"/>
      <c r="N591" s="181"/>
      <c r="O591" s="181"/>
      <c r="P591" s="181"/>
    </row>
    <row r="592" spans="1:16" ht="21.75" customHeight="1" x14ac:dyDescent="0.3">
      <c r="A592" s="476"/>
      <c r="B592" s="166"/>
      <c r="C592" s="157"/>
      <c r="D592" s="289"/>
      <c r="E592" s="195"/>
      <c r="F592" s="195"/>
      <c r="G592" s="196"/>
      <c r="H592" s="180" t="s">
        <v>122</v>
      </c>
      <c r="I592" s="343">
        <f ca="1">IFERROR(__xludf.DUMMYFUNCTION("IMPORTRANGE(""https://docs.google.com/spreadsheets/d/11923uPwbBZFjjGgGUA6NLw09EwE0CqkOc4q9oUmW1yo/edit?usp=sharing"",""พิษณุโลก!I487"")"),0)</f>
        <v>0</v>
      </c>
      <c r="J592" s="187">
        <f ca="1">IFERROR(__xludf.DUMMYFUNCTION("IMPORTRANGE(""https://docs.google.com/spreadsheets/d/11923uPwbBZFjjGgGUA6NLw09EwE0CqkOc4q9oUmW1yo/edit?usp=sharing"",""พิษณุโลก!J487"")"),4.76)</f>
        <v>4.76</v>
      </c>
      <c r="K592" s="340">
        <f t="shared" ca="1" si="125"/>
        <v>0</v>
      </c>
      <c r="L592" s="181"/>
      <c r="M592" s="181"/>
      <c r="N592" s="181"/>
      <c r="O592" s="181"/>
      <c r="P592" s="181"/>
    </row>
    <row r="593" spans="1:16" ht="21.75" customHeight="1" x14ac:dyDescent="0.3">
      <c r="A593" s="476"/>
      <c r="B593" s="166"/>
      <c r="C593" s="157"/>
      <c r="D593" s="289"/>
      <c r="E593" s="194" t="s">
        <v>124</v>
      </c>
      <c r="F593" s="195"/>
      <c r="G593" s="196"/>
      <c r="H593" s="180" t="s">
        <v>37</v>
      </c>
      <c r="I593" s="339">
        <f ca="1">IFERROR(__xludf.DUMMYFUNCTION("IMPORTRANGE(""https://docs.google.com/spreadsheets/d/11923uPwbBZFjjGgGUA6NLw09EwE0CqkOc4q9oUmW1yo/edit?usp=sharing"",""พิษณุโลก!I488"")"),24)</f>
        <v>24</v>
      </c>
      <c r="J593" s="187">
        <f ca="1">IFERROR(__xludf.DUMMYFUNCTION("IMPORTRANGE(""https://docs.google.com/spreadsheets/d/11923uPwbBZFjjGgGUA6NLw09EwE0CqkOc4q9oUmW1yo/edit?usp=sharing"",""พิษณุโลก!J488"")"),0)</f>
        <v>0</v>
      </c>
      <c r="K593" s="163">
        <f t="shared" ca="1" si="125"/>
        <v>0</v>
      </c>
      <c r="L593" s="181"/>
      <c r="M593" s="181"/>
      <c r="N593" s="181"/>
      <c r="O593" s="181"/>
      <c r="P593" s="181"/>
    </row>
    <row r="594" spans="1:16" ht="21.75" customHeight="1" x14ac:dyDescent="0.3">
      <c r="A594" s="476"/>
      <c r="B594" s="166"/>
      <c r="C594" s="157"/>
      <c r="D594" s="289"/>
      <c r="E594" s="195"/>
      <c r="F594" s="195"/>
      <c r="G594" s="196"/>
      <c r="H594" s="180" t="s">
        <v>122</v>
      </c>
      <c r="I594" s="343">
        <f ca="1">IFERROR(__xludf.DUMMYFUNCTION("IMPORTRANGE(""https://docs.google.com/spreadsheets/d/11923uPwbBZFjjGgGUA6NLw09EwE0CqkOc4q9oUmW1yo/edit?usp=sharing"",""พิษณุโลก!I489"")"),0)</f>
        <v>0</v>
      </c>
      <c r="J594" s="187">
        <f ca="1">IFERROR(__xludf.DUMMYFUNCTION("IMPORTRANGE(""https://docs.google.com/spreadsheets/d/11923uPwbBZFjjGgGUA6NLw09EwE0CqkOc4q9oUmW1yo/edit?usp=sharing"",""พิษณุโลก!J489"")"),0)</f>
        <v>0</v>
      </c>
      <c r="K594" s="340">
        <f t="shared" ca="1" si="125"/>
        <v>0</v>
      </c>
      <c r="L594" s="181"/>
      <c r="M594" s="181"/>
      <c r="N594" s="181"/>
      <c r="O594" s="181"/>
      <c r="P594" s="181"/>
    </row>
    <row r="595" spans="1:16" ht="21.75" customHeight="1" x14ac:dyDescent="0.3">
      <c r="A595" s="476"/>
      <c r="B595" s="166"/>
      <c r="C595" s="157"/>
      <c r="D595" s="289"/>
      <c r="E595" s="194" t="s">
        <v>125</v>
      </c>
      <c r="F595" s="195"/>
      <c r="G595" s="196"/>
      <c r="H595" s="180" t="s">
        <v>37</v>
      </c>
      <c r="I595" s="339">
        <f ca="1">IFERROR(__xludf.DUMMYFUNCTION("IMPORTRANGE(""https://docs.google.com/spreadsheets/d/11923uPwbBZFjjGgGUA6NLw09EwE0CqkOc4q9oUmW1yo/edit?usp=sharing"",""พิษณุโลก!I490"")"),24)</f>
        <v>24</v>
      </c>
      <c r="J595" s="187">
        <f ca="1">IFERROR(__xludf.DUMMYFUNCTION("IMPORTRANGE(""https://docs.google.com/spreadsheets/d/11923uPwbBZFjjGgGUA6NLw09EwE0CqkOc4q9oUmW1yo/edit?usp=sharing"",""พิษณุโลก!J490"")"),3)</f>
        <v>3</v>
      </c>
      <c r="K595" s="163">
        <f t="shared" ca="1" si="125"/>
        <v>12.5</v>
      </c>
      <c r="L595" s="181"/>
      <c r="M595" s="181"/>
      <c r="N595" s="181"/>
      <c r="O595" s="181"/>
      <c r="P595" s="181"/>
    </row>
    <row r="596" spans="1:16" ht="21.75" customHeight="1" x14ac:dyDescent="0.3">
      <c r="A596" s="478"/>
      <c r="B596" s="479"/>
      <c r="C596" s="480"/>
      <c r="D596" s="481"/>
      <c r="E596" s="460"/>
      <c r="F596" s="460"/>
      <c r="G596" s="461"/>
      <c r="H596" s="482" t="s">
        <v>122</v>
      </c>
      <c r="I596" s="483">
        <f ca="1">IFERROR(__xludf.DUMMYFUNCTION("IMPORTRANGE(""https://docs.google.com/spreadsheets/d/11923uPwbBZFjjGgGUA6NLw09EwE0CqkOc4q9oUmW1yo/edit?usp=sharing"",""พิษณุโลก!I491"")"),0)</f>
        <v>0</v>
      </c>
      <c r="J596" s="240">
        <f ca="1">IFERROR(__xludf.DUMMYFUNCTION("IMPORTRANGE(""https://docs.google.com/spreadsheets/d/11923uPwbBZFjjGgGUA6NLw09EwE0CqkOc4q9oUmW1yo/edit?usp=sharing"",""พิษณุโลก!J491"")"),4.76)</f>
        <v>4.76</v>
      </c>
      <c r="K596" s="484">
        <f t="shared" ca="1" si="125"/>
        <v>0</v>
      </c>
      <c r="L596" s="466"/>
      <c r="M596" s="466"/>
      <c r="N596" s="466"/>
      <c r="O596" s="466"/>
      <c r="P596" s="466"/>
    </row>
    <row r="597" spans="1:16" ht="21.75" customHeight="1" x14ac:dyDescent="0.3">
      <c r="A597" s="403"/>
      <c r="B597" s="404">
        <v>10</v>
      </c>
      <c r="C597" s="405" t="s">
        <v>218</v>
      </c>
      <c r="D597" s="405"/>
      <c r="E597" s="405"/>
      <c r="F597" s="405"/>
      <c r="G597" s="406"/>
      <c r="H597" s="407" t="s">
        <v>122</v>
      </c>
      <c r="I597" s="408">
        <f ca="1">IFERROR(__xludf.DUMMYFUNCTION("IMPORTRANGE(""https://docs.google.com/spreadsheets/d/11923uPwbBZFjjGgGUA6NLw09EwE0CqkOc4q9oUmW1yo/edit?usp=sharing"",""พิษณุโลก!I492"")"),50)</f>
        <v>50</v>
      </c>
      <c r="J597" s="485">
        <f ca="1">IFERROR(__xludf.DUMMYFUNCTION("IMPORTRANGE(""https://docs.google.com/spreadsheets/d/11923uPwbBZFjjGgGUA6NLw09EwE0CqkOc4q9oUmW1yo/edit?usp=sharing"",""พิษณุโลก!J492"")"),0)</f>
        <v>0</v>
      </c>
      <c r="K597" s="409">
        <f ca="1">IF(I597&gt;0,J597*100/I597,0)</f>
        <v>0</v>
      </c>
      <c r="L597" s="410">
        <f ca="1">IFERROR(__xludf.DUMMYFUNCTION("IMPORTRANGE(""https://docs.google.com/spreadsheets/d/11923uPwbBZFjjGgGUA6NLw09EwE0CqkOc4q9oUmW1yo/edit?usp=sharing"",""พิษณุโลก!L492"")"),4550)</f>
        <v>4550</v>
      </c>
      <c r="M597" s="410"/>
      <c r="N597" s="410">
        <f ca="1">IFERROR(__xludf.DUMMYFUNCTION("IMPORTRANGE(""https://docs.google.com/spreadsheets/d/11923uPwbBZFjjGgGUA6NLw09EwE0CqkOc4q9oUmW1yo/edit?usp=sharing"",""พิษณุโลก!M492"")"),400)</f>
        <v>400</v>
      </c>
      <c r="O597" s="410">
        <f t="shared" ref="O597:O601" ca="1" si="126">+IF(L597&gt;0,N597*100/L597,0)</f>
        <v>8.791208791208792</v>
      </c>
      <c r="P597" s="410"/>
    </row>
    <row r="598" spans="1:16" ht="21.75" customHeight="1" x14ac:dyDescent="0.3">
      <c r="A598" s="156"/>
      <c r="B598" s="157"/>
      <c r="C598" s="157" t="s">
        <v>16</v>
      </c>
      <c r="D598" s="158" t="s">
        <v>38</v>
      </c>
      <c r="E598" s="159"/>
      <c r="F598" s="159"/>
      <c r="G598" s="160" t="s">
        <v>39</v>
      </c>
      <c r="H598" s="161" t="s">
        <v>12</v>
      </c>
      <c r="I598" s="162" t="s">
        <v>40</v>
      </c>
      <c r="J598" s="162"/>
      <c r="K598" s="163"/>
      <c r="L598" s="164">
        <f ca="1">IFERROR(__xludf.DUMMYFUNCTION("IMPORTRANGE(""https://docs.google.com/spreadsheets/d/11923uPwbBZFjjGgGUA6NLw09EwE0CqkOc4q9oUmW1yo/edit?usp=sharing"",""พิษณุโลก!L493"")"),0)</f>
        <v>0</v>
      </c>
      <c r="M598" s="164"/>
      <c r="N598" s="168">
        <f ca="1">IFERROR(__xludf.DUMMYFUNCTION("IMPORTRANGE(""https://docs.google.com/spreadsheets/d/11923uPwbBZFjjGgGUA6NLw09EwE0CqkOc4q9oUmW1yo/edit?usp=sharing"",""พิษณุโลก!M493"")"),0)</f>
        <v>0</v>
      </c>
      <c r="O598" s="168">
        <f t="shared" ca="1" si="126"/>
        <v>0</v>
      </c>
      <c r="P598" s="168"/>
    </row>
    <row r="599" spans="1:16" ht="21.75" customHeight="1" x14ac:dyDescent="0.3">
      <c r="A599" s="156"/>
      <c r="B599" s="157"/>
      <c r="C599" s="157"/>
      <c r="D599" s="166"/>
      <c r="E599" s="159"/>
      <c r="F599" s="159" t="s">
        <v>40</v>
      </c>
      <c r="G599" s="160" t="s">
        <v>41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IFERROR(__xludf.DUMMYFUNCTION("IMPORTRANGE(""https://docs.google.com/spreadsheets/d/11923uPwbBZFjjGgGUA6NLw09EwE0CqkOc4q9oUmW1yo/edit?usp=sharing"",""พิษณุโลก!L494"")"),4550)</f>
        <v>4550</v>
      </c>
      <c r="M599" s="165"/>
      <c r="N599" s="168">
        <f ca="1">IFERROR(__xludf.DUMMYFUNCTION("IMPORTRANGE(""https://docs.google.com/spreadsheets/d/11923uPwbBZFjjGgGUA6NLw09EwE0CqkOc4q9oUmW1yo/edit?usp=sharing"",""พิษณุโลก!M494"")"),400)</f>
        <v>400</v>
      </c>
      <c r="O599" s="168">
        <f t="shared" ca="1" si="126"/>
        <v>8.791208791208792</v>
      </c>
      <c r="P599" s="168"/>
    </row>
    <row r="600" spans="1:16" ht="21.75" customHeight="1" x14ac:dyDescent="0.3">
      <c r="A600" s="156"/>
      <c r="B600" s="157"/>
      <c r="C600" s="157"/>
      <c r="D600" s="166"/>
      <c r="E600" s="159"/>
      <c r="F600" s="159"/>
      <c r="G600" s="372" t="s">
        <v>129</v>
      </c>
      <c r="H600" s="161" t="s">
        <v>12</v>
      </c>
      <c r="I600" s="162"/>
      <c r="J600" s="162"/>
      <c r="K600" s="163"/>
      <c r="L600" s="168">
        <f ca="1">IFERROR(__xludf.DUMMYFUNCTION("IMPORTRANGE(""https://docs.google.com/spreadsheets/d/11923uPwbBZFjjGgGUA6NLw09EwE0CqkOc4q9oUmW1yo/edit?usp=sharing"",""พิษณุโลก!L495"")"),0)</f>
        <v>0</v>
      </c>
      <c r="M600" s="168"/>
      <c r="N600" s="168">
        <f ca="1">IFERROR(__xludf.DUMMYFUNCTION("IMPORTRANGE(""https://docs.google.com/spreadsheets/d/11923uPwbBZFjjGgGUA6NLw09EwE0CqkOc4q9oUmW1yo/edit?usp=sharing"",""พิษณุโลก!M495"")"),0)</f>
        <v>0</v>
      </c>
      <c r="O600" s="168">
        <f t="shared" ca="1" si="126"/>
        <v>0</v>
      </c>
      <c r="P600" s="168"/>
    </row>
    <row r="601" spans="1:16" ht="21.75" customHeight="1" x14ac:dyDescent="0.3">
      <c r="A601" s="156"/>
      <c r="B601" s="157"/>
      <c r="C601" s="157"/>
      <c r="D601" s="166"/>
      <c r="E601" s="159"/>
      <c r="F601" s="159"/>
      <c r="G601" s="372" t="s">
        <v>130</v>
      </c>
      <c r="H601" s="161" t="s">
        <v>12</v>
      </c>
      <c r="I601" s="162"/>
      <c r="J601" s="162"/>
      <c r="K601" s="163"/>
      <c r="L601" s="168">
        <f ca="1">IFERROR(__xludf.DUMMYFUNCTION("IMPORTRANGE(""https://docs.google.com/spreadsheets/d/11923uPwbBZFjjGgGUA6NLw09EwE0CqkOc4q9oUmW1yo/edit?usp=sharing"",""พิษณุโลก!L496"")"),4550)</f>
        <v>4550</v>
      </c>
      <c r="M601" s="168"/>
      <c r="N601" s="168">
        <f ca="1">IFERROR(__xludf.DUMMYFUNCTION("IMPORTRANGE(""https://docs.google.com/spreadsheets/d/11923uPwbBZFjjGgGUA6NLw09EwE0CqkOc4q9oUmW1yo/edit?usp=sharing"",""พิษณุโลก!M496"")"),400)</f>
        <v>400</v>
      </c>
      <c r="O601" s="168">
        <f t="shared" ca="1" si="126"/>
        <v>8.791208791208792</v>
      </c>
      <c r="P601" s="168"/>
    </row>
    <row r="602" spans="1:16" ht="21.75" customHeight="1" x14ac:dyDescent="0.3">
      <c r="A602" s="373"/>
      <c r="B602" s="374"/>
      <c r="C602" s="157"/>
      <c r="D602" s="375"/>
      <c r="E602" s="159"/>
      <c r="F602" s="159"/>
      <c r="G602" s="376" t="s">
        <v>131</v>
      </c>
      <c r="H602" s="161" t="s">
        <v>12</v>
      </c>
      <c r="I602" s="187"/>
      <c r="J602" s="187"/>
      <c r="K602" s="223"/>
      <c r="L602" s="168"/>
      <c r="M602" s="168"/>
      <c r="N602" s="167">
        <f ca="1">IFERROR(__xludf.DUMMYFUNCTION("IMPORTRANGE(""https://docs.google.com/spreadsheets/d/11923uPwbBZFjjGgGUA6NLw09EwE0CqkOc4q9oUmW1yo/edit?usp=sharing"",""พิษณุโลก!M497"")"),0)</f>
        <v>0</v>
      </c>
      <c r="O602" s="168"/>
      <c r="P602" s="168"/>
    </row>
    <row r="603" spans="1:16" ht="21.75" customHeight="1" x14ac:dyDescent="0.3">
      <c r="A603" s="373"/>
      <c r="B603" s="374"/>
      <c r="C603" s="157"/>
      <c r="D603" s="375"/>
      <c r="E603" s="159"/>
      <c r="F603" s="159"/>
      <c r="G603" s="376" t="s">
        <v>132</v>
      </c>
      <c r="H603" s="161" t="s">
        <v>12</v>
      </c>
      <c r="I603" s="187"/>
      <c r="J603" s="187"/>
      <c r="K603" s="223"/>
      <c r="L603" s="168"/>
      <c r="M603" s="168"/>
      <c r="N603" s="167">
        <f ca="1">IFERROR(__xludf.DUMMYFUNCTION("IMPORTRANGE(""https://docs.google.com/spreadsheets/d/11923uPwbBZFjjGgGUA6NLw09EwE0CqkOc4q9oUmW1yo/edit?usp=sharing"",""พิษณุโลก!M498"")"),0)</f>
        <v>0</v>
      </c>
      <c r="O603" s="168"/>
      <c r="P603" s="168"/>
    </row>
    <row r="604" spans="1:16" ht="21.75" customHeight="1" x14ac:dyDescent="0.3">
      <c r="A604" s="373"/>
      <c r="B604" s="374"/>
      <c r="C604" s="157"/>
      <c r="D604" s="375"/>
      <c r="E604" s="159"/>
      <c r="F604" s="159"/>
      <c r="G604" s="376" t="s">
        <v>133</v>
      </c>
      <c r="H604" s="161" t="s">
        <v>12</v>
      </c>
      <c r="I604" s="187"/>
      <c r="J604" s="187"/>
      <c r="K604" s="223"/>
      <c r="L604" s="168"/>
      <c r="M604" s="168"/>
      <c r="N604" s="377">
        <f ca="1">IFERROR(__xludf.DUMMYFUNCTION("IMPORTRANGE(""https://docs.google.com/spreadsheets/d/11923uPwbBZFjjGgGUA6NLw09EwE0CqkOc4q9oUmW1yo/edit?usp=sharing"",""พิษณุโลก!M499"")"),0)</f>
        <v>0</v>
      </c>
      <c r="O604" s="168"/>
      <c r="P604" s="168"/>
    </row>
    <row r="605" spans="1:16" ht="21.75" customHeight="1" x14ac:dyDescent="0.3">
      <c r="A605" s="373"/>
      <c r="B605" s="374"/>
      <c r="C605" s="157"/>
      <c r="D605" s="375"/>
      <c r="E605" s="159"/>
      <c r="F605" s="159"/>
      <c r="G605" s="376" t="s">
        <v>134</v>
      </c>
      <c r="H605" s="161" t="s">
        <v>12</v>
      </c>
      <c r="I605" s="187"/>
      <c r="J605" s="187"/>
      <c r="K605" s="223"/>
      <c r="L605" s="168"/>
      <c r="M605" s="168"/>
      <c r="N605" s="377">
        <f ca="1">IFERROR(__xludf.DUMMYFUNCTION("IMPORTRANGE(""https://docs.google.com/spreadsheets/d/11923uPwbBZFjjGgGUA6NLw09EwE0CqkOc4q9oUmW1yo/edit?usp=sharing"",""พิษณุโลก!M500"")"),400)</f>
        <v>400</v>
      </c>
      <c r="O605" s="168"/>
      <c r="P605" s="168"/>
    </row>
    <row r="606" spans="1:16" ht="21.75" customHeight="1" x14ac:dyDescent="0.3">
      <c r="A606" s="175"/>
      <c r="B606" s="176"/>
      <c r="C606" s="157" t="s">
        <v>16</v>
      </c>
      <c r="D606" s="177" t="s">
        <v>44</v>
      </c>
      <c r="E606" s="178"/>
      <c r="F606" s="178"/>
      <c r="G606" s="179"/>
      <c r="H606" s="180"/>
      <c r="I606" s="162"/>
      <c r="J606" s="162"/>
      <c r="K606" s="163"/>
      <c r="L606" s="181"/>
      <c r="M606" s="181"/>
      <c r="N606" s="181"/>
      <c r="O606" s="181"/>
      <c r="P606" s="181"/>
    </row>
    <row r="607" spans="1:16" ht="21.75" customHeight="1" x14ac:dyDescent="0.3">
      <c r="A607" s="175"/>
      <c r="B607" s="176"/>
      <c r="C607" s="176"/>
      <c r="D607" s="182">
        <v>1</v>
      </c>
      <c r="E607" s="183" t="s">
        <v>45</v>
      </c>
      <c r="F607" s="184"/>
      <c r="G607" s="185"/>
      <c r="H607" s="186"/>
      <c r="I607" s="187"/>
      <c r="J607" s="197">
        <f ca="1">IFERROR(__xludf.DUMMYFUNCTION("IMPORTRANGE(""https://docs.google.com/spreadsheets/d/11923uPwbBZFjjGgGUA6NLw09EwE0CqkOc4q9oUmW1yo/edit?usp=sharing"",""พิษณุโลก!J502"")"),0)</f>
        <v>0</v>
      </c>
      <c r="K607" s="163"/>
      <c r="L607" s="181"/>
      <c r="M607" s="181"/>
      <c r="N607" s="181"/>
      <c r="O607" s="181"/>
      <c r="P607" s="181"/>
    </row>
    <row r="608" spans="1:16" ht="21.75" customHeight="1" x14ac:dyDescent="0.3">
      <c r="A608" s="175"/>
      <c r="B608" s="176"/>
      <c r="C608" s="176"/>
      <c r="D608" s="189">
        <v>2</v>
      </c>
      <c r="E608" s="190" t="s">
        <v>46</v>
      </c>
      <c r="F608" s="191"/>
      <c r="G608" s="192"/>
      <c r="H608" s="186"/>
      <c r="I608" s="187"/>
      <c r="J608" s="197">
        <f ca="1">IFERROR(__xludf.DUMMYFUNCTION("IMPORTRANGE(""https://docs.google.com/spreadsheets/d/11923uPwbBZFjjGgGUA6NLw09EwE0CqkOc4q9oUmW1yo/edit?usp=sharing"",""พิษณุโลก!J503"")"),1)</f>
        <v>1</v>
      </c>
      <c r="K608" s="163"/>
      <c r="L608" s="181" t="s">
        <v>40</v>
      </c>
      <c r="M608" s="181"/>
      <c r="N608" s="181" t="s">
        <v>40</v>
      </c>
      <c r="O608" s="181"/>
      <c r="P608" s="181"/>
    </row>
    <row r="609" spans="1:16" ht="21.75" hidden="1" customHeight="1" x14ac:dyDescent="0.3">
      <c r="A609" s="373"/>
      <c r="B609" s="374"/>
      <c r="C609" s="374"/>
      <c r="D609" s="486"/>
      <c r="E609" s="487" t="s">
        <v>47</v>
      </c>
      <c r="F609" s="488"/>
      <c r="G609" s="379"/>
      <c r="H609" s="186"/>
      <c r="I609" s="187"/>
      <c r="J609" s="187">
        <f ca="1">IFERROR(__xludf.DUMMYFUNCTION("IMPORTRANGE(""https://docs.google.com/spreadsheets/d/11923uPwbBZFjjGgGUA6NLw09EwE0CqkOc4q9oUmW1yo/edit?usp=sharing"",""พิษณุโลก!J166"")"),0)</f>
        <v>0</v>
      </c>
      <c r="K609" s="223"/>
      <c r="L609" s="168"/>
      <c r="M609" s="168"/>
      <c r="N609" s="168"/>
      <c r="O609" s="168"/>
      <c r="P609" s="168"/>
    </row>
    <row r="610" spans="1:16" ht="21.75" hidden="1" customHeight="1" x14ac:dyDescent="0.3">
      <c r="A610" s="373"/>
      <c r="B610" s="374"/>
      <c r="C610" s="374"/>
      <c r="D610" s="486"/>
      <c r="E610" s="487" t="s">
        <v>48</v>
      </c>
      <c r="F610" s="488"/>
      <c r="G610" s="379"/>
      <c r="H610" s="186"/>
      <c r="I610" s="187"/>
      <c r="J610" s="187">
        <f ca="1">IFERROR(__xludf.DUMMYFUNCTION("IMPORTRANGE(""https://docs.google.com/spreadsheets/d/11923uPwbBZFjjGgGUA6NLw09EwE0CqkOc4q9oUmW1yo/edit?usp=sharing"",""พิษณุโลก!J166"")"),0)</f>
        <v>0</v>
      </c>
      <c r="K610" s="223"/>
      <c r="L610" s="168"/>
      <c r="M610" s="168"/>
      <c r="N610" s="168"/>
      <c r="O610" s="168"/>
      <c r="P610" s="168"/>
    </row>
    <row r="611" spans="1:16" ht="21.75" customHeight="1" x14ac:dyDescent="0.3">
      <c r="A611" s="175"/>
      <c r="B611" s="176"/>
      <c r="C611" s="176"/>
      <c r="D611" s="193"/>
      <c r="E611" s="195"/>
      <c r="F611" s="195" t="s">
        <v>219</v>
      </c>
      <c r="G611" s="196"/>
      <c r="H611" s="180" t="s">
        <v>122</v>
      </c>
      <c r="I611" s="187">
        <f ca="1">IFERROR(__xludf.DUMMYFUNCTION("IMPORTRANGE(""https://docs.google.com/spreadsheets/d/11923uPwbBZFjjGgGUA6NLw09EwE0CqkOc4q9oUmW1yo/edit?usp=sharing"",""พิษณุโลก!I506"")"),50)</f>
        <v>50</v>
      </c>
      <c r="J611" s="162">
        <f ca="1">IFERROR(__xludf.DUMMYFUNCTION("IMPORTRANGE(""https://docs.google.com/spreadsheets/d/11923uPwbBZFjjGgGUA6NLw09EwE0CqkOc4q9oUmW1yo/edit?usp=sharing"",""พิษณุโลก!J506"")"),0)</f>
        <v>0</v>
      </c>
      <c r="K611" s="163">
        <f t="shared" ref="K611:K619" ca="1" si="127">IF(I$611&gt;0,J611*100/I$611,0)</f>
        <v>0</v>
      </c>
      <c r="L611" s="181"/>
      <c r="M611" s="181"/>
      <c r="N611" s="181"/>
      <c r="O611" s="181"/>
      <c r="P611" s="181"/>
    </row>
    <row r="612" spans="1:16" ht="21.75" customHeight="1" x14ac:dyDescent="0.3">
      <c r="A612" s="175"/>
      <c r="B612" s="176"/>
      <c r="C612" s="176"/>
      <c r="D612" s="193"/>
      <c r="E612" s="198"/>
      <c r="F612" s="195"/>
      <c r="G612" s="225" t="s">
        <v>220</v>
      </c>
      <c r="H612" s="180" t="s">
        <v>122</v>
      </c>
      <c r="I612" s="203">
        <f ca="1">IFERROR(__xludf.DUMMYFUNCTION("IMPORTRANGE(""https://docs.google.com/spreadsheets/d/11923uPwbBZFjjGgGUA6NLw09EwE0CqkOc4q9oUmW1yo/edit?usp=sharing"",""พิษณุโลก!I507"")"),0)</f>
        <v>0</v>
      </c>
      <c r="J612" s="197">
        <f ca="1">IFERROR(__xludf.DUMMYFUNCTION("IMPORTRANGE(""https://docs.google.com/spreadsheets/d/11923uPwbBZFjjGgGUA6NLw09EwE0CqkOc4q9oUmW1yo/edit?usp=sharing"",""พิษณุโลก!J507"")"),0)</f>
        <v>0</v>
      </c>
      <c r="K612" s="163">
        <f t="shared" ca="1" si="127"/>
        <v>0</v>
      </c>
      <c r="L612" s="181"/>
      <c r="M612" s="181"/>
      <c r="N612" s="181"/>
      <c r="O612" s="181"/>
      <c r="P612" s="181"/>
    </row>
    <row r="613" spans="1:16" ht="21.75" customHeight="1" x14ac:dyDescent="0.3">
      <c r="A613" s="175"/>
      <c r="B613" s="176"/>
      <c r="C613" s="176"/>
      <c r="D613" s="193"/>
      <c r="E613" s="198"/>
      <c r="F613" s="195"/>
      <c r="G613" s="225" t="s">
        <v>221</v>
      </c>
      <c r="H613" s="180" t="s">
        <v>122</v>
      </c>
      <c r="I613" s="203">
        <f ca="1">IFERROR(__xludf.DUMMYFUNCTION("IMPORTRANGE(""https://docs.google.com/spreadsheets/d/11923uPwbBZFjjGgGUA6NLw09EwE0CqkOc4q9oUmW1yo/edit?usp=sharing"",""พิษณุโลก!I508"")"),0)</f>
        <v>0</v>
      </c>
      <c r="J613" s="197">
        <f ca="1">IFERROR(__xludf.DUMMYFUNCTION("IMPORTRANGE(""https://docs.google.com/spreadsheets/d/11923uPwbBZFjjGgGUA6NLw09EwE0CqkOc4q9oUmW1yo/edit?usp=sharing"",""พิษณุโลก!J508"")"),0)</f>
        <v>0</v>
      </c>
      <c r="K613" s="163">
        <f t="shared" ca="1" si="127"/>
        <v>0</v>
      </c>
      <c r="L613" s="181"/>
      <c r="M613" s="181"/>
      <c r="N613" s="181"/>
      <c r="O613" s="181"/>
      <c r="P613" s="181"/>
    </row>
    <row r="614" spans="1:16" ht="21.75" customHeight="1" x14ac:dyDescent="0.3">
      <c r="A614" s="175"/>
      <c r="B614" s="176"/>
      <c r="C614" s="176"/>
      <c r="D614" s="193"/>
      <c r="E614" s="198"/>
      <c r="F614" s="195"/>
      <c r="G614" s="225" t="s">
        <v>222</v>
      </c>
      <c r="H614" s="180" t="s">
        <v>122</v>
      </c>
      <c r="I614" s="203">
        <f ca="1">IFERROR(__xludf.DUMMYFUNCTION("IMPORTRANGE(""https://docs.google.com/spreadsheets/d/11923uPwbBZFjjGgGUA6NLw09EwE0CqkOc4q9oUmW1yo/edit?usp=sharing"",""พิษณุโลก!I509"")"),0)</f>
        <v>0</v>
      </c>
      <c r="J614" s="197">
        <f ca="1">IFERROR(__xludf.DUMMYFUNCTION("IMPORTRANGE(""https://docs.google.com/spreadsheets/d/11923uPwbBZFjjGgGUA6NLw09EwE0CqkOc4q9oUmW1yo/edit?usp=sharing"",""พิษณุโลก!J509"")"),0)</f>
        <v>0</v>
      </c>
      <c r="K614" s="163">
        <f t="shared" ca="1" si="127"/>
        <v>0</v>
      </c>
      <c r="L614" s="181"/>
      <c r="M614" s="181"/>
      <c r="N614" s="181"/>
      <c r="O614" s="181"/>
      <c r="P614" s="181"/>
    </row>
    <row r="615" spans="1:16" ht="21.75" customHeight="1" x14ac:dyDescent="0.3">
      <c r="A615" s="175"/>
      <c r="B615" s="176"/>
      <c r="C615" s="176"/>
      <c r="D615" s="193"/>
      <c r="E615" s="198"/>
      <c r="F615" s="195"/>
      <c r="G615" s="225" t="s">
        <v>223</v>
      </c>
      <c r="H615" s="180" t="s">
        <v>122</v>
      </c>
      <c r="I615" s="203">
        <f ca="1">IFERROR(__xludf.DUMMYFUNCTION("IMPORTRANGE(""https://docs.google.com/spreadsheets/d/11923uPwbBZFjjGgGUA6NLw09EwE0CqkOc4q9oUmW1yo/edit?usp=sharing"",""พิษณุโลก!I510"")"),0)</f>
        <v>0</v>
      </c>
      <c r="J615" s="197">
        <f ca="1">IFERROR(__xludf.DUMMYFUNCTION("IMPORTRANGE(""https://docs.google.com/spreadsheets/d/11923uPwbBZFjjGgGUA6NLw09EwE0CqkOc4q9oUmW1yo/edit?usp=sharing"",""พิษณุโลก!J510"")"),0)</f>
        <v>0</v>
      </c>
      <c r="K615" s="163">
        <f t="shared" ca="1" si="127"/>
        <v>0</v>
      </c>
      <c r="L615" s="181"/>
      <c r="M615" s="181"/>
      <c r="N615" s="181"/>
      <c r="O615" s="181"/>
      <c r="P615" s="181"/>
    </row>
    <row r="616" spans="1:16" ht="21.75" customHeight="1" x14ac:dyDescent="0.3">
      <c r="A616" s="175"/>
      <c r="B616" s="176"/>
      <c r="C616" s="176"/>
      <c r="D616" s="193"/>
      <c r="E616" s="198"/>
      <c r="F616" s="195"/>
      <c r="G616" s="194" t="s">
        <v>224</v>
      </c>
      <c r="H616" s="180" t="s">
        <v>122</v>
      </c>
      <c r="I616" s="203">
        <f ca="1">IFERROR(__xludf.DUMMYFUNCTION("IMPORTRANGE(""https://docs.google.com/spreadsheets/d/11923uPwbBZFjjGgGUA6NLw09EwE0CqkOc4q9oUmW1yo/edit?usp=sharing"",""พิษณุโลก!I511"")"),0)</f>
        <v>0</v>
      </c>
      <c r="J616" s="197">
        <f ca="1">IFERROR(__xludf.DUMMYFUNCTION("IMPORTRANGE(""https://docs.google.com/spreadsheets/d/11923uPwbBZFjjGgGUA6NLw09EwE0CqkOc4q9oUmW1yo/edit?usp=sharing"",""พิษณุโลก!J511"")"),0)</f>
        <v>0</v>
      </c>
      <c r="K616" s="163">
        <f t="shared" ca="1" si="127"/>
        <v>0</v>
      </c>
      <c r="L616" s="181"/>
      <c r="M616" s="181"/>
      <c r="N616" s="181"/>
      <c r="O616" s="181"/>
      <c r="P616" s="181"/>
    </row>
    <row r="617" spans="1:16" ht="21.75" customHeight="1" x14ac:dyDescent="0.3">
      <c r="A617" s="175"/>
      <c r="B617" s="176"/>
      <c r="C617" s="176"/>
      <c r="D617" s="193"/>
      <c r="E617" s="198"/>
      <c r="F617" s="195"/>
      <c r="G617" s="194" t="s">
        <v>225</v>
      </c>
      <c r="H617" s="180" t="s">
        <v>122</v>
      </c>
      <c r="I617" s="187">
        <f ca="1">IFERROR(__xludf.DUMMYFUNCTION("IMPORTRANGE(""https://docs.google.com/spreadsheets/d/11923uPwbBZFjjGgGUA6NLw09EwE0CqkOc4q9oUmW1yo/edit?usp=sharing"",""พิษณุโลก!I512"")"),0)</f>
        <v>0</v>
      </c>
      <c r="J617" s="187">
        <f ca="1">IFERROR(__xludf.DUMMYFUNCTION("IMPORTRANGE(""https://docs.google.com/spreadsheets/d/11923uPwbBZFjjGgGUA6NLw09EwE0CqkOc4q9oUmW1yo/edit?usp=sharing"",""พิษณุโลก!J512"")"),0)</f>
        <v>0</v>
      </c>
      <c r="K617" s="163">
        <f t="shared" ca="1" si="127"/>
        <v>0</v>
      </c>
      <c r="L617" s="181"/>
      <c r="M617" s="181"/>
      <c r="N617" s="181"/>
      <c r="O617" s="181"/>
      <c r="P617" s="181"/>
    </row>
    <row r="618" spans="1:16" ht="21.75" customHeight="1" x14ac:dyDescent="0.3">
      <c r="A618" s="175"/>
      <c r="B618" s="176"/>
      <c r="C618" s="176"/>
      <c r="D618" s="193"/>
      <c r="E618" s="198"/>
      <c r="F618" s="195"/>
      <c r="G618" s="489" t="s">
        <v>226</v>
      </c>
      <c r="H618" s="180" t="s">
        <v>122</v>
      </c>
      <c r="I618" s="203">
        <f ca="1">IFERROR(__xludf.DUMMYFUNCTION("IMPORTRANGE(""https://docs.google.com/spreadsheets/d/11923uPwbBZFjjGgGUA6NLw09EwE0CqkOc4q9oUmW1yo/edit?usp=sharing"",""พิษณุโลก!I513"")"),0)</f>
        <v>0</v>
      </c>
      <c r="J618" s="188">
        <f ca="1">IFERROR(__xludf.DUMMYFUNCTION("IMPORTRANGE(""https://docs.google.com/spreadsheets/d/11923uPwbBZFjjGgGUA6NLw09EwE0CqkOc4q9oUmW1yo/edit?usp=sharing"",""พิษณุโลก!J513"")"),0)</f>
        <v>0</v>
      </c>
      <c r="K618" s="163">
        <f t="shared" ca="1" si="127"/>
        <v>0</v>
      </c>
      <c r="L618" s="181"/>
      <c r="M618" s="181"/>
      <c r="N618" s="181"/>
      <c r="O618" s="181"/>
      <c r="P618" s="181"/>
    </row>
    <row r="619" spans="1:16" ht="21.75" customHeight="1" x14ac:dyDescent="0.3">
      <c r="A619" s="175"/>
      <c r="B619" s="176"/>
      <c r="C619" s="176"/>
      <c r="D619" s="193"/>
      <c r="E619" s="198"/>
      <c r="F619" s="195"/>
      <c r="G619" s="489" t="s">
        <v>227</v>
      </c>
      <c r="H619" s="180" t="s">
        <v>122</v>
      </c>
      <c r="I619" s="203">
        <f ca="1">IFERROR(__xludf.DUMMYFUNCTION("IMPORTRANGE(""https://docs.google.com/spreadsheets/d/11923uPwbBZFjjGgGUA6NLw09EwE0CqkOc4q9oUmW1yo/edit?usp=sharing"",""พิษณุโลก!I514"")"),0)</f>
        <v>0</v>
      </c>
      <c r="J619" s="188">
        <f ca="1">IFERROR(__xludf.DUMMYFUNCTION("IMPORTRANGE(""https://docs.google.com/spreadsheets/d/11923uPwbBZFjjGgGUA6NLw09EwE0CqkOc4q9oUmW1yo/edit?usp=sharing"",""พิษณุโลก!J514"")"),0)</f>
        <v>0</v>
      </c>
      <c r="K619" s="163">
        <f t="shared" ca="1" si="127"/>
        <v>0</v>
      </c>
      <c r="L619" s="181"/>
      <c r="M619" s="181"/>
      <c r="N619" s="181"/>
      <c r="O619" s="181"/>
      <c r="P619" s="181"/>
    </row>
    <row r="620" spans="1:16" ht="21.75" customHeight="1" x14ac:dyDescent="0.3">
      <c r="A620" s="175"/>
      <c r="B620" s="176"/>
      <c r="C620" s="176"/>
      <c r="D620" s="193"/>
      <c r="E620" s="195"/>
      <c r="F620" s="194" t="s">
        <v>228</v>
      </c>
      <c r="G620" s="196"/>
      <c r="H620" s="180" t="s">
        <v>122</v>
      </c>
      <c r="I620" s="187">
        <f ca="1">IFERROR(__xludf.DUMMYFUNCTION("IMPORTRANGE(""https://docs.google.com/spreadsheets/d/11923uPwbBZFjjGgGUA6NLw09EwE0CqkOc4q9oUmW1yo/edit?usp=sharing"",""พิษณุโลก!I515"")"),32)</f>
        <v>32</v>
      </c>
      <c r="J620" s="202">
        <f ca="1">IFERROR(__xludf.DUMMYFUNCTION("IMPORTRANGE(""https://docs.google.com/spreadsheets/d/11923uPwbBZFjjGgGUA6NLw09EwE0CqkOc4q9oUmW1yo/edit?usp=sharing"",""พิษณุโลก!J515"")"),0)</f>
        <v>0</v>
      </c>
      <c r="K620" s="163">
        <f t="shared" ref="K620:K626" ca="1" si="128">IF(I$620&gt;0,J620*100/I$620,0)</f>
        <v>0</v>
      </c>
      <c r="L620" s="181"/>
      <c r="M620" s="181"/>
      <c r="N620" s="181"/>
      <c r="O620" s="181"/>
      <c r="P620" s="181"/>
    </row>
    <row r="621" spans="1:16" ht="21.75" customHeight="1" x14ac:dyDescent="0.3">
      <c r="A621" s="175"/>
      <c r="B621" s="176"/>
      <c r="C621" s="176"/>
      <c r="D621" s="193"/>
      <c r="E621" s="198"/>
      <c r="F621" s="195"/>
      <c r="G621" s="225" t="s">
        <v>225</v>
      </c>
      <c r="H621" s="180" t="s">
        <v>122</v>
      </c>
      <c r="I621" s="202">
        <f ca="1">IFERROR(__xludf.DUMMYFUNCTION("IMPORTRANGE(""https://docs.google.com/spreadsheets/d/11923uPwbBZFjjGgGUA6NLw09EwE0CqkOc4q9oUmW1yo/edit?usp=sharing"",""พิษณุโลก!I516"")"),0)</f>
        <v>0</v>
      </c>
      <c r="J621" s="202">
        <f ca="1">IFERROR(__xludf.DUMMYFUNCTION("IMPORTRANGE(""https://docs.google.com/spreadsheets/d/11923uPwbBZFjjGgGUA6NLw09EwE0CqkOc4q9oUmW1yo/edit?usp=sharing"",""พิษณุโลก!J516"")"),0)</f>
        <v>0</v>
      </c>
      <c r="K621" s="163">
        <f t="shared" ca="1" si="128"/>
        <v>0</v>
      </c>
      <c r="L621" s="181"/>
      <c r="M621" s="181"/>
      <c r="N621" s="181"/>
      <c r="O621" s="181"/>
      <c r="P621" s="181"/>
    </row>
    <row r="622" spans="1:16" ht="21.75" customHeight="1" x14ac:dyDescent="0.3">
      <c r="A622" s="175"/>
      <c r="B622" s="176"/>
      <c r="C622" s="176"/>
      <c r="D622" s="193"/>
      <c r="E622" s="198"/>
      <c r="F622" s="195"/>
      <c r="G622" s="489" t="s">
        <v>226</v>
      </c>
      <c r="H622" s="180" t="s">
        <v>122</v>
      </c>
      <c r="I622" s="203">
        <f ca="1">IFERROR(__xludf.DUMMYFUNCTION("IMPORTRANGE(""https://docs.google.com/spreadsheets/d/11923uPwbBZFjjGgGUA6NLw09EwE0CqkOc4q9oUmW1yo/edit?usp=sharing"",""พิษณุโลก!I517"")"),0)</f>
        <v>0</v>
      </c>
      <c r="J622" s="188">
        <f ca="1">IFERROR(__xludf.DUMMYFUNCTION("IMPORTRANGE(""https://docs.google.com/spreadsheets/d/11923uPwbBZFjjGgGUA6NLw09EwE0CqkOc4q9oUmW1yo/edit?usp=sharing"",""พิษณุโลก!J517"")"),0)</f>
        <v>0</v>
      </c>
      <c r="K622" s="163">
        <f t="shared" ca="1" si="128"/>
        <v>0</v>
      </c>
      <c r="L622" s="181"/>
      <c r="M622" s="181"/>
      <c r="N622" s="181"/>
      <c r="O622" s="181"/>
      <c r="P622" s="181"/>
    </row>
    <row r="623" spans="1:16" ht="21.75" customHeight="1" x14ac:dyDescent="0.3">
      <c r="A623" s="175"/>
      <c r="B623" s="176"/>
      <c r="C623" s="176"/>
      <c r="D623" s="193"/>
      <c r="E623" s="198"/>
      <c r="F623" s="195"/>
      <c r="G623" s="489" t="s">
        <v>227</v>
      </c>
      <c r="H623" s="180" t="s">
        <v>122</v>
      </c>
      <c r="I623" s="203">
        <f ca="1">IFERROR(__xludf.DUMMYFUNCTION("IMPORTRANGE(""https://docs.google.com/spreadsheets/d/11923uPwbBZFjjGgGUA6NLw09EwE0CqkOc4q9oUmW1yo/edit?usp=sharing"",""พิษณุโลก!I518"")"),0)</f>
        <v>0</v>
      </c>
      <c r="J623" s="188">
        <f ca="1">IFERROR(__xludf.DUMMYFUNCTION("IMPORTRANGE(""https://docs.google.com/spreadsheets/d/11923uPwbBZFjjGgGUA6NLw09EwE0CqkOc4q9oUmW1yo/edit?usp=sharing"",""พิษณุโลก!J518"")"),0)</f>
        <v>0</v>
      </c>
      <c r="K623" s="163">
        <f t="shared" ca="1" si="128"/>
        <v>0</v>
      </c>
      <c r="L623" s="181"/>
      <c r="M623" s="181"/>
      <c r="N623" s="181"/>
      <c r="O623" s="181"/>
      <c r="P623" s="181"/>
    </row>
    <row r="624" spans="1:16" ht="21.75" customHeight="1" x14ac:dyDescent="0.3">
      <c r="A624" s="175"/>
      <c r="B624" s="176"/>
      <c r="C624" s="176"/>
      <c r="D624" s="193"/>
      <c r="E624" s="198"/>
      <c r="F624" s="195"/>
      <c r="G624" s="225" t="s">
        <v>229</v>
      </c>
      <c r="H624" s="180" t="s">
        <v>122</v>
      </c>
      <c r="I624" s="187">
        <f ca="1">IFERROR(__xludf.DUMMYFUNCTION("IMPORTRANGE(""https://docs.google.com/spreadsheets/d/11923uPwbBZFjjGgGUA6NLw09EwE0CqkOc4q9oUmW1yo/edit?usp=sharing"",""พิษณุโลก!I519"")"),0)</f>
        <v>0</v>
      </c>
      <c r="J624" s="187">
        <f ca="1">IFERROR(__xludf.DUMMYFUNCTION("IMPORTRANGE(""https://docs.google.com/spreadsheets/d/11923uPwbBZFjjGgGUA6NLw09EwE0CqkOc4q9oUmW1yo/edit?usp=sharing"",""พิษณุโลก!J519"")"),0)</f>
        <v>0</v>
      </c>
      <c r="K624" s="163">
        <f t="shared" ca="1" si="128"/>
        <v>0</v>
      </c>
      <c r="L624" s="181"/>
      <c r="M624" s="181"/>
      <c r="N624" s="181"/>
      <c r="O624" s="181"/>
      <c r="P624" s="181"/>
    </row>
    <row r="625" spans="1:16" ht="21.75" customHeight="1" x14ac:dyDescent="0.3">
      <c r="A625" s="175"/>
      <c r="B625" s="176"/>
      <c r="C625" s="176"/>
      <c r="D625" s="193"/>
      <c r="E625" s="198"/>
      <c r="F625" s="195"/>
      <c r="G625" s="489" t="s">
        <v>230</v>
      </c>
      <c r="H625" s="180" t="s">
        <v>122</v>
      </c>
      <c r="I625" s="203">
        <f ca="1">IFERROR(__xludf.DUMMYFUNCTION("IMPORTRANGE(""https://docs.google.com/spreadsheets/d/11923uPwbBZFjjGgGUA6NLw09EwE0CqkOc4q9oUmW1yo/edit?usp=sharing"",""พิษณุโลก!I520"")"),0)</f>
        <v>0</v>
      </c>
      <c r="J625" s="188">
        <f ca="1">IFERROR(__xludf.DUMMYFUNCTION("IMPORTRANGE(""https://docs.google.com/spreadsheets/d/11923uPwbBZFjjGgGUA6NLw09EwE0CqkOc4q9oUmW1yo/edit?usp=sharing"",""พิษณุโลก!J520"")"),0)</f>
        <v>0</v>
      </c>
      <c r="K625" s="163">
        <f t="shared" ca="1" si="128"/>
        <v>0</v>
      </c>
      <c r="L625" s="181"/>
      <c r="M625" s="181"/>
      <c r="N625" s="181"/>
      <c r="O625" s="181"/>
      <c r="P625" s="181"/>
    </row>
    <row r="626" spans="1:16" ht="21.75" customHeight="1" x14ac:dyDescent="0.3">
      <c r="A626" s="175"/>
      <c r="B626" s="176"/>
      <c r="C626" s="176"/>
      <c r="D626" s="193"/>
      <c r="E626" s="198"/>
      <c r="F626" s="195"/>
      <c r="G626" s="489" t="s">
        <v>231</v>
      </c>
      <c r="H626" s="180" t="s">
        <v>122</v>
      </c>
      <c r="I626" s="203">
        <f ca="1">IFERROR(__xludf.DUMMYFUNCTION("IMPORTRANGE(""https://docs.google.com/spreadsheets/d/11923uPwbBZFjjGgGUA6NLw09EwE0CqkOc4q9oUmW1yo/edit?usp=sharing"",""พิษณุโลก!I521"")"),0)</f>
        <v>0</v>
      </c>
      <c r="J626" s="188">
        <f ca="1">IFERROR(__xludf.DUMMYFUNCTION("IMPORTRANGE(""https://docs.google.com/spreadsheets/d/11923uPwbBZFjjGgGUA6NLw09EwE0CqkOc4q9oUmW1yo/edit?usp=sharing"",""พิษณุโลก!J521"")"),0)</f>
        <v>0</v>
      </c>
      <c r="K626" s="163">
        <f t="shared" ca="1" si="128"/>
        <v>0</v>
      </c>
      <c r="L626" s="181"/>
      <c r="M626" s="181"/>
      <c r="N626" s="181"/>
      <c r="O626" s="181"/>
      <c r="P626" s="181"/>
    </row>
    <row r="627" spans="1:16" ht="21.75" customHeight="1" x14ac:dyDescent="0.3">
      <c r="A627" s="490" t="s">
        <v>232</v>
      </c>
      <c r="B627" s="491"/>
      <c r="C627" s="491"/>
      <c r="D627" s="491"/>
      <c r="E627" s="491"/>
      <c r="F627" s="491"/>
      <c r="G627" s="492"/>
      <c r="H627" s="493"/>
      <c r="I627" s="494"/>
      <c r="J627" s="494"/>
      <c r="K627" s="495"/>
      <c r="L627" s="495"/>
      <c r="M627" s="495"/>
      <c r="N627" s="495"/>
      <c r="O627" s="496"/>
      <c r="P627" s="496"/>
    </row>
    <row r="628" spans="1:16" ht="21.75" customHeight="1" x14ac:dyDescent="0.3">
      <c r="A628" s="476"/>
      <c r="B628" s="497" t="s">
        <v>233</v>
      </c>
      <c r="C628" s="157"/>
      <c r="D628" s="166"/>
      <c r="E628" s="159"/>
      <c r="F628" s="159"/>
      <c r="G628" s="160"/>
      <c r="H628" s="498" t="s">
        <v>12</v>
      </c>
      <c r="I628" s="339">
        <f ca="1">IFERROR(__xludf.DUMMYFUNCTION("IMPORTRANGE(""https://docs.google.com/spreadsheets/d/11923uPwbBZFjjGgGUA6NLw09EwE0CqkOc4q9oUmW1yo/edit?usp=sharing"",""พิษณุโลก!I523"")"),3890202.58)</f>
        <v>3890202.58</v>
      </c>
      <c r="J628" s="339">
        <f ca="1">IFERROR(__xludf.DUMMYFUNCTION("IMPORTRANGE(""https://docs.google.com/spreadsheets/d/11923uPwbBZFjjGgGUA6NLw09EwE0CqkOc4q9oUmW1yo/edit?usp=sharing"",""พิษณุโลก!J523"")"),1288954.18)</f>
        <v>1288954.18</v>
      </c>
      <c r="K628" s="340">
        <f t="shared" ref="K628:K635" ca="1" si="129">IF(I628&gt;0,J628*100/I628,0)</f>
        <v>33.133343405473759</v>
      </c>
      <c r="L628" s="340"/>
      <c r="M628" s="340"/>
      <c r="N628" s="340"/>
      <c r="O628" s="168"/>
      <c r="P628" s="168"/>
    </row>
    <row r="629" spans="1:16" ht="21.75" customHeight="1" x14ac:dyDescent="0.3">
      <c r="A629" s="476"/>
      <c r="B629" s="157"/>
      <c r="C629" s="157"/>
      <c r="D629" s="166"/>
      <c r="E629" s="159"/>
      <c r="F629" s="159"/>
      <c r="G629" s="160"/>
      <c r="H629" s="498" t="s">
        <v>37</v>
      </c>
      <c r="I629" s="339">
        <f ca="1">IFERROR(__xludf.DUMMYFUNCTION("IMPORTRANGE(""https://docs.google.com/spreadsheets/d/11923uPwbBZFjjGgGUA6NLw09EwE0CqkOc4q9oUmW1yo/edit?usp=sharing"",""พิษณุโลก!I524"")"),290)</f>
        <v>290</v>
      </c>
      <c r="J629" s="339">
        <f ca="1">IFERROR(__xludf.DUMMYFUNCTION("IMPORTRANGE(""https://docs.google.com/spreadsheets/d/11923uPwbBZFjjGgGUA6NLw09EwE0CqkOc4q9oUmW1yo/edit?usp=sharing"",""พิษณุโลก!J524"")"),95)</f>
        <v>95</v>
      </c>
      <c r="K629" s="340">
        <f t="shared" ca="1" si="129"/>
        <v>32.758620689655174</v>
      </c>
      <c r="L629" s="340"/>
      <c r="M629" s="340"/>
      <c r="N629" s="340"/>
      <c r="O629" s="168"/>
      <c r="P629" s="168"/>
    </row>
    <row r="630" spans="1:16" ht="21.75" customHeight="1" x14ac:dyDescent="0.3">
      <c r="A630" s="476"/>
      <c r="B630" s="497" t="s">
        <v>234</v>
      </c>
      <c r="C630" s="157"/>
      <c r="D630" s="166"/>
      <c r="E630" s="159"/>
      <c r="F630" s="159"/>
      <c r="G630" s="160"/>
      <c r="H630" s="498" t="s">
        <v>12</v>
      </c>
      <c r="I630" s="339">
        <f ca="1">IFERROR(__xludf.DUMMYFUNCTION("IMPORTRANGE(""https://docs.google.com/spreadsheets/d/11923uPwbBZFjjGgGUA6NLw09EwE0CqkOc4q9oUmW1yo/edit?usp=sharing"",""พิษณุโลก!I525"")"),2561732.31)</f>
        <v>2561732.31</v>
      </c>
      <c r="J630" s="339">
        <f ca="1">IFERROR(__xludf.DUMMYFUNCTION("IMPORTRANGE(""https://docs.google.com/spreadsheets/d/11923uPwbBZFjjGgGUA6NLw09EwE0CqkOc4q9oUmW1yo/edit?usp=sharing"",""พิษณุโลก!J525"")"),325341.84)</f>
        <v>325341.84000000003</v>
      </c>
      <c r="K630" s="340">
        <f t="shared" ca="1" si="129"/>
        <v>12.700071694844651</v>
      </c>
      <c r="L630" s="340"/>
      <c r="M630" s="340"/>
      <c r="N630" s="340"/>
      <c r="O630" s="168"/>
      <c r="P630" s="168"/>
    </row>
    <row r="631" spans="1:16" ht="21.75" customHeight="1" x14ac:dyDescent="0.3">
      <c r="A631" s="476"/>
      <c r="B631" s="157"/>
      <c r="C631" s="157"/>
      <c r="D631" s="166"/>
      <c r="E631" s="159"/>
      <c r="F631" s="159"/>
      <c r="G631" s="160"/>
      <c r="H631" s="498" t="s">
        <v>37</v>
      </c>
      <c r="I631" s="339">
        <f ca="1">IFERROR(__xludf.DUMMYFUNCTION("IMPORTRANGE(""https://docs.google.com/spreadsheets/d/11923uPwbBZFjjGgGUA6NLw09EwE0CqkOc4q9oUmW1yo/edit?usp=sharing"",""พิษณุโลก!I526"")"),116)</f>
        <v>116</v>
      </c>
      <c r="J631" s="339">
        <f ca="1">IFERROR(__xludf.DUMMYFUNCTION("IMPORTRANGE(""https://docs.google.com/spreadsheets/d/11923uPwbBZFjjGgGUA6NLw09EwE0CqkOc4q9oUmW1yo/edit?usp=sharing"",""พิษณุโลก!J526"")"),78)</f>
        <v>78</v>
      </c>
      <c r="K631" s="340">
        <f t="shared" ca="1" si="129"/>
        <v>67.241379310344826</v>
      </c>
      <c r="L631" s="340"/>
      <c r="M631" s="340"/>
      <c r="N631" s="340"/>
      <c r="O631" s="168"/>
      <c r="P631" s="168"/>
    </row>
    <row r="632" spans="1:16" ht="21.75" customHeight="1" x14ac:dyDescent="0.3">
      <c r="A632" s="476"/>
      <c r="B632" s="497" t="s">
        <v>235</v>
      </c>
      <c r="C632" s="157"/>
      <c r="D632" s="166"/>
      <c r="E632" s="159"/>
      <c r="F632" s="159"/>
      <c r="G632" s="160"/>
      <c r="H632" s="498" t="s">
        <v>12</v>
      </c>
      <c r="I632" s="339">
        <f ca="1">IFERROR(__xludf.DUMMYFUNCTION("IMPORTRANGE(""https://docs.google.com/spreadsheets/d/11923uPwbBZFjjGgGUA6NLw09EwE0CqkOc4q9oUmW1yo/edit?usp=sharing"",""พิษณุโลก!I527"")"),0)</f>
        <v>0</v>
      </c>
      <c r="J632" s="339">
        <f ca="1">IFERROR(__xludf.DUMMYFUNCTION("IMPORTRANGE(""https://docs.google.com/spreadsheets/d/11923uPwbBZFjjGgGUA6NLw09EwE0CqkOc4q9oUmW1yo/edit?usp=sharing"",""พิษณุโลก!J527"")"),0)</f>
        <v>0</v>
      </c>
      <c r="K632" s="340">
        <f t="shared" ca="1" si="129"/>
        <v>0</v>
      </c>
      <c r="L632" s="340"/>
      <c r="M632" s="340"/>
      <c r="N632" s="340"/>
      <c r="O632" s="168"/>
      <c r="P632" s="168"/>
    </row>
    <row r="633" spans="1:16" ht="21.75" customHeight="1" x14ac:dyDescent="0.3">
      <c r="A633" s="476"/>
      <c r="B633" s="497"/>
      <c r="C633" s="157"/>
      <c r="D633" s="166"/>
      <c r="E633" s="159"/>
      <c r="F633" s="159"/>
      <c r="G633" s="160"/>
      <c r="H633" s="498" t="s">
        <v>37</v>
      </c>
      <c r="I633" s="339">
        <f ca="1">IFERROR(__xludf.DUMMYFUNCTION("IMPORTRANGE(""https://docs.google.com/spreadsheets/d/11923uPwbBZFjjGgGUA6NLw09EwE0CqkOc4q9oUmW1yo/edit?usp=sharing"",""พิษณุโลก!I528"")"),0)</f>
        <v>0</v>
      </c>
      <c r="J633" s="339">
        <f ca="1">IFERROR(__xludf.DUMMYFUNCTION("IMPORTRANGE(""https://docs.google.com/spreadsheets/d/11923uPwbBZFjjGgGUA6NLw09EwE0CqkOc4q9oUmW1yo/edit?usp=sharing"",""พิษณุโลก!J528"")"),0)</f>
        <v>0</v>
      </c>
      <c r="K633" s="340">
        <f t="shared" ca="1" si="129"/>
        <v>0</v>
      </c>
      <c r="L633" s="340"/>
      <c r="M633" s="340"/>
      <c r="N633" s="340"/>
      <c r="O633" s="168"/>
      <c r="P633" s="168"/>
    </row>
    <row r="634" spans="1:16" ht="21.75" customHeight="1" x14ac:dyDescent="0.3">
      <c r="A634" s="476"/>
      <c r="B634" s="497" t="s">
        <v>236</v>
      </c>
      <c r="C634" s="157"/>
      <c r="D634" s="166"/>
      <c r="E634" s="159"/>
      <c r="F634" s="159"/>
      <c r="G634" s="160"/>
      <c r="H634" s="498" t="s">
        <v>12</v>
      </c>
      <c r="I634" s="339">
        <f ca="1">IFERROR(__xludf.DUMMYFUNCTION("IMPORTRANGE(""https://docs.google.com/spreadsheets/d/11923uPwbBZFjjGgGUA6NLw09EwE0CqkOc4q9oUmW1yo/edit?usp=sharing"",""พิษณุโลก!I529"")"),4000000)</f>
        <v>4000000</v>
      </c>
      <c r="J634" s="339">
        <f ca="1">IFERROR(__xludf.DUMMYFUNCTION("IMPORTRANGE(""https://docs.google.com/spreadsheets/d/11923uPwbBZFjjGgGUA6NLw09EwE0CqkOc4q9oUmW1yo/edit?usp=sharing"",""พิษณุโลก!J529"")"),0)</f>
        <v>0</v>
      </c>
      <c r="K634" s="340">
        <f t="shared" ca="1" si="129"/>
        <v>0</v>
      </c>
      <c r="L634" s="340"/>
      <c r="M634" s="340"/>
      <c r="N634" s="340"/>
      <c r="O634" s="168"/>
      <c r="P634" s="168"/>
    </row>
    <row r="635" spans="1:16" ht="21.75" customHeight="1" x14ac:dyDescent="0.3">
      <c r="A635" s="478"/>
      <c r="B635" s="480"/>
      <c r="C635" s="480"/>
      <c r="D635" s="479"/>
      <c r="E635" s="499"/>
      <c r="F635" s="499"/>
      <c r="G635" s="500"/>
      <c r="H635" s="501" t="s">
        <v>37</v>
      </c>
      <c r="I635" s="502">
        <f ca="1">IFERROR(__xludf.DUMMYFUNCTION("IMPORTRANGE(""https://docs.google.com/spreadsheets/d/11923uPwbBZFjjGgGUA6NLw09EwE0CqkOc4q9oUmW1yo/edit?usp=sharing"",""พิษณุโลก!I530"")"),100)</f>
        <v>100</v>
      </c>
      <c r="J635" s="502">
        <f ca="1">IFERROR(__xludf.DUMMYFUNCTION("IMPORTRANGE(""https://docs.google.com/spreadsheets/d/11923uPwbBZFjjGgGUA6NLw09EwE0CqkOc4q9oUmW1yo/edit?usp=sharing"",""พิษณุโลก!J530"")"),0)</f>
        <v>0</v>
      </c>
      <c r="K635" s="484">
        <f t="shared" ca="1" si="129"/>
        <v>0</v>
      </c>
      <c r="L635" s="484"/>
      <c r="M635" s="484"/>
      <c r="N635" s="484"/>
      <c r="O635" s="503"/>
      <c r="P635" s="503"/>
    </row>
    <row r="636" spans="1:16" ht="21.75" customHeight="1" x14ac:dyDescent="0.3">
      <c r="A636" s="504"/>
      <c r="B636" s="504"/>
      <c r="C636" s="504"/>
      <c r="D636" s="504"/>
      <c r="E636" s="505" t="s">
        <v>237</v>
      </c>
      <c r="F636" s="505"/>
      <c r="G636" s="505"/>
      <c r="H636" s="506"/>
      <c r="I636" s="506"/>
      <c r="J636" s="506"/>
      <c r="K636" s="507"/>
      <c r="L636" s="508"/>
      <c r="M636" s="508"/>
      <c r="N636" s="508"/>
      <c r="O636" s="509"/>
      <c r="P636" s="509"/>
    </row>
    <row r="637" spans="1:16" ht="21.75" customHeight="1" x14ac:dyDescent="0.3">
      <c r="A637" s="504"/>
      <c r="B637" s="504"/>
      <c r="C637" s="504"/>
      <c r="D637" s="504"/>
      <c r="E637" s="506"/>
      <c r="F637" s="506"/>
      <c r="G637" s="506"/>
      <c r="H637" s="506"/>
      <c r="I637" s="506"/>
      <c r="J637" s="506"/>
      <c r="K637" s="507"/>
      <c r="L637" s="508"/>
      <c r="M637" s="508"/>
      <c r="N637" s="508"/>
      <c r="O637" s="509"/>
      <c r="P637" s="509"/>
    </row>
    <row r="638" spans="1:16" ht="21.75" customHeight="1" x14ac:dyDescent="0.3">
      <c r="A638" s="504"/>
      <c r="B638" s="504"/>
      <c r="C638" s="504"/>
      <c r="D638" s="504"/>
      <c r="E638" s="506"/>
      <c r="F638" s="506"/>
      <c r="G638" s="506"/>
      <c r="H638" s="506"/>
      <c r="I638" s="506"/>
      <c r="J638" s="506"/>
      <c r="K638" s="507"/>
      <c r="L638" s="508"/>
      <c r="M638" s="508"/>
      <c r="N638" s="508"/>
      <c r="O638" s="509"/>
      <c r="P638" s="509"/>
    </row>
    <row r="639" spans="1:16" ht="21.75" customHeight="1" x14ac:dyDescent="0.3">
      <c r="A639" s="504"/>
      <c r="B639" s="504"/>
      <c r="C639" s="504"/>
      <c r="D639" s="504"/>
      <c r="E639" s="506"/>
      <c r="F639" s="506"/>
      <c r="G639" s="506"/>
      <c r="H639" s="506"/>
      <c r="I639" s="506"/>
      <c r="J639" s="506"/>
      <c r="K639" s="507"/>
      <c r="L639" s="508"/>
      <c r="M639" s="508"/>
      <c r="N639" s="508"/>
      <c r="O639" s="509"/>
      <c r="P639" s="509"/>
    </row>
    <row r="640" spans="1:16" ht="21.75" customHeight="1" x14ac:dyDescent="0.3">
      <c r="A640" s="504"/>
      <c r="B640" s="504"/>
      <c r="C640" s="504"/>
      <c r="D640" s="504"/>
      <c r="E640" s="506"/>
      <c r="F640" s="506"/>
      <c r="G640" s="506"/>
      <c r="H640" s="506"/>
      <c r="I640" s="506"/>
      <c r="J640" s="506"/>
      <c r="K640" s="507"/>
      <c r="L640" s="508"/>
      <c r="M640" s="508"/>
      <c r="N640" s="508"/>
      <c r="O640" s="509"/>
      <c r="P640" s="509"/>
    </row>
    <row r="641" spans="1:16" ht="21.75" customHeight="1" x14ac:dyDescent="0.3">
      <c r="A641" s="504"/>
      <c r="B641" s="504"/>
      <c r="C641" s="504"/>
      <c r="D641" s="504"/>
      <c r="E641" s="506"/>
      <c r="F641" s="506"/>
      <c r="G641" s="506"/>
      <c r="H641" s="506"/>
      <c r="I641" s="506"/>
      <c r="J641" s="506"/>
      <c r="K641" s="507"/>
      <c r="L641" s="508"/>
      <c r="M641" s="508"/>
      <c r="N641" s="508"/>
      <c r="O641" s="509"/>
      <c r="P641" s="509"/>
    </row>
    <row r="642" spans="1:16" ht="21.75" customHeight="1" x14ac:dyDescent="0.3">
      <c r="A642" s="504"/>
      <c r="B642" s="504"/>
      <c r="C642" s="504"/>
      <c r="D642" s="504"/>
      <c r="E642" s="506"/>
      <c r="F642" s="506"/>
      <c r="G642" s="506"/>
      <c r="H642" s="506"/>
      <c r="I642" s="506"/>
      <c r="J642" s="506"/>
      <c r="K642" s="507"/>
      <c r="L642" s="508"/>
      <c r="M642" s="508"/>
      <c r="N642" s="508"/>
      <c r="O642" s="509"/>
      <c r="P642" s="509"/>
    </row>
    <row r="643" spans="1:16" ht="21.75" customHeight="1" x14ac:dyDescent="0.3">
      <c r="A643" s="504"/>
      <c r="B643" s="504"/>
      <c r="C643" s="504"/>
      <c r="D643" s="504"/>
      <c r="E643" s="506"/>
      <c r="F643" s="506"/>
      <c r="G643" s="506"/>
      <c r="H643" s="506"/>
      <c r="I643" s="506"/>
      <c r="J643" s="506"/>
      <c r="K643" s="507"/>
      <c r="L643" s="508"/>
      <c r="M643" s="508"/>
      <c r="N643" s="508"/>
      <c r="O643" s="509"/>
      <c r="P643" s="509"/>
    </row>
    <row r="644" spans="1:16" ht="21.75" customHeight="1" x14ac:dyDescent="0.3">
      <c r="A644" s="504"/>
      <c r="B644" s="504"/>
      <c r="C644" s="504"/>
      <c r="D644" s="504"/>
      <c r="E644" s="506"/>
      <c r="F644" s="506"/>
      <c r="G644" s="506"/>
      <c r="H644" s="506"/>
      <c r="I644" s="506"/>
      <c r="J644" s="506"/>
      <c r="K644" s="507"/>
      <c r="L644" s="508"/>
      <c r="M644" s="508"/>
      <c r="N644" s="508"/>
      <c r="O644" s="509"/>
      <c r="P644" s="509"/>
    </row>
    <row r="645" spans="1:16" ht="21.75" customHeight="1" x14ac:dyDescent="0.3">
      <c r="A645" s="504"/>
      <c r="B645" s="504"/>
      <c r="C645" s="504"/>
      <c r="D645" s="504"/>
      <c r="E645" s="506"/>
      <c r="F645" s="506"/>
      <c r="G645" s="506"/>
      <c r="H645" s="506"/>
      <c r="I645" s="506"/>
      <c r="J645" s="506"/>
      <c r="K645" s="507"/>
      <c r="L645" s="508"/>
      <c r="M645" s="508"/>
      <c r="N645" s="508"/>
      <c r="O645" s="509"/>
      <c r="P645" s="509"/>
    </row>
    <row r="646" spans="1:16" ht="21.75" customHeight="1" x14ac:dyDescent="0.3">
      <c r="A646" s="504"/>
      <c r="B646" s="504"/>
      <c r="C646" s="504"/>
      <c r="D646" s="504"/>
      <c r="E646" s="506"/>
      <c r="F646" s="506"/>
      <c r="G646" s="506"/>
      <c r="H646" s="506"/>
      <c r="I646" s="506"/>
      <c r="J646" s="506"/>
      <c r="K646" s="507"/>
      <c r="L646" s="508"/>
      <c r="M646" s="508"/>
      <c r="N646" s="508"/>
      <c r="O646" s="509"/>
      <c r="P646" s="509"/>
    </row>
    <row r="647" spans="1:16" ht="21.75" customHeight="1" x14ac:dyDescent="0.3">
      <c r="A647" s="504"/>
      <c r="B647" s="504"/>
      <c r="C647" s="504"/>
      <c r="D647" s="504"/>
      <c r="E647" s="506"/>
      <c r="F647" s="506"/>
      <c r="G647" s="506"/>
      <c r="H647" s="506"/>
      <c r="I647" s="506"/>
      <c r="J647" s="506"/>
      <c r="K647" s="507"/>
      <c r="L647" s="508"/>
      <c r="M647" s="508"/>
      <c r="N647" s="508"/>
      <c r="O647" s="509"/>
      <c r="P647" s="509"/>
    </row>
    <row r="648" spans="1:16" ht="21.75" customHeight="1" x14ac:dyDescent="0.3">
      <c r="A648" s="504"/>
      <c r="B648" s="504"/>
      <c r="C648" s="504"/>
      <c r="D648" s="504"/>
      <c r="E648" s="506"/>
      <c r="F648" s="506"/>
      <c r="G648" s="506"/>
      <c r="H648" s="506"/>
      <c r="I648" s="506"/>
      <c r="J648" s="506"/>
      <c r="K648" s="507"/>
      <c r="L648" s="508"/>
      <c r="M648" s="508"/>
      <c r="N648" s="508"/>
      <c r="O648" s="509"/>
      <c r="P648" s="509"/>
    </row>
    <row r="649" spans="1:16" ht="21.75" customHeight="1" x14ac:dyDescent="0.3">
      <c r="A649" s="504"/>
      <c r="B649" s="504"/>
      <c r="C649" s="504"/>
      <c r="D649" s="504"/>
      <c r="E649" s="506"/>
      <c r="F649" s="506"/>
      <c r="G649" s="506"/>
      <c r="H649" s="506"/>
      <c r="I649" s="506"/>
      <c r="J649" s="506"/>
      <c r="K649" s="507"/>
      <c r="L649" s="508"/>
      <c r="M649" s="508"/>
      <c r="N649" s="508"/>
      <c r="O649" s="509"/>
      <c r="P649" s="509"/>
    </row>
    <row r="650" spans="1:16" ht="21.75" customHeight="1" x14ac:dyDescent="0.3">
      <c r="A650" s="504"/>
      <c r="B650" s="504"/>
      <c r="C650" s="504"/>
      <c r="D650" s="504"/>
      <c r="E650" s="506"/>
      <c r="F650" s="506"/>
      <c r="G650" s="506"/>
      <c r="H650" s="506"/>
      <c r="I650" s="506"/>
      <c r="J650" s="506"/>
      <c r="K650" s="507"/>
      <c r="L650" s="508"/>
      <c r="M650" s="508"/>
      <c r="N650" s="508"/>
      <c r="O650" s="509"/>
      <c r="P650" s="509"/>
    </row>
    <row r="651" spans="1:16" ht="21.75" customHeight="1" x14ac:dyDescent="0.3">
      <c r="A651" s="504"/>
      <c r="B651" s="504"/>
      <c r="C651" s="504"/>
      <c r="D651" s="504"/>
      <c r="E651" s="506"/>
      <c r="F651" s="506"/>
      <c r="G651" s="506"/>
      <c r="H651" s="506"/>
      <c r="I651" s="506"/>
      <c r="J651" s="506"/>
      <c r="K651" s="507"/>
      <c r="L651" s="508"/>
      <c r="M651" s="508"/>
      <c r="N651" s="508"/>
      <c r="O651" s="509"/>
      <c r="P651" s="509"/>
    </row>
    <row r="652" spans="1:16" ht="21.75" customHeight="1" x14ac:dyDescent="0.3">
      <c r="A652" s="504"/>
      <c r="B652" s="504"/>
      <c r="C652" s="504"/>
      <c r="D652" s="504"/>
      <c r="E652" s="506"/>
      <c r="F652" s="506"/>
      <c r="G652" s="506"/>
      <c r="H652" s="506"/>
      <c r="I652" s="506"/>
      <c r="J652" s="506"/>
      <c r="K652" s="507"/>
      <c r="L652" s="508"/>
      <c r="M652" s="508"/>
      <c r="N652" s="508"/>
      <c r="O652" s="509"/>
      <c r="P652" s="509"/>
    </row>
    <row r="653" spans="1:16" ht="21.75" customHeight="1" x14ac:dyDescent="0.3">
      <c r="A653" s="504"/>
      <c r="B653" s="504"/>
      <c r="C653" s="504"/>
      <c r="D653" s="504"/>
      <c r="E653" s="506"/>
      <c r="F653" s="506"/>
      <c r="G653" s="506"/>
      <c r="H653" s="506"/>
      <c r="I653" s="506"/>
      <c r="J653" s="506"/>
      <c r="K653" s="507"/>
      <c r="L653" s="508"/>
      <c r="M653" s="508"/>
      <c r="N653" s="508"/>
      <c r="O653" s="509"/>
      <c r="P653" s="509"/>
    </row>
    <row r="654" spans="1:16" ht="21.75" customHeight="1" x14ac:dyDescent="0.3">
      <c r="A654" s="504"/>
      <c r="B654" s="504"/>
      <c r="C654" s="504"/>
      <c r="D654" s="504"/>
      <c r="E654" s="506"/>
      <c r="F654" s="506"/>
      <c r="G654" s="506"/>
      <c r="H654" s="506"/>
      <c r="I654" s="506"/>
      <c r="J654" s="506"/>
      <c r="K654" s="507"/>
      <c r="L654" s="508"/>
      <c r="M654" s="508"/>
      <c r="N654" s="508"/>
      <c r="O654" s="509"/>
      <c r="P654" s="509"/>
    </row>
    <row r="655" spans="1:16" ht="21.75" customHeight="1" x14ac:dyDescent="0.3">
      <c r="A655" s="504"/>
      <c r="B655" s="504"/>
      <c r="C655" s="504"/>
      <c r="D655" s="504"/>
      <c r="E655" s="506"/>
      <c r="F655" s="506"/>
      <c r="G655" s="506"/>
      <c r="H655" s="506"/>
      <c r="I655" s="506"/>
      <c r="J655" s="506"/>
      <c r="K655" s="507"/>
      <c r="L655" s="508"/>
      <c r="M655" s="508"/>
      <c r="N655" s="508"/>
      <c r="O655" s="509"/>
      <c r="P655" s="509"/>
    </row>
    <row r="656" spans="1:16" ht="21.75" customHeight="1" x14ac:dyDescent="0.3">
      <c r="A656" s="504"/>
      <c r="B656" s="504"/>
      <c r="C656" s="504"/>
      <c r="D656" s="504"/>
      <c r="E656" s="506"/>
      <c r="F656" s="506"/>
      <c r="G656" s="506"/>
      <c r="H656" s="506"/>
      <c r="I656" s="506"/>
      <c r="J656" s="506"/>
      <c r="K656" s="507"/>
      <c r="L656" s="508"/>
      <c r="M656" s="508"/>
      <c r="N656" s="508"/>
      <c r="O656" s="509"/>
      <c r="P656" s="509"/>
    </row>
    <row r="657" spans="1:16" ht="21.75" customHeight="1" x14ac:dyDescent="0.3">
      <c r="A657" s="504"/>
      <c r="B657" s="504"/>
      <c r="C657" s="504"/>
      <c r="D657" s="504"/>
      <c r="E657" s="506"/>
      <c r="F657" s="506"/>
      <c r="G657" s="506"/>
      <c r="H657" s="506"/>
      <c r="I657" s="506"/>
      <c r="J657" s="506"/>
      <c r="K657" s="507"/>
      <c r="L657" s="508"/>
      <c r="M657" s="508"/>
      <c r="N657" s="508"/>
      <c r="O657" s="509"/>
      <c r="P657" s="509"/>
    </row>
    <row r="658" spans="1:16" ht="21.75" customHeight="1" x14ac:dyDescent="0.3">
      <c r="A658" s="504"/>
      <c r="B658" s="504"/>
      <c r="C658" s="504"/>
      <c r="D658" s="504"/>
      <c r="E658" s="506"/>
      <c r="F658" s="506"/>
      <c r="G658" s="506"/>
      <c r="H658" s="506"/>
      <c r="I658" s="506"/>
      <c r="J658" s="506"/>
      <c r="K658" s="507"/>
      <c r="L658" s="508"/>
      <c r="M658" s="508"/>
      <c r="N658" s="508"/>
      <c r="O658" s="509"/>
      <c r="P658" s="509"/>
    </row>
    <row r="659" spans="1:16" ht="21.75" customHeight="1" x14ac:dyDescent="0.3">
      <c r="A659" s="504"/>
      <c r="B659" s="504"/>
      <c r="C659" s="504"/>
      <c r="D659" s="504"/>
      <c r="E659" s="506"/>
      <c r="F659" s="506"/>
      <c r="G659" s="506"/>
      <c r="H659" s="506"/>
      <c r="I659" s="506"/>
      <c r="J659" s="506"/>
      <c r="K659" s="507"/>
      <c r="L659" s="508"/>
      <c r="M659" s="508"/>
      <c r="N659" s="508"/>
      <c r="O659" s="509"/>
      <c r="P659" s="509"/>
    </row>
    <row r="660" spans="1:16" ht="21.75" customHeight="1" x14ac:dyDescent="0.3">
      <c r="A660" s="504"/>
      <c r="B660" s="504"/>
      <c r="C660" s="504"/>
      <c r="D660" s="504"/>
      <c r="E660" s="506"/>
      <c r="F660" s="506"/>
      <c r="G660" s="506"/>
      <c r="H660" s="506"/>
      <c r="I660" s="506"/>
      <c r="J660" s="506"/>
      <c r="K660" s="507"/>
      <c r="L660" s="508"/>
      <c r="M660" s="508"/>
      <c r="N660" s="508"/>
      <c r="O660" s="509"/>
      <c r="P660" s="509"/>
    </row>
    <row r="661" spans="1:16" ht="21.75" customHeight="1" x14ac:dyDescent="0.3">
      <c r="A661" s="504"/>
      <c r="B661" s="504"/>
      <c r="C661" s="504"/>
      <c r="D661" s="504"/>
      <c r="E661" s="506"/>
      <c r="F661" s="506"/>
      <c r="G661" s="506"/>
      <c r="H661" s="506"/>
      <c r="I661" s="506"/>
      <c r="J661" s="506"/>
      <c r="K661" s="507"/>
      <c r="L661" s="508"/>
      <c r="M661" s="508"/>
      <c r="N661" s="508"/>
      <c r="O661" s="509"/>
      <c r="P661" s="509"/>
    </row>
    <row r="662" spans="1:16" ht="21.75" customHeight="1" x14ac:dyDescent="0.3">
      <c r="A662" s="504"/>
      <c r="B662" s="504"/>
      <c r="C662" s="504"/>
      <c r="D662" s="504"/>
      <c r="E662" s="506"/>
      <c r="F662" s="506"/>
      <c r="G662" s="506"/>
      <c r="H662" s="506"/>
      <c r="I662" s="506"/>
      <c r="J662" s="506"/>
      <c r="K662" s="507"/>
      <c r="L662" s="508"/>
      <c r="M662" s="508"/>
      <c r="N662" s="508"/>
      <c r="O662" s="509"/>
      <c r="P662" s="509"/>
    </row>
    <row r="663" spans="1:16" ht="21.75" customHeight="1" x14ac:dyDescent="0.3">
      <c r="A663" s="504"/>
      <c r="B663" s="504"/>
      <c r="C663" s="504"/>
      <c r="D663" s="504"/>
      <c r="E663" s="506"/>
      <c r="F663" s="506"/>
      <c r="G663" s="506"/>
      <c r="H663" s="506"/>
      <c r="I663" s="506"/>
      <c r="J663" s="506"/>
      <c r="K663" s="507"/>
      <c r="L663" s="508"/>
      <c r="M663" s="508"/>
      <c r="N663" s="508"/>
      <c r="O663" s="509"/>
      <c r="P663" s="509"/>
    </row>
    <row r="664" spans="1:16" ht="21.75" customHeight="1" x14ac:dyDescent="0.3">
      <c r="A664" s="504"/>
      <c r="B664" s="504"/>
      <c r="C664" s="504"/>
      <c r="D664" s="504"/>
      <c r="E664" s="506"/>
      <c r="F664" s="506"/>
      <c r="G664" s="506"/>
      <c r="H664" s="506"/>
      <c r="I664" s="506"/>
      <c r="J664" s="506"/>
      <c r="K664" s="507"/>
      <c r="L664" s="508"/>
      <c r="M664" s="508"/>
      <c r="N664" s="508"/>
      <c r="O664" s="509"/>
      <c r="P664" s="509"/>
    </row>
    <row r="665" spans="1:16" ht="21.75" customHeight="1" x14ac:dyDescent="0.3">
      <c r="A665" s="504"/>
      <c r="B665" s="504"/>
      <c r="C665" s="504"/>
      <c r="D665" s="504"/>
      <c r="E665" s="506"/>
      <c r="F665" s="506"/>
      <c r="G665" s="506"/>
      <c r="H665" s="506"/>
      <c r="I665" s="506"/>
      <c r="J665" s="506"/>
      <c r="K665" s="507"/>
      <c r="L665" s="508"/>
      <c r="M665" s="508"/>
      <c r="N665" s="508"/>
      <c r="O665" s="509"/>
      <c r="P665" s="509"/>
    </row>
    <row r="666" spans="1:16" ht="21.75" customHeight="1" x14ac:dyDescent="0.3">
      <c r="A666" s="504"/>
      <c r="B666" s="504"/>
      <c r="C666" s="504"/>
      <c r="D666" s="504"/>
      <c r="E666" s="506"/>
      <c r="F666" s="506"/>
      <c r="G666" s="506"/>
      <c r="H666" s="506"/>
      <c r="I666" s="506"/>
      <c r="J666" s="506"/>
      <c r="K666" s="507"/>
      <c r="L666" s="508"/>
      <c r="M666" s="508"/>
      <c r="N666" s="508"/>
      <c r="O666" s="509"/>
      <c r="P666" s="509"/>
    </row>
    <row r="667" spans="1:16" ht="21.75" customHeight="1" x14ac:dyDescent="0.3">
      <c r="A667" s="504"/>
      <c r="B667" s="504"/>
      <c r="C667" s="504"/>
      <c r="D667" s="504"/>
      <c r="E667" s="506"/>
      <c r="F667" s="506"/>
      <c r="G667" s="506"/>
      <c r="H667" s="506"/>
      <c r="I667" s="506"/>
      <c r="J667" s="506"/>
      <c r="K667" s="507"/>
      <c r="L667" s="508"/>
      <c r="M667" s="508"/>
      <c r="N667" s="508"/>
      <c r="O667" s="509"/>
      <c r="P667" s="509"/>
    </row>
    <row r="668" spans="1:16" ht="21.75" customHeight="1" x14ac:dyDescent="0.3">
      <c r="A668" s="504"/>
      <c r="B668" s="504"/>
      <c r="C668" s="504"/>
      <c r="D668" s="504"/>
      <c r="E668" s="506"/>
      <c r="F668" s="506"/>
      <c r="G668" s="506"/>
      <c r="H668" s="506"/>
      <c r="I668" s="506"/>
      <c r="J668" s="506"/>
      <c r="K668" s="507"/>
      <c r="L668" s="508"/>
      <c r="M668" s="508"/>
      <c r="N668" s="508"/>
      <c r="O668" s="509"/>
      <c r="P668" s="509"/>
    </row>
    <row r="669" spans="1:16" ht="21.75" customHeight="1" x14ac:dyDescent="0.3">
      <c r="A669" s="504"/>
      <c r="B669" s="504"/>
      <c r="C669" s="504"/>
      <c r="D669" s="504"/>
      <c r="E669" s="506"/>
      <c r="F669" s="506"/>
      <c r="G669" s="506"/>
      <c r="H669" s="506"/>
      <c r="I669" s="506"/>
      <c r="J669" s="506"/>
      <c r="K669" s="507"/>
      <c r="L669" s="508"/>
      <c r="M669" s="508"/>
      <c r="N669" s="508"/>
      <c r="O669" s="509"/>
      <c r="P669" s="509"/>
    </row>
    <row r="670" spans="1:16" ht="21.75" customHeight="1" x14ac:dyDescent="0.3">
      <c r="A670" s="504"/>
      <c r="B670" s="504"/>
      <c r="C670" s="504"/>
      <c r="D670" s="504"/>
      <c r="E670" s="506"/>
      <c r="F670" s="506"/>
      <c r="G670" s="506"/>
      <c r="H670" s="506"/>
      <c r="I670" s="506"/>
      <c r="J670" s="506"/>
      <c r="K670" s="507"/>
      <c r="L670" s="508"/>
      <c r="M670" s="508"/>
      <c r="N670" s="508"/>
      <c r="O670" s="509"/>
      <c r="P670" s="509"/>
    </row>
    <row r="671" spans="1:16" ht="21.75" customHeight="1" x14ac:dyDescent="0.3">
      <c r="A671" s="504"/>
      <c r="B671" s="504"/>
      <c r="C671" s="504"/>
      <c r="D671" s="504"/>
      <c r="E671" s="506"/>
      <c r="F671" s="506"/>
      <c r="G671" s="506"/>
      <c r="H671" s="506"/>
      <c r="I671" s="506"/>
      <c r="J671" s="506"/>
      <c r="K671" s="507"/>
      <c r="L671" s="508"/>
      <c r="M671" s="508"/>
      <c r="N671" s="508"/>
      <c r="O671" s="509"/>
      <c r="P671" s="509"/>
    </row>
    <row r="672" spans="1:16" ht="21.75" customHeight="1" x14ac:dyDescent="0.3">
      <c r="A672" s="504"/>
      <c r="B672" s="504"/>
      <c r="C672" s="504"/>
      <c r="D672" s="504"/>
      <c r="E672" s="506"/>
      <c r="F672" s="506"/>
      <c r="G672" s="506"/>
      <c r="H672" s="506"/>
      <c r="I672" s="506"/>
      <c r="J672" s="506"/>
      <c r="K672" s="507"/>
      <c r="L672" s="508"/>
      <c r="M672" s="508"/>
      <c r="N672" s="508"/>
      <c r="O672" s="509"/>
      <c r="P672" s="509"/>
    </row>
    <row r="673" spans="1:16" ht="21.75" customHeight="1" x14ac:dyDescent="0.3">
      <c r="A673" s="504"/>
      <c r="B673" s="504"/>
      <c r="C673" s="504"/>
      <c r="D673" s="504"/>
      <c r="E673" s="506"/>
      <c r="F673" s="506"/>
      <c r="G673" s="506"/>
      <c r="H673" s="506"/>
      <c r="I673" s="506"/>
      <c r="J673" s="506"/>
      <c r="K673" s="507"/>
      <c r="L673" s="508"/>
      <c r="M673" s="508"/>
      <c r="N673" s="508"/>
      <c r="O673" s="509"/>
      <c r="P673" s="509"/>
    </row>
    <row r="674" spans="1:16" ht="21.75" customHeight="1" x14ac:dyDescent="0.3">
      <c r="A674" s="504"/>
      <c r="B674" s="504"/>
      <c r="C674" s="504"/>
      <c r="D674" s="504"/>
      <c r="E674" s="506"/>
      <c r="F674" s="506"/>
      <c r="G674" s="506"/>
      <c r="H674" s="506"/>
      <c r="I674" s="506"/>
      <c r="J674" s="506"/>
      <c r="K674" s="507"/>
      <c r="L674" s="508"/>
      <c r="M674" s="508"/>
      <c r="N674" s="508"/>
      <c r="O674" s="509"/>
      <c r="P674" s="509"/>
    </row>
    <row r="675" spans="1:16" ht="21.75" customHeight="1" x14ac:dyDescent="0.3">
      <c r="A675" s="504"/>
      <c r="B675" s="504"/>
      <c r="C675" s="504"/>
      <c r="D675" s="504"/>
      <c r="E675" s="506"/>
      <c r="F675" s="506"/>
      <c r="G675" s="506"/>
      <c r="H675" s="506"/>
      <c r="I675" s="506"/>
      <c r="J675" s="506"/>
      <c r="K675" s="507"/>
      <c r="L675" s="508"/>
      <c r="M675" s="508"/>
      <c r="N675" s="508"/>
      <c r="O675" s="509"/>
      <c r="P675" s="509"/>
    </row>
    <row r="676" spans="1:16" ht="21.75" customHeight="1" x14ac:dyDescent="0.3">
      <c r="A676" s="504"/>
      <c r="B676" s="504"/>
      <c r="C676" s="504"/>
      <c r="D676" s="504"/>
      <c r="E676" s="506"/>
      <c r="F676" s="506"/>
      <c r="G676" s="506"/>
      <c r="H676" s="506"/>
      <c r="I676" s="506"/>
      <c r="J676" s="506"/>
      <c r="K676" s="507"/>
      <c r="L676" s="508"/>
      <c r="M676" s="508"/>
      <c r="N676" s="508"/>
      <c r="O676" s="509"/>
      <c r="P676" s="509"/>
    </row>
    <row r="677" spans="1:16" ht="21.75" customHeight="1" x14ac:dyDescent="0.3">
      <c r="A677" s="504"/>
      <c r="B677" s="504"/>
      <c r="C677" s="504"/>
      <c r="D677" s="504"/>
      <c r="E677" s="506"/>
      <c r="F677" s="506"/>
      <c r="G677" s="506"/>
      <c r="H677" s="506"/>
      <c r="I677" s="506"/>
      <c r="J677" s="506"/>
      <c r="K677" s="507"/>
      <c r="L677" s="508"/>
      <c r="M677" s="508"/>
      <c r="N677" s="508"/>
      <c r="O677" s="509"/>
      <c r="P677" s="509"/>
    </row>
    <row r="678" spans="1:16" ht="21.75" customHeight="1" x14ac:dyDescent="0.3">
      <c r="A678" s="504"/>
      <c r="B678" s="504"/>
      <c r="C678" s="504"/>
      <c r="D678" s="504"/>
      <c r="E678" s="506"/>
      <c r="F678" s="506"/>
      <c r="G678" s="506"/>
      <c r="H678" s="506"/>
      <c r="I678" s="506"/>
      <c r="J678" s="506"/>
      <c r="K678" s="507"/>
      <c r="L678" s="508"/>
      <c r="M678" s="508"/>
      <c r="N678" s="508"/>
      <c r="O678" s="509"/>
      <c r="P678" s="509"/>
    </row>
    <row r="679" spans="1:16" ht="21.75" customHeight="1" x14ac:dyDescent="0.3">
      <c r="A679" s="504"/>
      <c r="B679" s="504"/>
      <c r="C679" s="504"/>
      <c r="D679" s="504"/>
      <c r="E679" s="506"/>
      <c r="F679" s="506"/>
      <c r="G679" s="506"/>
      <c r="H679" s="506"/>
      <c r="I679" s="506"/>
      <c r="J679" s="506"/>
      <c r="K679" s="507"/>
      <c r="L679" s="508"/>
      <c r="M679" s="508"/>
      <c r="N679" s="508"/>
      <c r="O679" s="509"/>
      <c r="P679" s="509"/>
    </row>
    <row r="680" spans="1:16" ht="21.75" customHeight="1" x14ac:dyDescent="0.3">
      <c r="A680" s="504"/>
      <c r="B680" s="504"/>
      <c r="C680" s="504"/>
      <c r="D680" s="504"/>
      <c r="E680" s="506"/>
      <c r="F680" s="506"/>
      <c r="G680" s="506"/>
      <c r="H680" s="506"/>
      <c r="I680" s="506"/>
      <c r="J680" s="506"/>
      <c r="K680" s="507"/>
      <c r="L680" s="508"/>
      <c r="M680" s="508"/>
      <c r="N680" s="508"/>
      <c r="O680" s="509"/>
      <c r="P680" s="509"/>
    </row>
    <row r="681" spans="1:16" ht="21.75" customHeight="1" x14ac:dyDescent="0.3">
      <c r="A681" s="504"/>
      <c r="B681" s="504"/>
      <c r="C681" s="504"/>
      <c r="D681" s="504"/>
      <c r="E681" s="506"/>
      <c r="F681" s="506"/>
      <c r="G681" s="506"/>
      <c r="H681" s="506"/>
      <c r="I681" s="506"/>
      <c r="J681" s="506"/>
      <c r="K681" s="507"/>
      <c r="L681" s="508"/>
      <c r="M681" s="508"/>
      <c r="N681" s="508"/>
      <c r="O681" s="509"/>
      <c r="P681" s="509"/>
    </row>
    <row r="682" spans="1:16" ht="21.75" customHeight="1" x14ac:dyDescent="0.3">
      <c r="A682" s="504"/>
      <c r="B682" s="504"/>
      <c r="C682" s="504"/>
      <c r="D682" s="504"/>
      <c r="E682" s="506"/>
      <c r="F682" s="506"/>
      <c r="G682" s="506"/>
      <c r="H682" s="506"/>
      <c r="I682" s="506"/>
      <c r="J682" s="506"/>
      <c r="K682" s="507"/>
      <c r="L682" s="508"/>
      <c r="M682" s="508"/>
      <c r="N682" s="508"/>
      <c r="O682" s="509"/>
      <c r="P682" s="509"/>
    </row>
    <row r="683" spans="1:16" ht="21.75" customHeight="1" x14ac:dyDescent="0.3">
      <c r="A683" s="504"/>
      <c r="B683" s="504"/>
      <c r="C683" s="504"/>
      <c r="D683" s="504"/>
      <c r="E683" s="506"/>
      <c r="F683" s="506"/>
      <c r="G683" s="506"/>
      <c r="H683" s="506"/>
      <c r="I683" s="506"/>
      <c r="J683" s="506"/>
      <c r="K683" s="507"/>
      <c r="L683" s="508"/>
      <c r="M683" s="508"/>
      <c r="N683" s="508"/>
      <c r="O683" s="509"/>
      <c r="P683" s="509"/>
    </row>
    <row r="684" spans="1:16" ht="21.75" customHeight="1" x14ac:dyDescent="0.3">
      <c r="A684" s="504"/>
      <c r="B684" s="504"/>
      <c r="C684" s="504"/>
      <c r="D684" s="504"/>
      <c r="E684" s="506"/>
      <c r="F684" s="506"/>
      <c r="G684" s="506"/>
      <c r="H684" s="506"/>
      <c r="I684" s="506"/>
      <c r="J684" s="506"/>
      <c r="K684" s="507"/>
      <c r="L684" s="508"/>
      <c r="M684" s="508"/>
      <c r="N684" s="508"/>
      <c r="O684" s="509"/>
      <c r="P684" s="509"/>
    </row>
    <row r="685" spans="1:16" ht="21.75" customHeight="1" x14ac:dyDescent="0.3">
      <c r="A685" s="504"/>
      <c r="B685" s="504"/>
      <c r="C685" s="504"/>
      <c r="D685" s="504"/>
      <c r="E685" s="506"/>
      <c r="F685" s="506"/>
      <c r="G685" s="506"/>
      <c r="H685" s="506"/>
      <c r="I685" s="506"/>
      <c r="J685" s="506"/>
      <c r="K685" s="507"/>
      <c r="L685" s="508"/>
      <c r="M685" s="508"/>
      <c r="N685" s="508"/>
      <c r="O685" s="509"/>
      <c r="P685" s="509"/>
    </row>
    <row r="686" spans="1:16" ht="21.75" customHeight="1" x14ac:dyDescent="0.3">
      <c r="A686" s="504"/>
      <c r="B686" s="504"/>
      <c r="C686" s="504"/>
      <c r="D686" s="504"/>
      <c r="E686" s="506"/>
      <c r="F686" s="506"/>
      <c r="G686" s="506"/>
      <c r="H686" s="506"/>
      <c r="I686" s="506"/>
      <c r="J686" s="506"/>
      <c r="K686" s="507"/>
      <c r="L686" s="508"/>
      <c r="M686" s="508"/>
      <c r="N686" s="508"/>
      <c r="O686" s="509"/>
      <c r="P686" s="509"/>
    </row>
    <row r="687" spans="1:16" ht="21.75" customHeight="1" x14ac:dyDescent="0.3">
      <c r="A687" s="504"/>
      <c r="B687" s="504"/>
      <c r="C687" s="504"/>
      <c r="D687" s="504"/>
      <c r="E687" s="506"/>
      <c r="F687" s="506"/>
      <c r="G687" s="506"/>
      <c r="H687" s="506"/>
      <c r="I687" s="506"/>
      <c r="J687" s="506"/>
      <c r="K687" s="507"/>
      <c r="L687" s="508"/>
      <c r="M687" s="508"/>
      <c r="N687" s="508"/>
      <c r="O687" s="509"/>
      <c r="P687" s="509"/>
    </row>
    <row r="688" spans="1:16" ht="21.75" customHeight="1" x14ac:dyDescent="0.3">
      <c r="A688" s="504"/>
      <c r="B688" s="504"/>
      <c r="C688" s="504"/>
      <c r="D688" s="504"/>
      <c r="E688" s="506"/>
      <c r="F688" s="506"/>
      <c r="G688" s="506"/>
      <c r="H688" s="506"/>
      <c r="I688" s="506"/>
      <c r="J688" s="506"/>
      <c r="K688" s="507"/>
      <c r="L688" s="508"/>
      <c r="M688" s="508"/>
      <c r="N688" s="508"/>
      <c r="O688" s="509"/>
      <c r="P688" s="509"/>
    </row>
    <row r="689" spans="1:16" ht="21.75" customHeight="1" x14ac:dyDescent="0.3">
      <c r="A689" s="504"/>
      <c r="B689" s="504"/>
      <c r="C689" s="504"/>
      <c r="D689" s="504"/>
      <c r="E689" s="506"/>
      <c r="F689" s="506"/>
      <c r="G689" s="506"/>
      <c r="H689" s="506"/>
      <c r="I689" s="506"/>
      <c r="J689" s="506"/>
      <c r="K689" s="507"/>
      <c r="L689" s="508"/>
      <c r="M689" s="508"/>
      <c r="N689" s="508"/>
      <c r="O689" s="509"/>
      <c r="P689" s="509"/>
    </row>
    <row r="690" spans="1:16" ht="21.75" customHeight="1" x14ac:dyDescent="0.3">
      <c r="A690" s="504"/>
      <c r="B690" s="504"/>
      <c r="C690" s="504"/>
      <c r="D690" s="504"/>
      <c r="E690" s="506"/>
      <c r="F690" s="506"/>
      <c r="G690" s="506"/>
      <c r="H690" s="506"/>
      <c r="I690" s="506"/>
      <c r="J690" s="506"/>
      <c r="K690" s="507"/>
      <c r="L690" s="508"/>
      <c r="M690" s="508"/>
      <c r="N690" s="508"/>
      <c r="O690" s="509"/>
      <c r="P690" s="509"/>
    </row>
    <row r="691" spans="1:16" ht="21.75" customHeight="1" x14ac:dyDescent="0.3">
      <c r="A691" s="504"/>
      <c r="B691" s="504"/>
      <c r="C691" s="504"/>
      <c r="D691" s="504"/>
      <c r="E691" s="506"/>
      <c r="F691" s="506"/>
      <c r="G691" s="506"/>
      <c r="H691" s="506"/>
      <c r="I691" s="506"/>
      <c r="J691" s="506"/>
      <c r="K691" s="507"/>
      <c r="L691" s="508"/>
      <c r="M691" s="508"/>
      <c r="N691" s="508"/>
      <c r="O691" s="509"/>
      <c r="P691" s="509"/>
    </row>
    <row r="692" spans="1:16" ht="21.75" customHeight="1" x14ac:dyDescent="0.3">
      <c r="A692" s="504"/>
      <c r="B692" s="504"/>
      <c r="C692" s="504"/>
      <c r="D692" s="504"/>
      <c r="E692" s="506"/>
      <c r="F692" s="506"/>
      <c r="G692" s="506"/>
      <c r="H692" s="506"/>
      <c r="I692" s="506"/>
      <c r="J692" s="506"/>
      <c r="K692" s="507"/>
      <c r="L692" s="508"/>
      <c r="M692" s="508"/>
      <c r="N692" s="508"/>
      <c r="O692" s="509"/>
      <c r="P692" s="509"/>
    </row>
    <row r="693" spans="1:16" ht="21.75" customHeight="1" x14ac:dyDescent="0.3">
      <c r="A693" s="504"/>
      <c r="B693" s="504"/>
      <c r="C693" s="504"/>
      <c r="D693" s="504"/>
      <c r="E693" s="506"/>
      <c r="F693" s="506"/>
      <c r="G693" s="506"/>
      <c r="H693" s="506"/>
      <c r="I693" s="506"/>
      <c r="J693" s="506"/>
      <c r="K693" s="507"/>
      <c r="L693" s="508"/>
      <c r="M693" s="508"/>
      <c r="N693" s="508"/>
      <c r="O693" s="509"/>
      <c r="P693" s="509"/>
    </row>
    <row r="694" spans="1:16" ht="21.75" customHeight="1" x14ac:dyDescent="0.3">
      <c r="A694" s="504"/>
      <c r="B694" s="504"/>
      <c r="C694" s="504"/>
      <c r="D694" s="504"/>
      <c r="E694" s="506"/>
      <c r="F694" s="506"/>
      <c r="G694" s="506"/>
      <c r="H694" s="506"/>
      <c r="I694" s="506"/>
      <c r="J694" s="506"/>
      <c r="K694" s="507"/>
      <c r="L694" s="508"/>
      <c r="M694" s="508"/>
      <c r="N694" s="508"/>
      <c r="O694" s="509"/>
      <c r="P694" s="509"/>
    </row>
    <row r="695" spans="1:16" ht="21.75" customHeight="1" x14ac:dyDescent="0.3">
      <c r="A695" s="504"/>
      <c r="B695" s="504"/>
      <c r="C695" s="504"/>
      <c r="D695" s="504"/>
      <c r="E695" s="506"/>
      <c r="F695" s="506"/>
      <c r="G695" s="506"/>
      <c r="H695" s="506"/>
      <c r="I695" s="506"/>
      <c r="J695" s="506"/>
      <c r="K695" s="507"/>
      <c r="L695" s="508"/>
      <c r="M695" s="508"/>
      <c r="N695" s="508"/>
      <c r="O695" s="509"/>
      <c r="P695" s="509"/>
    </row>
    <row r="696" spans="1:16" ht="21.75" customHeight="1" x14ac:dyDescent="0.3">
      <c r="A696" s="504"/>
      <c r="B696" s="504"/>
      <c r="C696" s="504"/>
      <c r="D696" s="504"/>
      <c r="E696" s="506"/>
      <c r="F696" s="506"/>
      <c r="G696" s="506"/>
      <c r="H696" s="506"/>
      <c r="I696" s="506"/>
      <c r="J696" s="506"/>
      <c r="K696" s="507"/>
      <c r="L696" s="508"/>
      <c r="M696" s="508"/>
      <c r="N696" s="508"/>
      <c r="O696" s="509"/>
      <c r="P696" s="509"/>
    </row>
    <row r="697" spans="1:16" ht="21.75" customHeight="1" x14ac:dyDescent="0.3">
      <c r="A697" s="504"/>
      <c r="B697" s="504"/>
      <c r="C697" s="504"/>
      <c r="D697" s="504"/>
      <c r="E697" s="506"/>
      <c r="F697" s="506"/>
      <c r="G697" s="506"/>
      <c r="H697" s="506"/>
      <c r="I697" s="506"/>
      <c r="J697" s="506"/>
      <c r="K697" s="507"/>
      <c r="L697" s="508"/>
      <c r="M697" s="508"/>
      <c r="N697" s="508"/>
      <c r="O697" s="509"/>
      <c r="P697" s="509"/>
    </row>
    <row r="698" spans="1:16" ht="21.75" customHeight="1" x14ac:dyDescent="0.3">
      <c r="A698" s="504"/>
      <c r="B698" s="504"/>
      <c r="C698" s="504"/>
      <c r="D698" s="504"/>
      <c r="E698" s="506"/>
      <c r="F698" s="506"/>
      <c r="G698" s="506"/>
      <c r="H698" s="506"/>
      <c r="I698" s="506"/>
      <c r="J698" s="506"/>
      <c r="K698" s="507"/>
      <c r="L698" s="508"/>
      <c r="M698" s="508"/>
      <c r="N698" s="508"/>
      <c r="O698" s="509"/>
      <c r="P698" s="509"/>
    </row>
    <row r="699" spans="1:16" ht="21.75" customHeight="1" x14ac:dyDescent="0.3">
      <c r="A699" s="504"/>
      <c r="B699" s="504"/>
      <c r="C699" s="504"/>
      <c r="D699" s="504"/>
      <c r="E699" s="506"/>
      <c r="F699" s="506"/>
      <c r="G699" s="506"/>
      <c r="H699" s="506"/>
      <c r="I699" s="506"/>
      <c r="J699" s="506"/>
      <c r="K699" s="507"/>
      <c r="L699" s="508"/>
      <c r="M699" s="508"/>
      <c r="N699" s="508"/>
      <c r="O699" s="509"/>
      <c r="P699" s="509"/>
    </row>
    <row r="700" spans="1:16" ht="21.75" customHeight="1" x14ac:dyDescent="0.3">
      <c r="A700" s="504"/>
      <c r="B700" s="504"/>
      <c r="C700" s="504"/>
      <c r="D700" s="504"/>
      <c r="E700" s="506"/>
      <c r="F700" s="506"/>
      <c r="G700" s="506"/>
      <c r="H700" s="506"/>
      <c r="I700" s="506"/>
      <c r="J700" s="506"/>
      <c r="K700" s="507"/>
      <c r="L700" s="508"/>
      <c r="M700" s="508"/>
      <c r="N700" s="508"/>
      <c r="O700" s="509"/>
      <c r="P700" s="509"/>
    </row>
    <row r="701" spans="1:16" ht="21.75" customHeight="1" x14ac:dyDescent="0.3">
      <c r="A701" s="504"/>
      <c r="B701" s="504"/>
      <c r="C701" s="504"/>
      <c r="D701" s="504"/>
      <c r="E701" s="506"/>
      <c r="F701" s="506"/>
      <c r="G701" s="506"/>
      <c r="H701" s="506"/>
      <c r="I701" s="506"/>
      <c r="J701" s="506"/>
      <c r="K701" s="507"/>
      <c r="L701" s="508"/>
      <c r="M701" s="508"/>
      <c r="N701" s="508"/>
      <c r="O701" s="509"/>
      <c r="P701" s="509"/>
    </row>
    <row r="702" spans="1:16" ht="21.75" customHeight="1" x14ac:dyDescent="0.3">
      <c r="A702" s="504"/>
      <c r="B702" s="504"/>
      <c r="C702" s="504"/>
      <c r="D702" s="504"/>
      <c r="E702" s="506"/>
      <c r="F702" s="506"/>
      <c r="G702" s="506"/>
      <c r="H702" s="506"/>
      <c r="I702" s="506"/>
      <c r="J702" s="506"/>
      <c r="K702" s="507"/>
      <c r="L702" s="508"/>
      <c r="M702" s="508"/>
      <c r="N702" s="508"/>
      <c r="O702" s="509"/>
      <c r="P702" s="509"/>
    </row>
    <row r="703" spans="1:16" ht="21.75" customHeight="1" x14ac:dyDescent="0.3">
      <c r="A703" s="504"/>
      <c r="B703" s="504"/>
      <c r="C703" s="504"/>
      <c r="D703" s="504"/>
      <c r="E703" s="506"/>
      <c r="F703" s="506"/>
      <c r="G703" s="506"/>
      <c r="H703" s="506"/>
      <c r="I703" s="506"/>
      <c r="J703" s="506"/>
      <c r="K703" s="507"/>
      <c r="L703" s="508"/>
      <c r="M703" s="508"/>
      <c r="N703" s="508"/>
      <c r="O703" s="509"/>
      <c r="P703" s="509"/>
    </row>
    <row r="704" spans="1:16" ht="21.75" customHeight="1" x14ac:dyDescent="0.3">
      <c r="A704" s="504"/>
      <c r="B704" s="504"/>
      <c r="C704" s="504"/>
      <c r="D704" s="504"/>
      <c r="E704" s="506"/>
      <c r="F704" s="506"/>
      <c r="G704" s="506"/>
      <c r="H704" s="506"/>
      <c r="I704" s="506"/>
      <c r="J704" s="506"/>
      <c r="K704" s="507"/>
      <c r="L704" s="508"/>
      <c r="M704" s="508"/>
      <c r="N704" s="508"/>
      <c r="O704" s="509"/>
      <c r="P704" s="509"/>
    </row>
    <row r="705" spans="1:16" ht="21.75" customHeight="1" x14ac:dyDescent="0.3">
      <c r="A705" s="504"/>
      <c r="B705" s="504"/>
      <c r="C705" s="504"/>
      <c r="D705" s="504"/>
      <c r="E705" s="506"/>
      <c r="F705" s="506"/>
      <c r="G705" s="506"/>
      <c r="H705" s="506"/>
      <c r="I705" s="506"/>
      <c r="J705" s="506"/>
      <c r="K705" s="507"/>
      <c r="L705" s="508"/>
      <c r="M705" s="508"/>
      <c r="N705" s="508"/>
      <c r="O705" s="509"/>
      <c r="P705" s="509"/>
    </row>
    <row r="706" spans="1:16" ht="21.75" customHeight="1" x14ac:dyDescent="0.3">
      <c r="A706" s="504"/>
      <c r="B706" s="504"/>
      <c r="C706" s="504"/>
      <c r="D706" s="504"/>
      <c r="E706" s="506"/>
      <c r="F706" s="506"/>
      <c r="G706" s="506"/>
      <c r="H706" s="506"/>
      <c r="I706" s="506"/>
      <c r="J706" s="506"/>
      <c r="K706" s="507"/>
      <c r="L706" s="508"/>
      <c r="M706" s="508"/>
      <c r="N706" s="508"/>
      <c r="O706" s="509"/>
      <c r="P706" s="509"/>
    </row>
    <row r="707" spans="1:16" ht="21.75" customHeight="1" x14ac:dyDescent="0.3">
      <c r="A707" s="504"/>
      <c r="B707" s="504"/>
      <c r="C707" s="504"/>
      <c r="D707" s="504"/>
      <c r="E707" s="506"/>
      <c r="F707" s="506"/>
      <c r="G707" s="506"/>
      <c r="H707" s="506"/>
      <c r="I707" s="506"/>
      <c r="J707" s="506"/>
      <c r="K707" s="507"/>
      <c r="L707" s="508"/>
      <c r="M707" s="508"/>
      <c r="N707" s="508"/>
      <c r="O707" s="509"/>
      <c r="P707" s="509"/>
    </row>
    <row r="708" spans="1:16" ht="21.75" customHeight="1" x14ac:dyDescent="0.3">
      <c r="A708" s="504"/>
      <c r="B708" s="504"/>
      <c r="C708" s="504"/>
      <c r="D708" s="504"/>
      <c r="E708" s="506"/>
      <c r="F708" s="506"/>
      <c r="G708" s="506"/>
      <c r="H708" s="506"/>
      <c r="I708" s="506"/>
      <c r="J708" s="506"/>
      <c r="K708" s="507"/>
      <c r="L708" s="508"/>
      <c r="M708" s="508"/>
      <c r="N708" s="508"/>
      <c r="O708" s="509"/>
      <c r="P708" s="509"/>
    </row>
    <row r="709" spans="1:16" ht="21.75" customHeight="1" x14ac:dyDescent="0.3">
      <c r="A709" s="504"/>
      <c r="B709" s="504"/>
      <c r="C709" s="504"/>
      <c r="D709" s="504"/>
      <c r="E709" s="506"/>
      <c r="F709" s="506"/>
      <c r="G709" s="506"/>
      <c r="H709" s="506"/>
      <c r="I709" s="506"/>
      <c r="J709" s="506"/>
      <c r="K709" s="507"/>
      <c r="L709" s="508"/>
      <c r="M709" s="508"/>
      <c r="N709" s="508"/>
      <c r="O709" s="509"/>
      <c r="P709" s="509"/>
    </row>
    <row r="710" spans="1:16" ht="21.75" customHeight="1" x14ac:dyDescent="0.3">
      <c r="A710" s="504"/>
      <c r="B710" s="504"/>
      <c r="C710" s="504"/>
      <c r="D710" s="504"/>
      <c r="E710" s="506"/>
      <c r="F710" s="506"/>
      <c r="G710" s="506"/>
      <c r="H710" s="506"/>
      <c r="I710" s="506"/>
      <c r="J710" s="506"/>
      <c r="K710" s="507"/>
      <c r="L710" s="508"/>
      <c r="M710" s="508"/>
      <c r="N710" s="508"/>
      <c r="O710" s="509"/>
      <c r="P710" s="509"/>
    </row>
    <row r="711" spans="1:16" ht="21.75" customHeight="1" x14ac:dyDescent="0.3">
      <c r="A711" s="504"/>
      <c r="B711" s="504"/>
      <c r="C711" s="504"/>
      <c r="D711" s="504"/>
      <c r="E711" s="506"/>
      <c r="F711" s="506"/>
      <c r="G711" s="506"/>
      <c r="H711" s="506"/>
      <c r="I711" s="506"/>
      <c r="J711" s="506"/>
      <c r="K711" s="507"/>
      <c r="L711" s="508"/>
      <c r="M711" s="508"/>
      <c r="N711" s="508"/>
      <c r="O711" s="509"/>
      <c r="P711" s="509"/>
    </row>
    <row r="712" spans="1:16" ht="21.75" customHeight="1" x14ac:dyDescent="0.3">
      <c r="A712" s="504"/>
      <c r="B712" s="504"/>
      <c r="C712" s="504"/>
      <c r="D712" s="504"/>
      <c r="E712" s="506"/>
      <c r="F712" s="506"/>
      <c r="G712" s="506"/>
      <c r="H712" s="506"/>
      <c r="I712" s="506"/>
      <c r="J712" s="506"/>
      <c r="K712" s="507"/>
      <c r="L712" s="508"/>
      <c r="M712" s="508"/>
      <c r="N712" s="508"/>
      <c r="O712" s="509"/>
      <c r="P712" s="509"/>
    </row>
    <row r="713" spans="1:16" ht="21.75" customHeight="1" x14ac:dyDescent="0.3">
      <c r="A713" s="504"/>
      <c r="B713" s="504"/>
      <c r="C713" s="504"/>
      <c r="D713" s="504"/>
      <c r="E713" s="506"/>
      <c r="F713" s="506"/>
      <c r="G713" s="506"/>
      <c r="H713" s="506"/>
      <c r="I713" s="506"/>
      <c r="J713" s="506"/>
      <c r="K713" s="507"/>
      <c r="L713" s="508"/>
      <c r="M713" s="508"/>
      <c r="N713" s="508"/>
      <c r="O713" s="509"/>
      <c r="P713" s="509"/>
    </row>
    <row r="714" spans="1:16" ht="21.75" customHeight="1" x14ac:dyDescent="0.3">
      <c r="A714" s="504"/>
      <c r="B714" s="504"/>
      <c r="C714" s="504"/>
      <c r="D714" s="504"/>
      <c r="E714" s="506"/>
      <c r="F714" s="506"/>
      <c r="G714" s="506"/>
      <c r="H714" s="506"/>
      <c r="I714" s="506"/>
      <c r="J714" s="506"/>
      <c r="K714" s="507"/>
      <c r="L714" s="508"/>
      <c r="M714" s="508"/>
      <c r="N714" s="508"/>
      <c r="O714" s="509"/>
      <c r="P714" s="509"/>
    </row>
    <row r="715" spans="1:16" ht="21.75" customHeight="1" x14ac:dyDescent="0.3">
      <c r="A715" s="504"/>
      <c r="B715" s="504"/>
      <c r="C715" s="504"/>
      <c r="D715" s="504"/>
      <c r="E715" s="506"/>
      <c r="F715" s="506"/>
      <c r="G715" s="506"/>
      <c r="H715" s="506"/>
      <c r="I715" s="506"/>
      <c r="J715" s="506"/>
      <c r="K715" s="507"/>
      <c r="L715" s="508"/>
      <c r="M715" s="508"/>
      <c r="N715" s="508"/>
      <c r="O715" s="509"/>
      <c r="P715" s="509"/>
    </row>
    <row r="716" spans="1:16" ht="21.75" customHeight="1" x14ac:dyDescent="0.3">
      <c r="A716" s="504"/>
      <c r="B716" s="504"/>
      <c r="C716" s="504"/>
      <c r="D716" s="504"/>
      <c r="E716" s="506"/>
      <c r="F716" s="506"/>
      <c r="G716" s="506"/>
      <c r="H716" s="506"/>
      <c r="I716" s="506"/>
      <c r="J716" s="506"/>
      <c r="K716" s="507"/>
      <c r="L716" s="508"/>
      <c r="M716" s="508"/>
      <c r="N716" s="508"/>
      <c r="O716" s="509"/>
      <c r="P716" s="509"/>
    </row>
    <row r="717" spans="1:16" ht="21.75" customHeight="1" x14ac:dyDescent="0.3">
      <c r="A717" s="504"/>
      <c r="B717" s="504"/>
      <c r="C717" s="504"/>
      <c r="D717" s="504"/>
      <c r="E717" s="506"/>
      <c r="F717" s="506"/>
      <c r="G717" s="506"/>
      <c r="H717" s="506"/>
      <c r="I717" s="506"/>
      <c r="J717" s="506"/>
      <c r="K717" s="507"/>
      <c r="L717" s="508"/>
      <c r="M717" s="508"/>
      <c r="N717" s="508"/>
      <c r="O717" s="509"/>
      <c r="P717" s="509"/>
    </row>
    <row r="718" spans="1:16" ht="21.75" customHeight="1" x14ac:dyDescent="0.3">
      <c r="A718" s="504"/>
      <c r="B718" s="504"/>
      <c r="C718" s="504"/>
      <c r="D718" s="504"/>
      <c r="E718" s="506"/>
      <c r="F718" s="506"/>
      <c r="G718" s="506"/>
      <c r="H718" s="506"/>
      <c r="I718" s="506"/>
      <c r="J718" s="506"/>
      <c r="K718" s="507"/>
      <c r="L718" s="508"/>
      <c r="M718" s="508"/>
      <c r="N718" s="508"/>
      <c r="O718" s="509"/>
      <c r="P718" s="509"/>
    </row>
    <row r="719" spans="1:16" ht="21.75" customHeight="1" x14ac:dyDescent="0.3">
      <c r="A719" s="504"/>
      <c r="B719" s="504"/>
      <c r="C719" s="504"/>
      <c r="D719" s="504"/>
      <c r="E719" s="506"/>
      <c r="F719" s="506"/>
      <c r="G719" s="506"/>
      <c r="H719" s="506"/>
      <c r="I719" s="506"/>
      <c r="J719" s="506"/>
      <c r="K719" s="507"/>
      <c r="L719" s="508"/>
      <c r="M719" s="508"/>
      <c r="N719" s="508"/>
      <c r="O719" s="509"/>
      <c r="P719" s="509"/>
    </row>
    <row r="720" spans="1:16" ht="21.75" customHeight="1" x14ac:dyDescent="0.3">
      <c r="A720" s="504"/>
      <c r="B720" s="504"/>
      <c r="C720" s="504"/>
      <c r="D720" s="504"/>
      <c r="E720" s="506"/>
      <c r="F720" s="506"/>
      <c r="G720" s="506"/>
      <c r="H720" s="506"/>
      <c r="I720" s="506"/>
      <c r="J720" s="506"/>
      <c r="K720" s="507"/>
      <c r="L720" s="508"/>
      <c r="M720" s="508"/>
      <c r="N720" s="508"/>
      <c r="O720" s="509"/>
      <c r="P720" s="509"/>
    </row>
    <row r="721" spans="1:16" ht="21.75" customHeight="1" x14ac:dyDescent="0.3">
      <c r="A721" s="504"/>
      <c r="B721" s="504"/>
      <c r="C721" s="504"/>
      <c r="D721" s="504"/>
      <c r="E721" s="506"/>
      <c r="F721" s="506"/>
      <c r="G721" s="506"/>
      <c r="H721" s="506"/>
      <c r="I721" s="506"/>
      <c r="J721" s="506"/>
      <c r="K721" s="507"/>
      <c r="L721" s="508"/>
      <c r="M721" s="508"/>
      <c r="N721" s="508"/>
      <c r="O721" s="509"/>
      <c r="P721" s="509"/>
    </row>
    <row r="722" spans="1:16" ht="21.75" customHeight="1" x14ac:dyDescent="0.3">
      <c r="A722" s="504"/>
      <c r="B722" s="504"/>
      <c r="C722" s="504"/>
      <c r="D722" s="504"/>
      <c r="E722" s="506"/>
      <c r="F722" s="506"/>
      <c r="G722" s="506"/>
      <c r="H722" s="506"/>
      <c r="I722" s="506"/>
      <c r="J722" s="506"/>
      <c r="K722" s="507"/>
      <c r="L722" s="508"/>
      <c r="M722" s="508"/>
      <c r="N722" s="508"/>
      <c r="O722" s="509"/>
      <c r="P722" s="509"/>
    </row>
    <row r="723" spans="1:16" ht="21.75" customHeight="1" x14ac:dyDescent="0.3">
      <c r="A723" s="504"/>
      <c r="B723" s="504"/>
      <c r="C723" s="504"/>
      <c r="D723" s="504"/>
      <c r="E723" s="506"/>
      <c r="F723" s="506"/>
      <c r="G723" s="506"/>
      <c r="H723" s="506"/>
      <c r="I723" s="506"/>
      <c r="J723" s="506"/>
      <c r="K723" s="507"/>
      <c r="L723" s="508"/>
      <c r="M723" s="508"/>
      <c r="N723" s="508"/>
      <c r="O723" s="509"/>
      <c r="P723" s="509"/>
    </row>
    <row r="724" spans="1:16" ht="21.75" customHeight="1" x14ac:dyDescent="0.3">
      <c r="A724" s="504"/>
      <c r="B724" s="504"/>
      <c r="C724" s="504"/>
      <c r="D724" s="504"/>
      <c r="E724" s="506"/>
      <c r="F724" s="506"/>
      <c r="G724" s="506"/>
      <c r="H724" s="506"/>
      <c r="I724" s="506"/>
      <c r="J724" s="506"/>
      <c r="K724" s="507"/>
      <c r="L724" s="508"/>
      <c r="M724" s="508"/>
      <c r="N724" s="508"/>
      <c r="O724" s="509"/>
      <c r="P724" s="509"/>
    </row>
    <row r="725" spans="1:16" ht="21.75" customHeight="1" x14ac:dyDescent="0.3">
      <c r="A725" s="504"/>
      <c r="B725" s="504"/>
      <c r="C725" s="504"/>
      <c r="D725" s="504"/>
      <c r="E725" s="506"/>
      <c r="F725" s="506"/>
      <c r="G725" s="506"/>
      <c r="H725" s="506"/>
      <c r="I725" s="506"/>
      <c r="J725" s="506"/>
      <c r="K725" s="507"/>
      <c r="L725" s="508"/>
      <c r="M725" s="508"/>
      <c r="N725" s="508"/>
      <c r="O725" s="509"/>
      <c r="P725" s="509"/>
    </row>
    <row r="726" spans="1:16" ht="21.75" customHeight="1" x14ac:dyDescent="0.3">
      <c r="A726" s="504"/>
      <c r="B726" s="504"/>
      <c r="C726" s="504"/>
      <c r="D726" s="504"/>
      <c r="E726" s="506"/>
      <c r="F726" s="506"/>
      <c r="G726" s="506"/>
      <c r="H726" s="506"/>
      <c r="I726" s="506"/>
      <c r="J726" s="506"/>
      <c r="K726" s="507"/>
      <c r="L726" s="508"/>
      <c r="M726" s="508"/>
      <c r="N726" s="508"/>
      <c r="O726" s="509"/>
      <c r="P726" s="509"/>
    </row>
    <row r="727" spans="1:16" ht="21.75" customHeight="1" x14ac:dyDescent="0.3">
      <c r="A727" s="504"/>
      <c r="B727" s="504"/>
      <c r="C727" s="504"/>
      <c r="D727" s="504"/>
      <c r="E727" s="506"/>
      <c r="F727" s="506"/>
      <c r="G727" s="506"/>
      <c r="H727" s="506"/>
      <c r="I727" s="506"/>
      <c r="J727" s="506"/>
      <c r="K727" s="507"/>
      <c r="L727" s="508"/>
      <c r="M727" s="508"/>
      <c r="N727" s="508"/>
      <c r="O727" s="509"/>
      <c r="P727" s="509"/>
    </row>
    <row r="728" spans="1:16" ht="21.75" customHeight="1" x14ac:dyDescent="0.3">
      <c r="A728" s="504"/>
      <c r="B728" s="504"/>
      <c r="C728" s="504"/>
      <c r="D728" s="504"/>
      <c r="E728" s="506"/>
      <c r="F728" s="506"/>
      <c r="G728" s="506"/>
      <c r="H728" s="506"/>
      <c r="I728" s="506"/>
      <c r="J728" s="506"/>
      <c r="K728" s="507"/>
      <c r="L728" s="508"/>
      <c r="M728" s="508"/>
      <c r="N728" s="508"/>
      <c r="O728" s="509"/>
      <c r="P728" s="509"/>
    </row>
    <row r="729" spans="1:16" ht="21.75" customHeight="1" x14ac:dyDescent="0.3">
      <c r="A729" s="504"/>
      <c r="B729" s="504"/>
      <c r="C729" s="504"/>
      <c r="D729" s="504"/>
      <c r="E729" s="506"/>
      <c r="F729" s="506"/>
      <c r="G729" s="506"/>
      <c r="H729" s="506"/>
      <c r="I729" s="506"/>
      <c r="J729" s="506"/>
      <c r="K729" s="507"/>
      <c r="L729" s="508"/>
      <c r="M729" s="508"/>
      <c r="N729" s="508"/>
      <c r="O729" s="509"/>
      <c r="P729" s="509"/>
    </row>
    <row r="730" spans="1:16" ht="21.75" customHeight="1" x14ac:dyDescent="0.3">
      <c r="A730" s="504"/>
      <c r="B730" s="504"/>
      <c r="C730" s="504"/>
      <c r="D730" s="504"/>
      <c r="E730" s="506"/>
      <c r="F730" s="506"/>
      <c r="G730" s="506"/>
      <c r="H730" s="506"/>
      <c r="I730" s="506"/>
      <c r="J730" s="506"/>
      <c r="K730" s="507"/>
      <c r="L730" s="508"/>
      <c r="M730" s="508"/>
      <c r="N730" s="508"/>
      <c r="O730" s="509"/>
      <c r="P730" s="509"/>
    </row>
    <row r="731" spans="1:16" ht="21.75" customHeight="1" x14ac:dyDescent="0.3">
      <c r="A731" s="504"/>
      <c r="B731" s="504"/>
      <c r="C731" s="504"/>
      <c r="D731" s="504"/>
      <c r="E731" s="506"/>
      <c r="F731" s="506"/>
      <c r="G731" s="506"/>
      <c r="H731" s="506"/>
      <c r="I731" s="506"/>
      <c r="J731" s="506"/>
      <c r="K731" s="507"/>
      <c r="L731" s="508"/>
      <c r="M731" s="508"/>
      <c r="N731" s="508"/>
      <c r="O731" s="509"/>
      <c r="P731" s="509"/>
    </row>
    <row r="732" spans="1:16" ht="21.75" customHeight="1" x14ac:dyDescent="0.3">
      <c r="A732" s="504"/>
      <c r="B732" s="504"/>
      <c r="C732" s="504"/>
      <c r="D732" s="504"/>
      <c r="E732" s="506"/>
      <c r="F732" s="506"/>
      <c r="G732" s="506"/>
      <c r="H732" s="506"/>
      <c r="I732" s="506"/>
      <c r="J732" s="506"/>
      <c r="K732" s="507"/>
      <c r="L732" s="508"/>
      <c r="M732" s="508"/>
      <c r="N732" s="508"/>
      <c r="O732" s="509"/>
      <c r="P732" s="509"/>
    </row>
    <row r="733" spans="1:16" ht="21.75" customHeight="1" x14ac:dyDescent="0.3">
      <c r="A733" s="504"/>
      <c r="B733" s="504"/>
      <c r="C733" s="504"/>
      <c r="D733" s="504"/>
      <c r="E733" s="506"/>
      <c r="F733" s="506"/>
      <c r="G733" s="506"/>
      <c r="H733" s="506"/>
      <c r="I733" s="506"/>
      <c r="J733" s="506"/>
      <c r="K733" s="507"/>
      <c r="L733" s="508"/>
      <c r="M733" s="508"/>
      <c r="N733" s="508"/>
      <c r="O733" s="509"/>
      <c r="P733" s="509"/>
    </row>
    <row r="734" spans="1:16" ht="21.75" customHeight="1" x14ac:dyDescent="0.3">
      <c r="A734" s="504"/>
      <c r="B734" s="504"/>
      <c r="C734" s="504"/>
      <c r="D734" s="504"/>
      <c r="E734" s="506"/>
      <c r="F734" s="506"/>
      <c r="G734" s="506"/>
      <c r="H734" s="506"/>
      <c r="I734" s="506"/>
      <c r="J734" s="506"/>
      <c r="K734" s="507"/>
      <c r="L734" s="508"/>
      <c r="M734" s="508"/>
      <c r="N734" s="508"/>
      <c r="O734" s="509"/>
      <c r="P734" s="509"/>
    </row>
    <row r="735" spans="1:16" ht="21.75" customHeight="1" x14ac:dyDescent="0.3">
      <c r="A735" s="504"/>
      <c r="B735" s="504"/>
      <c r="C735" s="504"/>
      <c r="D735" s="504"/>
      <c r="E735" s="506"/>
      <c r="F735" s="506"/>
      <c r="G735" s="506"/>
      <c r="H735" s="506"/>
      <c r="I735" s="506"/>
      <c r="J735" s="506"/>
      <c r="K735" s="507"/>
      <c r="L735" s="508"/>
      <c r="M735" s="508"/>
      <c r="N735" s="508"/>
      <c r="O735" s="509"/>
      <c r="P735" s="509"/>
    </row>
    <row r="736" spans="1:16" ht="21.75" customHeight="1" x14ac:dyDescent="0.3">
      <c r="A736" s="504"/>
      <c r="B736" s="504"/>
      <c r="C736" s="504"/>
      <c r="D736" s="504"/>
      <c r="E736" s="506"/>
      <c r="F736" s="506"/>
      <c r="G736" s="506"/>
      <c r="H736" s="506"/>
      <c r="I736" s="506"/>
      <c r="J736" s="506"/>
      <c r="K736" s="507"/>
      <c r="L736" s="508"/>
      <c r="M736" s="508"/>
      <c r="N736" s="508"/>
      <c r="O736" s="509"/>
      <c r="P736" s="509"/>
    </row>
    <row r="737" spans="1:16" ht="21.75" customHeight="1" x14ac:dyDescent="0.3">
      <c r="A737" s="504"/>
      <c r="B737" s="504"/>
      <c r="C737" s="504"/>
      <c r="D737" s="504"/>
      <c r="E737" s="506"/>
      <c r="F737" s="506"/>
      <c r="G737" s="506"/>
      <c r="H737" s="506"/>
      <c r="I737" s="506"/>
      <c r="J737" s="506"/>
      <c r="K737" s="507"/>
      <c r="L737" s="508"/>
      <c r="M737" s="508"/>
      <c r="N737" s="508"/>
      <c r="O737" s="509"/>
      <c r="P737" s="509"/>
    </row>
    <row r="738" spans="1:16" ht="21.75" customHeight="1" x14ac:dyDescent="0.3">
      <c r="A738" s="504"/>
      <c r="B738" s="504"/>
      <c r="C738" s="504"/>
      <c r="D738" s="504"/>
      <c r="E738" s="506"/>
      <c r="F738" s="506"/>
      <c r="G738" s="506"/>
      <c r="H738" s="506"/>
      <c r="I738" s="506"/>
      <c r="J738" s="506"/>
      <c r="K738" s="507"/>
      <c r="L738" s="508"/>
      <c r="M738" s="508"/>
      <c r="N738" s="508"/>
      <c r="O738" s="509"/>
      <c r="P738" s="509"/>
    </row>
    <row r="739" spans="1:16" ht="21.75" customHeight="1" x14ac:dyDescent="0.3">
      <c r="A739" s="504"/>
      <c r="B739" s="504"/>
      <c r="C739" s="504"/>
      <c r="D739" s="504"/>
      <c r="E739" s="506"/>
      <c r="F739" s="506"/>
      <c r="G739" s="506"/>
      <c r="H739" s="506"/>
      <c r="I739" s="506"/>
      <c r="J739" s="506"/>
      <c r="K739" s="507"/>
      <c r="L739" s="508"/>
      <c r="M739" s="508"/>
      <c r="N739" s="508"/>
      <c r="O739" s="509"/>
      <c r="P739" s="509"/>
    </row>
    <row r="740" spans="1:16" ht="21.75" customHeight="1" x14ac:dyDescent="0.3">
      <c r="A740" s="504"/>
      <c r="B740" s="504"/>
      <c r="C740" s="504"/>
      <c r="D740" s="504"/>
      <c r="E740" s="506"/>
      <c r="F740" s="506"/>
      <c r="G740" s="506"/>
      <c r="H740" s="506"/>
      <c r="I740" s="506"/>
      <c r="J740" s="506"/>
      <c r="K740" s="507"/>
      <c r="L740" s="508"/>
      <c r="M740" s="508"/>
      <c r="N740" s="508"/>
      <c r="O740" s="509"/>
      <c r="P740" s="509"/>
    </row>
    <row r="741" spans="1:16" ht="21.75" customHeight="1" x14ac:dyDescent="0.3">
      <c r="A741" s="504"/>
      <c r="B741" s="504"/>
      <c r="C741" s="504"/>
      <c r="D741" s="504"/>
      <c r="E741" s="506"/>
      <c r="F741" s="506"/>
      <c r="G741" s="506"/>
      <c r="H741" s="506"/>
      <c r="I741" s="506"/>
      <c r="J741" s="506"/>
      <c r="K741" s="507"/>
      <c r="L741" s="508"/>
      <c r="M741" s="508"/>
      <c r="N741" s="508"/>
      <c r="O741" s="509"/>
      <c r="P741" s="509"/>
    </row>
    <row r="742" spans="1:16" ht="21.75" customHeight="1" x14ac:dyDescent="0.3">
      <c r="A742" s="504"/>
      <c r="B742" s="504"/>
      <c r="C742" s="504"/>
      <c r="D742" s="504"/>
      <c r="E742" s="506"/>
      <c r="F742" s="506"/>
      <c r="G742" s="506"/>
      <c r="H742" s="506"/>
      <c r="I742" s="506"/>
      <c r="J742" s="506"/>
      <c r="K742" s="507"/>
      <c r="L742" s="508"/>
      <c r="M742" s="508"/>
      <c r="N742" s="508"/>
      <c r="O742" s="509"/>
      <c r="P742" s="509"/>
    </row>
    <row r="743" spans="1:16" ht="21.75" customHeight="1" x14ac:dyDescent="0.3">
      <c r="A743" s="504"/>
      <c r="B743" s="504"/>
      <c r="C743" s="504"/>
      <c r="D743" s="504"/>
      <c r="E743" s="506"/>
      <c r="F743" s="506"/>
      <c r="G743" s="506"/>
      <c r="H743" s="506"/>
      <c r="I743" s="506"/>
      <c r="J743" s="506"/>
      <c r="K743" s="507"/>
      <c r="L743" s="508"/>
      <c r="M743" s="508"/>
      <c r="N743" s="508"/>
      <c r="O743" s="509"/>
      <c r="P743" s="509"/>
    </row>
    <row r="744" spans="1:16" ht="21.75" customHeight="1" x14ac:dyDescent="0.3">
      <c r="A744" s="504"/>
      <c r="B744" s="504"/>
      <c r="C744" s="504"/>
      <c r="D744" s="504"/>
      <c r="E744" s="506"/>
      <c r="F744" s="506"/>
      <c r="G744" s="506"/>
      <c r="H744" s="506"/>
      <c r="I744" s="506"/>
      <c r="J744" s="506"/>
      <c r="K744" s="507"/>
      <c r="L744" s="508"/>
      <c r="M744" s="508"/>
      <c r="N744" s="508"/>
      <c r="O744" s="509"/>
      <c r="P744" s="509"/>
    </row>
    <row r="745" spans="1:16" ht="21.75" customHeight="1" x14ac:dyDescent="0.3">
      <c r="A745" s="504"/>
      <c r="B745" s="504"/>
      <c r="C745" s="504"/>
      <c r="D745" s="504"/>
      <c r="E745" s="506"/>
      <c r="F745" s="506"/>
      <c r="G745" s="506"/>
      <c r="H745" s="506"/>
      <c r="I745" s="506"/>
      <c r="J745" s="506"/>
      <c r="K745" s="507"/>
      <c r="L745" s="508"/>
      <c r="M745" s="508"/>
      <c r="N745" s="508"/>
      <c r="O745" s="509"/>
      <c r="P745" s="509"/>
    </row>
    <row r="746" spans="1:16" ht="21.75" customHeight="1" x14ac:dyDescent="0.3">
      <c r="A746" s="504"/>
      <c r="B746" s="504"/>
      <c r="C746" s="504"/>
      <c r="D746" s="504"/>
      <c r="E746" s="506"/>
      <c r="F746" s="506"/>
      <c r="G746" s="506"/>
      <c r="H746" s="506"/>
      <c r="I746" s="506"/>
      <c r="J746" s="506"/>
      <c r="K746" s="507"/>
      <c r="L746" s="508"/>
      <c r="M746" s="508"/>
      <c r="N746" s="508"/>
      <c r="O746" s="509"/>
      <c r="P746" s="509"/>
    </row>
    <row r="747" spans="1:16" ht="21.75" customHeight="1" x14ac:dyDescent="0.3">
      <c r="A747" s="504"/>
      <c r="B747" s="504"/>
      <c r="C747" s="504"/>
      <c r="D747" s="504"/>
      <c r="E747" s="506"/>
      <c r="F747" s="506"/>
      <c r="G747" s="506"/>
      <c r="H747" s="506"/>
      <c r="I747" s="506"/>
      <c r="J747" s="506"/>
      <c r="K747" s="507"/>
      <c r="L747" s="508"/>
      <c r="M747" s="508"/>
      <c r="N747" s="508"/>
      <c r="O747" s="509"/>
      <c r="P747" s="509"/>
    </row>
    <row r="748" spans="1:16" ht="21.75" customHeight="1" x14ac:dyDescent="0.3">
      <c r="A748" s="504"/>
      <c r="B748" s="504"/>
      <c r="C748" s="504"/>
      <c r="D748" s="504"/>
      <c r="E748" s="506"/>
      <c r="F748" s="506"/>
      <c r="G748" s="506"/>
      <c r="H748" s="506"/>
      <c r="I748" s="506"/>
      <c r="J748" s="506"/>
      <c r="K748" s="507"/>
      <c r="L748" s="508"/>
      <c r="M748" s="508"/>
      <c r="N748" s="508"/>
      <c r="O748" s="509"/>
      <c r="P748" s="509"/>
    </row>
    <row r="749" spans="1:16" ht="21.75" customHeight="1" x14ac:dyDescent="0.3">
      <c r="A749" s="504"/>
      <c r="B749" s="504"/>
      <c r="C749" s="504"/>
      <c r="D749" s="504"/>
      <c r="E749" s="506"/>
      <c r="F749" s="506"/>
      <c r="G749" s="506"/>
      <c r="H749" s="506"/>
      <c r="I749" s="506"/>
      <c r="J749" s="506"/>
      <c r="K749" s="507"/>
      <c r="L749" s="508"/>
      <c r="M749" s="508"/>
      <c r="N749" s="508"/>
      <c r="O749" s="509"/>
      <c r="P749" s="509"/>
    </row>
    <row r="750" spans="1:16" ht="21.75" customHeight="1" x14ac:dyDescent="0.3">
      <c r="A750" s="504"/>
      <c r="B750" s="504"/>
      <c r="C750" s="504"/>
      <c r="D750" s="504"/>
      <c r="E750" s="506"/>
      <c r="F750" s="506"/>
      <c r="G750" s="506"/>
      <c r="H750" s="506"/>
      <c r="I750" s="506"/>
      <c r="J750" s="506"/>
      <c r="K750" s="507"/>
      <c r="L750" s="508"/>
      <c r="M750" s="508"/>
      <c r="N750" s="508"/>
      <c r="O750" s="509"/>
      <c r="P750" s="509"/>
    </row>
    <row r="751" spans="1:16" ht="21.75" customHeight="1" x14ac:dyDescent="0.3">
      <c r="A751" s="504"/>
      <c r="B751" s="504"/>
      <c r="C751" s="504"/>
      <c r="D751" s="504"/>
      <c r="E751" s="506"/>
      <c r="F751" s="506"/>
      <c r="G751" s="506"/>
      <c r="H751" s="506"/>
      <c r="I751" s="506"/>
      <c r="J751" s="506"/>
      <c r="K751" s="507"/>
      <c r="L751" s="508"/>
      <c r="M751" s="508"/>
      <c r="N751" s="508"/>
      <c r="O751" s="509"/>
      <c r="P751" s="509"/>
    </row>
    <row r="752" spans="1:16" ht="21.75" customHeight="1" x14ac:dyDescent="0.3">
      <c r="A752" s="504"/>
      <c r="B752" s="504"/>
      <c r="C752" s="504"/>
      <c r="D752" s="504"/>
      <c r="E752" s="506"/>
      <c r="F752" s="506"/>
      <c r="G752" s="506"/>
      <c r="H752" s="506"/>
      <c r="I752" s="506"/>
      <c r="J752" s="506"/>
      <c r="K752" s="507"/>
      <c r="L752" s="508"/>
      <c r="M752" s="508"/>
      <c r="N752" s="508"/>
      <c r="O752" s="509"/>
      <c r="P752" s="509"/>
    </row>
    <row r="753" spans="1:16" ht="21.75" customHeight="1" x14ac:dyDescent="0.3">
      <c r="A753" s="504"/>
      <c r="B753" s="504"/>
      <c r="C753" s="504"/>
      <c r="D753" s="504"/>
      <c r="E753" s="506"/>
      <c r="F753" s="506"/>
      <c r="G753" s="506"/>
      <c r="H753" s="506"/>
      <c r="I753" s="506"/>
      <c r="J753" s="506"/>
      <c r="K753" s="507"/>
      <c r="L753" s="508"/>
      <c r="M753" s="508"/>
      <c r="N753" s="508"/>
      <c r="O753" s="509"/>
      <c r="P753" s="509"/>
    </row>
    <row r="754" spans="1:16" ht="21.75" customHeight="1" x14ac:dyDescent="0.3">
      <c r="A754" s="504"/>
      <c r="B754" s="504"/>
      <c r="C754" s="504"/>
      <c r="D754" s="504"/>
      <c r="E754" s="506"/>
      <c r="F754" s="506"/>
      <c r="G754" s="506"/>
      <c r="H754" s="506"/>
      <c r="I754" s="506"/>
      <c r="J754" s="506"/>
      <c r="K754" s="507"/>
      <c r="L754" s="508"/>
      <c r="M754" s="508"/>
      <c r="N754" s="508"/>
      <c r="O754" s="509"/>
      <c r="P754" s="509"/>
    </row>
    <row r="755" spans="1:16" ht="21.75" customHeight="1" x14ac:dyDescent="0.3">
      <c r="A755" s="504"/>
      <c r="B755" s="504"/>
      <c r="C755" s="504"/>
      <c r="D755" s="504"/>
      <c r="E755" s="506"/>
      <c r="F755" s="506"/>
      <c r="G755" s="506"/>
      <c r="H755" s="506"/>
      <c r="I755" s="506"/>
      <c r="J755" s="506"/>
      <c r="K755" s="507"/>
      <c r="L755" s="508"/>
      <c r="M755" s="508"/>
      <c r="N755" s="508"/>
      <c r="O755" s="509"/>
      <c r="P755" s="509"/>
    </row>
    <row r="756" spans="1:16" ht="21.75" customHeight="1" x14ac:dyDescent="0.3">
      <c r="A756" s="504"/>
      <c r="B756" s="504"/>
      <c r="C756" s="504"/>
      <c r="D756" s="504"/>
      <c r="E756" s="506"/>
      <c r="F756" s="506"/>
      <c r="G756" s="506"/>
      <c r="H756" s="506"/>
      <c r="I756" s="506"/>
      <c r="J756" s="506"/>
      <c r="K756" s="507"/>
      <c r="L756" s="508"/>
      <c r="M756" s="508"/>
      <c r="N756" s="508"/>
      <c r="O756" s="509"/>
      <c r="P756" s="509"/>
    </row>
    <row r="757" spans="1:16" ht="21.75" customHeight="1" x14ac:dyDescent="0.3">
      <c r="A757" s="504"/>
      <c r="B757" s="504"/>
      <c r="C757" s="504"/>
      <c r="D757" s="504"/>
      <c r="E757" s="506"/>
      <c r="F757" s="506"/>
      <c r="G757" s="506"/>
      <c r="H757" s="506"/>
      <c r="I757" s="506"/>
      <c r="J757" s="506"/>
      <c r="K757" s="507"/>
      <c r="L757" s="508"/>
      <c r="M757" s="508"/>
      <c r="N757" s="508"/>
      <c r="O757" s="509"/>
      <c r="P757" s="509"/>
    </row>
    <row r="758" spans="1:16" ht="21.75" customHeight="1" x14ac:dyDescent="0.3">
      <c r="A758" s="504"/>
      <c r="B758" s="504"/>
      <c r="C758" s="504"/>
      <c r="D758" s="504"/>
      <c r="E758" s="506"/>
      <c r="F758" s="506"/>
      <c r="G758" s="506"/>
      <c r="H758" s="506"/>
      <c r="I758" s="506"/>
      <c r="J758" s="506"/>
      <c r="K758" s="507"/>
      <c r="L758" s="508"/>
      <c r="M758" s="508"/>
      <c r="N758" s="508"/>
      <c r="O758" s="509"/>
      <c r="P758" s="509"/>
    </row>
    <row r="759" spans="1:16" ht="21.75" customHeight="1" x14ac:dyDescent="0.3">
      <c r="A759" s="504"/>
      <c r="B759" s="504"/>
      <c r="C759" s="504"/>
      <c r="D759" s="504"/>
      <c r="E759" s="506"/>
      <c r="F759" s="506"/>
      <c r="G759" s="506"/>
      <c r="H759" s="506"/>
      <c r="I759" s="506"/>
      <c r="J759" s="506"/>
      <c r="K759" s="507"/>
      <c r="L759" s="508"/>
      <c r="M759" s="508"/>
      <c r="N759" s="508"/>
      <c r="O759" s="509"/>
      <c r="P759" s="509"/>
    </row>
    <row r="760" spans="1:16" ht="21.75" customHeight="1" x14ac:dyDescent="0.3">
      <c r="A760" s="504"/>
      <c r="B760" s="504"/>
      <c r="C760" s="504"/>
      <c r="D760" s="504"/>
      <c r="E760" s="506"/>
      <c r="F760" s="506"/>
      <c r="G760" s="506"/>
      <c r="H760" s="506"/>
      <c r="I760" s="506"/>
      <c r="J760" s="506"/>
      <c r="K760" s="507"/>
      <c r="L760" s="508"/>
      <c r="M760" s="508"/>
      <c r="N760" s="508"/>
      <c r="O760" s="509"/>
      <c r="P760" s="509"/>
    </row>
    <row r="761" spans="1:16" ht="21.75" customHeight="1" x14ac:dyDescent="0.3">
      <c r="A761" s="504"/>
      <c r="B761" s="504"/>
      <c r="C761" s="504"/>
      <c r="D761" s="504"/>
      <c r="E761" s="506"/>
      <c r="F761" s="506"/>
      <c r="G761" s="506"/>
      <c r="H761" s="506"/>
      <c r="I761" s="506"/>
      <c r="J761" s="506"/>
      <c r="K761" s="507"/>
      <c r="L761" s="508"/>
      <c r="M761" s="508"/>
      <c r="N761" s="508"/>
      <c r="O761" s="509"/>
      <c r="P761" s="509"/>
    </row>
    <row r="762" spans="1:16" ht="21.75" customHeight="1" x14ac:dyDescent="0.3">
      <c r="A762" s="504"/>
      <c r="B762" s="504"/>
      <c r="C762" s="504"/>
      <c r="D762" s="504"/>
      <c r="E762" s="506"/>
      <c r="F762" s="506"/>
      <c r="G762" s="506"/>
      <c r="H762" s="506"/>
      <c r="I762" s="506"/>
      <c r="J762" s="506"/>
      <c r="K762" s="507"/>
      <c r="L762" s="508"/>
      <c r="M762" s="508"/>
      <c r="N762" s="508"/>
      <c r="O762" s="509"/>
      <c r="P762" s="509"/>
    </row>
    <row r="763" spans="1:16" ht="21.75" customHeight="1" x14ac:dyDescent="0.3">
      <c r="A763" s="504"/>
      <c r="B763" s="504"/>
      <c r="C763" s="504"/>
      <c r="D763" s="504"/>
      <c r="E763" s="506"/>
      <c r="F763" s="506"/>
      <c r="G763" s="506"/>
      <c r="H763" s="506"/>
      <c r="I763" s="506"/>
      <c r="J763" s="506"/>
      <c r="K763" s="507"/>
      <c r="L763" s="508"/>
      <c r="M763" s="508"/>
      <c r="N763" s="508"/>
      <c r="O763" s="509"/>
      <c r="P763" s="509"/>
    </row>
    <row r="764" spans="1:16" ht="21.75" customHeight="1" x14ac:dyDescent="0.3">
      <c r="A764" s="504"/>
      <c r="B764" s="504"/>
      <c r="C764" s="504"/>
      <c r="D764" s="504"/>
      <c r="E764" s="506"/>
      <c r="F764" s="506"/>
      <c r="G764" s="506"/>
      <c r="H764" s="506"/>
      <c r="I764" s="506"/>
      <c r="J764" s="506"/>
      <c r="K764" s="507"/>
      <c r="L764" s="508"/>
      <c r="M764" s="508"/>
      <c r="N764" s="508"/>
      <c r="O764" s="509"/>
      <c r="P764" s="509"/>
    </row>
    <row r="765" spans="1:16" ht="21.75" customHeight="1" x14ac:dyDescent="0.3">
      <c r="A765" s="504"/>
      <c r="B765" s="504"/>
      <c r="C765" s="504"/>
      <c r="D765" s="504"/>
      <c r="E765" s="506"/>
      <c r="F765" s="506"/>
      <c r="G765" s="506"/>
      <c r="H765" s="506"/>
      <c r="I765" s="506"/>
      <c r="J765" s="506"/>
      <c r="K765" s="507"/>
      <c r="L765" s="508"/>
      <c r="M765" s="508"/>
      <c r="N765" s="508"/>
      <c r="O765" s="509"/>
      <c r="P765" s="509"/>
    </row>
    <row r="766" spans="1:16" ht="21.75" customHeight="1" x14ac:dyDescent="0.3">
      <c r="A766" s="504"/>
      <c r="B766" s="504"/>
      <c r="C766" s="504"/>
      <c r="D766" s="504"/>
      <c r="E766" s="506"/>
      <c r="F766" s="506"/>
      <c r="G766" s="506"/>
      <c r="H766" s="506"/>
      <c r="I766" s="506"/>
      <c r="J766" s="506"/>
      <c r="K766" s="507"/>
      <c r="L766" s="508"/>
      <c r="M766" s="508"/>
      <c r="N766" s="508"/>
      <c r="O766" s="509"/>
      <c r="P766" s="509"/>
    </row>
    <row r="767" spans="1:16" ht="21.75" customHeight="1" x14ac:dyDescent="0.3">
      <c r="A767" s="504"/>
      <c r="B767" s="504"/>
      <c r="C767" s="504"/>
      <c r="D767" s="504"/>
      <c r="E767" s="506"/>
      <c r="F767" s="506"/>
      <c r="G767" s="506"/>
      <c r="H767" s="506"/>
      <c r="I767" s="506"/>
      <c r="J767" s="506"/>
      <c r="K767" s="507"/>
      <c r="L767" s="508"/>
      <c r="M767" s="508"/>
      <c r="N767" s="508"/>
      <c r="O767" s="509"/>
      <c r="P767" s="509"/>
    </row>
    <row r="768" spans="1:16" ht="21.75" customHeight="1" x14ac:dyDescent="0.3">
      <c r="A768" s="504"/>
      <c r="B768" s="504"/>
      <c r="C768" s="504"/>
      <c r="D768" s="504"/>
      <c r="E768" s="506"/>
      <c r="F768" s="506"/>
      <c r="G768" s="506"/>
      <c r="H768" s="506"/>
      <c r="I768" s="506"/>
      <c r="J768" s="506"/>
      <c r="K768" s="507"/>
      <c r="L768" s="508"/>
      <c r="M768" s="508"/>
      <c r="N768" s="508"/>
      <c r="O768" s="509"/>
      <c r="P768" s="509"/>
    </row>
    <row r="769" spans="1:16" ht="21.75" customHeight="1" x14ac:dyDescent="0.3">
      <c r="A769" s="504"/>
      <c r="B769" s="504"/>
      <c r="C769" s="504"/>
      <c r="D769" s="504"/>
      <c r="E769" s="506"/>
      <c r="F769" s="506"/>
      <c r="G769" s="506"/>
      <c r="H769" s="506"/>
      <c r="I769" s="506"/>
      <c r="J769" s="506"/>
      <c r="K769" s="507"/>
      <c r="L769" s="508"/>
      <c r="M769" s="508"/>
      <c r="N769" s="508"/>
      <c r="O769" s="509"/>
      <c r="P769" s="509"/>
    </row>
    <row r="770" spans="1:16" ht="21.75" customHeight="1" x14ac:dyDescent="0.3">
      <c r="A770" s="504"/>
      <c r="B770" s="504"/>
      <c r="C770" s="504"/>
      <c r="D770" s="504"/>
      <c r="E770" s="506"/>
      <c r="F770" s="506"/>
      <c r="G770" s="506"/>
      <c r="H770" s="506"/>
      <c r="I770" s="506"/>
      <c r="J770" s="506"/>
      <c r="K770" s="507"/>
      <c r="L770" s="508"/>
      <c r="M770" s="508"/>
      <c r="N770" s="508"/>
      <c r="O770" s="509"/>
      <c r="P770" s="509"/>
    </row>
    <row r="771" spans="1:16" ht="21.75" customHeight="1" x14ac:dyDescent="0.3">
      <c r="A771" s="504"/>
      <c r="B771" s="504"/>
      <c r="C771" s="504"/>
      <c r="D771" s="504"/>
      <c r="E771" s="506"/>
      <c r="F771" s="506"/>
      <c r="G771" s="506"/>
      <c r="H771" s="506"/>
      <c r="I771" s="506"/>
      <c r="J771" s="506"/>
      <c r="K771" s="507"/>
      <c r="L771" s="508"/>
      <c r="M771" s="508"/>
      <c r="N771" s="508"/>
      <c r="O771" s="509"/>
      <c r="P771" s="509"/>
    </row>
    <row r="772" spans="1:16" ht="21.75" customHeight="1" x14ac:dyDescent="0.3">
      <c r="A772" s="504"/>
      <c r="B772" s="504"/>
      <c r="C772" s="504"/>
      <c r="D772" s="504"/>
      <c r="E772" s="506"/>
      <c r="F772" s="506"/>
      <c r="G772" s="506"/>
      <c r="H772" s="506"/>
      <c r="I772" s="506"/>
      <c r="J772" s="506"/>
      <c r="K772" s="507"/>
      <c r="L772" s="508"/>
      <c r="M772" s="508"/>
      <c r="N772" s="508"/>
      <c r="O772" s="509"/>
      <c r="P772" s="509"/>
    </row>
    <row r="773" spans="1:16" ht="21.75" customHeight="1" x14ac:dyDescent="0.3">
      <c r="A773" s="504"/>
      <c r="B773" s="504"/>
      <c r="C773" s="504"/>
      <c r="D773" s="504"/>
      <c r="E773" s="506"/>
      <c r="F773" s="506"/>
      <c r="G773" s="506"/>
      <c r="H773" s="506"/>
      <c r="I773" s="506"/>
      <c r="J773" s="506"/>
      <c r="K773" s="507"/>
      <c r="L773" s="508"/>
      <c r="M773" s="508"/>
      <c r="N773" s="508"/>
      <c r="O773" s="509"/>
      <c r="P773" s="509"/>
    </row>
    <row r="774" spans="1:16" ht="21.75" customHeight="1" x14ac:dyDescent="0.3">
      <c r="A774" s="504"/>
      <c r="B774" s="504"/>
      <c r="C774" s="504"/>
      <c r="D774" s="504"/>
      <c r="E774" s="506"/>
      <c r="F774" s="506"/>
      <c r="G774" s="506"/>
      <c r="H774" s="506"/>
      <c r="I774" s="506"/>
      <c r="J774" s="506"/>
      <c r="K774" s="507"/>
      <c r="L774" s="508"/>
      <c r="M774" s="508"/>
      <c r="N774" s="508"/>
      <c r="O774" s="509"/>
      <c r="P774" s="509"/>
    </row>
    <row r="775" spans="1:16" ht="21.75" customHeight="1" x14ac:dyDescent="0.3">
      <c r="A775" s="504"/>
      <c r="B775" s="504"/>
      <c r="C775" s="504"/>
      <c r="D775" s="504"/>
      <c r="E775" s="506"/>
      <c r="F775" s="506"/>
      <c r="G775" s="506"/>
      <c r="H775" s="506"/>
      <c r="I775" s="506"/>
      <c r="J775" s="506"/>
      <c r="K775" s="507"/>
      <c r="L775" s="508"/>
      <c r="M775" s="508"/>
      <c r="N775" s="508"/>
      <c r="O775" s="509"/>
      <c r="P775" s="509"/>
    </row>
    <row r="776" spans="1:16" ht="21.75" customHeight="1" x14ac:dyDescent="0.3">
      <c r="A776" s="504"/>
      <c r="B776" s="504"/>
      <c r="C776" s="504"/>
      <c r="D776" s="504"/>
      <c r="E776" s="506"/>
      <c r="F776" s="506"/>
      <c r="G776" s="506"/>
      <c r="H776" s="506"/>
      <c r="I776" s="506"/>
      <c r="J776" s="506"/>
      <c r="K776" s="507"/>
      <c r="L776" s="508"/>
      <c r="M776" s="508"/>
      <c r="N776" s="508"/>
      <c r="O776" s="509"/>
      <c r="P776" s="509"/>
    </row>
    <row r="777" spans="1:16" ht="21.75" customHeight="1" x14ac:dyDescent="0.3">
      <c r="A777" s="504"/>
      <c r="B777" s="504"/>
      <c r="C777" s="504"/>
      <c r="D777" s="504"/>
      <c r="E777" s="506"/>
      <c r="F777" s="506"/>
      <c r="G777" s="506"/>
      <c r="H777" s="506"/>
      <c r="I777" s="506"/>
      <c r="J777" s="506"/>
      <c r="K777" s="507"/>
      <c r="L777" s="508"/>
      <c r="M777" s="508"/>
      <c r="N777" s="508"/>
      <c r="O777" s="509"/>
      <c r="P777" s="509"/>
    </row>
    <row r="778" spans="1:16" ht="21.75" customHeight="1" x14ac:dyDescent="0.3">
      <c r="A778" s="504"/>
      <c r="B778" s="504"/>
      <c r="C778" s="504"/>
      <c r="D778" s="504"/>
      <c r="E778" s="506"/>
      <c r="F778" s="506"/>
      <c r="G778" s="506"/>
      <c r="H778" s="506"/>
      <c r="I778" s="506"/>
      <c r="J778" s="506"/>
      <c r="K778" s="507"/>
      <c r="L778" s="508"/>
      <c r="M778" s="508"/>
      <c r="N778" s="508"/>
      <c r="O778" s="509"/>
      <c r="P778" s="509"/>
    </row>
    <row r="779" spans="1:16" ht="21.75" customHeight="1" x14ac:dyDescent="0.3">
      <c r="A779" s="504"/>
      <c r="B779" s="504"/>
      <c r="C779" s="504"/>
      <c r="D779" s="504"/>
      <c r="E779" s="506"/>
      <c r="F779" s="506"/>
      <c r="G779" s="506"/>
      <c r="H779" s="506"/>
      <c r="I779" s="506"/>
      <c r="J779" s="506"/>
      <c r="K779" s="507"/>
      <c r="L779" s="508"/>
      <c r="M779" s="508"/>
      <c r="N779" s="508"/>
      <c r="O779" s="509"/>
      <c r="P779" s="509"/>
    </row>
    <row r="780" spans="1:16" ht="21.75" customHeight="1" x14ac:dyDescent="0.3">
      <c r="A780" s="504"/>
      <c r="B780" s="504"/>
      <c r="C780" s="504"/>
      <c r="D780" s="504"/>
      <c r="E780" s="506"/>
      <c r="F780" s="506"/>
      <c r="G780" s="506"/>
      <c r="H780" s="506"/>
      <c r="I780" s="506"/>
      <c r="J780" s="506"/>
      <c r="K780" s="507"/>
      <c r="L780" s="508"/>
      <c r="M780" s="508"/>
      <c r="N780" s="508"/>
      <c r="O780" s="509"/>
      <c r="P780" s="509"/>
    </row>
    <row r="781" spans="1:16" ht="21.75" customHeight="1" x14ac:dyDescent="0.3">
      <c r="A781" s="504"/>
      <c r="B781" s="504"/>
      <c r="C781" s="504"/>
      <c r="D781" s="504"/>
      <c r="E781" s="506"/>
      <c r="F781" s="506"/>
      <c r="G781" s="506"/>
      <c r="H781" s="506"/>
      <c r="I781" s="506"/>
      <c r="J781" s="506"/>
      <c r="K781" s="507"/>
      <c r="L781" s="508"/>
      <c r="M781" s="508"/>
      <c r="N781" s="508"/>
      <c r="O781" s="509"/>
      <c r="P781" s="509"/>
    </row>
    <row r="782" spans="1:16" ht="21.75" customHeight="1" x14ac:dyDescent="0.3">
      <c r="A782" s="504"/>
      <c r="B782" s="504"/>
      <c r="C782" s="504"/>
      <c r="D782" s="504"/>
      <c r="E782" s="506"/>
      <c r="F782" s="506"/>
      <c r="G782" s="506"/>
      <c r="H782" s="506"/>
      <c r="I782" s="506"/>
      <c r="J782" s="506"/>
      <c r="K782" s="507"/>
      <c r="L782" s="508"/>
      <c r="M782" s="508"/>
      <c r="N782" s="508"/>
      <c r="O782" s="509"/>
      <c r="P782" s="509"/>
    </row>
    <row r="783" spans="1:16" ht="21.75" customHeight="1" x14ac:dyDescent="0.3">
      <c r="A783" s="504"/>
      <c r="B783" s="504"/>
      <c r="C783" s="504"/>
      <c r="D783" s="504"/>
      <c r="E783" s="506"/>
      <c r="F783" s="506"/>
      <c r="G783" s="506"/>
      <c r="H783" s="506"/>
      <c r="I783" s="506"/>
      <c r="J783" s="506"/>
      <c r="K783" s="507"/>
      <c r="L783" s="508"/>
      <c r="M783" s="508"/>
      <c r="N783" s="508"/>
      <c r="O783" s="509"/>
      <c r="P783" s="509"/>
    </row>
    <row r="784" spans="1:16" ht="21.75" customHeight="1" x14ac:dyDescent="0.3">
      <c r="A784" s="504"/>
      <c r="B784" s="504"/>
      <c r="C784" s="504"/>
      <c r="D784" s="504"/>
      <c r="E784" s="506"/>
      <c r="F784" s="506"/>
      <c r="G784" s="506"/>
      <c r="H784" s="506"/>
      <c r="I784" s="506"/>
      <c r="J784" s="506"/>
      <c r="K784" s="507"/>
      <c r="L784" s="508"/>
      <c r="M784" s="508"/>
      <c r="N784" s="508"/>
      <c r="O784" s="509"/>
      <c r="P784" s="509"/>
    </row>
    <row r="785" spans="1:16" ht="21.75" customHeight="1" x14ac:dyDescent="0.3">
      <c r="A785" s="504"/>
      <c r="B785" s="504"/>
      <c r="C785" s="504"/>
      <c r="D785" s="504"/>
      <c r="E785" s="506"/>
      <c r="F785" s="506"/>
      <c r="G785" s="506"/>
      <c r="H785" s="506"/>
      <c r="I785" s="506"/>
      <c r="J785" s="506"/>
      <c r="K785" s="507"/>
      <c r="L785" s="508"/>
      <c r="M785" s="508"/>
      <c r="N785" s="508"/>
      <c r="O785" s="509"/>
      <c r="P785" s="509"/>
    </row>
    <row r="786" spans="1:16" ht="21.75" customHeight="1" x14ac:dyDescent="0.3">
      <c r="A786" s="504"/>
      <c r="B786" s="504"/>
      <c r="C786" s="504"/>
      <c r="D786" s="504"/>
      <c r="E786" s="506"/>
      <c r="F786" s="506"/>
      <c r="G786" s="506"/>
      <c r="H786" s="506"/>
      <c r="I786" s="506"/>
      <c r="J786" s="506"/>
      <c r="K786" s="507"/>
      <c r="L786" s="508"/>
      <c r="M786" s="508"/>
      <c r="N786" s="508"/>
      <c r="O786" s="509"/>
      <c r="P786" s="509"/>
    </row>
    <row r="787" spans="1:16" ht="21.75" customHeight="1" x14ac:dyDescent="0.3">
      <c r="A787" s="504"/>
      <c r="B787" s="504"/>
      <c r="C787" s="504"/>
      <c r="D787" s="504"/>
      <c r="E787" s="506"/>
      <c r="F787" s="506"/>
      <c r="G787" s="506"/>
      <c r="H787" s="506"/>
      <c r="I787" s="506"/>
      <c r="J787" s="506"/>
      <c r="K787" s="507"/>
      <c r="L787" s="508"/>
      <c r="M787" s="508"/>
      <c r="N787" s="508"/>
      <c r="O787" s="509"/>
      <c r="P787" s="509"/>
    </row>
    <row r="788" spans="1:16" ht="21.75" customHeight="1" x14ac:dyDescent="0.3">
      <c r="A788" s="504"/>
      <c r="B788" s="504"/>
      <c r="C788" s="504"/>
      <c r="D788" s="504"/>
      <c r="E788" s="506"/>
      <c r="F788" s="506"/>
      <c r="G788" s="506"/>
      <c r="H788" s="506"/>
      <c r="I788" s="506"/>
      <c r="J788" s="506"/>
      <c r="K788" s="507"/>
      <c r="L788" s="508"/>
      <c r="M788" s="508"/>
      <c r="N788" s="508"/>
      <c r="O788" s="509"/>
      <c r="P788" s="509"/>
    </row>
    <row r="789" spans="1:16" ht="21.75" customHeight="1" x14ac:dyDescent="0.3">
      <c r="A789" s="504"/>
      <c r="B789" s="504"/>
      <c r="C789" s="504"/>
      <c r="D789" s="504"/>
      <c r="E789" s="506"/>
      <c r="F789" s="506"/>
      <c r="G789" s="506"/>
      <c r="H789" s="506"/>
      <c r="I789" s="506"/>
      <c r="J789" s="506"/>
      <c r="K789" s="507"/>
      <c r="L789" s="508"/>
      <c r="M789" s="508"/>
      <c r="N789" s="508"/>
      <c r="O789" s="509"/>
      <c r="P789" s="509"/>
    </row>
    <row r="790" spans="1:16" ht="21.75" customHeight="1" x14ac:dyDescent="0.3">
      <c r="A790" s="504"/>
      <c r="B790" s="504"/>
      <c r="C790" s="504"/>
      <c r="D790" s="504"/>
      <c r="E790" s="506"/>
      <c r="F790" s="506"/>
      <c r="G790" s="506"/>
      <c r="H790" s="506"/>
      <c r="I790" s="506"/>
      <c r="J790" s="506"/>
      <c r="K790" s="507"/>
      <c r="L790" s="508"/>
      <c r="M790" s="508"/>
      <c r="N790" s="508"/>
      <c r="O790" s="509"/>
      <c r="P790" s="509"/>
    </row>
    <row r="791" spans="1:16" ht="21.75" customHeight="1" x14ac:dyDescent="0.3">
      <c r="A791" s="504"/>
      <c r="B791" s="504"/>
      <c r="C791" s="504"/>
      <c r="D791" s="504"/>
      <c r="E791" s="506"/>
      <c r="F791" s="506"/>
      <c r="G791" s="506"/>
      <c r="H791" s="506"/>
      <c r="I791" s="506"/>
      <c r="J791" s="506"/>
      <c r="K791" s="507"/>
      <c r="L791" s="508"/>
      <c r="M791" s="508"/>
      <c r="N791" s="508"/>
      <c r="O791" s="509"/>
      <c r="P791" s="509"/>
    </row>
    <row r="792" spans="1:16" ht="21.75" customHeight="1" x14ac:dyDescent="0.3">
      <c r="A792" s="504"/>
      <c r="B792" s="504"/>
      <c r="C792" s="504"/>
      <c r="D792" s="504"/>
      <c r="E792" s="506"/>
      <c r="F792" s="506"/>
      <c r="G792" s="506"/>
      <c r="H792" s="506"/>
      <c r="I792" s="506"/>
      <c r="J792" s="506"/>
      <c r="K792" s="507"/>
      <c r="L792" s="508"/>
      <c r="M792" s="508"/>
      <c r="N792" s="508"/>
      <c r="O792" s="509"/>
      <c r="P792" s="509"/>
    </row>
    <row r="793" spans="1:16" ht="21.75" customHeight="1" x14ac:dyDescent="0.3">
      <c r="A793" s="504"/>
      <c r="B793" s="504"/>
      <c r="C793" s="504"/>
      <c r="D793" s="504"/>
      <c r="E793" s="506"/>
      <c r="F793" s="506"/>
      <c r="G793" s="506"/>
      <c r="H793" s="506"/>
      <c r="I793" s="506"/>
      <c r="J793" s="506"/>
      <c r="K793" s="507"/>
      <c r="L793" s="508"/>
      <c r="M793" s="508"/>
      <c r="N793" s="508"/>
      <c r="O793" s="509"/>
      <c r="P793" s="509"/>
    </row>
    <row r="794" spans="1:16" ht="21.75" customHeight="1" x14ac:dyDescent="0.3">
      <c r="A794" s="504"/>
      <c r="B794" s="504"/>
      <c r="C794" s="504"/>
      <c r="D794" s="504"/>
      <c r="E794" s="506"/>
      <c r="F794" s="506"/>
      <c r="G794" s="506"/>
      <c r="H794" s="506"/>
      <c r="I794" s="506"/>
      <c r="J794" s="506"/>
      <c r="K794" s="507"/>
      <c r="L794" s="508"/>
      <c r="M794" s="508"/>
      <c r="N794" s="508"/>
      <c r="O794" s="509"/>
      <c r="P794" s="509"/>
    </row>
    <row r="795" spans="1:16" ht="21.75" customHeight="1" x14ac:dyDescent="0.3">
      <c r="A795" s="504"/>
      <c r="B795" s="504"/>
      <c r="C795" s="504"/>
      <c r="D795" s="504"/>
      <c r="E795" s="506"/>
      <c r="F795" s="506"/>
      <c r="G795" s="506"/>
      <c r="H795" s="506"/>
      <c r="I795" s="506"/>
      <c r="J795" s="506"/>
      <c r="K795" s="507"/>
      <c r="L795" s="508"/>
      <c r="M795" s="508"/>
      <c r="N795" s="508"/>
      <c r="O795" s="509"/>
      <c r="P795" s="509"/>
    </row>
    <row r="796" spans="1:16" ht="21.75" customHeight="1" x14ac:dyDescent="0.3">
      <c r="A796" s="504"/>
      <c r="B796" s="504"/>
      <c r="C796" s="504"/>
      <c r="D796" s="504"/>
      <c r="E796" s="506"/>
      <c r="F796" s="506"/>
      <c r="G796" s="506"/>
      <c r="H796" s="506"/>
      <c r="I796" s="506"/>
      <c r="J796" s="506"/>
      <c r="K796" s="507"/>
      <c r="L796" s="508"/>
      <c r="M796" s="508"/>
      <c r="N796" s="508"/>
      <c r="O796" s="509"/>
      <c r="P796" s="509"/>
    </row>
    <row r="797" spans="1:16" ht="21.75" customHeight="1" x14ac:dyDescent="0.3">
      <c r="A797" s="504"/>
      <c r="B797" s="504"/>
      <c r="C797" s="504"/>
      <c r="D797" s="504"/>
      <c r="E797" s="506"/>
      <c r="F797" s="506"/>
      <c r="G797" s="506"/>
      <c r="H797" s="506"/>
      <c r="I797" s="506"/>
      <c r="J797" s="506"/>
      <c r="K797" s="507"/>
      <c r="L797" s="508"/>
      <c r="M797" s="508"/>
      <c r="N797" s="508"/>
      <c r="O797" s="509"/>
      <c r="P797" s="509"/>
    </row>
    <row r="798" spans="1:16" ht="21.75" customHeight="1" x14ac:dyDescent="0.3">
      <c r="A798" s="504"/>
      <c r="B798" s="504"/>
      <c r="C798" s="504"/>
      <c r="D798" s="504"/>
      <c r="E798" s="506"/>
      <c r="F798" s="506"/>
      <c r="G798" s="506"/>
      <c r="H798" s="506"/>
      <c r="I798" s="506"/>
      <c r="J798" s="506"/>
      <c r="K798" s="507"/>
      <c r="L798" s="508"/>
      <c r="M798" s="508"/>
      <c r="N798" s="508"/>
      <c r="O798" s="509"/>
      <c r="P798" s="509"/>
    </row>
    <row r="799" spans="1:16" ht="21.75" customHeight="1" x14ac:dyDescent="0.3">
      <c r="A799" s="504"/>
      <c r="B799" s="504"/>
      <c r="C799" s="504"/>
      <c r="D799" s="504"/>
      <c r="E799" s="506"/>
      <c r="F799" s="506"/>
      <c r="G799" s="506"/>
      <c r="H799" s="506"/>
      <c r="I799" s="506"/>
      <c r="J799" s="506"/>
      <c r="K799" s="507"/>
      <c r="L799" s="508"/>
      <c r="M799" s="508"/>
      <c r="N799" s="508"/>
      <c r="O799" s="509"/>
      <c r="P799" s="509"/>
    </row>
    <row r="800" spans="1:16" ht="21.75" customHeight="1" x14ac:dyDescent="0.3">
      <c r="A800" s="504"/>
      <c r="B800" s="504"/>
      <c r="C800" s="504"/>
      <c r="D800" s="504"/>
      <c r="E800" s="506"/>
      <c r="F800" s="506"/>
      <c r="G800" s="506"/>
      <c r="H800" s="506"/>
      <c r="I800" s="506"/>
      <c r="J800" s="506"/>
      <c r="K800" s="507"/>
      <c r="L800" s="508"/>
      <c r="M800" s="508"/>
      <c r="N800" s="508"/>
      <c r="O800" s="509"/>
      <c r="P800" s="509"/>
    </row>
    <row r="801" spans="1:16" ht="21.75" customHeight="1" x14ac:dyDescent="0.3">
      <c r="A801" s="504"/>
      <c r="B801" s="504"/>
      <c r="C801" s="504"/>
      <c r="D801" s="504"/>
      <c r="E801" s="506"/>
      <c r="F801" s="506"/>
      <c r="G801" s="506"/>
      <c r="H801" s="506"/>
      <c r="I801" s="506"/>
      <c r="J801" s="506"/>
      <c r="K801" s="507"/>
      <c r="L801" s="508"/>
      <c r="M801" s="508"/>
      <c r="N801" s="508"/>
      <c r="O801" s="509"/>
      <c r="P801" s="509"/>
    </row>
    <row r="802" spans="1:16" ht="21.75" customHeight="1" x14ac:dyDescent="0.3">
      <c r="A802" s="504"/>
      <c r="B802" s="504"/>
      <c r="C802" s="504"/>
      <c r="D802" s="504"/>
      <c r="E802" s="506"/>
      <c r="F802" s="506"/>
      <c r="G802" s="506"/>
      <c r="H802" s="506"/>
      <c r="I802" s="506"/>
      <c r="J802" s="506"/>
      <c r="K802" s="507"/>
      <c r="L802" s="508"/>
      <c r="M802" s="508"/>
      <c r="N802" s="508"/>
      <c r="O802" s="509"/>
      <c r="P802" s="509"/>
    </row>
    <row r="803" spans="1:16" ht="21.75" customHeight="1" x14ac:dyDescent="0.3">
      <c r="A803" s="504"/>
      <c r="B803" s="504"/>
      <c r="C803" s="504"/>
      <c r="D803" s="504"/>
      <c r="E803" s="506"/>
      <c r="F803" s="506"/>
      <c r="G803" s="506"/>
      <c r="H803" s="506"/>
      <c r="I803" s="506"/>
      <c r="J803" s="506"/>
      <c r="K803" s="507"/>
      <c r="L803" s="508"/>
      <c r="M803" s="508"/>
      <c r="N803" s="508"/>
      <c r="O803" s="509"/>
      <c r="P803" s="509"/>
    </row>
    <row r="804" spans="1:16" ht="21.75" customHeight="1" x14ac:dyDescent="0.3">
      <c r="A804" s="504"/>
      <c r="B804" s="504"/>
      <c r="C804" s="504"/>
      <c r="D804" s="504"/>
      <c r="E804" s="506"/>
      <c r="F804" s="506"/>
      <c r="G804" s="506"/>
      <c r="H804" s="506"/>
      <c r="I804" s="506"/>
      <c r="J804" s="506"/>
      <c r="K804" s="507"/>
      <c r="L804" s="508"/>
      <c r="M804" s="508"/>
      <c r="N804" s="508"/>
      <c r="O804" s="509"/>
      <c r="P804" s="509"/>
    </row>
    <row r="805" spans="1:16" ht="21.75" customHeight="1" x14ac:dyDescent="0.3">
      <c r="A805" s="504"/>
      <c r="B805" s="504"/>
      <c r="C805" s="504"/>
      <c r="D805" s="504"/>
      <c r="E805" s="506"/>
      <c r="F805" s="506"/>
      <c r="G805" s="506"/>
      <c r="H805" s="506"/>
      <c r="I805" s="506"/>
      <c r="J805" s="506"/>
      <c r="K805" s="507"/>
      <c r="L805" s="508"/>
      <c r="M805" s="508"/>
      <c r="N805" s="508"/>
      <c r="O805" s="509"/>
      <c r="P805" s="509"/>
    </row>
    <row r="806" spans="1:16" ht="21.75" customHeight="1" x14ac:dyDescent="0.3">
      <c r="A806" s="504"/>
      <c r="B806" s="504"/>
      <c r="C806" s="504"/>
      <c r="D806" s="504"/>
      <c r="E806" s="506"/>
      <c r="F806" s="506"/>
      <c r="G806" s="506"/>
      <c r="H806" s="506"/>
      <c r="I806" s="506"/>
      <c r="J806" s="506"/>
      <c r="K806" s="507"/>
      <c r="L806" s="508"/>
      <c r="M806" s="508"/>
      <c r="N806" s="508"/>
      <c r="O806" s="509"/>
      <c r="P806" s="509"/>
    </row>
    <row r="807" spans="1:16" ht="21.75" customHeight="1" x14ac:dyDescent="0.3">
      <c r="A807" s="504"/>
      <c r="B807" s="504"/>
      <c r="C807" s="504"/>
      <c r="D807" s="504"/>
      <c r="E807" s="506"/>
      <c r="F807" s="506"/>
      <c r="G807" s="506"/>
      <c r="H807" s="506"/>
      <c r="I807" s="506"/>
      <c r="J807" s="506"/>
      <c r="K807" s="507"/>
      <c r="L807" s="508"/>
      <c r="M807" s="508"/>
      <c r="N807" s="508"/>
      <c r="O807" s="509"/>
      <c r="P807" s="509"/>
    </row>
    <row r="808" spans="1:16" ht="21.75" customHeight="1" x14ac:dyDescent="0.3">
      <c r="A808" s="504"/>
      <c r="B808" s="504"/>
      <c r="C808" s="504"/>
      <c r="D808" s="504"/>
      <c r="E808" s="506"/>
      <c r="F808" s="506"/>
      <c r="G808" s="506"/>
      <c r="H808" s="506"/>
      <c r="I808" s="506"/>
      <c r="J808" s="506"/>
      <c r="K808" s="507"/>
      <c r="L808" s="508"/>
      <c r="M808" s="508"/>
      <c r="N808" s="508"/>
      <c r="O808" s="509"/>
      <c r="P808" s="509"/>
    </row>
    <row r="809" spans="1:16" ht="21.75" customHeight="1" x14ac:dyDescent="0.3">
      <c r="A809" s="504"/>
      <c r="B809" s="504"/>
      <c r="C809" s="504"/>
      <c r="D809" s="504"/>
      <c r="E809" s="506"/>
      <c r="F809" s="506"/>
      <c r="G809" s="506"/>
      <c r="H809" s="506"/>
      <c r="I809" s="506"/>
      <c r="J809" s="506"/>
      <c r="K809" s="507"/>
      <c r="L809" s="508"/>
      <c r="M809" s="508"/>
      <c r="N809" s="508"/>
      <c r="O809" s="509"/>
      <c r="P809" s="509"/>
    </row>
    <row r="810" spans="1:16" ht="21.75" customHeight="1" x14ac:dyDescent="0.3">
      <c r="A810" s="504"/>
      <c r="B810" s="504"/>
      <c r="C810" s="504"/>
      <c r="D810" s="504"/>
      <c r="E810" s="506"/>
      <c r="F810" s="506"/>
      <c r="G810" s="506"/>
      <c r="H810" s="506"/>
      <c r="I810" s="506"/>
      <c r="J810" s="506"/>
      <c r="K810" s="507"/>
      <c r="L810" s="508"/>
      <c r="M810" s="508"/>
      <c r="N810" s="508"/>
      <c r="O810" s="509"/>
      <c r="P810" s="509"/>
    </row>
    <row r="811" spans="1:16" ht="21.75" customHeight="1" x14ac:dyDescent="0.3">
      <c r="A811" s="504"/>
      <c r="B811" s="504"/>
      <c r="C811" s="504"/>
      <c r="D811" s="504"/>
      <c r="E811" s="506"/>
      <c r="F811" s="506"/>
      <c r="G811" s="506"/>
      <c r="H811" s="506"/>
      <c r="I811" s="506"/>
      <c r="J811" s="506"/>
      <c r="K811" s="507"/>
      <c r="L811" s="508"/>
      <c r="M811" s="508"/>
      <c r="N811" s="508"/>
      <c r="O811" s="509"/>
      <c r="P811" s="509"/>
    </row>
    <row r="812" spans="1:16" ht="21.75" customHeight="1" x14ac:dyDescent="0.3">
      <c r="A812" s="504"/>
      <c r="B812" s="504"/>
      <c r="C812" s="504"/>
      <c r="D812" s="504"/>
      <c r="E812" s="506"/>
      <c r="F812" s="506"/>
      <c r="G812" s="506"/>
      <c r="H812" s="506"/>
      <c r="I812" s="506"/>
      <c r="J812" s="506"/>
      <c r="K812" s="507"/>
      <c r="L812" s="508"/>
      <c r="M812" s="508"/>
      <c r="N812" s="508"/>
      <c r="O812" s="509"/>
      <c r="P812" s="509"/>
    </row>
    <row r="813" spans="1:16" ht="21.75" customHeight="1" x14ac:dyDescent="0.3">
      <c r="A813" s="504"/>
      <c r="B813" s="504"/>
      <c r="C813" s="504"/>
      <c r="D813" s="504"/>
      <c r="E813" s="506"/>
      <c r="F813" s="506"/>
      <c r="G813" s="506"/>
      <c r="H813" s="506"/>
      <c r="I813" s="506"/>
      <c r="J813" s="506"/>
      <c r="K813" s="507"/>
      <c r="L813" s="508"/>
      <c r="M813" s="508"/>
      <c r="N813" s="508"/>
      <c r="O813" s="509"/>
      <c r="P813" s="509"/>
    </row>
    <row r="814" spans="1:16" ht="21.75" customHeight="1" x14ac:dyDescent="0.3">
      <c r="A814" s="504"/>
      <c r="B814" s="504"/>
      <c r="C814" s="504"/>
      <c r="D814" s="504"/>
      <c r="E814" s="506"/>
      <c r="F814" s="506"/>
      <c r="G814" s="506"/>
      <c r="H814" s="506"/>
      <c r="I814" s="506"/>
      <c r="J814" s="506"/>
      <c r="K814" s="507"/>
      <c r="L814" s="508"/>
      <c r="M814" s="508"/>
      <c r="N814" s="508"/>
      <c r="O814" s="509"/>
      <c r="P814" s="509"/>
    </row>
    <row r="815" spans="1:16" ht="21.75" customHeight="1" x14ac:dyDescent="0.3">
      <c r="A815" s="504"/>
      <c r="B815" s="504"/>
      <c r="C815" s="504"/>
      <c r="D815" s="504"/>
      <c r="E815" s="506"/>
      <c r="F815" s="506"/>
      <c r="G815" s="506"/>
      <c r="H815" s="506"/>
      <c r="I815" s="506"/>
      <c r="J815" s="506"/>
      <c r="K815" s="507"/>
      <c r="L815" s="508"/>
      <c r="M815" s="508"/>
      <c r="N815" s="508"/>
      <c r="O815" s="509"/>
      <c r="P815" s="509"/>
    </row>
    <row r="816" spans="1:16" ht="21.75" customHeight="1" x14ac:dyDescent="0.3">
      <c r="A816" s="504"/>
      <c r="B816" s="504"/>
      <c r="C816" s="504"/>
      <c r="D816" s="504"/>
      <c r="E816" s="506"/>
      <c r="F816" s="506"/>
      <c r="G816" s="506"/>
      <c r="H816" s="506"/>
      <c r="I816" s="506"/>
      <c r="J816" s="506"/>
      <c r="K816" s="507"/>
      <c r="L816" s="508"/>
      <c r="M816" s="508"/>
      <c r="N816" s="508"/>
      <c r="O816" s="509"/>
      <c r="P816" s="509"/>
    </row>
    <row r="817" spans="1:16" ht="21.75" customHeight="1" x14ac:dyDescent="0.3">
      <c r="A817" s="504"/>
      <c r="B817" s="504"/>
      <c r="C817" s="504"/>
      <c r="D817" s="504"/>
      <c r="E817" s="506"/>
      <c r="F817" s="506"/>
      <c r="G817" s="506"/>
      <c r="H817" s="506"/>
      <c r="I817" s="506"/>
      <c r="J817" s="506"/>
      <c r="K817" s="507"/>
      <c r="L817" s="508"/>
      <c r="M817" s="508"/>
      <c r="N817" s="508"/>
      <c r="O817" s="509"/>
      <c r="P817" s="509"/>
    </row>
    <row r="818" spans="1:16" ht="21.75" customHeight="1" x14ac:dyDescent="0.3">
      <c r="A818" s="504"/>
      <c r="B818" s="504"/>
      <c r="C818" s="504"/>
      <c r="D818" s="504"/>
      <c r="E818" s="506"/>
      <c r="F818" s="506"/>
      <c r="G818" s="506"/>
      <c r="H818" s="506"/>
      <c r="I818" s="506"/>
      <c r="J818" s="506"/>
      <c r="K818" s="507"/>
      <c r="L818" s="508"/>
      <c r="M818" s="508"/>
      <c r="N818" s="508"/>
      <c r="O818" s="509"/>
      <c r="P818" s="509"/>
    </row>
    <row r="819" spans="1:16" ht="21.75" customHeight="1" x14ac:dyDescent="0.3">
      <c r="A819" s="504"/>
      <c r="B819" s="504"/>
      <c r="C819" s="504"/>
      <c r="D819" s="504"/>
      <c r="E819" s="506"/>
      <c r="F819" s="506"/>
      <c r="G819" s="506"/>
      <c r="H819" s="506"/>
      <c r="I819" s="506"/>
      <c r="J819" s="506"/>
      <c r="K819" s="507"/>
      <c r="L819" s="508"/>
      <c r="M819" s="508"/>
      <c r="N819" s="508"/>
      <c r="O819" s="509"/>
      <c r="P819" s="509"/>
    </row>
    <row r="820" spans="1:16" ht="21.75" customHeight="1" x14ac:dyDescent="0.3">
      <c r="A820" s="504"/>
      <c r="B820" s="504"/>
      <c r="C820" s="504"/>
      <c r="D820" s="504"/>
      <c r="E820" s="506"/>
      <c r="F820" s="506"/>
      <c r="G820" s="506"/>
      <c r="H820" s="506"/>
      <c r="I820" s="506"/>
      <c r="J820" s="506"/>
      <c r="K820" s="507"/>
      <c r="L820" s="508"/>
      <c r="M820" s="508"/>
      <c r="N820" s="508"/>
      <c r="O820" s="509"/>
      <c r="P820" s="509"/>
    </row>
    <row r="821" spans="1:16" ht="21.75" customHeight="1" x14ac:dyDescent="0.3">
      <c r="A821" s="504"/>
      <c r="B821" s="504"/>
      <c r="C821" s="504"/>
      <c r="D821" s="504"/>
      <c r="E821" s="506"/>
      <c r="F821" s="506"/>
      <c r="G821" s="506"/>
      <c r="H821" s="506"/>
      <c r="I821" s="506"/>
      <c r="J821" s="506"/>
      <c r="K821" s="507"/>
      <c r="L821" s="508"/>
      <c r="M821" s="508"/>
      <c r="N821" s="508"/>
      <c r="O821" s="509"/>
      <c r="P821" s="509"/>
    </row>
    <row r="822" spans="1:16" ht="21.75" customHeight="1" x14ac:dyDescent="0.3">
      <c r="A822" s="504"/>
      <c r="B822" s="504"/>
      <c r="C822" s="504"/>
      <c r="D822" s="504"/>
      <c r="E822" s="506"/>
      <c r="F822" s="506"/>
      <c r="G822" s="506"/>
      <c r="H822" s="506"/>
      <c r="I822" s="506"/>
      <c r="J822" s="506"/>
      <c r="K822" s="507"/>
      <c r="L822" s="508"/>
      <c r="M822" s="508"/>
      <c r="N822" s="508"/>
      <c r="O822" s="509"/>
      <c r="P822" s="509"/>
    </row>
    <row r="823" spans="1:16" ht="21.75" customHeight="1" x14ac:dyDescent="0.3">
      <c r="A823" s="504"/>
      <c r="B823" s="504"/>
      <c r="C823" s="504"/>
      <c r="D823" s="504"/>
      <c r="E823" s="506"/>
      <c r="F823" s="506"/>
      <c r="G823" s="506"/>
      <c r="H823" s="506"/>
      <c r="I823" s="506"/>
      <c r="J823" s="506"/>
      <c r="K823" s="507"/>
      <c r="L823" s="508"/>
      <c r="M823" s="508"/>
      <c r="N823" s="508"/>
      <c r="O823" s="509"/>
      <c r="P823" s="509"/>
    </row>
    <row r="824" spans="1:16" ht="21.75" customHeight="1" x14ac:dyDescent="0.3">
      <c r="A824" s="504"/>
      <c r="B824" s="504"/>
      <c r="C824" s="504"/>
      <c r="D824" s="504"/>
      <c r="E824" s="506"/>
      <c r="F824" s="506"/>
      <c r="G824" s="506"/>
      <c r="H824" s="506"/>
      <c r="I824" s="506"/>
      <c r="J824" s="506"/>
      <c r="K824" s="507"/>
      <c r="L824" s="508"/>
      <c r="M824" s="508"/>
      <c r="N824" s="508"/>
      <c r="O824" s="509"/>
      <c r="P824" s="509"/>
    </row>
    <row r="825" spans="1:16" ht="21.75" customHeight="1" x14ac:dyDescent="0.3">
      <c r="A825" s="504"/>
      <c r="B825" s="504"/>
      <c r="C825" s="504"/>
      <c r="D825" s="504"/>
      <c r="E825" s="506"/>
      <c r="F825" s="506"/>
      <c r="G825" s="506"/>
      <c r="H825" s="506"/>
      <c r="I825" s="506"/>
      <c r="J825" s="506"/>
      <c r="K825" s="507"/>
      <c r="L825" s="508"/>
      <c r="M825" s="508"/>
      <c r="N825" s="508"/>
      <c r="O825" s="509"/>
      <c r="P825" s="509"/>
    </row>
    <row r="826" spans="1:16" ht="21.75" customHeight="1" x14ac:dyDescent="0.3">
      <c r="A826" s="504"/>
      <c r="B826" s="504"/>
      <c r="C826" s="504"/>
      <c r="D826" s="504"/>
      <c r="E826" s="506"/>
      <c r="F826" s="506"/>
      <c r="G826" s="506"/>
      <c r="H826" s="506"/>
      <c r="I826" s="506"/>
      <c r="J826" s="506"/>
      <c r="K826" s="507"/>
      <c r="L826" s="508"/>
      <c r="M826" s="508"/>
      <c r="N826" s="508"/>
      <c r="O826" s="509"/>
      <c r="P826" s="509"/>
    </row>
    <row r="827" spans="1:16" ht="21.75" customHeight="1" x14ac:dyDescent="0.3">
      <c r="A827" s="504"/>
      <c r="B827" s="504"/>
      <c r="C827" s="504"/>
      <c r="D827" s="504"/>
      <c r="E827" s="506"/>
      <c r="F827" s="506"/>
      <c r="G827" s="506"/>
      <c r="H827" s="506"/>
      <c r="I827" s="506"/>
      <c r="J827" s="506"/>
      <c r="K827" s="507"/>
      <c r="L827" s="508"/>
      <c r="M827" s="508"/>
      <c r="N827" s="508"/>
      <c r="O827" s="509"/>
      <c r="P827" s="509"/>
    </row>
    <row r="828" spans="1:16" ht="21.75" customHeight="1" x14ac:dyDescent="0.3">
      <c r="A828" s="504"/>
      <c r="B828" s="504"/>
      <c r="C828" s="504"/>
      <c r="D828" s="504"/>
      <c r="E828" s="506"/>
      <c r="F828" s="506"/>
      <c r="G828" s="506"/>
      <c r="H828" s="506"/>
      <c r="I828" s="506"/>
      <c r="J828" s="506"/>
      <c r="K828" s="507"/>
      <c r="L828" s="508"/>
      <c r="M828" s="508"/>
      <c r="N828" s="508"/>
      <c r="O828" s="509"/>
      <c r="P828" s="509"/>
    </row>
    <row r="829" spans="1:16" ht="21.75" customHeight="1" x14ac:dyDescent="0.3">
      <c r="A829" s="504"/>
      <c r="B829" s="504"/>
      <c r="C829" s="504"/>
      <c r="D829" s="504"/>
      <c r="E829" s="506"/>
      <c r="F829" s="506"/>
      <c r="G829" s="506"/>
      <c r="H829" s="506"/>
      <c r="I829" s="506"/>
      <c r="J829" s="506"/>
      <c r="K829" s="507"/>
      <c r="L829" s="508"/>
      <c r="M829" s="508"/>
      <c r="N829" s="508"/>
      <c r="O829" s="509"/>
      <c r="P829" s="509"/>
    </row>
    <row r="830" spans="1:16" ht="21.75" customHeight="1" x14ac:dyDescent="0.3">
      <c r="A830" s="504"/>
      <c r="B830" s="504"/>
      <c r="C830" s="504"/>
      <c r="D830" s="504"/>
      <c r="E830" s="506"/>
      <c r="F830" s="506"/>
      <c r="G830" s="506"/>
      <c r="H830" s="506"/>
      <c r="I830" s="506"/>
      <c r="J830" s="506"/>
      <c r="K830" s="507"/>
      <c r="L830" s="508"/>
      <c r="M830" s="508"/>
      <c r="N830" s="508"/>
      <c r="O830" s="509"/>
      <c r="P830" s="509"/>
    </row>
    <row r="831" spans="1:16" ht="21.75" customHeight="1" x14ac:dyDescent="0.3">
      <c r="A831" s="504"/>
      <c r="B831" s="504"/>
      <c r="C831" s="504"/>
      <c r="D831" s="504"/>
      <c r="E831" s="506"/>
      <c r="F831" s="506"/>
      <c r="G831" s="506"/>
      <c r="H831" s="506"/>
      <c r="I831" s="506"/>
      <c r="J831" s="506"/>
      <c r="K831" s="507"/>
      <c r="L831" s="508"/>
      <c r="M831" s="508"/>
      <c r="N831" s="508"/>
      <c r="O831" s="509"/>
      <c r="P831" s="509"/>
    </row>
    <row r="832" spans="1:16" ht="21.75" customHeight="1" x14ac:dyDescent="0.3">
      <c r="A832" s="504"/>
      <c r="B832" s="504"/>
      <c r="C832" s="504"/>
      <c r="D832" s="504"/>
      <c r="E832" s="506"/>
      <c r="F832" s="506"/>
      <c r="G832" s="506"/>
      <c r="H832" s="506"/>
      <c r="I832" s="506"/>
      <c r="J832" s="506"/>
      <c r="K832" s="507"/>
      <c r="L832" s="508"/>
      <c r="M832" s="508"/>
      <c r="N832" s="508"/>
      <c r="O832" s="509"/>
      <c r="P832" s="509"/>
    </row>
    <row r="833" spans="1:16" ht="21.75" customHeight="1" x14ac:dyDescent="0.3">
      <c r="A833" s="504"/>
      <c r="B833" s="504"/>
      <c r="C833" s="504"/>
      <c r="D833" s="504"/>
      <c r="E833" s="506"/>
      <c r="F833" s="506"/>
      <c r="G833" s="506"/>
      <c r="H833" s="506"/>
      <c r="I833" s="506"/>
      <c r="J833" s="506"/>
      <c r="K833" s="507"/>
      <c r="L833" s="508"/>
      <c r="M833" s="508"/>
      <c r="N833" s="508"/>
      <c r="O833" s="509"/>
      <c r="P833" s="509"/>
    </row>
    <row r="834" spans="1:16" ht="21.75" customHeight="1" x14ac:dyDescent="0.3">
      <c r="A834" s="504"/>
      <c r="B834" s="504"/>
      <c r="C834" s="504"/>
      <c r="D834" s="504"/>
      <c r="E834" s="506"/>
      <c r="F834" s="506"/>
      <c r="G834" s="506"/>
      <c r="H834" s="506"/>
      <c r="I834" s="506"/>
      <c r="J834" s="506"/>
      <c r="K834" s="507"/>
      <c r="L834" s="508"/>
      <c r="M834" s="508"/>
      <c r="N834" s="508"/>
      <c r="O834" s="509"/>
      <c r="P834" s="509"/>
    </row>
    <row r="835" spans="1:16" ht="21.75" customHeight="1" x14ac:dyDescent="0.3">
      <c r="A835" s="504"/>
      <c r="B835" s="504"/>
      <c r="C835" s="504"/>
      <c r="D835" s="504"/>
      <c r="E835" s="506"/>
      <c r="F835" s="506"/>
      <c r="G835" s="506"/>
      <c r="H835" s="506"/>
      <c r="I835" s="506"/>
      <c r="J835" s="506"/>
      <c r="K835" s="507"/>
      <c r="L835" s="508"/>
      <c r="M835" s="508"/>
      <c r="N835" s="508"/>
      <c r="O835" s="509"/>
      <c r="P835" s="509"/>
    </row>
    <row r="836" spans="1:16" ht="21.75" customHeight="1" x14ac:dyDescent="0.3">
      <c r="A836" s="504"/>
      <c r="B836" s="504"/>
      <c r="C836" s="504"/>
      <c r="D836" s="504"/>
      <c r="E836" s="506"/>
      <c r="F836" s="506"/>
      <c r="G836" s="506"/>
      <c r="H836" s="506"/>
      <c r="I836" s="506"/>
      <c r="J836" s="506"/>
      <c r="K836" s="507"/>
      <c r="L836" s="508"/>
      <c r="M836" s="508"/>
      <c r="N836" s="508"/>
      <c r="O836" s="509"/>
      <c r="P836" s="509"/>
    </row>
    <row r="837" spans="1:16" ht="21.75" customHeight="1" x14ac:dyDescent="0.3">
      <c r="A837" s="504"/>
      <c r="B837" s="504"/>
      <c r="C837" s="504"/>
      <c r="D837" s="504"/>
      <c r="E837" s="506"/>
      <c r="F837" s="506"/>
      <c r="G837" s="506"/>
      <c r="H837" s="506"/>
      <c r="I837" s="506"/>
      <c r="J837" s="506"/>
      <c r="K837" s="507"/>
      <c r="L837" s="508"/>
      <c r="M837" s="508"/>
      <c r="N837" s="508"/>
      <c r="O837" s="509"/>
      <c r="P837" s="509"/>
    </row>
    <row r="838" spans="1:16" ht="21.75" customHeight="1" x14ac:dyDescent="0.3">
      <c r="A838" s="504"/>
      <c r="B838" s="504"/>
      <c r="C838" s="504"/>
      <c r="D838" s="504"/>
      <c r="E838" s="506"/>
      <c r="F838" s="506"/>
      <c r="G838" s="506"/>
      <c r="H838" s="506"/>
      <c r="I838" s="506"/>
      <c r="J838" s="506"/>
      <c r="K838" s="507"/>
      <c r="L838" s="508"/>
      <c r="M838" s="508"/>
      <c r="N838" s="508"/>
      <c r="O838" s="509"/>
      <c r="P838" s="509"/>
    </row>
    <row r="839" spans="1:16" ht="21.75" customHeight="1" x14ac:dyDescent="0.3">
      <c r="A839" s="504"/>
      <c r="B839" s="504"/>
      <c r="C839" s="504"/>
      <c r="D839" s="504"/>
      <c r="E839" s="506"/>
      <c r="F839" s="506"/>
      <c r="G839" s="506"/>
      <c r="H839" s="506"/>
      <c r="I839" s="506"/>
      <c r="J839" s="506"/>
      <c r="K839" s="507"/>
      <c r="L839" s="508"/>
      <c r="M839" s="508"/>
      <c r="N839" s="508"/>
      <c r="O839" s="509"/>
      <c r="P839" s="509"/>
    </row>
    <row r="840" spans="1:16" ht="21.75" customHeight="1" x14ac:dyDescent="0.3">
      <c r="A840" s="504"/>
      <c r="B840" s="504"/>
      <c r="C840" s="504"/>
      <c r="D840" s="504"/>
      <c r="E840" s="506"/>
      <c r="F840" s="506"/>
      <c r="G840" s="506"/>
      <c r="H840" s="506"/>
      <c r="I840" s="506"/>
      <c r="J840" s="506"/>
      <c r="K840" s="507"/>
      <c r="L840" s="508"/>
      <c r="M840" s="508"/>
      <c r="N840" s="508"/>
      <c r="O840" s="509"/>
      <c r="P840" s="509"/>
    </row>
    <row r="841" spans="1:16" ht="21.75" customHeight="1" x14ac:dyDescent="0.3">
      <c r="A841" s="504"/>
      <c r="B841" s="504"/>
      <c r="C841" s="504"/>
      <c r="D841" s="504"/>
      <c r="E841" s="506"/>
      <c r="F841" s="506"/>
      <c r="G841" s="506"/>
      <c r="H841" s="506"/>
      <c r="I841" s="506"/>
      <c r="J841" s="506"/>
      <c r="K841" s="507"/>
      <c r="L841" s="508"/>
      <c r="M841" s="508"/>
      <c r="N841" s="508"/>
      <c r="O841" s="509"/>
      <c r="P841" s="509"/>
    </row>
    <row r="842" spans="1:16" ht="21.75" customHeight="1" x14ac:dyDescent="0.3">
      <c r="A842" s="504"/>
      <c r="B842" s="504"/>
      <c r="C842" s="504"/>
      <c r="D842" s="504"/>
      <c r="E842" s="506"/>
      <c r="F842" s="506"/>
      <c r="G842" s="506"/>
      <c r="H842" s="506"/>
      <c r="I842" s="506"/>
      <c r="J842" s="506"/>
      <c r="K842" s="507"/>
      <c r="L842" s="508"/>
      <c r="M842" s="508"/>
      <c r="N842" s="508"/>
      <c r="O842" s="509"/>
      <c r="P842" s="509"/>
    </row>
    <row r="843" spans="1:16" ht="21.75" customHeight="1" x14ac:dyDescent="0.3">
      <c r="A843" s="504"/>
      <c r="B843" s="504"/>
      <c r="C843" s="504"/>
      <c r="D843" s="504"/>
      <c r="E843" s="506"/>
      <c r="F843" s="506"/>
      <c r="G843" s="506"/>
      <c r="H843" s="506"/>
      <c r="I843" s="506"/>
      <c r="J843" s="506"/>
      <c r="K843" s="507"/>
      <c r="L843" s="508"/>
      <c r="M843" s="508"/>
      <c r="N843" s="508"/>
      <c r="O843" s="509"/>
      <c r="P843" s="509"/>
    </row>
    <row r="844" spans="1:16" ht="21.75" customHeight="1" x14ac:dyDescent="0.3">
      <c r="A844" s="504"/>
      <c r="B844" s="504"/>
      <c r="C844" s="504"/>
      <c r="D844" s="504"/>
      <c r="E844" s="506"/>
      <c r="F844" s="506"/>
      <c r="G844" s="506"/>
      <c r="H844" s="506"/>
      <c r="I844" s="506"/>
      <c r="J844" s="506"/>
      <c r="K844" s="507"/>
      <c r="L844" s="508"/>
      <c r="M844" s="508"/>
      <c r="N844" s="508"/>
      <c r="O844" s="509"/>
      <c r="P844" s="509"/>
    </row>
    <row r="845" spans="1:16" ht="21.75" customHeight="1" x14ac:dyDescent="0.3">
      <c r="A845" s="504"/>
      <c r="B845" s="504"/>
      <c r="C845" s="504"/>
      <c r="D845" s="504"/>
      <c r="E845" s="506"/>
      <c r="F845" s="506"/>
      <c r="G845" s="506"/>
      <c r="H845" s="506"/>
      <c r="I845" s="506"/>
      <c r="J845" s="506"/>
      <c r="K845" s="507"/>
      <c r="L845" s="508"/>
      <c r="M845" s="508"/>
      <c r="N845" s="508"/>
      <c r="O845" s="509"/>
      <c r="P845" s="509"/>
    </row>
    <row r="846" spans="1:16" ht="21.75" customHeight="1" x14ac:dyDescent="0.3">
      <c r="A846" s="504"/>
      <c r="B846" s="504"/>
      <c r="C846" s="504"/>
      <c r="D846" s="504"/>
      <c r="E846" s="506"/>
      <c r="F846" s="506"/>
      <c r="G846" s="506"/>
      <c r="H846" s="506"/>
      <c r="I846" s="506"/>
      <c r="J846" s="506"/>
      <c r="K846" s="507"/>
      <c r="L846" s="508"/>
      <c r="M846" s="508"/>
      <c r="N846" s="508"/>
      <c r="O846" s="509"/>
      <c r="P846" s="509"/>
    </row>
    <row r="847" spans="1:16" ht="21.75" customHeight="1" x14ac:dyDescent="0.3">
      <c r="A847" s="504"/>
      <c r="B847" s="504"/>
      <c r="C847" s="504"/>
      <c r="D847" s="504"/>
      <c r="E847" s="506"/>
      <c r="F847" s="506"/>
      <c r="G847" s="506"/>
      <c r="H847" s="506"/>
      <c r="I847" s="506"/>
      <c r="J847" s="506"/>
      <c r="K847" s="507"/>
      <c r="L847" s="508"/>
      <c r="M847" s="508"/>
      <c r="N847" s="508"/>
      <c r="O847" s="509"/>
      <c r="P847" s="509"/>
    </row>
    <row r="848" spans="1:16" ht="21.75" customHeight="1" x14ac:dyDescent="0.3">
      <c r="A848" s="504"/>
      <c r="B848" s="504"/>
      <c r="C848" s="504"/>
      <c r="D848" s="504"/>
      <c r="E848" s="506"/>
      <c r="F848" s="506"/>
      <c r="G848" s="506"/>
      <c r="H848" s="506"/>
      <c r="I848" s="506"/>
      <c r="J848" s="506"/>
      <c r="K848" s="507"/>
      <c r="L848" s="508"/>
      <c r="M848" s="508"/>
      <c r="N848" s="508"/>
      <c r="O848" s="509"/>
      <c r="P848" s="509"/>
    </row>
    <row r="849" spans="1:16" ht="21.75" customHeight="1" x14ac:dyDescent="0.3">
      <c r="A849" s="504"/>
      <c r="B849" s="504"/>
      <c r="C849" s="504"/>
      <c r="D849" s="504"/>
      <c r="E849" s="506"/>
      <c r="F849" s="506"/>
      <c r="G849" s="506"/>
      <c r="H849" s="506"/>
      <c r="I849" s="506"/>
      <c r="J849" s="506"/>
      <c r="K849" s="507"/>
      <c r="L849" s="508"/>
      <c r="M849" s="508"/>
      <c r="N849" s="508"/>
      <c r="O849" s="509"/>
      <c r="P849" s="509"/>
    </row>
    <row r="850" spans="1:16" ht="21.75" customHeight="1" x14ac:dyDescent="0.3">
      <c r="A850" s="504"/>
      <c r="B850" s="504"/>
      <c r="C850" s="504"/>
      <c r="D850" s="504"/>
      <c r="E850" s="506"/>
      <c r="F850" s="506"/>
      <c r="G850" s="506"/>
      <c r="H850" s="506"/>
      <c r="I850" s="506"/>
      <c r="J850" s="506"/>
      <c r="K850" s="507"/>
      <c r="L850" s="508"/>
      <c r="M850" s="508"/>
      <c r="N850" s="508"/>
      <c r="O850" s="509"/>
      <c r="P850" s="509"/>
    </row>
    <row r="851" spans="1:16" ht="21.75" customHeight="1" x14ac:dyDescent="0.3">
      <c r="A851" s="504"/>
      <c r="B851" s="504"/>
      <c r="C851" s="504"/>
      <c r="D851" s="504"/>
      <c r="E851" s="506"/>
      <c r="F851" s="506"/>
      <c r="G851" s="506"/>
      <c r="H851" s="506"/>
      <c r="I851" s="506"/>
      <c r="J851" s="506"/>
      <c r="K851" s="507"/>
      <c r="L851" s="508"/>
      <c r="M851" s="508"/>
      <c r="N851" s="508"/>
      <c r="O851" s="509"/>
      <c r="P851" s="509"/>
    </row>
    <row r="852" spans="1:16" ht="21.75" customHeight="1" x14ac:dyDescent="0.3">
      <c r="A852" s="504"/>
      <c r="B852" s="504"/>
      <c r="C852" s="504"/>
      <c r="D852" s="504"/>
      <c r="E852" s="506"/>
      <c r="F852" s="506"/>
      <c r="G852" s="506"/>
      <c r="H852" s="506"/>
      <c r="I852" s="506"/>
      <c r="J852" s="506"/>
      <c r="K852" s="507"/>
      <c r="L852" s="508"/>
      <c r="M852" s="508"/>
      <c r="N852" s="508"/>
      <c r="O852" s="509"/>
      <c r="P852" s="509"/>
    </row>
    <row r="853" spans="1:16" ht="21.75" customHeight="1" x14ac:dyDescent="0.3">
      <c r="A853" s="504"/>
      <c r="B853" s="504"/>
      <c r="C853" s="504"/>
      <c r="D853" s="504"/>
      <c r="E853" s="506"/>
      <c r="F853" s="506"/>
      <c r="G853" s="506"/>
      <c r="H853" s="506"/>
      <c r="I853" s="506"/>
      <c r="J853" s="506"/>
      <c r="K853" s="507"/>
      <c r="L853" s="508"/>
      <c r="M853" s="508"/>
      <c r="N853" s="508"/>
      <c r="O853" s="509"/>
      <c r="P853" s="509"/>
    </row>
    <row r="854" spans="1:16" ht="21.75" customHeight="1" x14ac:dyDescent="0.3">
      <c r="A854" s="504"/>
      <c r="B854" s="504"/>
      <c r="C854" s="504"/>
      <c r="D854" s="504"/>
      <c r="E854" s="506"/>
      <c r="F854" s="506"/>
      <c r="G854" s="506"/>
      <c r="H854" s="506"/>
      <c r="I854" s="506"/>
      <c r="J854" s="506"/>
      <c r="K854" s="507"/>
      <c r="L854" s="508"/>
      <c r="M854" s="508"/>
      <c r="N854" s="508"/>
      <c r="O854" s="509"/>
      <c r="P854" s="509"/>
    </row>
    <row r="855" spans="1:16" ht="21.75" customHeight="1" x14ac:dyDescent="0.3">
      <c r="A855" s="504"/>
      <c r="B855" s="504"/>
      <c r="C855" s="504"/>
      <c r="D855" s="504"/>
      <c r="E855" s="506"/>
      <c r="F855" s="506"/>
      <c r="G855" s="506"/>
      <c r="H855" s="506"/>
      <c r="I855" s="506"/>
      <c r="J855" s="506"/>
      <c r="K855" s="507"/>
      <c r="L855" s="508"/>
      <c r="M855" s="508"/>
      <c r="N855" s="508"/>
      <c r="O855" s="509"/>
      <c r="P855" s="509"/>
    </row>
    <row r="856" spans="1:16" ht="21.75" customHeight="1" x14ac:dyDescent="0.3">
      <c r="A856" s="504"/>
      <c r="B856" s="504"/>
      <c r="C856" s="504"/>
      <c r="D856" s="504"/>
      <c r="E856" s="506"/>
      <c r="F856" s="506"/>
      <c r="G856" s="506"/>
      <c r="H856" s="506"/>
      <c r="I856" s="506"/>
      <c r="J856" s="506"/>
      <c r="K856" s="507"/>
      <c r="L856" s="508"/>
      <c r="M856" s="508"/>
      <c r="N856" s="508"/>
      <c r="O856" s="509"/>
      <c r="P856" s="509"/>
    </row>
    <row r="857" spans="1:16" ht="21.75" customHeight="1" x14ac:dyDescent="0.3">
      <c r="A857" s="504"/>
      <c r="B857" s="504"/>
      <c r="C857" s="504"/>
      <c r="D857" s="504"/>
      <c r="E857" s="506"/>
      <c r="F857" s="506"/>
      <c r="G857" s="506"/>
      <c r="H857" s="506"/>
      <c r="I857" s="506"/>
      <c r="J857" s="506"/>
      <c r="K857" s="507"/>
      <c r="L857" s="508"/>
      <c r="M857" s="508"/>
      <c r="N857" s="508"/>
      <c r="O857" s="509"/>
      <c r="P857" s="509"/>
    </row>
    <row r="858" spans="1:16" ht="21.75" customHeight="1" x14ac:dyDescent="0.3">
      <c r="A858" s="504"/>
      <c r="B858" s="504"/>
      <c r="C858" s="504"/>
      <c r="D858" s="504"/>
      <c r="E858" s="506"/>
      <c r="F858" s="506"/>
      <c r="G858" s="506"/>
      <c r="H858" s="506"/>
      <c r="I858" s="506"/>
      <c r="J858" s="506"/>
      <c r="K858" s="507"/>
      <c r="L858" s="508"/>
      <c r="M858" s="508"/>
      <c r="N858" s="508"/>
      <c r="O858" s="509"/>
      <c r="P858" s="509"/>
    </row>
    <row r="859" spans="1:16" ht="21.75" customHeight="1" x14ac:dyDescent="0.3">
      <c r="A859" s="504"/>
      <c r="B859" s="504"/>
      <c r="C859" s="504"/>
      <c r="D859" s="504"/>
      <c r="E859" s="506"/>
      <c r="F859" s="506"/>
      <c r="G859" s="506"/>
      <c r="H859" s="506"/>
      <c r="I859" s="506"/>
      <c r="J859" s="506"/>
      <c r="K859" s="507"/>
      <c r="L859" s="508"/>
      <c r="M859" s="508"/>
      <c r="N859" s="508"/>
      <c r="O859" s="509"/>
      <c r="P859" s="509"/>
    </row>
    <row r="860" spans="1:16" ht="21.75" customHeight="1" x14ac:dyDescent="0.3">
      <c r="A860" s="504"/>
      <c r="B860" s="504"/>
      <c r="C860" s="504"/>
      <c r="D860" s="504"/>
      <c r="E860" s="506"/>
      <c r="F860" s="506"/>
      <c r="G860" s="506"/>
      <c r="H860" s="506"/>
      <c r="I860" s="506"/>
      <c r="J860" s="506"/>
      <c r="K860" s="507"/>
      <c r="L860" s="508"/>
      <c r="M860" s="508"/>
      <c r="N860" s="508"/>
      <c r="O860" s="509"/>
      <c r="P860" s="509"/>
    </row>
    <row r="861" spans="1:16" ht="21.75" customHeight="1" x14ac:dyDescent="0.3">
      <c r="A861" s="504"/>
      <c r="B861" s="504"/>
      <c r="C861" s="504"/>
      <c r="D861" s="504"/>
      <c r="E861" s="506"/>
      <c r="F861" s="506"/>
      <c r="G861" s="506"/>
      <c r="H861" s="506"/>
      <c r="I861" s="506"/>
      <c r="J861" s="506"/>
      <c r="K861" s="507"/>
      <c r="L861" s="508"/>
      <c r="M861" s="508"/>
      <c r="N861" s="508"/>
      <c r="O861" s="509"/>
      <c r="P861" s="509"/>
    </row>
    <row r="862" spans="1:16" ht="21.75" customHeight="1" x14ac:dyDescent="0.3">
      <c r="A862" s="504"/>
      <c r="B862" s="504"/>
      <c r="C862" s="504"/>
      <c r="D862" s="504"/>
      <c r="E862" s="506"/>
      <c r="F862" s="506"/>
      <c r="G862" s="506"/>
      <c r="H862" s="506"/>
      <c r="I862" s="506"/>
      <c r="J862" s="506"/>
      <c r="K862" s="507"/>
      <c r="L862" s="508"/>
      <c r="M862" s="508"/>
      <c r="N862" s="508"/>
      <c r="O862" s="509"/>
      <c r="P862" s="509"/>
    </row>
    <row r="863" spans="1:16" ht="21.75" customHeight="1" x14ac:dyDescent="0.3">
      <c r="A863" s="504"/>
      <c r="B863" s="504"/>
      <c r="C863" s="504"/>
      <c r="D863" s="504"/>
      <c r="E863" s="506"/>
      <c r="F863" s="506"/>
      <c r="G863" s="506"/>
      <c r="H863" s="506"/>
      <c r="I863" s="506"/>
      <c r="J863" s="506"/>
      <c r="K863" s="507"/>
      <c r="L863" s="508"/>
      <c r="M863" s="508"/>
      <c r="N863" s="508"/>
      <c r="O863" s="509"/>
      <c r="P863" s="509"/>
    </row>
    <row r="864" spans="1:16" ht="21.75" customHeight="1" x14ac:dyDescent="0.3">
      <c r="A864" s="504"/>
      <c r="B864" s="504"/>
      <c r="C864" s="504"/>
      <c r="D864" s="504"/>
      <c r="E864" s="506"/>
      <c r="F864" s="506"/>
      <c r="G864" s="506"/>
      <c r="H864" s="506"/>
      <c r="I864" s="506"/>
      <c r="J864" s="506"/>
      <c r="K864" s="507"/>
      <c r="L864" s="508"/>
      <c r="M864" s="508"/>
      <c r="N864" s="508"/>
      <c r="O864" s="509"/>
      <c r="P864" s="509"/>
    </row>
    <row r="865" spans="1:16" ht="21.75" customHeight="1" x14ac:dyDescent="0.3">
      <c r="A865" s="504"/>
      <c r="B865" s="504"/>
      <c r="C865" s="504"/>
      <c r="D865" s="504"/>
      <c r="E865" s="506"/>
      <c r="F865" s="506"/>
      <c r="G865" s="506"/>
      <c r="H865" s="506"/>
      <c r="I865" s="506"/>
      <c r="J865" s="506"/>
      <c r="K865" s="507"/>
      <c r="L865" s="508"/>
      <c r="M865" s="508"/>
      <c r="N865" s="508"/>
      <c r="O865" s="509"/>
      <c r="P865" s="509"/>
    </row>
    <row r="866" spans="1:16" ht="21.75" customHeight="1" x14ac:dyDescent="0.3">
      <c r="A866" s="504"/>
      <c r="B866" s="504"/>
      <c r="C866" s="504"/>
      <c r="D866" s="504"/>
      <c r="E866" s="506"/>
      <c r="F866" s="506"/>
      <c r="G866" s="506"/>
      <c r="H866" s="506"/>
      <c r="I866" s="506"/>
      <c r="J866" s="506"/>
      <c r="K866" s="507"/>
      <c r="L866" s="508"/>
      <c r="M866" s="508"/>
      <c r="N866" s="508"/>
      <c r="O866" s="509"/>
      <c r="P866" s="509"/>
    </row>
    <row r="867" spans="1:16" ht="21.75" customHeight="1" x14ac:dyDescent="0.3">
      <c r="A867" s="504"/>
      <c r="B867" s="504"/>
      <c r="C867" s="504"/>
      <c r="D867" s="504"/>
      <c r="E867" s="506"/>
      <c r="F867" s="506"/>
      <c r="G867" s="506"/>
      <c r="H867" s="506"/>
      <c r="I867" s="506"/>
      <c r="J867" s="506"/>
      <c r="K867" s="507"/>
      <c r="L867" s="508"/>
      <c r="M867" s="508"/>
      <c r="N867" s="508"/>
      <c r="O867" s="509"/>
      <c r="P867" s="509"/>
    </row>
    <row r="868" spans="1:16" ht="21.75" customHeight="1" x14ac:dyDescent="0.3">
      <c r="A868" s="504"/>
      <c r="B868" s="504"/>
      <c r="C868" s="504"/>
      <c r="D868" s="504"/>
      <c r="E868" s="506"/>
      <c r="F868" s="506"/>
      <c r="G868" s="506"/>
      <c r="H868" s="506"/>
      <c r="I868" s="506"/>
      <c r="J868" s="506"/>
      <c r="K868" s="507"/>
      <c r="L868" s="508"/>
      <c r="M868" s="508"/>
      <c r="N868" s="508"/>
      <c r="O868" s="509"/>
      <c r="P868" s="509"/>
    </row>
    <row r="869" spans="1:16" ht="21.75" customHeight="1" x14ac:dyDescent="0.3">
      <c r="A869" s="504"/>
      <c r="B869" s="504"/>
      <c r="C869" s="504"/>
      <c r="D869" s="504"/>
      <c r="E869" s="506"/>
      <c r="F869" s="506"/>
      <c r="G869" s="506"/>
      <c r="H869" s="506"/>
      <c r="I869" s="506"/>
      <c r="J869" s="506"/>
      <c r="K869" s="507"/>
      <c r="L869" s="508"/>
      <c r="M869" s="508"/>
      <c r="N869" s="508"/>
      <c r="O869" s="509"/>
      <c r="P869" s="509"/>
    </row>
    <row r="870" spans="1:16" ht="21.75" customHeight="1" x14ac:dyDescent="0.3">
      <c r="A870" s="504"/>
      <c r="B870" s="504"/>
      <c r="C870" s="504"/>
      <c r="D870" s="504"/>
      <c r="E870" s="506"/>
      <c r="F870" s="506"/>
      <c r="G870" s="506"/>
      <c r="H870" s="506"/>
      <c r="I870" s="506"/>
      <c r="J870" s="506"/>
      <c r="K870" s="507"/>
      <c r="L870" s="508"/>
      <c r="M870" s="508"/>
      <c r="N870" s="508"/>
      <c r="O870" s="509"/>
      <c r="P870" s="509"/>
    </row>
    <row r="871" spans="1:16" ht="21.75" customHeight="1" x14ac:dyDescent="0.3">
      <c r="A871" s="504"/>
      <c r="B871" s="504"/>
      <c r="C871" s="504"/>
      <c r="D871" s="504"/>
      <c r="E871" s="506"/>
      <c r="F871" s="506"/>
      <c r="G871" s="506"/>
      <c r="H871" s="506"/>
      <c r="I871" s="506"/>
      <c r="J871" s="506"/>
      <c r="K871" s="507"/>
      <c r="L871" s="508"/>
      <c r="M871" s="508"/>
      <c r="N871" s="508"/>
      <c r="O871" s="509"/>
      <c r="P871" s="509"/>
    </row>
    <row r="872" spans="1:16" ht="21.75" customHeight="1" x14ac:dyDescent="0.3">
      <c r="A872" s="504"/>
      <c r="B872" s="504"/>
      <c r="C872" s="504"/>
      <c r="D872" s="504"/>
      <c r="E872" s="506"/>
      <c r="F872" s="506"/>
      <c r="G872" s="506"/>
      <c r="H872" s="506"/>
      <c r="I872" s="506"/>
      <c r="J872" s="506"/>
      <c r="K872" s="507"/>
      <c r="L872" s="508"/>
      <c r="M872" s="508"/>
      <c r="N872" s="508"/>
      <c r="O872" s="509"/>
      <c r="P872" s="509"/>
    </row>
    <row r="873" spans="1:16" ht="21.75" customHeight="1" x14ac:dyDescent="0.3">
      <c r="A873" s="504"/>
      <c r="B873" s="504"/>
      <c r="C873" s="504"/>
      <c r="D873" s="504"/>
      <c r="E873" s="506"/>
      <c r="F873" s="506"/>
      <c r="G873" s="506"/>
      <c r="H873" s="506"/>
      <c r="I873" s="506"/>
      <c r="J873" s="506"/>
      <c r="K873" s="507"/>
      <c r="L873" s="508"/>
      <c r="M873" s="508"/>
      <c r="N873" s="508"/>
      <c r="O873" s="509"/>
      <c r="P873" s="509"/>
    </row>
    <row r="874" spans="1:16" ht="21.75" customHeight="1" x14ac:dyDescent="0.3">
      <c r="A874" s="504"/>
      <c r="B874" s="504"/>
      <c r="C874" s="504"/>
      <c r="D874" s="504"/>
      <c r="E874" s="506"/>
      <c r="F874" s="506"/>
      <c r="G874" s="506"/>
      <c r="H874" s="506"/>
      <c r="I874" s="506"/>
      <c r="J874" s="506"/>
      <c r="K874" s="507"/>
      <c r="L874" s="508"/>
      <c r="M874" s="508"/>
      <c r="N874" s="508"/>
      <c r="O874" s="509"/>
      <c r="P874" s="509"/>
    </row>
    <row r="875" spans="1:16" ht="21.75" customHeight="1" x14ac:dyDescent="0.3">
      <c r="A875" s="504"/>
      <c r="B875" s="504"/>
      <c r="C875" s="504"/>
      <c r="D875" s="504"/>
      <c r="E875" s="506"/>
      <c r="F875" s="506"/>
      <c r="G875" s="506"/>
      <c r="H875" s="506"/>
      <c r="I875" s="506"/>
      <c r="J875" s="506"/>
      <c r="K875" s="507"/>
      <c r="L875" s="508"/>
      <c r="M875" s="508"/>
      <c r="N875" s="508"/>
      <c r="O875" s="509"/>
      <c r="P875" s="509"/>
    </row>
    <row r="876" spans="1:16" ht="21.75" customHeight="1" x14ac:dyDescent="0.3">
      <c r="A876" s="504"/>
      <c r="B876" s="504"/>
      <c r="C876" s="504"/>
      <c r="D876" s="504"/>
      <c r="E876" s="506"/>
      <c r="F876" s="506"/>
      <c r="G876" s="506"/>
      <c r="H876" s="506"/>
      <c r="I876" s="506"/>
      <c r="J876" s="506"/>
      <c r="K876" s="507"/>
      <c r="L876" s="508"/>
      <c r="M876" s="508"/>
      <c r="N876" s="508"/>
      <c r="O876" s="509"/>
      <c r="P876" s="509"/>
    </row>
    <row r="877" spans="1:16" ht="21.75" customHeight="1" x14ac:dyDescent="0.3">
      <c r="A877" s="504"/>
      <c r="B877" s="504"/>
      <c r="C877" s="504"/>
      <c r="D877" s="504"/>
      <c r="E877" s="506"/>
      <c r="F877" s="506"/>
      <c r="G877" s="506"/>
      <c r="H877" s="506"/>
      <c r="I877" s="506"/>
      <c r="J877" s="506"/>
      <c r="K877" s="507"/>
      <c r="L877" s="508"/>
      <c r="M877" s="508"/>
      <c r="N877" s="508"/>
      <c r="O877" s="509"/>
      <c r="P877" s="509"/>
    </row>
    <row r="878" spans="1:16" ht="21.75" customHeight="1" x14ac:dyDescent="0.3">
      <c r="A878" s="504"/>
      <c r="B878" s="504"/>
      <c r="C878" s="504"/>
      <c r="D878" s="504"/>
      <c r="E878" s="506"/>
      <c r="F878" s="506"/>
      <c r="G878" s="506"/>
      <c r="H878" s="506"/>
      <c r="I878" s="506"/>
      <c r="J878" s="506"/>
      <c r="K878" s="507"/>
      <c r="L878" s="508"/>
      <c r="M878" s="508"/>
      <c r="N878" s="508"/>
      <c r="O878" s="509"/>
      <c r="P878" s="509"/>
    </row>
    <row r="879" spans="1:16" ht="21.75" customHeight="1" x14ac:dyDescent="0.3">
      <c r="A879" s="504"/>
      <c r="B879" s="504"/>
      <c r="C879" s="504"/>
      <c r="D879" s="504"/>
      <c r="E879" s="506"/>
      <c r="F879" s="506"/>
      <c r="G879" s="506"/>
      <c r="H879" s="506"/>
      <c r="I879" s="506"/>
      <c r="J879" s="506"/>
      <c r="K879" s="507"/>
      <c r="L879" s="508"/>
      <c r="M879" s="508"/>
      <c r="N879" s="508"/>
      <c r="O879" s="509"/>
      <c r="P879" s="509"/>
    </row>
    <row r="880" spans="1:16" ht="21.75" customHeight="1" x14ac:dyDescent="0.3">
      <c r="A880" s="504"/>
      <c r="B880" s="504"/>
      <c r="C880" s="504"/>
      <c r="D880" s="504"/>
      <c r="E880" s="506"/>
      <c r="F880" s="506"/>
      <c r="G880" s="506"/>
      <c r="H880" s="506"/>
      <c r="I880" s="506"/>
      <c r="J880" s="506"/>
      <c r="K880" s="507"/>
      <c r="L880" s="508"/>
      <c r="M880" s="508"/>
      <c r="N880" s="508"/>
      <c r="O880" s="509"/>
      <c r="P880" s="509"/>
    </row>
    <row r="881" spans="1:16" ht="21.75" customHeight="1" x14ac:dyDescent="0.3">
      <c r="A881" s="504"/>
      <c r="B881" s="504"/>
      <c r="C881" s="504"/>
      <c r="D881" s="504"/>
      <c r="E881" s="506"/>
      <c r="F881" s="506"/>
      <c r="G881" s="506"/>
      <c r="H881" s="506"/>
      <c r="I881" s="506"/>
      <c r="J881" s="506"/>
      <c r="K881" s="507"/>
      <c r="L881" s="508"/>
      <c r="M881" s="508"/>
      <c r="N881" s="508"/>
      <c r="O881" s="509"/>
      <c r="P881" s="509"/>
    </row>
    <row r="882" spans="1:16" ht="21.75" customHeight="1" x14ac:dyDescent="0.3">
      <c r="A882" s="504"/>
      <c r="B882" s="504"/>
      <c r="C882" s="504"/>
      <c r="D882" s="504"/>
      <c r="E882" s="506"/>
      <c r="F882" s="506"/>
      <c r="G882" s="506"/>
      <c r="H882" s="506"/>
      <c r="I882" s="506"/>
      <c r="J882" s="506"/>
      <c r="K882" s="507"/>
      <c r="L882" s="508"/>
      <c r="M882" s="508"/>
      <c r="N882" s="508"/>
      <c r="O882" s="509"/>
      <c r="P882" s="509"/>
    </row>
    <row r="883" spans="1:16" ht="21.75" customHeight="1" x14ac:dyDescent="0.3">
      <c r="A883" s="504"/>
      <c r="B883" s="504"/>
      <c r="C883" s="504"/>
      <c r="D883" s="504"/>
      <c r="E883" s="506"/>
      <c r="F883" s="506"/>
      <c r="G883" s="506"/>
      <c r="H883" s="506"/>
      <c r="I883" s="506"/>
      <c r="J883" s="506"/>
      <c r="K883" s="507"/>
      <c r="L883" s="508"/>
      <c r="M883" s="508"/>
      <c r="N883" s="508"/>
      <c r="O883" s="509"/>
      <c r="P883" s="509"/>
    </row>
    <row r="884" spans="1:16" ht="21.75" customHeight="1" x14ac:dyDescent="0.3">
      <c r="A884" s="504"/>
      <c r="B884" s="504"/>
      <c r="C884" s="504"/>
      <c r="D884" s="504"/>
      <c r="E884" s="506"/>
      <c r="F884" s="506"/>
      <c r="G884" s="506"/>
      <c r="H884" s="506"/>
      <c r="I884" s="506"/>
      <c r="J884" s="506"/>
      <c r="K884" s="507"/>
      <c r="L884" s="508"/>
      <c r="M884" s="508"/>
      <c r="N884" s="508"/>
      <c r="O884" s="509"/>
      <c r="P884" s="509"/>
    </row>
    <row r="885" spans="1:16" ht="21.75" customHeight="1" x14ac:dyDescent="0.3">
      <c r="A885" s="504"/>
      <c r="B885" s="504"/>
      <c r="C885" s="504"/>
      <c r="D885" s="504"/>
      <c r="E885" s="506"/>
      <c r="F885" s="506"/>
      <c r="G885" s="506"/>
      <c r="H885" s="506"/>
      <c r="I885" s="506"/>
      <c r="J885" s="506"/>
      <c r="K885" s="507"/>
      <c r="L885" s="508"/>
      <c r="M885" s="508"/>
      <c r="N885" s="508"/>
      <c r="O885" s="509"/>
      <c r="P885" s="509"/>
    </row>
    <row r="886" spans="1:16" ht="21.75" customHeight="1" x14ac:dyDescent="0.3">
      <c r="A886" s="504"/>
      <c r="B886" s="504"/>
      <c r="C886" s="504"/>
      <c r="D886" s="504"/>
      <c r="E886" s="506"/>
      <c r="F886" s="506"/>
      <c r="G886" s="506"/>
      <c r="H886" s="506"/>
      <c r="I886" s="506"/>
      <c r="J886" s="506"/>
      <c r="K886" s="507"/>
      <c r="L886" s="508"/>
      <c r="M886" s="508"/>
      <c r="N886" s="508"/>
      <c r="O886" s="509"/>
      <c r="P886" s="509"/>
    </row>
    <row r="887" spans="1:16" ht="21.75" customHeight="1" x14ac:dyDescent="0.3">
      <c r="A887" s="504"/>
      <c r="B887" s="504"/>
      <c r="C887" s="504"/>
      <c r="D887" s="504"/>
      <c r="E887" s="506"/>
      <c r="F887" s="506"/>
      <c r="G887" s="506"/>
      <c r="H887" s="506"/>
      <c r="I887" s="506"/>
      <c r="J887" s="506"/>
      <c r="K887" s="507"/>
      <c r="L887" s="508"/>
      <c r="M887" s="508"/>
      <c r="N887" s="508"/>
      <c r="O887" s="509"/>
      <c r="P887" s="509"/>
    </row>
    <row r="888" spans="1:16" ht="21.75" customHeight="1" x14ac:dyDescent="0.3">
      <c r="A888" s="504"/>
      <c r="B888" s="504"/>
      <c r="C888" s="504"/>
      <c r="D888" s="504"/>
      <c r="E888" s="506"/>
      <c r="F888" s="506"/>
      <c r="G888" s="506"/>
      <c r="H888" s="506"/>
      <c r="I888" s="506"/>
      <c r="J888" s="506"/>
      <c r="K888" s="507"/>
      <c r="L888" s="508"/>
      <c r="M888" s="508"/>
      <c r="N888" s="508"/>
      <c r="O888" s="509"/>
      <c r="P888" s="509"/>
    </row>
    <row r="889" spans="1:16" ht="21.75" customHeight="1" x14ac:dyDescent="0.3">
      <c r="A889" s="504"/>
      <c r="B889" s="504"/>
      <c r="C889" s="504"/>
      <c r="D889" s="504"/>
      <c r="E889" s="506"/>
      <c r="F889" s="506"/>
      <c r="G889" s="506"/>
      <c r="H889" s="506"/>
      <c r="I889" s="506"/>
      <c r="J889" s="506"/>
      <c r="K889" s="507"/>
      <c r="L889" s="508"/>
      <c r="M889" s="508"/>
      <c r="N889" s="508"/>
      <c r="O889" s="509"/>
      <c r="P889" s="509"/>
    </row>
    <row r="890" spans="1:16" ht="21.75" customHeight="1" x14ac:dyDescent="0.3">
      <c r="A890" s="504"/>
      <c r="B890" s="504"/>
      <c r="C890" s="504"/>
      <c r="D890" s="504"/>
      <c r="E890" s="506"/>
      <c r="F890" s="506"/>
      <c r="G890" s="506"/>
      <c r="H890" s="506"/>
      <c r="I890" s="506"/>
      <c r="J890" s="506"/>
      <c r="K890" s="507"/>
      <c r="L890" s="508"/>
      <c r="M890" s="508"/>
      <c r="N890" s="508"/>
      <c r="O890" s="509"/>
      <c r="P890" s="509"/>
    </row>
    <row r="891" spans="1:16" ht="21.75" customHeight="1" x14ac:dyDescent="0.3">
      <c r="A891" s="504"/>
      <c r="B891" s="504"/>
      <c r="C891" s="504"/>
      <c r="D891" s="504"/>
      <c r="E891" s="506"/>
      <c r="F891" s="506"/>
      <c r="G891" s="506"/>
      <c r="H891" s="506"/>
      <c r="I891" s="506"/>
      <c r="J891" s="506"/>
      <c r="K891" s="507"/>
      <c r="L891" s="508"/>
      <c r="M891" s="508"/>
      <c r="N891" s="508"/>
      <c r="O891" s="509"/>
      <c r="P891" s="509"/>
    </row>
    <row r="892" spans="1:16" ht="21.75" customHeight="1" x14ac:dyDescent="0.3">
      <c r="A892" s="504"/>
      <c r="B892" s="504"/>
      <c r="C892" s="504"/>
      <c r="D892" s="504"/>
      <c r="E892" s="506"/>
      <c r="F892" s="506"/>
      <c r="G892" s="506"/>
      <c r="H892" s="506"/>
      <c r="I892" s="506"/>
      <c r="J892" s="506"/>
      <c r="K892" s="507"/>
      <c r="L892" s="508"/>
      <c r="M892" s="508"/>
      <c r="N892" s="508"/>
      <c r="O892" s="509"/>
      <c r="P892" s="509"/>
    </row>
    <row r="893" spans="1:16" ht="21.75" customHeight="1" x14ac:dyDescent="0.3">
      <c r="A893" s="504"/>
      <c r="B893" s="504"/>
      <c r="C893" s="504"/>
      <c r="D893" s="504"/>
      <c r="E893" s="506"/>
      <c r="F893" s="506"/>
      <c r="G893" s="506"/>
      <c r="H893" s="506"/>
      <c r="I893" s="506"/>
      <c r="J893" s="506"/>
      <c r="K893" s="507"/>
      <c r="L893" s="508"/>
      <c r="M893" s="508"/>
      <c r="N893" s="508"/>
      <c r="O893" s="509"/>
      <c r="P893" s="509"/>
    </row>
    <row r="894" spans="1:16" ht="21.75" customHeight="1" x14ac:dyDescent="0.3">
      <c r="A894" s="504"/>
      <c r="B894" s="504"/>
      <c r="C894" s="504"/>
      <c r="D894" s="504"/>
      <c r="E894" s="506"/>
      <c r="F894" s="506"/>
      <c r="G894" s="506"/>
      <c r="H894" s="506"/>
      <c r="I894" s="506"/>
      <c r="J894" s="506"/>
      <c r="K894" s="507"/>
      <c r="L894" s="508"/>
      <c r="M894" s="508"/>
      <c r="N894" s="508"/>
      <c r="O894" s="509"/>
      <c r="P894" s="509"/>
    </row>
    <row r="895" spans="1:16" ht="21.75" customHeight="1" x14ac:dyDescent="0.3">
      <c r="A895" s="504"/>
      <c r="B895" s="504"/>
      <c r="C895" s="504"/>
      <c r="D895" s="504"/>
      <c r="E895" s="506"/>
      <c r="F895" s="506"/>
      <c r="G895" s="506"/>
      <c r="H895" s="506"/>
      <c r="I895" s="506"/>
      <c r="J895" s="506"/>
      <c r="K895" s="507"/>
      <c r="L895" s="508"/>
      <c r="M895" s="508"/>
      <c r="N895" s="508"/>
      <c r="O895" s="509"/>
      <c r="P895" s="509"/>
    </row>
    <row r="896" spans="1:16" ht="21.75" customHeight="1" x14ac:dyDescent="0.3">
      <c r="A896" s="504"/>
      <c r="B896" s="504"/>
      <c r="C896" s="504"/>
      <c r="D896" s="504"/>
      <c r="E896" s="506"/>
      <c r="F896" s="506"/>
      <c r="G896" s="506"/>
      <c r="H896" s="506"/>
      <c r="I896" s="506"/>
      <c r="J896" s="506"/>
      <c r="K896" s="507"/>
      <c r="L896" s="508"/>
      <c r="M896" s="508"/>
      <c r="N896" s="508"/>
      <c r="O896" s="509"/>
      <c r="P896" s="509"/>
    </row>
    <row r="897" spans="1:16" ht="21.75" customHeight="1" x14ac:dyDescent="0.3">
      <c r="A897" s="504"/>
      <c r="B897" s="504"/>
      <c r="C897" s="504"/>
      <c r="D897" s="504"/>
      <c r="E897" s="506"/>
      <c r="F897" s="506"/>
      <c r="G897" s="506"/>
      <c r="H897" s="506"/>
      <c r="I897" s="506"/>
      <c r="J897" s="506"/>
      <c r="K897" s="507"/>
      <c r="L897" s="508"/>
      <c r="M897" s="508"/>
      <c r="N897" s="508"/>
      <c r="O897" s="509"/>
      <c r="P897" s="509"/>
    </row>
    <row r="898" spans="1:16" ht="21.75" customHeight="1" x14ac:dyDescent="0.3">
      <c r="A898" s="504"/>
      <c r="B898" s="504"/>
      <c r="C898" s="504"/>
      <c r="D898" s="504"/>
      <c r="E898" s="506"/>
      <c r="F898" s="506"/>
      <c r="G898" s="506"/>
      <c r="H898" s="506"/>
      <c r="I898" s="506"/>
      <c r="J898" s="506"/>
      <c r="K898" s="507"/>
      <c r="L898" s="508"/>
      <c r="M898" s="508"/>
      <c r="N898" s="508"/>
      <c r="O898" s="509"/>
      <c r="P898" s="509"/>
    </row>
    <row r="899" spans="1:16" ht="21.75" customHeight="1" x14ac:dyDescent="0.3">
      <c r="A899" s="504"/>
      <c r="B899" s="504"/>
      <c r="C899" s="504"/>
      <c r="D899" s="504"/>
      <c r="E899" s="506"/>
      <c r="F899" s="506"/>
      <c r="G899" s="506"/>
      <c r="H899" s="506"/>
      <c r="I899" s="506"/>
      <c r="J899" s="506"/>
      <c r="K899" s="507"/>
      <c r="L899" s="508"/>
      <c r="M899" s="508"/>
      <c r="N899" s="508"/>
      <c r="O899" s="509"/>
      <c r="P899" s="509"/>
    </row>
    <row r="900" spans="1:16" ht="21.75" customHeight="1" x14ac:dyDescent="0.3">
      <c r="A900" s="504"/>
      <c r="B900" s="504"/>
      <c r="C900" s="504"/>
      <c r="D900" s="504"/>
      <c r="E900" s="506"/>
      <c r="F900" s="506"/>
      <c r="G900" s="506"/>
      <c r="H900" s="506"/>
      <c r="I900" s="506"/>
      <c r="J900" s="506"/>
      <c r="K900" s="507"/>
      <c r="L900" s="508"/>
      <c r="M900" s="508"/>
      <c r="N900" s="508"/>
      <c r="O900" s="509"/>
      <c r="P900" s="509"/>
    </row>
    <row r="901" spans="1:16" ht="21.75" customHeight="1" x14ac:dyDescent="0.3">
      <c r="A901" s="504"/>
      <c r="B901" s="504"/>
      <c r="C901" s="504"/>
      <c r="D901" s="504"/>
      <c r="E901" s="506"/>
      <c r="F901" s="506"/>
      <c r="G901" s="506"/>
      <c r="H901" s="506"/>
      <c r="I901" s="506"/>
      <c r="J901" s="506"/>
      <c r="K901" s="507"/>
      <c r="L901" s="508"/>
      <c r="M901" s="508"/>
      <c r="N901" s="508"/>
      <c r="O901" s="509"/>
      <c r="P901" s="509"/>
    </row>
    <row r="902" spans="1:16" ht="21.75" customHeight="1" x14ac:dyDescent="0.3">
      <c r="A902" s="504"/>
      <c r="B902" s="504"/>
      <c r="C902" s="504"/>
      <c r="D902" s="504"/>
      <c r="E902" s="506"/>
      <c r="F902" s="506"/>
      <c r="G902" s="506"/>
      <c r="H902" s="506"/>
      <c r="I902" s="506"/>
      <c r="J902" s="506"/>
      <c r="K902" s="507"/>
      <c r="L902" s="508"/>
      <c r="M902" s="508"/>
      <c r="N902" s="508"/>
      <c r="O902" s="509"/>
      <c r="P902" s="509"/>
    </row>
    <row r="903" spans="1:16" ht="21.75" customHeight="1" x14ac:dyDescent="0.3">
      <c r="A903" s="504"/>
      <c r="B903" s="504"/>
      <c r="C903" s="504"/>
      <c r="D903" s="504"/>
      <c r="E903" s="506"/>
      <c r="F903" s="506"/>
      <c r="G903" s="506"/>
      <c r="H903" s="506"/>
      <c r="I903" s="506"/>
      <c r="J903" s="506"/>
      <c r="K903" s="507"/>
      <c r="L903" s="508"/>
      <c r="M903" s="508"/>
      <c r="N903" s="508"/>
      <c r="O903" s="509"/>
      <c r="P903" s="509"/>
    </row>
    <row r="904" spans="1:16" ht="21.75" customHeight="1" x14ac:dyDescent="0.3">
      <c r="A904" s="504"/>
      <c r="B904" s="504"/>
      <c r="C904" s="504"/>
      <c r="D904" s="504"/>
      <c r="E904" s="506"/>
      <c r="F904" s="506"/>
      <c r="G904" s="506"/>
      <c r="H904" s="506"/>
      <c r="I904" s="506"/>
      <c r="J904" s="506"/>
      <c r="K904" s="507"/>
      <c r="L904" s="508"/>
      <c r="M904" s="508"/>
      <c r="N904" s="508"/>
      <c r="O904" s="509"/>
      <c r="P904" s="509"/>
    </row>
    <row r="905" spans="1:16" ht="21.75" customHeight="1" x14ac:dyDescent="0.3">
      <c r="A905" s="504"/>
      <c r="B905" s="504"/>
      <c r="C905" s="504"/>
      <c r="D905" s="504"/>
      <c r="E905" s="506"/>
      <c r="F905" s="506"/>
      <c r="G905" s="506"/>
      <c r="H905" s="506"/>
      <c r="I905" s="506"/>
      <c r="J905" s="506"/>
      <c r="K905" s="507"/>
      <c r="L905" s="508"/>
      <c r="M905" s="508"/>
      <c r="N905" s="508"/>
      <c r="O905" s="509"/>
      <c r="P905" s="509"/>
    </row>
    <row r="906" spans="1:16" ht="21.75" customHeight="1" x14ac:dyDescent="0.3">
      <c r="A906" s="504"/>
      <c r="B906" s="504"/>
      <c r="C906" s="504"/>
      <c r="D906" s="504"/>
      <c r="E906" s="506"/>
      <c r="F906" s="506"/>
      <c r="G906" s="506"/>
      <c r="H906" s="506"/>
      <c r="I906" s="506"/>
      <c r="J906" s="506"/>
      <c r="K906" s="507"/>
      <c r="L906" s="508"/>
      <c r="M906" s="508"/>
      <c r="N906" s="508"/>
      <c r="O906" s="509"/>
      <c r="P906" s="509"/>
    </row>
    <row r="907" spans="1:16" ht="21.75" customHeight="1" x14ac:dyDescent="0.3">
      <c r="A907" s="504"/>
      <c r="B907" s="504"/>
      <c r="C907" s="504"/>
      <c r="D907" s="504"/>
      <c r="E907" s="506"/>
      <c r="F907" s="506"/>
      <c r="G907" s="506"/>
      <c r="H907" s="506"/>
      <c r="I907" s="506"/>
      <c r="J907" s="506"/>
      <c r="K907" s="507"/>
      <c r="L907" s="508"/>
      <c r="M907" s="508"/>
      <c r="N907" s="508"/>
      <c r="O907" s="509"/>
      <c r="P907" s="509"/>
    </row>
    <row r="908" spans="1:16" ht="21.75" customHeight="1" x14ac:dyDescent="0.3">
      <c r="A908" s="504"/>
      <c r="B908" s="504"/>
      <c r="C908" s="504"/>
      <c r="D908" s="504"/>
      <c r="E908" s="506"/>
      <c r="F908" s="506"/>
      <c r="G908" s="506"/>
      <c r="H908" s="506"/>
      <c r="I908" s="506"/>
      <c r="J908" s="506"/>
      <c r="K908" s="507"/>
      <c r="L908" s="508"/>
      <c r="M908" s="508"/>
      <c r="N908" s="508"/>
      <c r="O908" s="509"/>
      <c r="P908" s="509"/>
    </row>
    <row r="909" spans="1:16" ht="21.75" customHeight="1" x14ac:dyDescent="0.3">
      <c r="A909" s="504"/>
      <c r="B909" s="504"/>
      <c r="C909" s="504"/>
      <c r="D909" s="504"/>
      <c r="E909" s="506"/>
      <c r="F909" s="506"/>
      <c r="G909" s="506"/>
      <c r="H909" s="506"/>
      <c r="I909" s="506"/>
      <c r="J909" s="506"/>
      <c r="K909" s="507"/>
      <c r="L909" s="508"/>
      <c r="M909" s="508"/>
      <c r="N909" s="508"/>
      <c r="O909" s="509"/>
      <c r="P909" s="509"/>
    </row>
    <row r="910" spans="1:16" ht="21.75" customHeight="1" x14ac:dyDescent="0.3">
      <c r="A910" s="504"/>
      <c r="B910" s="504"/>
      <c r="C910" s="504"/>
      <c r="D910" s="504"/>
      <c r="E910" s="506"/>
      <c r="F910" s="506"/>
      <c r="G910" s="506"/>
      <c r="H910" s="506"/>
      <c r="I910" s="506"/>
      <c r="J910" s="506"/>
      <c r="K910" s="507"/>
      <c r="L910" s="508"/>
      <c r="M910" s="508"/>
      <c r="N910" s="508"/>
      <c r="O910" s="509"/>
      <c r="P910" s="509"/>
    </row>
    <row r="911" spans="1:16" ht="21.75" customHeight="1" x14ac:dyDescent="0.3">
      <c r="A911" s="504"/>
      <c r="B911" s="504"/>
      <c r="C911" s="504"/>
      <c r="D911" s="504"/>
      <c r="E911" s="506"/>
      <c r="F911" s="506"/>
      <c r="G911" s="506"/>
      <c r="H911" s="506"/>
      <c r="I911" s="506"/>
      <c r="J911" s="506"/>
      <c r="K911" s="507"/>
      <c r="L911" s="508"/>
      <c r="M911" s="508"/>
      <c r="N911" s="508"/>
      <c r="O911" s="509"/>
      <c r="P911" s="509"/>
    </row>
    <row r="912" spans="1:16" ht="21.75" customHeight="1" x14ac:dyDescent="0.3">
      <c r="A912" s="504"/>
      <c r="B912" s="504"/>
      <c r="C912" s="504"/>
      <c r="D912" s="504"/>
      <c r="E912" s="506"/>
      <c r="F912" s="506"/>
      <c r="G912" s="506"/>
      <c r="H912" s="506"/>
      <c r="I912" s="506"/>
      <c r="J912" s="506"/>
      <c r="K912" s="507"/>
      <c r="L912" s="508"/>
      <c r="M912" s="508"/>
      <c r="N912" s="508"/>
      <c r="O912" s="509"/>
      <c r="P912" s="509"/>
    </row>
    <row r="913" spans="1:16" ht="21.75" customHeight="1" x14ac:dyDescent="0.3">
      <c r="A913" s="504"/>
      <c r="B913" s="504"/>
      <c r="C913" s="504"/>
      <c r="D913" s="504"/>
      <c r="E913" s="506"/>
      <c r="F913" s="506"/>
      <c r="G913" s="506"/>
      <c r="H913" s="506"/>
      <c r="I913" s="506"/>
      <c r="J913" s="506"/>
      <c r="K913" s="507"/>
      <c r="L913" s="508"/>
      <c r="M913" s="508"/>
      <c r="N913" s="508"/>
      <c r="O913" s="509"/>
      <c r="P913" s="509"/>
    </row>
    <row r="914" spans="1:16" ht="21.75" customHeight="1" x14ac:dyDescent="0.3">
      <c r="A914" s="504"/>
      <c r="B914" s="504"/>
      <c r="C914" s="504"/>
      <c r="D914" s="504"/>
      <c r="E914" s="506"/>
      <c r="F914" s="506"/>
      <c r="G914" s="506"/>
      <c r="H914" s="506"/>
      <c r="I914" s="506"/>
      <c r="J914" s="506"/>
      <c r="K914" s="507"/>
      <c r="L914" s="508"/>
      <c r="M914" s="508"/>
      <c r="N914" s="508"/>
      <c r="O914" s="509"/>
      <c r="P914" s="509"/>
    </row>
    <row r="915" spans="1:16" ht="21.75" customHeight="1" x14ac:dyDescent="0.3">
      <c r="A915" s="504"/>
      <c r="B915" s="504"/>
      <c r="C915" s="504"/>
      <c r="D915" s="504"/>
      <c r="E915" s="506"/>
      <c r="F915" s="506"/>
      <c r="G915" s="506"/>
      <c r="H915" s="506"/>
      <c r="I915" s="506"/>
      <c r="J915" s="506"/>
      <c r="K915" s="507"/>
      <c r="L915" s="508"/>
      <c r="M915" s="508"/>
      <c r="N915" s="508"/>
      <c r="O915" s="509"/>
      <c r="P915" s="509"/>
    </row>
    <row r="916" spans="1:16" ht="21.75" customHeight="1" x14ac:dyDescent="0.3">
      <c r="A916" s="504"/>
      <c r="B916" s="504"/>
      <c r="C916" s="504"/>
      <c r="D916" s="504"/>
      <c r="E916" s="506"/>
      <c r="F916" s="506"/>
      <c r="G916" s="506"/>
      <c r="H916" s="506"/>
      <c r="I916" s="506"/>
      <c r="J916" s="506"/>
      <c r="K916" s="507"/>
      <c r="L916" s="508"/>
      <c r="M916" s="508"/>
      <c r="N916" s="508"/>
      <c r="O916" s="509"/>
      <c r="P916" s="509"/>
    </row>
    <row r="917" spans="1:16" ht="21.75" customHeight="1" x14ac:dyDescent="0.3">
      <c r="A917" s="504"/>
      <c r="B917" s="504"/>
      <c r="C917" s="504"/>
      <c r="D917" s="504"/>
      <c r="E917" s="506"/>
      <c r="F917" s="506"/>
      <c r="G917" s="506"/>
      <c r="H917" s="506"/>
      <c r="I917" s="506"/>
      <c r="J917" s="506"/>
      <c r="K917" s="507"/>
      <c r="L917" s="508"/>
      <c r="M917" s="508"/>
      <c r="N917" s="508"/>
      <c r="O917" s="509"/>
      <c r="P917" s="509"/>
    </row>
    <row r="918" spans="1:16" ht="21.75" customHeight="1" x14ac:dyDescent="0.3">
      <c r="A918" s="504"/>
      <c r="B918" s="504"/>
      <c r="C918" s="504"/>
      <c r="D918" s="504"/>
      <c r="E918" s="506"/>
      <c r="F918" s="506"/>
      <c r="G918" s="506"/>
      <c r="H918" s="506"/>
      <c r="I918" s="506"/>
      <c r="J918" s="506"/>
      <c r="K918" s="507"/>
      <c r="L918" s="508"/>
      <c r="M918" s="508"/>
      <c r="N918" s="508"/>
      <c r="O918" s="509"/>
      <c r="P918" s="509"/>
    </row>
    <row r="919" spans="1:16" ht="21.75" customHeight="1" x14ac:dyDescent="0.3">
      <c r="A919" s="504"/>
      <c r="B919" s="504"/>
      <c r="C919" s="504"/>
      <c r="D919" s="504"/>
      <c r="E919" s="506"/>
      <c r="F919" s="506"/>
      <c r="G919" s="506"/>
      <c r="H919" s="506"/>
      <c r="I919" s="506"/>
      <c r="J919" s="506"/>
      <c r="K919" s="507"/>
      <c r="L919" s="508"/>
      <c r="M919" s="508"/>
      <c r="N919" s="508"/>
      <c r="O919" s="509"/>
      <c r="P919" s="509"/>
    </row>
    <row r="920" spans="1:16" ht="21.75" customHeight="1" x14ac:dyDescent="0.3">
      <c r="A920" s="504"/>
      <c r="B920" s="504"/>
      <c r="C920" s="504"/>
      <c r="D920" s="504"/>
      <c r="E920" s="506"/>
      <c r="F920" s="506"/>
      <c r="G920" s="506"/>
      <c r="H920" s="506"/>
      <c r="I920" s="506"/>
      <c r="J920" s="506"/>
      <c r="K920" s="507"/>
      <c r="L920" s="508"/>
      <c r="M920" s="508"/>
      <c r="N920" s="508"/>
      <c r="O920" s="509"/>
      <c r="P920" s="509"/>
    </row>
    <row r="921" spans="1:16" ht="21.75" customHeight="1" x14ac:dyDescent="0.3">
      <c r="A921" s="504"/>
      <c r="B921" s="504"/>
      <c r="C921" s="504"/>
      <c r="D921" s="504"/>
      <c r="E921" s="506"/>
      <c r="F921" s="506"/>
      <c r="G921" s="506"/>
      <c r="H921" s="506"/>
      <c r="I921" s="506"/>
      <c r="J921" s="506"/>
      <c r="K921" s="507"/>
      <c r="L921" s="508"/>
      <c r="M921" s="508"/>
      <c r="N921" s="508"/>
      <c r="O921" s="509"/>
      <c r="P921" s="509"/>
    </row>
    <row r="922" spans="1:16" ht="21.75" customHeight="1" x14ac:dyDescent="0.3">
      <c r="A922" s="504"/>
      <c r="B922" s="504"/>
      <c r="C922" s="504"/>
      <c r="D922" s="504"/>
      <c r="E922" s="506"/>
      <c r="F922" s="506"/>
      <c r="G922" s="506"/>
      <c r="H922" s="506"/>
      <c r="I922" s="506"/>
      <c r="J922" s="506"/>
      <c r="K922" s="507"/>
      <c r="L922" s="508"/>
      <c r="M922" s="508"/>
      <c r="N922" s="508"/>
      <c r="O922" s="509"/>
      <c r="P922" s="509"/>
    </row>
    <row r="923" spans="1:16" ht="21.75" customHeight="1" x14ac:dyDescent="0.3">
      <c r="A923" s="504"/>
      <c r="B923" s="504"/>
      <c r="C923" s="504"/>
      <c r="D923" s="504"/>
      <c r="E923" s="506"/>
      <c r="F923" s="506"/>
      <c r="G923" s="506"/>
      <c r="H923" s="506"/>
      <c r="I923" s="506"/>
      <c r="J923" s="506"/>
      <c r="K923" s="507"/>
      <c r="L923" s="508"/>
      <c r="M923" s="508"/>
      <c r="N923" s="508"/>
      <c r="O923" s="509"/>
      <c r="P923" s="509"/>
    </row>
    <row r="924" spans="1:16" ht="21.75" customHeight="1" x14ac:dyDescent="0.3">
      <c r="A924" s="504"/>
      <c r="B924" s="504"/>
      <c r="C924" s="504"/>
      <c r="D924" s="504"/>
      <c r="E924" s="506"/>
      <c r="F924" s="506"/>
      <c r="G924" s="506"/>
      <c r="H924" s="506"/>
      <c r="I924" s="506"/>
      <c r="J924" s="506"/>
      <c r="K924" s="507"/>
      <c r="L924" s="508"/>
      <c r="M924" s="508"/>
      <c r="N924" s="508"/>
      <c r="O924" s="509"/>
      <c r="P924" s="509"/>
    </row>
    <row r="925" spans="1:16" ht="21.75" customHeight="1" x14ac:dyDescent="0.3">
      <c r="A925" s="504"/>
      <c r="B925" s="504"/>
      <c r="C925" s="504"/>
      <c r="D925" s="504"/>
      <c r="E925" s="506"/>
      <c r="F925" s="506"/>
      <c r="G925" s="506"/>
      <c r="H925" s="506"/>
      <c r="I925" s="506"/>
      <c r="J925" s="506"/>
      <c r="K925" s="507"/>
      <c r="L925" s="508"/>
      <c r="M925" s="508"/>
      <c r="N925" s="508"/>
      <c r="O925" s="509"/>
      <c r="P925" s="509"/>
    </row>
    <row r="926" spans="1:16" ht="21.75" customHeight="1" x14ac:dyDescent="0.3">
      <c r="A926" s="504"/>
      <c r="B926" s="504"/>
      <c r="C926" s="504"/>
      <c r="D926" s="504"/>
      <c r="E926" s="506"/>
      <c r="F926" s="506"/>
      <c r="G926" s="506"/>
      <c r="H926" s="506"/>
      <c r="I926" s="506"/>
      <c r="J926" s="506"/>
      <c r="K926" s="507"/>
      <c r="L926" s="508"/>
      <c r="M926" s="508"/>
      <c r="N926" s="508"/>
      <c r="O926" s="509"/>
      <c r="P926" s="509"/>
    </row>
    <row r="927" spans="1:16" ht="21.75" customHeight="1" x14ac:dyDescent="0.3">
      <c r="A927" s="504"/>
      <c r="B927" s="504"/>
      <c r="C927" s="504"/>
      <c r="D927" s="504"/>
      <c r="E927" s="506"/>
      <c r="F927" s="506"/>
      <c r="G927" s="506"/>
      <c r="H927" s="506"/>
      <c r="I927" s="506"/>
      <c r="J927" s="506"/>
      <c r="K927" s="507"/>
      <c r="L927" s="508"/>
      <c r="M927" s="508"/>
      <c r="N927" s="508"/>
      <c r="O927" s="509"/>
      <c r="P927" s="509"/>
    </row>
    <row r="928" spans="1:16" ht="21.75" customHeight="1" x14ac:dyDescent="0.3">
      <c r="A928" s="504"/>
      <c r="B928" s="504"/>
      <c r="C928" s="504"/>
      <c r="D928" s="504"/>
      <c r="E928" s="506"/>
      <c r="F928" s="506"/>
      <c r="G928" s="506"/>
      <c r="H928" s="506"/>
      <c r="I928" s="506"/>
      <c r="J928" s="506"/>
      <c r="K928" s="507"/>
      <c r="L928" s="508"/>
      <c r="M928" s="508"/>
      <c r="N928" s="508"/>
      <c r="O928" s="509"/>
      <c r="P928" s="509"/>
    </row>
    <row r="929" spans="1:16" ht="21.75" customHeight="1" x14ac:dyDescent="0.3">
      <c r="A929" s="504"/>
      <c r="B929" s="504"/>
      <c r="C929" s="504"/>
      <c r="D929" s="504"/>
      <c r="E929" s="506"/>
      <c r="F929" s="506"/>
      <c r="G929" s="506"/>
      <c r="H929" s="506"/>
      <c r="I929" s="506"/>
      <c r="J929" s="506"/>
      <c r="K929" s="507"/>
      <c r="L929" s="508"/>
      <c r="M929" s="508"/>
      <c r="N929" s="508"/>
      <c r="O929" s="509"/>
      <c r="P929" s="509"/>
    </row>
    <row r="930" spans="1:16" ht="21.75" customHeight="1" x14ac:dyDescent="0.3">
      <c r="A930" s="504"/>
      <c r="B930" s="504"/>
      <c r="C930" s="504"/>
      <c r="D930" s="504"/>
      <c r="E930" s="506"/>
      <c r="F930" s="506"/>
      <c r="G930" s="506"/>
      <c r="H930" s="506"/>
      <c r="I930" s="506"/>
      <c r="J930" s="506"/>
      <c r="K930" s="507"/>
      <c r="L930" s="508"/>
      <c r="M930" s="508"/>
      <c r="N930" s="508"/>
      <c r="O930" s="509"/>
      <c r="P930" s="509"/>
    </row>
    <row r="931" spans="1:16" ht="21.75" customHeight="1" x14ac:dyDescent="0.3">
      <c r="A931" s="504"/>
      <c r="B931" s="504"/>
      <c r="C931" s="504"/>
      <c r="D931" s="504"/>
      <c r="E931" s="506"/>
      <c r="F931" s="506"/>
      <c r="G931" s="506"/>
      <c r="H931" s="506"/>
      <c r="I931" s="506"/>
      <c r="J931" s="506"/>
      <c r="K931" s="507"/>
      <c r="L931" s="508"/>
      <c r="M931" s="508"/>
      <c r="N931" s="508"/>
      <c r="O931" s="509"/>
      <c r="P931" s="509"/>
    </row>
    <row r="932" spans="1:16" ht="21.75" customHeight="1" x14ac:dyDescent="0.3">
      <c r="A932" s="504"/>
      <c r="B932" s="504"/>
      <c r="C932" s="504"/>
      <c r="D932" s="504"/>
      <c r="E932" s="506"/>
      <c r="F932" s="506"/>
      <c r="G932" s="506"/>
      <c r="H932" s="506"/>
      <c r="I932" s="506"/>
      <c r="J932" s="506"/>
      <c r="K932" s="507"/>
      <c r="L932" s="508"/>
      <c r="M932" s="508"/>
      <c r="N932" s="508"/>
      <c r="O932" s="509"/>
      <c r="P932" s="509"/>
    </row>
    <row r="933" spans="1:16" ht="21.75" customHeight="1" x14ac:dyDescent="0.3">
      <c r="A933" s="504"/>
      <c r="B933" s="504"/>
      <c r="C933" s="504"/>
      <c r="D933" s="504"/>
      <c r="E933" s="506"/>
      <c r="F933" s="506"/>
      <c r="G933" s="506"/>
      <c r="H933" s="506"/>
      <c r="I933" s="506"/>
      <c r="J933" s="506"/>
      <c r="K933" s="507"/>
      <c r="L933" s="508"/>
      <c r="M933" s="508"/>
      <c r="N933" s="508"/>
      <c r="O933" s="509"/>
      <c r="P933" s="509"/>
    </row>
    <row r="934" spans="1:16" ht="21.75" customHeight="1" x14ac:dyDescent="0.3">
      <c r="A934" s="504"/>
      <c r="B934" s="504"/>
      <c r="C934" s="504"/>
      <c r="D934" s="504"/>
      <c r="E934" s="506"/>
      <c r="F934" s="506"/>
      <c r="G934" s="506"/>
      <c r="H934" s="506"/>
      <c r="I934" s="506"/>
      <c r="J934" s="506"/>
      <c r="K934" s="507"/>
      <c r="L934" s="508"/>
      <c r="M934" s="508"/>
      <c r="N934" s="508"/>
      <c r="O934" s="509"/>
      <c r="P934" s="509"/>
    </row>
    <row r="935" spans="1:16" ht="21.75" customHeight="1" x14ac:dyDescent="0.3">
      <c r="A935" s="504"/>
      <c r="B935" s="504"/>
      <c r="C935" s="504"/>
      <c r="D935" s="504"/>
      <c r="E935" s="506"/>
      <c r="F935" s="506"/>
      <c r="G935" s="506"/>
      <c r="H935" s="506"/>
      <c r="I935" s="506"/>
      <c r="J935" s="506"/>
      <c r="K935" s="507"/>
      <c r="L935" s="508"/>
      <c r="M935" s="508"/>
      <c r="N935" s="508"/>
      <c r="O935" s="509"/>
      <c r="P935" s="509"/>
    </row>
    <row r="936" spans="1:16" ht="21.75" customHeight="1" x14ac:dyDescent="0.3">
      <c r="A936" s="504"/>
      <c r="B936" s="504"/>
      <c r="C936" s="504"/>
      <c r="D936" s="504"/>
      <c r="E936" s="506"/>
      <c r="F936" s="506"/>
      <c r="G936" s="506"/>
      <c r="H936" s="506"/>
      <c r="I936" s="506"/>
      <c r="J936" s="506"/>
      <c r="K936" s="507"/>
      <c r="L936" s="508"/>
      <c r="M936" s="508"/>
      <c r="N936" s="508"/>
      <c r="O936" s="509"/>
      <c r="P936" s="509"/>
    </row>
    <row r="937" spans="1:16" ht="21.75" customHeight="1" x14ac:dyDescent="0.3">
      <c r="A937" s="504"/>
      <c r="B937" s="504"/>
      <c r="C937" s="504"/>
      <c r="D937" s="504"/>
      <c r="E937" s="506"/>
      <c r="F937" s="506"/>
      <c r="G937" s="506"/>
      <c r="H937" s="506"/>
      <c r="I937" s="506"/>
      <c r="J937" s="506"/>
      <c r="K937" s="507"/>
      <c r="L937" s="508"/>
      <c r="M937" s="508"/>
      <c r="N937" s="508"/>
      <c r="O937" s="509"/>
      <c r="P937" s="509"/>
    </row>
    <row r="938" spans="1:16" ht="21.75" customHeight="1" x14ac:dyDescent="0.3">
      <c r="A938" s="504"/>
      <c r="B938" s="504"/>
      <c r="C938" s="504"/>
      <c r="D938" s="504"/>
      <c r="E938" s="506"/>
      <c r="F938" s="506"/>
      <c r="G938" s="506"/>
      <c r="H938" s="506"/>
      <c r="I938" s="506"/>
      <c r="J938" s="506"/>
      <c r="K938" s="507"/>
      <c r="L938" s="508"/>
      <c r="M938" s="508"/>
      <c r="N938" s="508"/>
      <c r="O938" s="509"/>
      <c r="P938" s="509"/>
    </row>
    <row r="939" spans="1:16" ht="21.75" customHeight="1" x14ac:dyDescent="0.3">
      <c r="A939" s="504"/>
      <c r="B939" s="504"/>
      <c r="C939" s="504"/>
      <c r="D939" s="504"/>
      <c r="E939" s="506"/>
      <c r="F939" s="506"/>
      <c r="G939" s="506"/>
      <c r="H939" s="506"/>
      <c r="I939" s="506"/>
      <c r="J939" s="506"/>
      <c r="K939" s="507"/>
      <c r="L939" s="508"/>
      <c r="M939" s="508"/>
      <c r="N939" s="508"/>
      <c r="O939" s="509"/>
      <c r="P939" s="509"/>
    </row>
    <row r="940" spans="1:16" ht="21.75" customHeight="1" x14ac:dyDescent="0.3">
      <c r="A940" s="504"/>
      <c r="B940" s="504"/>
      <c r="C940" s="504"/>
      <c r="D940" s="504"/>
      <c r="E940" s="506"/>
      <c r="F940" s="506"/>
      <c r="G940" s="506"/>
      <c r="H940" s="506"/>
      <c r="I940" s="506"/>
      <c r="J940" s="506"/>
      <c r="K940" s="507"/>
      <c r="L940" s="508"/>
      <c r="M940" s="508"/>
      <c r="N940" s="508"/>
      <c r="O940" s="509"/>
      <c r="P940" s="509"/>
    </row>
    <row r="941" spans="1:16" ht="21.75" customHeight="1" x14ac:dyDescent="0.3">
      <c r="A941" s="504"/>
      <c r="B941" s="504"/>
      <c r="C941" s="504"/>
      <c r="D941" s="504"/>
      <c r="E941" s="506"/>
      <c r="F941" s="506"/>
      <c r="G941" s="506"/>
      <c r="H941" s="506"/>
      <c r="I941" s="506"/>
      <c r="J941" s="506"/>
      <c r="K941" s="507"/>
      <c r="L941" s="508"/>
      <c r="M941" s="508"/>
      <c r="N941" s="508"/>
      <c r="O941" s="509"/>
      <c r="P941" s="509"/>
    </row>
    <row r="942" spans="1:16" ht="21.75" customHeight="1" x14ac:dyDescent="0.3">
      <c r="A942" s="504"/>
      <c r="B942" s="504"/>
      <c r="C942" s="504"/>
      <c r="D942" s="504"/>
      <c r="E942" s="506"/>
      <c r="F942" s="506"/>
      <c r="G942" s="506"/>
      <c r="H942" s="506"/>
      <c r="I942" s="506"/>
      <c r="J942" s="506"/>
      <c r="K942" s="507"/>
      <c r="L942" s="508"/>
      <c r="M942" s="508"/>
      <c r="N942" s="508"/>
      <c r="O942" s="509"/>
      <c r="P942" s="509"/>
    </row>
    <row r="943" spans="1:16" ht="21.75" customHeight="1" x14ac:dyDescent="0.3">
      <c r="A943" s="504"/>
      <c r="B943" s="504"/>
      <c r="C943" s="504"/>
      <c r="D943" s="504"/>
      <c r="E943" s="506"/>
      <c r="F943" s="506"/>
      <c r="G943" s="506"/>
      <c r="H943" s="506"/>
      <c r="I943" s="506"/>
      <c r="J943" s="506"/>
      <c r="K943" s="507"/>
      <c r="L943" s="508"/>
      <c r="M943" s="508"/>
      <c r="N943" s="508"/>
      <c r="O943" s="509"/>
      <c r="P943" s="509"/>
    </row>
    <row r="944" spans="1:16" ht="21.75" customHeight="1" x14ac:dyDescent="0.3">
      <c r="A944" s="504"/>
      <c r="B944" s="504"/>
      <c r="C944" s="504"/>
      <c r="D944" s="504"/>
      <c r="E944" s="506"/>
      <c r="F944" s="506"/>
      <c r="G944" s="506"/>
      <c r="H944" s="506"/>
      <c r="I944" s="506"/>
      <c r="J944" s="506"/>
      <c r="K944" s="507"/>
      <c r="L944" s="508"/>
      <c r="M944" s="508"/>
      <c r="N944" s="508"/>
      <c r="O944" s="509"/>
      <c r="P944" s="509"/>
    </row>
    <row r="945" spans="1:16" ht="21.75" customHeight="1" x14ac:dyDescent="0.3">
      <c r="A945" s="504"/>
      <c r="B945" s="504"/>
      <c r="C945" s="504"/>
      <c r="D945" s="504"/>
      <c r="E945" s="506"/>
      <c r="F945" s="506"/>
      <c r="G945" s="506"/>
      <c r="H945" s="506"/>
      <c r="I945" s="506"/>
      <c r="J945" s="506"/>
      <c r="K945" s="507"/>
      <c r="L945" s="508"/>
      <c r="M945" s="508"/>
      <c r="N945" s="508"/>
      <c r="O945" s="509"/>
      <c r="P945" s="509"/>
    </row>
    <row r="946" spans="1:16" ht="21.75" customHeight="1" x14ac:dyDescent="0.3">
      <c r="A946" s="504"/>
      <c r="B946" s="504"/>
      <c r="C946" s="504"/>
      <c r="D946" s="504"/>
      <c r="E946" s="506"/>
      <c r="F946" s="506"/>
      <c r="G946" s="506"/>
      <c r="H946" s="506"/>
      <c r="I946" s="506"/>
      <c r="J946" s="506"/>
      <c r="K946" s="507"/>
      <c r="L946" s="508"/>
      <c r="M946" s="508"/>
      <c r="N946" s="508"/>
      <c r="O946" s="509"/>
      <c r="P946" s="509"/>
    </row>
    <row r="947" spans="1:16" ht="21.75" customHeight="1" x14ac:dyDescent="0.3">
      <c r="A947" s="504"/>
      <c r="B947" s="504"/>
      <c r="C947" s="504"/>
      <c r="D947" s="504"/>
      <c r="E947" s="506"/>
      <c r="F947" s="506"/>
      <c r="G947" s="506"/>
      <c r="H947" s="506"/>
      <c r="I947" s="506"/>
      <c r="J947" s="506"/>
      <c r="K947" s="507"/>
      <c r="L947" s="508"/>
      <c r="M947" s="508"/>
      <c r="N947" s="508"/>
      <c r="O947" s="509"/>
      <c r="P947" s="509"/>
    </row>
    <row r="948" spans="1:16" ht="21.75" customHeight="1" x14ac:dyDescent="0.3">
      <c r="A948" s="504"/>
      <c r="B948" s="504"/>
      <c r="C948" s="504"/>
      <c r="D948" s="504"/>
      <c r="E948" s="506"/>
      <c r="F948" s="506"/>
      <c r="G948" s="506"/>
      <c r="H948" s="506"/>
      <c r="I948" s="506"/>
      <c r="J948" s="506"/>
      <c r="K948" s="507"/>
      <c r="L948" s="508"/>
      <c r="M948" s="508"/>
      <c r="N948" s="508"/>
      <c r="O948" s="509"/>
      <c r="P948" s="509"/>
    </row>
    <row r="949" spans="1:16" ht="21.75" customHeight="1" x14ac:dyDescent="0.3">
      <c r="A949" s="504"/>
      <c r="B949" s="504"/>
      <c r="C949" s="504"/>
      <c r="D949" s="504"/>
      <c r="E949" s="506"/>
      <c r="F949" s="506"/>
      <c r="G949" s="506"/>
      <c r="H949" s="506"/>
      <c r="I949" s="506"/>
      <c r="J949" s="506"/>
      <c r="K949" s="507"/>
      <c r="L949" s="508"/>
      <c r="M949" s="508"/>
      <c r="N949" s="508"/>
      <c r="O949" s="509"/>
      <c r="P949" s="509"/>
    </row>
    <row r="950" spans="1:16" ht="21.75" customHeight="1" x14ac:dyDescent="0.3">
      <c r="A950" s="504"/>
      <c r="B950" s="504"/>
      <c r="C950" s="504"/>
      <c r="D950" s="504"/>
      <c r="E950" s="506"/>
      <c r="F950" s="506"/>
      <c r="G950" s="506"/>
      <c r="H950" s="506"/>
      <c r="I950" s="506"/>
      <c r="J950" s="506"/>
      <c r="K950" s="507"/>
      <c r="L950" s="508"/>
      <c r="M950" s="508"/>
      <c r="N950" s="508"/>
      <c r="O950" s="509"/>
      <c r="P950" s="509"/>
    </row>
    <row r="951" spans="1:16" ht="21.75" customHeight="1" x14ac:dyDescent="0.3">
      <c r="A951" s="504"/>
      <c r="B951" s="504"/>
      <c r="C951" s="504"/>
      <c r="D951" s="504"/>
      <c r="E951" s="506"/>
      <c r="F951" s="506"/>
      <c r="G951" s="506"/>
      <c r="H951" s="506"/>
      <c r="I951" s="506"/>
      <c r="J951" s="506"/>
      <c r="K951" s="507"/>
      <c r="L951" s="508"/>
      <c r="M951" s="508"/>
      <c r="N951" s="508"/>
      <c r="O951" s="509"/>
      <c r="P951" s="509"/>
    </row>
    <row r="952" spans="1:16" ht="21.75" customHeight="1" x14ac:dyDescent="0.3">
      <c r="A952" s="504"/>
      <c r="B952" s="504"/>
      <c r="C952" s="504"/>
      <c r="D952" s="504"/>
      <c r="E952" s="506"/>
      <c r="F952" s="506"/>
      <c r="G952" s="506"/>
      <c r="H952" s="506"/>
      <c r="I952" s="506"/>
      <c r="J952" s="506"/>
      <c r="K952" s="507"/>
      <c r="L952" s="508"/>
      <c r="M952" s="508"/>
      <c r="N952" s="508"/>
      <c r="O952" s="509"/>
      <c r="P952" s="509"/>
    </row>
    <row r="953" spans="1:16" ht="21.75" customHeight="1" x14ac:dyDescent="0.3">
      <c r="A953" s="504"/>
      <c r="B953" s="504"/>
      <c r="C953" s="504"/>
      <c r="D953" s="504"/>
      <c r="E953" s="506"/>
      <c r="F953" s="506"/>
      <c r="G953" s="506"/>
      <c r="H953" s="506"/>
      <c r="I953" s="506"/>
      <c r="J953" s="506"/>
      <c r="K953" s="507"/>
      <c r="L953" s="508"/>
      <c r="M953" s="508"/>
      <c r="N953" s="508"/>
      <c r="O953" s="509"/>
      <c r="P953" s="509"/>
    </row>
    <row r="954" spans="1:16" ht="21.75" customHeight="1" x14ac:dyDescent="0.3">
      <c r="A954" s="504"/>
      <c r="B954" s="504"/>
      <c r="C954" s="504"/>
      <c r="D954" s="504"/>
      <c r="E954" s="506"/>
      <c r="F954" s="506"/>
      <c r="G954" s="506"/>
      <c r="H954" s="506"/>
      <c r="I954" s="506"/>
      <c r="J954" s="506"/>
      <c r="K954" s="507"/>
      <c r="L954" s="508"/>
      <c r="M954" s="508"/>
      <c r="N954" s="508"/>
      <c r="O954" s="509"/>
      <c r="P954" s="509"/>
    </row>
    <row r="955" spans="1:16" ht="21.75" customHeight="1" x14ac:dyDescent="0.3">
      <c r="A955" s="504"/>
      <c r="B955" s="504"/>
      <c r="C955" s="504"/>
      <c r="D955" s="504"/>
      <c r="E955" s="506"/>
      <c r="F955" s="506"/>
      <c r="G955" s="506"/>
      <c r="H955" s="506"/>
      <c r="I955" s="506"/>
      <c r="J955" s="506"/>
      <c r="K955" s="507"/>
      <c r="L955" s="508"/>
      <c r="M955" s="508"/>
      <c r="N955" s="508"/>
      <c r="O955" s="509"/>
      <c r="P955" s="509"/>
    </row>
    <row r="956" spans="1:16" ht="21.75" customHeight="1" x14ac:dyDescent="0.3">
      <c r="A956" s="504"/>
      <c r="B956" s="504"/>
      <c r="C956" s="504"/>
      <c r="D956" s="504"/>
      <c r="E956" s="506"/>
      <c r="F956" s="506"/>
      <c r="G956" s="506"/>
      <c r="H956" s="506"/>
      <c r="I956" s="506"/>
      <c r="J956" s="506"/>
      <c r="K956" s="507"/>
      <c r="L956" s="508"/>
      <c r="M956" s="508"/>
      <c r="N956" s="508"/>
      <c r="O956" s="509"/>
      <c r="P956" s="509"/>
    </row>
    <row r="957" spans="1:16" ht="21.75" customHeight="1" x14ac:dyDescent="0.3">
      <c r="A957" s="504"/>
      <c r="B957" s="504"/>
      <c r="C957" s="504"/>
      <c r="D957" s="504"/>
      <c r="E957" s="506"/>
      <c r="F957" s="506"/>
      <c r="G957" s="506"/>
      <c r="H957" s="506"/>
      <c r="I957" s="506"/>
      <c r="J957" s="506"/>
      <c r="K957" s="507"/>
      <c r="L957" s="508"/>
      <c r="M957" s="508"/>
      <c r="N957" s="508"/>
      <c r="O957" s="509"/>
      <c r="P957" s="509"/>
    </row>
    <row r="958" spans="1:16" ht="21.75" customHeight="1" x14ac:dyDescent="0.3">
      <c r="A958" s="504"/>
      <c r="B958" s="504"/>
      <c r="C958" s="504"/>
      <c r="D958" s="504"/>
      <c r="E958" s="506"/>
      <c r="F958" s="506"/>
      <c r="G958" s="506"/>
      <c r="H958" s="506"/>
      <c r="I958" s="506"/>
      <c r="J958" s="506"/>
      <c r="K958" s="507"/>
      <c r="L958" s="508"/>
      <c r="M958" s="508"/>
      <c r="N958" s="508"/>
      <c r="O958" s="509"/>
      <c r="P958" s="509"/>
    </row>
    <row r="959" spans="1:16" ht="21.75" customHeight="1" x14ac:dyDescent="0.3">
      <c r="A959" s="504"/>
      <c r="B959" s="504"/>
      <c r="C959" s="504"/>
      <c r="D959" s="504"/>
      <c r="E959" s="506"/>
      <c r="F959" s="506"/>
      <c r="G959" s="506"/>
      <c r="H959" s="506"/>
      <c r="I959" s="506"/>
      <c r="J959" s="506"/>
      <c r="K959" s="507"/>
      <c r="L959" s="508"/>
      <c r="M959" s="508"/>
      <c r="N959" s="508"/>
      <c r="O959" s="509"/>
      <c r="P959" s="509"/>
    </row>
    <row r="960" spans="1:16" ht="21.75" customHeight="1" x14ac:dyDescent="0.3">
      <c r="A960" s="504"/>
      <c r="B960" s="504"/>
      <c r="C960" s="504"/>
      <c r="D960" s="504"/>
      <c r="E960" s="506"/>
      <c r="F960" s="506"/>
      <c r="G960" s="506"/>
      <c r="H960" s="506"/>
      <c r="I960" s="506"/>
      <c r="J960" s="506"/>
      <c r="K960" s="507"/>
      <c r="L960" s="508"/>
      <c r="M960" s="508"/>
      <c r="N960" s="508"/>
      <c r="O960" s="509"/>
      <c r="P960" s="509"/>
    </row>
    <row r="961" spans="1:16" ht="21.75" customHeight="1" x14ac:dyDescent="0.3">
      <c r="A961" s="504"/>
      <c r="B961" s="504"/>
      <c r="C961" s="504"/>
      <c r="D961" s="504"/>
      <c r="E961" s="506"/>
      <c r="F961" s="506"/>
      <c r="G961" s="506"/>
      <c r="H961" s="506"/>
      <c r="I961" s="506"/>
      <c r="J961" s="506"/>
      <c r="K961" s="507"/>
      <c r="L961" s="508"/>
      <c r="M961" s="508"/>
      <c r="N961" s="508"/>
      <c r="O961" s="509"/>
      <c r="P961" s="509"/>
    </row>
    <row r="962" spans="1:16" ht="21.75" customHeight="1" x14ac:dyDescent="0.3">
      <c r="A962" s="504"/>
      <c r="B962" s="504"/>
      <c r="C962" s="504"/>
      <c r="D962" s="504"/>
      <c r="E962" s="506"/>
      <c r="F962" s="506"/>
      <c r="G962" s="506"/>
      <c r="H962" s="506"/>
      <c r="I962" s="506"/>
      <c r="J962" s="506"/>
      <c r="K962" s="507"/>
      <c r="L962" s="508"/>
      <c r="M962" s="508"/>
      <c r="N962" s="508"/>
      <c r="O962" s="509"/>
      <c r="P962" s="509"/>
    </row>
    <row r="963" spans="1:16" ht="21.75" customHeight="1" x14ac:dyDescent="0.3">
      <c r="A963" s="504"/>
      <c r="B963" s="504"/>
      <c r="C963" s="504"/>
      <c r="D963" s="504"/>
      <c r="E963" s="506"/>
      <c r="F963" s="506"/>
      <c r="G963" s="506"/>
      <c r="H963" s="506"/>
      <c r="I963" s="506"/>
      <c r="J963" s="506"/>
      <c r="K963" s="507"/>
      <c r="L963" s="508"/>
      <c r="M963" s="508"/>
      <c r="N963" s="508"/>
      <c r="O963" s="509"/>
      <c r="P963" s="509"/>
    </row>
    <row r="964" spans="1:16" ht="21.75" customHeight="1" x14ac:dyDescent="0.3">
      <c r="A964" s="504"/>
      <c r="B964" s="504"/>
      <c r="C964" s="504"/>
      <c r="D964" s="504"/>
      <c r="E964" s="506"/>
      <c r="F964" s="506"/>
      <c r="G964" s="506"/>
      <c r="H964" s="506"/>
      <c r="I964" s="506"/>
      <c r="J964" s="506"/>
      <c r="K964" s="507"/>
      <c r="L964" s="508"/>
      <c r="M964" s="508"/>
      <c r="N964" s="508"/>
      <c r="O964" s="509"/>
      <c r="P964" s="509"/>
    </row>
    <row r="965" spans="1:16" ht="21.75" customHeight="1" x14ac:dyDescent="0.3">
      <c r="A965" s="504"/>
      <c r="B965" s="504"/>
      <c r="C965" s="504"/>
      <c r="D965" s="504"/>
      <c r="E965" s="506"/>
      <c r="F965" s="506"/>
      <c r="G965" s="506"/>
      <c r="H965" s="506"/>
      <c r="I965" s="506"/>
      <c r="J965" s="506"/>
      <c r="K965" s="507"/>
      <c r="L965" s="508"/>
      <c r="M965" s="508"/>
      <c r="N965" s="508"/>
      <c r="O965" s="509"/>
      <c r="P965" s="509"/>
    </row>
    <row r="966" spans="1:16" ht="21.75" customHeight="1" x14ac:dyDescent="0.3">
      <c r="A966" s="504"/>
      <c r="B966" s="504"/>
      <c r="C966" s="504"/>
      <c r="D966" s="504"/>
      <c r="E966" s="506"/>
      <c r="F966" s="506"/>
      <c r="G966" s="506"/>
      <c r="H966" s="506"/>
      <c r="I966" s="506"/>
      <c r="J966" s="506"/>
      <c r="K966" s="507"/>
      <c r="L966" s="508"/>
      <c r="M966" s="508"/>
      <c r="N966" s="508"/>
      <c r="O966" s="509"/>
      <c r="P966" s="509"/>
    </row>
    <row r="967" spans="1:16" ht="21.75" customHeight="1" x14ac:dyDescent="0.3">
      <c r="A967" s="504"/>
      <c r="B967" s="504"/>
      <c r="C967" s="504"/>
      <c r="D967" s="504"/>
      <c r="E967" s="506"/>
      <c r="F967" s="506"/>
      <c r="G967" s="506"/>
      <c r="H967" s="506"/>
      <c r="I967" s="506"/>
      <c r="J967" s="506"/>
      <c r="K967" s="507"/>
      <c r="L967" s="508"/>
      <c r="M967" s="508"/>
      <c r="N967" s="508"/>
      <c r="O967" s="509"/>
      <c r="P967" s="509"/>
    </row>
    <row r="968" spans="1:16" ht="21.75" customHeight="1" x14ac:dyDescent="0.3">
      <c r="A968" s="504"/>
      <c r="B968" s="504"/>
      <c r="C968" s="504"/>
      <c r="D968" s="504"/>
      <c r="E968" s="506"/>
      <c r="F968" s="506"/>
      <c r="G968" s="506"/>
      <c r="H968" s="506"/>
      <c r="I968" s="506"/>
      <c r="J968" s="506"/>
      <c r="K968" s="507"/>
      <c r="L968" s="508"/>
      <c r="M968" s="508"/>
      <c r="N968" s="508"/>
      <c r="O968" s="509"/>
      <c r="P968" s="509"/>
    </row>
    <row r="969" spans="1:16" ht="21.75" customHeight="1" x14ac:dyDescent="0.3">
      <c r="A969" s="504"/>
      <c r="B969" s="504"/>
      <c r="C969" s="504"/>
      <c r="D969" s="504"/>
      <c r="E969" s="506"/>
      <c r="F969" s="506"/>
      <c r="G969" s="506"/>
      <c r="H969" s="506"/>
      <c r="I969" s="506"/>
      <c r="J969" s="506"/>
      <c r="K969" s="507"/>
      <c r="L969" s="508"/>
      <c r="M969" s="508"/>
      <c r="N969" s="508"/>
      <c r="O969" s="509"/>
      <c r="P969" s="509"/>
    </row>
    <row r="970" spans="1:16" ht="21.75" customHeight="1" x14ac:dyDescent="0.3">
      <c r="A970" s="504"/>
      <c r="B970" s="504"/>
      <c r="C970" s="504"/>
      <c r="D970" s="504"/>
      <c r="E970" s="506"/>
      <c r="F970" s="506"/>
      <c r="G970" s="506"/>
      <c r="H970" s="506"/>
      <c r="I970" s="506"/>
      <c r="J970" s="506"/>
      <c r="K970" s="507"/>
      <c r="L970" s="508"/>
      <c r="M970" s="508"/>
      <c r="N970" s="508"/>
      <c r="O970" s="509"/>
      <c r="P970" s="509"/>
    </row>
    <row r="971" spans="1:16" ht="21.75" customHeight="1" x14ac:dyDescent="0.3">
      <c r="A971" s="504"/>
      <c r="B971" s="504"/>
      <c r="C971" s="504"/>
      <c r="D971" s="504"/>
      <c r="E971" s="506"/>
      <c r="F971" s="506"/>
      <c r="G971" s="506"/>
      <c r="H971" s="506"/>
      <c r="I971" s="506"/>
      <c r="J971" s="506"/>
      <c r="K971" s="507"/>
      <c r="L971" s="508"/>
      <c r="M971" s="508"/>
      <c r="N971" s="508"/>
      <c r="O971" s="509"/>
      <c r="P971" s="509"/>
    </row>
    <row r="972" spans="1:16" ht="21.75" customHeight="1" x14ac:dyDescent="0.3">
      <c r="A972" s="504"/>
      <c r="B972" s="504"/>
      <c r="C972" s="504"/>
      <c r="D972" s="504"/>
      <c r="E972" s="506"/>
      <c r="F972" s="506"/>
      <c r="G972" s="506"/>
      <c r="H972" s="506"/>
      <c r="I972" s="506"/>
      <c r="J972" s="506"/>
      <c r="K972" s="507"/>
      <c r="L972" s="508"/>
      <c r="M972" s="508"/>
      <c r="N972" s="508"/>
      <c r="O972" s="509"/>
      <c r="P972" s="509"/>
    </row>
    <row r="973" spans="1:16" ht="21.75" customHeight="1" x14ac:dyDescent="0.3">
      <c r="A973" s="504"/>
      <c r="B973" s="504"/>
      <c r="C973" s="504"/>
      <c r="D973" s="504"/>
      <c r="E973" s="506"/>
      <c r="F973" s="506"/>
      <c r="G973" s="506"/>
      <c r="H973" s="506"/>
      <c r="I973" s="506"/>
      <c r="J973" s="506"/>
      <c r="K973" s="507"/>
      <c r="L973" s="508"/>
      <c r="M973" s="508"/>
      <c r="N973" s="508"/>
      <c r="O973" s="509"/>
      <c r="P973" s="509"/>
    </row>
    <row r="974" spans="1:16" ht="21.75" customHeight="1" x14ac:dyDescent="0.3">
      <c r="A974" s="504"/>
      <c r="B974" s="504"/>
      <c r="C974" s="504"/>
      <c r="D974" s="504"/>
      <c r="E974" s="506"/>
      <c r="F974" s="506"/>
      <c r="G974" s="506"/>
      <c r="H974" s="506"/>
      <c r="I974" s="506"/>
      <c r="J974" s="506"/>
      <c r="K974" s="507"/>
      <c r="L974" s="508"/>
      <c r="M974" s="508"/>
      <c r="N974" s="508"/>
      <c r="O974" s="509"/>
      <c r="P974" s="509"/>
    </row>
    <row r="975" spans="1:16" ht="21.75" customHeight="1" x14ac:dyDescent="0.3">
      <c r="A975" s="504"/>
      <c r="B975" s="504"/>
      <c r="C975" s="504"/>
      <c r="D975" s="504"/>
      <c r="E975" s="506"/>
      <c r="F975" s="506"/>
      <c r="G975" s="506"/>
      <c r="H975" s="506"/>
      <c r="I975" s="506"/>
      <c r="J975" s="506"/>
      <c r="K975" s="507"/>
      <c r="L975" s="508"/>
      <c r="M975" s="508"/>
      <c r="N975" s="508"/>
      <c r="O975" s="509"/>
      <c r="P975" s="509"/>
    </row>
    <row r="976" spans="1:16" ht="21.75" customHeight="1" x14ac:dyDescent="0.3">
      <c r="A976" s="504"/>
      <c r="B976" s="504"/>
      <c r="C976" s="504"/>
      <c r="D976" s="504"/>
      <c r="E976" s="506"/>
      <c r="F976" s="506"/>
      <c r="G976" s="506"/>
      <c r="H976" s="506"/>
      <c r="I976" s="506"/>
      <c r="J976" s="506"/>
      <c r="K976" s="507"/>
      <c r="L976" s="508"/>
      <c r="M976" s="508"/>
      <c r="N976" s="508"/>
      <c r="O976" s="509"/>
      <c r="P976" s="509"/>
    </row>
    <row r="977" spans="1:16" ht="21.75" customHeight="1" x14ac:dyDescent="0.3">
      <c r="A977" s="504"/>
      <c r="B977" s="504"/>
      <c r="C977" s="504"/>
      <c r="D977" s="504"/>
      <c r="E977" s="506"/>
      <c r="F977" s="506"/>
      <c r="G977" s="506"/>
      <c r="H977" s="506"/>
      <c r="I977" s="506"/>
      <c r="J977" s="506"/>
      <c r="K977" s="507"/>
      <c r="L977" s="508"/>
      <c r="M977" s="508"/>
      <c r="N977" s="508"/>
      <c r="O977" s="509"/>
      <c r="P977" s="509"/>
    </row>
    <row r="978" spans="1:16" ht="21.75" customHeight="1" x14ac:dyDescent="0.3">
      <c r="A978" s="504"/>
      <c r="B978" s="504"/>
      <c r="C978" s="504"/>
      <c r="D978" s="504"/>
      <c r="E978" s="506"/>
      <c r="F978" s="506"/>
      <c r="G978" s="506"/>
      <c r="H978" s="506"/>
      <c r="I978" s="506"/>
      <c r="J978" s="506"/>
      <c r="K978" s="507"/>
      <c r="L978" s="508"/>
      <c r="M978" s="508"/>
      <c r="N978" s="508"/>
      <c r="O978" s="509"/>
      <c r="P978" s="509"/>
    </row>
    <row r="979" spans="1:16" ht="21.75" customHeight="1" x14ac:dyDescent="0.3">
      <c r="A979" s="504"/>
      <c r="B979" s="504"/>
      <c r="C979" s="504"/>
      <c r="D979" s="504"/>
      <c r="E979" s="506"/>
      <c r="F979" s="506"/>
      <c r="G979" s="506"/>
      <c r="H979" s="506"/>
      <c r="I979" s="506"/>
      <c r="J979" s="506"/>
      <c r="K979" s="507"/>
      <c r="L979" s="508"/>
      <c r="M979" s="508"/>
      <c r="N979" s="508"/>
      <c r="O979" s="509"/>
      <c r="P979" s="509"/>
    </row>
    <row r="980" spans="1:16" ht="21.75" customHeight="1" x14ac:dyDescent="0.3">
      <c r="A980" s="504"/>
      <c r="B980" s="504"/>
      <c r="C980" s="504"/>
      <c r="D980" s="504"/>
      <c r="E980" s="506"/>
      <c r="F980" s="506"/>
      <c r="G980" s="506"/>
      <c r="H980" s="506"/>
      <c r="I980" s="506"/>
      <c r="J980" s="506"/>
      <c r="K980" s="507"/>
      <c r="L980" s="508"/>
      <c r="M980" s="508"/>
      <c r="N980" s="508"/>
      <c r="O980" s="509"/>
      <c r="P980" s="509"/>
    </row>
    <row r="981" spans="1:16" ht="21.75" customHeight="1" x14ac:dyDescent="0.3">
      <c r="A981" s="504"/>
      <c r="B981" s="504"/>
      <c r="C981" s="504"/>
      <c r="D981" s="504"/>
      <c r="E981" s="506"/>
      <c r="F981" s="506"/>
      <c r="G981" s="506"/>
      <c r="H981" s="506"/>
      <c r="I981" s="506"/>
      <c r="J981" s="506"/>
      <c r="K981" s="507"/>
      <c r="L981" s="508"/>
      <c r="M981" s="508"/>
      <c r="N981" s="508"/>
      <c r="O981" s="509"/>
      <c r="P981" s="509"/>
    </row>
    <row r="982" spans="1:16" ht="21.75" customHeight="1" x14ac:dyDescent="0.3">
      <c r="A982" s="504"/>
      <c r="B982" s="504"/>
      <c r="C982" s="504"/>
      <c r="D982" s="504"/>
      <c r="E982" s="506"/>
      <c r="F982" s="506"/>
      <c r="G982" s="506"/>
      <c r="H982" s="506"/>
      <c r="I982" s="506"/>
      <c r="J982" s="506"/>
      <c r="K982" s="507"/>
      <c r="L982" s="508"/>
      <c r="M982" s="508"/>
      <c r="N982" s="508"/>
      <c r="O982" s="509"/>
      <c r="P982" s="509"/>
    </row>
    <row r="983" spans="1:16" ht="21.75" customHeight="1" x14ac:dyDescent="0.3">
      <c r="A983" s="504"/>
      <c r="B983" s="504"/>
      <c r="C983" s="504"/>
      <c r="D983" s="504"/>
      <c r="E983" s="506"/>
      <c r="F983" s="506"/>
      <c r="G983" s="506"/>
      <c r="H983" s="506"/>
      <c r="I983" s="506"/>
      <c r="J983" s="506"/>
      <c r="K983" s="507"/>
      <c r="L983" s="508"/>
      <c r="M983" s="508"/>
      <c r="N983" s="508"/>
      <c r="O983" s="509"/>
      <c r="P983" s="509"/>
    </row>
    <row r="984" spans="1:16" ht="21.75" customHeight="1" x14ac:dyDescent="0.3">
      <c r="A984" s="504"/>
      <c r="B984" s="504"/>
      <c r="C984" s="504"/>
      <c r="D984" s="504"/>
      <c r="E984" s="506"/>
      <c r="F984" s="506"/>
      <c r="G984" s="506"/>
      <c r="H984" s="506"/>
      <c r="I984" s="506"/>
      <c r="J984" s="506"/>
      <c r="K984" s="507"/>
      <c r="L984" s="508"/>
      <c r="M984" s="508"/>
      <c r="N984" s="508"/>
      <c r="O984" s="509"/>
      <c r="P984" s="509"/>
    </row>
    <row r="985" spans="1:16" ht="21.75" customHeight="1" x14ac:dyDescent="0.3">
      <c r="A985" s="504"/>
      <c r="B985" s="504"/>
      <c r="C985" s="504"/>
      <c r="D985" s="504"/>
      <c r="E985" s="506"/>
      <c r="F985" s="506"/>
      <c r="G985" s="506"/>
      <c r="H985" s="506"/>
      <c r="I985" s="506"/>
      <c r="J985" s="506"/>
      <c r="K985" s="507"/>
      <c r="L985" s="508"/>
      <c r="M985" s="508"/>
      <c r="N985" s="508"/>
      <c r="O985" s="509"/>
      <c r="P985" s="509"/>
    </row>
    <row r="986" spans="1:16" ht="21.75" customHeight="1" x14ac:dyDescent="0.3">
      <c r="A986" s="504"/>
      <c r="B986" s="504"/>
      <c r="C986" s="504"/>
      <c r="D986" s="504"/>
      <c r="E986" s="506"/>
      <c r="F986" s="506"/>
      <c r="G986" s="506"/>
      <c r="H986" s="506"/>
      <c r="I986" s="506"/>
      <c r="J986" s="506"/>
      <c r="K986" s="507"/>
      <c r="L986" s="508"/>
      <c r="M986" s="508"/>
      <c r="N986" s="508"/>
      <c r="O986" s="509"/>
      <c r="P986" s="509"/>
    </row>
    <row r="987" spans="1:16" ht="21.75" customHeight="1" x14ac:dyDescent="0.3">
      <c r="A987" s="504"/>
      <c r="B987" s="504"/>
      <c r="C987" s="504"/>
      <c r="D987" s="504"/>
      <c r="E987" s="506"/>
      <c r="F987" s="506"/>
      <c r="G987" s="506"/>
      <c r="H987" s="506"/>
      <c r="I987" s="506"/>
      <c r="J987" s="506"/>
      <c r="K987" s="507"/>
      <c r="L987" s="508"/>
      <c r="M987" s="508"/>
      <c r="N987" s="508"/>
      <c r="O987" s="509"/>
      <c r="P987" s="509"/>
    </row>
    <row r="988" spans="1:16" ht="21.75" customHeight="1" x14ac:dyDescent="0.3">
      <c r="A988" s="504"/>
      <c r="B988" s="504"/>
      <c r="C988" s="504"/>
      <c r="D988" s="504"/>
      <c r="E988" s="506"/>
      <c r="F988" s="506"/>
      <c r="G988" s="506"/>
      <c r="H988" s="506"/>
      <c r="I988" s="506"/>
      <c r="J988" s="506"/>
      <c r="K988" s="507"/>
      <c r="L988" s="508"/>
      <c r="M988" s="508"/>
      <c r="N988" s="508"/>
      <c r="O988" s="509"/>
      <c r="P988" s="509"/>
    </row>
    <row r="989" spans="1:16" ht="21.75" customHeight="1" x14ac:dyDescent="0.3">
      <c r="A989" s="504"/>
      <c r="B989" s="504"/>
      <c r="C989" s="504"/>
      <c r="D989" s="504"/>
      <c r="E989" s="506"/>
      <c r="F989" s="506"/>
      <c r="G989" s="506"/>
      <c r="H989" s="506"/>
      <c r="I989" s="506"/>
      <c r="J989" s="506"/>
      <c r="K989" s="507"/>
      <c r="L989" s="508"/>
      <c r="M989" s="508"/>
      <c r="N989" s="508"/>
      <c r="O989" s="509"/>
      <c r="P989" s="509"/>
    </row>
    <row r="990" spans="1:16" ht="21.75" customHeight="1" x14ac:dyDescent="0.3">
      <c r="A990" s="504"/>
      <c r="B990" s="504"/>
      <c r="C990" s="504"/>
      <c r="D990" s="504"/>
      <c r="E990" s="506"/>
      <c r="F990" s="506"/>
      <c r="G990" s="506"/>
      <c r="H990" s="506"/>
      <c r="I990" s="506"/>
      <c r="J990" s="506"/>
      <c r="K990" s="507"/>
      <c r="L990" s="508"/>
      <c r="M990" s="508"/>
      <c r="N990" s="508"/>
      <c r="O990" s="509"/>
      <c r="P990" s="509"/>
    </row>
    <row r="991" spans="1:16" ht="21.75" customHeight="1" x14ac:dyDescent="0.3">
      <c r="A991" s="504"/>
      <c r="B991" s="504"/>
      <c r="C991" s="504"/>
      <c r="D991" s="504"/>
      <c r="E991" s="506"/>
      <c r="F991" s="506"/>
      <c r="G991" s="506"/>
      <c r="H991" s="506"/>
      <c r="I991" s="506"/>
      <c r="J991" s="506"/>
      <c r="K991" s="507"/>
      <c r="L991" s="508"/>
      <c r="M991" s="508"/>
      <c r="N991" s="508"/>
      <c r="O991" s="509"/>
      <c r="P991" s="509"/>
    </row>
    <row r="992" spans="1:16" ht="21.75" customHeight="1" x14ac:dyDescent="0.3">
      <c r="A992" s="504"/>
      <c r="B992" s="504"/>
      <c r="C992" s="504"/>
      <c r="D992" s="504"/>
      <c r="E992" s="506"/>
      <c r="F992" s="506"/>
      <c r="G992" s="506"/>
      <c r="H992" s="506"/>
      <c r="I992" s="506"/>
      <c r="J992" s="506"/>
      <c r="K992" s="507"/>
      <c r="L992" s="508"/>
      <c r="M992" s="508"/>
      <c r="N992" s="508"/>
      <c r="O992" s="509"/>
      <c r="P992" s="509"/>
    </row>
    <row r="993" spans="1:16" ht="21.75" customHeight="1" x14ac:dyDescent="0.3">
      <c r="A993" s="504"/>
      <c r="B993" s="504"/>
      <c r="C993" s="504"/>
      <c r="D993" s="504"/>
      <c r="E993" s="506"/>
      <c r="F993" s="506"/>
      <c r="G993" s="506"/>
      <c r="H993" s="506"/>
      <c r="I993" s="506"/>
      <c r="J993" s="506"/>
      <c r="K993" s="507"/>
      <c r="L993" s="508"/>
      <c r="M993" s="508"/>
      <c r="N993" s="508"/>
      <c r="O993" s="509"/>
      <c r="P993" s="509"/>
    </row>
    <row r="994" spans="1:16" ht="21.75" customHeight="1" x14ac:dyDescent="0.3">
      <c r="A994" s="504"/>
      <c r="B994" s="504"/>
      <c r="C994" s="504"/>
      <c r="D994" s="504"/>
      <c r="E994" s="506"/>
      <c r="F994" s="506"/>
      <c r="G994" s="506"/>
      <c r="H994" s="506"/>
      <c r="I994" s="506"/>
      <c r="J994" s="506"/>
      <c r="K994" s="507"/>
      <c r="L994" s="508"/>
      <c r="M994" s="508"/>
      <c r="N994" s="508"/>
      <c r="O994" s="509"/>
      <c r="P994" s="509"/>
    </row>
    <row r="995" spans="1:16" ht="21.75" customHeight="1" x14ac:dyDescent="0.3">
      <c r="A995" s="504"/>
      <c r="B995" s="504"/>
      <c r="C995" s="504"/>
      <c r="D995" s="504"/>
      <c r="E995" s="506"/>
      <c r="F995" s="506"/>
      <c r="G995" s="506"/>
      <c r="H995" s="506"/>
      <c r="I995" s="506"/>
      <c r="J995" s="506"/>
      <c r="K995" s="507"/>
      <c r="L995" s="508"/>
      <c r="M995" s="508"/>
      <c r="N995" s="508"/>
      <c r="O995" s="509"/>
      <c r="P995" s="509"/>
    </row>
    <row r="996" spans="1:16" ht="21.75" customHeight="1" x14ac:dyDescent="0.3">
      <c r="A996" s="504"/>
      <c r="B996" s="504"/>
      <c r="C996" s="504"/>
      <c r="D996" s="504"/>
      <c r="E996" s="506"/>
      <c r="F996" s="506"/>
      <c r="G996" s="506"/>
      <c r="H996" s="506"/>
      <c r="I996" s="506"/>
      <c r="J996" s="506"/>
      <c r="K996" s="507"/>
      <c r="L996" s="508"/>
      <c r="M996" s="508"/>
      <c r="N996" s="508"/>
      <c r="O996" s="509"/>
      <c r="P996" s="509"/>
    </row>
    <row r="997" spans="1:16" ht="21.75" customHeight="1" x14ac:dyDescent="0.3">
      <c r="A997" s="504"/>
      <c r="B997" s="504"/>
      <c r="C997" s="504"/>
      <c r="D997" s="504"/>
      <c r="E997" s="506"/>
      <c r="F997" s="506"/>
      <c r="G997" s="506"/>
      <c r="H997" s="506"/>
      <c r="I997" s="506"/>
      <c r="J997" s="506"/>
      <c r="K997" s="507"/>
      <c r="L997" s="508"/>
      <c r="M997" s="508"/>
      <c r="N997" s="508"/>
      <c r="O997" s="509"/>
      <c r="P997" s="509"/>
    </row>
    <row r="998" spans="1:16" ht="21.75" customHeight="1" x14ac:dyDescent="0.3">
      <c r="A998" s="504"/>
      <c r="B998" s="504"/>
      <c r="C998" s="504"/>
      <c r="D998" s="504"/>
      <c r="E998" s="506"/>
      <c r="F998" s="506"/>
      <c r="G998" s="506"/>
      <c r="H998" s="506"/>
      <c r="I998" s="506"/>
      <c r="J998" s="506"/>
      <c r="K998" s="507"/>
      <c r="L998" s="508"/>
      <c r="M998" s="508"/>
      <c r="N998" s="508"/>
      <c r="O998" s="509"/>
      <c r="P998" s="509"/>
    </row>
    <row r="999" spans="1:16" ht="21.75" customHeight="1" x14ac:dyDescent="0.3">
      <c r="A999" s="504"/>
      <c r="B999" s="504"/>
      <c r="C999" s="504"/>
      <c r="D999" s="504"/>
      <c r="E999" s="506"/>
      <c r="F999" s="506"/>
      <c r="G999" s="506"/>
      <c r="H999" s="506"/>
      <c r="I999" s="506"/>
      <c r="J999" s="506"/>
      <c r="K999" s="507"/>
      <c r="L999" s="508"/>
      <c r="M999" s="508"/>
      <c r="N999" s="508"/>
      <c r="O999" s="509"/>
      <c r="P999" s="509"/>
    </row>
    <row r="1000" spans="1:16" ht="21.75" customHeight="1" x14ac:dyDescent="0.3">
      <c r="A1000" s="504"/>
      <c r="B1000" s="504"/>
      <c r="C1000" s="504"/>
      <c r="D1000" s="504"/>
      <c r="E1000" s="506"/>
      <c r="F1000" s="506"/>
      <c r="G1000" s="506"/>
      <c r="H1000" s="506"/>
      <c r="I1000" s="506"/>
      <c r="J1000" s="506"/>
      <c r="K1000" s="507"/>
      <c r="L1000" s="508"/>
      <c r="M1000" s="508"/>
      <c r="N1000" s="508"/>
      <c r="O1000" s="509"/>
      <c r="P1000" s="509"/>
    </row>
    <row r="1001" spans="1:16" ht="21.75" customHeight="1" x14ac:dyDescent="0.3">
      <c r="A1001" s="504"/>
      <c r="B1001" s="504"/>
      <c r="C1001" s="504"/>
      <c r="D1001" s="504"/>
      <c r="E1001" s="506"/>
      <c r="F1001" s="506"/>
      <c r="G1001" s="506"/>
      <c r="H1001" s="506"/>
      <c r="I1001" s="506"/>
      <c r="J1001" s="506"/>
      <c r="K1001" s="507"/>
      <c r="L1001" s="508"/>
      <c r="M1001" s="508"/>
      <c r="N1001" s="508"/>
      <c r="O1001" s="509"/>
      <c r="P1001" s="509"/>
    </row>
    <row r="1002" spans="1:16" ht="21.75" customHeight="1" x14ac:dyDescent="0.3">
      <c r="A1002" s="504"/>
      <c r="B1002" s="504"/>
      <c r="C1002" s="504"/>
      <c r="D1002" s="504"/>
      <c r="E1002" s="506"/>
      <c r="F1002" s="506"/>
      <c r="G1002" s="506"/>
      <c r="H1002" s="506"/>
      <c r="I1002" s="506"/>
      <c r="J1002" s="506"/>
      <c r="K1002" s="507"/>
      <c r="L1002" s="508"/>
      <c r="M1002" s="508"/>
      <c r="N1002" s="508"/>
      <c r="O1002" s="509"/>
      <c r="P1002" s="509"/>
    </row>
    <row r="1003" spans="1:16" ht="21.75" customHeight="1" x14ac:dyDescent="0.3">
      <c r="A1003" s="504"/>
      <c r="B1003" s="504"/>
      <c r="C1003" s="504"/>
      <c r="D1003" s="504"/>
      <c r="E1003" s="506"/>
      <c r="F1003" s="506"/>
      <c r="G1003" s="506"/>
      <c r="H1003" s="506"/>
      <c r="I1003" s="506"/>
      <c r="J1003" s="506"/>
      <c r="K1003" s="507"/>
      <c r="L1003" s="508"/>
      <c r="M1003" s="508"/>
      <c r="N1003" s="508"/>
      <c r="O1003" s="509"/>
      <c r="P1003" s="509"/>
    </row>
    <row r="1004" spans="1:16" ht="21.75" customHeight="1" x14ac:dyDescent="0.3">
      <c r="A1004" s="504"/>
      <c r="B1004" s="504"/>
      <c r="C1004" s="504"/>
      <c r="D1004" s="504"/>
      <c r="E1004" s="506"/>
      <c r="F1004" s="506"/>
      <c r="G1004" s="506"/>
      <c r="H1004" s="506"/>
      <c r="I1004" s="506"/>
      <c r="J1004" s="506"/>
      <c r="K1004" s="507"/>
      <c r="L1004" s="508"/>
      <c r="M1004" s="508"/>
      <c r="N1004" s="508"/>
      <c r="O1004" s="509"/>
      <c r="P1004" s="509"/>
    </row>
    <row r="1005" spans="1:16" ht="21.75" customHeight="1" x14ac:dyDescent="0.3">
      <c r="A1005" s="504"/>
      <c r="B1005" s="504"/>
      <c r="C1005" s="504"/>
      <c r="D1005" s="504"/>
      <c r="E1005" s="506"/>
      <c r="F1005" s="506"/>
      <c r="G1005" s="506"/>
      <c r="H1005" s="506"/>
      <c r="I1005" s="506"/>
      <c r="J1005" s="506"/>
      <c r="K1005" s="507"/>
      <c r="L1005" s="508"/>
      <c r="M1005" s="508"/>
      <c r="N1005" s="508"/>
      <c r="O1005" s="509"/>
      <c r="P1005" s="509"/>
    </row>
    <row r="1006" spans="1:16" ht="21.75" customHeight="1" x14ac:dyDescent="0.3">
      <c r="A1006" s="504"/>
      <c r="B1006" s="504"/>
      <c r="C1006" s="504"/>
      <c r="D1006" s="504"/>
      <c r="E1006" s="506"/>
      <c r="F1006" s="506"/>
      <c r="G1006" s="506"/>
      <c r="H1006" s="506"/>
      <c r="I1006" s="506"/>
      <c r="J1006" s="506"/>
      <c r="K1006" s="507"/>
      <c r="L1006" s="508"/>
      <c r="M1006" s="508"/>
      <c r="N1006" s="508"/>
      <c r="O1006" s="509"/>
      <c r="P1006" s="509"/>
    </row>
    <row r="1007" spans="1:16" ht="21.75" customHeight="1" x14ac:dyDescent="0.3">
      <c r="A1007" s="504"/>
      <c r="B1007" s="504"/>
      <c r="C1007" s="504"/>
      <c r="D1007" s="504"/>
      <c r="E1007" s="506"/>
      <c r="F1007" s="506"/>
      <c r="G1007" s="506"/>
      <c r="H1007" s="506"/>
      <c r="I1007" s="506"/>
      <c r="J1007" s="506"/>
      <c r="K1007" s="507"/>
      <c r="L1007" s="508"/>
      <c r="M1007" s="508"/>
      <c r="N1007" s="508"/>
      <c r="O1007" s="509"/>
      <c r="P1007" s="509"/>
    </row>
    <row r="1008" spans="1:16" ht="21.75" customHeight="1" x14ac:dyDescent="0.3">
      <c r="A1008" s="504"/>
      <c r="B1008" s="504"/>
      <c r="C1008" s="504"/>
      <c r="D1008" s="504"/>
      <c r="E1008" s="506"/>
      <c r="F1008" s="506"/>
      <c r="G1008" s="506"/>
      <c r="H1008" s="506"/>
      <c r="I1008" s="506"/>
      <c r="J1008" s="506"/>
      <c r="K1008" s="507"/>
      <c r="L1008" s="508"/>
      <c r="M1008" s="508"/>
      <c r="N1008" s="508"/>
      <c r="O1008" s="509"/>
      <c r="P1008" s="509"/>
    </row>
    <row r="1009" spans="1:16" ht="21.75" customHeight="1" x14ac:dyDescent="0.3">
      <c r="A1009" s="504"/>
      <c r="B1009" s="504"/>
      <c r="C1009" s="504"/>
      <c r="D1009" s="504"/>
      <c r="E1009" s="506"/>
      <c r="F1009" s="506"/>
      <c r="G1009" s="506"/>
      <c r="H1009" s="506"/>
      <c r="I1009" s="506"/>
      <c r="J1009" s="506"/>
      <c r="K1009" s="507"/>
      <c r="L1009" s="508"/>
      <c r="M1009" s="508"/>
      <c r="N1009" s="508"/>
      <c r="O1009" s="509"/>
      <c r="P1009" s="509"/>
    </row>
    <row r="1010" spans="1:16" ht="21.75" customHeight="1" x14ac:dyDescent="0.3">
      <c r="A1010" s="504"/>
      <c r="B1010" s="504"/>
      <c r="C1010" s="504"/>
      <c r="D1010" s="504"/>
      <c r="E1010" s="506"/>
      <c r="F1010" s="506"/>
      <c r="G1010" s="506"/>
      <c r="H1010" s="506"/>
      <c r="I1010" s="506"/>
      <c r="J1010" s="506"/>
      <c r="K1010" s="507"/>
      <c r="L1010" s="508"/>
      <c r="M1010" s="508"/>
      <c r="N1010" s="508"/>
      <c r="O1010" s="509"/>
      <c r="P1010" s="509"/>
    </row>
    <row r="1011" spans="1:16" ht="21.75" customHeight="1" x14ac:dyDescent="0.3">
      <c r="A1011" s="504"/>
      <c r="B1011" s="504"/>
      <c r="C1011" s="504"/>
      <c r="D1011" s="504"/>
      <c r="E1011" s="506"/>
      <c r="F1011" s="506"/>
      <c r="G1011" s="506"/>
      <c r="H1011" s="506"/>
      <c r="I1011" s="506"/>
      <c r="J1011" s="506"/>
      <c r="K1011" s="507"/>
      <c r="L1011" s="508"/>
      <c r="M1011" s="508"/>
      <c r="N1011" s="508"/>
      <c r="O1011" s="509"/>
      <c r="P1011" s="509"/>
    </row>
    <row r="1012" spans="1:16" ht="21.75" customHeight="1" x14ac:dyDescent="0.3">
      <c r="A1012" s="504"/>
      <c r="B1012" s="504"/>
      <c r="C1012" s="504"/>
      <c r="D1012" s="504"/>
      <c r="E1012" s="506"/>
      <c r="F1012" s="506"/>
      <c r="G1012" s="506"/>
      <c r="H1012" s="506"/>
      <c r="I1012" s="506"/>
      <c r="J1012" s="506"/>
      <c r="K1012" s="507"/>
      <c r="L1012" s="508"/>
      <c r="M1012" s="508"/>
      <c r="N1012" s="508"/>
      <c r="O1012" s="509"/>
      <c r="P1012" s="509"/>
    </row>
    <row r="1013" spans="1:16" ht="21.75" customHeight="1" x14ac:dyDescent="0.3">
      <c r="A1013" s="504"/>
      <c r="B1013" s="504"/>
      <c r="C1013" s="504"/>
      <c r="D1013" s="504"/>
      <c r="E1013" s="506"/>
      <c r="F1013" s="506"/>
      <c r="G1013" s="506"/>
      <c r="H1013" s="506"/>
      <c r="I1013" s="506"/>
      <c r="J1013" s="506"/>
      <c r="K1013" s="507"/>
      <c r="L1013" s="508"/>
      <c r="M1013" s="508"/>
      <c r="N1013" s="508"/>
      <c r="O1013" s="509"/>
      <c r="P1013" s="509"/>
    </row>
    <row r="1014" spans="1:16" ht="21.75" customHeight="1" x14ac:dyDescent="0.3">
      <c r="A1014" s="504"/>
      <c r="B1014" s="504"/>
      <c r="C1014" s="504"/>
      <c r="D1014" s="504"/>
      <c r="E1014" s="506"/>
      <c r="F1014" s="506"/>
      <c r="G1014" s="506"/>
      <c r="H1014" s="506"/>
      <c r="I1014" s="506"/>
      <c r="J1014" s="506"/>
      <c r="K1014" s="507"/>
      <c r="L1014" s="508"/>
      <c r="M1014" s="508"/>
      <c r="N1014" s="508"/>
      <c r="O1014" s="509"/>
      <c r="P1014" s="509"/>
    </row>
    <row r="1015" spans="1:16" ht="21.75" customHeight="1" x14ac:dyDescent="0.3">
      <c r="A1015" s="504"/>
      <c r="B1015" s="504"/>
      <c r="C1015" s="504"/>
      <c r="D1015" s="504"/>
      <c r="E1015" s="506"/>
      <c r="F1015" s="506"/>
      <c r="G1015" s="506"/>
      <c r="H1015" s="506"/>
      <c r="I1015" s="506"/>
      <c r="J1015" s="506"/>
      <c r="K1015" s="507"/>
      <c r="L1015" s="508"/>
      <c r="M1015" s="508"/>
      <c r="N1015" s="508"/>
      <c r="O1015" s="509"/>
      <c r="P1015" s="509"/>
    </row>
    <row r="1016" spans="1:16" ht="21.75" customHeight="1" x14ac:dyDescent="0.3">
      <c r="A1016" s="504"/>
      <c r="B1016" s="504"/>
      <c r="C1016" s="504"/>
      <c r="D1016" s="504"/>
      <c r="E1016" s="506"/>
      <c r="F1016" s="506"/>
      <c r="G1016" s="506"/>
      <c r="H1016" s="506"/>
      <c r="I1016" s="506"/>
      <c r="J1016" s="506"/>
      <c r="K1016" s="507"/>
      <c r="L1016" s="508"/>
      <c r="M1016" s="508"/>
      <c r="N1016" s="508"/>
      <c r="O1016" s="509"/>
      <c r="P1016" s="509"/>
    </row>
    <row r="1017" spans="1:16" ht="21.75" customHeight="1" x14ac:dyDescent="0.3">
      <c r="A1017" s="504"/>
      <c r="B1017" s="504"/>
      <c r="C1017" s="504"/>
      <c r="D1017" s="504"/>
      <c r="E1017" s="506"/>
      <c r="F1017" s="506"/>
      <c r="G1017" s="506"/>
      <c r="H1017" s="506"/>
      <c r="I1017" s="506"/>
      <c r="J1017" s="506"/>
      <c r="K1017" s="507"/>
      <c r="L1017" s="508"/>
      <c r="M1017" s="508"/>
      <c r="N1017" s="508"/>
      <c r="O1017" s="509"/>
      <c r="P1017" s="509"/>
    </row>
    <row r="1018" spans="1:16" ht="21.75" customHeight="1" x14ac:dyDescent="0.3">
      <c r="A1018" s="504"/>
      <c r="B1018" s="504"/>
      <c r="C1018" s="504"/>
      <c r="D1018" s="504"/>
      <c r="E1018" s="506"/>
      <c r="F1018" s="506"/>
      <c r="G1018" s="506"/>
      <c r="H1018" s="506"/>
      <c r="I1018" s="506"/>
      <c r="J1018" s="506"/>
      <c r="K1018" s="507"/>
      <c r="L1018" s="508"/>
      <c r="M1018" s="508"/>
      <c r="N1018" s="508"/>
      <c r="O1018" s="509"/>
      <c r="P1018" s="509"/>
    </row>
    <row r="1019" spans="1:16" ht="21.75" customHeight="1" x14ac:dyDescent="0.3">
      <c r="A1019" s="504"/>
      <c r="B1019" s="504"/>
      <c r="C1019" s="504"/>
      <c r="D1019" s="504"/>
      <c r="E1019" s="506"/>
      <c r="F1019" s="506"/>
      <c r="G1019" s="506"/>
      <c r="H1019" s="506"/>
      <c r="I1019" s="506"/>
      <c r="J1019" s="506"/>
      <c r="K1019" s="507"/>
      <c r="L1019" s="508"/>
      <c r="M1019" s="508"/>
      <c r="N1019" s="508"/>
      <c r="O1019" s="509"/>
      <c r="P1019" s="509"/>
    </row>
    <row r="1020" spans="1:16" ht="21.75" customHeight="1" x14ac:dyDescent="0.3">
      <c r="A1020" s="504"/>
      <c r="B1020" s="504"/>
      <c r="C1020" s="504"/>
      <c r="D1020" s="504"/>
      <c r="E1020" s="506"/>
      <c r="F1020" s="506"/>
      <c r="G1020" s="506"/>
      <c r="H1020" s="506"/>
      <c r="I1020" s="506"/>
      <c r="J1020" s="506"/>
      <c r="K1020" s="507"/>
      <c r="L1020" s="508"/>
      <c r="M1020" s="508"/>
      <c r="N1020" s="508"/>
      <c r="O1020" s="509"/>
      <c r="P1020" s="509"/>
    </row>
    <row r="1021" spans="1:16" ht="21.75" customHeight="1" x14ac:dyDescent="0.3">
      <c r="A1021" s="504"/>
      <c r="B1021" s="504"/>
      <c r="C1021" s="504"/>
      <c r="D1021" s="504"/>
      <c r="E1021" s="506"/>
      <c r="F1021" s="506"/>
      <c r="G1021" s="506"/>
      <c r="H1021" s="506"/>
      <c r="I1021" s="506"/>
      <c r="J1021" s="506"/>
      <c r="K1021" s="507"/>
      <c r="L1021" s="508"/>
      <c r="M1021" s="508"/>
      <c r="N1021" s="508"/>
      <c r="O1021" s="509"/>
      <c r="P1021" s="509"/>
    </row>
    <row r="1022" spans="1:16" ht="21.75" customHeight="1" x14ac:dyDescent="0.3">
      <c r="A1022" s="504"/>
      <c r="B1022" s="504"/>
      <c r="C1022" s="504"/>
      <c r="D1022" s="504"/>
      <c r="E1022" s="506"/>
      <c r="F1022" s="506"/>
      <c r="G1022" s="506"/>
      <c r="H1022" s="506"/>
      <c r="I1022" s="506"/>
      <c r="J1022" s="506"/>
      <c r="K1022" s="507"/>
      <c r="L1022" s="508"/>
      <c r="M1022" s="508"/>
      <c r="N1022" s="508"/>
      <c r="O1022" s="509"/>
      <c r="P1022" s="509"/>
    </row>
    <row r="1023" spans="1:16" ht="21.75" customHeight="1" x14ac:dyDescent="0.3">
      <c r="A1023" s="504"/>
      <c r="B1023" s="504"/>
      <c r="C1023" s="504"/>
      <c r="D1023" s="504"/>
      <c r="E1023" s="506"/>
      <c r="F1023" s="506"/>
      <c r="G1023" s="506"/>
      <c r="H1023" s="506"/>
      <c r="I1023" s="506"/>
      <c r="J1023" s="506"/>
      <c r="K1023" s="507"/>
      <c r="L1023" s="508"/>
      <c r="M1023" s="508"/>
      <c r="N1023" s="508"/>
      <c r="O1023" s="509"/>
      <c r="P1023" s="509"/>
    </row>
    <row r="1024" spans="1:16" ht="21.75" customHeight="1" x14ac:dyDescent="0.3">
      <c r="A1024" s="504"/>
      <c r="B1024" s="504"/>
      <c r="C1024" s="504"/>
      <c r="D1024" s="504"/>
      <c r="E1024" s="506"/>
      <c r="F1024" s="506"/>
      <c r="G1024" s="506"/>
      <c r="H1024" s="506"/>
      <c r="I1024" s="506"/>
      <c r="J1024" s="506"/>
      <c r="K1024" s="507"/>
      <c r="L1024" s="508"/>
      <c r="M1024" s="508"/>
      <c r="N1024" s="508"/>
      <c r="O1024" s="509"/>
      <c r="P1024" s="509"/>
    </row>
    <row r="1025" spans="1:16" ht="21.75" customHeight="1" x14ac:dyDescent="0.3">
      <c r="A1025" s="504"/>
      <c r="B1025" s="504"/>
      <c r="C1025" s="504"/>
      <c r="D1025" s="504"/>
      <c r="E1025" s="506"/>
      <c r="F1025" s="506"/>
      <c r="G1025" s="506"/>
      <c r="H1025" s="506"/>
      <c r="I1025" s="506"/>
      <c r="J1025" s="506"/>
      <c r="K1025" s="507"/>
      <c r="L1025" s="508"/>
      <c r="M1025" s="508"/>
      <c r="N1025" s="508"/>
      <c r="O1025" s="509"/>
      <c r="P1025" s="509"/>
    </row>
    <row r="1026" spans="1:16" ht="21.75" customHeight="1" x14ac:dyDescent="0.3">
      <c r="A1026" s="504"/>
      <c r="B1026" s="504"/>
      <c r="C1026" s="504"/>
      <c r="D1026" s="504"/>
      <c r="E1026" s="506"/>
      <c r="F1026" s="506"/>
      <c r="G1026" s="506"/>
      <c r="H1026" s="506"/>
      <c r="I1026" s="506"/>
      <c r="J1026" s="506"/>
      <c r="K1026" s="507"/>
      <c r="L1026" s="508"/>
      <c r="M1026" s="508"/>
      <c r="N1026" s="508"/>
      <c r="O1026" s="509"/>
      <c r="P1026" s="509"/>
    </row>
    <row r="1027" spans="1:16" ht="21.75" customHeight="1" x14ac:dyDescent="0.3">
      <c r="A1027" s="504"/>
      <c r="B1027" s="504"/>
      <c r="C1027" s="504"/>
      <c r="D1027" s="504"/>
      <c r="E1027" s="506"/>
      <c r="F1027" s="506"/>
      <c r="G1027" s="506"/>
      <c r="H1027" s="506"/>
      <c r="I1027" s="506"/>
      <c r="J1027" s="506"/>
      <c r="K1027" s="507"/>
      <c r="L1027" s="508"/>
      <c r="M1027" s="508"/>
      <c r="N1027" s="508"/>
      <c r="O1027" s="509"/>
      <c r="P1027" s="509"/>
    </row>
    <row r="1028" spans="1:16" ht="21.75" customHeight="1" x14ac:dyDescent="0.3">
      <c r="A1028" s="504"/>
      <c r="B1028" s="504"/>
      <c r="C1028" s="504"/>
      <c r="D1028" s="504"/>
      <c r="E1028" s="506"/>
      <c r="F1028" s="506"/>
      <c r="G1028" s="506"/>
      <c r="H1028" s="506"/>
      <c r="I1028" s="506"/>
      <c r="J1028" s="506"/>
      <c r="K1028" s="507"/>
      <c r="L1028" s="508"/>
      <c r="M1028" s="508"/>
      <c r="N1028" s="508"/>
      <c r="O1028" s="509"/>
      <c r="P1028" s="509"/>
    </row>
    <row r="1029" spans="1:16" ht="21.75" customHeight="1" x14ac:dyDescent="0.3">
      <c r="A1029" s="504"/>
      <c r="B1029" s="504"/>
      <c r="C1029" s="504"/>
      <c r="D1029" s="504"/>
      <c r="E1029" s="506"/>
      <c r="F1029" s="506"/>
      <c r="G1029" s="506"/>
      <c r="H1029" s="506"/>
      <c r="I1029" s="506"/>
      <c r="J1029" s="506"/>
      <c r="K1029" s="507"/>
      <c r="L1029" s="508"/>
      <c r="M1029" s="508"/>
      <c r="N1029" s="508"/>
      <c r="O1029" s="509"/>
      <c r="P1029" s="509"/>
    </row>
    <row r="1030" spans="1:16" ht="21.75" customHeight="1" x14ac:dyDescent="0.3">
      <c r="A1030" s="504"/>
      <c r="B1030" s="504"/>
      <c r="C1030" s="504"/>
      <c r="D1030" s="504"/>
      <c r="E1030" s="506"/>
      <c r="F1030" s="506"/>
      <c r="G1030" s="506"/>
      <c r="H1030" s="506"/>
      <c r="I1030" s="506"/>
      <c r="J1030" s="506"/>
      <c r="K1030" s="507"/>
      <c r="L1030" s="508"/>
      <c r="M1030" s="508"/>
      <c r="N1030" s="508"/>
      <c r="O1030" s="509"/>
      <c r="P1030" s="509"/>
    </row>
    <row r="1031" spans="1:16" ht="21.75" customHeight="1" x14ac:dyDescent="0.3">
      <c r="A1031" s="504"/>
      <c r="B1031" s="504"/>
      <c r="C1031" s="504"/>
      <c r="D1031" s="504"/>
      <c r="E1031" s="506"/>
      <c r="F1031" s="506"/>
      <c r="G1031" s="506"/>
      <c r="H1031" s="506"/>
      <c r="I1031" s="506"/>
      <c r="J1031" s="506"/>
      <c r="K1031" s="507"/>
      <c r="L1031" s="508"/>
      <c r="M1031" s="508"/>
      <c r="N1031" s="508"/>
      <c r="O1031" s="509"/>
      <c r="P1031" s="509"/>
    </row>
    <row r="1032" spans="1:16" ht="21.75" customHeight="1" x14ac:dyDescent="0.3">
      <c r="A1032" s="504"/>
      <c r="B1032" s="504"/>
      <c r="C1032" s="504"/>
      <c r="D1032" s="504"/>
      <c r="E1032" s="506"/>
      <c r="F1032" s="506"/>
      <c r="G1032" s="506"/>
      <c r="H1032" s="506"/>
      <c r="I1032" s="506"/>
      <c r="J1032" s="506"/>
      <c r="K1032" s="507"/>
      <c r="L1032" s="508"/>
      <c r="M1032" s="508"/>
      <c r="N1032" s="508"/>
      <c r="O1032" s="509"/>
      <c r="P1032" s="509"/>
    </row>
    <row r="1033" spans="1:16" ht="21.75" customHeight="1" x14ac:dyDescent="0.3">
      <c r="A1033" s="504"/>
      <c r="B1033" s="504"/>
      <c r="C1033" s="504"/>
      <c r="D1033" s="504"/>
      <c r="E1033" s="506"/>
      <c r="F1033" s="506"/>
      <c r="G1033" s="506"/>
      <c r="H1033" s="506"/>
      <c r="I1033" s="506"/>
      <c r="J1033" s="506"/>
      <c r="K1033" s="507"/>
      <c r="L1033" s="508"/>
      <c r="M1033" s="508"/>
      <c r="N1033" s="508"/>
      <c r="O1033" s="509"/>
      <c r="P1033" s="509"/>
    </row>
    <row r="1034" spans="1:16" ht="21.75" customHeight="1" x14ac:dyDescent="0.3">
      <c r="A1034" s="504"/>
      <c r="B1034" s="504"/>
      <c r="C1034" s="504"/>
      <c r="D1034" s="504"/>
      <c r="E1034" s="506"/>
      <c r="F1034" s="506"/>
      <c r="G1034" s="506"/>
      <c r="H1034" s="506"/>
      <c r="I1034" s="506"/>
      <c r="J1034" s="506"/>
      <c r="K1034" s="507"/>
      <c r="L1034" s="508"/>
      <c r="M1034" s="508"/>
      <c r="N1034" s="508"/>
      <c r="O1034" s="509"/>
      <c r="P1034" s="509"/>
    </row>
    <row r="1035" spans="1:16" ht="21.75" customHeight="1" x14ac:dyDescent="0.3">
      <c r="A1035" s="504"/>
      <c r="B1035" s="504"/>
      <c r="C1035" s="504"/>
      <c r="D1035" s="504"/>
      <c r="E1035" s="506"/>
      <c r="F1035" s="506"/>
      <c r="G1035" s="506"/>
      <c r="H1035" s="506"/>
      <c r="I1035" s="506"/>
      <c r="J1035" s="506"/>
      <c r="K1035" s="507"/>
      <c r="L1035" s="508"/>
      <c r="M1035" s="508"/>
      <c r="N1035" s="508"/>
      <c r="O1035" s="509"/>
      <c r="P1035" s="509"/>
    </row>
    <row r="1036" spans="1:16" ht="21.75" customHeight="1" x14ac:dyDescent="0.3">
      <c r="A1036" s="504"/>
      <c r="B1036" s="504"/>
      <c r="C1036" s="504"/>
      <c r="D1036" s="504"/>
      <c r="E1036" s="506"/>
      <c r="F1036" s="506"/>
      <c r="G1036" s="506"/>
      <c r="H1036" s="506"/>
      <c r="I1036" s="506"/>
      <c r="J1036" s="506"/>
      <c r="K1036" s="507"/>
      <c r="L1036" s="508"/>
      <c r="M1036" s="508"/>
      <c r="N1036" s="508"/>
      <c r="O1036" s="509"/>
      <c r="P1036" s="509"/>
    </row>
    <row r="1037" spans="1:16" ht="21.75" customHeight="1" x14ac:dyDescent="0.3">
      <c r="A1037" s="504"/>
      <c r="B1037" s="504"/>
      <c r="C1037" s="504"/>
      <c r="D1037" s="504"/>
      <c r="E1037" s="506"/>
      <c r="F1037" s="506"/>
      <c r="G1037" s="506"/>
      <c r="H1037" s="506"/>
      <c r="I1037" s="506"/>
      <c r="J1037" s="506"/>
      <c r="K1037" s="507"/>
      <c r="L1037" s="508"/>
      <c r="M1037" s="508"/>
      <c r="N1037" s="508"/>
      <c r="O1037" s="509"/>
      <c r="P1037" s="509"/>
    </row>
    <row r="1038" spans="1:16" ht="21.75" customHeight="1" x14ac:dyDescent="0.3">
      <c r="A1038" s="504"/>
      <c r="B1038" s="504"/>
      <c r="C1038" s="504"/>
      <c r="D1038" s="504"/>
      <c r="E1038" s="506"/>
      <c r="F1038" s="506"/>
      <c r="G1038" s="506"/>
      <c r="H1038" s="506"/>
      <c r="I1038" s="506"/>
      <c r="J1038" s="506"/>
      <c r="K1038" s="507"/>
      <c r="L1038" s="508"/>
      <c r="M1038" s="508"/>
      <c r="N1038" s="508"/>
      <c r="O1038" s="509"/>
      <c r="P1038" s="509"/>
    </row>
    <row r="1039" spans="1:16" ht="21.75" customHeight="1" x14ac:dyDescent="0.3">
      <c r="A1039" s="504"/>
      <c r="B1039" s="504"/>
      <c r="C1039" s="504"/>
      <c r="D1039" s="504"/>
      <c r="E1039" s="506"/>
      <c r="F1039" s="506"/>
      <c r="G1039" s="506"/>
      <c r="H1039" s="506"/>
      <c r="I1039" s="506"/>
      <c r="J1039" s="506"/>
      <c r="K1039" s="507"/>
      <c r="L1039" s="508"/>
      <c r="M1039" s="508"/>
      <c r="N1039" s="508"/>
      <c r="O1039" s="509"/>
      <c r="P1039" s="509"/>
    </row>
    <row r="1040" spans="1:16" ht="21.75" customHeight="1" x14ac:dyDescent="0.3">
      <c r="A1040" s="504"/>
      <c r="B1040" s="504"/>
      <c r="C1040" s="504"/>
      <c r="D1040" s="504"/>
      <c r="E1040" s="506"/>
      <c r="F1040" s="506"/>
      <c r="G1040" s="506"/>
      <c r="H1040" s="506"/>
      <c r="I1040" s="506"/>
      <c r="J1040" s="506"/>
      <c r="K1040" s="507"/>
      <c r="L1040" s="508"/>
      <c r="M1040" s="508"/>
      <c r="N1040" s="508"/>
      <c r="O1040" s="509"/>
      <c r="P1040" s="509"/>
    </row>
    <row r="1041" spans="1:16" ht="21.75" customHeight="1" x14ac:dyDescent="0.3">
      <c r="A1041" s="504"/>
      <c r="B1041" s="504"/>
      <c r="C1041" s="504"/>
      <c r="D1041" s="504"/>
      <c r="E1041" s="506"/>
      <c r="F1041" s="506"/>
      <c r="G1041" s="506"/>
      <c r="H1041" s="506"/>
      <c r="I1041" s="506"/>
      <c r="J1041" s="506"/>
      <c r="K1041" s="507"/>
      <c r="L1041" s="508"/>
      <c r="M1041" s="508"/>
      <c r="N1041" s="508"/>
      <c r="O1041" s="509"/>
      <c r="P1041" s="509"/>
    </row>
    <row r="1042" spans="1:16" ht="21.75" customHeight="1" x14ac:dyDescent="0.3">
      <c r="A1042" s="504"/>
      <c r="B1042" s="504"/>
      <c r="C1042" s="504"/>
      <c r="D1042" s="504"/>
      <c r="E1042" s="506"/>
      <c r="F1042" s="506"/>
      <c r="G1042" s="506"/>
      <c r="H1042" s="506"/>
      <c r="I1042" s="506"/>
      <c r="J1042" s="506"/>
      <c r="K1042" s="507"/>
      <c r="L1042" s="508"/>
      <c r="M1042" s="508"/>
      <c r="N1042" s="508"/>
      <c r="O1042" s="509"/>
      <c r="P1042" s="509"/>
    </row>
    <row r="1043" spans="1:16" ht="21.75" customHeight="1" x14ac:dyDescent="0.3">
      <c r="A1043" s="504"/>
      <c r="B1043" s="504"/>
      <c r="C1043" s="504"/>
      <c r="D1043" s="504"/>
      <c r="E1043" s="506"/>
      <c r="F1043" s="506"/>
      <c r="G1043" s="506"/>
      <c r="H1043" s="506"/>
      <c r="I1043" s="506"/>
      <c r="J1043" s="506"/>
      <c r="K1043" s="507"/>
      <c r="L1043" s="508"/>
      <c r="M1043" s="508"/>
      <c r="N1043" s="508"/>
      <c r="O1043" s="509"/>
      <c r="P1043" s="509"/>
    </row>
    <row r="1044" spans="1:16" ht="21.75" customHeight="1" x14ac:dyDescent="0.3">
      <c r="A1044" s="504"/>
      <c r="B1044" s="504"/>
      <c r="C1044" s="504"/>
      <c r="D1044" s="504"/>
      <c r="E1044" s="506"/>
      <c r="F1044" s="506"/>
      <c r="G1044" s="506"/>
      <c r="H1044" s="506"/>
      <c r="I1044" s="506"/>
      <c r="J1044" s="506"/>
      <c r="K1044" s="507"/>
      <c r="L1044" s="508"/>
      <c r="M1044" s="508"/>
      <c r="N1044" s="508"/>
      <c r="O1044" s="509"/>
      <c r="P1044" s="509"/>
    </row>
    <row r="1045" spans="1:16" ht="21.75" customHeight="1" x14ac:dyDescent="0.3">
      <c r="A1045" s="504"/>
      <c r="B1045" s="504"/>
      <c r="C1045" s="504"/>
      <c r="D1045" s="504"/>
      <c r="E1045" s="506"/>
      <c r="F1045" s="506"/>
      <c r="G1045" s="506"/>
      <c r="H1045" s="506"/>
      <c r="I1045" s="506"/>
      <c r="J1045" s="506"/>
      <c r="K1045" s="507"/>
      <c r="L1045" s="508"/>
      <c r="M1045" s="508"/>
      <c r="N1045" s="508"/>
      <c r="O1045" s="509"/>
      <c r="P1045" s="509"/>
    </row>
    <row r="1046" spans="1:16" ht="21.75" customHeight="1" x14ac:dyDescent="0.3">
      <c r="A1046" s="504"/>
      <c r="B1046" s="504"/>
      <c r="C1046" s="504"/>
      <c r="D1046" s="504"/>
      <c r="E1046" s="506"/>
      <c r="F1046" s="506"/>
      <c r="G1046" s="506"/>
      <c r="H1046" s="506"/>
      <c r="I1046" s="506"/>
      <c r="J1046" s="506"/>
      <c r="K1046" s="507"/>
      <c r="L1046" s="508"/>
      <c r="M1046" s="508"/>
      <c r="N1046" s="508"/>
      <c r="O1046" s="509"/>
      <c r="P1046" s="509"/>
    </row>
    <row r="1047" spans="1:16" ht="21.75" customHeight="1" x14ac:dyDescent="0.3">
      <c r="A1047" s="504"/>
      <c r="B1047" s="504"/>
      <c r="C1047" s="504"/>
      <c r="D1047" s="504"/>
      <c r="E1047" s="506"/>
      <c r="F1047" s="506"/>
      <c r="G1047" s="506"/>
      <c r="H1047" s="506"/>
      <c r="I1047" s="506"/>
      <c r="J1047" s="506"/>
      <c r="K1047" s="507"/>
      <c r="L1047" s="508"/>
      <c r="M1047" s="508"/>
      <c r="N1047" s="508"/>
      <c r="O1047" s="509"/>
      <c r="P1047" s="509"/>
    </row>
    <row r="1048" spans="1:16" ht="21.75" customHeight="1" x14ac:dyDescent="0.3">
      <c r="A1048" s="504"/>
      <c r="B1048" s="504"/>
      <c r="C1048" s="504"/>
      <c r="D1048" s="504"/>
      <c r="E1048" s="506"/>
      <c r="F1048" s="506"/>
      <c r="G1048" s="506"/>
      <c r="H1048" s="506"/>
      <c r="I1048" s="506"/>
      <c r="J1048" s="506"/>
      <c r="K1048" s="507"/>
      <c r="L1048" s="508"/>
      <c r="M1048" s="508"/>
      <c r="N1048" s="508"/>
      <c r="O1048" s="509"/>
      <c r="P1048" s="509"/>
    </row>
    <row r="1049" spans="1:16" ht="21.75" customHeight="1" x14ac:dyDescent="0.3">
      <c r="A1049" s="504"/>
      <c r="B1049" s="504"/>
      <c r="C1049" s="504"/>
      <c r="D1049" s="504"/>
      <c r="E1049" s="506"/>
      <c r="F1049" s="506"/>
      <c r="G1049" s="506"/>
      <c r="H1049" s="506"/>
      <c r="I1049" s="506"/>
      <c r="J1049" s="506"/>
      <c r="K1049" s="507"/>
      <c r="L1049" s="508"/>
      <c r="M1049" s="508"/>
      <c r="N1049" s="508"/>
      <c r="O1049" s="509"/>
      <c r="P1049" s="509"/>
    </row>
    <row r="1050" spans="1:16" ht="21.75" customHeight="1" x14ac:dyDescent="0.3">
      <c r="A1050" s="504"/>
      <c r="B1050" s="504"/>
      <c r="C1050" s="504"/>
      <c r="D1050" s="504"/>
      <c r="E1050" s="506"/>
      <c r="F1050" s="506"/>
      <c r="G1050" s="506"/>
      <c r="H1050" s="506"/>
      <c r="I1050" s="506"/>
      <c r="J1050" s="506"/>
      <c r="K1050" s="507"/>
      <c r="L1050" s="508"/>
      <c r="M1050" s="508"/>
      <c r="N1050" s="508"/>
      <c r="O1050" s="509"/>
      <c r="P1050" s="509"/>
    </row>
    <row r="1051" spans="1:16" ht="21.75" customHeight="1" x14ac:dyDescent="0.3">
      <c r="A1051" s="504"/>
      <c r="B1051" s="504"/>
      <c r="C1051" s="504"/>
      <c r="D1051" s="504"/>
      <c r="E1051" s="506"/>
      <c r="F1051" s="506"/>
      <c r="G1051" s="506"/>
      <c r="H1051" s="506"/>
      <c r="I1051" s="506"/>
      <c r="J1051" s="506"/>
      <c r="K1051" s="507"/>
      <c r="L1051" s="508"/>
      <c r="M1051" s="508"/>
      <c r="N1051" s="508"/>
      <c r="O1051" s="509"/>
      <c r="P1051" s="509"/>
    </row>
    <row r="1052" spans="1:16" ht="21.75" customHeight="1" x14ac:dyDescent="0.3">
      <c r="A1052" s="504"/>
      <c r="B1052" s="504"/>
      <c r="C1052" s="504"/>
      <c r="D1052" s="504"/>
      <c r="E1052" s="506"/>
      <c r="F1052" s="506"/>
      <c r="G1052" s="506"/>
      <c r="H1052" s="506"/>
      <c r="I1052" s="506"/>
      <c r="J1052" s="506"/>
      <c r="K1052" s="507"/>
      <c r="L1052" s="508"/>
      <c r="M1052" s="508"/>
      <c r="N1052" s="508"/>
      <c r="O1052" s="509"/>
      <c r="P1052" s="509"/>
    </row>
    <row r="1053" spans="1:16" ht="21.75" customHeight="1" x14ac:dyDescent="0.3">
      <c r="A1053" s="504"/>
      <c r="B1053" s="504"/>
      <c r="C1053" s="504"/>
      <c r="D1053" s="504"/>
      <c r="E1053" s="506"/>
      <c r="F1053" s="506"/>
      <c r="G1053" s="506"/>
      <c r="H1053" s="506"/>
      <c r="I1053" s="506"/>
      <c r="J1053" s="506"/>
      <c r="K1053" s="507"/>
      <c r="L1053" s="508"/>
      <c r="M1053" s="508"/>
      <c r="N1053" s="508"/>
      <c r="O1053" s="509"/>
      <c r="P1053" s="509"/>
    </row>
    <row r="1054" spans="1:16" ht="21.75" customHeight="1" x14ac:dyDescent="0.3">
      <c r="A1054" s="504"/>
      <c r="B1054" s="504"/>
      <c r="C1054" s="504"/>
      <c r="D1054" s="504"/>
      <c r="E1054" s="506"/>
      <c r="F1054" s="506"/>
      <c r="G1054" s="506"/>
      <c r="H1054" s="506"/>
      <c r="I1054" s="506"/>
      <c r="J1054" s="506"/>
      <c r="K1054" s="507"/>
      <c r="L1054" s="508"/>
      <c r="M1054" s="508"/>
      <c r="N1054" s="508"/>
      <c r="O1054" s="509"/>
      <c r="P1054" s="509"/>
    </row>
    <row r="1055" spans="1:16" ht="21.75" customHeight="1" x14ac:dyDescent="0.3">
      <c r="A1055" s="504"/>
      <c r="B1055" s="504"/>
      <c r="C1055" s="504"/>
      <c r="D1055" s="504"/>
      <c r="E1055" s="506"/>
      <c r="F1055" s="506"/>
      <c r="G1055" s="506"/>
      <c r="H1055" s="506"/>
      <c r="I1055" s="506"/>
      <c r="J1055" s="506"/>
      <c r="K1055" s="507"/>
      <c r="L1055" s="508"/>
      <c r="M1055" s="508"/>
      <c r="N1055" s="508"/>
      <c r="O1055" s="509"/>
      <c r="P1055" s="509"/>
    </row>
    <row r="1056" spans="1:16" ht="21.75" customHeight="1" x14ac:dyDescent="0.3">
      <c r="A1056" s="504"/>
      <c r="B1056" s="504"/>
      <c r="C1056" s="504"/>
      <c r="D1056" s="504"/>
      <c r="E1056" s="506"/>
      <c r="F1056" s="506"/>
      <c r="G1056" s="506"/>
      <c r="H1056" s="506"/>
      <c r="I1056" s="506"/>
      <c r="J1056" s="506"/>
      <c r="K1056" s="507"/>
      <c r="L1056" s="508"/>
      <c r="M1056" s="508"/>
      <c r="N1056" s="508"/>
      <c r="O1056" s="509"/>
      <c r="P1056" s="509"/>
    </row>
    <row r="1057" spans="1:16" ht="21.75" customHeight="1" x14ac:dyDescent="0.3">
      <c r="A1057" s="504"/>
      <c r="B1057" s="504"/>
      <c r="C1057" s="504"/>
      <c r="D1057" s="504"/>
      <c r="E1057" s="506"/>
      <c r="F1057" s="506"/>
      <c r="G1057" s="506"/>
      <c r="H1057" s="506"/>
      <c r="I1057" s="506"/>
      <c r="J1057" s="506"/>
      <c r="K1057" s="507"/>
      <c r="L1057" s="508"/>
      <c r="M1057" s="508"/>
      <c r="N1057" s="508"/>
      <c r="O1057" s="509"/>
      <c r="P1057" s="509"/>
    </row>
    <row r="1058" spans="1:16" ht="21.75" customHeight="1" x14ac:dyDescent="0.3">
      <c r="A1058" s="504"/>
      <c r="B1058" s="504"/>
      <c r="C1058" s="504"/>
      <c r="D1058" s="504"/>
      <c r="E1058" s="506"/>
      <c r="F1058" s="506"/>
      <c r="G1058" s="506"/>
      <c r="H1058" s="506"/>
      <c r="I1058" s="506"/>
      <c r="J1058" s="506"/>
      <c r="K1058" s="507"/>
      <c r="L1058" s="508"/>
      <c r="M1058" s="508"/>
      <c r="N1058" s="508"/>
      <c r="O1058" s="509"/>
      <c r="P1058" s="509"/>
    </row>
    <row r="1059" spans="1:16" ht="21.75" customHeight="1" x14ac:dyDescent="0.3">
      <c r="A1059" s="504"/>
      <c r="B1059" s="504"/>
      <c r="C1059" s="504"/>
      <c r="D1059" s="504"/>
      <c r="E1059" s="506"/>
      <c r="F1059" s="506"/>
      <c r="G1059" s="506"/>
      <c r="H1059" s="506"/>
      <c r="I1059" s="506"/>
      <c r="J1059" s="506"/>
      <c r="K1059" s="507"/>
      <c r="L1059" s="508"/>
      <c r="M1059" s="508"/>
      <c r="N1059" s="508"/>
      <c r="O1059" s="509"/>
      <c r="P1059" s="509"/>
    </row>
    <row r="1060" spans="1:16" ht="21.75" customHeight="1" x14ac:dyDescent="0.3">
      <c r="A1060" s="504"/>
      <c r="B1060" s="504"/>
      <c r="C1060" s="504"/>
      <c r="D1060" s="504"/>
      <c r="E1060" s="506"/>
      <c r="F1060" s="506"/>
      <c r="G1060" s="506"/>
      <c r="H1060" s="506"/>
      <c r="I1060" s="506"/>
      <c r="J1060" s="506"/>
      <c r="K1060" s="507"/>
      <c r="L1060" s="508"/>
      <c r="M1060" s="508"/>
      <c r="N1060" s="508"/>
      <c r="O1060" s="509"/>
      <c r="P1060" s="509"/>
    </row>
    <row r="1061" spans="1:16" ht="21.75" customHeight="1" x14ac:dyDescent="0.3">
      <c r="A1061" s="504"/>
      <c r="B1061" s="504"/>
      <c r="C1061" s="504"/>
      <c r="D1061" s="504"/>
      <c r="E1061" s="506"/>
      <c r="F1061" s="506"/>
      <c r="G1061" s="506"/>
      <c r="H1061" s="506"/>
      <c r="I1061" s="506"/>
      <c r="J1061" s="506"/>
      <c r="K1061" s="507"/>
      <c r="L1061" s="508"/>
      <c r="M1061" s="508"/>
      <c r="N1061" s="508"/>
      <c r="O1061" s="509"/>
      <c r="P1061" s="509"/>
    </row>
    <row r="1062" spans="1:16" ht="21.75" customHeight="1" x14ac:dyDescent="0.3">
      <c r="A1062" s="504"/>
      <c r="B1062" s="504"/>
      <c r="C1062" s="504"/>
      <c r="D1062" s="504"/>
      <c r="E1062" s="506"/>
      <c r="F1062" s="506"/>
      <c r="G1062" s="506"/>
      <c r="H1062" s="506"/>
      <c r="I1062" s="506"/>
      <c r="J1062" s="506"/>
      <c r="K1062" s="507"/>
      <c r="L1062" s="508"/>
      <c r="M1062" s="508"/>
      <c r="N1062" s="508"/>
      <c r="O1062" s="509"/>
      <c r="P1062" s="509"/>
    </row>
    <row r="1063" spans="1:16" ht="21.75" customHeight="1" x14ac:dyDescent="0.3">
      <c r="A1063" s="504"/>
      <c r="B1063" s="504"/>
      <c r="C1063" s="504"/>
      <c r="D1063" s="504"/>
      <c r="E1063" s="506"/>
      <c r="F1063" s="506"/>
      <c r="G1063" s="506"/>
      <c r="H1063" s="506"/>
      <c r="I1063" s="506"/>
      <c r="J1063" s="506"/>
      <c r="K1063" s="507"/>
      <c r="L1063" s="508"/>
      <c r="M1063" s="508"/>
      <c r="N1063" s="508"/>
      <c r="O1063" s="509"/>
      <c r="P1063" s="509"/>
    </row>
    <row r="1064" spans="1:16" ht="21.75" customHeight="1" x14ac:dyDescent="0.3">
      <c r="A1064" s="504"/>
      <c r="B1064" s="504"/>
      <c r="C1064" s="504"/>
      <c r="D1064" s="504"/>
      <c r="E1064" s="506"/>
      <c r="F1064" s="506"/>
      <c r="G1064" s="506"/>
      <c r="H1064" s="506"/>
      <c r="I1064" s="506"/>
      <c r="J1064" s="506"/>
      <c r="K1064" s="507"/>
      <c r="L1064" s="508"/>
      <c r="M1064" s="508"/>
      <c r="N1064" s="508"/>
      <c r="O1064" s="509"/>
      <c r="P1064" s="509"/>
    </row>
    <row r="1065" spans="1:16" ht="21.75" customHeight="1" x14ac:dyDescent="0.3">
      <c r="A1065" s="504"/>
      <c r="B1065" s="504"/>
      <c r="C1065" s="504"/>
      <c r="D1065" s="504"/>
      <c r="E1065" s="506"/>
      <c r="F1065" s="506"/>
      <c r="G1065" s="506"/>
      <c r="H1065" s="506"/>
      <c r="I1065" s="506"/>
      <c r="J1065" s="506"/>
      <c r="K1065" s="507"/>
      <c r="L1065" s="508"/>
      <c r="M1065" s="508"/>
      <c r="N1065" s="508"/>
      <c r="O1065" s="509"/>
      <c r="P1065" s="509"/>
    </row>
    <row r="1066" spans="1:16" ht="21.75" customHeight="1" x14ac:dyDescent="0.3">
      <c r="A1066" s="504"/>
      <c r="B1066" s="504"/>
      <c r="C1066" s="504"/>
      <c r="D1066" s="504"/>
      <c r="E1066" s="506"/>
      <c r="F1066" s="506"/>
      <c r="G1066" s="506"/>
      <c r="H1066" s="506"/>
      <c r="I1066" s="506"/>
      <c r="J1066" s="506"/>
      <c r="K1066" s="507"/>
      <c r="L1066" s="508"/>
      <c r="M1066" s="508"/>
      <c r="N1066" s="508"/>
      <c r="O1066" s="509"/>
      <c r="P1066" s="509"/>
    </row>
    <row r="1067" spans="1:16" ht="21.75" customHeight="1" x14ac:dyDescent="0.3">
      <c r="A1067" s="504"/>
      <c r="B1067" s="504"/>
      <c r="C1067" s="504"/>
      <c r="D1067" s="504"/>
      <c r="E1067" s="506"/>
      <c r="F1067" s="506"/>
      <c r="G1067" s="506"/>
      <c r="H1067" s="506"/>
      <c r="I1067" s="506"/>
      <c r="J1067" s="506"/>
      <c r="K1067" s="507"/>
      <c r="L1067" s="508"/>
      <c r="M1067" s="508"/>
      <c r="N1067" s="508"/>
      <c r="O1067" s="509"/>
      <c r="P1067" s="509"/>
    </row>
    <row r="1068" spans="1:16" ht="21.75" customHeight="1" x14ac:dyDescent="0.3">
      <c r="A1068" s="504"/>
      <c r="B1068" s="504"/>
      <c r="C1068" s="504"/>
      <c r="D1068" s="504"/>
      <c r="E1068" s="506"/>
      <c r="F1068" s="506"/>
      <c r="G1068" s="506"/>
      <c r="H1068" s="506"/>
      <c r="I1068" s="506"/>
      <c r="J1068" s="506"/>
      <c r="K1068" s="507"/>
      <c r="L1068" s="508"/>
      <c r="M1068" s="508"/>
      <c r="N1068" s="508"/>
      <c r="O1068" s="509"/>
      <c r="P1068" s="509"/>
    </row>
    <row r="1069" spans="1:16" ht="21.75" customHeight="1" x14ac:dyDescent="0.3">
      <c r="A1069" s="504"/>
      <c r="B1069" s="504"/>
      <c r="C1069" s="504"/>
      <c r="D1069" s="504"/>
      <c r="E1069" s="506"/>
      <c r="F1069" s="506"/>
      <c r="G1069" s="506"/>
      <c r="H1069" s="506"/>
      <c r="I1069" s="506"/>
      <c r="J1069" s="506"/>
      <c r="K1069" s="507"/>
      <c r="L1069" s="508"/>
      <c r="M1069" s="508"/>
      <c r="N1069" s="508"/>
      <c r="O1069" s="509"/>
      <c r="P1069" s="509"/>
    </row>
    <row r="1070" spans="1:16" ht="21.75" customHeight="1" x14ac:dyDescent="0.3">
      <c r="A1070" s="504"/>
      <c r="B1070" s="504"/>
      <c r="C1070" s="504"/>
      <c r="D1070" s="504"/>
      <c r="E1070" s="506"/>
      <c r="F1070" s="506"/>
      <c r="G1070" s="506"/>
      <c r="H1070" s="506"/>
      <c r="I1070" s="506"/>
      <c r="J1070" s="506"/>
      <c r="K1070" s="507"/>
      <c r="L1070" s="508"/>
      <c r="M1070" s="508"/>
      <c r="N1070" s="508"/>
      <c r="O1070" s="509"/>
      <c r="P1070" s="509"/>
    </row>
    <row r="1071" spans="1:16" ht="21.75" customHeight="1" x14ac:dyDescent="0.3">
      <c r="A1071" s="504"/>
      <c r="B1071" s="504"/>
      <c r="C1071" s="504"/>
      <c r="D1071" s="504"/>
      <c r="E1071" s="506"/>
      <c r="F1071" s="506"/>
      <c r="G1071" s="506"/>
      <c r="H1071" s="506"/>
      <c r="I1071" s="506"/>
      <c r="J1071" s="506"/>
      <c r="K1071" s="507"/>
      <c r="L1071" s="508"/>
      <c r="M1071" s="508"/>
      <c r="N1071" s="508"/>
      <c r="O1071" s="509"/>
      <c r="P1071" s="509"/>
    </row>
    <row r="1072" spans="1:16" ht="21.75" customHeight="1" x14ac:dyDescent="0.3">
      <c r="A1072" s="504"/>
      <c r="B1072" s="504"/>
      <c r="C1072" s="504"/>
      <c r="D1072" s="504"/>
      <c r="E1072" s="506"/>
      <c r="F1072" s="506"/>
      <c r="G1072" s="506"/>
      <c r="H1072" s="506"/>
      <c r="I1072" s="506"/>
      <c r="J1072" s="506"/>
      <c r="K1072" s="507"/>
      <c r="L1072" s="508"/>
      <c r="M1072" s="508"/>
      <c r="N1072" s="508"/>
      <c r="O1072" s="509"/>
      <c r="P1072" s="509"/>
    </row>
    <row r="1073" spans="1:16" ht="21.75" customHeight="1" x14ac:dyDescent="0.3">
      <c r="A1073" s="504"/>
      <c r="B1073" s="504"/>
      <c r="C1073" s="504"/>
      <c r="D1073" s="504"/>
      <c r="E1073" s="506"/>
      <c r="F1073" s="506"/>
      <c r="G1073" s="506"/>
      <c r="H1073" s="506"/>
      <c r="I1073" s="506"/>
      <c r="J1073" s="506"/>
      <c r="K1073" s="507"/>
      <c r="L1073" s="508"/>
      <c r="M1073" s="508"/>
      <c r="N1073" s="508"/>
      <c r="O1073" s="509"/>
      <c r="P1073" s="509"/>
    </row>
    <row r="1074" spans="1:16" ht="21.75" customHeight="1" x14ac:dyDescent="0.3">
      <c r="A1074" s="504"/>
      <c r="B1074" s="504"/>
      <c r="C1074" s="504"/>
      <c r="D1074" s="504"/>
      <c r="E1074" s="506"/>
      <c r="F1074" s="506"/>
      <c r="G1074" s="506"/>
      <c r="H1074" s="506"/>
      <c r="I1074" s="506"/>
      <c r="J1074" s="506"/>
      <c r="K1074" s="507"/>
      <c r="L1074" s="508"/>
      <c r="M1074" s="508"/>
      <c r="N1074" s="508"/>
      <c r="O1074" s="509"/>
      <c r="P1074" s="509"/>
    </row>
    <row r="1075" spans="1:16" ht="21.75" customHeight="1" x14ac:dyDescent="0.3">
      <c r="A1075" s="504"/>
      <c r="B1075" s="504"/>
      <c r="C1075" s="504"/>
      <c r="D1075" s="504"/>
      <c r="E1075" s="506"/>
      <c r="F1075" s="506"/>
      <c r="G1075" s="506"/>
      <c r="H1075" s="506"/>
      <c r="I1075" s="506"/>
      <c r="J1075" s="506"/>
      <c r="K1075" s="507"/>
      <c r="L1075" s="508"/>
      <c r="M1075" s="508"/>
      <c r="N1075" s="508"/>
      <c r="O1075" s="509"/>
      <c r="P1075" s="509"/>
    </row>
    <row r="1076" spans="1:16" ht="21.75" customHeight="1" x14ac:dyDescent="0.3">
      <c r="A1076" s="504"/>
      <c r="B1076" s="504"/>
      <c r="C1076" s="504"/>
      <c r="D1076" s="504"/>
      <c r="E1076" s="506"/>
      <c r="F1076" s="506"/>
      <c r="G1076" s="506"/>
      <c r="H1076" s="506"/>
      <c r="I1076" s="506"/>
      <c r="J1076" s="506"/>
      <c r="K1076" s="507"/>
      <c r="L1076" s="508"/>
      <c r="M1076" s="508"/>
      <c r="N1076" s="508"/>
      <c r="O1076" s="509"/>
      <c r="P1076" s="509"/>
    </row>
    <row r="1077" spans="1:16" ht="21.75" customHeight="1" x14ac:dyDescent="0.3">
      <c r="A1077" s="504"/>
      <c r="B1077" s="504"/>
      <c r="C1077" s="504"/>
      <c r="D1077" s="504"/>
      <c r="E1077" s="506"/>
      <c r="F1077" s="506"/>
      <c r="G1077" s="506"/>
      <c r="H1077" s="506"/>
      <c r="I1077" s="506"/>
      <c r="J1077" s="506"/>
      <c r="K1077" s="507"/>
      <c r="L1077" s="508"/>
      <c r="M1077" s="508"/>
      <c r="N1077" s="508"/>
      <c r="O1077" s="509"/>
      <c r="P1077" s="509"/>
    </row>
    <row r="1078" spans="1:16" ht="21.75" customHeight="1" x14ac:dyDescent="0.3">
      <c r="A1078" s="504"/>
      <c r="B1078" s="504"/>
      <c r="C1078" s="504"/>
      <c r="D1078" s="504"/>
      <c r="E1078" s="506"/>
      <c r="F1078" s="506"/>
      <c r="G1078" s="506"/>
      <c r="H1078" s="506"/>
      <c r="I1078" s="506"/>
      <c r="J1078" s="506"/>
      <c r="K1078" s="507"/>
      <c r="L1078" s="508"/>
      <c r="M1078" s="508"/>
      <c r="N1078" s="508"/>
      <c r="O1078" s="509"/>
      <c r="P1078" s="509"/>
    </row>
    <row r="1079" spans="1:16" ht="21.75" customHeight="1" x14ac:dyDescent="0.3">
      <c r="A1079" s="504"/>
      <c r="B1079" s="504"/>
      <c r="C1079" s="504"/>
      <c r="D1079" s="504"/>
      <c r="E1079" s="506"/>
      <c r="F1079" s="506"/>
      <c r="G1079" s="506"/>
      <c r="H1079" s="506"/>
      <c r="I1079" s="506"/>
      <c r="J1079" s="506"/>
      <c r="K1079" s="507"/>
      <c r="L1079" s="508"/>
      <c r="M1079" s="508"/>
      <c r="N1079" s="508"/>
      <c r="O1079" s="509"/>
      <c r="P1079" s="509"/>
    </row>
    <row r="1080" spans="1:16" ht="21.75" customHeight="1" x14ac:dyDescent="0.3">
      <c r="A1080" s="504"/>
      <c r="B1080" s="504"/>
      <c r="C1080" s="504"/>
      <c r="D1080" s="504"/>
      <c r="E1080" s="506"/>
      <c r="F1080" s="506"/>
      <c r="G1080" s="506"/>
      <c r="H1080" s="506"/>
      <c r="I1080" s="506"/>
      <c r="J1080" s="506"/>
      <c r="K1080" s="507"/>
      <c r="L1080" s="508"/>
      <c r="M1080" s="508"/>
      <c r="N1080" s="508"/>
      <c r="O1080" s="509"/>
      <c r="P1080" s="509"/>
    </row>
    <row r="1081" spans="1:16" ht="21.75" customHeight="1" x14ac:dyDescent="0.3">
      <c r="A1081" s="504"/>
      <c r="B1081" s="504"/>
      <c r="C1081" s="504"/>
      <c r="D1081" s="504"/>
      <c r="E1081" s="506"/>
      <c r="F1081" s="506"/>
      <c r="G1081" s="506"/>
      <c r="H1081" s="506"/>
      <c r="I1081" s="506"/>
      <c r="J1081" s="506"/>
      <c r="K1081" s="507"/>
      <c r="L1081" s="508"/>
      <c r="M1081" s="508"/>
      <c r="N1081" s="508"/>
      <c r="O1081" s="509"/>
      <c r="P1081" s="509"/>
    </row>
    <row r="1082" spans="1:16" ht="21.75" customHeight="1" x14ac:dyDescent="0.3">
      <c r="A1082" s="504"/>
      <c r="B1082" s="504"/>
      <c r="C1082" s="504"/>
      <c r="D1082" s="504"/>
      <c r="E1082" s="506"/>
      <c r="F1082" s="506"/>
      <c r="G1082" s="506"/>
      <c r="H1082" s="506"/>
      <c r="I1082" s="506"/>
      <c r="J1082" s="506"/>
      <c r="K1082" s="507"/>
      <c r="L1082" s="508"/>
      <c r="M1082" s="508"/>
      <c r="N1082" s="508"/>
      <c r="O1082" s="509"/>
      <c r="P1082" s="509"/>
    </row>
    <row r="1083" spans="1:16" ht="21.75" customHeight="1" x14ac:dyDescent="0.3">
      <c r="A1083" s="504"/>
      <c r="B1083" s="504"/>
      <c r="C1083" s="504"/>
      <c r="D1083" s="504"/>
      <c r="E1083" s="506"/>
      <c r="F1083" s="506"/>
      <c r="G1083" s="506"/>
      <c r="H1083" s="506"/>
      <c r="I1083" s="506"/>
      <c r="J1083" s="506"/>
      <c r="K1083" s="507"/>
      <c r="L1083" s="508"/>
      <c r="M1083" s="508"/>
      <c r="N1083" s="508"/>
      <c r="O1083" s="509"/>
      <c r="P1083" s="509"/>
    </row>
    <row r="1084" spans="1:16" ht="21.75" customHeight="1" x14ac:dyDescent="0.3">
      <c r="A1084" s="504"/>
      <c r="B1084" s="504"/>
      <c r="C1084" s="504"/>
      <c r="D1084" s="504"/>
      <c r="E1084" s="506"/>
      <c r="F1084" s="506"/>
      <c r="G1084" s="506"/>
      <c r="H1084" s="506"/>
      <c r="I1084" s="506"/>
      <c r="J1084" s="506"/>
      <c r="K1084" s="507"/>
      <c r="L1084" s="508"/>
      <c r="M1084" s="508"/>
      <c r="N1084" s="508"/>
      <c r="O1084" s="509"/>
      <c r="P1084" s="509"/>
    </row>
    <row r="1085" spans="1:16" ht="21.75" customHeight="1" x14ac:dyDescent="0.3">
      <c r="A1085" s="504"/>
      <c r="B1085" s="504"/>
      <c r="C1085" s="504"/>
      <c r="D1085" s="504"/>
      <c r="E1085" s="506"/>
      <c r="F1085" s="506"/>
      <c r="G1085" s="506"/>
      <c r="H1085" s="506"/>
      <c r="I1085" s="506"/>
      <c r="J1085" s="506"/>
      <c r="K1085" s="507"/>
      <c r="L1085" s="508"/>
      <c r="M1085" s="508"/>
      <c r="N1085" s="508"/>
      <c r="O1085" s="509"/>
      <c r="P1085" s="509"/>
    </row>
    <row r="1086" spans="1:16" ht="21.75" customHeight="1" x14ac:dyDescent="0.3">
      <c r="A1086" s="504"/>
      <c r="B1086" s="504"/>
      <c r="C1086" s="504"/>
      <c r="D1086" s="504"/>
      <c r="E1086" s="506"/>
      <c r="F1086" s="506"/>
      <c r="G1086" s="506"/>
      <c r="H1086" s="506"/>
      <c r="I1086" s="506"/>
      <c r="J1086" s="506"/>
      <c r="K1086" s="507"/>
      <c r="L1086" s="508"/>
      <c r="M1086" s="508"/>
      <c r="N1086" s="508"/>
      <c r="O1086" s="509"/>
      <c r="P1086" s="509"/>
    </row>
    <row r="1087" spans="1:16" ht="21.75" customHeight="1" x14ac:dyDescent="0.3">
      <c r="A1087" s="504"/>
      <c r="B1087" s="504"/>
      <c r="C1087" s="504"/>
      <c r="D1087" s="504"/>
      <c r="E1087" s="506"/>
      <c r="F1087" s="506"/>
      <c r="G1087" s="506"/>
      <c r="H1087" s="506"/>
      <c r="I1087" s="506"/>
      <c r="J1087" s="506"/>
      <c r="K1087" s="507"/>
      <c r="L1087" s="508"/>
      <c r="M1087" s="508"/>
      <c r="N1087" s="508"/>
      <c r="O1087" s="509"/>
      <c r="P1087" s="509"/>
    </row>
    <row r="1088" spans="1:16" ht="21.75" customHeight="1" x14ac:dyDescent="0.3">
      <c r="A1088" s="504"/>
      <c r="B1088" s="504"/>
      <c r="C1088" s="504"/>
      <c r="D1088" s="504"/>
      <c r="E1088" s="506"/>
      <c r="F1088" s="506"/>
      <c r="G1088" s="506"/>
      <c r="H1088" s="506"/>
      <c r="I1088" s="506"/>
      <c r="J1088" s="506"/>
      <c r="K1088" s="507"/>
      <c r="L1088" s="508"/>
      <c r="M1088" s="508"/>
      <c r="N1088" s="508"/>
      <c r="O1088" s="509"/>
      <c r="P1088" s="509"/>
    </row>
    <row r="1089" spans="1:16" ht="21.75" customHeight="1" x14ac:dyDescent="0.3">
      <c r="A1089" s="504"/>
      <c r="B1089" s="504"/>
      <c r="C1089" s="504"/>
      <c r="D1089" s="504"/>
      <c r="E1089" s="506"/>
      <c r="F1089" s="506"/>
      <c r="G1089" s="506"/>
      <c r="H1089" s="506"/>
      <c r="I1089" s="506"/>
      <c r="J1089" s="506"/>
      <c r="K1089" s="507"/>
      <c r="L1089" s="508"/>
      <c r="M1089" s="508"/>
      <c r="N1089" s="508"/>
      <c r="O1089" s="509"/>
      <c r="P1089" s="509"/>
    </row>
    <row r="1090" spans="1:16" ht="21.75" customHeight="1" x14ac:dyDescent="0.3">
      <c r="A1090" s="504"/>
      <c r="B1090" s="504"/>
      <c r="C1090" s="504"/>
      <c r="D1090" s="504"/>
      <c r="E1090" s="506"/>
      <c r="F1090" s="506"/>
      <c r="G1090" s="506"/>
      <c r="H1090" s="506"/>
      <c r="I1090" s="506"/>
      <c r="J1090" s="506"/>
      <c r="K1090" s="507"/>
      <c r="L1090" s="508"/>
      <c r="M1090" s="508"/>
      <c r="N1090" s="508"/>
      <c r="O1090" s="509"/>
      <c r="P1090" s="509"/>
    </row>
    <row r="1091" spans="1:16" ht="21.75" customHeight="1" x14ac:dyDescent="0.3">
      <c r="A1091" s="504"/>
      <c r="B1091" s="504"/>
      <c r="C1091" s="504"/>
      <c r="D1091" s="504"/>
      <c r="E1091" s="506"/>
      <c r="F1091" s="506"/>
      <c r="G1091" s="506"/>
      <c r="H1091" s="506"/>
      <c r="I1091" s="506"/>
      <c r="J1091" s="506"/>
      <c r="K1091" s="507"/>
      <c r="L1091" s="508"/>
      <c r="M1091" s="508"/>
      <c r="N1091" s="508"/>
      <c r="O1091" s="509"/>
      <c r="P1091" s="509"/>
    </row>
    <row r="1092" spans="1:16" ht="21.75" customHeight="1" x14ac:dyDescent="0.3">
      <c r="A1092" s="504"/>
      <c r="B1092" s="504"/>
      <c r="C1092" s="504"/>
      <c r="D1092" s="504"/>
      <c r="E1092" s="506"/>
      <c r="F1092" s="506"/>
      <c r="G1092" s="506"/>
      <c r="H1092" s="506"/>
      <c r="I1092" s="506"/>
      <c r="J1092" s="506"/>
      <c r="K1092" s="507"/>
      <c r="L1092" s="508"/>
      <c r="M1092" s="508"/>
      <c r="N1092" s="508"/>
      <c r="O1092" s="509"/>
      <c r="P1092" s="509"/>
    </row>
    <row r="1093" spans="1:16" ht="21.75" customHeight="1" x14ac:dyDescent="0.3">
      <c r="A1093" s="504"/>
      <c r="B1093" s="504"/>
      <c r="C1093" s="504"/>
      <c r="D1093" s="504"/>
      <c r="E1093" s="506"/>
      <c r="F1093" s="506"/>
      <c r="G1093" s="506"/>
      <c r="H1093" s="506"/>
      <c r="I1093" s="506"/>
      <c r="J1093" s="506"/>
      <c r="K1093" s="507"/>
      <c r="L1093" s="508"/>
      <c r="M1093" s="508"/>
      <c r="N1093" s="508"/>
      <c r="O1093" s="509"/>
      <c r="P1093" s="509"/>
    </row>
    <row r="1094" spans="1:16" ht="21.75" customHeight="1" x14ac:dyDescent="0.3">
      <c r="A1094" s="504"/>
      <c r="B1094" s="504"/>
      <c r="C1094" s="504"/>
      <c r="D1094" s="504"/>
      <c r="E1094" s="506"/>
      <c r="F1094" s="506"/>
      <c r="G1094" s="506"/>
      <c r="H1094" s="506"/>
      <c r="I1094" s="506"/>
      <c r="J1094" s="506"/>
      <c r="K1094" s="507"/>
      <c r="L1094" s="508"/>
      <c r="M1094" s="508"/>
      <c r="N1094" s="508"/>
      <c r="O1094" s="509"/>
      <c r="P1094" s="509"/>
    </row>
    <row r="1095" spans="1:16" ht="21.75" customHeight="1" x14ac:dyDescent="0.3">
      <c r="A1095" s="504"/>
      <c r="B1095" s="504"/>
      <c r="C1095" s="504"/>
      <c r="D1095" s="504"/>
      <c r="E1095" s="506"/>
      <c r="F1095" s="506"/>
      <c r="G1095" s="506"/>
      <c r="H1095" s="506"/>
      <c r="I1095" s="506"/>
      <c r="J1095" s="506"/>
      <c r="K1095" s="507"/>
      <c r="L1095" s="508"/>
      <c r="M1095" s="508"/>
      <c r="N1095" s="508"/>
      <c r="O1095" s="509"/>
      <c r="P1095" s="509"/>
    </row>
    <row r="1096" spans="1:16" ht="21.75" customHeight="1" x14ac:dyDescent="0.3">
      <c r="A1096" s="504"/>
      <c r="B1096" s="504"/>
      <c r="C1096" s="504"/>
      <c r="D1096" s="504"/>
      <c r="E1096" s="506"/>
      <c r="F1096" s="506"/>
      <c r="G1096" s="506"/>
      <c r="H1096" s="506"/>
      <c r="I1096" s="506"/>
      <c r="J1096" s="506"/>
      <c r="K1096" s="507"/>
      <c r="L1096" s="508"/>
      <c r="M1096" s="508"/>
      <c r="N1096" s="508"/>
      <c r="O1096" s="509"/>
      <c r="P1096" s="509"/>
    </row>
    <row r="1097" spans="1:16" ht="21.75" customHeight="1" x14ac:dyDescent="0.3">
      <c r="A1097" s="504"/>
      <c r="B1097" s="504"/>
      <c r="C1097" s="504"/>
      <c r="D1097" s="504"/>
      <c r="E1097" s="506"/>
      <c r="F1097" s="506"/>
      <c r="G1097" s="506"/>
      <c r="H1097" s="506"/>
      <c r="I1097" s="506"/>
      <c r="J1097" s="506"/>
      <c r="K1097" s="507"/>
      <c r="L1097" s="508"/>
      <c r="M1097" s="508"/>
      <c r="N1097" s="508"/>
      <c r="O1097" s="509"/>
      <c r="P1097" s="509"/>
    </row>
    <row r="1098" spans="1:16" ht="21.75" customHeight="1" x14ac:dyDescent="0.3">
      <c r="A1098" s="504"/>
      <c r="B1098" s="504"/>
      <c r="C1098" s="504"/>
      <c r="D1098" s="504"/>
      <c r="E1098" s="506"/>
      <c r="F1098" s="506"/>
      <c r="G1098" s="506"/>
      <c r="H1098" s="506"/>
      <c r="I1098" s="506"/>
      <c r="J1098" s="506"/>
      <c r="K1098" s="507"/>
      <c r="L1098" s="508"/>
      <c r="M1098" s="508"/>
      <c r="N1098" s="508"/>
      <c r="O1098" s="509"/>
      <c r="P1098" s="509"/>
    </row>
    <row r="1099" spans="1:16" ht="21.75" customHeight="1" x14ac:dyDescent="0.3">
      <c r="A1099" s="504"/>
      <c r="B1099" s="504"/>
      <c r="C1099" s="504"/>
      <c r="D1099" s="504"/>
      <c r="E1099" s="506"/>
      <c r="F1099" s="506"/>
      <c r="G1099" s="506"/>
      <c r="H1099" s="506"/>
      <c r="I1099" s="506"/>
      <c r="J1099" s="506"/>
      <c r="K1099" s="507"/>
      <c r="L1099" s="508"/>
      <c r="M1099" s="508"/>
      <c r="N1099" s="508"/>
      <c r="O1099" s="509"/>
      <c r="P1099" s="509"/>
    </row>
    <row r="1100" spans="1:16" ht="21.75" customHeight="1" x14ac:dyDescent="0.3">
      <c r="A1100" s="504"/>
      <c r="B1100" s="504"/>
      <c r="C1100" s="504"/>
      <c r="D1100" s="504"/>
      <c r="E1100" s="506"/>
      <c r="F1100" s="506"/>
      <c r="G1100" s="506"/>
      <c r="H1100" s="506"/>
      <c r="I1100" s="506"/>
      <c r="J1100" s="506"/>
      <c r="K1100" s="507"/>
      <c r="L1100" s="508"/>
      <c r="M1100" s="508"/>
      <c r="N1100" s="508"/>
      <c r="O1100" s="509"/>
      <c r="P1100" s="509"/>
    </row>
    <row r="1101" spans="1:16" ht="21.75" customHeight="1" x14ac:dyDescent="0.3">
      <c r="A1101" s="504"/>
      <c r="B1101" s="504"/>
      <c r="C1101" s="504"/>
      <c r="D1101" s="504"/>
      <c r="E1101" s="506"/>
      <c r="F1101" s="506"/>
      <c r="G1101" s="506"/>
      <c r="H1101" s="506"/>
      <c r="I1101" s="506"/>
      <c r="J1101" s="506"/>
      <c r="K1101" s="507"/>
      <c r="L1101" s="508"/>
      <c r="M1101" s="508"/>
      <c r="N1101" s="508"/>
      <c r="O1101" s="509"/>
      <c r="P1101" s="509"/>
    </row>
    <row r="1102" spans="1:16" ht="21.75" customHeight="1" x14ac:dyDescent="0.3">
      <c r="A1102" s="504"/>
      <c r="B1102" s="504"/>
      <c r="C1102" s="504"/>
      <c r="D1102" s="504"/>
      <c r="E1102" s="506"/>
      <c r="F1102" s="506"/>
      <c r="G1102" s="506"/>
      <c r="H1102" s="506"/>
      <c r="I1102" s="506"/>
      <c r="J1102" s="506"/>
      <c r="K1102" s="507"/>
      <c r="L1102" s="508"/>
      <c r="M1102" s="508"/>
      <c r="N1102" s="508"/>
      <c r="O1102" s="509"/>
      <c r="P1102" s="509"/>
    </row>
    <row r="1103" spans="1:16" ht="21.75" customHeight="1" x14ac:dyDescent="0.3">
      <c r="A1103" s="504"/>
      <c r="B1103" s="504"/>
      <c r="C1103" s="504"/>
      <c r="D1103" s="504"/>
      <c r="E1103" s="506"/>
      <c r="F1103" s="506"/>
      <c r="G1103" s="506"/>
      <c r="H1103" s="506"/>
      <c r="I1103" s="506"/>
      <c r="J1103" s="506"/>
      <c r="K1103" s="507"/>
      <c r="L1103" s="508"/>
      <c r="M1103" s="508"/>
      <c r="N1103" s="508"/>
      <c r="O1103" s="509"/>
      <c r="P1103" s="509"/>
    </row>
    <row r="1104" spans="1:16" ht="21.75" customHeight="1" x14ac:dyDescent="0.3">
      <c r="A1104" s="504"/>
      <c r="B1104" s="504"/>
      <c r="C1104" s="504"/>
      <c r="D1104" s="504"/>
      <c r="E1104" s="506"/>
      <c r="F1104" s="506"/>
      <c r="G1104" s="506"/>
      <c r="H1104" s="506"/>
      <c r="I1104" s="506"/>
      <c r="J1104" s="506"/>
      <c r="K1104" s="507"/>
      <c r="L1104" s="508"/>
      <c r="M1104" s="508"/>
      <c r="N1104" s="508"/>
      <c r="O1104" s="509"/>
      <c r="P1104" s="509"/>
    </row>
    <row r="1105" spans="1:16" ht="21.75" customHeight="1" x14ac:dyDescent="0.3">
      <c r="A1105" s="504"/>
      <c r="B1105" s="504"/>
      <c r="C1105" s="504"/>
      <c r="D1105" s="504"/>
      <c r="E1105" s="506"/>
      <c r="F1105" s="506"/>
      <c r="G1105" s="506"/>
      <c r="H1105" s="506"/>
      <c r="I1105" s="506"/>
      <c r="J1105" s="506"/>
      <c r="K1105" s="507"/>
      <c r="L1105" s="508"/>
      <c r="M1105" s="508"/>
      <c r="N1105" s="508"/>
      <c r="O1105" s="509"/>
      <c r="P1105" s="509"/>
    </row>
    <row r="1106" spans="1:16" ht="21.75" customHeight="1" x14ac:dyDescent="0.3">
      <c r="A1106" s="504"/>
      <c r="B1106" s="504"/>
      <c r="C1106" s="504"/>
      <c r="D1106" s="504"/>
      <c r="E1106" s="506"/>
      <c r="F1106" s="506"/>
      <c r="G1106" s="506"/>
      <c r="H1106" s="506"/>
      <c r="I1106" s="506"/>
      <c r="J1106" s="506"/>
      <c r="K1106" s="507"/>
      <c r="L1106" s="508"/>
      <c r="M1106" s="508"/>
      <c r="N1106" s="508"/>
      <c r="O1106" s="509"/>
      <c r="P1106" s="509"/>
    </row>
    <row r="1107" spans="1:16" ht="21.75" customHeight="1" x14ac:dyDescent="0.3">
      <c r="A1107" s="504"/>
      <c r="B1107" s="504"/>
      <c r="C1107" s="504"/>
      <c r="D1107" s="504"/>
      <c r="E1107" s="506"/>
      <c r="F1107" s="506"/>
      <c r="G1107" s="506"/>
      <c r="H1107" s="506"/>
      <c r="I1107" s="506"/>
      <c r="J1107" s="506"/>
      <c r="K1107" s="507"/>
      <c r="L1107" s="508"/>
      <c r="M1107" s="508"/>
      <c r="N1107" s="508"/>
      <c r="O1107" s="509"/>
      <c r="P1107" s="509"/>
    </row>
    <row r="1108" spans="1:16" ht="21.75" customHeight="1" x14ac:dyDescent="0.3">
      <c r="A1108" s="504"/>
      <c r="B1108" s="504"/>
      <c r="C1108" s="504"/>
      <c r="D1108" s="504"/>
      <c r="E1108" s="506"/>
      <c r="F1108" s="506"/>
      <c r="G1108" s="506"/>
      <c r="H1108" s="506"/>
      <c r="I1108" s="506"/>
      <c r="J1108" s="506"/>
      <c r="K1108" s="507"/>
      <c r="L1108" s="508"/>
      <c r="M1108" s="508"/>
      <c r="N1108" s="508"/>
      <c r="O1108" s="509"/>
      <c r="P1108" s="509"/>
    </row>
    <row r="1109" spans="1:16" ht="21.75" customHeight="1" x14ac:dyDescent="0.3">
      <c r="A1109" s="504"/>
      <c r="B1109" s="504"/>
      <c r="C1109" s="504"/>
      <c r="D1109" s="504"/>
      <c r="E1109" s="506"/>
      <c r="F1109" s="506"/>
      <c r="G1109" s="506"/>
      <c r="H1109" s="506"/>
      <c r="I1109" s="506"/>
      <c r="J1109" s="506"/>
      <c r="K1109" s="507"/>
      <c r="L1109" s="508"/>
      <c r="M1109" s="508"/>
      <c r="N1109" s="508"/>
      <c r="O1109" s="509"/>
      <c r="P1109" s="509"/>
    </row>
    <row r="1110" spans="1:16" ht="21.75" customHeight="1" x14ac:dyDescent="0.3">
      <c r="A1110" s="504"/>
      <c r="B1110" s="504"/>
      <c r="C1110" s="504"/>
      <c r="D1110" s="504"/>
      <c r="E1110" s="506"/>
      <c r="F1110" s="506"/>
      <c r="G1110" s="506"/>
      <c r="H1110" s="506"/>
      <c r="I1110" s="506"/>
      <c r="J1110" s="506"/>
      <c r="K1110" s="507"/>
      <c r="L1110" s="508"/>
      <c r="M1110" s="508"/>
      <c r="N1110" s="508"/>
      <c r="O1110" s="509"/>
      <c r="P1110" s="509"/>
    </row>
    <row r="1111" spans="1:16" ht="21.75" customHeight="1" x14ac:dyDescent="0.3">
      <c r="A1111" s="504"/>
      <c r="B1111" s="504"/>
      <c r="C1111" s="504"/>
      <c r="D1111" s="504"/>
      <c r="E1111" s="506"/>
      <c r="F1111" s="506"/>
      <c r="G1111" s="506"/>
      <c r="H1111" s="506"/>
      <c r="I1111" s="506"/>
      <c r="J1111" s="506"/>
      <c r="K1111" s="507"/>
      <c r="L1111" s="508"/>
      <c r="M1111" s="508"/>
      <c r="N1111" s="508"/>
      <c r="O1111" s="509"/>
      <c r="P1111" s="509"/>
    </row>
    <row r="1112" spans="1:16" ht="21.75" customHeight="1" x14ac:dyDescent="0.3">
      <c r="A1112" s="504"/>
      <c r="B1112" s="504"/>
      <c r="C1112" s="504"/>
      <c r="D1112" s="504"/>
      <c r="E1112" s="506"/>
      <c r="F1112" s="506"/>
      <c r="G1112" s="506"/>
      <c r="H1112" s="506"/>
      <c r="I1112" s="506"/>
      <c r="J1112" s="506"/>
      <c r="K1112" s="507"/>
      <c r="L1112" s="508"/>
      <c r="M1112" s="508"/>
      <c r="N1112" s="508"/>
      <c r="O1112" s="509"/>
      <c r="P1112" s="509"/>
    </row>
    <row r="1113" spans="1:16" ht="21.75" customHeight="1" x14ac:dyDescent="0.3">
      <c r="A1113" s="504"/>
      <c r="B1113" s="504"/>
      <c r="C1113" s="504"/>
      <c r="D1113" s="504"/>
      <c r="E1113" s="506"/>
      <c r="F1113" s="506"/>
      <c r="G1113" s="506"/>
      <c r="H1113" s="506"/>
      <c r="I1113" s="506"/>
      <c r="J1113" s="506"/>
      <c r="K1113" s="507"/>
      <c r="L1113" s="508"/>
      <c r="M1113" s="508"/>
      <c r="N1113" s="508"/>
      <c r="O1113" s="509"/>
      <c r="P1113" s="509"/>
    </row>
    <row r="1114" spans="1:16" ht="21.75" customHeight="1" x14ac:dyDescent="0.3">
      <c r="A1114" s="504"/>
      <c r="B1114" s="504"/>
      <c r="C1114" s="504"/>
      <c r="D1114" s="504"/>
      <c r="E1114" s="506"/>
      <c r="F1114" s="506"/>
      <c r="G1114" s="506"/>
      <c r="H1114" s="506"/>
      <c r="I1114" s="506"/>
      <c r="J1114" s="506"/>
      <c r="K1114" s="507"/>
      <c r="L1114" s="508"/>
      <c r="M1114" s="508"/>
      <c r="N1114" s="508"/>
      <c r="O1114" s="509"/>
      <c r="P1114" s="509"/>
    </row>
    <row r="1115" spans="1:16" ht="21.75" customHeight="1" x14ac:dyDescent="0.3">
      <c r="A1115" s="504"/>
      <c r="B1115" s="504"/>
      <c r="C1115" s="504"/>
      <c r="D1115" s="504"/>
      <c r="E1115" s="506"/>
      <c r="F1115" s="506"/>
      <c r="G1115" s="506"/>
      <c r="H1115" s="506"/>
      <c r="I1115" s="506"/>
      <c r="J1115" s="506"/>
      <c r="K1115" s="507"/>
      <c r="L1115" s="508"/>
      <c r="M1115" s="508"/>
      <c r="N1115" s="508"/>
      <c r="O1115" s="509"/>
      <c r="P1115" s="509"/>
    </row>
    <row r="1116" spans="1:16" ht="21.75" customHeight="1" x14ac:dyDescent="0.3">
      <c r="A1116" s="504"/>
      <c r="B1116" s="504"/>
      <c r="C1116" s="504"/>
      <c r="D1116" s="504"/>
      <c r="E1116" s="506"/>
      <c r="F1116" s="506"/>
      <c r="G1116" s="506"/>
      <c r="H1116" s="506"/>
      <c r="I1116" s="506"/>
      <c r="J1116" s="506"/>
      <c r="K1116" s="507"/>
      <c r="L1116" s="508"/>
      <c r="M1116" s="508"/>
      <c r="N1116" s="508"/>
      <c r="O1116" s="509"/>
      <c r="P1116" s="509"/>
    </row>
    <row r="1117" spans="1:16" ht="21.75" customHeight="1" x14ac:dyDescent="0.3">
      <c r="A1117" s="504"/>
      <c r="B1117" s="504"/>
      <c r="C1117" s="504"/>
      <c r="D1117" s="504"/>
      <c r="E1117" s="506"/>
      <c r="F1117" s="506"/>
      <c r="G1117" s="506"/>
      <c r="H1117" s="506"/>
      <c r="I1117" s="506"/>
      <c r="J1117" s="506"/>
      <c r="K1117" s="507"/>
      <c r="L1117" s="508"/>
      <c r="M1117" s="508"/>
      <c r="N1117" s="508"/>
      <c r="O1117" s="509"/>
      <c r="P1117" s="509"/>
    </row>
    <row r="1118" spans="1:16" ht="21.75" customHeight="1" x14ac:dyDescent="0.3">
      <c r="A1118" s="504"/>
      <c r="B1118" s="504"/>
      <c r="C1118" s="504"/>
      <c r="D1118" s="504"/>
      <c r="E1118" s="506"/>
      <c r="F1118" s="506"/>
      <c r="G1118" s="506"/>
      <c r="H1118" s="506"/>
      <c r="I1118" s="506"/>
      <c r="J1118" s="506"/>
      <c r="K1118" s="507"/>
      <c r="L1118" s="508"/>
      <c r="M1118" s="508"/>
      <c r="N1118" s="508"/>
      <c r="O1118" s="509"/>
      <c r="P1118" s="509"/>
    </row>
    <row r="1119" spans="1:16" ht="21.75" customHeight="1" x14ac:dyDescent="0.3">
      <c r="A1119" s="504"/>
      <c r="B1119" s="504"/>
      <c r="C1119" s="504"/>
      <c r="D1119" s="504"/>
      <c r="E1119" s="506"/>
      <c r="F1119" s="506"/>
      <c r="G1119" s="506"/>
      <c r="H1119" s="506"/>
      <c r="I1119" s="506"/>
      <c r="J1119" s="506"/>
      <c r="K1119" s="507"/>
      <c r="L1119" s="508"/>
      <c r="M1119" s="508"/>
      <c r="N1119" s="508"/>
      <c r="O1119" s="509"/>
      <c r="P1119" s="509"/>
    </row>
    <row r="1120" spans="1:16" ht="21.75" customHeight="1" x14ac:dyDescent="0.3">
      <c r="A1120" s="504"/>
      <c r="B1120" s="504"/>
      <c r="C1120" s="504"/>
      <c r="D1120" s="504"/>
      <c r="E1120" s="506"/>
      <c r="F1120" s="506"/>
      <c r="G1120" s="506"/>
      <c r="H1120" s="506"/>
      <c r="I1120" s="506"/>
      <c r="J1120" s="506"/>
      <c r="K1120" s="507"/>
      <c r="L1120" s="508"/>
      <c r="M1120" s="508"/>
      <c r="N1120" s="508"/>
      <c r="O1120" s="509"/>
      <c r="P1120" s="509"/>
    </row>
    <row r="1121" spans="1:16" ht="21.75" customHeight="1" x14ac:dyDescent="0.3">
      <c r="A1121" s="504"/>
      <c r="B1121" s="504"/>
      <c r="C1121" s="504"/>
      <c r="D1121" s="504"/>
      <c r="E1121" s="506"/>
      <c r="F1121" s="506"/>
      <c r="G1121" s="506"/>
      <c r="H1121" s="506"/>
      <c r="I1121" s="506"/>
      <c r="J1121" s="506"/>
      <c r="K1121" s="507"/>
      <c r="L1121" s="508"/>
      <c r="M1121" s="508"/>
      <c r="N1121" s="508"/>
      <c r="O1121" s="509"/>
      <c r="P1121" s="509"/>
    </row>
    <row r="1122" spans="1:16" ht="21.75" customHeight="1" x14ac:dyDescent="0.3">
      <c r="A1122" s="504"/>
      <c r="B1122" s="504"/>
      <c r="C1122" s="504"/>
      <c r="D1122" s="504"/>
      <c r="E1122" s="506"/>
      <c r="F1122" s="506"/>
      <c r="G1122" s="506"/>
      <c r="H1122" s="506"/>
      <c r="I1122" s="506"/>
      <c r="J1122" s="506"/>
      <c r="K1122" s="507"/>
      <c r="L1122" s="508"/>
      <c r="M1122" s="508"/>
      <c r="N1122" s="508"/>
      <c r="O1122" s="509"/>
      <c r="P1122" s="509"/>
    </row>
    <row r="1123" spans="1:16" ht="21.75" customHeight="1" x14ac:dyDescent="0.3">
      <c r="A1123" s="504"/>
      <c r="B1123" s="504"/>
      <c r="C1123" s="504"/>
      <c r="D1123" s="504"/>
      <c r="E1123" s="506"/>
      <c r="F1123" s="506"/>
      <c r="G1123" s="506"/>
      <c r="H1123" s="506"/>
      <c r="I1123" s="506"/>
      <c r="J1123" s="506"/>
      <c r="K1123" s="507"/>
      <c r="L1123" s="508"/>
      <c r="M1123" s="508"/>
      <c r="N1123" s="508"/>
      <c r="O1123" s="509"/>
      <c r="P1123" s="509"/>
    </row>
    <row r="1124" spans="1:16" ht="21.75" customHeight="1" x14ac:dyDescent="0.3">
      <c r="A1124" s="504"/>
      <c r="B1124" s="504"/>
      <c r="C1124" s="504"/>
      <c r="D1124" s="504"/>
      <c r="E1124" s="506"/>
      <c r="F1124" s="506"/>
      <c r="G1124" s="506"/>
      <c r="H1124" s="506"/>
      <c r="I1124" s="506"/>
      <c r="J1124" s="506"/>
      <c r="K1124" s="507"/>
      <c r="L1124" s="508"/>
      <c r="M1124" s="508"/>
      <c r="N1124" s="508"/>
      <c r="O1124" s="509"/>
      <c r="P1124" s="509"/>
    </row>
    <row r="1125" spans="1:16" ht="21.75" customHeight="1" x14ac:dyDescent="0.3">
      <c r="A1125" s="504"/>
      <c r="B1125" s="504"/>
      <c r="C1125" s="504"/>
      <c r="D1125" s="504"/>
      <c r="E1125" s="506"/>
      <c r="F1125" s="506"/>
      <c r="G1125" s="506"/>
      <c r="H1125" s="506"/>
      <c r="I1125" s="506"/>
      <c r="J1125" s="506"/>
      <c r="K1125" s="507"/>
      <c r="L1125" s="508"/>
      <c r="M1125" s="508"/>
      <c r="N1125" s="508"/>
      <c r="O1125" s="509"/>
      <c r="P1125" s="509"/>
    </row>
    <row r="1126" spans="1:16" ht="21.75" customHeight="1" x14ac:dyDescent="0.3">
      <c r="A1126" s="504"/>
      <c r="B1126" s="504"/>
      <c r="C1126" s="504"/>
      <c r="D1126" s="504"/>
      <c r="E1126" s="506"/>
      <c r="F1126" s="506"/>
      <c r="G1126" s="506"/>
      <c r="H1126" s="506"/>
      <c r="I1126" s="506"/>
      <c r="J1126" s="506"/>
      <c r="K1126" s="507"/>
      <c r="L1126" s="508"/>
      <c r="M1126" s="508"/>
      <c r="N1126" s="508"/>
      <c r="O1126" s="509"/>
      <c r="P1126" s="509"/>
    </row>
    <row r="1127" spans="1:16" ht="21.75" customHeight="1" x14ac:dyDescent="0.3">
      <c r="A1127" s="504"/>
      <c r="B1127" s="504"/>
      <c r="C1127" s="504"/>
      <c r="D1127" s="504"/>
      <c r="E1127" s="506"/>
      <c r="F1127" s="506"/>
      <c r="G1127" s="506"/>
      <c r="H1127" s="506"/>
      <c r="I1127" s="506"/>
      <c r="J1127" s="506"/>
      <c r="K1127" s="507"/>
      <c r="L1127" s="508"/>
      <c r="M1127" s="508"/>
      <c r="N1127" s="508"/>
      <c r="O1127" s="509"/>
      <c r="P1127" s="509"/>
    </row>
    <row r="1128" spans="1:16" ht="21.75" customHeight="1" x14ac:dyDescent="0.3">
      <c r="A1128" s="504"/>
      <c r="B1128" s="504"/>
      <c r="C1128" s="504"/>
      <c r="D1128" s="504"/>
      <c r="E1128" s="506"/>
      <c r="F1128" s="506"/>
      <c r="G1128" s="506"/>
      <c r="H1128" s="506"/>
      <c r="I1128" s="506"/>
      <c r="J1128" s="506"/>
      <c r="K1128" s="507"/>
      <c r="L1128" s="508"/>
      <c r="M1128" s="508"/>
      <c r="N1128" s="508"/>
      <c r="O1128" s="509"/>
      <c r="P1128" s="509"/>
    </row>
    <row r="1129" spans="1:16" ht="21.75" customHeight="1" x14ac:dyDescent="0.3">
      <c r="A1129" s="504"/>
      <c r="B1129" s="504"/>
      <c r="C1129" s="504"/>
      <c r="D1129" s="504"/>
      <c r="E1129" s="506"/>
      <c r="F1129" s="506"/>
      <c r="G1129" s="506"/>
      <c r="H1129" s="506"/>
      <c r="I1129" s="506"/>
      <c r="J1129" s="506"/>
      <c r="K1129" s="507"/>
      <c r="L1129" s="508"/>
      <c r="M1129" s="508"/>
      <c r="N1129" s="508"/>
      <c r="O1129" s="509"/>
      <c r="P1129" s="509"/>
    </row>
    <row r="1130" spans="1:16" ht="21.75" customHeight="1" x14ac:dyDescent="0.3">
      <c r="A1130" s="504"/>
      <c r="B1130" s="504"/>
      <c r="C1130" s="504"/>
      <c r="D1130" s="504"/>
      <c r="E1130" s="506"/>
      <c r="F1130" s="506"/>
      <c r="G1130" s="506"/>
      <c r="H1130" s="506"/>
      <c r="I1130" s="506"/>
      <c r="J1130" s="506"/>
      <c r="K1130" s="507"/>
      <c r="L1130" s="508"/>
      <c r="M1130" s="508"/>
      <c r="N1130" s="508"/>
      <c r="O1130" s="509"/>
      <c r="P1130" s="509"/>
    </row>
    <row r="1131" spans="1:16" ht="21.75" customHeight="1" x14ac:dyDescent="0.3">
      <c r="A1131" s="504"/>
      <c r="B1131" s="504"/>
      <c r="C1131" s="504"/>
      <c r="D1131" s="504"/>
      <c r="E1131" s="506"/>
      <c r="F1131" s="506"/>
      <c r="G1131" s="506"/>
      <c r="H1131" s="506"/>
      <c r="I1131" s="506"/>
      <c r="J1131" s="506"/>
      <c r="K1131" s="507"/>
      <c r="L1131" s="508"/>
      <c r="M1131" s="508"/>
      <c r="N1131" s="508"/>
      <c r="O1131" s="509"/>
      <c r="P1131" s="509"/>
    </row>
    <row r="1132" spans="1:16" ht="21.75" customHeight="1" x14ac:dyDescent="0.3">
      <c r="A1132" s="504"/>
      <c r="B1132" s="504"/>
      <c r="C1132" s="504"/>
      <c r="D1132" s="504"/>
      <c r="E1132" s="506"/>
      <c r="F1132" s="506"/>
      <c r="G1132" s="506"/>
      <c r="H1132" s="506"/>
      <c r="I1132" s="506"/>
      <c r="J1132" s="506"/>
      <c r="K1132" s="507"/>
      <c r="L1132" s="508"/>
      <c r="M1132" s="508"/>
      <c r="N1132" s="508"/>
      <c r="O1132" s="509"/>
      <c r="P1132" s="509"/>
    </row>
    <row r="1133" spans="1:16" ht="21.75" customHeight="1" x14ac:dyDescent="0.3">
      <c r="A1133" s="504"/>
      <c r="B1133" s="504"/>
      <c r="C1133" s="504"/>
      <c r="D1133" s="504"/>
      <c r="E1133" s="506"/>
      <c r="F1133" s="506"/>
      <c r="G1133" s="506"/>
      <c r="H1133" s="506"/>
      <c r="I1133" s="506"/>
      <c r="J1133" s="506"/>
      <c r="K1133" s="507"/>
      <c r="L1133" s="508"/>
      <c r="M1133" s="508"/>
      <c r="N1133" s="508"/>
      <c r="O1133" s="509"/>
      <c r="P1133" s="509"/>
    </row>
    <row r="1134" spans="1:16" ht="21.75" customHeight="1" x14ac:dyDescent="0.3">
      <c r="A1134" s="504"/>
      <c r="B1134" s="504"/>
      <c r="C1134" s="504"/>
      <c r="D1134" s="504"/>
      <c r="E1134" s="506"/>
      <c r="F1134" s="506"/>
      <c r="G1134" s="506"/>
      <c r="H1134" s="506"/>
      <c r="I1134" s="506"/>
      <c r="J1134" s="506"/>
      <c r="K1134" s="507"/>
      <c r="L1134" s="508"/>
      <c r="M1134" s="508"/>
      <c r="N1134" s="508"/>
      <c r="O1134" s="509"/>
      <c r="P1134" s="509"/>
    </row>
    <row r="1135" spans="1:16" ht="21.75" customHeight="1" x14ac:dyDescent="0.3">
      <c r="A1135" s="504"/>
      <c r="B1135" s="504"/>
      <c r="C1135" s="504"/>
      <c r="D1135" s="504"/>
      <c r="E1135" s="506"/>
      <c r="F1135" s="506"/>
      <c r="G1135" s="506"/>
      <c r="H1135" s="506"/>
      <c r="I1135" s="506"/>
      <c r="J1135" s="506"/>
      <c r="K1135" s="507"/>
      <c r="L1135" s="508"/>
      <c r="M1135" s="508"/>
      <c r="N1135" s="508"/>
      <c r="O1135" s="509"/>
      <c r="P1135" s="509"/>
    </row>
    <row r="1136" spans="1:16" ht="21.75" customHeight="1" x14ac:dyDescent="0.3">
      <c r="A1136" s="504"/>
      <c r="B1136" s="504"/>
      <c r="C1136" s="504"/>
      <c r="D1136" s="504"/>
      <c r="E1136" s="506"/>
      <c r="F1136" s="506"/>
      <c r="G1136" s="506"/>
      <c r="H1136" s="506"/>
      <c r="I1136" s="506"/>
      <c r="J1136" s="506"/>
      <c r="K1136" s="507"/>
      <c r="L1136" s="508"/>
      <c r="M1136" s="508"/>
      <c r="N1136" s="508"/>
      <c r="O1136" s="509"/>
      <c r="P1136" s="509"/>
    </row>
    <row r="1137" spans="1:16" ht="21.75" customHeight="1" x14ac:dyDescent="0.3">
      <c r="A1137" s="504"/>
      <c r="B1137" s="504"/>
      <c r="C1137" s="504"/>
      <c r="D1137" s="504"/>
      <c r="E1137" s="506"/>
      <c r="F1137" s="506"/>
      <c r="G1137" s="506"/>
      <c r="H1137" s="506"/>
      <c r="I1137" s="506"/>
      <c r="J1137" s="506"/>
      <c r="K1137" s="507"/>
      <c r="L1137" s="508"/>
      <c r="M1137" s="508"/>
      <c r="N1137" s="508"/>
      <c r="O1137" s="509"/>
      <c r="P1137" s="509"/>
    </row>
    <row r="1138" spans="1:16" ht="21.75" customHeight="1" x14ac:dyDescent="0.3">
      <c r="A1138" s="504"/>
      <c r="B1138" s="504"/>
      <c r="C1138" s="504"/>
      <c r="D1138" s="504"/>
      <c r="E1138" s="506"/>
      <c r="F1138" s="506"/>
      <c r="G1138" s="506"/>
      <c r="H1138" s="506"/>
      <c r="I1138" s="506"/>
      <c r="J1138" s="506"/>
      <c r="K1138" s="507"/>
      <c r="L1138" s="508"/>
      <c r="M1138" s="508"/>
      <c r="N1138" s="508"/>
      <c r="O1138" s="509"/>
      <c r="P1138" s="509"/>
    </row>
    <row r="1139" spans="1:16" ht="21.75" customHeight="1" x14ac:dyDescent="0.3">
      <c r="A1139" s="504"/>
      <c r="B1139" s="504"/>
      <c r="C1139" s="504"/>
      <c r="D1139" s="504"/>
      <c r="E1139" s="506"/>
      <c r="F1139" s="506"/>
      <c r="G1139" s="506"/>
      <c r="H1139" s="506"/>
      <c r="I1139" s="506"/>
      <c r="J1139" s="506"/>
      <c r="K1139" s="507"/>
      <c r="L1139" s="508"/>
      <c r="M1139" s="508"/>
      <c r="N1139" s="508"/>
      <c r="O1139" s="509"/>
      <c r="P1139" s="509"/>
    </row>
    <row r="1140" spans="1:16" ht="21.75" customHeight="1" x14ac:dyDescent="0.3">
      <c r="A1140" s="504"/>
      <c r="B1140" s="504"/>
      <c r="C1140" s="504"/>
      <c r="D1140" s="504"/>
      <c r="E1140" s="506"/>
      <c r="F1140" s="506"/>
      <c r="G1140" s="506"/>
      <c r="H1140" s="506"/>
      <c r="I1140" s="506"/>
      <c r="J1140" s="506"/>
      <c r="K1140" s="507"/>
      <c r="L1140" s="508"/>
      <c r="M1140" s="508"/>
      <c r="N1140" s="508"/>
      <c r="O1140" s="509"/>
      <c r="P1140" s="509"/>
    </row>
    <row r="1141" spans="1:16" ht="21.75" customHeight="1" x14ac:dyDescent="0.3">
      <c r="A1141" s="504"/>
      <c r="B1141" s="504"/>
      <c r="C1141" s="504"/>
      <c r="D1141" s="504"/>
      <c r="E1141" s="506"/>
      <c r="F1141" s="506"/>
      <c r="G1141" s="506"/>
      <c r="H1141" s="506"/>
      <c r="I1141" s="506"/>
      <c r="J1141" s="506"/>
      <c r="K1141" s="507"/>
      <c r="L1141" s="508"/>
      <c r="M1141" s="508"/>
      <c r="N1141" s="508"/>
      <c r="O1141" s="509"/>
      <c r="P1141" s="509"/>
    </row>
    <row r="1142" spans="1:16" ht="21.75" customHeight="1" x14ac:dyDescent="0.3">
      <c r="A1142" s="504"/>
      <c r="B1142" s="504"/>
      <c r="C1142" s="504"/>
      <c r="D1142" s="504"/>
      <c r="E1142" s="506"/>
      <c r="F1142" s="506"/>
      <c r="G1142" s="506"/>
      <c r="H1142" s="506"/>
      <c r="I1142" s="506"/>
      <c r="J1142" s="506"/>
      <c r="K1142" s="507"/>
      <c r="L1142" s="508"/>
      <c r="M1142" s="508"/>
      <c r="N1142" s="508"/>
      <c r="O1142" s="509"/>
      <c r="P1142" s="509"/>
    </row>
    <row r="1143" spans="1:16" ht="21.75" customHeight="1" x14ac:dyDescent="0.3">
      <c r="A1143" s="504"/>
      <c r="B1143" s="504"/>
      <c r="C1143" s="504"/>
      <c r="D1143" s="504"/>
      <c r="E1143" s="506"/>
      <c r="F1143" s="506"/>
      <c r="G1143" s="506"/>
      <c r="H1143" s="506"/>
      <c r="I1143" s="506"/>
      <c r="J1143" s="506"/>
      <c r="K1143" s="507"/>
      <c r="L1143" s="508"/>
      <c r="M1143" s="508"/>
      <c r="N1143" s="508"/>
      <c r="O1143" s="509"/>
      <c r="P1143" s="509"/>
    </row>
  </sheetData>
  <mergeCells count="49">
    <mergeCell ref="D310:G310"/>
    <mergeCell ref="D317:E317"/>
    <mergeCell ref="D329:G329"/>
    <mergeCell ref="D336:E336"/>
    <mergeCell ref="D140:G140"/>
    <mergeCell ref="D147:E147"/>
    <mergeCell ref="D220:G220"/>
    <mergeCell ref="D227:E227"/>
    <mergeCell ref="D250:G250"/>
    <mergeCell ref="D257:E257"/>
    <mergeCell ref="D271:G271"/>
    <mergeCell ref="D118:G118"/>
    <mergeCell ref="D125:E125"/>
    <mergeCell ref="D278:E278"/>
    <mergeCell ref="D290:G290"/>
    <mergeCell ref="D297:E297"/>
    <mergeCell ref="D60:E60"/>
    <mergeCell ref="D66:G66"/>
    <mergeCell ref="D73:E73"/>
    <mergeCell ref="D94:G94"/>
    <mergeCell ref="D101:E101"/>
    <mergeCell ref="D44:F44"/>
    <mergeCell ref="D48:E48"/>
    <mergeCell ref="B52:G52"/>
    <mergeCell ref="D53:G53"/>
    <mergeCell ref="D56:F56"/>
    <mergeCell ref="D31:F31"/>
    <mergeCell ref="D35:E35"/>
    <mergeCell ref="A38:G38"/>
    <mergeCell ref="B39:G39"/>
    <mergeCell ref="D41:G41"/>
    <mergeCell ref="D18:G18"/>
    <mergeCell ref="D21:F21"/>
    <mergeCell ref="D25:E25"/>
    <mergeCell ref="A27:G27"/>
    <mergeCell ref="D28:G28"/>
    <mergeCell ref="A7:G7"/>
    <mergeCell ref="D8:G8"/>
    <mergeCell ref="D11:F11"/>
    <mergeCell ref="D15:E15"/>
    <mergeCell ref="A17:G17"/>
    <mergeCell ref="H5:H6"/>
    <mergeCell ref="I5:K5"/>
    <mergeCell ref="L5:M5"/>
    <mergeCell ref="N5:P5"/>
    <mergeCell ref="A5:G6"/>
    <mergeCell ref="A1:P1"/>
    <mergeCell ref="A2:P2"/>
    <mergeCell ref="A3:P3"/>
  </mergeCells>
  <printOptions horizontalCentered="1"/>
  <pageMargins left="0.23622047244094491" right="0.27559055118110237" top="0.31496062992125984" bottom="0.39370078740157483" header="0" footer="0"/>
  <pageSetup paperSize="9" scale="39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46" max="16383" man="1"/>
    <brk id="326" max="16383" man="1"/>
    <brk id="400" max="16383" man="1"/>
    <brk id="486" max="16383" man="1"/>
    <brk id="563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J7" sqref="J7"/>
      <selection pane="bottomLeft" activeCell="K567" sqref="K567"/>
    </sheetView>
  </sheetViews>
  <sheetFormatPr defaultColWidth="12.6640625" defaultRowHeight="15" customHeight="1" x14ac:dyDescent="0.3"/>
  <cols>
    <col min="1" max="3" width="2.75" customWidth="1"/>
    <col min="4" max="6" width="5" customWidth="1"/>
    <col min="7" max="7" width="70.9140625" customWidth="1"/>
    <col min="8" max="8" width="9.5" customWidth="1"/>
    <col min="9" max="10" width="13.9140625" customWidth="1"/>
    <col min="11" max="11" width="10.08203125" bestFit="1" customWidth="1"/>
    <col min="12" max="12" width="16.33203125" bestFit="1" customWidth="1"/>
    <col min="13" max="13" width="17.6640625" customWidth="1"/>
    <col min="14" max="14" width="19.5" customWidth="1"/>
    <col min="15" max="15" width="16.5" customWidth="1"/>
    <col min="16" max="16" width="18" customWidth="1"/>
  </cols>
  <sheetData>
    <row r="1" spans="1:16" ht="18" customHeight="1" x14ac:dyDescent="0.3">
      <c r="A1" s="512" t="s">
        <v>0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</row>
    <row r="2" spans="1:16" ht="18" customHeight="1" x14ac:dyDescent="0.3">
      <c r="A2" s="512" t="s">
        <v>256</v>
      </c>
      <c r="B2" s="512"/>
      <c r="C2" s="512"/>
      <c r="D2" s="512"/>
      <c r="E2" s="512"/>
      <c r="F2" s="512"/>
      <c r="G2" s="512"/>
      <c r="H2" s="512"/>
      <c r="I2" s="512"/>
      <c r="J2" s="512"/>
      <c r="K2" s="512"/>
      <c r="L2" s="512"/>
      <c r="M2" s="512"/>
      <c r="N2" s="512"/>
      <c r="O2" s="512"/>
      <c r="P2" s="512"/>
    </row>
    <row r="3" spans="1:16" ht="18" customHeight="1" x14ac:dyDescent="0.3">
      <c r="A3" s="512" t="s">
        <v>272</v>
      </c>
      <c r="B3" s="512"/>
      <c r="C3" s="512"/>
      <c r="D3" s="512"/>
      <c r="E3" s="512"/>
      <c r="F3" s="512"/>
      <c r="G3" s="512"/>
      <c r="H3" s="512"/>
      <c r="I3" s="512"/>
      <c r="J3" s="512"/>
      <c r="K3" s="512"/>
      <c r="L3" s="512"/>
      <c r="M3" s="512"/>
      <c r="N3" s="512"/>
      <c r="O3" s="512"/>
      <c r="P3" s="512"/>
    </row>
    <row r="4" spans="1:16" ht="33.75" customHeight="1" x14ac:dyDescent="0.3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3">
      <c r="A5" s="520" t="s">
        <v>2</v>
      </c>
      <c r="B5" s="521"/>
      <c r="C5" s="521"/>
      <c r="D5" s="521"/>
      <c r="E5" s="521"/>
      <c r="F5" s="521"/>
      <c r="G5" s="522"/>
      <c r="H5" s="513" t="s">
        <v>3</v>
      </c>
      <c r="I5" s="515" t="s">
        <v>4</v>
      </c>
      <c r="J5" s="516"/>
      <c r="K5" s="517"/>
      <c r="L5" s="518" t="s">
        <v>5</v>
      </c>
      <c r="M5" s="517"/>
      <c r="N5" s="519" t="s">
        <v>6</v>
      </c>
      <c r="O5" s="516"/>
      <c r="P5" s="517"/>
    </row>
    <row r="6" spans="1:16" ht="21.75" customHeight="1" x14ac:dyDescent="0.3">
      <c r="A6" s="523"/>
      <c r="B6" s="524"/>
      <c r="C6" s="524"/>
      <c r="D6" s="524"/>
      <c r="E6" s="524"/>
      <c r="F6" s="524"/>
      <c r="G6" s="525"/>
      <c r="H6" s="514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45">
      <c r="A7" s="526" t="s">
        <v>15</v>
      </c>
      <c r="B7" s="516"/>
      <c r="C7" s="516"/>
      <c r="D7" s="516"/>
      <c r="E7" s="516"/>
      <c r="F7" s="516"/>
      <c r="G7" s="517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45">
      <c r="A8" s="17"/>
      <c r="B8" s="18"/>
      <c r="C8" s="19" t="s">
        <v>16</v>
      </c>
      <c r="D8" s="527" t="s">
        <v>17</v>
      </c>
      <c r="E8" s="528"/>
      <c r="F8" s="528"/>
      <c r="G8" s="528"/>
      <c r="H8" s="20" t="s">
        <v>12</v>
      </c>
      <c r="I8" s="21"/>
      <c r="J8" s="21"/>
      <c r="K8" s="22"/>
      <c r="L8" s="23">
        <f t="shared" ref="L8:N8" ca="1" si="0">L9+L10</f>
        <v>7110761</v>
      </c>
      <c r="M8" s="23">
        <f t="shared" ca="1" si="0"/>
        <v>2289520</v>
      </c>
      <c r="N8" s="23">
        <f t="shared" ca="1" si="0"/>
        <v>2423707.96</v>
      </c>
      <c r="O8" s="22">
        <f t="shared" ref="O8:O16" ca="1" si="1">IF(L8&gt;0,N8*100/L8,0)</f>
        <v>34.085071344684486</v>
      </c>
      <c r="P8" s="22">
        <f t="shared" ref="P8:P16" ca="1" si="2">IF(M8&gt;0,N8*100/M8,0)</f>
        <v>105.86096474370174</v>
      </c>
    </row>
    <row r="9" spans="1:16" ht="21.75" customHeight="1" x14ac:dyDescent="0.45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45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7110761</v>
      </c>
      <c r="M10" s="30">
        <f t="shared" ca="1" si="4"/>
        <v>2289520</v>
      </c>
      <c r="N10" s="30">
        <f t="shared" ca="1" si="4"/>
        <v>2423707.96</v>
      </c>
      <c r="O10" s="29">
        <f t="shared" ca="1" si="1"/>
        <v>34.085071344684486</v>
      </c>
      <c r="P10" s="29">
        <f t="shared" ca="1" si="2"/>
        <v>105.86096474370174</v>
      </c>
    </row>
    <row r="11" spans="1:16" ht="21.75" customHeight="1" x14ac:dyDescent="0.45">
      <c r="A11" s="31"/>
      <c r="B11" s="32"/>
      <c r="C11" s="33" t="s">
        <v>16</v>
      </c>
      <c r="D11" s="529" t="s">
        <v>20</v>
      </c>
      <c r="E11" s="530"/>
      <c r="F11" s="530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45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6877461</v>
      </c>
      <c r="M12" s="38">
        <f t="shared" ca="1" si="6"/>
        <v>2056220</v>
      </c>
      <c r="N12" s="38">
        <f t="shared" ca="1" si="6"/>
        <v>2190407.96</v>
      </c>
      <c r="O12" s="38">
        <f t="shared" ca="1" si="1"/>
        <v>31.849078606189117</v>
      </c>
      <c r="P12" s="38">
        <f t="shared" ca="1" si="2"/>
        <v>106.52595344856095</v>
      </c>
    </row>
    <row r="13" spans="1:16" ht="21.75" customHeight="1" x14ac:dyDescent="0.45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1991600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45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4885861</v>
      </c>
      <c r="M14" s="38">
        <f t="shared" si="8"/>
        <v>0</v>
      </c>
      <c r="N14" s="38">
        <f t="shared" ca="1" si="8"/>
        <v>639772.96</v>
      </c>
      <c r="O14" s="38">
        <f t="shared" ca="1" si="1"/>
        <v>13.094374973008852</v>
      </c>
      <c r="P14" s="38">
        <f t="shared" si="2"/>
        <v>0</v>
      </c>
    </row>
    <row r="15" spans="1:16" ht="21.75" customHeight="1" x14ac:dyDescent="0.45">
      <c r="A15" s="31"/>
      <c r="B15" s="32"/>
      <c r="C15" s="33" t="s">
        <v>16</v>
      </c>
      <c r="D15" s="529" t="s">
        <v>23</v>
      </c>
      <c r="E15" s="530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45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233300</v>
      </c>
      <c r="M16" s="38">
        <f t="shared" ca="1" si="10"/>
        <v>233300</v>
      </c>
      <c r="N16" s="38">
        <f t="shared" ca="1" si="10"/>
        <v>233300</v>
      </c>
      <c r="O16" s="49">
        <f t="shared" ca="1" si="1"/>
        <v>100</v>
      </c>
      <c r="P16" s="49">
        <f t="shared" ca="1" si="2"/>
        <v>100</v>
      </c>
    </row>
    <row r="17" spans="1:16" ht="21.75" customHeight="1" x14ac:dyDescent="0.45">
      <c r="A17" s="526" t="s">
        <v>24</v>
      </c>
      <c r="B17" s="516"/>
      <c r="C17" s="516"/>
      <c r="D17" s="516"/>
      <c r="E17" s="516"/>
      <c r="F17" s="516"/>
      <c r="G17" s="517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45">
      <c r="A18" s="17"/>
      <c r="B18" s="18"/>
      <c r="C18" s="19" t="s">
        <v>16</v>
      </c>
      <c r="D18" s="527" t="s">
        <v>17</v>
      </c>
      <c r="E18" s="528"/>
      <c r="F18" s="528"/>
      <c r="G18" s="528"/>
      <c r="H18" s="20" t="s">
        <v>12</v>
      </c>
      <c r="I18" s="21"/>
      <c r="J18" s="21"/>
      <c r="K18" s="22"/>
      <c r="L18" s="23">
        <f t="shared" ref="L18:N18" ca="1" si="11">L19+L20</f>
        <v>3960805</v>
      </c>
      <c r="M18" s="23">
        <f t="shared" ca="1" si="11"/>
        <v>2289520</v>
      </c>
      <c r="N18" s="23">
        <f t="shared" ca="1" si="11"/>
        <v>1783935</v>
      </c>
      <c r="O18" s="22">
        <f t="shared" ref="O18:O20" ca="1" si="12">IF(L18&gt;0,N18*100/L18,0)</f>
        <v>45.039707837169466</v>
      </c>
      <c r="P18" s="22">
        <f t="shared" ref="P18:P26" ca="1" si="13">IF(M18&gt;0,N18*100/M18,0)</f>
        <v>77.917423739473776</v>
      </c>
    </row>
    <row r="19" spans="1:16" ht="21.75" customHeight="1" x14ac:dyDescent="0.45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45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3960805</v>
      </c>
      <c r="M20" s="30">
        <f t="shared" ca="1" si="15"/>
        <v>2289520</v>
      </c>
      <c r="N20" s="30">
        <f t="shared" ca="1" si="15"/>
        <v>1783935</v>
      </c>
      <c r="O20" s="29">
        <f t="shared" ca="1" si="12"/>
        <v>45.039707837169466</v>
      </c>
      <c r="P20" s="29">
        <f t="shared" ca="1" si="13"/>
        <v>77.917423739473776</v>
      </c>
    </row>
    <row r="21" spans="1:16" ht="21.75" customHeight="1" x14ac:dyDescent="0.45">
      <c r="A21" s="31"/>
      <c r="B21" s="32"/>
      <c r="C21" s="33" t="s">
        <v>16</v>
      </c>
      <c r="D21" s="529" t="s">
        <v>20</v>
      </c>
      <c r="E21" s="530"/>
      <c r="F21" s="530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45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3727505</v>
      </c>
      <c r="M22" s="41">
        <f t="shared" ca="1" si="18"/>
        <v>2056220</v>
      </c>
      <c r="N22" s="38">
        <f t="shared" ca="1" si="18"/>
        <v>1550635</v>
      </c>
      <c r="O22" s="38">
        <f t="shared" ca="1" si="17"/>
        <v>41.599810060616953</v>
      </c>
      <c r="P22" s="38">
        <f t="shared" ca="1" si="13"/>
        <v>75.411920903405274</v>
      </c>
    </row>
    <row r="23" spans="1:16" ht="21.75" customHeight="1" x14ac:dyDescent="0.45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1991600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45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1735905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45">
      <c r="A25" s="31"/>
      <c r="B25" s="32"/>
      <c r="C25" s="33" t="s">
        <v>16</v>
      </c>
      <c r="D25" s="529" t="s">
        <v>23</v>
      </c>
      <c r="E25" s="530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45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233300</v>
      </c>
      <c r="M26" s="49">
        <f t="shared" ca="1" si="22"/>
        <v>233300</v>
      </c>
      <c r="N26" s="49">
        <f t="shared" ca="1" si="22"/>
        <v>233300</v>
      </c>
      <c r="O26" s="49">
        <f t="shared" ca="1" si="17"/>
        <v>100</v>
      </c>
      <c r="P26" s="49">
        <f t="shared" ca="1" si="13"/>
        <v>100</v>
      </c>
    </row>
    <row r="27" spans="1:16" ht="21.75" customHeight="1" x14ac:dyDescent="0.45">
      <c r="A27" s="526" t="s">
        <v>25</v>
      </c>
      <c r="B27" s="516"/>
      <c r="C27" s="516"/>
      <c r="D27" s="516"/>
      <c r="E27" s="516"/>
      <c r="F27" s="516"/>
      <c r="G27" s="517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45">
      <c r="A28" s="17"/>
      <c r="B28" s="18"/>
      <c r="C28" s="19" t="s">
        <v>16</v>
      </c>
      <c r="D28" s="527" t="s">
        <v>17</v>
      </c>
      <c r="E28" s="528"/>
      <c r="F28" s="528"/>
      <c r="G28" s="528"/>
      <c r="H28" s="20" t="s">
        <v>12</v>
      </c>
      <c r="I28" s="21"/>
      <c r="J28" s="21"/>
      <c r="K28" s="22"/>
      <c r="L28" s="23">
        <f t="shared" ref="L28:N28" ca="1" si="23">L29+L30</f>
        <v>3149956</v>
      </c>
      <c r="M28" s="23">
        <f t="shared" si="23"/>
        <v>0</v>
      </c>
      <c r="N28" s="23">
        <f t="shared" ca="1" si="23"/>
        <v>639772.96</v>
      </c>
      <c r="O28" s="22">
        <f t="shared" ref="O28:O30" ca="1" si="24">IF(L28&gt;0,N28*100/L28,0)</f>
        <v>20.310536401143381</v>
      </c>
      <c r="P28" s="22">
        <f t="shared" ref="P28:P37" si="25">IF(M28&gt;0,N28*100/M28,0)</f>
        <v>0</v>
      </c>
    </row>
    <row r="29" spans="1:16" ht="21.75" customHeight="1" x14ac:dyDescent="0.45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45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3149956</v>
      </c>
      <c r="M30" s="30">
        <f t="shared" si="27"/>
        <v>0</v>
      </c>
      <c r="N30" s="30">
        <f t="shared" ca="1" si="27"/>
        <v>639772.96</v>
      </c>
      <c r="O30" s="29">
        <f t="shared" ca="1" si="24"/>
        <v>20.310536401143381</v>
      </c>
      <c r="P30" s="29">
        <f t="shared" si="25"/>
        <v>0</v>
      </c>
    </row>
    <row r="31" spans="1:16" ht="21.75" customHeight="1" x14ac:dyDescent="0.45">
      <c r="A31" s="31"/>
      <c r="B31" s="32"/>
      <c r="C31" s="33" t="s">
        <v>16</v>
      </c>
      <c r="D31" s="529" t="s">
        <v>20</v>
      </c>
      <c r="E31" s="530"/>
      <c r="F31" s="530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45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3149956</v>
      </c>
      <c r="M32" s="38">
        <f t="shared" si="30"/>
        <v>0</v>
      </c>
      <c r="N32" s="38">
        <f t="shared" ca="1" si="30"/>
        <v>639772.96</v>
      </c>
      <c r="O32" s="38">
        <f t="shared" ca="1" si="29"/>
        <v>20.310536401143381</v>
      </c>
      <c r="P32" s="38">
        <f t="shared" si="25"/>
        <v>0</v>
      </c>
    </row>
    <row r="33" spans="1:16" ht="21.75" customHeight="1" x14ac:dyDescent="0.45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45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3149956</v>
      </c>
      <c r="M34" s="38">
        <f t="shared" si="32"/>
        <v>0</v>
      </c>
      <c r="N34" s="38">
        <f t="shared" ca="1" si="32"/>
        <v>639772.96</v>
      </c>
      <c r="O34" s="38">
        <f t="shared" ca="1" si="29"/>
        <v>20.310536401143381</v>
      </c>
      <c r="P34" s="38">
        <f t="shared" si="25"/>
        <v>0</v>
      </c>
    </row>
    <row r="35" spans="1:16" ht="21.75" customHeight="1" x14ac:dyDescent="0.45">
      <c r="A35" s="31"/>
      <c r="B35" s="32"/>
      <c r="C35" s="33" t="s">
        <v>16</v>
      </c>
      <c r="D35" s="529" t="s">
        <v>23</v>
      </c>
      <c r="E35" s="530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45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3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3960805</v>
      </c>
      <c r="M37" s="54">
        <f t="shared" ca="1" si="33"/>
        <v>2289520</v>
      </c>
      <c r="N37" s="54">
        <f t="shared" ca="1" si="33"/>
        <v>1783935</v>
      </c>
      <c r="O37" s="55">
        <f t="shared" ca="1" si="29"/>
        <v>45.039707837169466</v>
      </c>
      <c r="P37" s="55">
        <f t="shared" ca="1" si="25"/>
        <v>77.917423739473776</v>
      </c>
    </row>
    <row r="38" spans="1:16" ht="21.75" customHeight="1" x14ac:dyDescent="0.45">
      <c r="A38" s="531" t="s">
        <v>27</v>
      </c>
      <c r="B38" s="516"/>
      <c r="C38" s="516"/>
      <c r="D38" s="516"/>
      <c r="E38" s="516"/>
      <c r="F38" s="516"/>
      <c r="G38" s="517"/>
      <c r="H38" s="56"/>
      <c r="I38" s="57"/>
      <c r="J38" s="57"/>
      <c r="K38" s="58"/>
      <c r="L38" s="59"/>
      <c r="M38" s="59"/>
      <c r="N38" s="59"/>
      <c r="O38" s="59"/>
      <c r="P38" s="59"/>
    </row>
    <row r="39" spans="1:16" ht="21.75" customHeight="1" x14ac:dyDescent="0.45">
      <c r="A39" s="60"/>
      <c r="B39" s="532" t="s">
        <v>28</v>
      </c>
      <c r="C39" s="528"/>
      <c r="D39" s="528"/>
      <c r="E39" s="528"/>
      <c r="F39" s="528"/>
      <c r="G39" s="528"/>
      <c r="H39" s="61"/>
      <c r="I39" s="62"/>
      <c r="J39" s="62"/>
      <c r="K39" s="63"/>
      <c r="L39" s="64"/>
      <c r="M39" s="64"/>
      <c r="N39" s="64"/>
      <c r="O39" s="63"/>
      <c r="P39" s="63"/>
    </row>
    <row r="40" spans="1:16" ht="21.75" customHeight="1" x14ac:dyDescent="0.45">
      <c r="A40" s="65"/>
      <c r="B40" s="66" t="s">
        <v>29</v>
      </c>
      <c r="C40" s="67"/>
      <c r="D40" s="67"/>
      <c r="E40" s="67"/>
      <c r="F40" s="67"/>
      <c r="G40" s="67"/>
      <c r="H40" s="68"/>
      <c r="I40" s="69"/>
      <c r="J40" s="69"/>
      <c r="K40" s="70"/>
      <c r="L40" s="71"/>
      <c r="M40" s="71"/>
      <c r="N40" s="71"/>
      <c r="O40" s="70"/>
      <c r="P40" s="70"/>
    </row>
    <row r="41" spans="1:16" ht="21.75" customHeight="1" x14ac:dyDescent="0.45">
      <c r="A41" s="72"/>
      <c r="B41" s="73"/>
      <c r="C41" s="74" t="s">
        <v>16</v>
      </c>
      <c r="D41" s="533" t="s">
        <v>17</v>
      </c>
      <c r="E41" s="530"/>
      <c r="F41" s="530"/>
      <c r="G41" s="530"/>
      <c r="H41" s="75" t="s">
        <v>12</v>
      </c>
      <c r="I41" s="76"/>
      <c r="J41" s="76"/>
      <c r="K41" s="77"/>
      <c r="L41" s="78">
        <f t="shared" ref="L41:N41" ca="1" si="34">L42+L43</f>
        <v>978600</v>
      </c>
      <c r="M41" s="78">
        <f t="shared" ca="1" si="34"/>
        <v>573600</v>
      </c>
      <c r="N41" s="78">
        <f t="shared" ca="1" si="34"/>
        <v>468079</v>
      </c>
      <c r="O41" s="77">
        <f t="shared" ref="O41:O43" ca="1" si="35">IF(L41&gt;0,N41*100/L41,0)</f>
        <v>47.831493970978947</v>
      </c>
      <c r="P41" s="77">
        <f t="shared" ref="P41:P43" ca="1" si="36">IF(M41&gt;0,N41*100/M41,0)</f>
        <v>81.603730822873089</v>
      </c>
    </row>
    <row r="42" spans="1:16" ht="21.75" customHeight="1" x14ac:dyDescent="0.45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45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978600</v>
      </c>
      <c r="M43" s="78">
        <f t="shared" ca="1" si="38"/>
        <v>573600</v>
      </c>
      <c r="N43" s="78">
        <f t="shared" ca="1" si="38"/>
        <v>468079</v>
      </c>
      <c r="O43" s="77">
        <f t="shared" ca="1" si="35"/>
        <v>47.831493970978947</v>
      </c>
      <c r="P43" s="77">
        <f t="shared" ca="1" si="36"/>
        <v>81.603730822873089</v>
      </c>
    </row>
    <row r="44" spans="1:16" ht="21.75" customHeight="1" x14ac:dyDescent="0.45">
      <c r="A44" s="79"/>
      <c r="B44" s="80"/>
      <c r="C44" s="81" t="s">
        <v>16</v>
      </c>
      <c r="D44" s="534" t="s">
        <v>20</v>
      </c>
      <c r="E44" s="530"/>
      <c r="F44" s="530"/>
      <c r="G44" s="82" t="s">
        <v>18</v>
      </c>
      <c r="H44" s="83" t="s">
        <v>12</v>
      </c>
      <c r="I44" s="84"/>
      <c r="J44" s="84"/>
      <c r="K44" s="85"/>
      <c r="L44" s="86">
        <v>0</v>
      </c>
      <c r="M44" s="510"/>
      <c r="N44" s="511"/>
      <c r="O44" s="511"/>
      <c r="P44" s="511"/>
    </row>
    <row r="45" spans="1:16" ht="21.75" customHeight="1" x14ac:dyDescent="0.45">
      <c r="A45" s="79"/>
      <c r="B45" s="80"/>
      <c r="C45" s="80"/>
      <c r="D45" s="80"/>
      <c r="E45" s="88"/>
      <c r="F45" s="89"/>
      <c r="G45" s="82" t="s">
        <v>19</v>
      </c>
      <c r="H45" s="83" t="s">
        <v>12</v>
      </c>
      <c r="I45" s="84"/>
      <c r="J45" s="84"/>
      <c r="K45" s="85"/>
      <c r="L45" s="38">
        <f ca="1">L46+L47</f>
        <v>810100</v>
      </c>
      <c r="M45" s="49">
        <f ca="1">IFERROR(__xludf.DUMMYFUNCTION("IMPORTRANGE(""https://docs.google.com/spreadsheets/d/1Yj_ptqi66GCucihVvJfMjLAmec39IyEx_6qawtMGysU/edit?usp=sharing"",""สบก!Q29"")"),405100)</f>
        <v>405100</v>
      </c>
      <c r="N45" s="49">
        <f ca="1">IFERROR(__xludf.DUMMYFUNCTION("IMPORTRANGE(""https://docs.google.com/spreadsheets/d/1Yj_ptqi66GCucihVvJfMjLAmec39IyEx_6qawtMGysU/edit?usp=sharing"",""สบก!R29"")"),299579)</f>
        <v>299579</v>
      </c>
      <c r="O45" s="38">
        <f ca="1">IF(L45&gt;0,N45*100/L45,0)</f>
        <v>36.98049623503271</v>
      </c>
      <c r="P45" s="38">
        <f ca="1">IF(M45&gt;0,N45*100/M45,0)</f>
        <v>73.951863737348802</v>
      </c>
    </row>
    <row r="46" spans="1:16" ht="21.75" customHeight="1" x14ac:dyDescent="0.45">
      <c r="A46" s="79"/>
      <c r="B46" s="80"/>
      <c r="C46" s="80"/>
      <c r="D46" s="80"/>
      <c r="E46" s="88"/>
      <c r="F46" s="88"/>
      <c r="G46" s="82" t="s">
        <v>21</v>
      </c>
      <c r="H46" s="83" t="s">
        <v>12</v>
      </c>
      <c r="I46" s="84"/>
      <c r="J46" s="84"/>
      <c r="K46" s="85"/>
      <c r="L46" s="49">
        <f ca="1">IFERROR(__xludf.DUMMYFUNCTION("IMPORTRANGE(""https://docs.google.com/spreadsheets/d/1Yj_ptqi66GCucihVvJfMjLAmec39IyEx_6qawtMGysU/edit?usp=sharing"",""สบก!M29"")"),810100)</f>
        <v>810100</v>
      </c>
      <c r="M46" s="41"/>
      <c r="N46" s="38"/>
      <c r="O46" s="38"/>
      <c r="P46" s="38"/>
    </row>
    <row r="47" spans="1:16" ht="21.75" customHeight="1" x14ac:dyDescent="0.45">
      <c r="A47" s="79"/>
      <c r="B47" s="80"/>
      <c r="C47" s="80"/>
      <c r="D47" s="80"/>
      <c r="E47" s="88"/>
      <c r="F47" s="88"/>
      <c r="G47" s="82" t="s">
        <v>22</v>
      </c>
      <c r="H47" s="83" t="s">
        <v>12</v>
      </c>
      <c r="I47" s="84"/>
      <c r="J47" s="84"/>
      <c r="K47" s="85"/>
      <c r="L47" s="49">
        <f ca="1">IFERROR(__xludf.DUMMYFUNCTION("IMPORTRANGE(""https://docs.google.com/spreadsheets/d/1Yj_ptqi66GCucihVvJfMjLAmec39IyEx_6qawtMGysU/edit?usp=sharing"",""สบก!N29"")"),0)</f>
        <v>0</v>
      </c>
      <c r="M47" s="41"/>
      <c r="N47" s="38"/>
      <c r="O47" s="38"/>
      <c r="P47" s="38"/>
    </row>
    <row r="48" spans="1:16" ht="21.75" customHeight="1" x14ac:dyDescent="0.45">
      <c r="A48" s="79"/>
      <c r="B48" s="80"/>
      <c r="C48" s="81" t="s">
        <v>16</v>
      </c>
      <c r="D48" s="534" t="s">
        <v>23</v>
      </c>
      <c r="E48" s="530"/>
      <c r="F48" s="88"/>
      <c r="G48" s="82" t="s">
        <v>18</v>
      </c>
      <c r="H48" s="83" t="s">
        <v>12</v>
      </c>
      <c r="I48" s="84"/>
      <c r="J48" s="84"/>
      <c r="K48" s="85"/>
      <c r="L48" s="50">
        <v>0</v>
      </c>
      <c r="M48" s="41"/>
      <c r="N48" s="41"/>
      <c r="O48" s="41"/>
      <c r="P48" s="41"/>
    </row>
    <row r="49" spans="1:16" ht="21.75" customHeight="1" x14ac:dyDescent="0.45">
      <c r="A49" s="90"/>
      <c r="B49" s="91"/>
      <c r="C49" s="91"/>
      <c r="D49" s="91"/>
      <c r="E49" s="92"/>
      <c r="F49" s="92"/>
      <c r="G49" s="93" t="s">
        <v>19</v>
      </c>
      <c r="H49" s="94" t="s">
        <v>12</v>
      </c>
      <c r="I49" s="95"/>
      <c r="J49" s="95"/>
      <c r="K49" s="96"/>
      <c r="L49" s="49">
        <f ca="1">IFERROR(__xludf.DUMMYFUNCTION("IMPORTRANGE(""https://docs.google.com/spreadsheets/d/1Yj_ptqi66GCucihVvJfMjLAmec39IyEx_6qawtMGysU/edit?usp=sharing"",""สบก!O29"")"),168500)</f>
        <v>168500</v>
      </c>
      <c r="M49" s="49">
        <f ca="1">L49</f>
        <v>168500</v>
      </c>
      <c r="N49" s="49">
        <f ca="1">IFERROR(__xludf.DUMMYFUNCTION("IMPORTRANGE(""https://docs.google.com/spreadsheets/d/1Yj_ptqi66GCucihVvJfMjLAmec39IyEx_6qawtMGysU/edit?usp=sharing"",""สบก!S29"")"),168500)</f>
        <v>168500</v>
      </c>
      <c r="O49" s="49">
        <f ca="1">IF(L49&gt;0,N49*100/L49,0)</f>
        <v>100</v>
      </c>
      <c r="P49" s="49">
        <f ca="1">IF(M49&gt;0,N49*100/M49,0)</f>
        <v>100</v>
      </c>
    </row>
    <row r="50" spans="1:16" ht="21.75" customHeight="1" x14ac:dyDescent="0.45">
      <c r="A50" s="97" t="s">
        <v>30</v>
      </c>
      <c r="B50" s="98"/>
      <c r="C50" s="98"/>
      <c r="D50" s="98"/>
      <c r="E50" s="98"/>
      <c r="F50" s="98"/>
      <c r="G50" s="98"/>
      <c r="H50" s="99"/>
      <c r="I50" s="100"/>
      <c r="J50" s="100"/>
      <c r="K50" s="101"/>
      <c r="L50" s="102"/>
      <c r="M50" s="102"/>
      <c r="N50" s="102"/>
      <c r="O50" s="101"/>
      <c r="P50" s="101"/>
    </row>
    <row r="51" spans="1:16" ht="21.75" customHeight="1" x14ac:dyDescent="0.45">
      <c r="A51" s="103"/>
      <c r="B51" s="104" t="s">
        <v>31</v>
      </c>
      <c r="C51" s="104"/>
      <c r="D51" s="104"/>
      <c r="E51" s="104"/>
      <c r="F51" s="104"/>
      <c r="G51" s="104"/>
      <c r="H51" s="105"/>
      <c r="I51" s="106"/>
      <c r="J51" s="106"/>
      <c r="K51" s="107"/>
      <c r="L51" s="108"/>
      <c r="M51" s="108"/>
      <c r="N51" s="108"/>
      <c r="O51" s="107"/>
      <c r="P51" s="107"/>
    </row>
    <row r="52" spans="1:16" ht="21.75" customHeight="1" x14ac:dyDescent="0.45">
      <c r="A52" s="109"/>
      <c r="B52" s="535" t="s">
        <v>32</v>
      </c>
      <c r="C52" s="530"/>
      <c r="D52" s="530"/>
      <c r="E52" s="530"/>
      <c r="F52" s="530"/>
      <c r="G52" s="530"/>
      <c r="H52" s="110"/>
      <c r="I52" s="111"/>
      <c r="J52" s="111"/>
      <c r="K52" s="112"/>
      <c r="L52" s="113"/>
      <c r="M52" s="113"/>
      <c r="N52" s="113"/>
      <c r="O52" s="112"/>
      <c r="P52" s="112"/>
    </row>
    <row r="53" spans="1:16" ht="21.75" customHeight="1" x14ac:dyDescent="0.45">
      <c r="A53" s="114"/>
      <c r="B53" s="115"/>
      <c r="C53" s="116" t="s">
        <v>16</v>
      </c>
      <c r="D53" s="536" t="s">
        <v>17</v>
      </c>
      <c r="E53" s="530"/>
      <c r="F53" s="530"/>
      <c r="G53" s="530"/>
      <c r="H53" s="117" t="s">
        <v>12</v>
      </c>
      <c r="I53" s="118"/>
      <c r="J53" s="118"/>
      <c r="K53" s="119"/>
      <c r="L53" s="120">
        <f t="shared" ref="L53:N53" ca="1" si="39">L54+L55</f>
        <v>564000</v>
      </c>
      <c r="M53" s="120">
        <f t="shared" ca="1" si="39"/>
        <v>299325</v>
      </c>
      <c r="N53" s="120">
        <f t="shared" ca="1" si="39"/>
        <v>228011</v>
      </c>
      <c r="O53" s="119">
        <f t="shared" ref="O53:O55" ca="1" si="40">IF(L53&gt;0,N53*100/L53,0)</f>
        <v>40.42748226950355</v>
      </c>
      <c r="P53" s="119">
        <f t="shared" ref="P53:P55" ca="1" si="41">IF(M53&gt;0,N53*100/M53,0)</f>
        <v>76.175060552910722</v>
      </c>
    </row>
    <row r="54" spans="1:16" ht="21.75" customHeight="1" x14ac:dyDescent="0.45">
      <c r="A54" s="114"/>
      <c r="B54" s="115"/>
      <c r="C54" s="115"/>
      <c r="D54" s="115"/>
      <c r="E54" s="115"/>
      <c r="F54" s="115"/>
      <c r="G54" s="116" t="s">
        <v>18</v>
      </c>
      <c r="H54" s="117" t="s">
        <v>12</v>
      </c>
      <c r="I54" s="118"/>
      <c r="J54" s="118"/>
      <c r="K54" s="119"/>
      <c r="L54" s="120">
        <f t="shared" ref="L54:N54" si="42">L56+L60</f>
        <v>0</v>
      </c>
      <c r="M54" s="120">
        <f t="shared" si="42"/>
        <v>0</v>
      </c>
      <c r="N54" s="120">
        <f t="shared" si="42"/>
        <v>0</v>
      </c>
      <c r="O54" s="119">
        <f t="shared" si="40"/>
        <v>0</v>
      </c>
      <c r="P54" s="119">
        <f t="shared" si="41"/>
        <v>0</v>
      </c>
    </row>
    <row r="55" spans="1:16" ht="21.75" customHeight="1" x14ac:dyDescent="0.45">
      <c r="A55" s="114"/>
      <c r="B55" s="115"/>
      <c r="C55" s="115"/>
      <c r="D55" s="115"/>
      <c r="E55" s="115"/>
      <c r="F55" s="115"/>
      <c r="G55" s="116" t="s">
        <v>19</v>
      </c>
      <c r="H55" s="117" t="s">
        <v>12</v>
      </c>
      <c r="I55" s="118"/>
      <c r="J55" s="118"/>
      <c r="K55" s="119"/>
      <c r="L55" s="120">
        <f t="shared" ref="L55:N55" ca="1" si="43">L57+L61</f>
        <v>564000</v>
      </c>
      <c r="M55" s="120">
        <f t="shared" ca="1" si="43"/>
        <v>299325</v>
      </c>
      <c r="N55" s="120">
        <f t="shared" ca="1" si="43"/>
        <v>228011</v>
      </c>
      <c r="O55" s="119">
        <f t="shared" ca="1" si="40"/>
        <v>40.42748226950355</v>
      </c>
      <c r="P55" s="119">
        <f t="shared" ca="1" si="41"/>
        <v>76.175060552910722</v>
      </c>
    </row>
    <row r="56" spans="1:16" ht="21.75" customHeight="1" x14ac:dyDescent="0.45">
      <c r="A56" s="79"/>
      <c r="B56" s="80"/>
      <c r="C56" s="81" t="s">
        <v>16</v>
      </c>
      <c r="D56" s="534" t="s">
        <v>20</v>
      </c>
      <c r="E56" s="530"/>
      <c r="F56" s="530"/>
      <c r="G56" s="82" t="s">
        <v>18</v>
      </c>
      <c r="H56" s="83" t="s">
        <v>12</v>
      </c>
      <c r="I56" s="84"/>
      <c r="J56" s="84"/>
      <c r="K56" s="85"/>
      <c r="L56" s="511">
        <v>0</v>
      </c>
      <c r="M56" s="510"/>
      <c r="N56" s="511"/>
      <c r="O56" s="511"/>
      <c r="P56" s="511"/>
    </row>
    <row r="57" spans="1:16" ht="21.75" customHeight="1" x14ac:dyDescent="0.45">
      <c r="A57" s="79"/>
      <c r="B57" s="80"/>
      <c r="C57" s="80"/>
      <c r="D57" s="80"/>
      <c r="E57" s="88"/>
      <c r="F57" s="89"/>
      <c r="G57" s="82" t="s">
        <v>19</v>
      </c>
      <c r="H57" s="83" t="s">
        <v>12</v>
      </c>
      <c r="I57" s="84"/>
      <c r="J57" s="84"/>
      <c r="K57" s="85"/>
      <c r="L57" s="38">
        <f ca="1">L58+L59</f>
        <v>564000</v>
      </c>
      <c r="M57" s="49">
        <f ca="1">IFERROR(__xludf.DUMMYFUNCTION("IMPORTRANGE(""https://docs.google.com/spreadsheets/d/1Yj_ptqi66GCucihVvJfMjLAmec39IyEx_6qawtMGysU/edit?usp=sharing"",""สบก!Z29"")"),299325)</f>
        <v>299325</v>
      </c>
      <c r="N57" s="49">
        <f ca="1">IFERROR(__xludf.DUMMYFUNCTION("IMPORTRANGE(""https://docs.google.com/spreadsheets/d/1Yj_ptqi66GCucihVvJfMjLAmec39IyEx_6qawtMGysU/edit?usp=sharing"",""สบก!AA29"")"),228011)</f>
        <v>228011</v>
      </c>
      <c r="O57" s="38">
        <f ca="1">IF(L57&gt;0,N57*100/L57,0)</f>
        <v>40.42748226950355</v>
      </c>
      <c r="P57" s="38">
        <f ca="1">IF(M57&gt;0,N57*100/M57,0)</f>
        <v>76.175060552910722</v>
      </c>
    </row>
    <row r="58" spans="1:16" ht="21.75" customHeight="1" x14ac:dyDescent="0.45">
      <c r="A58" s="79"/>
      <c r="B58" s="80"/>
      <c r="C58" s="80"/>
      <c r="D58" s="80"/>
      <c r="E58" s="88"/>
      <c r="F58" s="88"/>
      <c r="G58" s="82" t="s">
        <v>21</v>
      </c>
      <c r="H58" s="83" t="s">
        <v>12</v>
      </c>
      <c r="I58" s="84"/>
      <c r="J58" s="84"/>
      <c r="K58" s="85"/>
      <c r="L58" s="49">
        <f ca="1">IFERROR(__xludf.DUMMYFUNCTION("IMPORTRANGE(""https://docs.google.com/spreadsheets/d/1Yj_ptqi66GCucihVvJfMjLAmec39IyEx_6qawtMGysU/edit?usp=sharing"",""สบก!V29"")"),564000)</f>
        <v>564000</v>
      </c>
      <c r="M58" s="41"/>
      <c r="N58" s="38"/>
      <c r="O58" s="38"/>
      <c r="P58" s="38"/>
    </row>
    <row r="59" spans="1:16" ht="21.75" customHeight="1" x14ac:dyDescent="0.45">
      <c r="A59" s="79"/>
      <c r="B59" s="80"/>
      <c r="C59" s="80"/>
      <c r="D59" s="80"/>
      <c r="E59" s="88"/>
      <c r="F59" s="88"/>
      <c r="G59" s="82" t="s">
        <v>22</v>
      </c>
      <c r="H59" s="83" t="s">
        <v>12</v>
      </c>
      <c r="I59" s="84"/>
      <c r="J59" s="84"/>
      <c r="K59" s="85"/>
      <c r="L59" s="49">
        <f ca="1">IFERROR(__xludf.DUMMYFUNCTION("IMPORTRANGE(""https://docs.google.com/spreadsheets/d/1Yj_ptqi66GCucihVvJfMjLAmec39IyEx_6qawtMGysU/edit?usp=sharing"",""สบก!W29"")"),0)</f>
        <v>0</v>
      </c>
      <c r="M59" s="41"/>
      <c r="N59" s="38"/>
      <c r="O59" s="38"/>
      <c r="P59" s="38"/>
    </row>
    <row r="60" spans="1:16" ht="21.75" customHeight="1" x14ac:dyDescent="0.45">
      <c r="A60" s="79"/>
      <c r="B60" s="80"/>
      <c r="C60" s="81" t="s">
        <v>16</v>
      </c>
      <c r="D60" s="534" t="s">
        <v>23</v>
      </c>
      <c r="E60" s="530"/>
      <c r="F60" s="88"/>
      <c r="G60" s="82" t="s">
        <v>18</v>
      </c>
      <c r="H60" s="83" t="s">
        <v>12</v>
      </c>
      <c r="I60" s="84"/>
      <c r="J60" s="84"/>
      <c r="K60" s="85"/>
      <c r="L60" s="50">
        <v>0</v>
      </c>
      <c r="M60" s="41"/>
      <c r="N60" s="41"/>
      <c r="O60" s="41"/>
      <c r="P60" s="41"/>
    </row>
    <row r="61" spans="1:16" ht="21.75" customHeight="1" x14ac:dyDescent="0.45">
      <c r="A61" s="90"/>
      <c r="B61" s="91"/>
      <c r="C61" s="91"/>
      <c r="D61" s="91"/>
      <c r="E61" s="92"/>
      <c r="F61" s="92"/>
      <c r="G61" s="93" t="s">
        <v>19</v>
      </c>
      <c r="H61" s="94" t="s">
        <v>12</v>
      </c>
      <c r="I61" s="95"/>
      <c r="J61" s="95"/>
      <c r="K61" s="96"/>
      <c r="L61" s="49">
        <f ca="1">IFERROR(__xludf.DUMMYFUNCTION("IMPORTRANGE(""https://docs.google.com/spreadsheets/d/1Yj_ptqi66GCucihVvJfMjLAmec39IyEx_6qawtMGysU/edit?usp=sharing"",""สบก!X29"")"),0)</f>
        <v>0</v>
      </c>
      <c r="M61" s="49"/>
      <c r="N61" s="49">
        <f ca="1">IFERROR(__xludf.DUMMYFUNCTION("IMPORTRANGE(""https://docs.google.com/spreadsheets/d/1Yj_ptqi66GCucihVvJfMjLAmec39IyEx_6qawtMGysU/edit?usp=sharing"",""สบก!AB29"")"),0)</f>
        <v>0</v>
      </c>
      <c r="O61" s="49">
        <f ca="1">IF(L61&gt;0,N61*100/L61,0)</f>
        <v>0</v>
      </c>
      <c r="P61" s="49"/>
    </row>
    <row r="62" spans="1:16" ht="21.75" customHeight="1" x14ac:dyDescent="0.3">
      <c r="A62" s="121" t="s">
        <v>33</v>
      </c>
      <c r="B62" s="122"/>
      <c r="C62" s="122"/>
      <c r="D62" s="122"/>
      <c r="E62" s="123"/>
      <c r="F62" s="123"/>
      <c r="G62" s="123"/>
      <c r="H62" s="124"/>
      <c r="I62" s="125"/>
      <c r="J62" s="125"/>
      <c r="K62" s="126"/>
      <c r="L62" s="127"/>
      <c r="M62" s="127"/>
      <c r="N62" s="127"/>
      <c r="O62" s="127"/>
      <c r="P62" s="127"/>
    </row>
    <row r="63" spans="1:16" ht="21.75" customHeight="1" x14ac:dyDescent="0.3">
      <c r="A63" s="128" t="s">
        <v>34</v>
      </c>
      <c r="B63" s="129"/>
      <c r="C63" s="130"/>
      <c r="D63" s="129"/>
      <c r="E63" s="131"/>
      <c r="F63" s="131"/>
      <c r="G63" s="131"/>
      <c r="H63" s="132"/>
      <c r="I63" s="133"/>
      <c r="J63" s="133"/>
      <c r="K63" s="134"/>
      <c r="L63" s="135"/>
      <c r="M63" s="135"/>
      <c r="N63" s="135"/>
      <c r="O63" s="136"/>
      <c r="P63" s="136"/>
    </row>
    <row r="64" spans="1:16" ht="21.75" customHeight="1" x14ac:dyDescent="0.3">
      <c r="A64" s="137"/>
      <c r="B64" s="138" t="s">
        <v>35</v>
      </c>
      <c r="C64" s="138"/>
      <c r="D64" s="139"/>
      <c r="E64" s="138"/>
      <c r="F64" s="138"/>
      <c r="G64" s="138"/>
      <c r="H64" s="140" t="s">
        <v>36</v>
      </c>
      <c r="I64" s="141">
        <f ca="1">IFERROR(__xludf.DUMMYFUNCTION("IMPORTRANGE(""https://docs.google.com/spreadsheets/d/11923uPwbBZFjjGgGUA6NLw09EwE0CqkOc4q9oUmW1yo/edit?usp=sharing"",""เพชรบูรณ์!I9"")"),1)</f>
        <v>1</v>
      </c>
      <c r="J64" s="141">
        <f ca="1">IFERROR(__xludf.DUMMYFUNCTION("IMPORTRANGE(""https://docs.google.com/spreadsheets/d/11923uPwbBZFjjGgGUA6NLw09EwE0CqkOc4q9oUmW1yo/edit?usp=sharing"",""เพชรบูรณ์!J9"")"),1)</f>
        <v>1</v>
      </c>
      <c r="K64" s="142">
        <f t="shared" ref="K64:K65" ca="1" si="44">IF(I64&gt;0,J64*100/I64,0)</f>
        <v>100</v>
      </c>
      <c r="L64" s="143"/>
      <c r="M64" s="143"/>
      <c r="N64" s="144"/>
      <c r="O64" s="142"/>
      <c r="P64" s="142"/>
    </row>
    <row r="65" spans="1:16" ht="21.75" customHeight="1" x14ac:dyDescent="0.3">
      <c r="A65" s="137"/>
      <c r="B65" s="138"/>
      <c r="C65" s="138"/>
      <c r="D65" s="139"/>
      <c r="E65" s="138"/>
      <c r="F65" s="138"/>
      <c r="G65" s="138"/>
      <c r="H65" s="140" t="s">
        <v>37</v>
      </c>
      <c r="I65" s="141">
        <f ca="1">IFERROR(__xludf.DUMMYFUNCTION("IMPORTRANGE(""https://docs.google.com/spreadsheets/d/11923uPwbBZFjjGgGUA6NLw09EwE0CqkOc4q9oUmW1yo/edit?usp=sharing"",""เพชรบูรณ์!I10"")"),35)</f>
        <v>35</v>
      </c>
      <c r="J65" s="141">
        <f ca="1">IFERROR(__xludf.DUMMYFUNCTION("IMPORTRANGE(""https://docs.google.com/spreadsheets/d/11923uPwbBZFjjGgGUA6NLw09EwE0CqkOc4q9oUmW1yo/edit?usp=sharing"",""เพชรบูรณ์!J10"")"),35)</f>
        <v>35</v>
      </c>
      <c r="K65" s="142">
        <f t="shared" ca="1" si="44"/>
        <v>100</v>
      </c>
      <c r="L65" s="144"/>
      <c r="M65" s="144"/>
      <c r="N65" s="144"/>
      <c r="O65" s="142"/>
      <c r="P65" s="142"/>
    </row>
    <row r="66" spans="1:16" ht="21.75" customHeight="1" x14ac:dyDescent="0.45">
      <c r="A66" s="145"/>
      <c r="B66" s="146"/>
      <c r="C66" s="147" t="s">
        <v>16</v>
      </c>
      <c r="D66" s="537" t="s">
        <v>17</v>
      </c>
      <c r="E66" s="528"/>
      <c r="F66" s="528"/>
      <c r="G66" s="528"/>
      <c r="H66" s="148" t="s">
        <v>12</v>
      </c>
      <c r="I66" s="149"/>
      <c r="J66" s="149"/>
      <c r="K66" s="150"/>
      <c r="L66" s="151">
        <f t="shared" ref="L66:N66" ca="1" si="45">L67+L68</f>
        <v>577500</v>
      </c>
      <c r="M66" s="151">
        <f t="shared" ca="1" si="45"/>
        <v>325420</v>
      </c>
      <c r="N66" s="151">
        <f t="shared" ca="1" si="45"/>
        <v>230993</v>
      </c>
      <c r="O66" s="150">
        <f t="shared" ref="O66:O68" ca="1" si="46">IF(L66&gt;0,N66*100/L66,0)</f>
        <v>39.99878787878788</v>
      </c>
      <c r="P66" s="150">
        <f t="shared" ref="P66:P68" ca="1" si="47">IF(M66&gt;0,N66*100/M66,0)</f>
        <v>70.98303730563579</v>
      </c>
    </row>
    <row r="67" spans="1:16" ht="21.75" customHeight="1" x14ac:dyDescent="0.45">
      <c r="A67" s="152"/>
      <c r="B67" s="32"/>
      <c r="C67" s="32"/>
      <c r="D67" s="32"/>
      <c r="E67" s="32"/>
      <c r="F67" s="32"/>
      <c r="G67" s="33" t="s">
        <v>18</v>
      </c>
      <c r="H67" s="153" t="s">
        <v>12</v>
      </c>
      <c r="I67" s="154"/>
      <c r="J67" s="154"/>
      <c r="K67" s="155"/>
      <c r="L67" s="87">
        <f t="shared" ref="L67:N67" si="48">L69+L73</f>
        <v>0</v>
      </c>
      <c r="M67" s="87">
        <f t="shared" si="48"/>
        <v>0</v>
      </c>
      <c r="N67" s="87">
        <f t="shared" si="48"/>
        <v>0</v>
      </c>
      <c r="O67" s="155">
        <f t="shared" si="46"/>
        <v>0</v>
      </c>
      <c r="P67" s="155">
        <f t="shared" si="47"/>
        <v>0</v>
      </c>
    </row>
    <row r="68" spans="1:16" ht="21.75" customHeight="1" x14ac:dyDescent="0.45">
      <c r="A68" s="152"/>
      <c r="B68" s="32"/>
      <c r="C68" s="32"/>
      <c r="D68" s="32"/>
      <c r="E68" s="32"/>
      <c r="F68" s="32"/>
      <c r="G68" s="33" t="s">
        <v>19</v>
      </c>
      <c r="H68" s="153" t="s">
        <v>12</v>
      </c>
      <c r="I68" s="154"/>
      <c r="J68" s="154"/>
      <c r="K68" s="155"/>
      <c r="L68" s="87">
        <f t="shared" ref="L68:N68" ca="1" si="49">L70+L74</f>
        <v>577500</v>
      </c>
      <c r="M68" s="87">
        <f t="shared" ca="1" si="49"/>
        <v>325420</v>
      </c>
      <c r="N68" s="87">
        <f t="shared" ca="1" si="49"/>
        <v>230993</v>
      </c>
      <c r="O68" s="155">
        <f t="shared" ca="1" si="46"/>
        <v>39.99878787878788</v>
      </c>
      <c r="P68" s="155">
        <f t="shared" ca="1" si="47"/>
        <v>70.98303730563579</v>
      </c>
    </row>
    <row r="69" spans="1:16" ht="21.75" customHeight="1" x14ac:dyDescent="0.3">
      <c r="A69" s="156"/>
      <c r="B69" s="157"/>
      <c r="C69" s="157" t="s">
        <v>16</v>
      </c>
      <c r="D69" s="158" t="s">
        <v>38</v>
      </c>
      <c r="E69" s="159"/>
      <c r="F69" s="159"/>
      <c r="G69" s="160" t="s">
        <v>39</v>
      </c>
      <c r="H69" s="161" t="s">
        <v>12</v>
      </c>
      <c r="I69" s="162" t="s">
        <v>40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3">
      <c r="A70" s="156"/>
      <c r="B70" s="157"/>
      <c r="C70" s="157"/>
      <c r="D70" s="166"/>
      <c r="E70" s="159"/>
      <c r="F70" s="159" t="s">
        <v>40</v>
      </c>
      <c r="G70" s="160" t="s">
        <v>41</v>
      </c>
      <c r="H70" s="161" t="s">
        <v>12</v>
      </c>
      <c r="I70" s="162"/>
      <c r="J70" s="162"/>
      <c r="K70" s="163"/>
      <c r="L70" s="167">
        <f ca="1">L71+L72</f>
        <v>577500</v>
      </c>
      <c r="M70" s="167">
        <f ca="1">IFERROR(__xludf.DUMMYFUNCTION("IMPORTRANGE(""https://docs.google.com/spreadsheets/d/1Yj_ptqi66GCucihVvJfMjLAmec39IyEx_6qawtMGysU/edit?usp=sharing"",""สบก!AI29"")"),325420)</f>
        <v>325420</v>
      </c>
      <c r="N70" s="168">
        <f ca="1">IFERROR(__xludf.DUMMYFUNCTION("IMPORTRANGE(""https://docs.google.com/spreadsheets/d/1Yj_ptqi66GCucihVvJfMjLAmec39IyEx_6qawtMGysU/edit?usp=sharing"",""สบก!AJ29"")"),230993)</f>
        <v>230993</v>
      </c>
      <c r="O70" s="168">
        <f ca="1">IF(L70&gt;0,N70*100/L70,0)</f>
        <v>39.99878787878788</v>
      </c>
      <c r="P70" s="168">
        <f ca="1">IF(M70&gt;0,N70*100/M70,0)</f>
        <v>70.98303730563579</v>
      </c>
    </row>
    <row r="71" spans="1:16" ht="21.75" customHeight="1" x14ac:dyDescent="0.3">
      <c r="A71" s="156"/>
      <c r="B71" s="157"/>
      <c r="C71" s="157"/>
      <c r="D71" s="166"/>
      <c r="E71" s="159"/>
      <c r="F71" s="159"/>
      <c r="G71" s="169" t="s">
        <v>42</v>
      </c>
      <c r="H71" s="161" t="s">
        <v>12</v>
      </c>
      <c r="I71" s="162"/>
      <c r="J71" s="162"/>
      <c r="K71" s="163"/>
      <c r="L71" s="167">
        <f ca="1">IFERROR(__xludf.DUMMYFUNCTION("IMPORTRANGE(""https://docs.google.com/spreadsheets/d/1Yj_ptqi66GCucihVvJfMjLAmec39IyEx_6qawtMGysU/edit?usp=sharing"",""สบก!AE29"")"),179500)</f>
        <v>179500</v>
      </c>
      <c r="M71" s="167"/>
      <c r="N71" s="167"/>
      <c r="O71" s="168"/>
      <c r="P71" s="168"/>
    </row>
    <row r="72" spans="1:16" ht="21.75" customHeight="1" x14ac:dyDescent="0.3">
      <c r="A72" s="156"/>
      <c r="B72" s="157"/>
      <c r="C72" s="157"/>
      <c r="D72" s="166"/>
      <c r="E72" s="159"/>
      <c r="F72" s="159"/>
      <c r="G72" s="169" t="s">
        <v>43</v>
      </c>
      <c r="H72" s="161" t="s">
        <v>12</v>
      </c>
      <c r="I72" s="162"/>
      <c r="J72" s="162"/>
      <c r="K72" s="163"/>
      <c r="L72" s="167">
        <f ca="1">IFERROR(__xludf.DUMMYFUNCTION("IMPORTRANGE(""https://docs.google.com/spreadsheets/d/1Yj_ptqi66GCucihVvJfMjLAmec39IyEx_6qawtMGysU/edit?usp=sharing"",""สบก!AF29"")"),398000)</f>
        <v>398000</v>
      </c>
      <c r="M72" s="167"/>
      <c r="N72" s="167"/>
      <c r="O72" s="168"/>
      <c r="P72" s="168"/>
    </row>
    <row r="73" spans="1:16" ht="21.75" customHeight="1" x14ac:dyDescent="0.45">
      <c r="A73" s="170"/>
      <c r="B73" s="80"/>
      <c r="C73" s="81" t="s">
        <v>16</v>
      </c>
      <c r="D73" s="534" t="s">
        <v>23</v>
      </c>
      <c r="E73" s="530"/>
      <c r="F73" s="88"/>
      <c r="G73" s="82" t="s">
        <v>18</v>
      </c>
      <c r="H73" s="171" t="s">
        <v>12</v>
      </c>
      <c r="I73" s="84"/>
      <c r="J73" s="84"/>
      <c r="K73" s="85"/>
      <c r="L73" s="41">
        <v>0</v>
      </c>
      <c r="M73" s="41"/>
      <c r="N73" s="41"/>
      <c r="O73" s="41"/>
      <c r="P73" s="41"/>
    </row>
    <row r="74" spans="1:16" ht="21.75" customHeight="1" x14ac:dyDescent="0.45">
      <c r="A74" s="172"/>
      <c r="B74" s="91"/>
      <c r="C74" s="91"/>
      <c r="D74" s="173"/>
      <c r="E74" s="92"/>
      <c r="F74" s="92"/>
      <c r="G74" s="93" t="s">
        <v>19</v>
      </c>
      <c r="H74" s="174" t="s">
        <v>12</v>
      </c>
      <c r="I74" s="95"/>
      <c r="J74" s="95"/>
      <c r="K74" s="96"/>
      <c r="L74" s="49">
        <f ca="1">IFERROR(__xludf.DUMMYFUNCTION("IMPORTRANGE(""https://docs.google.com/spreadsheets/d/1Yj_ptqi66GCucihVvJfMjLAmec39IyEx_6qawtMGysU/edit?usp=sharing"",""สบก!AG29"")"),0)</f>
        <v>0</v>
      </c>
      <c r="M74" s="49"/>
      <c r="N74" s="49">
        <f ca="1">IFERROR(__xludf.DUMMYFUNCTION("IMPORTRANGE(""https://docs.google.com/spreadsheets/d/1Yj_ptqi66GCucihVvJfMjLAmec39IyEx_6qawtMGysU/edit?usp=sharing"",""สบก!AK29"")"),0)</f>
        <v>0</v>
      </c>
      <c r="O74" s="49">
        <f ca="1">IF(L74&gt;0,N74*100/L74,0)</f>
        <v>0</v>
      </c>
      <c r="P74" s="49"/>
    </row>
    <row r="75" spans="1:16" ht="21.75" customHeight="1" x14ac:dyDescent="0.3">
      <c r="A75" s="175"/>
      <c r="B75" s="176"/>
      <c r="C75" s="157" t="s">
        <v>16</v>
      </c>
      <c r="D75" s="177" t="s">
        <v>44</v>
      </c>
      <c r="E75" s="178"/>
      <c r="F75" s="178"/>
      <c r="G75" s="179"/>
      <c r="H75" s="180"/>
      <c r="I75" s="162"/>
      <c r="J75" s="162"/>
      <c r="K75" s="163"/>
      <c r="L75" s="181"/>
      <c r="M75" s="181"/>
      <c r="N75" s="181"/>
      <c r="O75" s="181"/>
      <c r="P75" s="181"/>
    </row>
    <row r="76" spans="1:16" ht="21.75" customHeight="1" x14ac:dyDescent="0.3">
      <c r="A76" s="175"/>
      <c r="B76" s="176"/>
      <c r="C76" s="176"/>
      <c r="D76" s="182">
        <v>1</v>
      </c>
      <c r="E76" s="183" t="s">
        <v>45</v>
      </c>
      <c r="F76" s="184"/>
      <c r="G76" s="185"/>
      <c r="H76" s="186"/>
      <c r="I76" s="187"/>
      <c r="J76" s="188">
        <f ca="1">IFERROR(__xludf.DUMMYFUNCTION("IMPORTRANGE(""https://docs.google.com/spreadsheets/d/11923uPwbBZFjjGgGUA6NLw09EwE0CqkOc4q9oUmW1yo/edit?usp=sharing"",""เพชรบูรณ์!J16"")"),0)</f>
        <v>0</v>
      </c>
      <c r="K76" s="163"/>
      <c r="L76" s="181"/>
      <c r="M76" s="181"/>
      <c r="N76" s="181"/>
      <c r="O76" s="181"/>
      <c r="P76" s="181"/>
    </row>
    <row r="77" spans="1:16" ht="21.75" customHeight="1" x14ac:dyDescent="0.3">
      <c r="A77" s="175"/>
      <c r="B77" s="176"/>
      <c r="C77" s="176"/>
      <c r="D77" s="189">
        <v>2</v>
      </c>
      <c r="E77" s="190" t="s">
        <v>46</v>
      </c>
      <c r="F77" s="191"/>
      <c r="G77" s="192"/>
      <c r="H77" s="186"/>
      <c r="I77" s="187"/>
      <c r="J77" s="188">
        <f ca="1">IFERROR(__xludf.DUMMYFUNCTION("IMPORTRANGE(""https://docs.google.com/spreadsheets/d/11923uPwbBZFjjGgGUA6NLw09EwE0CqkOc4q9oUmW1yo/edit?usp=sharing"",""เพชรบูรณ์!J17"")"),1)</f>
        <v>1</v>
      </c>
      <c r="K77" s="163"/>
      <c r="L77" s="181" t="s">
        <v>40</v>
      </c>
      <c r="M77" s="181"/>
      <c r="N77" s="181" t="s">
        <v>40</v>
      </c>
      <c r="O77" s="181"/>
      <c r="P77" s="181"/>
    </row>
    <row r="78" spans="1:16" ht="21.75" customHeight="1" x14ac:dyDescent="0.3">
      <c r="A78" s="175"/>
      <c r="B78" s="176"/>
      <c r="C78" s="176"/>
      <c r="D78" s="193"/>
      <c r="E78" s="194" t="s">
        <v>47</v>
      </c>
      <c r="F78" s="195"/>
      <c r="G78" s="196"/>
      <c r="H78" s="186"/>
      <c r="I78" s="187"/>
      <c r="J78" s="188">
        <f ca="1">IFERROR(__xludf.DUMMYFUNCTION("IMPORTRANGE(""https://docs.google.com/spreadsheets/d/11923uPwbBZFjjGgGUA6NLw09EwE0CqkOc4q9oUmW1yo/edit?usp=sharing"",""เพชรบูรณ์!J18"")"),1)</f>
        <v>1</v>
      </c>
      <c r="K78" s="163"/>
      <c r="L78" s="181"/>
      <c r="M78" s="181"/>
      <c r="N78" s="181"/>
      <c r="O78" s="181"/>
      <c r="P78" s="181"/>
    </row>
    <row r="79" spans="1:16" ht="21.75" customHeight="1" x14ac:dyDescent="0.3">
      <c r="A79" s="175"/>
      <c r="B79" s="176"/>
      <c r="C79" s="176"/>
      <c r="D79" s="193"/>
      <c r="E79" s="194" t="s">
        <v>48</v>
      </c>
      <c r="F79" s="195"/>
      <c r="G79" s="196"/>
      <c r="H79" s="186"/>
      <c r="I79" s="187"/>
      <c r="J79" s="197">
        <f ca="1">IFERROR(__xludf.DUMMYFUNCTION("IMPORTRANGE(""https://docs.google.com/spreadsheets/d/11923uPwbBZFjjGgGUA6NLw09EwE0CqkOc4q9oUmW1yo/edit?usp=sharing"",""เพชรบูรณ์!J19"")"),1)</f>
        <v>1</v>
      </c>
      <c r="K79" s="163"/>
      <c r="L79" s="181"/>
      <c r="M79" s="181"/>
      <c r="N79" s="181"/>
      <c r="O79" s="181"/>
      <c r="P79" s="181"/>
    </row>
    <row r="80" spans="1:16" ht="21.75" customHeight="1" x14ac:dyDescent="0.3">
      <c r="A80" s="175"/>
      <c r="B80" s="176"/>
      <c r="C80" s="176"/>
      <c r="D80" s="193"/>
      <c r="E80" s="198"/>
      <c r="F80" s="194" t="s">
        <v>49</v>
      </c>
      <c r="G80" s="195"/>
      <c r="H80" s="199" t="s">
        <v>36</v>
      </c>
      <c r="I80" s="200">
        <f ca="1">IFERROR(__xludf.DUMMYFUNCTION("IMPORTRANGE(""https://docs.google.com/spreadsheets/d/11923uPwbBZFjjGgGUA6NLw09EwE0CqkOc4q9oUmW1yo/edit?usp=sharing"",""เพชรบูรณ์!I20"")"),1)</f>
        <v>1</v>
      </c>
      <c r="J80" s="200">
        <f ca="1">IFERROR(__xludf.DUMMYFUNCTION("IMPORTRANGE(""https://docs.google.com/spreadsheets/d/11923uPwbBZFjjGgGUA6NLw09EwE0CqkOc4q9oUmW1yo/edit?usp=sharing"",""เพชรบูรณ์!J20"")"),1)</f>
        <v>1</v>
      </c>
      <c r="K80" s="201">
        <f t="shared" ref="K80:K88" ca="1" si="50">IF(I80&gt;0,J80*100/I80,0)</f>
        <v>100</v>
      </c>
      <c r="L80" s="181"/>
      <c r="M80" s="181"/>
      <c r="N80" s="181"/>
      <c r="O80" s="181"/>
      <c r="P80" s="181"/>
    </row>
    <row r="81" spans="1:16" ht="21.75" customHeight="1" x14ac:dyDescent="0.3">
      <c r="A81" s="175"/>
      <c r="B81" s="176"/>
      <c r="C81" s="176"/>
      <c r="D81" s="193"/>
      <c r="E81" s="198"/>
      <c r="F81" s="195"/>
      <c r="G81" s="196"/>
      <c r="H81" s="199" t="s">
        <v>37</v>
      </c>
      <c r="I81" s="200">
        <f ca="1">IFERROR(__xludf.DUMMYFUNCTION("IMPORTRANGE(""https://docs.google.com/spreadsheets/d/11923uPwbBZFjjGgGUA6NLw09EwE0CqkOc4q9oUmW1yo/edit?usp=sharing"",""เพชรบูรณ์!I21"")"),35)</f>
        <v>35</v>
      </c>
      <c r="J81" s="200">
        <f ca="1">IFERROR(__xludf.DUMMYFUNCTION("IMPORTRANGE(""https://docs.google.com/spreadsheets/d/11923uPwbBZFjjGgGUA6NLw09EwE0CqkOc4q9oUmW1yo/edit?usp=sharing"",""เพชรบูรณ์!J21"")"),35)</f>
        <v>35</v>
      </c>
      <c r="K81" s="201">
        <f t="shared" ca="1" si="50"/>
        <v>100</v>
      </c>
      <c r="L81" s="181"/>
      <c r="M81" s="181"/>
      <c r="N81" s="181"/>
      <c r="O81" s="181"/>
      <c r="P81" s="181"/>
    </row>
    <row r="82" spans="1:16" ht="21.75" customHeight="1" x14ac:dyDescent="0.3">
      <c r="A82" s="175"/>
      <c r="B82" s="176"/>
      <c r="C82" s="176"/>
      <c r="D82" s="193"/>
      <c r="E82" s="198"/>
      <c r="F82" s="195"/>
      <c r="G82" s="195" t="s">
        <v>50</v>
      </c>
      <c r="H82" s="180" t="s">
        <v>36</v>
      </c>
      <c r="I82" s="202">
        <f ca="1">IFERROR(__xludf.DUMMYFUNCTION("IMPORTRANGE(""https://docs.google.com/spreadsheets/d/11923uPwbBZFjjGgGUA6NLw09EwE0CqkOc4q9oUmW1yo/edit?usp=sharing"",""เพชรบูรณ์!I22"")"),0)</f>
        <v>0</v>
      </c>
      <c r="J82" s="203">
        <f ca="1">IFERROR(__xludf.DUMMYFUNCTION("IMPORTRANGE(""https://docs.google.com/spreadsheets/d/11923uPwbBZFjjGgGUA6NLw09EwE0CqkOc4q9oUmW1yo/edit?usp=sharing"",""เพชรบูรณ์!J22"")"),0)</f>
        <v>0</v>
      </c>
      <c r="K82" s="163">
        <f t="shared" ca="1" si="50"/>
        <v>0</v>
      </c>
      <c r="L82" s="181"/>
      <c r="M82" s="181"/>
      <c r="N82" s="181"/>
      <c r="O82" s="181"/>
      <c r="P82" s="181"/>
    </row>
    <row r="83" spans="1:16" ht="21.75" customHeight="1" x14ac:dyDescent="0.3">
      <c r="A83" s="175"/>
      <c r="B83" s="176"/>
      <c r="C83" s="176"/>
      <c r="D83" s="193"/>
      <c r="E83" s="198"/>
      <c r="F83" s="195"/>
      <c r="G83" s="196"/>
      <c r="H83" s="180" t="s">
        <v>37</v>
      </c>
      <c r="I83" s="202">
        <f ca="1">IFERROR(__xludf.DUMMYFUNCTION("IMPORTRANGE(""https://docs.google.com/spreadsheets/d/11923uPwbBZFjjGgGUA6NLw09EwE0CqkOc4q9oUmW1yo/edit?usp=sharing"",""เพชรบูรณ์!I23"")"),0)</f>
        <v>0</v>
      </c>
      <c r="J83" s="203">
        <f ca="1">IFERROR(__xludf.DUMMYFUNCTION("IMPORTRANGE(""https://docs.google.com/spreadsheets/d/11923uPwbBZFjjGgGUA6NLw09EwE0CqkOc4q9oUmW1yo/edit?usp=sharing"",""เพชรบูรณ์!J23"")"),0)</f>
        <v>0</v>
      </c>
      <c r="K83" s="163">
        <f t="shared" ca="1" si="50"/>
        <v>0</v>
      </c>
      <c r="L83" s="181"/>
      <c r="M83" s="181"/>
      <c r="N83" s="181"/>
      <c r="O83" s="181"/>
      <c r="P83" s="181"/>
    </row>
    <row r="84" spans="1:16" ht="21.75" customHeight="1" x14ac:dyDescent="0.3">
      <c r="A84" s="175"/>
      <c r="B84" s="176"/>
      <c r="C84" s="176"/>
      <c r="D84" s="193"/>
      <c r="E84" s="198"/>
      <c r="F84" s="195"/>
      <c r="G84" s="195" t="s">
        <v>51</v>
      </c>
      <c r="H84" s="180" t="s">
        <v>36</v>
      </c>
      <c r="I84" s="202">
        <f ca="1">IFERROR(__xludf.DUMMYFUNCTION("IMPORTRANGE(""https://docs.google.com/spreadsheets/d/11923uPwbBZFjjGgGUA6NLw09EwE0CqkOc4q9oUmW1yo/edit?usp=sharing"",""เพชรบูรณ์!I24"")"),1)</f>
        <v>1</v>
      </c>
      <c r="J84" s="188">
        <f ca="1">IFERROR(__xludf.DUMMYFUNCTION("IMPORTRANGE(""https://docs.google.com/spreadsheets/d/11923uPwbBZFjjGgGUA6NLw09EwE0CqkOc4q9oUmW1yo/edit?usp=sharing"",""เพชรบูรณ์!J24"")"),1)</f>
        <v>1</v>
      </c>
      <c r="K84" s="163">
        <f t="shared" ca="1" si="50"/>
        <v>100</v>
      </c>
      <c r="L84" s="181"/>
      <c r="M84" s="181"/>
      <c r="N84" s="181"/>
      <c r="O84" s="181"/>
      <c r="P84" s="181"/>
    </row>
    <row r="85" spans="1:16" ht="21.75" customHeight="1" x14ac:dyDescent="0.3">
      <c r="A85" s="175"/>
      <c r="B85" s="176"/>
      <c r="C85" s="176"/>
      <c r="D85" s="193"/>
      <c r="E85" s="198"/>
      <c r="F85" s="195"/>
      <c r="G85" s="196"/>
      <c r="H85" s="180" t="s">
        <v>37</v>
      </c>
      <c r="I85" s="202">
        <f ca="1">IFERROR(__xludf.DUMMYFUNCTION("IMPORTRANGE(""https://docs.google.com/spreadsheets/d/11923uPwbBZFjjGgGUA6NLw09EwE0CqkOc4q9oUmW1yo/edit?usp=sharing"",""เพชรบูรณ์!I25"")"),35)</f>
        <v>35</v>
      </c>
      <c r="J85" s="188">
        <f ca="1">IFERROR(__xludf.DUMMYFUNCTION("IMPORTRANGE(""https://docs.google.com/spreadsheets/d/11923uPwbBZFjjGgGUA6NLw09EwE0CqkOc4q9oUmW1yo/edit?usp=sharing"",""เพชรบูรณ์!J25"")"),35)</f>
        <v>35</v>
      </c>
      <c r="K85" s="163">
        <f t="shared" ca="1" si="50"/>
        <v>100</v>
      </c>
      <c r="L85" s="181"/>
      <c r="M85" s="181"/>
      <c r="N85" s="181"/>
      <c r="O85" s="181"/>
      <c r="P85" s="181"/>
    </row>
    <row r="86" spans="1:16" ht="21.75" customHeight="1" x14ac:dyDescent="0.3">
      <c r="A86" s="175"/>
      <c r="B86" s="176"/>
      <c r="C86" s="176"/>
      <c r="D86" s="193"/>
      <c r="E86" s="198"/>
      <c r="F86" s="195"/>
      <c r="G86" s="195" t="s">
        <v>52</v>
      </c>
      <c r="H86" s="180" t="s">
        <v>36</v>
      </c>
      <c r="I86" s="202">
        <f ca="1">IFERROR(__xludf.DUMMYFUNCTION("IMPORTRANGE(""https://docs.google.com/spreadsheets/d/11923uPwbBZFjjGgGUA6NLw09EwE0CqkOc4q9oUmW1yo/edit?usp=sharing"",""เพชรบูรณ์!I26"")"),0)</f>
        <v>0</v>
      </c>
      <c r="J86" s="203">
        <f ca="1">IFERROR(__xludf.DUMMYFUNCTION("IMPORTRANGE(""https://docs.google.com/spreadsheets/d/11923uPwbBZFjjGgGUA6NLw09EwE0CqkOc4q9oUmW1yo/edit?usp=sharing"",""เพชรบูรณ์!J26"")"),0)</f>
        <v>0</v>
      </c>
      <c r="K86" s="163">
        <f t="shared" ca="1" si="50"/>
        <v>0</v>
      </c>
      <c r="L86" s="181"/>
      <c r="M86" s="181"/>
      <c r="N86" s="181"/>
      <c r="O86" s="181"/>
      <c r="P86" s="181"/>
    </row>
    <row r="87" spans="1:16" ht="21.75" customHeight="1" x14ac:dyDescent="0.3">
      <c r="A87" s="175"/>
      <c r="B87" s="176"/>
      <c r="C87" s="176"/>
      <c r="D87" s="193"/>
      <c r="E87" s="198"/>
      <c r="F87" s="195"/>
      <c r="G87" s="196"/>
      <c r="H87" s="180" t="s">
        <v>37</v>
      </c>
      <c r="I87" s="202">
        <f ca="1">IFERROR(__xludf.DUMMYFUNCTION("IMPORTRANGE(""https://docs.google.com/spreadsheets/d/11923uPwbBZFjjGgGUA6NLw09EwE0CqkOc4q9oUmW1yo/edit?usp=sharing"",""เพชรบูรณ์!I27"")"),0)</f>
        <v>0</v>
      </c>
      <c r="J87" s="203">
        <f ca="1">IFERROR(__xludf.DUMMYFUNCTION("IMPORTRANGE(""https://docs.google.com/spreadsheets/d/11923uPwbBZFjjGgGUA6NLw09EwE0CqkOc4q9oUmW1yo/edit?usp=sharing"",""เพชรบูรณ์!J27"")"),0)</f>
        <v>0</v>
      </c>
      <c r="K87" s="163">
        <f t="shared" ca="1" si="50"/>
        <v>0</v>
      </c>
      <c r="L87" s="181"/>
      <c r="M87" s="181"/>
      <c r="N87" s="181"/>
      <c r="O87" s="181"/>
      <c r="P87" s="181"/>
    </row>
    <row r="88" spans="1:16" ht="21.75" customHeight="1" x14ac:dyDescent="0.3">
      <c r="A88" s="175"/>
      <c r="B88" s="176"/>
      <c r="C88" s="176"/>
      <c r="D88" s="193"/>
      <c r="E88" s="198"/>
      <c r="F88" s="204" t="s">
        <v>53</v>
      </c>
      <c r="G88" s="195"/>
      <c r="H88" s="180" t="s">
        <v>37</v>
      </c>
      <c r="I88" s="202">
        <f ca="1">IFERROR(__xludf.DUMMYFUNCTION("IMPORTRANGE(""https://docs.google.com/spreadsheets/d/11923uPwbBZFjjGgGUA6NLw09EwE0CqkOc4q9oUmW1yo/edit?usp=sharing"",""เพชรบูรณ์!I28"")"),0)</f>
        <v>0</v>
      </c>
      <c r="J88" s="203">
        <f ca="1">IFERROR(__xludf.DUMMYFUNCTION("IMPORTRANGE(""https://docs.google.com/spreadsheets/d/11923uPwbBZFjjGgGUA6NLw09EwE0CqkOc4q9oUmW1yo/edit?usp=sharing"",""เพชรบูรณ์!J28"")"),0)</f>
        <v>0</v>
      </c>
      <c r="K88" s="163">
        <f t="shared" ca="1" si="50"/>
        <v>0</v>
      </c>
      <c r="L88" s="181"/>
      <c r="M88" s="181"/>
      <c r="N88" s="181"/>
      <c r="O88" s="181"/>
      <c r="P88" s="181"/>
    </row>
    <row r="89" spans="1:16" ht="21.75" customHeight="1" x14ac:dyDescent="0.3">
      <c r="A89" s="175"/>
      <c r="B89" s="176"/>
      <c r="C89" s="176"/>
      <c r="D89" s="193"/>
      <c r="E89" s="194" t="s">
        <v>54</v>
      </c>
      <c r="F89" s="195"/>
      <c r="G89" s="196"/>
      <c r="H89" s="186"/>
      <c r="I89" s="187"/>
      <c r="J89" s="197">
        <f ca="1">IFERROR(__xludf.DUMMYFUNCTION("IMPORTRANGE(""https://docs.google.com/spreadsheets/d/11923uPwbBZFjjGgGUA6NLw09EwE0CqkOc4q9oUmW1yo/edit?usp=sharing"",""เพชรบูรณ์!J29"")"),0)</f>
        <v>0</v>
      </c>
      <c r="K89" s="163"/>
      <c r="L89" s="181"/>
      <c r="M89" s="181"/>
      <c r="N89" s="181"/>
      <c r="O89" s="181"/>
      <c r="P89" s="181"/>
    </row>
    <row r="90" spans="1:16" ht="21.75" customHeight="1" x14ac:dyDescent="0.3">
      <c r="A90" s="175"/>
      <c r="B90" s="176"/>
      <c r="C90" s="176"/>
      <c r="D90" s="205">
        <v>3</v>
      </c>
      <c r="E90" s="206" t="s">
        <v>55</v>
      </c>
      <c r="F90" s="207"/>
      <c r="G90" s="208"/>
      <c r="H90" s="186"/>
      <c r="I90" s="187"/>
      <c r="J90" s="209">
        <f ca="1">IFERROR(__xludf.DUMMYFUNCTION("IMPORTRANGE(""https://docs.google.com/spreadsheets/d/11923uPwbBZFjjGgGUA6NLw09EwE0CqkOc4q9oUmW1yo/edit?usp=sharing"",""เพชรบูรณ์!J30"")"),0)</f>
        <v>0</v>
      </c>
      <c r="K90" s="163"/>
      <c r="L90" s="181"/>
      <c r="M90" s="181"/>
      <c r="N90" s="181"/>
      <c r="O90" s="181"/>
      <c r="P90" s="181"/>
    </row>
    <row r="91" spans="1:16" ht="21.75" customHeight="1" x14ac:dyDescent="0.3">
      <c r="A91" s="210" t="s">
        <v>56</v>
      </c>
      <c r="B91" s="211"/>
      <c r="C91" s="212"/>
      <c r="D91" s="211"/>
      <c r="E91" s="213"/>
      <c r="F91" s="213"/>
      <c r="G91" s="214"/>
      <c r="H91" s="215"/>
      <c r="I91" s="216"/>
      <c r="J91" s="216"/>
      <c r="K91" s="217"/>
      <c r="L91" s="218"/>
      <c r="M91" s="218"/>
      <c r="N91" s="218"/>
      <c r="O91" s="219"/>
      <c r="P91" s="219"/>
    </row>
    <row r="92" spans="1:16" ht="21.75" customHeight="1" x14ac:dyDescent="0.3">
      <c r="A92" s="137"/>
      <c r="B92" s="138" t="s">
        <v>57</v>
      </c>
      <c r="C92" s="138"/>
      <c r="D92" s="139"/>
      <c r="E92" s="138"/>
      <c r="F92" s="138"/>
      <c r="G92" s="220"/>
      <c r="H92" s="140" t="s">
        <v>37</v>
      </c>
      <c r="I92" s="141">
        <f ca="1">IFERROR(__xludf.DUMMYFUNCTION("IMPORTRANGE(""https://docs.google.com/spreadsheets/d/11923uPwbBZFjjGgGUA6NLw09EwE0CqkOc4q9oUmW1yo/edit?usp=sharing"",""เพชรบูรณ์!I32"")"),0)</f>
        <v>0</v>
      </c>
      <c r="J92" s="141">
        <f ca="1">IFERROR(__xludf.DUMMYFUNCTION("IMPORTRANGE(""https://docs.google.com/spreadsheets/d/11923uPwbBZFjjGgGUA6NLw09EwE0CqkOc4q9oUmW1yo/edit?usp=sharing"",""เพชรบูรณ์!J32"")"),0)</f>
        <v>0</v>
      </c>
      <c r="K92" s="142">
        <f t="shared" ref="K92:K93" ca="1" si="51">IF(I92&gt;0,J92*100/I92,0)</f>
        <v>0</v>
      </c>
      <c r="L92" s="221"/>
      <c r="M92" s="221"/>
      <c r="N92" s="222"/>
      <c r="O92" s="142"/>
      <c r="P92" s="142"/>
    </row>
    <row r="93" spans="1:16" ht="21.75" customHeight="1" x14ac:dyDescent="0.3">
      <c r="A93" s="137"/>
      <c r="B93" s="138"/>
      <c r="C93" s="138"/>
      <c r="D93" s="139" t="s">
        <v>58</v>
      </c>
      <c r="E93" s="138"/>
      <c r="F93" s="138"/>
      <c r="G93" s="220"/>
      <c r="H93" s="140" t="s">
        <v>59</v>
      </c>
      <c r="I93" s="141">
        <f ca="1">IFERROR(__xludf.DUMMYFUNCTION("IMPORTRANGE(""https://docs.google.com/spreadsheets/d/11923uPwbBZFjjGgGUA6NLw09EwE0CqkOc4q9oUmW1yo/edit?usp=sharing"",""เพชรบูรณ์!I33"")"),0)</f>
        <v>0</v>
      </c>
      <c r="J93" s="141">
        <f ca="1">IFERROR(__xludf.DUMMYFUNCTION("IMPORTRANGE(""https://docs.google.com/spreadsheets/d/11923uPwbBZFjjGgGUA6NLw09EwE0CqkOc4q9oUmW1yo/edit?usp=sharing"",""เพชรบูรณ์!J33"")"),0)</f>
        <v>0</v>
      </c>
      <c r="K93" s="142">
        <f t="shared" ca="1" si="51"/>
        <v>0</v>
      </c>
      <c r="L93" s="222"/>
      <c r="M93" s="222"/>
      <c r="N93" s="222"/>
      <c r="O93" s="142"/>
      <c r="P93" s="142"/>
    </row>
    <row r="94" spans="1:16" ht="21.75" customHeight="1" x14ac:dyDescent="0.45">
      <c r="A94" s="145"/>
      <c r="B94" s="146"/>
      <c r="C94" s="147" t="s">
        <v>16</v>
      </c>
      <c r="D94" s="537" t="s">
        <v>17</v>
      </c>
      <c r="E94" s="528"/>
      <c r="F94" s="528"/>
      <c r="G94" s="528"/>
      <c r="H94" s="148" t="s">
        <v>12</v>
      </c>
      <c r="I94" s="162"/>
      <c r="J94" s="162"/>
      <c r="K94" s="163"/>
      <c r="L94" s="151">
        <f t="shared" ref="L94:N94" ca="1" si="52">L95+L96</f>
        <v>0</v>
      </c>
      <c r="M94" s="151">
        <f t="shared" ca="1" si="52"/>
        <v>0</v>
      </c>
      <c r="N94" s="151">
        <f t="shared" ca="1" si="52"/>
        <v>0</v>
      </c>
      <c r="O94" s="150">
        <f t="shared" ref="O94:O96" ca="1" si="53">IF(L94&gt;0,N94*100/L94,0)</f>
        <v>0</v>
      </c>
      <c r="P94" s="150">
        <f t="shared" ref="P94:P96" ca="1" si="54">IF(M94&gt;0,N94*100/M94,0)</f>
        <v>0</v>
      </c>
    </row>
    <row r="95" spans="1:16" ht="21.75" customHeight="1" x14ac:dyDescent="0.45">
      <c r="A95" s="152"/>
      <c r="B95" s="32"/>
      <c r="C95" s="32"/>
      <c r="D95" s="32"/>
      <c r="E95" s="32"/>
      <c r="F95" s="32"/>
      <c r="G95" s="33" t="s">
        <v>18</v>
      </c>
      <c r="H95" s="153" t="s">
        <v>12</v>
      </c>
      <c r="I95" s="162"/>
      <c r="J95" s="162"/>
      <c r="K95" s="163"/>
      <c r="L95" s="87">
        <f t="shared" ref="L95:N95" si="55">L97+L101</f>
        <v>0</v>
      </c>
      <c r="M95" s="87">
        <f t="shared" si="55"/>
        <v>0</v>
      </c>
      <c r="N95" s="87">
        <f t="shared" si="55"/>
        <v>0</v>
      </c>
      <c r="O95" s="155">
        <f t="shared" si="53"/>
        <v>0</v>
      </c>
      <c r="P95" s="155">
        <f t="shared" si="54"/>
        <v>0</v>
      </c>
    </row>
    <row r="96" spans="1:16" ht="21.75" customHeight="1" x14ac:dyDescent="0.45">
      <c r="A96" s="152"/>
      <c r="B96" s="32"/>
      <c r="C96" s="32"/>
      <c r="D96" s="32"/>
      <c r="E96" s="32"/>
      <c r="F96" s="32"/>
      <c r="G96" s="33" t="s">
        <v>19</v>
      </c>
      <c r="H96" s="153" t="s">
        <v>12</v>
      </c>
      <c r="I96" s="162"/>
      <c r="J96" s="162"/>
      <c r="K96" s="163"/>
      <c r="L96" s="87">
        <f t="shared" ref="L96:N96" ca="1" si="56">L98+L102</f>
        <v>0</v>
      </c>
      <c r="M96" s="87">
        <f t="shared" ca="1" si="56"/>
        <v>0</v>
      </c>
      <c r="N96" s="87">
        <f t="shared" ca="1" si="56"/>
        <v>0</v>
      </c>
      <c r="O96" s="155">
        <f t="shared" ca="1" si="53"/>
        <v>0</v>
      </c>
      <c r="P96" s="155">
        <f t="shared" ca="1" si="54"/>
        <v>0</v>
      </c>
    </row>
    <row r="97" spans="1:16" ht="21.75" customHeight="1" x14ac:dyDescent="0.3">
      <c r="A97" s="156"/>
      <c r="B97" s="157"/>
      <c r="C97" s="157" t="s">
        <v>16</v>
      </c>
      <c r="D97" s="158" t="s">
        <v>38</v>
      </c>
      <c r="E97" s="159"/>
      <c r="F97" s="159"/>
      <c r="G97" s="160" t="s">
        <v>39</v>
      </c>
      <c r="H97" s="161" t="s">
        <v>12</v>
      </c>
      <c r="I97" s="162" t="s">
        <v>40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3">
      <c r="A98" s="156"/>
      <c r="B98" s="157"/>
      <c r="C98" s="157"/>
      <c r="D98" s="166"/>
      <c r="E98" s="159"/>
      <c r="F98" s="159" t="s">
        <v>40</v>
      </c>
      <c r="G98" s="160" t="s">
        <v>41</v>
      </c>
      <c r="H98" s="161" t="s">
        <v>12</v>
      </c>
      <c r="I98" s="162"/>
      <c r="J98" s="162"/>
      <c r="K98" s="163"/>
      <c r="L98" s="167">
        <f ca="1">L99+L100</f>
        <v>0</v>
      </c>
      <c r="M98" s="167">
        <f ca="1">IFERROR(__xludf.DUMMYFUNCTION("IMPORTRANGE(""https://docs.google.com/spreadsheets/d/1Yj_ptqi66GCucihVvJfMjLAmec39IyEx_6qawtMGysU/edit?usp=sharing"",""สบก!AR29"")"),0)</f>
        <v>0</v>
      </c>
      <c r="N98" s="168">
        <f ca="1">IFERROR(__xludf.DUMMYFUNCTION("IMPORTRANGE(""https://docs.google.com/spreadsheets/d/1Yj_ptqi66GCucihVvJfMjLAmec39IyEx_6qawtMGysU/edit?usp=sharing"",""สบก!AS29"")"),0)</f>
        <v>0</v>
      </c>
      <c r="O98" s="168">
        <f ca="1">IF(L98&gt;0,N98*100/L98,0)</f>
        <v>0</v>
      </c>
      <c r="P98" s="168">
        <f ca="1">IF(M98&gt;0,N98*100/M98,0)</f>
        <v>0</v>
      </c>
    </row>
    <row r="99" spans="1:16" ht="21.75" customHeight="1" x14ac:dyDescent="0.3">
      <c r="A99" s="156"/>
      <c r="B99" s="157"/>
      <c r="C99" s="157"/>
      <c r="D99" s="166"/>
      <c r="E99" s="159"/>
      <c r="F99" s="159"/>
      <c r="G99" s="169" t="s">
        <v>42</v>
      </c>
      <c r="H99" s="161" t="s">
        <v>12</v>
      </c>
      <c r="I99" s="162"/>
      <c r="J99" s="162"/>
      <c r="K99" s="163"/>
      <c r="L99" s="167">
        <f ca="1">IFERROR(__xludf.DUMMYFUNCTION("IMPORTRANGE(""https://docs.google.com/spreadsheets/d/1Yj_ptqi66GCucihVvJfMjLAmec39IyEx_6qawtMGysU/edit?usp=sharing"",""สบก!AN29"")"),0)</f>
        <v>0</v>
      </c>
      <c r="M99" s="167"/>
      <c r="N99" s="167"/>
      <c r="O99" s="168"/>
      <c r="P99" s="168"/>
    </row>
    <row r="100" spans="1:16" ht="21.75" customHeight="1" x14ac:dyDescent="0.3">
      <c r="A100" s="156"/>
      <c r="B100" s="157"/>
      <c r="C100" s="157"/>
      <c r="D100" s="166"/>
      <c r="E100" s="159"/>
      <c r="F100" s="159"/>
      <c r="G100" s="169" t="s">
        <v>43</v>
      </c>
      <c r="H100" s="161" t="s">
        <v>12</v>
      </c>
      <c r="I100" s="162"/>
      <c r="J100" s="187"/>
      <c r="K100" s="223"/>
      <c r="L100" s="167">
        <f ca="1">IFERROR(__xludf.DUMMYFUNCTION("IMPORTRANGE(""https://docs.google.com/spreadsheets/d/1Yj_ptqi66GCucihVvJfMjLAmec39IyEx_6qawtMGysU/edit?usp=sharing"",""สบก!AO29"")"),0)</f>
        <v>0</v>
      </c>
      <c r="M100" s="167"/>
      <c r="N100" s="167"/>
      <c r="O100" s="168"/>
      <c r="P100" s="168"/>
    </row>
    <row r="101" spans="1:16" ht="21.75" customHeight="1" x14ac:dyDescent="0.45">
      <c r="A101" s="170"/>
      <c r="B101" s="80"/>
      <c r="C101" s="81" t="s">
        <v>16</v>
      </c>
      <c r="D101" s="534" t="s">
        <v>23</v>
      </c>
      <c r="E101" s="530"/>
      <c r="F101" s="88"/>
      <c r="G101" s="82" t="s">
        <v>18</v>
      </c>
      <c r="H101" s="171" t="s">
        <v>12</v>
      </c>
      <c r="I101" s="187"/>
      <c r="J101" s="187"/>
      <c r="K101" s="223"/>
      <c r="L101" s="41">
        <v>0</v>
      </c>
      <c r="M101" s="41"/>
      <c r="N101" s="41"/>
      <c r="O101" s="41"/>
      <c r="P101" s="41"/>
    </row>
    <row r="102" spans="1:16" ht="21.75" customHeight="1" x14ac:dyDescent="0.45">
      <c r="A102" s="172"/>
      <c r="B102" s="91"/>
      <c r="C102" s="91"/>
      <c r="D102" s="173"/>
      <c r="E102" s="92"/>
      <c r="F102" s="92"/>
      <c r="G102" s="93" t="s">
        <v>19</v>
      </c>
      <c r="H102" s="174" t="s">
        <v>12</v>
      </c>
      <c r="I102" s="187"/>
      <c r="J102" s="187"/>
      <c r="K102" s="223"/>
      <c r="L102" s="49">
        <f ca="1">IFERROR(__xludf.DUMMYFUNCTION("IMPORTRANGE(""https://docs.google.com/spreadsheets/d/1Yj_ptqi66GCucihVvJfMjLAmec39IyEx_6qawtMGysU/edit?usp=sharing"",""สบก!AP29"")"),0)</f>
        <v>0</v>
      </c>
      <c r="M102" s="49"/>
      <c r="N102" s="49">
        <f ca="1">IFERROR(__xludf.DUMMYFUNCTION("IMPORTRANGE(""https://docs.google.com/spreadsheets/d/1Yj_ptqi66GCucihVvJfMjLAmec39IyEx_6qawtMGysU/edit?usp=sharing"",""สบก!AT29"")"),0)</f>
        <v>0</v>
      </c>
      <c r="O102" s="49">
        <f ca="1">IF(L102&gt;0,N102*100/L102,0)</f>
        <v>0</v>
      </c>
      <c r="P102" s="49"/>
    </row>
    <row r="103" spans="1:16" ht="21.75" customHeight="1" x14ac:dyDescent="0.3">
      <c r="A103" s="175"/>
      <c r="B103" s="176"/>
      <c r="C103" s="157" t="s">
        <v>16</v>
      </c>
      <c r="D103" s="177" t="s">
        <v>44</v>
      </c>
      <c r="E103" s="178"/>
      <c r="F103" s="178"/>
      <c r="G103" s="179"/>
      <c r="H103" s="180"/>
      <c r="I103" s="162"/>
      <c r="J103" s="187"/>
      <c r="K103" s="223"/>
      <c r="L103" s="168"/>
      <c r="M103" s="168"/>
      <c r="N103" s="168"/>
      <c r="O103" s="181"/>
      <c r="P103" s="181"/>
    </row>
    <row r="104" spans="1:16" ht="21.75" customHeight="1" x14ac:dyDescent="0.3">
      <c r="A104" s="175"/>
      <c r="B104" s="176"/>
      <c r="C104" s="176"/>
      <c r="D104" s="182">
        <v>1</v>
      </c>
      <c r="E104" s="183" t="s">
        <v>45</v>
      </c>
      <c r="F104" s="184"/>
      <c r="G104" s="185"/>
      <c r="H104" s="186"/>
      <c r="I104" s="187"/>
      <c r="J104" s="187">
        <f ca="1">IFERROR(__xludf.DUMMYFUNCTION("IMPORTRANGE(""https://docs.google.com/spreadsheets/d/11923uPwbBZFjjGgGUA6NLw09EwE0CqkOc4q9oUmW1yo/edit?usp=sharing"",""เพชรบูรณ์!J39"")"),0)</f>
        <v>0</v>
      </c>
      <c r="K104" s="223"/>
      <c r="L104" s="168"/>
      <c r="M104" s="168"/>
      <c r="N104" s="168"/>
      <c r="O104" s="181"/>
      <c r="P104" s="181"/>
    </row>
    <row r="105" spans="1:16" ht="21.75" customHeight="1" x14ac:dyDescent="0.3">
      <c r="A105" s="175"/>
      <c r="B105" s="176"/>
      <c r="C105" s="176"/>
      <c r="D105" s="189">
        <v>2</v>
      </c>
      <c r="E105" s="190" t="s">
        <v>46</v>
      </c>
      <c r="F105" s="191"/>
      <c r="G105" s="192"/>
      <c r="H105" s="186"/>
      <c r="I105" s="187"/>
      <c r="J105" s="187">
        <f ca="1">IFERROR(__xludf.DUMMYFUNCTION("IMPORTRANGE(""https://docs.google.com/spreadsheets/d/11923uPwbBZFjjGgGUA6NLw09EwE0CqkOc4q9oUmW1yo/edit?usp=sharing"",""เพชรบูรณ์!J40"")"),0)</f>
        <v>0</v>
      </c>
      <c r="K105" s="223"/>
      <c r="L105" s="168" t="s">
        <v>40</v>
      </c>
      <c r="M105" s="168"/>
      <c r="N105" s="168" t="s">
        <v>40</v>
      </c>
      <c r="O105" s="181"/>
      <c r="P105" s="181"/>
    </row>
    <row r="106" spans="1:16" ht="21.75" customHeight="1" x14ac:dyDescent="0.3">
      <c r="A106" s="175"/>
      <c r="B106" s="176"/>
      <c r="C106" s="176"/>
      <c r="D106" s="193"/>
      <c r="E106" s="194" t="s">
        <v>47</v>
      </c>
      <c r="F106" s="195"/>
      <c r="G106" s="196"/>
      <c r="H106" s="186"/>
      <c r="I106" s="187"/>
      <c r="J106" s="187">
        <f ca="1">IFERROR(__xludf.DUMMYFUNCTION("IMPORTRANGE(""https://docs.google.com/spreadsheets/d/11923uPwbBZFjjGgGUA6NLw09EwE0CqkOc4q9oUmW1yo/edit?usp=sharing"",""เพชรบูรณ์!J41"")"),0)</f>
        <v>0</v>
      </c>
      <c r="K106" s="223"/>
      <c r="L106" s="168"/>
      <c r="M106" s="168"/>
      <c r="N106" s="168"/>
      <c r="O106" s="181"/>
      <c r="P106" s="181"/>
    </row>
    <row r="107" spans="1:16" ht="21.75" customHeight="1" x14ac:dyDescent="0.3">
      <c r="A107" s="175"/>
      <c r="B107" s="176"/>
      <c r="C107" s="176"/>
      <c r="D107" s="193"/>
      <c r="E107" s="194" t="s">
        <v>48</v>
      </c>
      <c r="F107" s="195"/>
      <c r="G107" s="196"/>
      <c r="H107" s="186"/>
      <c r="I107" s="187"/>
      <c r="J107" s="187">
        <f ca="1">IFERROR(__xludf.DUMMYFUNCTION("IMPORTRANGE(""https://docs.google.com/spreadsheets/d/11923uPwbBZFjjGgGUA6NLw09EwE0CqkOc4q9oUmW1yo/edit?usp=sharing"",""เพชรบูรณ์!J42"")"),0)</f>
        <v>0</v>
      </c>
      <c r="K107" s="223"/>
      <c r="L107" s="168"/>
      <c r="M107" s="168"/>
      <c r="N107" s="168"/>
      <c r="O107" s="181"/>
      <c r="P107" s="181"/>
    </row>
    <row r="108" spans="1:16" ht="21.75" customHeight="1" x14ac:dyDescent="0.3">
      <c r="A108" s="175"/>
      <c r="B108" s="176"/>
      <c r="C108" s="176"/>
      <c r="D108" s="193"/>
      <c r="E108" s="195"/>
      <c r="F108" s="195" t="s">
        <v>60</v>
      </c>
      <c r="G108" s="195"/>
      <c r="H108" s="180" t="s">
        <v>61</v>
      </c>
      <c r="I108" s="202">
        <f ca="1">IFERROR(__xludf.DUMMYFUNCTION("IMPORTRANGE(""https://docs.google.com/spreadsheets/d/11923uPwbBZFjjGgGUA6NLw09EwE0CqkOc4q9oUmW1yo/edit?usp=sharing"",""เพชรบูรณ์!I43"")"),0)</f>
        <v>0</v>
      </c>
      <c r="J108" s="203">
        <f ca="1">IFERROR(__xludf.DUMMYFUNCTION("IMPORTRANGE(""https://docs.google.com/spreadsheets/d/11923uPwbBZFjjGgGUA6NLw09EwE0CqkOc4q9oUmW1yo/edit?usp=sharing"",""เพชรบูรณ์!J43"")"),0)</f>
        <v>0</v>
      </c>
      <c r="K108" s="223">
        <f t="shared" ref="K108:K113" ca="1" si="57">IF(I108&gt;0,J108*100/I108,0)</f>
        <v>0</v>
      </c>
      <c r="L108" s="168"/>
      <c r="M108" s="168"/>
      <c r="N108" s="168"/>
      <c r="O108" s="181"/>
      <c r="P108" s="181"/>
    </row>
    <row r="109" spans="1:16" ht="21.75" customHeight="1" x14ac:dyDescent="0.3">
      <c r="A109" s="175"/>
      <c r="B109" s="176"/>
      <c r="C109" s="176"/>
      <c r="D109" s="193"/>
      <c r="E109" s="198"/>
      <c r="F109" s="194" t="s">
        <v>62</v>
      </c>
      <c r="G109" s="195"/>
      <c r="H109" s="180" t="s">
        <v>37</v>
      </c>
      <c r="I109" s="202">
        <f ca="1">IFERROR(__xludf.DUMMYFUNCTION("IMPORTRANGE(""https://docs.google.com/spreadsheets/d/11923uPwbBZFjjGgGUA6NLw09EwE0CqkOc4q9oUmW1yo/edit?usp=sharing"",""เพชรบูรณ์!I44"")"),0)</f>
        <v>0</v>
      </c>
      <c r="J109" s="203">
        <f ca="1">IFERROR(__xludf.DUMMYFUNCTION("IMPORTRANGE(""https://docs.google.com/spreadsheets/d/11923uPwbBZFjjGgGUA6NLw09EwE0CqkOc4q9oUmW1yo/edit?usp=sharing"",""เพชรบูรณ์!J44"")"),0)</f>
        <v>0</v>
      </c>
      <c r="K109" s="223">
        <f t="shared" ca="1" si="57"/>
        <v>0</v>
      </c>
      <c r="L109" s="168"/>
      <c r="M109" s="168"/>
      <c r="N109" s="168"/>
      <c r="O109" s="181"/>
      <c r="P109" s="181"/>
    </row>
    <row r="110" spans="1:16" ht="21.75" customHeight="1" x14ac:dyDescent="0.3">
      <c r="A110" s="175"/>
      <c r="B110" s="176"/>
      <c r="C110" s="176"/>
      <c r="D110" s="193"/>
      <c r="E110" s="198"/>
      <c r="F110" s="195"/>
      <c r="G110" s="224" t="s">
        <v>63</v>
      </c>
      <c r="H110" s="180" t="s">
        <v>37</v>
      </c>
      <c r="I110" s="202">
        <f ca="1">IFERROR(__xludf.DUMMYFUNCTION("IMPORTRANGE(""https://docs.google.com/spreadsheets/d/11923uPwbBZFjjGgGUA6NLw09EwE0CqkOc4q9oUmW1yo/edit?usp=sharing"",""เพชรบูรณ์!I45"")"),0)</f>
        <v>0</v>
      </c>
      <c r="J110" s="203">
        <f ca="1">IFERROR(__xludf.DUMMYFUNCTION("IMPORTRANGE(""https://docs.google.com/spreadsheets/d/11923uPwbBZFjjGgGUA6NLw09EwE0CqkOc4q9oUmW1yo/edit?usp=sharing"",""เพชรบูรณ์!J45"")"),0)</f>
        <v>0</v>
      </c>
      <c r="K110" s="223">
        <f t="shared" ca="1" si="57"/>
        <v>0</v>
      </c>
      <c r="L110" s="168"/>
      <c r="M110" s="168"/>
      <c r="N110" s="168"/>
      <c r="O110" s="181"/>
      <c r="P110" s="181"/>
    </row>
    <row r="111" spans="1:16" ht="21.75" customHeight="1" x14ac:dyDescent="0.3">
      <c r="A111" s="175"/>
      <c r="B111" s="176"/>
      <c r="C111" s="176"/>
      <c r="D111" s="193"/>
      <c r="E111" s="198"/>
      <c r="F111" s="195"/>
      <c r="G111" s="224" t="s">
        <v>64</v>
      </c>
      <c r="H111" s="180" t="s">
        <v>37</v>
      </c>
      <c r="I111" s="202">
        <f ca="1">IFERROR(__xludf.DUMMYFUNCTION("IMPORTRANGE(""https://docs.google.com/spreadsheets/d/11923uPwbBZFjjGgGUA6NLw09EwE0CqkOc4q9oUmW1yo/edit?usp=sharing"",""เพชรบูรณ์!I46"")"),0)</f>
        <v>0</v>
      </c>
      <c r="J111" s="203">
        <f ca="1">IFERROR(__xludf.DUMMYFUNCTION("IMPORTRANGE(""https://docs.google.com/spreadsheets/d/11923uPwbBZFjjGgGUA6NLw09EwE0CqkOc4q9oUmW1yo/edit?usp=sharing"",""เพชรบูรณ์!J46"")"),0)</f>
        <v>0</v>
      </c>
      <c r="K111" s="223">
        <f t="shared" ca="1" si="57"/>
        <v>0</v>
      </c>
      <c r="L111" s="168"/>
      <c r="M111" s="168"/>
      <c r="N111" s="168"/>
      <c r="O111" s="181"/>
      <c r="P111" s="181"/>
    </row>
    <row r="112" spans="1:16" ht="21.75" customHeight="1" x14ac:dyDescent="0.3">
      <c r="A112" s="175"/>
      <c r="B112" s="176"/>
      <c r="C112" s="176"/>
      <c r="D112" s="193"/>
      <c r="E112" s="198"/>
      <c r="F112" s="195"/>
      <c r="G112" s="225" t="s">
        <v>65</v>
      </c>
      <c r="H112" s="180" t="s">
        <v>37</v>
      </c>
      <c r="I112" s="202">
        <f ca="1">IFERROR(__xludf.DUMMYFUNCTION("IMPORTRANGE(""https://docs.google.com/spreadsheets/d/11923uPwbBZFjjGgGUA6NLw09EwE0CqkOc4q9oUmW1yo/edit?usp=sharing"",""เพชรบูรณ์!I47"")"),0)</f>
        <v>0</v>
      </c>
      <c r="J112" s="203">
        <f ca="1">IFERROR(__xludf.DUMMYFUNCTION("IMPORTRANGE(""https://docs.google.com/spreadsheets/d/11923uPwbBZFjjGgGUA6NLw09EwE0CqkOc4q9oUmW1yo/edit?usp=sharing"",""เพชรบูรณ์!J47"")"),0)</f>
        <v>0</v>
      </c>
      <c r="K112" s="223">
        <f t="shared" ca="1" si="57"/>
        <v>0</v>
      </c>
      <c r="L112" s="168"/>
      <c r="M112" s="168"/>
      <c r="N112" s="168"/>
      <c r="O112" s="181"/>
      <c r="P112" s="181"/>
    </row>
    <row r="113" spans="1:16" ht="21.75" customHeight="1" x14ac:dyDescent="0.3">
      <c r="A113" s="175"/>
      <c r="B113" s="176"/>
      <c r="C113" s="176"/>
      <c r="D113" s="193"/>
      <c r="E113" s="198"/>
      <c r="F113" s="195" t="s">
        <v>66</v>
      </c>
      <c r="G113" s="195"/>
      <c r="H113" s="180" t="s">
        <v>59</v>
      </c>
      <c r="I113" s="202">
        <f ca="1">IFERROR(__xludf.DUMMYFUNCTION("IMPORTRANGE(""https://docs.google.com/spreadsheets/d/11923uPwbBZFjjGgGUA6NLw09EwE0CqkOc4q9oUmW1yo/edit?usp=sharing"",""เพชรบูรณ์!I48"")"),0)</f>
        <v>0</v>
      </c>
      <c r="J113" s="203">
        <f ca="1">IFERROR(__xludf.DUMMYFUNCTION("IMPORTRANGE(""https://docs.google.com/spreadsheets/d/11923uPwbBZFjjGgGUA6NLw09EwE0CqkOc4q9oUmW1yo/edit?usp=sharing"",""เพชรบูรณ์!J48"")"),0)</f>
        <v>0</v>
      </c>
      <c r="K113" s="223">
        <f t="shared" ca="1" si="57"/>
        <v>0</v>
      </c>
      <c r="L113" s="168"/>
      <c r="M113" s="168"/>
      <c r="N113" s="168"/>
      <c r="O113" s="181"/>
      <c r="P113" s="181"/>
    </row>
    <row r="114" spans="1:16" ht="21.75" customHeight="1" x14ac:dyDescent="0.3">
      <c r="A114" s="175"/>
      <c r="B114" s="176"/>
      <c r="C114" s="176"/>
      <c r="D114" s="193"/>
      <c r="E114" s="194" t="s">
        <v>54</v>
      </c>
      <c r="F114" s="195"/>
      <c r="G114" s="196"/>
      <c r="H114" s="186"/>
      <c r="I114" s="187"/>
      <c r="J114" s="187">
        <f ca="1">IFERROR(__xludf.DUMMYFUNCTION("IMPORTRANGE(""https://docs.google.com/spreadsheets/d/11923uPwbBZFjjGgGUA6NLw09EwE0CqkOc4q9oUmW1yo/edit?usp=sharing"",""เพชรบูรณ์!J49"")"),0)</f>
        <v>0</v>
      </c>
      <c r="K114" s="223"/>
      <c r="L114" s="168"/>
      <c r="M114" s="168"/>
      <c r="N114" s="168"/>
      <c r="O114" s="181"/>
      <c r="P114" s="181"/>
    </row>
    <row r="115" spans="1:16" ht="21.75" customHeight="1" x14ac:dyDescent="0.3">
      <c r="A115" s="175"/>
      <c r="B115" s="176"/>
      <c r="C115" s="176"/>
      <c r="D115" s="205">
        <v>3</v>
      </c>
      <c r="E115" s="206" t="s">
        <v>55</v>
      </c>
      <c r="F115" s="207"/>
      <c r="G115" s="208"/>
      <c r="H115" s="186"/>
      <c r="I115" s="187"/>
      <c r="J115" s="226">
        <f ca="1">IFERROR(__xludf.DUMMYFUNCTION("IMPORTRANGE(""https://docs.google.com/spreadsheets/d/11923uPwbBZFjjGgGUA6NLw09EwE0CqkOc4q9oUmW1yo/edit?usp=sharing"",""เพชรบูรณ์!J50"")"),0)</f>
        <v>0</v>
      </c>
      <c r="K115" s="223"/>
      <c r="L115" s="168"/>
      <c r="M115" s="168"/>
      <c r="N115" s="168"/>
      <c r="O115" s="181"/>
      <c r="P115" s="181"/>
    </row>
    <row r="116" spans="1:16" ht="21.75" customHeight="1" x14ac:dyDescent="0.3">
      <c r="A116" s="210" t="s">
        <v>67</v>
      </c>
      <c r="B116" s="227"/>
      <c r="C116" s="228"/>
      <c r="D116" s="227"/>
      <c r="E116" s="229"/>
      <c r="F116" s="229"/>
      <c r="G116" s="230"/>
      <c r="H116" s="215"/>
      <c r="I116" s="216"/>
      <c r="J116" s="216"/>
      <c r="K116" s="217"/>
      <c r="L116" s="218"/>
      <c r="M116" s="218"/>
      <c r="N116" s="218"/>
      <c r="O116" s="219"/>
      <c r="P116" s="219"/>
    </row>
    <row r="117" spans="1:16" ht="21.75" customHeight="1" x14ac:dyDescent="0.3">
      <c r="A117" s="137"/>
      <c r="B117" s="138" t="s">
        <v>68</v>
      </c>
      <c r="C117" s="231"/>
      <c r="D117" s="139"/>
      <c r="E117" s="138"/>
      <c r="F117" s="138"/>
      <c r="G117" s="220"/>
      <c r="H117" s="140" t="s">
        <v>37</v>
      </c>
      <c r="I117" s="141">
        <f ca="1">IFERROR(__xludf.DUMMYFUNCTION("IMPORTRANGE(""https://docs.google.com/spreadsheets/d/11923uPwbBZFjjGgGUA6NLw09EwE0CqkOc4q9oUmW1yo/edit?usp=sharing"",""เพชรบูรณ์!I52"")"),20)</f>
        <v>20</v>
      </c>
      <c r="J117" s="141">
        <f ca="1">IFERROR(__xludf.DUMMYFUNCTION("IMPORTRANGE(""https://docs.google.com/spreadsheets/d/11923uPwbBZFjjGgGUA6NLw09EwE0CqkOc4q9oUmW1yo/edit?usp=sharing"",""เพชรบูรณ์!J52"")"),20)</f>
        <v>20</v>
      </c>
      <c r="K117" s="142">
        <f ca="1">IF(I117&gt;0,J117*100/I117,0)</f>
        <v>100</v>
      </c>
      <c r="L117" s="143"/>
      <c r="M117" s="143"/>
      <c r="N117" s="144"/>
      <c r="O117" s="142"/>
      <c r="P117" s="142"/>
    </row>
    <row r="118" spans="1:16" ht="21.75" customHeight="1" x14ac:dyDescent="0.45">
      <c r="A118" s="145"/>
      <c r="B118" s="146"/>
      <c r="C118" s="147" t="s">
        <v>16</v>
      </c>
      <c r="D118" s="537" t="s">
        <v>17</v>
      </c>
      <c r="E118" s="528"/>
      <c r="F118" s="528"/>
      <c r="G118" s="528"/>
      <c r="H118" s="148" t="s">
        <v>12</v>
      </c>
      <c r="I118" s="162"/>
      <c r="J118" s="162"/>
      <c r="K118" s="163"/>
      <c r="L118" s="151">
        <f t="shared" ref="L118:N118" ca="1" si="58">L119+L120</f>
        <v>82440</v>
      </c>
      <c r="M118" s="151">
        <f t="shared" ca="1" si="58"/>
        <v>66440</v>
      </c>
      <c r="N118" s="151">
        <f t="shared" ca="1" si="58"/>
        <v>60510</v>
      </c>
      <c r="O118" s="150">
        <f t="shared" ref="O118:O120" ca="1" si="59">IF(L118&gt;0,N118*100/L118,0)</f>
        <v>73.398835516739453</v>
      </c>
      <c r="P118" s="150">
        <f t="shared" ref="P118:P120" ca="1" si="60">IF(M118&gt;0,N118*100/M118,0)</f>
        <v>91.074653822998201</v>
      </c>
    </row>
    <row r="119" spans="1:16" ht="21.75" customHeight="1" x14ac:dyDescent="0.45">
      <c r="A119" s="152"/>
      <c r="B119" s="32"/>
      <c r="C119" s="32"/>
      <c r="D119" s="32"/>
      <c r="E119" s="32"/>
      <c r="F119" s="32"/>
      <c r="G119" s="33" t="s">
        <v>18</v>
      </c>
      <c r="H119" s="153" t="s">
        <v>12</v>
      </c>
      <c r="I119" s="162"/>
      <c r="J119" s="162"/>
      <c r="K119" s="163"/>
      <c r="L119" s="87">
        <f t="shared" ref="L119:N119" si="61">L121+L125</f>
        <v>0</v>
      </c>
      <c r="M119" s="87">
        <f t="shared" si="61"/>
        <v>0</v>
      </c>
      <c r="N119" s="87">
        <f t="shared" si="61"/>
        <v>0</v>
      </c>
      <c r="O119" s="155">
        <f t="shared" si="59"/>
        <v>0</v>
      </c>
      <c r="P119" s="155">
        <f t="shared" si="60"/>
        <v>0</v>
      </c>
    </row>
    <row r="120" spans="1:16" ht="21.75" customHeight="1" x14ac:dyDescent="0.45">
      <c r="A120" s="152"/>
      <c r="B120" s="32"/>
      <c r="C120" s="32"/>
      <c r="D120" s="32"/>
      <c r="E120" s="32"/>
      <c r="F120" s="32"/>
      <c r="G120" s="33" t="s">
        <v>19</v>
      </c>
      <c r="H120" s="153" t="s">
        <v>12</v>
      </c>
      <c r="I120" s="162"/>
      <c r="J120" s="162"/>
      <c r="K120" s="163"/>
      <c r="L120" s="87">
        <f t="shared" ref="L120:N120" ca="1" si="62">L122+L126</f>
        <v>82440</v>
      </c>
      <c r="M120" s="87">
        <f t="shared" ca="1" si="62"/>
        <v>66440</v>
      </c>
      <c r="N120" s="87">
        <f t="shared" ca="1" si="62"/>
        <v>60510</v>
      </c>
      <c r="O120" s="155">
        <f t="shared" ca="1" si="59"/>
        <v>73.398835516739453</v>
      </c>
      <c r="P120" s="155">
        <f t="shared" ca="1" si="60"/>
        <v>91.074653822998201</v>
      </c>
    </row>
    <row r="121" spans="1:16" ht="21.75" customHeight="1" x14ac:dyDescent="0.3">
      <c r="A121" s="156"/>
      <c r="B121" s="157"/>
      <c r="C121" s="157" t="s">
        <v>16</v>
      </c>
      <c r="D121" s="158" t="s">
        <v>38</v>
      </c>
      <c r="E121" s="159"/>
      <c r="F121" s="159"/>
      <c r="G121" s="160" t="s">
        <v>39</v>
      </c>
      <c r="H121" s="161" t="s">
        <v>12</v>
      </c>
      <c r="I121" s="162" t="s">
        <v>40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3">
      <c r="A122" s="156"/>
      <c r="B122" s="157"/>
      <c r="C122" s="157"/>
      <c r="D122" s="166"/>
      <c r="E122" s="159"/>
      <c r="F122" s="159" t="s">
        <v>40</v>
      </c>
      <c r="G122" s="160" t="s">
        <v>41</v>
      </c>
      <c r="H122" s="161" t="s">
        <v>12</v>
      </c>
      <c r="I122" s="162"/>
      <c r="J122" s="162"/>
      <c r="K122" s="163"/>
      <c r="L122" s="167">
        <f ca="1">L123+L124</f>
        <v>82440</v>
      </c>
      <c r="M122" s="167">
        <f ca="1">IFERROR(__xludf.DUMMYFUNCTION("IMPORTRANGE(""https://docs.google.com/spreadsheets/d/1Yj_ptqi66GCucihVvJfMjLAmec39IyEx_6qawtMGysU/edit?usp=sharing"",""สบก!BA29"")"),66440)</f>
        <v>66440</v>
      </c>
      <c r="N122" s="168">
        <f ca="1">IFERROR(__xludf.DUMMYFUNCTION("IMPORTRANGE(""https://docs.google.com/spreadsheets/d/1Yj_ptqi66GCucihVvJfMjLAmec39IyEx_6qawtMGysU/edit?usp=sharing"",""สบก!BB29"")"),60510)</f>
        <v>60510</v>
      </c>
      <c r="O122" s="168">
        <f ca="1">IF(L122&gt;0,N122*100/L122,0)</f>
        <v>73.398835516739453</v>
      </c>
      <c r="P122" s="168">
        <f ca="1">IF(M122&gt;0,N122*100/M122,0)</f>
        <v>91.074653822998201</v>
      </c>
    </row>
    <row r="123" spans="1:16" ht="21.75" customHeight="1" x14ac:dyDescent="0.3">
      <c r="A123" s="156"/>
      <c r="B123" s="157"/>
      <c r="C123" s="157"/>
      <c r="D123" s="166"/>
      <c r="E123" s="159"/>
      <c r="F123" s="159"/>
      <c r="G123" s="169" t="s">
        <v>42</v>
      </c>
      <c r="H123" s="161" t="s">
        <v>12</v>
      </c>
      <c r="I123" s="162"/>
      <c r="J123" s="162"/>
      <c r="K123" s="163"/>
      <c r="L123" s="167">
        <f ca="1">IFERROR(__xludf.DUMMYFUNCTION("IMPORTRANGE(""https://docs.google.com/spreadsheets/d/1Yj_ptqi66GCucihVvJfMjLAmec39IyEx_6qawtMGysU/edit?usp=sharing"",""สบก!AW29"")"),0)</f>
        <v>0</v>
      </c>
      <c r="M123" s="167"/>
      <c r="N123" s="167"/>
      <c r="O123" s="168"/>
      <c r="P123" s="168"/>
    </row>
    <row r="124" spans="1:16" ht="21.75" customHeight="1" x14ac:dyDescent="0.3">
      <c r="A124" s="156"/>
      <c r="B124" s="157"/>
      <c r="C124" s="157"/>
      <c r="D124" s="166"/>
      <c r="E124" s="159"/>
      <c r="F124" s="159"/>
      <c r="G124" s="169" t="s">
        <v>43</v>
      </c>
      <c r="H124" s="161" t="s">
        <v>12</v>
      </c>
      <c r="I124" s="162"/>
      <c r="J124" s="187"/>
      <c r="K124" s="223"/>
      <c r="L124" s="167">
        <f ca="1">IFERROR(__xludf.DUMMYFUNCTION("IMPORTRANGE(""https://docs.google.com/spreadsheets/d/1Yj_ptqi66GCucihVvJfMjLAmec39IyEx_6qawtMGysU/edit?usp=sharing"",""สบก!AX29"")"),82440)</f>
        <v>82440</v>
      </c>
      <c r="M124" s="167"/>
      <c r="N124" s="167"/>
      <c r="O124" s="168"/>
      <c r="P124" s="168"/>
    </row>
    <row r="125" spans="1:16" ht="21.75" customHeight="1" x14ac:dyDescent="0.45">
      <c r="A125" s="170"/>
      <c r="B125" s="80"/>
      <c r="C125" s="81" t="s">
        <v>16</v>
      </c>
      <c r="D125" s="534" t="s">
        <v>23</v>
      </c>
      <c r="E125" s="530"/>
      <c r="F125" s="88"/>
      <c r="G125" s="82" t="s">
        <v>18</v>
      </c>
      <c r="H125" s="171" t="s">
        <v>12</v>
      </c>
      <c r="I125" s="187"/>
      <c r="J125" s="187"/>
      <c r="K125" s="223"/>
      <c r="L125" s="41">
        <v>0</v>
      </c>
      <c r="M125" s="41"/>
      <c r="N125" s="41"/>
      <c r="O125" s="41"/>
      <c r="P125" s="41"/>
    </row>
    <row r="126" spans="1:16" ht="21.75" customHeight="1" x14ac:dyDescent="0.45">
      <c r="A126" s="172"/>
      <c r="B126" s="91"/>
      <c r="C126" s="91"/>
      <c r="D126" s="173"/>
      <c r="E126" s="92"/>
      <c r="F126" s="92"/>
      <c r="G126" s="93" t="s">
        <v>19</v>
      </c>
      <c r="H126" s="174" t="s">
        <v>12</v>
      </c>
      <c r="I126" s="187"/>
      <c r="J126" s="187"/>
      <c r="K126" s="223"/>
      <c r="L126" s="49">
        <f ca="1">IFERROR(__xludf.DUMMYFUNCTION("IMPORTRANGE(""https://docs.google.com/spreadsheets/d/1Yj_ptqi66GCucihVvJfMjLAmec39IyEx_6qawtMGysU/edit?usp=sharing"",""สบก!AY29"")"),0)</f>
        <v>0</v>
      </c>
      <c r="M126" s="49"/>
      <c r="N126" s="49">
        <f ca="1">IFERROR(__xludf.DUMMYFUNCTION("IMPORTRANGE(""https://docs.google.com/spreadsheets/d/1Yj_ptqi66GCucihVvJfMjLAmec39IyEx_6qawtMGysU/edit?usp=sharing"",""สบก!BC29"")"),0)</f>
        <v>0</v>
      </c>
      <c r="O126" s="49">
        <f ca="1">IF(L126&gt;0,N126*100/L126,0)</f>
        <v>0</v>
      </c>
      <c r="P126" s="49"/>
    </row>
    <row r="127" spans="1:16" ht="21.75" customHeight="1" x14ac:dyDescent="0.3">
      <c r="A127" s="175"/>
      <c r="B127" s="176"/>
      <c r="C127" s="157" t="s">
        <v>16</v>
      </c>
      <c r="D127" s="232" t="s">
        <v>257</v>
      </c>
      <c r="E127" s="178"/>
      <c r="F127" s="178"/>
      <c r="G127" s="179"/>
      <c r="H127" s="180"/>
      <c r="I127" s="162"/>
      <c r="J127" s="187"/>
      <c r="K127" s="223"/>
      <c r="L127" s="168"/>
      <c r="M127" s="168"/>
      <c r="N127" s="168"/>
      <c r="O127" s="181"/>
      <c r="P127" s="181"/>
    </row>
    <row r="128" spans="1:16" ht="21.75" customHeight="1" x14ac:dyDescent="0.3">
      <c r="A128" s="175"/>
      <c r="B128" s="176"/>
      <c r="C128" s="176"/>
      <c r="D128" s="182">
        <v>1</v>
      </c>
      <c r="E128" s="183" t="s">
        <v>45</v>
      </c>
      <c r="F128" s="184"/>
      <c r="G128" s="185"/>
      <c r="H128" s="186"/>
      <c r="I128" s="187"/>
      <c r="J128" s="203">
        <f ca="1">IFERROR(__xludf.DUMMYFUNCTION("IMPORTRANGE(""https://docs.google.com/spreadsheets/d/11923uPwbBZFjjGgGUA6NLw09EwE0CqkOc4q9oUmW1yo/edit?usp=sharing"",""เพชรบูรณ์!J58"")"),0)</f>
        <v>0</v>
      </c>
      <c r="K128" s="223"/>
      <c r="L128" s="168"/>
      <c r="M128" s="168"/>
      <c r="N128" s="168"/>
      <c r="O128" s="181"/>
      <c r="P128" s="181"/>
    </row>
    <row r="129" spans="1:16" ht="21.75" customHeight="1" x14ac:dyDescent="0.3">
      <c r="A129" s="175"/>
      <c r="B129" s="176"/>
      <c r="C129" s="176"/>
      <c r="D129" s="189">
        <v>2</v>
      </c>
      <c r="E129" s="190" t="s">
        <v>46</v>
      </c>
      <c r="F129" s="191"/>
      <c r="G129" s="192"/>
      <c r="H129" s="186"/>
      <c r="I129" s="187"/>
      <c r="J129" s="187">
        <f ca="1">IFERROR(__xludf.DUMMYFUNCTION("IMPORTRANGE(""https://docs.google.com/spreadsheets/d/11923uPwbBZFjjGgGUA6NLw09EwE0CqkOc4q9oUmW1yo/edit?usp=sharing"",""เพชรบูรณ์!J59"")"),1)</f>
        <v>1</v>
      </c>
      <c r="K129" s="223"/>
      <c r="L129" s="168" t="s">
        <v>40</v>
      </c>
      <c r="M129" s="168"/>
      <c r="N129" s="168" t="s">
        <v>40</v>
      </c>
      <c r="O129" s="181"/>
      <c r="P129" s="181"/>
    </row>
    <row r="130" spans="1:16" ht="21.75" customHeight="1" x14ac:dyDescent="0.3">
      <c r="A130" s="175"/>
      <c r="B130" s="176"/>
      <c r="C130" s="176"/>
      <c r="D130" s="193"/>
      <c r="E130" s="194" t="s">
        <v>47</v>
      </c>
      <c r="F130" s="195"/>
      <c r="G130" s="196"/>
      <c r="H130" s="186"/>
      <c r="I130" s="187"/>
      <c r="J130" s="187">
        <f ca="1">IFERROR(__xludf.DUMMYFUNCTION("IMPORTRANGE(""https://docs.google.com/spreadsheets/d/11923uPwbBZFjjGgGUA6NLw09EwE0CqkOc4q9oUmW1yo/edit?usp=sharing"",""เพชรบูรณ์!J60"")"),1)</f>
        <v>1</v>
      </c>
      <c r="K130" s="223"/>
      <c r="L130" s="168"/>
      <c r="M130" s="168"/>
      <c r="N130" s="168"/>
      <c r="O130" s="181"/>
      <c r="P130" s="181"/>
    </row>
    <row r="131" spans="1:16" ht="21.75" customHeight="1" x14ac:dyDescent="0.3">
      <c r="A131" s="175"/>
      <c r="B131" s="176"/>
      <c r="C131" s="176"/>
      <c r="D131" s="193"/>
      <c r="E131" s="194" t="s">
        <v>48</v>
      </c>
      <c r="F131" s="195"/>
      <c r="G131" s="196"/>
      <c r="H131" s="186"/>
      <c r="I131" s="187"/>
      <c r="J131" s="187">
        <f ca="1">IFERROR(__xludf.DUMMYFUNCTION("IMPORTRANGE(""https://docs.google.com/spreadsheets/d/11923uPwbBZFjjGgGUA6NLw09EwE0CqkOc4q9oUmW1yo/edit?usp=sharing"",""เพชรบูรณ์!J61"")"),0)</f>
        <v>0</v>
      </c>
      <c r="K131" s="223"/>
      <c r="L131" s="168"/>
      <c r="M131" s="168"/>
      <c r="N131" s="168"/>
      <c r="O131" s="181"/>
      <c r="P131" s="181"/>
    </row>
    <row r="132" spans="1:16" ht="21.75" customHeight="1" x14ac:dyDescent="0.3">
      <c r="A132" s="175"/>
      <c r="B132" s="176"/>
      <c r="C132" s="176"/>
      <c r="D132" s="193"/>
      <c r="E132" s="198"/>
      <c r="F132" s="194" t="s">
        <v>70</v>
      </c>
      <c r="G132" s="196"/>
      <c r="H132" s="180" t="s">
        <v>37</v>
      </c>
      <c r="I132" s="187">
        <f ca="1">IFERROR(__xludf.DUMMYFUNCTION("IMPORTRANGE(""https://docs.google.com/spreadsheets/d/11923uPwbBZFjjGgGUA6NLw09EwE0CqkOc4q9oUmW1yo/edit?usp=sharing"",""เพชรบูรณ์!I62"")"),20)</f>
        <v>20</v>
      </c>
      <c r="J132" s="203">
        <f ca="1">IFERROR(__xludf.DUMMYFUNCTION("IMPORTRANGE(""https://docs.google.com/spreadsheets/d/11923uPwbBZFjjGgGUA6NLw09EwE0CqkOc4q9oUmW1yo/edit?usp=sharing"",""เพชรบูรณ์!J62"")"),20)</f>
        <v>20</v>
      </c>
      <c r="K132" s="223">
        <f t="shared" ref="K132:K133" ca="1" si="63">IF(I132&gt;0,J132*100/I132,0)</f>
        <v>100</v>
      </c>
      <c r="L132" s="168"/>
      <c r="M132" s="168"/>
      <c r="N132" s="168"/>
      <c r="O132" s="181"/>
      <c r="P132" s="181"/>
    </row>
    <row r="133" spans="1:16" ht="21.75" customHeight="1" x14ac:dyDescent="0.3">
      <c r="A133" s="175"/>
      <c r="B133" s="176"/>
      <c r="C133" s="176"/>
      <c r="D133" s="193"/>
      <c r="E133" s="198"/>
      <c r="F133" s="194" t="s">
        <v>71</v>
      </c>
      <c r="G133" s="196"/>
      <c r="H133" s="180" t="s">
        <v>37</v>
      </c>
      <c r="I133" s="187">
        <f ca="1">IFERROR(__xludf.DUMMYFUNCTION("IMPORTRANGE(""https://docs.google.com/spreadsheets/d/11923uPwbBZFjjGgGUA6NLw09EwE0CqkOc4q9oUmW1yo/edit?usp=sharing"",""เพชรบูรณ์!I63"")"),20)</f>
        <v>20</v>
      </c>
      <c r="J133" s="203">
        <f ca="1">IFERROR(__xludf.DUMMYFUNCTION("IMPORTRANGE(""https://docs.google.com/spreadsheets/d/11923uPwbBZFjjGgGUA6NLw09EwE0CqkOc4q9oUmW1yo/edit?usp=sharing"",""เพชรบูรณ์!J63"")"),20)</f>
        <v>20</v>
      </c>
      <c r="K133" s="223">
        <f t="shared" ca="1" si="63"/>
        <v>100</v>
      </c>
      <c r="L133" s="168"/>
      <c r="M133" s="168"/>
      <c r="N133" s="168"/>
      <c r="O133" s="181"/>
      <c r="P133" s="181"/>
    </row>
    <row r="134" spans="1:16" ht="21.75" customHeight="1" x14ac:dyDescent="0.3">
      <c r="A134" s="175"/>
      <c r="B134" s="176"/>
      <c r="C134" s="176"/>
      <c r="D134" s="193"/>
      <c r="E134" s="194" t="s">
        <v>54</v>
      </c>
      <c r="F134" s="195"/>
      <c r="G134" s="196"/>
      <c r="H134" s="186"/>
      <c r="I134" s="187"/>
      <c r="J134" s="187">
        <f ca="1">IFERROR(__xludf.DUMMYFUNCTION("IMPORTRANGE(""https://docs.google.com/spreadsheets/d/11923uPwbBZFjjGgGUA6NLw09EwE0CqkOc4q9oUmW1yo/edit?usp=sharing"",""เพชรบูรณ์!J64"")"),0)</f>
        <v>0</v>
      </c>
      <c r="K134" s="223"/>
      <c r="L134" s="168"/>
      <c r="M134" s="168"/>
      <c r="N134" s="168"/>
      <c r="O134" s="181"/>
      <c r="P134" s="181"/>
    </row>
    <row r="135" spans="1:16" ht="21.75" customHeight="1" x14ac:dyDescent="0.3">
      <c r="A135" s="233"/>
      <c r="B135" s="234"/>
      <c r="C135" s="234"/>
      <c r="D135" s="235">
        <v>3</v>
      </c>
      <c r="E135" s="236" t="s">
        <v>55</v>
      </c>
      <c r="F135" s="237"/>
      <c r="G135" s="238"/>
      <c r="H135" s="239"/>
      <c r="I135" s="240"/>
      <c r="J135" s="241">
        <f ca="1">IFERROR(__xludf.DUMMYFUNCTION("IMPORTRANGE(""https://docs.google.com/spreadsheets/d/11923uPwbBZFjjGgGUA6NLw09EwE0CqkOc4q9oUmW1yo/edit?usp=sharing"",""เพชรบูรณ์!J65"")"),0)</f>
        <v>0</v>
      </c>
      <c r="K135" s="242"/>
      <c r="L135" s="243"/>
      <c r="M135" s="243"/>
      <c r="N135" s="243"/>
      <c r="O135" s="244"/>
      <c r="P135" s="244"/>
    </row>
    <row r="136" spans="1:16" ht="21.75" customHeight="1" x14ac:dyDescent="0.3">
      <c r="A136" s="245" t="s">
        <v>72</v>
      </c>
      <c r="B136" s="246"/>
      <c r="C136" s="246"/>
      <c r="D136" s="246"/>
      <c r="E136" s="247"/>
      <c r="F136" s="247"/>
      <c r="G136" s="248"/>
      <c r="H136" s="249"/>
      <c r="I136" s="250"/>
      <c r="J136" s="250"/>
      <c r="K136" s="251"/>
      <c r="L136" s="252"/>
      <c r="M136" s="252"/>
      <c r="N136" s="252"/>
      <c r="O136" s="252"/>
      <c r="P136" s="252"/>
    </row>
    <row r="137" spans="1:16" ht="21.75" customHeight="1" x14ac:dyDescent="0.3">
      <c r="A137" s="253" t="s">
        <v>73</v>
      </c>
      <c r="B137" s="254"/>
      <c r="C137" s="254"/>
      <c r="D137" s="255"/>
      <c r="E137" s="255"/>
      <c r="F137" s="255"/>
      <c r="G137" s="256"/>
      <c r="H137" s="257"/>
      <c r="I137" s="258"/>
      <c r="J137" s="258"/>
      <c r="K137" s="259"/>
      <c r="L137" s="259"/>
      <c r="M137" s="259"/>
      <c r="N137" s="259"/>
      <c r="O137" s="260"/>
      <c r="P137" s="260"/>
    </row>
    <row r="138" spans="1:16" ht="21.75" customHeight="1" x14ac:dyDescent="0.3">
      <c r="A138" s="261"/>
      <c r="B138" s="262" t="s">
        <v>74</v>
      </c>
      <c r="C138" s="263"/>
      <c r="D138" s="262"/>
      <c r="E138" s="262"/>
      <c r="F138" s="262"/>
      <c r="G138" s="264"/>
      <c r="H138" s="265" t="s">
        <v>37</v>
      </c>
      <c r="I138" s="266">
        <f ca="1">IFERROR(__xludf.DUMMYFUNCTION("IMPORTRANGE(""https://docs.google.com/spreadsheets/d/11923uPwbBZFjjGgGUA6NLw09EwE0CqkOc4q9oUmW1yo/edit?usp=sharing"",""เพชรบูรณ์!I68"")"),15)</f>
        <v>15</v>
      </c>
      <c r="J138" s="266">
        <f ca="1">IFERROR(__xludf.DUMMYFUNCTION("IMPORTRANGE(""https://docs.google.com/spreadsheets/d/11923uPwbBZFjjGgGUA6NLw09EwE0CqkOc4q9oUmW1yo/edit?usp=sharing"",""เพชรบูรณ์!J68"")"),15)</f>
        <v>15</v>
      </c>
      <c r="K138" s="267">
        <f ca="1">IF(I138&gt;0,J138*100/I138,0)</f>
        <v>100</v>
      </c>
      <c r="L138" s="268"/>
      <c r="M138" s="268"/>
      <c r="N138" s="268"/>
      <c r="O138" s="267"/>
      <c r="P138" s="267"/>
    </row>
    <row r="139" spans="1:16" ht="21.75" customHeight="1" x14ac:dyDescent="0.3">
      <c r="A139" s="261"/>
      <c r="B139" s="262" t="s">
        <v>75</v>
      </c>
      <c r="C139" s="263"/>
      <c r="D139" s="262"/>
      <c r="E139" s="262"/>
      <c r="F139" s="262"/>
      <c r="G139" s="264"/>
      <c r="H139" s="265"/>
      <c r="I139" s="266"/>
      <c r="J139" s="266"/>
      <c r="K139" s="267"/>
      <c r="L139" s="268"/>
      <c r="M139" s="268"/>
      <c r="N139" s="268"/>
      <c r="O139" s="267"/>
      <c r="P139" s="267"/>
    </row>
    <row r="140" spans="1:16" ht="21.75" customHeight="1" x14ac:dyDescent="0.45">
      <c r="A140" s="145"/>
      <c r="B140" s="146"/>
      <c r="C140" s="147" t="s">
        <v>16</v>
      </c>
      <c r="D140" s="537" t="s">
        <v>17</v>
      </c>
      <c r="E140" s="528"/>
      <c r="F140" s="528"/>
      <c r="G140" s="528"/>
      <c r="H140" s="148" t="s">
        <v>12</v>
      </c>
      <c r="I140" s="162"/>
      <c r="J140" s="162"/>
      <c r="K140" s="163"/>
      <c r="L140" s="151">
        <f t="shared" ref="L140:N140" ca="1" si="64">L141+L142</f>
        <v>254700</v>
      </c>
      <c r="M140" s="151">
        <f t="shared" ca="1" si="64"/>
        <v>140750</v>
      </c>
      <c r="N140" s="151">
        <f t="shared" ca="1" si="64"/>
        <v>99310</v>
      </c>
      <c r="O140" s="150">
        <f t="shared" ref="O140:O142" ca="1" si="65">IF(L140&gt;0,N140*100/L140,0)</f>
        <v>38.99096976835493</v>
      </c>
      <c r="P140" s="150">
        <f t="shared" ref="P140:P142" ca="1" si="66">IF(M140&gt;0,N140*100/M140,0)</f>
        <v>70.557726465364127</v>
      </c>
    </row>
    <row r="141" spans="1:16" ht="21.75" customHeight="1" x14ac:dyDescent="0.45">
      <c r="A141" s="152"/>
      <c r="B141" s="32"/>
      <c r="C141" s="32"/>
      <c r="D141" s="32"/>
      <c r="E141" s="32"/>
      <c r="F141" s="32"/>
      <c r="G141" s="33" t="s">
        <v>18</v>
      </c>
      <c r="H141" s="153" t="s">
        <v>12</v>
      </c>
      <c r="I141" s="162"/>
      <c r="J141" s="162"/>
      <c r="K141" s="163"/>
      <c r="L141" s="87">
        <f t="shared" ref="L141:N141" si="67">L143+L147</f>
        <v>0</v>
      </c>
      <c r="M141" s="87">
        <f t="shared" si="67"/>
        <v>0</v>
      </c>
      <c r="N141" s="87">
        <f t="shared" si="67"/>
        <v>0</v>
      </c>
      <c r="O141" s="155">
        <f t="shared" si="65"/>
        <v>0</v>
      </c>
      <c r="P141" s="155">
        <f t="shared" si="66"/>
        <v>0</v>
      </c>
    </row>
    <row r="142" spans="1:16" ht="21.75" customHeight="1" x14ac:dyDescent="0.45">
      <c r="A142" s="152"/>
      <c r="B142" s="32"/>
      <c r="C142" s="32"/>
      <c r="D142" s="32"/>
      <c r="E142" s="32"/>
      <c r="F142" s="32"/>
      <c r="G142" s="33" t="s">
        <v>19</v>
      </c>
      <c r="H142" s="153" t="s">
        <v>12</v>
      </c>
      <c r="I142" s="162"/>
      <c r="J142" s="162"/>
      <c r="K142" s="163"/>
      <c r="L142" s="87">
        <f t="shared" ref="L142:N142" ca="1" si="68">L144+L148</f>
        <v>254700</v>
      </c>
      <c r="M142" s="87">
        <f t="shared" ca="1" si="68"/>
        <v>140750</v>
      </c>
      <c r="N142" s="87">
        <f t="shared" ca="1" si="68"/>
        <v>99310</v>
      </c>
      <c r="O142" s="155">
        <f t="shared" ca="1" si="65"/>
        <v>38.99096976835493</v>
      </c>
      <c r="P142" s="155">
        <f t="shared" ca="1" si="66"/>
        <v>70.557726465364127</v>
      </c>
    </row>
    <row r="143" spans="1:16" ht="21.75" customHeight="1" x14ac:dyDescent="0.3">
      <c r="A143" s="156"/>
      <c r="B143" s="157"/>
      <c r="C143" s="157" t="s">
        <v>16</v>
      </c>
      <c r="D143" s="158" t="s">
        <v>38</v>
      </c>
      <c r="E143" s="159"/>
      <c r="F143" s="159"/>
      <c r="G143" s="160" t="s">
        <v>39</v>
      </c>
      <c r="H143" s="161" t="s">
        <v>12</v>
      </c>
      <c r="I143" s="162" t="s">
        <v>40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3">
      <c r="A144" s="156"/>
      <c r="B144" s="157"/>
      <c r="C144" s="157"/>
      <c r="D144" s="166"/>
      <c r="E144" s="159"/>
      <c r="F144" s="159" t="s">
        <v>40</v>
      </c>
      <c r="G144" s="160" t="s">
        <v>41</v>
      </c>
      <c r="H144" s="161" t="s">
        <v>12</v>
      </c>
      <c r="I144" s="162"/>
      <c r="J144" s="162"/>
      <c r="K144" s="163"/>
      <c r="L144" s="167">
        <f ca="1">L145+L146</f>
        <v>254700</v>
      </c>
      <c r="M144" s="167">
        <f ca="1">IFERROR(__xludf.DUMMYFUNCTION("IMPORTRANGE(""https://docs.google.com/spreadsheets/d/1Yj_ptqi66GCucihVvJfMjLAmec39IyEx_6qawtMGysU/edit?usp=sharing"",""สบก!BJ29"")"),140750)</f>
        <v>140750</v>
      </c>
      <c r="N144" s="168">
        <f ca="1">IFERROR(__xludf.DUMMYFUNCTION("IMPORTRANGE(""https://docs.google.com/spreadsheets/d/1Yj_ptqi66GCucihVvJfMjLAmec39IyEx_6qawtMGysU/edit?usp=sharing"",""สบก!BK29"")"),99310)</f>
        <v>99310</v>
      </c>
      <c r="O144" s="168">
        <f ca="1">IF(L144&gt;0,N144*100/L144,0)</f>
        <v>38.99096976835493</v>
      </c>
      <c r="P144" s="168">
        <f ca="1">IF(M144&gt;0,N144*100/M144,0)</f>
        <v>70.557726465364127</v>
      </c>
    </row>
    <row r="145" spans="1:16" ht="21.75" customHeight="1" x14ac:dyDescent="0.3">
      <c r="A145" s="156"/>
      <c r="B145" s="157"/>
      <c r="C145" s="157"/>
      <c r="D145" s="166"/>
      <c r="E145" s="159"/>
      <c r="F145" s="159"/>
      <c r="G145" s="169" t="s">
        <v>42</v>
      </c>
      <c r="H145" s="161" t="s">
        <v>12</v>
      </c>
      <c r="I145" s="162"/>
      <c r="J145" s="162"/>
      <c r="K145" s="163"/>
      <c r="L145" s="167">
        <f ca="1">IFERROR(__xludf.DUMMYFUNCTION("IMPORTRANGE(""https://docs.google.com/spreadsheets/d/1Yj_ptqi66GCucihVvJfMjLAmec39IyEx_6qawtMGysU/edit?usp=sharing"",""สบก!BF29"")"),132000)</f>
        <v>132000</v>
      </c>
      <c r="M145" s="167"/>
      <c r="N145" s="167"/>
      <c r="O145" s="168"/>
      <c r="P145" s="168"/>
    </row>
    <row r="146" spans="1:16" ht="21.75" customHeight="1" x14ac:dyDescent="0.3">
      <c r="A146" s="156"/>
      <c r="B146" s="157"/>
      <c r="C146" s="157"/>
      <c r="D146" s="166"/>
      <c r="E146" s="159"/>
      <c r="F146" s="159"/>
      <c r="G146" s="169" t="s">
        <v>43</v>
      </c>
      <c r="H146" s="161" t="s">
        <v>12</v>
      </c>
      <c r="I146" s="162"/>
      <c r="J146" s="162"/>
      <c r="K146" s="163"/>
      <c r="L146" s="167">
        <f ca="1">IFERROR(__xludf.DUMMYFUNCTION("IMPORTRANGE(""https://docs.google.com/spreadsheets/d/1Yj_ptqi66GCucihVvJfMjLAmec39IyEx_6qawtMGysU/edit?usp=sharing"",""สบก!BG29"")"),122700)</f>
        <v>122700</v>
      </c>
      <c r="M146" s="167"/>
      <c r="N146" s="167"/>
      <c r="O146" s="168"/>
      <c r="P146" s="168"/>
    </row>
    <row r="147" spans="1:16" ht="21.75" customHeight="1" x14ac:dyDescent="0.45">
      <c r="A147" s="170"/>
      <c r="B147" s="80"/>
      <c r="C147" s="81" t="s">
        <v>16</v>
      </c>
      <c r="D147" s="534" t="s">
        <v>23</v>
      </c>
      <c r="E147" s="530"/>
      <c r="F147" s="88"/>
      <c r="G147" s="82" t="s">
        <v>18</v>
      </c>
      <c r="H147" s="171" t="s">
        <v>12</v>
      </c>
      <c r="I147" s="187"/>
      <c r="J147" s="187"/>
      <c r="K147" s="223"/>
      <c r="L147" s="41">
        <v>0</v>
      </c>
      <c r="M147" s="41"/>
      <c r="N147" s="41"/>
      <c r="O147" s="41"/>
      <c r="P147" s="41"/>
    </row>
    <row r="148" spans="1:16" ht="21.75" customHeight="1" x14ac:dyDescent="0.45">
      <c r="A148" s="172"/>
      <c r="B148" s="91"/>
      <c r="C148" s="91"/>
      <c r="D148" s="173"/>
      <c r="E148" s="92"/>
      <c r="F148" s="92"/>
      <c r="G148" s="93" t="s">
        <v>19</v>
      </c>
      <c r="H148" s="174" t="s">
        <v>12</v>
      </c>
      <c r="I148" s="187"/>
      <c r="J148" s="187"/>
      <c r="K148" s="223"/>
      <c r="L148" s="49">
        <f ca="1">IFERROR(__xludf.DUMMYFUNCTION("IMPORTRANGE(""https://docs.google.com/spreadsheets/d/1Yj_ptqi66GCucihVvJfMjLAmec39IyEx_6qawtMGysU/edit?usp=sharing"",""สบก!BH29"")"),0)</f>
        <v>0</v>
      </c>
      <c r="M148" s="49"/>
      <c r="N148" s="49">
        <f ca="1">IFERROR(__xludf.DUMMYFUNCTION("IMPORTRANGE(""https://docs.google.com/spreadsheets/d/1Yj_ptqi66GCucihVvJfMjLAmec39IyEx_6qawtMGysU/edit?usp=sharing"",""สบก!BL29"")"),0)</f>
        <v>0</v>
      </c>
      <c r="O148" s="49">
        <f ca="1">IF(L148&gt;0,N148*100/L148,0)</f>
        <v>0</v>
      </c>
      <c r="P148" s="49"/>
    </row>
    <row r="149" spans="1:16" ht="21.75" customHeight="1" x14ac:dyDescent="0.3">
      <c r="A149" s="269"/>
      <c r="B149" s="270"/>
      <c r="C149" s="271" t="s">
        <v>76</v>
      </c>
      <c r="D149" s="271"/>
      <c r="E149" s="271"/>
      <c r="F149" s="271"/>
      <c r="G149" s="272"/>
      <c r="H149" s="273" t="s">
        <v>77</v>
      </c>
      <c r="I149" s="274">
        <f ca="1">IFERROR(__xludf.DUMMYFUNCTION("IMPORTRANGE(""https://docs.google.com/spreadsheets/d/11923uPwbBZFjjGgGUA6NLw09EwE0CqkOc4q9oUmW1yo/edit?usp=sharing"",""เพชรบูรณ์!I74"")"),4)</f>
        <v>4</v>
      </c>
      <c r="J149" s="274">
        <f ca="1">IFERROR(__xludf.DUMMYFUNCTION("IMPORTRANGE(""https://docs.google.com/spreadsheets/d/11923uPwbBZFjjGgGUA6NLw09EwE0CqkOc4q9oUmW1yo/edit?usp=sharing"",""เพชรบูรณ์!J74"")"),2)</f>
        <v>2</v>
      </c>
      <c r="K149" s="275">
        <f ca="1">IF(I149&gt;0,J149*100/I149,0)</f>
        <v>50</v>
      </c>
      <c r="L149" s="276"/>
      <c r="M149" s="276"/>
      <c r="N149" s="276"/>
      <c r="O149" s="276"/>
      <c r="P149" s="276"/>
    </row>
    <row r="150" spans="1:16" ht="21.75" customHeight="1" x14ac:dyDescent="0.3">
      <c r="A150" s="156"/>
      <c r="B150" s="157"/>
      <c r="C150" s="157" t="s">
        <v>16</v>
      </c>
      <c r="D150" s="158" t="s">
        <v>38</v>
      </c>
      <c r="E150" s="159"/>
      <c r="F150" s="159"/>
      <c r="G150" s="160" t="s">
        <v>39</v>
      </c>
      <c r="H150" s="161" t="s">
        <v>12</v>
      </c>
      <c r="I150" s="162" t="s">
        <v>40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3">
      <c r="A151" s="156"/>
      <c r="B151" s="157"/>
      <c r="C151" s="157"/>
      <c r="D151" s="166"/>
      <c r="E151" s="159"/>
      <c r="F151" s="159" t="s">
        <v>40</v>
      </c>
      <c r="G151" s="160" t="s">
        <v>41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3">
      <c r="A152" s="156"/>
      <c r="B152" s="157"/>
      <c r="C152" s="157"/>
      <c r="D152" s="166"/>
      <c r="E152" s="159"/>
      <c r="F152" s="159"/>
      <c r="G152" s="169" t="s">
        <v>43</v>
      </c>
      <c r="H152" s="161" t="s">
        <v>12</v>
      </c>
      <c r="I152" s="162"/>
      <c r="J152" s="162"/>
      <c r="K152" s="163"/>
      <c r="L152" s="168"/>
      <c r="M152" s="168"/>
      <c r="N152" s="167"/>
      <c r="O152" s="168"/>
      <c r="P152" s="168"/>
    </row>
    <row r="153" spans="1:16" ht="21.75" customHeight="1" x14ac:dyDescent="0.3">
      <c r="A153" s="175"/>
      <c r="B153" s="176"/>
      <c r="C153" s="157" t="s">
        <v>16</v>
      </c>
      <c r="D153" s="177" t="s">
        <v>44</v>
      </c>
      <c r="E153" s="178"/>
      <c r="F153" s="178"/>
      <c r="G153" s="179"/>
      <c r="H153" s="180"/>
      <c r="I153" s="162"/>
      <c r="J153" s="162"/>
      <c r="K153" s="163"/>
      <c r="L153" s="181"/>
      <c r="M153" s="181"/>
      <c r="N153" s="181"/>
      <c r="O153" s="181"/>
      <c r="P153" s="181"/>
    </row>
    <row r="154" spans="1:16" ht="21.75" customHeight="1" x14ac:dyDescent="0.3">
      <c r="A154" s="175"/>
      <c r="B154" s="176"/>
      <c r="C154" s="176"/>
      <c r="D154" s="182">
        <v>1</v>
      </c>
      <c r="E154" s="183" t="s">
        <v>45</v>
      </c>
      <c r="F154" s="184"/>
      <c r="G154" s="185"/>
      <c r="H154" s="186"/>
      <c r="I154" s="187"/>
      <c r="J154" s="188">
        <f ca="1">IFERROR(__xludf.DUMMYFUNCTION("IMPORTRANGE(""https://docs.google.com/spreadsheets/d/11923uPwbBZFjjGgGUA6NLw09EwE0CqkOc4q9oUmW1yo/edit?usp=sharing"",""เพชรบูรณ์!J79"")"),0)</f>
        <v>0</v>
      </c>
      <c r="K154" s="163"/>
      <c r="L154" s="181"/>
      <c r="M154" s="181"/>
      <c r="N154" s="181"/>
      <c r="O154" s="181"/>
      <c r="P154" s="181"/>
    </row>
    <row r="155" spans="1:16" ht="21.75" customHeight="1" x14ac:dyDescent="0.3">
      <c r="A155" s="175"/>
      <c r="B155" s="176"/>
      <c r="C155" s="176"/>
      <c r="D155" s="189">
        <v>2</v>
      </c>
      <c r="E155" s="190" t="s">
        <v>46</v>
      </c>
      <c r="F155" s="191"/>
      <c r="G155" s="192"/>
      <c r="H155" s="186"/>
      <c r="I155" s="187"/>
      <c r="J155" s="197">
        <f ca="1">IFERROR(__xludf.DUMMYFUNCTION("IMPORTRANGE(""https://docs.google.com/spreadsheets/d/11923uPwbBZFjjGgGUA6NLw09EwE0CqkOc4q9oUmW1yo/edit?usp=sharing"",""เพชรบูรณ์!J80"")"),1)</f>
        <v>1</v>
      </c>
      <c r="K155" s="163"/>
      <c r="L155" s="181"/>
      <c r="M155" s="181"/>
      <c r="N155" s="181"/>
      <c r="O155" s="181"/>
      <c r="P155" s="181"/>
    </row>
    <row r="156" spans="1:16" ht="21.75" customHeight="1" x14ac:dyDescent="0.3">
      <c r="A156" s="175"/>
      <c r="B156" s="176"/>
      <c r="C156" s="176"/>
      <c r="D156" s="193"/>
      <c r="E156" s="194" t="s">
        <v>47</v>
      </c>
      <c r="F156" s="195"/>
      <c r="G156" s="196"/>
      <c r="H156" s="186"/>
      <c r="I156" s="187"/>
      <c r="J156" s="197">
        <f ca="1">IFERROR(__xludf.DUMMYFUNCTION("IMPORTRANGE(""https://docs.google.com/spreadsheets/d/11923uPwbBZFjjGgGUA6NLw09EwE0CqkOc4q9oUmW1yo/edit?usp=sharing"",""เพชรบูรณ์!J81"")"),1)</f>
        <v>1</v>
      </c>
      <c r="K156" s="163"/>
      <c r="L156" s="181"/>
      <c r="M156" s="181"/>
      <c r="N156" s="181"/>
      <c r="O156" s="181"/>
      <c r="P156" s="181"/>
    </row>
    <row r="157" spans="1:16" ht="21.75" customHeight="1" x14ac:dyDescent="0.3">
      <c r="A157" s="175"/>
      <c r="B157" s="176"/>
      <c r="C157" s="176"/>
      <c r="D157" s="193"/>
      <c r="E157" s="194" t="s">
        <v>48</v>
      </c>
      <c r="F157" s="195"/>
      <c r="G157" s="196"/>
      <c r="H157" s="186"/>
      <c r="I157" s="187"/>
      <c r="J157" s="197">
        <f ca="1">IFERROR(__xludf.DUMMYFUNCTION("IMPORTRANGE(""https://docs.google.com/spreadsheets/d/11923uPwbBZFjjGgGUA6NLw09EwE0CqkOc4q9oUmW1yo/edit?usp=sharing"",""เพชรบูรณ์!J82"")"),1)</f>
        <v>1</v>
      </c>
      <c r="K157" s="163"/>
      <c r="L157" s="181"/>
      <c r="M157" s="181"/>
      <c r="N157" s="181"/>
      <c r="O157" s="181"/>
      <c r="P157" s="181"/>
    </row>
    <row r="158" spans="1:16" ht="21.75" customHeight="1" x14ac:dyDescent="0.3">
      <c r="A158" s="175"/>
      <c r="B158" s="176"/>
      <c r="C158" s="176"/>
      <c r="D158" s="193"/>
      <c r="E158" s="198"/>
      <c r="F158" s="194" t="s">
        <v>78</v>
      </c>
      <c r="G158" s="196"/>
      <c r="H158" s="180" t="s">
        <v>77</v>
      </c>
      <c r="I158" s="187">
        <f ca="1">IFERROR(__xludf.DUMMYFUNCTION("IMPORTRANGE(""https://docs.google.com/spreadsheets/d/11923uPwbBZFjjGgGUA6NLw09EwE0CqkOc4q9oUmW1yo/edit?usp=sharing"",""เพชรบูรณ์!I83"")"),4)</f>
        <v>4</v>
      </c>
      <c r="J158" s="188">
        <f ca="1">IFERROR(__xludf.DUMMYFUNCTION("IMPORTRANGE(""https://docs.google.com/spreadsheets/d/11923uPwbBZFjjGgGUA6NLw09EwE0CqkOc4q9oUmW1yo/edit?usp=sharing"",""เพชรบูรณ์!J83"")"),2)</f>
        <v>2</v>
      </c>
      <c r="K158" s="163">
        <f ca="1">IF(I158&gt;0,J158*100/I158,0)</f>
        <v>50</v>
      </c>
      <c r="L158" s="181"/>
      <c r="M158" s="181"/>
      <c r="N158" s="181"/>
      <c r="O158" s="181"/>
      <c r="P158" s="181"/>
    </row>
    <row r="159" spans="1:16" ht="21.75" customHeight="1" x14ac:dyDescent="0.3">
      <c r="A159" s="175"/>
      <c r="B159" s="176"/>
      <c r="C159" s="176"/>
      <c r="D159" s="193"/>
      <c r="E159" s="195"/>
      <c r="F159" s="277" t="s">
        <v>79</v>
      </c>
      <c r="G159" s="196"/>
      <c r="H159" s="278" t="s">
        <v>37</v>
      </c>
      <c r="I159" s="187"/>
      <c r="J159" s="203">
        <f ca="1">IFERROR(__xludf.DUMMYFUNCTION("IMPORTRANGE(""https://docs.google.com/spreadsheets/d/11923uPwbBZFjjGgGUA6NLw09EwE0CqkOc4q9oUmW1yo/edit?usp=sharing"",""เพชรบูรณ์!J84"")"),123)</f>
        <v>123</v>
      </c>
      <c r="K159" s="163"/>
      <c r="L159" s="181"/>
      <c r="M159" s="181"/>
      <c r="N159" s="181"/>
      <c r="O159" s="181"/>
      <c r="P159" s="181"/>
    </row>
    <row r="160" spans="1:16" ht="21.75" customHeight="1" x14ac:dyDescent="0.45">
      <c r="A160" s="175"/>
      <c r="B160" s="176"/>
      <c r="C160" s="176"/>
      <c r="D160" s="193"/>
      <c r="E160" s="195"/>
      <c r="F160" s="195"/>
      <c r="G160" s="279" t="s">
        <v>80</v>
      </c>
      <c r="H160" s="278" t="s">
        <v>37</v>
      </c>
      <c r="I160" s="187"/>
      <c r="J160" s="280">
        <f ca="1">IFERROR(__xludf.DUMMYFUNCTION("IMPORTRANGE(""https://docs.google.com/spreadsheets/d/11923uPwbBZFjjGgGUA6NLw09EwE0CqkOc4q9oUmW1yo/edit?usp=sharing"",""เพชรบูรณ์!J85"")"),123)</f>
        <v>123</v>
      </c>
      <c r="K160" s="163"/>
      <c r="L160" s="181"/>
      <c r="M160" s="181"/>
      <c r="N160" s="181"/>
      <c r="O160" s="181"/>
      <c r="P160" s="181"/>
    </row>
    <row r="161" spans="1:16" ht="21.75" customHeight="1" x14ac:dyDescent="0.45">
      <c r="A161" s="175"/>
      <c r="B161" s="176"/>
      <c r="C161" s="176"/>
      <c r="D161" s="193"/>
      <c r="E161" s="195"/>
      <c r="F161" s="195"/>
      <c r="G161" s="279" t="s">
        <v>81</v>
      </c>
      <c r="H161" s="278" t="s">
        <v>37</v>
      </c>
      <c r="I161" s="187"/>
      <c r="J161" s="280">
        <f ca="1">IFERROR(__xludf.DUMMYFUNCTION("IMPORTRANGE(""https://docs.google.com/spreadsheets/d/11923uPwbBZFjjGgGUA6NLw09EwE0CqkOc4q9oUmW1yo/edit?usp=sharing"",""เพชรบูรณ์!J86"")"),0)</f>
        <v>0</v>
      </c>
      <c r="K161" s="163"/>
      <c r="L161" s="181"/>
      <c r="M161" s="181"/>
      <c r="N161" s="181"/>
      <c r="O161" s="181"/>
      <c r="P161" s="181"/>
    </row>
    <row r="162" spans="1:16" ht="21.75" customHeight="1" x14ac:dyDescent="0.3">
      <c r="A162" s="175"/>
      <c r="B162" s="176"/>
      <c r="C162" s="176"/>
      <c r="D162" s="193"/>
      <c r="E162" s="194" t="s">
        <v>54</v>
      </c>
      <c r="F162" s="195"/>
      <c r="G162" s="196"/>
      <c r="H162" s="186"/>
      <c r="I162" s="187"/>
      <c r="J162" s="197">
        <f ca="1">IFERROR(__xludf.DUMMYFUNCTION("IMPORTRANGE(""https://docs.google.com/spreadsheets/d/11923uPwbBZFjjGgGUA6NLw09EwE0CqkOc4q9oUmW1yo/edit?usp=sharing"",""เพชรบูรณ์!J87"")"),0)</f>
        <v>0</v>
      </c>
      <c r="K162" s="163"/>
      <c r="L162" s="181"/>
      <c r="M162" s="181"/>
      <c r="N162" s="181"/>
      <c r="O162" s="181"/>
      <c r="P162" s="181"/>
    </row>
    <row r="163" spans="1:16" ht="21.75" customHeight="1" x14ac:dyDescent="0.3">
      <c r="A163" s="175"/>
      <c r="B163" s="176"/>
      <c r="C163" s="176"/>
      <c r="D163" s="205">
        <v>3</v>
      </c>
      <c r="E163" s="206" t="s">
        <v>55</v>
      </c>
      <c r="F163" s="207"/>
      <c r="G163" s="208"/>
      <c r="H163" s="186"/>
      <c r="I163" s="187"/>
      <c r="J163" s="209">
        <f ca="1">IFERROR(__xludf.DUMMYFUNCTION("IMPORTRANGE(""https://docs.google.com/spreadsheets/d/11923uPwbBZFjjGgGUA6NLw09EwE0CqkOc4q9oUmW1yo/edit?usp=sharing"",""เพชรบูรณ์!J88"")"),0)</f>
        <v>0</v>
      </c>
      <c r="K163" s="163"/>
      <c r="L163" s="181"/>
      <c r="M163" s="181"/>
      <c r="N163" s="181"/>
      <c r="O163" s="181"/>
      <c r="P163" s="181"/>
    </row>
    <row r="164" spans="1:16" ht="21.75" customHeight="1" x14ac:dyDescent="0.3">
      <c r="A164" s="269"/>
      <c r="B164" s="270"/>
      <c r="C164" s="271" t="s">
        <v>82</v>
      </c>
      <c r="D164" s="271"/>
      <c r="E164" s="271"/>
      <c r="F164" s="271"/>
      <c r="G164" s="272"/>
      <c r="H164" s="281" t="s">
        <v>83</v>
      </c>
      <c r="I164" s="282">
        <f ca="1">IFERROR(__xludf.DUMMYFUNCTION("IMPORTRANGE(""https://docs.google.com/spreadsheets/d/11923uPwbBZFjjGgGUA6NLw09EwE0CqkOc4q9oUmW1yo/edit?usp=sharing"",""เพชรบูรณ์!I89"")"),2)</f>
        <v>2</v>
      </c>
      <c r="J164" s="282">
        <f ca="1">IFERROR(__xludf.DUMMYFUNCTION("IMPORTRANGE(""https://docs.google.com/spreadsheets/d/11923uPwbBZFjjGgGUA6NLw09EwE0CqkOc4q9oUmW1yo/edit?usp=sharing"",""เพชรบูรณ์!J89"")"),1)</f>
        <v>1</v>
      </c>
      <c r="K164" s="283">
        <f ca="1">IF(I164&gt;0,J164*100/I164,0)</f>
        <v>50</v>
      </c>
      <c r="L164" s="276"/>
      <c r="M164" s="276"/>
      <c r="N164" s="276"/>
      <c r="O164" s="276"/>
      <c r="P164" s="276"/>
    </row>
    <row r="165" spans="1:16" ht="21.75" customHeight="1" x14ac:dyDescent="0.3">
      <c r="A165" s="156"/>
      <c r="B165" s="157"/>
      <c r="C165" s="157" t="s">
        <v>16</v>
      </c>
      <c r="D165" s="158" t="s">
        <v>38</v>
      </c>
      <c r="E165" s="159"/>
      <c r="F165" s="159"/>
      <c r="G165" s="160" t="s">
        <v>39</v>
      </c>
      <c r="H165" s="161" t="s">
        <v>12</v>
      </c>
      <c r="I165" s="162" t="s">
        <v>40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3">
      <c r="A166" s="156"/>
      <c r="B166" s="157"/>
      <c r="C166" s="157"/>
      <c r="D166" s="166"/>
      <c r="E166" s="159"/>
      <c r="F166" s="159" t="s">
        <v>40</v>
      </c>
      <c r="G166" s="160" t="s">
        <v>41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3">
      <c r="A167" s="156"/>
      <c r="B167" s="157"/>
      <c r="C167" s="157"/>
      <c r="D167" s="166"/>
      <c r="E167" s="159"/>
      <c r="F167" s="159"/>
      <c r="G167" s="169" t="s">
        <v>43</v>
      </c>
      <c r="H167" s="161" t="s">
        <v>12</v>
      </c>
      <c r="I167" s="162"/>
      <c r="J167" s="162"/>
      <c r="K167" s="163"/>
      <c r="L167" s="168"/>
      <c r="M167" s="168"/>
      <c r="N167" s="167"/>
      <c r="O167" s="168"/>
      <c r="P167" s="168"/>
    </row>
    <row r="168" spans="1:16" ht="21.75" customHeight="1" x14ac:dyDescent="0.3">
      <c r="A168" s="175"/>
      <c r="B168" s="176"/>
      <c r="C168" s="157" t="s">
        <v>16</v>
      </c>
      <c r="D168" s="177" t="s">
        <v>44</v>
      </c>
      <c r="E168" s="178"/>
      <c r="F168" s="178"/>
      <c r="G168" s="179"/>
      <c r="H168" s="180"/>
      <c r="I168" s="162"/>
      <c r="J168" s="162"/>
      <c r="K168" s="163"/>
      <c r="L168" s="181"/>
      <c r="M168" s="181"/>
      <c r="N168" s="181"/>
      <c r="O168" s="181"/>
      <c r="P168" s="181"/>
    </row>
    <row r="169" spans="1:16" ht="21.75" customHeight="1" x14ac:dyDescent="0.3">
      <c r="A169" s="175"/>
      <c r="B169" s="176"/>
      <c r="C169" s="176"/>
      <c r="D169" s="182">
        <v>1</v>
      </c>
      <c r="E169" s="183" t="s">
        <v>45</v>
      </c>
      <c r="F169" s="184"/>
      <c r="G169" s="185"/>
      <c r="H169" s="186"/>
      <c r="I169" s="187"/>
      <c r="J169" s="188">
        <f ca="1">IFERROR(__xludf.DUMMYFUNCTION("IMPORTRANGE(""https://docs.google.com/spreadsheets/d/11923uPwbBZFjjGgGUA6NLw09EwE0CqkOc4q9oUmW1yo/edit?usp=sharing"",""เพชรบูรณ์!J94"")"),0)</f>
        <v>0</v>
      </c>
      <c r="K169" s="163"/>
      <c r="L169" s="181"/>
      <c r="M169" s="181"/>
      <c r="N169" s="181"/>
      <c r="O169" s="181"/>
      <c r="P169" s="181"/>
    </row>
    <row r="170" spans="1:16" ht="21.75" customHeight="1" x14ac:dyDescent="0.3">
      <c r="A170" s="175"/>
      <c r="B170" s="176"/>
      <c r="C170" s="176"/>
      <c r="D170" s="189">
        <v>2</v>
      </c>
      <c r="E170" s="190" t="s">
        <v>46</v>
      </c>
      <c r="F170" s="191"/>
      <c r="G170" s="192"/>
      <c r="H170" s="186"/>
      <c r="I170" s="187"/>
      <c r="J170" s="197">
        <f ca="1">IFERROR(__xludf.DUMMYFUNCTION("IMPORTRANGE(""https://docs.google.com/spreadsheets/d/11923uPwbBZFjjGgGUA6NLw09EwE0CqkOc4q9oUmW1yo/edit?usp=sharing"",""เพชรบูรณ์!J95"")"),1)</f>
        <v>1</v>
      </c>
      <c r="K170" s="163"/>
      <c r="L170" s="181"/>
      <c r="M170" s="181"/>
      <c r="N170" s="181"/>
      <c r="O170" s="181"/>
      <c r="P170" s="181"/>
    </row>
    <row r="171" spans="1:16" ht="21.75" customHeight="1" x14ac:dyDescent="0.3">
      <c r="A171" s="175"/>
      <c r="B171" s="176"/>
      <c r="C171" s="176"/>
      <c r="D171" s="193"/>
      <c r="E171" s="194" t="s">
        <v>47</v>
      </c>
      <c r="F171" s="195"/>
      <c r="G171" s="196"/>
      <c r="H171" s="186"/>
      <c r="I171" s="187"/>
      <c r="J171" s="197">
        <f ca="1">IFERROR(__xludf.DUMMYFUNCTION("IMPORTRANGE(""https://docs.google.com/spreadsheets/d/11923uPwbBZFjjGgGUA6NLw09EwE0CqkOc4q9oUmW1yo/edit?usp=sharing"",""เพชรบูรณ์!J96"")"),0)</f>
        <v>0</v>
      </c>
      <c r="K171" s="163"/>
      <c r="L171" s="181"/>
      <c r="M171" s="181"/>
      <c r="N171" s="181"/>
      <c r="O171" s="181"/>
      <c r="P171" s="181"/>
    </row>
    <row r="172" spans="1:16" ht="21.75" customHeight="1" x14ac:dyDescent="0.3">
      <c r="A172" s="175"/>
      <c r="B172" s="176"/>
      <c r="C172" s="176"/>
      <c r="D172" s="193"/>
      <c r="E172" s="194" t="s">
        <v>48</v>
      </c>
      <c r="F172" s="195"/>
      <c r="G172" s="196"/>
      <c r="H172" s="186"/>
      <c r="I172" s="187"/>
      <c r="J172" s="197">
        <f ca="1">IFERROR(__xludf.DUMMYFUNCTION("IMPORTRANGE(""https://docs.google.com/spreadsheets/d/11923uPwbBZFjjGgGUA6NLw09EwE0CqkOc4q9oUmW1yo/edit?usp=sharing"",""เพชรบูรณ์!J97"")"),0)</f>
        <v>0</v>
      </c>
      <c r="K172" s="163"/>
      <c r="L172" s="181"/>
      <c r="M172" s="181"/>
      <c r="N172" s="181"/>
      <c r="O172" s="181"/>
      <c r="P172" s="181"/>
    </row>
    <row r="173" spans="1:16" ht="21.75" customHeight="1" x14ac:dyDescent="0.3">
      <c r="A173" s="175"/>
      <c r="B173" s="176"/>
      <c r="C173" s="176"/>
      <c r="D173" s="193"/>
      <c r="E173" s="198"/>
      <c r="F173" s="204" t="s">
        <v>84</v>
      </c>
      <c r="G173" s="196"/>
      <c r="H173" s="180" t="s">
        <v>83</v>
      </c>
      <c r="I173" s="187">
        <f ca="1">IFERROR(__xludf.DUMMYFUNCTION("IMPORTRANGE(""https://docs.google.com/spreadsheets/d/11923uPwbBZFjjGgGUA6NLw09EwE0CqkOc4q9oUmW1yo/edit?usp=sharing"",""เพชรบูรณ์!I98"")"),2)</f>
        <v>2</v>
      </c>
      <c r="J173" s="188">
        <f ca="1">IFERROR(__xludf.DUMMYFUNCTION("IMPORTRANGE(""https://docs.google.com/spreadsheets/d/11923uPwbBZFjjGgGUA6NLw09EwE0CqkOc4q9oUmW1yo/edit?usp=sharing"",""เพชรบูรณ์!J98"")"),1)</f>
        <v>1</v>
      </c>
      <c r="K173" s="163">
        <f ca="1">IF(I173&gt;0,J173*100/I173,0)</f>
        <v>50</v>
      </c>
      <c r="L173" s="168"/>
      <c r="M173" s="168"/>
      <c r="N173" s="167"/>
      <c r="O173" s="168"/>
      <c r="P173" s="168"/>
    </row>
    <row r="174" spans="1:16" ht="21.75" customHeight="1" x14ac:dyDescent="0.3">
      <c r="A174" s="175"/>
      <c r="B174" s="176"/>
      <c r="C174" s="176"/>
      <c r="D174" s="193"/>
      <c r="E174" s="194" t="s">
        <v>54</v>
      </c>
      <c r="F174" s="195"/>
      <c r="G174" s="196"/>
      <c r="H174" s="186"/>
      <c r="I174" s="187"/>
      <c r="J174" s="197">
        <f ca="1">IFERROR(__xludf.DUMMYFUNCTION("IMPORTRANGE(""https://docs.google.com/spreadsheets/d/11923uPwbBZFjjGgGUA6NLw09EwE0CqkOc4q9oUmW1yo/edit?usp=sharing"",""เพชรบูรณ์!J99"")"),0)</f>
        <v>0</v>
      </c>
      <c r="K174" s="163"/>
      <c r="L174" s="181"/>
      <c r="M174" s="181"/>
      <c r="N174" s="181"/>
      <c r="O174" s="181"/>
      <c r="P174" s="181"/>
    </row>
    <row r="175" spans="1:16" ht="21.75" customHeight="1" x14ac:dyDescent="0.3">
      <c r="A175" s="175"/>
      <c r="B175" s="176"/>
      <c r="C175" s="176"/>
      <c r="D175" s="205">
        <v>3</v>
      </c>
      <c r="E175" s="206" t="s">
        <v>55</v>
      </c>
      <c r="F175" s="207"/>
      <c r="G175" s="208"/>
      <c r="H175" s="186"/>
      <c r="I175" s="187"/>
      <c r="J175" s="209">
        <f ca="1">IFERROR(__xludf.DUMMYFUNCTION("IMPORTRANGE(""https://docs.google.com/spreadsheets/d/11923uPwbBZFjjGgGUA6NLw09EwE0CqkOc4q9oUmW1yo/edit?usp=sharing"",""เพชรบูรณ์!J100"")"),0)</f>
        <v>0</v>
      </c>
      <c r="K175" s="163"/>
      <c r="L175" s="181"/>
      <c r="M175" s="181"/>
      <c r="N175" s="181"/>
      <c r="O175" s="181"/>
      <c r="P175" s="181"/>
    </row>
    <row r="176" spans="1:16" ht="21.75" customHeight="1" x14ac:dyDescent="0.3">
      <c r="A176" s="269"/>
      <c r="B176" s="270"/>
      <c r="C176" s="271" t="s">
        <v>85</v>
      </c>
      <c r="D176" s="271"/>
      <c r="E176" s="271"/>
      <c r="F176" s="271"/>
      <c r="G176" s="272"/>
      <c r="H176" s="281" t="s">
        <v>83</v>
      </c>
      <c r="I176" s="282">
        <f ca="1">IFERROR(__xludf.DUMMYFUNCTION("IMPORTRANGE(""https://docs.google.com/spreadsheets/d/11923uPwbBZFjjGgGUA6NLw09EwE0CqkOc4q9oUmW1yo/edit?usp=sharing"",""เพชรบูรณ์!I101"")"),2)</f>
        <v>2</v>
      </c>
      <c r="J176" s="282">
        <f ca="1">IFERROR(__xludf.DUMMYFUNCTION("IMPORTRANGE(""https://docs.google.com/spreadsheets/d/11923uPwbBZFjjGgGUA6NLw09EwE0CqkOc4q9oUmW1yo/edit?usp=sharing"",""เพชรบูรณ์!J101"")"),1)</f>
        <v>1</v>
      </c>
      <c r="K176" s="283">
        <f ca="1">IF(I176&gt;0,J176*100/I176,0)</f>
        <v>50</v>
      </c>
      <c r="L176" s="276"/>
      <c r="M176" s="276"/>
      <c r="N176" s="276"/>
      <c r="O176" s="276"/>
      <c r="P176" s="276"/>
    </row>
    <row r="177" spans="1:16" ht="21.75" customHeight="1" x14ac:dyDescent="0.3">
      <c r="A177" s="156"/>
      <c r="B177" s="157"/>
      <c r="C177" s="157" t="s">
        <v>16</v>
      </c>
      <c r="D177" s="158" t="s">
        <v>38</v>
      </c>
      <c r="E177" s="159"/>
      <c r="F177" s="159"/>
      <c r="G177" s="160" t="s">
        <v>39</v>
      </c>
      <c r="H177" s="161" t="s">
        <v>12</v>
      </c>
      <c r="I177" s="162" t="s">
        <v>40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3">
      <c r="A178" s="156"/>
      <c r="B178" s="157"/>
      <c r="C178" s="157"/>
      <c r="D178" s="166"/>
      <c r="E178" s="159"/>
      <c r="F178" s="159" t="s">
        <v>40</v>
      </c>
      <c r="G178" s="160" t="s">
        <v>41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3">
      <c r="A179" s="156"/>
      <c r="B179" s="157"/>
      <c r="C179" s="157"/>
      <c r="D179" s="166"/>
      <c r="E179" s="159"/>
      <c r="F179" s="159"/>
      <c r="G179" s="169" t="s">
        <v>43</v>
      </c>
      <c r="H179" s="161" t="s">
        <v>12</v>
      </c>
      <c r="I179" s="162"/>
      <c r="J179" s="187"/>
      <c r="K179" s="223"/>
      <c r="L179" s="168"/>
      <c r="M179" s="168"/>
      <c r="N179" s="167"/>
      <c r="O179" s="168"/>
      <c r="P179" s="168"/>
    </row>
    <row r="180" spans="1:16" ht="21.75" customHeight="1" x14ac:dyDescent="0.3">
      <c r="A180" s="175"/>
      <c r="B180" s="176"/>
      <c r="C180" s="157" t="s">
        <v>16</v>
      </c>
      <c r="D180" s="177" t="s">
        <v>44</v>
      </c>
      <c r="E180" s="178"/>
      <c r="F180" s="178"/>
      <c r="G180" s="179"/>
      <c r="H180" s="180"/>
      <c r="I180" s="162"/>
      <c r="J180" s="187"/>
      <c r="K180" s="223"/>
      <c r="L180" s="168"/>
      <c r="M180" s="168"/>
      <c r="N180" s="168"/>
      <c r="O180" s="181"/>
      <c r="P180" s="181"/>
    </row>
    <row r="181" spans="1:16" ht="21.75" customHeight="1" x14ac:dyDescent="0.3">
      <c r="A181" s="175"/>
      <c r="B181" s="176"/>
      <c r="C181" s="176"/>
      <c r="D181" s="182">
        <v>1</v>
      </c>
      <c r="E181" s="183" t="s">
        <v>45</v>
      </c>
      <c r="F181" s="184"/>
      <c r="G181" s="185"/>
      <c r="H181" s="186"/>
      <c r="I181" s="187"/>
      <c r="J181" s="187">
        <f ca="1">IFERROR(__xludf.DUMMYFUNCTION("IMPORTRANGE(""https://docs.google.com/spreadsheets/d/11923uPwbBZFjjGgGUA6NLw09EwE0CqkOc4q9oUmW1yo/edit?usp=sharing"",""เพชรบูรณ์!J106"")"),0)</f>
        <v>0</v>
      </c>
      <c r="K181" s="223"/>
      <c r="L181" s="168"/>
      <c r="M181" s="168"/>
      <c r="N181" s="168"/>
      <c r="O181" s="181"/>
      <c r="P181" s="181"/>
    </row>
    <row r="182" spans="1:16" ht="21.75" customHeight="1" x14ac:dyDescent="0.3">
      <c r="A182" s="175"/>
      <c r="B182" s="176"/>
      <c r="C182" s="176"/>
      <c r="D182" s="189">
        <v>2</v>
      </c>
      <c r="E182" s="190" t="s">
        <v>46</v>
      </c>
      <c r="F182" s="191"/>
      <c r="G182" s="192"/>
      <c r="H182" s="186"/>
      <c r="I182" s="187"/>
      <c r="J182" s="187">
        <f ca="1">IFERROR(__xludf.DUMMYFUNCTION("IMPORTRANGE(""https://docs.google.com/spreadsheets/d/11923uPwbBZFjjGgGUA6NLw09EwE0CqkOc4q9oUmW1yo/edit?usp=sharing"",""เพชรบูรณ์!J107"")"),1)</f>
        <v>1</v>
      </c>
      <c r="K182" s="223"/>
      <c r="L182" s="168"/>
      <c r="M182" s="168"/>
      <c r="N182" s="168"/>
      <c r="O182" s="181"/>
      <c r="P182" s="181"/>
    </row>
    <row r="183" spans="1:16" ht="21.75" customHeight="1" x14ac:dyDescent="0.3">
      <c r="A183" s="175"/>
      <c r="B183" s="176"/>
      <c r="C183" s="176"/>
      <c r="D183" s="193"/>
      <c r="E183" s="194" t="s">
        <v>47</v>
      </c>
      <c r="F183" s="195"/>
      <c r="G183" s="196"/>
      <c r="H183" s="186"/>
      <c r="I183" s="187"/>
      <c r="J183" s="187">
        <f ca="1">IFERROR(__xludf.DUMMYFUNCTION("IMPORTRANGE(""https://docs.google.com/spreadsheets/d/11923uPwbBZFjjGgGUA6NLw09EwE0CqkOc4q9oUmW1yo/edit?usp=sharing"",""เพชรบูรณ์!J108"")"),0)</f>
        <v>0</v>
      </c>
      <c r="K183" s="223"/>
      <c r="L183" s="168"/>
      <c r="M183" s="168"/>
      <c r="N183" s="168"/>
      <c r="O183" s="181"/>
      <c r="P183" s="181"/>
    </row>
    <row r="184" spans="1:16" ht="21.75" customHeight="1" x14ac:dyDescent="0.3">
      <c r="A184" s="175"/>
      <c r="B184" s="176"/>
      <c r="C184" s="176"/>
      <c r="D184" s="193"/>
      <c r="E184" s="194" t="s">
        <v>48</v>
      </c>
      <c r="F184" s="195"/>
      <c r="G184" s="196"/>
      <c r="H184" s="186"/>
      <c r="I184" s="187"/>
      <c r="J184" s="187">
        <f ca="1">IFERROR(__xludf.DUMMYFUNCTION("IMPORTRANGE(""https://docs.google.com/spreadsheets/d/11923uPwbBZFjjGgGUA6NLw09EwE0CqkOc4q9oUmW1yo/edit?usp=sharing"",""เพชรบูรณ์!J109"")"),0)</f>
        <v>0</v>
      </c>
      <c r="K184" s="223"/>
      <c r="L184" s="168"/>
      <c r="M184" s="168"/>
      <c r="N184" s="168"/>
      <c r="O184" s="181"/>
      <c r="P184" s="181"/>
    </row>
    <row r="185" spans="1:16" ht="21.75" customHeight="1" x14ac:dyDescent="0.3">
      <c r="A185" s="175"/>
      <c r="B185" s="176"/>
      <c r="C185" s="176"/>
      <c r="D185" s="193"/>
      <c r="E185" s="198"/>
      <c r="F185" s="194" t="s">
        <v>86</v>
      </c>
      <c r="G185" s="196"/>
      <c r="H185" s="180" t="s">
        <v>83</v>
      </c>
      <c r="I185" s="187">
        <f ca="1">IFERROR(__xludf.DUMMYFUNCTION("IMPORTRANGE(""https://docs.google.com/spreadsheets/d/11923uPwbBZFjjGgGUA6NLw09EwE0CqkOc4q9oUmW1yo/edit?usp=sharing"",""เพชรบูรณ์!I110"")"),2)</f>
        <v>2</v>
      </c>
      <c r="J185" s="203">
        <f ca="1">IFERROR(__xludf.DUMMYFUNCTION("IMPORTRANGE(""https://docs.google.com/spreadsheets/d/11923uPwbBZFjjGgGUA6NLw09EwE0CqkOc4q9oUmW1yo/edit?usp=sharing"",""เพชรบูรณ์!J110"")"),1)</f>
        <v>1</v>
      </c>
      <c r="K185" s="223">
        <f t="shared" ref="K185:K186" ca="1" si="69">IF(I185&gt;0,J185*100/I185,0)</f>
        <v>50</v>
      </c>
      <c r="L185" s="168"/>
      <c r="M185" s="168"/>
      <c r="N185" s="167"/>
      <c r="O185" s="168"/>
      <c r="P185" s="168"/>
    </row>
    <row r="186" spans="1:16" ht="21.75" customHeight="1" x14ac:dyDescent="0.3">
      <c r="A186" s="175"/>
      <c r="B186" s="176"/>
      <c r="C186" s="176"/>
      <c r="D186" s="193"/>
      <c r="E186" s="198"/>
      <c r="F186" s="194" t="s">
        <v>87</v>
      </c>
      <c r="G186" s="196"/>
      <c r="H186" s="180" t="s">
        <v>83</v>
      </c>
      <c r="I186" s="187">
        <f ca="1">IFERROR(__xludf.DUMMYFUNCTION("IMPORTRANGE(""https://docs.google.com/spreadsheets/d/11923uPwbBZFjjGgGUA6NLw09EwE0CqkOc4q9oUmW1yo/edit?usp=sharing"",""เพชรบูรณ์!I111"")"),2)</f>
        <v>2</v>
      </c>
      <c r="J186" s="203">
        <f ca="1">IFERROR(__xludf.DUMMYFUNCTION("IMPORTRANGE(""https://docs.google.com/spreadsheets/d/11923uPwbBZFjjGgGUA6NLw09EwE0CqkOc4q9oUmW1yo/edit?usp=sharing"",""เพชรบูรณ์!J111"")"),1)</f>
        <v>1</v>
      </c>
      <c r="K186" s="223">
        <f t="shared" ca="1" si="69"/>
        <v>50</v>
      </c>
      <c r="L186" s="168"/>
      <c r="M186" s="168"/>
      <c r="N186" s="167"/>
      <c r="O186" s="168"/>
      <c r="P186" s="168"/>
    </row>
    <row r="187" spans="1:16" ht="21.75" customHeight="1" x14ac:dyDescent="0.3">
      <c r="A187" s="175"/>
      <c r="B187" s="176"/>
      <c r="C187" s="176"/>
      <c r="D187" s="193"/>
      <c r="E187" s="194" t="s">
        <v>54</v>
      </c>
      <c r="F187" s="195"/>
      <c r="G187" s="196"/>
      <c r="H187" s="186"/>
      <c r="I187" s="187"/>
      <c r="J187" s="187">
        <f ca="1">IFERROR(__xludf.DUMMYFUNCTION("IMPORTRANGE(""https://docs.google.com/spreadsheets/d/11923uPwbBZFjjGgGUA6NLw09EwE0CqkOc4q9oUmW1yo/edit?usp=sharing"",""เพชรบูรณ์!J112"")"),0)</f>
        <v>0</v>
      </c>
      <c r="K187" s="223"/>
      <c r="L187" s="168"/>
      <c r="M187" s="168"/>
      <c r="N187" s="168"/>
      <c r="O187" s="181"/>
      <c r="P187" s="181"/>
    </row>
    <row r="188" spans="1:16" ht="21.75" customHeight="1" x14ac:dyDescent="0.3">
      <c r="A188" s="175"/>
      <c r="B188" s="176"/>
      <c r="C188" s="176"/>
      <c r="D188" s="205">
        <v>3</v>
      </c>
      <c r="E188" s="206" t="s">
        <v>55</v>
      </c>
      <c r="F188" s="207"/>
      <c r="G188" s="208"/>
      <c r="H188" s="186"/>
      <c r="I188" s="187"/>
      <c r="J188" s="226">
        <f ca="1">IFERROR(__xludf.DUMMYFUNCTION("IMPORTRANGE(""https://docs.google.com/spreadsheets/d/11923uPwbBZFjjGgGUA6NLw09EwE0CqkOc4q9oUmW1yo/edit?usp=sharing"",""เพชรบูรณ์!J113"")"),0)</f>
        <v>0</v>
      </c>
      <c r="K188" s="223"/>
      <c r="L188" s="168"/>
      <c r="M188" s="168"/>
      <c r="N188" s="168"/>
      <c r="O188" s="181"/>
      <c r="P188" s="181"/>
    </row>
    <row r="189" spans="1:16" ht="21.75" customHeight="1" x14ac:dyDescent="0.3">
      <c r="A189" s="269"/>
      <c r="B189" s="270"/>
      <c r="C189" s="271" t="s">
        <v>88</v>
      </c>
      <c r="D189" s="271"/>
      <c r="E189" s="271"/>
      <c r="F189" s="271"/>
      <c r="G189" s="272"/>
      <c r="H189" s="284" t="s">
        <v>89</v>
      </c>
      <c r="I189" s="282">
        <f ca="1">IFERROR(__xludf.DUMMYFUNCTION("IMPORTRANGE(""https://docs.google.com/spreadsheets/d/11923uPwbBZFjjGgGUA6NLw09EwE0CqkOc4q9oUmW1yo/edit?usp=sharing"",""เพชรบูรณ์!I114"")"),128000)</f>
        <v>128000</v>
      </c>
      <c r="J189" s="282">
        <f ca="1">IFERROR(__xludf.DUMMYFUNCTION("IMPORTRANGE(""https://docs.google.com/spreadsheets/d/11923uPwbBZFjjGgGUA6NLw09EwE0CqkOc4q9oUmW1yo/edit?usp=sharing"",""เพชรบูรณ์!J114"")"),0)</f>
        <v>0</v>
      </c>
      <c r="K189" s="283">
        <f ca="1">IF(I189&gt;0,J189*100/I189,0)</f>
        <v>0</v>
      </c>
      <c r="L189" s="276"/>
      <c r="M189" s="276"/>
      <c r="N189" s="276"/>
      <c r="O189" s="276"/>
      <c r="P189" s="276"/>
    </row>
    <row r="190" spans="1:16" ht="21.75" customHeight="1" x14ac:dyDescent="0.3">
      <c r="A190" s="156"/>
      <c r="B190" s="157"/>
      <c r="C190" s="157" t="s">
        <v>16</v>
      </c>
      <c r="D190" s="158" t="s">
        <v>38</v>
      </c>
      <c r="E190" s="159"/>
      <c r="F190" s="159"/>
      <c r="G190" s="160" t="s">
        <v>39</v>
      </c>
      <c r="H190" s="161" t="s">
        <v>12</v>
      </c>
      <c r="I190" s="162" t="s">
        <v>40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3">
      <c r="A191" s="156"/>
      <c r="B191" s="157"/>
      <c r="C191" s="157"/>
      <c r="D191" s="166"/>
      <c r="E191" s="159"/>
      <c r="F191" s="159" t="s">
        <v>40</v>
      </c>
      <c r="G191" s="160" t="s">
        <v>41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3">
      <c r="A192" s="156"/>
      <c r="B192" s="157"/>
      <c r="C192" s="157"/>
      <c r="D192" s="166"/>
      <c r="E192" s="159"/>
      <c r="F192" s="159"/>
      <c r="G192" s="169" t="s">
        <v>43</v>
      </c>
      <c r="H192" s="161" t="s">
        <v>12</v>
      </c>
      <c r="I192" s="162"/>
      <c r="J192" s="162"/>
      <c r="K192" s="163"/>
      <c r="L192" s="168"/>
      <c r="M192" s="168"/>
      <c r="N192" s="167"/>
      <c r="O192" s="168"/>
      <c r="P192" s="168"/>
    </row>
    <row r="193" spans="1:16" ht="21.75" customHeight="1" x14ac:dyDescent="0.3">
      <c r="A193" s="175"/>
      <c r="B193" s="176"/>
      <c r="C193" s="157" t="s">
        <v>16</v>
      </c>
      <c r="D193" s="177" t="s">
        <v>44</v>
      </c>
      <c r="E193" s="178"/>
      <c r="F193" s="178"/>
      <c r="G193" s="179"/>
      <c r="H193" s="180"/>
      <c r="I193" s="162"/>
      <c r="J193" s="162"/>
      <c r="K193" s="163"/>
      <c r="L193" s="181"/>
      <c r="M193" s="181"/>
      <c r="N193" s="181"/>
      <c r="O193" s="181"/>
      <c r="P193" s="181"/>
    </row>
    <row r="194" spans="1:16" ht="21.75" customHeight="1" x14ac:dyDescent="0.3">
      <c r="A194" s="175"/>
      <c r="B194" s="176"/>
      <c r="C194" s="176"/>
      <c r="D194" s="182">
        <v>1</v>
      </c>
      <c r="E194" s="183" t="s">
        <v>45</v>
      </c>
      <c r="F194" s="184"/>
      <c r="G194" s="185"/>
      <c r="H194" s="186"/>
      <c r="I194" s="187"/>
      <c r="J194" s="197">
        <f ca="1">IFERROR(__xludf.DUMMYFUNCTION("IMPORTRANGE(""https://docs.google.com/spreadsheets/d/11923uPwbBZFjjGgGUA6NLw09EwE0CqkOc4q9oUmW1yo/edit?usp=sharing"",""เพชรบูรณ์!J119"")"),0)</f>
        <v>0</v>
      </c>
      <c r="K194" s="163"/>
      <c r="L194" s="181"/>
      <c r="M194" s="181"/>
      <c r="N194" s="181"/>
      <c r="O194" s="181"/>
      <c r="P194" s="181"/>
    </row>
    <row r="195" spans="1:16" ht="21.75" customHeight="1" x14ac:dyDescent="0.3">
      <c r="A195" s="175"/>
      <c r="B195" s="176"/>
      <c r="C195" s="176"/>
      <c r="D195" s="189">
        <v>2</v>
      </c>
      <c r="E195" s="190" t="s">
        <v>46</v>
      </c>
      <c r="F195" s="191"/>
      <c r="G195" s="192"/>
      <c r="H195" s="186"/>
      <c r="I195" s="187"/>
      <c r="J195" s="188">
        <f ca="1">IFERROR(__xludf.DUMMYFUNCTION("IMPORTRANGE(""https://docs.google.com/spreadsheets/d/11923uPwbBZFjjGgGUA6NLw09EwE0CqkOc4q9oUmW1yo/edit?usp=sharing"",""เพชรบูรณ์!J120"")"),1)</f>
        <v>1</v>
      </c>
      <c r="K195" s="163"/>
      <c r="L195" s="181"/>
      <c r="M195" s="181"/>
      <c r="N195" s="181"/>
      <c r="O195" s="181"/>
      <c r="P195" s="181"/>
    </row>
    <row r="196" spans="1:16" ht="21.75" customHeight="1" x14ac:dyDescent="0.3">
      <c r="A196" s="175"/>
      <c r="B196" s="176"/>
      <c r="C196" s="176"/>
      <c r="D196" s="193"/>
      <c r="E196" s="194" t="s">
        <v>47</v>
      </c>
      <c r="F196" s="195"/>
      <c r="G196" s="196"/>
      <c r="H196" s="186"/>
      <c r="I196" s="187"/>
      <c r="J196" s="188">
        <f ca="1">IFERROR(__xludf.DUMMYFUNCTION("IMPORTRANGE(""https://docs.google.com/spreadsheets/d/11923uPwbBZFjjGgGUA6NLw09EwE0CqkOc4q9oUmW1yo/edit?usp=sharing"",""เพชรบูรณ์!J121"")"),1)</f>
        <v>1</v>
      </c>
      <c r="K196" s="163"/>
      <c r="L196" s="181"/>
      <c r="M196" s="181"/>
      <c r="N196" s="181"/>
      <c r="O196" s="181"/>
      <c r="P196" s="181"/>
    </row>
    <row r="197" spans="1:16" ht="21.75" customHeight="1" x14ac:dyDescent="0.3">
      <c r="A197" s="175"/>
      <c r="B197" s="176"/>
      <c r="C197" s="176"/>
      <c r="D197" s="193"/>
      <c r="E197" s="194" t="s">
        <v>48</v>
      </c>
      <c r="F197" s="195"/>
      <c r="G197" s="196"/>
      <c r="H197" s="186"/>
      <c r="I197" s="187"/>
      <c r="J197" s="197">
        <f ca="1">IFERROR(__xludf.DUMMYFUNCTION("IMPORTRANGE(""https://docs.google.com/spreadsheets/d/11923uPwbBZFjjGgGUA6NLw09EwE0CqkOc4q9oUmW1yo/edit?usp=sharing"",""เพชรบูรณ์!J122"")"),1)</f>
        <v>1</v>
      </c>
      <c r="K197" s="163"/>
      <c r="L197" s="181"/>
      <c r="M197" s="181"/>
      <c r="N197" s="181"/>
      <c r="O197" s="181"/>
      <c r="P197" s="181"/>
    </row>
    <row r="198" spans="1:16" ht="21.75" customHeight="1" x14ac:dyDescent="0.3">
      <c r="A198" s="175"/>
      <c r="B198" s="176"/>
      <c r="C198" s="176"/>
      <c r="D198" s="193"/>
      <c r="E198" s="195"/>
      <c r="F198" s="195" t="s">
        <v>90</v>
      </c>
      <c r="G198" s="196"/>
      <c r="H198" s="180"/>
      <c r="I198" s="187"/>
      <c r="J198" s="187"/>
      <c r="K198" s="163"/>
      <c r="L198" s="181"/>
      <c r="M198" s="181"/>
      <c r="N198" s="181"/>
      <c r="O198" s="181"/>
      <c r="P198" s="181"/>
    </row>
    <row r="199" spans="1:16" ht="21.75" customHeight="1" x14ac:dyDescent="0.3">
      <c r="A199" s="175"/>
      <c r="B199" s="176"/>
      <c r="C199" s="176"/>
      <c r="D199" s="193"/>
      <c r="E199" s="198"/>
      <c r="F199" s="195"/>
      <c r="G199" s="194" t="s">
        <v>91</v>
      </c>
      <c r="H199" s="180" t="s">
        <v>89</v>
      </c>
      <c r="I199" s="187">
        <f ca="1">IFERROR(__xludf.DUMMYFUNCTION("IMPORTRANGE(""https://docs.google.com/spreadsheets/d/11923uPwbBZFjjGgGUA6NLw09EwE0CqkOc4q9oUmW1yo/edit?usp=sharing"",""เพชรบูรณ์!I124"")"),128000)</f>
        <v>128000</v>
      </c>
      <c r="J199" s="188">
        <f ca="1">IFERROR(__xludf.DUMMYFUNCTION("IMPORTRANGE(""https://docs.google.com/spreadsheets/d/11923uPwbBZFjjGgGUA6NLw09EwE0CqkOc4q9oUmW1yo/edit?usp=sharing"",""เพชรบูรณ์!J124"")"),128000)</f>
        <v>128000</v>
      </c>
      <c r="K199" s="163">
        <f t="shared" ref="K199:K201" ca="1" si="70">IF(I199&gt;0,J199*100/I199,0)</f>
        <v>100</v>
      </c>
      <c r="L199" s="181"/>
      <c r="M199" s="181"/>
      <c r="N199" s="181"/>
      <c r="O199" s="181"/>
      <c r="P199" s="181"/>
    </row>
    <row r="200" spans="1:16" ht="21.75" customHeight="1" x14ac:dyDescent="0.3">
      <c r="A200" s="175"/>
      <c r="B200" s="176"/>
      <c r="C200" s="176"/>
      <c r="D200" s="193"/>
      <c r="E200" s="198"/>
      <c r="F200" s="195"/>
      <c r="G200" s="194" t="s">
        <v>92</v>
      </c>
      <c r="H200" s="180" t="s">
        <v>89</v>
      </c>
      <c r="I200" s="187">
        <f ca="1">IFERROR(__xludf.DUMMYFUNCTION("IMPORTRANGE(""https://docs.google.com/spreadsheets/d/11923uPwbBZFjjGgGUA6NLw09EwE0CqkOc4q9oUmW1yo/edit?usp=sharing"",""เพชรบูรณ์!I125"")"),128000)</f>
        <v>128000</v>
      </c>
      <c r="J200" s="188">
        <f ca="1">IFERROR(__xludf.DUMMYFUNCTION("IMPORTRANGE(""https://docs.google.com/spreadsheets/d/11923uPwbBZFjjGgGUA6NLw09EwE0CqkOc4q9oUmW1yo/edit?usp=sharing"",""เพชรบูรณ์!J125"")"),0)</f>
        <v>0</v>
      </c>
      <c r="K200" s="163">
        <f t="shared" ca="1" si="70"/>
        <v>0</v>
      </c>
      <c r="L200" s="168"/>
      <c r="M200" s="168"/>
      <c r="N200" s="167"/>
      <c r="O200" s="168"/>
      <c r="P200" s="168"/>
    </row>
    <row r="201" spans="1:16" ht="21.75" customHeight="1" x14ac:dyDescent="0.3">
      <c r="A201" s="175"/>
      <c r="B201" s="176"/>
      <c r="C201" s="176"/>
      <c r="D201" s="193"/>
      <c r="E201" s="198"/>
      <c r="F201" s="195" t="s">
        <v>93</v>
      </c>
      <c r="G201" s="196"/>
      <c r="H201" s="180" t="s">
        <v>37</v>
      </c>
      <c r="I201" s="187">
        <f ca="1">IFERROR(__xludf.DUMMYFUNCTION("IMPORTRANGE(""https://docs.google.com/spreadsheets/d/11923uPwbBZFjjGgGUA6NLw09EwE0CqkOc4q9oUmW1yo/edit?usp=sharing"",""เพชรบูรณ์!I126"")"),15)</f>
        <v>15</v>
      </c>
      <c r="J201" s="188">
        <f ca="1">IFERROR(__xludf.DUMMYFUNCTION("IMPORTRANGE(""https://docs.google.com/spreadsheets/d/11923uPwbBZFjjGgGUA6NLw09EwE0CqkOc4q9oUmW1yo/edit?usp=sharing"",""เพชรบูรณ์!J126"")"),15)</f>
        <v>15</v>
      </c>
      <c r="K201" s="163">
        <f t="shared" ca="1" si="70"/>
        <v>100</v>
      </c>
      <c r="L201" s="168"/>
      <c r="M201" s="168"/>
      <c r="N201" s="167"/>
      <c r="O201" s="168"/>
      <c r="P201" s="168"/>
    </row>
    <row r="202" spans="1:16" ht="21.75" customHeight="1" x14ac:dyDescent="0.3">
      <c r="A202" s="175"/>
      <c r="B202" s="176"/>
      <c r="C202" s="176"/>
      <c r="D202" s="193"/>
      <c r="E202" s="194" t="s">
        <v>54</v>
      </c>
      <c r="F202" s="195"/>
      <c r="G202" s="196"/>
      <c r="H202" s="186"/>
      <c r="I202" s="187"/>
      <c r="J202" s="197">
        <f ca="1">IFERROR(__xludf.DUMMYFUNCTION("IMPORTRANGE(""https://docs.google.com/spreadsheets/d/11923uPwbBZFjjGgGUA6NLw09EwE0CqkOc4q9oUmW1yo/edit?usp=sharing"",""เพชรบูรณ์!J127"")"),0)</f>
        <v>0</v>
      </c>
      <c r="K202" s="163"/>
      <c r="L202" s="181"/>
      <c r="M202" s="181"/>
      <c r="N202" s="181"/>
      <c r="O202" s="181"/>
      <c r="P202" s="181"/>
    </row>
    <row r="203" spans="1:16" ht="21.75" customHeight="1" x14ac:dyDescent="0.3">
      <c r="A203" s="233"/>
      <c r="B203" s="234"/>
      <c r="C203" s="234"/>
      <c r="D203" s="235">
        <v>3</v>
      </c>
      <c r="E203" s="236" t="s">
        <v>55</v>
      </c>
      <c r="F203" s="237"/>
      <c r="G203" s="238"/>
      <c r="H203" s="239"/>
      <c r="I203" s="240"/>
      <c r="J203" s="285">
        <f ca="1">IFERROR(__xludf.DUMMYFUNCTION("IMPORTRANGE(""https://docs.google.com/spreadsheets/d/11923uPwbBZFjjGgGUA6NLw09EwE0CqkOc4q9oUmW1yo/edit?usp=sharing"",""เพชรบูรณ์!J128"")"),0)</f>
        <v>0</v>
      </c>
      <c r="K203" s="286"/>
      <c r="L203" s="244"/>
      <c r="M203" s="244"/>
      <c r="N203" s="244"/>
      <c r="O203" s="244"/>
      <c r="P203" s="244"/>
    </row>
    <row r="204" spans="1:16" ht="21.75" customHeight="1" x14ac:dyDescent="0.3">
      <c r="A204" s="269"/>
      <c r="B204" s="270"/>
      <c r="C204" s="287" t="s">
        <v>94</v>
      </c>
      <c r="D204" s="271"/>
      <c r="E204" s="271"/>
      <c r="F204" s="271"/>
      <c r="G204" s="272"/>
      <c r="H204" s="284" t="s">
        <v>37</v>
      </c>
      <c r="I204" s="282">
        <f ca="1">IFERROR(__xludf.DUMMYFUNCTION("IMPORTRANGE(""https://docs.google.com/spreadsheets/d/11923uPwbBZFjjGgGUA6NLw09EwE0CqkOc4q9oUmW1yo/edit?usp=sharing"",""เพชรบูรณ์!I129"")"),0)</f>
        <v>0</v>
      </c>
      <c r="J204" s="282">
        <f ca="1">IFERROR(__xludf.DUMMYFUNCTION("IMPORTRANGE(""https://docs.google.com/spreadsheets/d/11923uPwbBZFjjGgGUA6NLw09EwE0CqkOc4q9oUmW1yo/edit?usp=sharing"",""เพชรบูรณ์!J129"")"),0)</f>
        <v>0</v>
      </c>
      <c r="K204" s="283">
        <f ca="1">IF(I204&gt;0,J204*100/I204,0)</f>
        <v>0</v>
      </c>
      <c r="L204" s="276"/>
      <c r="M204" s="276"/>
      <c r="N204" s="276"/>
      <c r="O204" s="276"/>
      <c r="P204" s="276"/>
    </row>
    <row r="205" spans="1:16" ht="21.75" customHeight="1" x14ac:dyDescent="0.3">
      <c r="A205" s="156"/>
      <c r="B205" s="157"/>
      <c r="C205" s="157" t="s">
        <v>16</v>
      </c>
      <c r="D205" s="158" t="s">
        <v>38</v>
      </c>
      <c r="E205" s="159"/>
      <c r="F205" s="159"/>
      <c r="G205" s="160" t="s">
        <v>39</v>
      </c>
      <c r="H205" s="161" t="s">
        <v>12</v>
      </c>
      <c r="I205" s="162" t="s">
        <v>40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3">
      <c r="A206" s="156"/>
      <c r="B206" s="157"/>
      <c r="C206" s="157"/>
      <c r="D206" s="166"/>
      <c r="E206" s="159"/>
      <c r="F206" s="159" t="s">
        <v>40</v>
      </c>
      <c r="G206" s="160" t="s">
        <v>41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3">
      <c r="A207" s="156"/>
      <c r="B207" s="157"/>
      <c r="C207" s="157"/>
      <c r="D207" s="166"/>
      <c r="E207" s="159"/>
      <c r="F207" s="159"/>
      <c r="G207" s="169" t="s">
        <v>43</v>
      </c>
      <c r="H207" s="161" t="s">
        <v>12</v>
      </c>
      <c r="I207" s="162"/>
      <c r="J207" s="187"/>
      <c r="K207" s="223"/>
      <c r="L207" s="168"/>
      <c r="M207" s="168"/>
      <c r="N207" s="167"/>
      <c r="O207" s="168"/>
      <c r="P207" s="168"/>
    </row>
    <row r="208" spans="1:16" ht="21.75" customHeight="1" x14ac:dyDescent="0.3">
      <c r="A208" s="175"/>
      <c r="B208" s="176"/>
      <c r="C208" s="157" t="s">
        <v>16</v>
      </c>
      <c r="D208" s="177" t="s">
        <v>44</v>
      </c>
      <c r="E208" s="178"/>
      <c r="F208" s="178"/>
      <c r="G208" s="179"/>
      <c r="H208" s="180"/>
      <c r="I208" s="162"/>
      <c r="J208" s="187"/>
      <c r="K208" s="223"/>
      <c r="L208" s="168"/>
      <c r="M208" s="168"/>
      <c r="N208" s="168"/>
      <c r="O208" s="181"/>
      <c r="P208" s="181"/>
    </row>
    <row r="209" spans="1:16" ht="21.75" customHeight="1" x14ac:dyDescent="0.3">
      <c r="A209" s="175"/>
      <c r="B209" s="176"/>
      <c r="C209" s="176"/>
      <c r="D209" s="182">
        <v>1</v>
      </c>
      <c r="E209" s="183" t="s">
        <v>45</v>
      </c>
      <c r="F209" s="184"/>
      <c r="G209" s="185"/>
      <c r="H209" s="186"/>
      <c r="I209" s="187"/>
      <c r="J209" s="187">
        <f ca="1">IFERROR(__xludf.DUMMYFUNCTION("IMPORTRANGE(""https://docs.google.com/spreadsheets/d/11923uPwbBZFjjGgGUA6NLw09EwE0CqkOc4q9oUmW1yo/edit?usp=sharing"",""เพชรบูรณ์!J134"")"),0)</f>
        <v>0</v>
      </c>
      <c r="K209" s="223"/>
      <c r="L209" s="168"/>
      <c r="M209" s="168"/>
      <c r="N209" s="168"/>
      <c r="O209" s="181"/>
      <c r="P209" s="181"/>
    </row>
    <row r="210" spans="1:16" ht="21.75" customHeight="1" x14ac:dyDescent="0.3">
      <c r="A210" s="175"/>
      <c r="B210" s="176"/>
      <c r="C210" s="176"/>
      <c r="D210" s="189">
        <v>2</v>
      </c>
      <c r="E210" s="190" t="s">
        <v>46</v>
      </c>
      <c r="F210" s="191"/>
      <c r="G210" s="192"/>
      <c r="H210" s="186"/>
      <c r="I210" s="187"/>
      <c r="J210" s="187">
        <f ca="1">IFERROR(__xludf.DUMMYFUNCTION("IMPORTRANGE(""https://docs.google.com/spreadsheets/d/11923uPwbBZFjjGgGUA6NLw09EwE0CqkOc4q9oUmW1yo/edit?usp=sharing"",""เพชรบูรณ์!J135"")"),0)</f>
        <v>0</v>
      </c>
      <c r="K210" s="223"/>
      <c r="L210" s="168"/>
      <c r="M210" s="168"/>
      <c r="N210" s="168"/>
      <c r="O210" s="181"/>
      <c r="P210" s="181"/>
    </row>
    <row r="211" spans="1:16" ht="21.75" customHeight="1" x14ac:dyDescent="0.3">
      <c r="A211" s="175"/>
      <c r="B211" s="176"/>
      <c r="C211" s="176"/>
      <c r="D211" s="193"/>
      <c r="E211" s="194" t="s">
        <v>47</v>
      </c>
      <c r="F211" s="195"/>
      <c r="G211" s="196"/>
      <c r="H211" s="186"/>
      <c r="I211" s="187"/>
      <c r="J211" s="187">
        <f ca="1">IFERROR(__xludf.DUMMYFUNCTION("IMPORTRANGE(""https://docs.google.com/spreadsheets/d/11923uPwbBZFjjGgGUA6NLw09EwE0CqkOc4q9oUmW1yo/edit?usp=sharing"",""เพชรบูรณ์!J136"")"),0)</f>
        <v>0</v>
      </c>
      <c r="K211" s="223"/>
      <c r="L211" s="168"/>
      <c r="M211" s="168"/>
      <c r="N211" s="168"/>
      <c r="O211" s="181"/>
      <c r="P211" s="181"/>
    </row>
    <row r="212" spans="1:16" ht="21.75" customHeight="1" x14ac:dyDescent="0.3">
      <c r="A212" s="175"/>
      <c r="B212" s="176"/>
      <c r="C212" s="176"/>
      <c r="D212" s="193"/>
      <c r="E212" s="194" t="s">
        <v>48</v>
      </c>
      <c r="F212" s="195"/>
      <c r="G212" s="196"/>
      <c r="H212" s="186"/>
      <c r="I212" s="187"/>
      <c r="J212" s="187">
        <f ca="1">IFERROR(__xludf.DUMMYFUNCTION("IMPORTRANGE(""https://docs.google.com/spreadsheets/d/11923uPwbBZFjjGgGUA6NLw09EwE0CqkOc4q9oUmW1yo/edit?usp=sharing"",""เพชรบูรณ์!J137"")"),0)</f>
        <v>0</v>
      </c>
      <c r="K212" s="223"/>
      <c r="L212" s="168"/>
      <c r="M212" s="168"/>
      <c r="N212" s="168"/>
      <c r="O212" s="181"/>
      <c r="P212" s="181"/>
    </row>
    <row r="213" spans="1:16" ht="21.75" customHeight="1" x14ac:dyDescent="0.3">
      <c r="A213" s="175"/>
      <c r="B213" s="176"/>
      <c r="C213" s="176"/>
      <c r="D213" s="193"/>
      <c r="E213" s="198"/>
      <c r="F213" s="195" t="s">
        <v>95</v>
      </c>
      <c r="G213" s="196"/>
      <c r="H213" s="180" t="s">
        <v>37</v>
      </c>
      <c r="I213" s="187">
        <f ca="1">IFERROR(__xludf.DUMMYFUNCTION("IMPORTRANGE(""https://docs.google.com/spreadsheets/d/11923uPwbBZFjjGgGUA6NLw09EwE0CqkOc4q9oUmW1yo/edit?usp=sharing"",""เพชรบูรณ์!I138"")"),0)</f>
        <v>0</v>
      </c>
      <c r="J213" s="203">
        <f ca="1">IFERROR(__xludf.DUMMYFUNCTION("IMPORTRANGE(""https://docs.google.com/spreadsheets/d/11923uPwbBZFjjGgGUA6NLw09EwE0CqkOc4q9oUmW1yo/edit?usp=sharing"",""เพชรบูรณ์!J138"")"),0)</f>
        <v>0</v>
      </c>
      <c r="K213" s="223">
        <f ca="1">IF(I213&gt;0,J213*100/I213,0)</f>
        <v>0</v>
      </c>
      <c r="L213" s="168"/>
      <c r="M213" s="168"/>
      <c r="N213" s="167"/>
      <c r="O213" s="168"/>
      <c r="P213" s="168"/>
    </row>
    <row r="214" spans="1:16" ht="21.75" customHeight="1" x14ac:dyDescent="0.3">
      <c r="A214" s="175"/>
      <c r="B214" s="176"/>
      <c r="C214" s="176"/>
      <c r="D214" s="193"/>
      <c r="E214" s="198"/>
      <c r="F214" s="194" t="s">
        <v>53</v>
      </c>
      <c r="G214" s="196"/>
      <c r="H214" s="180"/>
      <c r="I214" s="187"/>
      <c r="J214" s="187"/>
      <c r="K214" s="223"/>
      <c r="L214" s="168"/>
      <c r="M214" s="168"/>
      <c r="N214" s="168"/>
      <c r="O214" s="181"/>
      <c r="P214" s="181"/>
    </row>
    <row r="215" spans="1:16" ht="21.75" customHeight="1" x14ac:dyDescent="0.3">
      <c r="A215" s="175"/>
      <c r="B215" s="176"/>
      <c r="C215" s="176"/>
      <c r="D215" s="193"/>
      <c r="E215" s="198"/>
      <c r="F215" s="195"/>
      <c r="G215" s="225" t="s">
        <v>96</v>
      </c>
      <c r="H215" s="180" t="s">
        <v>37</v>
      </c>
      <c r="I215" s="187">
        <f ca="1">IFERROR(__xludf.DUMMYFUNCTION("IMPORTRANGE(""https://docs.google.com/spreadsheets/d/11923uPwbBZFjjGgGUA6NLw09EwE0CqkOc4q9oUmW1yo/edit?usp=sharing"",""เพชรบูรณ์!I140"")"),0)</f>
        <v>0</v>
      </c>
      <c r="J215" s="203">
        <f ca="1">IFERROR(__xludf.DUMMYFUNCTION("IMPORTRANGE(""https://docs.google.com/spreadsheets/d/11923uPwbBZFjjGgGUA6NLw09EwE0CqkOc4q9oUmW1yo/edit?usp=sharing"",""เพชรบูรณ์!J140"")"),0)</f>
        <v>0</v>
      </c>
      <c r="K215" s="223">
        <f t="shared" ref="K215:K216" ca="1" si="71">IF(I215&gt;0,J215*100/I215,0)</f>
        <v>0</v>
      </c>
      <c r="L215" s="168"/>
      <c r="M215" s="168"/>
      <c r="N215" s="167"/>
      <c r="O215" s="168"/>
      <c r="P215" s="168"/>
    </row>
    <row r="216" spans="1:16" ht="21.75" customHeight="1" x14ac:dyDescent="0.3">
      <c r="A216" s="175"/>
      <c r="B216" s="176"/>
      <c r="C216" s="176"/>
      <c r="D216" s="193"/>
      <c r="E216" s="198"/>
      <c r="F216" s="195"/>
      <c r="G216" s="225" t="s">
        <v>97</v>
      </c>
      <c r="H216" s="180" t="s">
        <v>59</v>
      </c>
      <c r="I216" s="187">
        <f ca="1">IFERROR(__xludf.DUMMYFUNCTION("IMPORTRANGE(""https://docs.google.com/spreadsheets/d/11923uPwbBZFjjGgGUA6NLw09EwE0CqkOc4q9oUmW1yo/edit?usp=sharing"",""เพชรบูรณ์!I141"")"),0)</f>
        <v>0</v>
      </c>
      <c r="J216" s="203">
        <f ca="1">IFERROR(__xludf.DUMMYFUNCTION("IMPORTRANGE(""https://docs.google.com/spreadsheets/d/11923uPwbBZFjjGgGUA6NLw09EwE0CqkOc4q9oUmW1yo/edit?usp=sharing"",""เพชรบูรณ์!J141"")"),0)</f>
        <v>0</v>
      </c>
      <c r="K216" s="223">
        <f t="shared" ca="1" si="71"/>
        <v>0</v>
      </c>
      <c r="L216" s="168"/>
      <c r="M216" s="168"/>
      <c r="N216" s="167"/>
      <c r="O216" s="168"/>
      <c r="P216" s="168"/>
    </row>
    <row r="217" spans="1:16" ht="21.75" customHeight="1" x14ac:dyDescent="0.3">
      <c r="A217" s="175"/>
      <c r="B217" s="176"/>
      <c r="C217" s="176"/>
      <c r="D217" s="193"/>
      <c r="E217" s="194" t="s">
        <v>54</v>
      </c>
      <c r="F217" s="195"/>
      <c r="G217" s="196"/>
      <c r="H217" s="186"/>
      <c r="I217" s="187"/>
      <c r="J217" s="187">
        <f ca="1">IFERROR(__xludf.DUMMYFUNCTION("IMPORTRANGE(""https://docs.google.com/spreadsheets/d/11923uPwbBZFjjGgGUA6NLw09EwE0CqkOc4q9oUmW1yo/edit?usp=sharing"",""เพชรบูรณ์!J142"")"),0)</f>
        <v>0</v>
      </c>
      <c r="K217" s="223"/>
      <c r="L217" s="168"/>
      <c r="M217" s="168"/>
      <c r="N217" s="168"/>
      <c r="O217" s="181"/>
      <c r="P217" s="181"/>
    </row>
    <row r="218" spans="1:16" ht="21.75" customHeight="1" x14ac:dyDescent="0.3">
      <c r="A218" s="233"/>
      <c r="B218" s="234"/>
      <c r="C218" s="234"/>
      <c r="D218" s="235">
        <v>3</v>
      </c>
      <c r="E218" s="236" t="s">
        <v>55</v>
      </c>
      <c r="F218" s="237"/>
      <c r="G218" s="238"/>
      <c r="H218" s="239"/>
      <c r="I218" s="240"/>
      <c r="J218" s="241">
        <f ca="1">IFERROR(__xludf.DUMMYFUNCTION("IMPORTRANGE(""https://docs.google.com/spreadsheets/d/11923uPwbBZFjjGgGUA6NLw09EwE0CqkOc4q9oUmW1yo/edit?usp=sharing"",""เพชรบูรณ์!J143"")"),0)</f>
        <v>0</v>
      </c>
      <c r="K218" s="242"/>
      <c r="L218" s="243"/>
      <c r="M218" s="243"/>
      <c r="N218" s="243"/>
      <c r="O218" s="244"/>
      <c r="P218" s="244"/>
    </row>
    <row r="219" spans="1:16" ht="21.75" customHeight="1" x14ac:dyDescent="0.3">
      <c r="A219" s="261"/>
      <c r="B219" s="262" t="s">
        <v>98</v>
      </c>
      <c r="C219" s="263"/>
      <c r="D219" s="262"/>
      <c r="E219" s="262"/>
      <c r="F219" s="262"/>
      <c r="G219" s="264"/>
      <c r="H219" s="265" t="s">
        <v>37</v>
      </c>
      <c r="I219" s="266">
        <f ca="1">IFERROR(__xludf.DUMMYFUNCTION("IMPORTRANGE(""https://docs.google.com/spreadsheets/d/11923uPwbBZFjjGgGUA6NLw09EwE0CqkOc4q9oUmW1yo/edit?usp=sharing"",""เพชรบูรณ์!I144"")"),15)</f>
        <v>15</v>
      </c>
      <c r="J219" s="266">
        <f ca="1">IFERROR(__xludf.DUMMYFUNCTION("IMPORTRANGE(""https://docs.google.com/spreadsheets/d/11923uPwbBZFjjGgGUA6NLw09EwE0CqkOc4q9oUmW1yo/edit?usp=sharing"",""เพชรบูรณ์!J144"")"),15)</f>
        <v>15</v>
      </c>
      <c r="K219" s="267">
        <f ca="1">IF(I219&gt;0,J219*100/I219,0)</f>
        <v>100</v>
      </c>
      <c r="L219" s="268"/>
      <c r="M219" s="268"/>
      <c r="N219" s="268"/>
      <c r="O219" s="267"/>
      <c r="P219" s="267"/>
    </row>
    <row r="220" spans="1:16" ht="21.75" customHeight="1" x14ac:dyDescent="0.45">
      <c r="A220" s="145"/>
      <c r="B220" s="146"/>
      <c r="C220" s="147" t="s">
        <v>16</v>
      </c>
      <c r="D220" s="537" t="s">
        <v>17</v>
      </c>
      <c r="E220" s="528"/>
      <c r="F220" s="528"/>
      <c r="G220" s="528"/>
      <c r="H220" s="148" t="s">
        <v>12</v>
      </c>
      <c r="I220" s="162"/>
      <c r="J220" s="162"/>
      <c r="K220" s="163"/>
      <c r="L220" s="151">
        <f t="shared" ref="L220:N220" ca="1" si="72">L221+L222</f>
        <v>21125</v>
      </c>
      <c r="M220" s="151">
        <f t="shared" ca="1" si="72"/>
        <v>21125</v>
      </c>
      <c r="N220" s="151">
        <f t="shared" ca="1" si="72"/>
        <v>21125</v>
      </c>
      <c r="O220" s="150">
        <f t="shared" ref="O220:O222" ca="1" si="73">IF(L220&gt;0,N220*100/L220,0)</f>
        <v>100</v>
      </c>
      <c r="P220" s="150">
        <f t="shared" ref="P220:P222" ca="1" si="74">IF(M220&gt;0,N220*100/M220,0)</f>
        <v>100</v>
      </c>
    </row>
    <row r="221" spans="1:16" ht="21.75" customHeight="1" x14ac:dyDescent="0.45">
      <c r="A221" s="152"/>
      <c r="B221" s="32"/>
      <c r="C221" s="32"/>
      <c r="D221" s="32"/>
      <c r="E221" s="32"/>
      <c r="F221" s="32"/>
      <c r="G221" s="33" t="s">
        <v>18</v>
      </c>
      <c r="H221" s="153" t="s">
        <v>12</v>
      </c>
      <c r="I221" s="162"/>
      <c r="J221" s="162"/>
      <c r="K221" s="163"/>
      <c r="L221" s="87">
        <f t="shared" ref="L221:N221" si="75">L223+L227</f>
        <v>0</v>
      </c>
      <c r="M221" s="87">
        <f t="shared" si="75"/>
        <v>0</v>
      </c>
      <c r="N221" s="87">
        <f t="shared" si="75"/>
        <v>0</v>
      </c>
      <c r="O221" s="155">
        <f t="shared" si="73"/>
        <v>0</v>
      </c>
      <c r="P221" s="155">
        <f t="shared" si="74"/>
        <v>0</v>
      </c>
    </row>
    <row r="222" spans="1:16" ht="21.75" customHeight="1" x14ac:dyDescent="0.45">
      <c r="A222" s="152"/>
      <c r="B222" s="32"/>
      <c r="C222" s="32"/>
      <c r="D222" s="32"/>
      <c r="E222" s="32"/>
      <c r="F222" s="32"/>
      <c r="G222" s="33" t="s">
        <v>19</v>
      </c>
      <c r="H222" s="153" t="s">
        <v>12</v>
      </c>
      <c r="I222" s="162"/>
      <c r="J222" s="162"/>
      <c r="K222" s="163"/>
      <c r="L222" s="87">
        <f t="shared" ref="L222:N222" ca="1" si="76">L224+L228</f>
        <v>21125</v>
      </c>
      <c r="M222" s="87">
        <f t="shared" ca="1" si="76"/>
        <v>21125</v>
      </c>
      <c r="N222" s="87">
        <f t="shared" ca="1" si="76"/>
        <v>21125</v>
      </c>
      <c r="O222" s="155">
        <f t="shared" ca="1" si="73"/>
        <v>100</v>
      </c>
      <c r="P222" s="155">
        <f t="shared" ca="1" si="74"/>
        <v>100</v>
      </c>
    </row>
    <row r="223" spans="1:16" ht="21.75" customHeight="1" x14ac:dyDescent="0.3">
      <c r="A223" s="156"/>
      <c r="B223" s="157"/>
      <c r="C223" s="157" t="s">
        <v>16</v>
      </c>
      <c r="D223" s="158" t="s">
        <v>38</v>
      </c>
      <c r="E223" s="159"/>
      <c r="F223" s="159"/>
      <c r="G223" s="160" t="s">
        <v>39</v>
      </c>
      <c r="H223" s="161" t="s">
        <v>12</v>
      </c>
      <c r="I223" s="162" t="s">
        <v>40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3">
      <c r="A224" s="156"/>
      <c r="B224" s="157"/>
      <c r="C224" s="157"/>
      <c r="D224" s="166"/>
      <c r="E224" s="159"/>
      <c r="F224" s="159" t="s">
        <v>40</v>
      </c>
      <c r="G224" s="160" t="s">
        <v>41</v>
      </c>
      <c r="H224" s="161" t="s">
        <v>12</v>
      </c>
      <c r="I224" s="162"/>
      <c r="J224" s="162"/>
      <c r="K224" s="163"/>
      <c r="L224" s="167">
        <f ca="1">L225+L226</f>
        <v>21125</v>
      </c>
      <c r="M224" s="167">
        <f ca="1">IFERROR(__xludf.DUMMYFUNCTION("IMPORTRANGE(""https://docs.google.com/spreadsheets/d/1Yj_ptqi66GCucihVvJfMjLAmec39IyEx_6qawtMGysU/edit?usp=sharing"",""สบก!BS29"")"),21125)</f>
        <v>21125</v>
      </c>
      <c r="N224" s="168">
        <f ca="1">IFERROR(__xludf.DUMMYFUNCTION("IMPORTRANGE(""https://docs.google.com/spreadsheets/d/1Yj_ptqi66GCucihVvJfMjLAmec39IyEx_6qawtMGysU/edit?usp=sharing"",""สบก!BT29"")"),21125)</f>
        <v>21125</v>
      </c>
      <c r="O224" s="168">
        <f ca="1">IF(L224&gt;0,N224*100/L224,0)</f>
        <v>100</v>
      </c>
      <c r="P224" s="168">
        <f ca="1">IF(M224&gt;0,N224*100/M224,0)</f>
        <v>100</v>
      </c>
    </row>
    <row r="225" spans="1:16" ht="21.75" customHeight="1" x14ac:dyDescent="0.3">
      <c r="A225" s="156"/>
      <c r="B225" s="157"/>
      <c r="C225" s="157"/>
      <c r="D225" s="166"/>
      <c r="E225" s="159"/>
      <c r="F225" s="159"/>
      <c r="G225" s="169" t="s">
        <v>42</v>
      </c>
      <c r="H225" s="161" t="s">
        <v>12</v>
      </c>
      <c r="I225" s="162"/>
      <c r="J225" s="162"/>
      <c r="K225" s="163"/>
      <c r="L225" s="167">
        <f ca="1">IFERROR(__xludf.DUMMYFUNCTION("IMPORTRANGE(""https://docs.google.com/spreadsheets/d/1Yj_ptqi66GCucihVvJfMjLAmec39IyEx_6qawtMGysU/edit?usp=sharing"",""สบก!BO29"")"),0)</f>
        <v>0</v>
      </c>
      <c r="M225" s="167"/>
      <c r="N225" s="167"/>
      <c r="O225" s="168"/>
      <c r="P225" s="168"/>
    </row>
    <row r="226" spans="1:16" ht="21.75" customHeight="1" x14ac:dyDescent="0.3">
      <c r="A226" s="156"/>
      <c r="B226" s="157"/>
      <c r="C226" s="157"/>
      <c r="D226" s="166"/>
      <c r="E226" s="159"/>
      <c r="F226" s="159"/>
      <c r="G226" s="169" t="s">
        <v>43</v>
      </c>
      <c r="H226" s="161" t="s">
        <v>12</v>
      </c>
      <c r="I226" s="162"/>
      <c r="J226" s="162"/>
      <c r="K226" s="163"/>
      <c r="L226" s="167">
        <f ca="1">IFERROR(__xludf.DUMMYFUNCTION("IMPORTRANGE(""https://docs.google.com/spreadsheets/d/1Yj_ptqi66GCucihVvJfMjLAmec39IyEx_6qawtMGysU/edit?usp=sharing"",""สบก!BP29"")"),21125)</f>
        <v>21125</v>
      </c>
      <c r="M226" s="167"/>
      <c r="N226" s="167"/>
      <c r="O226" s="168"/>
      <c r="P226" s="168"/>
    </row>
    <row r="227" spans="1:16" ht="21.75" customHeight="1" x14ac:dyDescent="0.45">
      <c r="A227" s="170"/>
      <c r="B227" s="80"/>
      <c r="C227" s="81" t="s">
        <v>16</v>
      </c>
      <c r="D227" s="534" t="s">
        <v>23</v>
      </c>
      <c r="E227" s="530"/>
      <c r="F227" s="88"/>
      <c r="G227" s="82" t="s">
        <v>18</v>
      </c>
      <c r="H227" s="171" t="s">
        <v>12</v>
      </c>
      <c r="I227" s="200"/>
      <c r="J227" s="200"/>
      <c r="K227" s="288"/>
      <c r="L227" s="41">
        <v>0</v>
      </c>
      <c r="M227" s="41"/>
      <c r="N227" s="41"/>
      <c r="O227" s="41"/>
      <c r="P227" s="41"/>
    </row>
    <row r="228" spans="1:16" ht="21.75" customHeight="1" x14ac:dyDescent="0.45">
      <c r="A228" s="172"/>
      <c r="B228" s="91"/>
      <c r="C228" s="91"/>
      <c r="D228" s="173"/>
      <c r="E228" s="92"/>
      <c r="F228" s="92"/>
      <c r="G228" s="93" t="s">
        <v>19</v>
      </c>
      <c r="H228" s="174" t="s">
        <v>12</v>
      </c>
      <c r="I228" s="200"/>
      <c r="J228" s="200"/>
      <c r="K228" s="288"/>
      <c r="L228" s="49">
        <f ca="1">IFERROR(__xludf.DUMMYFUNCTION("IMPORTRANGE(""https://docs.google.com/spreadsheets/d/1Yj_ptqi66GCucihVvJfMjLAmec39IyEx_6qawtMGysU/edit?usp=sharing"",""สบก!BQ29"")"),0)</f>
        <v>0</v>
      </c>
      <c r="M228" s="49"/>
      <c r="N228" s="49">
        <f ca="1">IFERROR(__xludf.DUMMYFUNCTION("IMPORTRANGE(""https://docs.google.com/spreadsheets/d/1Yj_ptqi66GCucihVvJfMjLAmec39IyEx_6qawtMGysU/edit?usp=sharing"",""สบก!BU29"")"),0)</f>
        <v>0</v>
      </c>
      <c r="O228" s="49">
        <f ca="1">IF(L228&gt;0,N228*100/L228,0)</f>
        <v>0</v>
      </c>
      <c r="P228" s="49"/>
    </row>
    <row r="229" spans="1:16" ht="21.75" customHeight="1" x14ac:dyDescent="0.3">
      <c r="A229" s="175"/>
      <c r="B229" s="289"/>
      <c r="C229" s="263" t="s">
        <v>99</v>
      </c>
      <c r="D229" s="262"/>
      <c r="E229" s="262"/>
      <c r="F229" s="262"/>
      <c r="G229" s="264"/>
      <c r="H229" s="265" t="s">
        <v>37</v>
      </c>
      <c r="I229" s="266">
        <f ca="1">IFERROR(__xludf.DUMMYFUNCTION("IMPORTRANGE(""https://docs.google.com/spreadsheets/d/11923uPwbBZFjjGgGUA6NLw09EwE0CqkOc4q9oUmW1yo/edit?usp=sharing"",""เพชรบูรณ์!I149"")"),15)</f>
        <v>15</v>
      </c>
      <c r="J229" s="266">
        <f ca="1">IFERROR(__xludf.DUMMYFUNCTION("IMPORTRANGE(""https://docs.google.com/spreadsheets/d/11923uPwbBZFjjGgGUA6NLw09EwE0CqkOc4q9oUmW1yo/edit?usp=sharing"",""เพชรบูรณ์!J149"")"),15)</f>
        <v>15</v>
      </c>
      <c r="K229" s="267">
        <f ca="1">IF(I229&gt;0,J229*100/I229,0)</f>
        <v>100</v>
      </c>
      <c r="L229" s="290"/>
      <c r="M229" s="290"/>
      <c r="N229" s="290"/>
      <c r="O229" s="290"/>
      <c r="P229" s="290"/>
    </row>
    <row r="230" spans="1:16" ht="21.75" customHeight="1" x14ac:dyDescent="0.3">
      <c r="A230" s="175"/>
      <c r="B230" s="176"/>
      <c r="C230" s="157" t="s">
        <v>16</v>
      </c>
      <c r="D230" s="177" t="s">
        <v>44</v>
      </c>
      <c r="E230" s="178"/>
      <c r="F230" s="178"/>
      <c r="G230" s="179"/>
      <c r="H230" s="180"/>
      <c r="I230" s="162"/>
      <c r="J230" s="162"/>
      <c r="K230" s="163"/>
      <c r="L230" s="181"/>
      <c r="M230" s="181"/>
      <c r="N230" s="181"/>
      <c r="O230" s="181"/>
      <c r="P230" s="181"/>
    </row>
    <row r="231" spans="1:16" ht="21.75" customHeight="1" x14ac:dyDescent="0.3">
      <c r="A231" s="175"/>
      <c r="B231" s="176"/>
      <c r="C231" s="176"/>
      <c r="D231" s="182">
        <v>1</v>
      </c>
      <c r="E231" s="183" t="s">
        <v>45</v>
      </c>
      <c r="F231" s="184"/>
      <c r="G231" s="185"/>
      <c r="H231" s="186"/>
      <c r="I231" s="187"/>
      <c r="J231" s="197">
        <f ca="1">IFERROR(__xludf.DUMMYFUNCTION("IMPORTRANGE(""https://docs.google.com/spreadsheets/d/11923uPwbBZFjjGgGUA6NLw09EwE0CqkOc4q9oUmW1yo/edit?usp=sharing"",""เพชรบูรณ์!J151"")"),0)</f>
        <v>0</v>
      </c>
      <c r="K231" s="163"/>
      <c r="L231" s="181"/>
      <c r="M231" s="181"/>
      <c r="N231" s="181"/>
      <c r="O231" s="181"/>
      <c r="P231" s="181"/>
    </row>
    <row r="232" spans="1:16" ht="21.75" customHeight="1" x14ac:dyDescent="0.3">
      <c r="A232" s="175"/>
      <c r="B232" s="176"/>
      <c r="C232" s="176"/>
      <c r="D232" s="189">
        <v>2</v>
      </c>
      <c r="E232" s="190" t="s">
        <v>46</v>
      </c>
      <c r="F232" s="191"/>
      <c r="G232" s="192"/>
      <c r="H232" s="186"/>
      <c r="I232" s="187"/>
      <c r="J232" s="188">
        <f ca="1">IFERROR(__xludf.DUMMYFUNCTION("IMPORTRANGE(""https://docs.google.com/spreadsheets/d/11923uPwbBZFjjGgGUA6NLw09EwE0CqkOc4q9oUmW1yo/edit?usp=sharing"",""เพชรบูรณ์!J152"")"),1)</f>
        <v>1</v>
      </c>
      <c r="K232" s="163"/>
      <c r="L232" s="181" t="s">
        <v>40</v>
      </c>
      <c r="M232" s="181"/>
      <c r="N232" s="181" t="s">
        <v>40</v>
      </c>
      <c r="O232" s="181"/>
      <c r="P232" s="181"/>
    </row>
    <row r="233" spans="1:16" ht="21.75" customHeight="1" x14ac:dyDescent="0.3">
      <c r="A233" s="175"/>
      <c r="B233" s="176"/>
      <c r="C233" s="176"/>
      <c r="D233" s="193"/>
      <c r="E233" s="194" t="s">
        <v>47</v>
      </c>
      <c r="F233" s="195"/>
      <c r="G233" s="196"/>
      <c r="H233" s="186"/>
      <c r="I233" s="187"/>
      <c r="J233" s="188">
        <f ca="1">IFERROR(__xludf.DUMMYFUNCTION("IMPORTRANGE(""https://docs.google.com/spreadsheets/d/11923uPwbBZFjjGgGUA6NLw09EwE0CqkOc4q9oUmW1yo/edit?usp=sharing"",""เพชรบูรณ์!J153"")"),1)</f>
        <v>1</v>
      </c>
      <c r="K233" s="163"/>
      <c r="L233" s="181"/>
      <c r="M233" s="181"/>
      <c r="N233" s="181"/>
      <c r="O233" s="181"/>
      <c r="P233" s="181"/>
    </row>
    <row r="234" spans="1:16" ht="21.75" customHeight="1" x14ac:dyDescent="0.3">
      <c r="A234" s="175"/>
      <c r="B234" s="176"/>
      <c r="C234" s="176"/>
      <c r="D234" s="193"/>
      <c r="E234" s="194" t="s">
        <v>48</v>
      </c>
      <c r="F234" s="195"/>
      <c r="G234" s="196"/>
      <c r="H234" s="186"/>
      <c r="I234" s="187"/>
      <c r="J234" s="197">
        <f ca="1">IFERROR(__xludf.DUMMYFUNCTION("IMPORTRANGE(""https://docs.google.com/spreadsheets/d/11923uPwbBZFjjGgGUA6NLw09EwE0CqkOc4q9oUmW1yo/edit?usp=sharing"",""เพชรบูรณ์!J154"")"),1)</f>
        <v>1</v>
      </c>
      <c r="K234" s="163"/>
      <c r="L234" s="181"/>
      <c r="M234" s="181"/>
      <c r="N234" s="181"/>
      <c r="O234" s="181"/>
      <c r="P234" s="181"/>
    </row>
    <row r="235" spans="1:16" ht="21.75" customHeight="1" x14ac:dyDescent="0.3">
      <c r="A235" s="175"/>
      <c r="B235" s="176"/>
      <c r="C235" s="176"/>
      <c r="D235" s="193"/>
      <c r="E235" s="198"/>
      <c r="F235" s="195"/>
      <c r="G235" s="291" t="s">
        <v>70</v>
      </c>
      <c r="H235" s="186" t="s">
        <v>37</v>
      </c>
      <c r="I235" s="187">
        <f ca="1">IFERROR(__xludf.DUMMYFUNCTION("IMPORTRANGE(""https://docs.google.com/spreadsheets/d/11923uPwbBZFjjGgGUA6NLw09EwE0CqkOc4q9oUmW1yo/edit?usp=sharing"",""เพชรบูรณ์!I155"")"),15)</f>
        <v>15</v>
      </c>
      <c r="J235" s="188">
        <f ca="1">IFERROR(__xludf.DUMMYFUNCTION("IMPORTRANGE(""https://docs.google.com/spreadsheets/d/11923uPwbBZFjjGgGUA6NLw09EwE0CqkOc4q9oUmW1yo/edit?usp=sharing"",""เพชรบูรณ์!J155"")"),15)</f>
        <v>15</v>
      </c>
      <c r="K235" s="163">
        <f ca="1">IF(I235&gt;0,J235*100/I235,0)</f>
        <v>100</v>
      </c>
      <c r="L235" s="181"/>
      <c r="M235" s="181"/>
      <c r="N235" s="181"/>
      <c r="O235" s="181"/>
      <c r="P235" s="181"/>
    </row>
    <row r="236" spans="1:16" ht="21.75" customHeight="1" x14ac:dyDescent="0.3">
      <c r="A236" s="175"/>
      <c r="B236" s="176"/>
      <c r="C236" s="176"/>
      <c r="D236" s="193"/>
      <c r="E236" s="194" t="s">
        <v>54</v>
      </c>
      <c r="F236" s="195"/>
      <c r="G236" s="196"/>
      <c r="H236" s="186"/>
      <c r="I236" s="187"/>
      <c r="J236" s="197">
        <f ca="1">IFERROR(__xludf.DUMMYFUNCTION("IMPORTRANGE(""https://docs.google.com/spreadsheets/d/11923uPwbBZFjjGgGUA6NLw09EwE0CqkOc4q9oUmW1yo/edit?usp=sharing"",""เพชรบูรณ์!J156"")"),0)</f>
        <v>0</v>
      </c>
      <c r="K236" s="163"/>
      <c r="L236" s="181"/>
      <c r="M236" s="181"/>
      <c r="N236" s="181"/>
      <c r="O236" s="181"/>
      <c r="P236" s="181"/>
    </row>
    <row r="237" spans="1:16" ht="21.75" customHeight="1" x14ac:dyDescent="0.3">
      <c r="A237" s="175"/>
      <c r="B237" s="176"/>
      <c r="C237" s="176"/>
      <c r="D237" s="205">
        <v>3</v>
      </c>
      <c r="E237" s="206" t="s">
        <v>55</v>
      </c>
      <c r="F237" s="207"/>
      <c r="G237" s="208"/>
      <c r="H237" s="186"/>
      <c r="I237" s="187"/>
      <c r="J237" s="209">
        <f ca="1">IFERROR(__xludf.DUMMYFUNCTION("IMPORTRANGE(""https://docs.google.com/spreadsheets/d/11923uPwbBZFjjGgGUA6NLw09EwE0CqkOc4q9oUmW1yo/edit?usp=sharing"",""เพชรบูรณ์!J157"")"),0)</f>
        <v>0</v>
      </c>
      <c r="K237" s="163"/>
      <c r="L237" s="181"/>
      <c r="M237" s="181"/>
      <c r="N237" s="181"/>
      <c r="O237" s="181"/>
      <c r="P237" s="181"/>
    </row>
    <row r="238" spans="1:16" ht="21.75" customHeight="1" x14ac:dyDescent="0.3">
      <c r="A238" s="175"/>
      <c r="B238" s="176"/>
      <c r="C238" s="263" t="s">
        <v>100</v>
      </c>
      <c r="D238" s="292"/>
      <c r="E238" s="262"/>
      <c r="F238" s="262"/>
      <c r="G238" s="264"/>
      <c r="H238" s="265" t="s">
        <v>37</v>
      </c>
      <c r="I238" s="266">
        <f ca="1">IFERROR(__xludf.DUMMYFUNCTION("IMPORTRANGE(""https://docs.google.com/spreadsheets/d/11923uPwbBZFjjGgGUA6NLw09EwE0CqkOc4q9oUmW1yo/edit?usp=sharing"",""เพชรบูรณ์!I158"")"),0)</f>
        <v>0</v>
      </c>
      <c r="J238" s="266">
        <f ca="1">IFERROR(__xludf.DUMMYFUNCTION("IMPORTRANGE(""https://docs.google.com/spreadsheets/d/11923uPwbBZFjjGgGUA6NLw09EwE0CqkOc4q9oUmW1yo/edit?usp=sharing"",""เพชรบูรณ์!J158"")"),0)</f>
        <v>0</v>
      </c>
      <c r="K238" s="267">
        <f ca="1">IF(I238&gt;0,J238*100/I238,0)</f>
        <v>0</v>
      </c>
      <c r="L238" s="181"/>
      <c r="M238" s="181"/>
      <c r="N238" s="181"/>
      <c r="O238" s="181"/>
      <c r="P238" s="181"/>
    </row>
    <row r="239" spans="1:16" ht="21.75" customHeight="1" x14ac:dyDescent="0.3">
      <c r="A239" s="175"/>
      <c r="B239" s="176"/>
      <c r="C239" s="157" t="s">
        <v>16</v>
      </c>
      <c r="D239" s="177" t="s">
        <v>44</v>
      </c>
      <c r="E239" s="178"/>
      <c r="F239" s="178"/>
      <c r="G239" s="179"/>
      <c r="H239" s="180"/>
      <c r="I239" s="162"/>
      <c r="J239" s="162"/>
      <c r="K239" s="163"/>
      <c r="L239" s="181"/>
      <c r="M239" s="181"/>
      <c r="N239" s="181"/>
      <c r="O239" s="181"/>
      <c r="P239" s="181"/>
    </row>
    <row r="240" spans="1:16" ht="21.75" customHeight="1" x14ac:dyDescent="0.3">
      <c r="A240" s="175"/>
      <c r="B240" s="176"/>
      <c r="C240" s="176"/>
      <c r="D240" s="182">
        <v>1</v>
      </c>
      <c r="E240" s="183" t="s">
        <v>45</v>
      </c>
      <c r="F240" s="184"/>
      <c r="G240" s="185"/>
      <c r="H240" s="186"/>
      <c r="I240" s="187"/>
      <c r="J240" s="187" t="str">
        <f ca="1">IFERROR(__xludf.DUMMYFUNCTION("IMPORTRANGE(""https://docs.google.com/spreadsheets/d/11923uPwbBZFjjGgGUA6NLw09EwE0CqkOc4q9oUmW1yo/edit?usp=sharing"",""เพชรบูรณ์!J159"")"),"")</f>
        <v/>
      </c>
      <c r="K240" s="163"/>
      <c r="L240" s="181"/>
      <c r="M240" s="181"/>
      <c r="N240" s="181"/>
      <c r="O240" s="181"/>
      <c r="P240" s="181"/>
    </row>
    <row r="241" spans="1:16" ht="21.75" customHeight="1" x14ac:dyDescent="0.3">
      <c r="A241" s="175"/>
      <c r="B241" s="176"/>
      <c r="C241" s="176"/>
      <c r="D241" s="189">
        <v>2</v>
      </c>
      <c r="E241" s="190" t="s">
        <v>46</v>
      </c>
      <c r="F241" s="191"/>
      <c r="G241" s="192"/>
      <c r="H241" s="186"/>
      <c r="I241" s="187"/>
      <c r="J241" s="187">
        <f ca="1">IFERROR(__xludf.DUMMYFUNCTION("IMPORTRANGE(""https://docs.google.com/spreadsheets/d/11923uPwbBZFjjGgGUA6NLw09EwE0CqkOc4q9oUmW1yo/edit?usp=sharing"",""เพชรบูรณ์!J161"")"),0)</f>
        <v>0</v>
      </c>
      <c r="K241" s="163"/>
      <c r="L241" s="181" t="s">
        <v>40</v>
      </c>
      <c r="M241" s="181"/>
      <c r="N241" s="181" t="s">
        <v>40</v>
      </c>
      <c r="O241" s="181"/>
      <c r="P241" s="181"/>
    </row>
    <row r="242" spans="1:16" ht="21.75" customHeight="1" x14ac:dyDescent="0.3">
      <c r="A242" s="175"/>
      <c r="B242" s="176"/>
      <c r="C242" s="176"/>
      <c r="D242" s="193"/>
      <c r="E242" s="194" t="s">
        <v>47</v>
      </c>
      <c r="F242" s="195"/>
      <c r="G242" s="196"/>
      <c r="H242" s="186"/>
      <c r="I242" s="187"/>
      <c r="J242" s="187">
        <f ca="1">IFERROR(__xludf.DUMMYFUNCTION("IMPORTRANGE(""https://docs.google.com/spreadsheets/d/11923uPwbBZFjjGgGUA6NLw09EwE0CqkOc4q9oUmW1yo/edit?usp=sharing"",""เพชรบูรณ์!J162"")"),0)</f>
        <v>0</v>
      </c>
      <c r="K242" s="163"/>
      <c r="L242" s="181"/>
      <c r="M242" s="181"/>
      <c r="N242" s="181"/>
      <c r="O242" s="181"/>
      <c r="P242" s="181"/>
    </row>
    <row r="243" spans="1:16" ht="21.75" customHeight="1" x14ac:dyDescent="0.3">
      <c r="A243" s="175"/>
      <c r="B243" s="176"/>
      <c r="C243" s="176"/>
      <c r="D243" s="193"/>
      <c r="E243" s="194" t="s">
        <v>48</v>
      </c>
      <c r="F243" s="195"/>
      <c r="G243" s="196"/>
      <c r="H243" s="186"/>
      <c r="I243" s="187"/>
      <c r="J243" s="187">
        <f ca="1">IFERROR(__xludf.DUMMYFUNCTION("IMPORTRANGE(""https://docs.google.com/spreadsheets/d/11923uPwbBZFjjGgGUA6NLw09EwE0CqkOc4q9oUmW1yo/edit?usp=sharing"",""เพชรบูรณ์!J163"")"),0)</f>
        <v>0</v>
      </c>
      <c r="K243" s="163"/>
      <c r="L243" s="181"/>
      <c r="M243" s="181"/>
      <c r="N243" s="181"/>
      <c r="O243" s="181"/>
      <c r="P243" s="181"/>
    </row>
    <row r="244" spans="1:16" ht="21.75" customHeight="1" x14ac:dyDescent="0.3">
      <c r="A244" s="175"/>
      <c r="B244" s="176"/>
      <c r="C244" s="176"/>
      <c r="D244" s="193"/>
      <c r="E244" s="195"/>
      <c r="F244" s="194" t="s">
        <v>101</v>
      </c>
      <c r="G244" s="195"/>
      <c r="H244" s="186" t="s">
        <v>37</v>
      </c>
      <c r="I244" s="203">
        <f ca="1">IFERROR(__xludf.DUMMYFUNCTION("IMPORTRANGE(""https://docs.google.com/spreadsheets/d/11923uPwbBZFjjGgGUA6NLw09EwE0CqkOc4q9oUmW1yo/edit?usp=sharing"",""เพชรบูรณ์!I164"")"),0)</f>
        <v>0</v>
      </c>
      <c r="J244" s="187">
        <f ca="1">IFERROR(__xludf.DUMMYFUNCTION("IMPORTRANGE(""https://docs.google.com/spreadsheets/d/11923uPwbBZFjjGgGUA6NLw09EwE0CqkOc4q9oUmW1yo/edit?usp=sharing"",""เพชรบูรณ์!J164"")"),0)</f>
        <v>0</v>
      </c>
      <c r="K244" s="163">
        <f ca="1">IF(I244&gt;0,J244*100/I244,0)</f>
        <v>0</v>
      </c>
      <c r="L244" s="181"/>
      <c r="M244" s="181"/>
      <c r="N244" s="181"/>
      <c r="O244" s="181"/>
      <c r="P244" s="181"/>
    </row>
    <row r="245" spans="1:16" ht="21.75" customHeight="1" x14ac:dyDescent="0.3">
      <c r="A245" s="175"/>
      <c r="B245" s="176"/>
      <c r="C245" s="176"/>
      <c r="D245" s="193"/>
      <c r="E245" s="194" t="s">
        <v>54</v>
      </c>
      <c r="F245" s="195"/>
      <c r="G245" s="196"/>
      <c r="H245" s="186"/>
      <c r="I245" s="187"/>
      <c r="J245" s="187">
        <f ca="1">IFERROR(__xludf.DUMMYFUNCTION("IMPORTRANGE(""https://docs.google.com/spreadsheets/d/11923uPwbBZFjjGgGUA6NLw09EwE0CqkOc4q9oUmW1yo/edit?usp=sharing"",""เพชรบูรณ์!J165"")"),0)</f>
        <v>0</v>
      </c>
      <c r="K245" s="163"/>
      <c r="L245" s="181"/>
      <c r="M245" s="181"/>
      <c r="N245" s="181"/>
      <c r="O245" s="181"/>
      <c r="P245" s="181"/>
    </row>
    <row r="246" spans="1:16" ht="21.75" customHeight="1" x14ac:dyDescent="0.3">
      <c r="A246" s="233"/>
      <c r="B246" s="234"/>
      <c r="C246" s="234"/>
      <c r="D246" s="235">
        <v>3</v>
      </c>
      <c r="E246" s="236" t="s">
        <v>55</v>
      </c>
      <c r="F246" s="237"/>
      <c r="G246" s="238"/>
      <c r="H246" s="239"/>
      <c r="I246" s="240"/>
      <c r="J246" s="241">
        <f ca="1">IFERROR(__xludf.DUMMYFUNCTION("IMPORTRANGE(""https://docs.google.com/spreadsheets/d/11923uPwbBZFjjGgGUA6NLw09EwE0CqkOc4q9oUmW1yo/edit?usp=sharing"",""เพชรบูรณ์!J166"")"),0)</f>
        <v>0</v>
      </c>
      <c r="K246" s="286"/>
      <c r="L246" s="244"/>
      <c r="M246" s="244"/>
      <c r="N246" s="244"/>
      <c r="O246" s="244"/>
      <c r="P246" s="244"/>
    </row>
    <row r="247" spans="1:16" ht="21.75" customHeight="1" x14ac:dyDescent="0.3">
      <c r="A247" s="293" t="s">
        <v>102</v>
      </c>
      <c r="B247" s="294"/>
      <c r="C247" s="294"/>
      <c r="D247" s="294"/>
      <c r="E247" s="295"/>
      <c r="F247" s="295"/>
      <c r="G247" s="296"/>
      <c r="H247" s="297"/>
      <c r="I247" s="298"/>
      <c r="J247" s="298"/>
      <c r="K247" s="299"/>
      <c r="L247" s="300"/>
      <c r="M247" s="300"/>
      <c r="N247" s="300"/>
      <c r="O247" s="301"/>
      <c r="P247" s="301"/>
    </row>
    <row r="248" spans="1:16" ht="21.75" customHeight="1" x14ac:dyDescent="0.3">
      <c r="A248" s="302" t="s">
        <v>103</v>
      </c>
      <c r="B248" s="303"/>
      <c r="C248" s="303"/>
      <c r="D248" s="304"/>
      <c r="E248" s="304"/>
      <c r="F248" s="304"/>
      <c r="G248" s="305"/>
      <c r="H248" s="306"/>
      <c r="I248" s="307"/>
      <c r="J248" s="307"/>
      <c r="K248" s="308"/>
      <c r="L248" s="308"/>
      <c r="M248" s="308"/>
      <c r="N248" s="308"/>
      <c r="O248" s="309"/>
      <c r="P248" s="309"/>
    </row>
    <row r="249" spans="1:16" ht="21.75" customHeight="1" x14ac:dyDescent="0.3">
      <c r="A249" s="310"/>
      <c r="B249" s="311" t="s">
        <v>104</v>
      </c>
      <c r="C249" s="311"/>
      <c r="D249" s="311"/>
      <c r="E249" s="311"/>
      <c r="F249" s="311"/>
      <c r="G249" s="312"/>
      <c r="H249" s="313" t="s">
        <v>37</v>
      </c>
      <c r="I249" s="314">
        <f ca="1">IFERROR(__xludf.DUMMYFUNCTION("IMPORTRANGE(""https://docs.google.com/spreadsheets/d/11923uPwbBZFjjGgGUA6NLw09EwE0CqkOc4q9oUmW1yo/edit?usp=sharing"",""เพชรบูรณ์!I169"")"),25)</f>
        <v>25</v>
      </c>
      <c r="J249" s="314">
        <f ca="1">IFERROR(__xludf.DUMMYFUNCTION("IMPORTRANGE(""https://docs.google.com/spreadsheets/d/11923uPwbBZFjjGgGUA6NLw09EwE0CqkOc4q9oUmW1yo/edit?usp=sharing"",""เพชรบูรณ์!J169"")"),25)</f>
        <v>25</v>
      </c>
      <c r="K249" s="315">
        <f ca="1">IF(I249&gt;0,J249*100/I249,0)</f>
        <v>100</v>
      </c>
      <c r="L249" s="316"/>
      <c r="M249" s="316"/>
      <c r="N249" s="316"/>
      <c r="O249" s="315"/>
      <c r="P249" s="315"/>
    </row>
    <row r="250" spans="1:16" ht="21.75" customHeight="1" x14ac:dyDescent="0.45">
      <c r="A250" s="145"/>
      <c r="B250" s="146"/>
      <c r="C250" s="147" t="s">
        <v>16</v>
      </c>
      <c r="D250" s="537" t="s">
        <v>17</v>
      </c>
      <c r="E250" s="528"/>
      <c r="F250" s="528"/>
      <c r="G250" s="528"/>
      <c r="H250" s="148" t="s">
        <v>12</v>
      </c>
      <c r="I250" s="162"/>
      <c r="J250" s="162"/>
      <c r="K250" s="163"/>
      <c r="L250" s="151">
        <f t="shared" ref="L250:N250" ca="1" si="77">L251+L252</f>
        <v>199000</v>
      </c>
      <c r="M250" s="151">
        <f t="shared" ca="1" si="77"/>
        <v>97500</v>
      </c>
      <c r="N250" s="151">
        <f t="shared" ca="1" si="77"/>
        <v>91624</v>
      </c>
      <c r="O250" s="150">
        <f t="shared" ref="O250:O252" ca="1" si="78">IF(L250&gt;0,N250*100/L250,0)</f>
        <v>46.042211055276383</v>
      </c>
      <c r="P250" s="150">
        <f t="shared" ref="P250:P252" ca="1" si="79">IF(M250&gt;0,N250*100/M250,0)</f>
        <v>93.973333333333329</v>
      </c>
    </row>
    <row r="251" spans="1:16" ht="21.75" customHeight="1" x14ac:dyDescent="0.45">
      <c r="A251" s="152"/>
      <c r="B251" s="32"/>
      <c r="C251" s="32"/>
      <c r="D251" s="32"/>
      <c r="E251" s="32"/>
      <c r="F251" s="32"/>
      <c r="G251" s="33" t="s">
        <v>18</v>
      </c>
      <c r="H251" s="153" t="s">
        <v>12</v>
      </c>
      <c r="I251" s="162"/>
      <c r="J251" s="162"/>
      <c r="K251" s="163"/>
      <c r="L251" s="87">
        <f t="shared" ref="L251:N251" si="80">L253+L257</f>
        <v>0</v>
      </c>
      <c r="M251" s="87">
        <f t="shared" si="80"/>
        <v>0</v>
      </c>
      <c r="N251" s="87">
        <f t="shared" si="80"/>
        <v>0</v>
      </c>
      <c r="O251" s="155">
        <f t="shared" si="78"/>
        <v>0</v>
      </c>
      <c r="P251" s="155">
        <f t="shared" si="79"/>
        <v>0</v>
      </c>
    </row>
    <row r="252" spans="1:16" ht="21.75" customHeight="1" x14ac:dyDescent="0.45">
      <c r="A252" s="152"/>
      <c r="B252" s="32"/>
      <c r="C252" s="32"/>
      <c r="D252" s="32"/>
      <c r="E252" s="32"/>
      <c r="F252" s="32"/>
      <c r="G252" s="33" t="s">
        <v>19</v>
      </c>
      <c r="H252" s="153" t="s">
        <v>12</v>
      </c>
      <c r="I252" s="162"/>
      <c r="J252" s="162"/>
      <c r="K252" s="163"/>
      <c r="L252" s="87">
        <f t="shared" ref="L252:N252" ca="1" si="81">L254+L258</f>
        <v>199000</v>
      </c>
      <c r="M252" s="87">
        <f t="shared" ca="1" si="81"/>
        <v>97500</v>
      </c>
      <c r="N252" s="87">
        <f t="shared" ca="1" si="81"/>
        <v>91624</v>
      </c>
      <c r="O252" s="155">
        <f t="shared" ca="1" si="78"/>
        <v>46.042211055276383</v>
      </c>
      <c r="P252" s="155">
        <f t="shared" ca="1" si="79"/>
        <v>93.973333333333329</v>
      </c>
    </row>
    <row r="253" spans="1:16" ht="21.75" customHeight="1" x14ac:dyDescent="0.3">
      <c r="A253" s="156"/>
      <c r="B253" s="157"/>
      <c r="C253" s="157" t="s">
        <v>16</v>
      </c>
      <c r="D253" s="158" t="s">
        <v>38</v>
      </c>
      <c r="E253" s="159"/>
      <c r="F253" s="159"/>
      <c r="G253" s="160" t="s">
        <v>39</v>
      </c>
      <c r="H253" s="161" t="s">
        <v>12</v>
      </c>
      <c r="I253" s="162" t="s">
        <v>40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3">
      <c r="A254" s="156"/>
      <c r="B254" s="157"/>
      <c r="C254" s="157"/>
      <c r="D254" s="166"/>
      <c r="E254" s="159"/>
      <c r="F254" s="159" t="s">
        <v>40</v>
      </c>
      <c r="G254" s="160" t="s">
        <v>41</v>
      </c>
      <c r="H254" s="161" t="s">
        <v>12</v>
      </c>
      <c r="I254" s="162"/>
      <c r="J254" s="162"/>
      <c r="K254" s="163"/>
      <c r="L254" s="167">
        <f ca="1">L255+L256</f>
        <v>199000</v>
      </c>
      <c r="M254" s="167">
        <f ca="1">IFERROR(__xludf.DUMMYFUNCTION("IMPORTRANGE(""https://docs.google.com/spreadsheets/d/1Yj_ptqi66GCucihVvJfMjLAmec39IyEx_6qawtMGysU/edit?usp=sharing"",""สบก!CB29"")"),97500)</f>
        <v>97500</v>
      </c>
      <c r="N254" s="168">
        <f ca="1">IFERROR(__xludf.DUMMYFUNCTION("IMPORTRANGE(""https://docs.google.com/spreadsheets/d/1Yj_ptqi66GCucihVvJfMjLAmec39IyEx_6qawtMGysU/edit?usp=sharing"",""สบก!CC29"")"),91624)</f>
        <v>91624</v>
      </c>
      <c r="O254" s="168">
        <f ca="1">IF(L254&gt;0,N254*100/L254,0)</f>
        <v>46.042211055276383</v>
      </c>
      <c r="P254" s="168">
        <f ca="1">IF(M254&gt;0,N254*100/M254,0)</f>
        <v>93.973333333333329</v>
      </c>
    </row>
    <row r="255" spans="1:16" ht="21.75" customHeight="1" x14ac:dyDescent="0.3">
      <c r="A255" s="156"/>
      <c r="B255" s="157"/>
      <c r="C255" s="157"/>
      <c r="D255" s="166"/>
      <c r="E255" s="159"/>
      <c r="F255" s="159"/>
      <c r="G255" s="169" t="s">
        <v>42</v>
      </c>
      <c r="H255" s="161" t="s">
        <v>12</v>
      </c>
      <c r="I255" s="162"/>
      <c r="J255" s="162"/>
      <c r="K255" s="163"/>
      <c r="L255" s="167">
        <f ca="1">IFERROR(__xludf.DUMMYFUNCTION("IMPORTRANGE(""https://docs.google.com/spreadsheets/d/1Yj_ptqi66GCucihVvJfMjLAmec39IyEx_6qawtMGysU/edit?usp=sharing"",""สบก!BX29"")"),0)</f>
        <v>0</v>
      </c>
      <c r="M255" s="167"/>
      <c r="N255" s="167"/>
      <c r="O255" s="168"/>
      <c r="P255" s="168"/>
    </row>
    <row r="256" spans="1:16" ht="21.75" customHeight="1" x14ac:dyDescent="0.3">
      <c r="A256" s="156"/>
      <c r="B256" s="157"/>
      <c r="C256" s="157"/>
      <c r="D256" s="166"/>
      <c r="E256" s="159"/>
      <c r="F256" s="159"/>
      <c r="G256" s="169" t="s">
        <v>43</v>
      </c>
      <c r="H256" s="161" t="s">
        <v>12</v>
      </c>
      <c r="I256" s="162"/>
      <c r="J256" s="162"/>
      <c r="K256" s="163"/>
      <c r="L256" s="167">
        <f ca="1">IFERROR(__xludf.DUMMYFUNCTION("IMPORTRANGE(""https://docs.google.com/spreadsheets/d/1Yj_ptqi66GCucihVvJfMjLAmec39IyEx_6qawtMGysU/edit?usp=sharing"",""สบก!BY29"")"),199000)</f>
        <v>199000</v>
      </c>
      <c r="M256" s="167"/>
      <c r="N256" s="167"/>
      <c r="O256" s="168"/>
      <c r="P256" s="168"/>
    </row>
    <row r="257" spans="1:16" ht="21.75" customHeight="1" x14ac:dyDescent="0.45">
      <c r="A257" s="170"/>
      <c r="B257" s="80"/>
      <c r="C257" s="81" t="s">
        <v>16</v>
      </c>
      <c r="D257" s="534" t="s">
        <v>23</v>
      </c>
      <c r="E257" s="530"/>
      <c r="F257" s="88"/>
      <c r="G257" s="82" t="s">
        <v>18</v>
      </c>
      <c r="H257" s="171" t="s">
        <v>12</v>
      </c>
      <c r="I257" s="162"/>
      <c r="J257" s="162"/>
      <c r="K257" s="163"/>
      <c r="L257" s="41">
        <v>0</v>
      </c>
      <c r="M257" s="41"/>
      <c r="N257" s="41"/>
      <c r="O257" s="41"/>
      <c r="P257" s="41"/>
    </row>
    <row r="258" spans="1:16" ht="21.75" customHeight="1" x14ac:dyDescent="0.45">
      <c r="A258" s="172"/>
      <c r="B258" s="91"/>
      <c r="C258" s="91"/>
      <c r="D258" s="173"/>
      <c r="E258" s="92"/>
      <c r="F258" s="92"/>
      <c r="G258" s="93" t="s">
        <v>19</v>
      </c>
      <c r="H258" s="174" t="s">
        <v>12</v>
      </c>
      <c r="I258" s="162"/>
      <c r="J258" s="162"/>
      <c r="K258" s="163"/>
      <c r="L258" s="49">
        <f ca="1">IFERROR(__xludf.DUMMYFUNCTION("IMPORTRANGE(""https://docs.google.com/spreadsheets/d/1Yj_ptqi66GCucihVvJfMjLAmec39IyEx_6qawtMGysU/edit?usp=sharing"",""สบก!BZ29"")"),0)</f>
        <v>0</v>
      </c>
      <c r="M258" s="49"/>
      <c r="N258" s="49">
        <f ca="1">IFERROR(__xludf.DUMMYFUNCTION("IMPORTRANGE(""https://docs.google.com/spreadsheets/d/1Yj_ptqi66GCucihVvJfMjLAmec39IyEx_6qawtMGysU/edit?usp=sharing"",""สบก!CD29"")"),0)</f>
        <v>0</v>
      </c>
      <c r="O258" s="49">
        <f ca="1">IF(L258&gt;0,N258*100/L258,0)</f>
        <v>0</v>
      </c>
      <c r="P258" s="49"/>
    </row>
    <row r="259" spans="1:16" ht="21.75" customHeight="1" x14ac:dyDescent="0.3">
      <c r="A259" s="175"/>
      <c r="B259" s="176"/>
      <c r="C259" s="157" t="s">
        <v>16</v>
      </c>
      <c r="D259" s="177" t="s">
        <v>44</v>
      </c>
      <c r="E259" s="178"/>
      <c r="F259" s="178"/>
      <c r="G259" s="179"/>
      <c r="H259" s="180"/>
      <c r="I259" s="162"/>
      <c r="J259" s="162"/>
      <c r="K259" s="163"/>
      <c r="L259" s="181"/>
      <c r="M259" s="181"/>
      <c r="N259" s="181"/>
      <c r="O259" s="181"/>
      <c r="P259" s="181"/>
    </row>
    <row r="260" spans="1:16" ht="21.75" customHeight="1" x14ac:dyDescent="0.3">
      <c r="A260" s="175"/>
      <c r="B260" s="176"/>
      <c r="C260" s="176"/>
      <c r="D260" s="182">
        <v>1</v>
      </c>
      <c r="E260" s="183" t="s">
        <v>45</v>
      </c>
      <c r="F260" s="184"/>
      <c r="G260" s="185"/>
      <c r="H260" s="186"/>
      <c r="I260" s="187"/>
      <c r="J260" s="188">
        <f ca="1">IFERROR(__xludf.DUMMYFUNCTION("IMPORTRANGE(""https://docs.google.com/spreadsheets/d/11923uPwbBZFjjGgGUA6NLw09EwE0CqkOc4q9oUmW1yo/edit?usp=sharing"",""เพชรบูรณ์!J175"")"),0)</f>
        <v>0</v>
      </c>
      <c r="K260" s="163"/>
      <c r="L260" s="181"/>
      <c r="M260" s="181"/>
      <c r="N260" s="181"/>
      <c r="O260" s="181"/>
      <c r="P260" s="181"/>
    </row>
    <row r="261" spans="1:16" ht="21.75" customHeight="1" x14ac:dyDescent="0.3">
      <c r="A261" s="175"/>
      <c r="B261" s="176"/>
      <c r="C261" s="176"/>
      <c r="D261" s="189">
        <v>2</v>
      </c>
      <c r="E261" s="190" t="s">
        <v>46</v>
      </c>
      <c r="F261" s="191"/>
      <c r="G261" s="192"/>
      <c r="H261" s="186"/>
      <c r="I261" s="187"/>
      <c r="J261" s="197">
        <f ca="1">IFERROR(__xludf.DUMMYFUNCTION("IMPORTRANGE(""https://docs.google.com/spreadsheets/d/11923uPwbBZFjjGgGUA6NLw09EwE0CqkOc4q9oUmW1yo/edit?usp=sharing"",""เพชรบูรณ์!J176"")"),1)</f>
        <v>1</v>
      </c>
      <c r="K261" s="163"/>
      <c r="L261" s="181" t="s">
        <v>40</v>
      </c>
      <c r="M261" s="181"/>
      <c r="N261" s="181" t="s">
        <v>40</v>
      </c>
      <c r="O261" s="181"/>
      <c r="P261" s="181"/>
    </row>
    <row r="262" spans="1:16" ht="21.75" customHeight="1" x14ac:dyDescent="0.3">
      <c r="A262" s="175"/>
      <c r="B262" s="176"/>
      <c r="C262" s="176"/>
      <c r="D262" s="193"/>
      <c r="E262" s="194" t="s">
        <v>47</v>
      </c>
      <c r="F262" s="195"/>
      <c r="G262" s="196"/>
      <c r="H262" s="186"/>
      <c r="I262" s="187"/>
      <c r="J262" s="197">
        <f ca="1">IFERROR(__xludf.DUMMYFUNCTION("IMPORTRANGE(""https://docs.google.com/spreadsheets/d/11923uPwbBZFjjGgGUA6NLw09EwE0CqkOc4q9oUmW1yo/edit?usp=sharing"",""เพชรบูรณ์!J177"")"),1)</f>
        <v>1</v>
      </c>
      <c r="K262" s="163"/>
      <c r="L262" s="181"/>
      <c r="M262" s="181"/>
      <c r="N262" s="181"/>
      <c r="O262" s="181"/>
      <c r="P262" s="181"/>
    </row>
    <row r="263" spans="1:16" ht="21.75" customHeight="1" x14ac:dyDescent="0.3">
      <c r="A263" s="175"/>
      <c r="B263" s="176"/>
      <c r="C263" s="176"/>
      <c r="D263" s="193"/>
      <c r="E263" s="194" t="s">
        <v>48</v>
      </c>
      <c r="F263" s="195"/>
      <c r="G263" s="196"/>
      <c r="H263" s="186"/>
      <c r="I263" s="187"/>
      <c r="J263" s="197">
        <f ca="1">IFERROR(__xludf.DUMMYFUNCTION("IMPORTRANGE(""https://docs.google.com/spreadsheets/d/11923uPwbBZFjjGgGUA6NLw09EwE0CqkOc4q9oUmW1yo/edit?usp=sharing"",""เพชรบูรณ์!J178"")"),1)</f>
        <v>1</v>
      </c>
      <c r="K263" s="163"/>
      <c r="L263" s="181"/>
      <c r="M263" s="181"/>
      <c r="N263" s="181"/>
      <c r="O263" s="181"/>
      <c r="P263" s="181"/>
    </row>
    <row r="264" spans="1:16" ht="21.75" customHeight="1" x14ac:dyDescent="0.3">
      <c r="A264" s="175"/>
      <c r="B264" s="176"/>
      <c r="C264" s="176"/>
      <c r="D264" s="193"/>
      <c r="E264" s="198"/>
      <c r="F264" s="194" t="s">
        <v>105</v>
      </c>
      <c r="G264" s="196"/>
      <c r="H264" s="180" t="s">
        <v>59</v>
      </c>
      <c r="I264" s="187">
        <f ca="1">IFERROR(__xludf.DUMMYFUNCTION("IMPORTRANGE(""https://docs.google.com/spreadsheets/d/11923uPwbBZFjjGgGUA6NLw09EwE0CqkOc4q9oUmW1yo/edit?usp=sharing"",""เพชรบูรณ์!I179"")"),1)</f>
        <v>1</v>
      </c>
      <c r="J264" s="188">
        <f ca="1">IFERROR(__xludf.DUMMYFUNCTION("IMPORTRANGE(""https://docs.google.com/spreadsheets/d/11923uPwbBZFjjGgGUA6NLw09EwE0CqkOc4q9oUmW1yo/edit?usp=sharing"",""เพชรบูรณ์!J179"")"),1)</f>
        <v>1</v>
      </c>
      <c r="K264" s="163">
        <f t="shared" ref="K264:K267" ca="1" si="82">IF(I264&gt;0,J264*100/I264,0)</f>
        <v>100</v>
      </c>
      <c r="L264" s="181"/>
      <c r="M264" s="181"/>
      <c r="N264" s="181"/>
      <c r="O264" s="181"/>
      <c r="P264" s="181"/>
    </row>
    <row r="265" spans="1:16" ht="21.75" customHeight="1" x14ac:dyDescent="0.3">
      <c r="A265" s="175"/>
      <c r="B265" s="176"/>
      <c r="C265" s="176"/>
      <c r="D265" s="193"/>
      <c r="E265" s="198"/>
      <c r="F265" s="194" t="s">
        <v>106</v>
      </c>
      <c r="G265" s="196"/>
      <c r="H265" s="180" t="s">
        <v>37</v>
      </c>
      <c r="I265" s="187">
        <f ca="1">IFERROR(__xludf.DUMMYFUNCTION("IMPORTRANGE(""https://docs.google.com/spreadsheets/d/11923uPwbBZFjjGgGUA6NLw09EwE0CqkOc4q9oUmW1yo/edit?usp=sharing"",""เพชรบูรณ์!I180"")"),25)</f>
        <v>25</v>
      </c>
      <c r="J265" s="188">
        <f ca="1">IFERROR(__xludf.DUMMYFUNCTION("IMPORTRANGE(""https://docs.google.com/spreadsheets/d/11923uPwbBZFjjGgGUA6NLw09EwE0CqkOc4q9oUmW1yo/edit?usp=sharing"",""เพชรบูรณ์!J180"")"),25)</f>
        <v>25</v>
      </c>
      <c r="K265" s="163">
        <f t="shared" ca="1" si="82"/>
        <v>100</v>
      </c>
      <c r="L265" s="181"/>
      <c r="M265" s="181"/>
      <c r="N265" s="181"/>
      <c r="O265" s="181"/>
      <c r="P265" s="181"/>
    </row>
    <row r="266" spans="1:16" ht="21.75" customHeight="1" x14ac:dyDescent="0.3">
      <c r="A266" s="175"/>
      <c r="B266" s="176"/>
      <c r="C266" s="176"/>
      <c r="D266" s="193"/>
      <c r="E266" s="198"/>
      <c r="F266" s="194" t="s">
        <v>107</v>
      </c>
      <c r="G266" s="196"/>
      <c r="H266" s="180" t="s">
        <v>37</v>
      </c>
      <c r="I266" s="187">
        <f ca="1">IFERROR(__xludf.DUMMYFUNCTION("IMPORTRANGE(""https://docs.google.com/spreadsheets/d/11923uPwbBZFjjGgGUA6NLw09EwE0CqkOc4q9oUmW1yo/edit?usp=sharing"",""เพชรบูรณ์!I181"")"),25)</f>
        <v>25</v>
      </c>
      <c r="J266" s="188">
        <f ca="1">IFERROR(__xludf.DUMMYFUNCTION("IMPORTRANGE(""https://docs.google.com/spreadsheets/d/11923uPwbBZFjjGgGUA6NLw09EwE0CqkOc4q9oUmW1yo/edit?usp=sharing"",""เพชรบูรณ์!J181"")"),25)</f>
        <v>25</v>
      </c>
      <c r="K266" s="163">
        <f t="shared" ca="1" si="82"/>
        <v>100</v>
      </c>
      <c r="L266" s="181"/>
      <c r="M266" s="181"/>
      <c r="N266" s="181"/>
      <c r="O266" s="181"/>
      <c r="P266" s="181"/>
    </row>
    <row r="267" spans="1:16" ht="21.75" customHeight="1" x14ac:dyDescent="0.3">
      <c r="A267" s="175"/>
      <c r="B267" s="176"/>
      <c r="C267" s="176"/>
      <c r="D267" s="193"/>
      <c r="E267" s="198"/>
      <c r="F267" s="194" t="s">
        <v>108</v>
      </c>
      <c r="G267" s="196"/>
      <c r="H267" s="180" t="s">
        <v>37</v>
      </c>
      <c r="I267" s="187">
        <f ca="1">IFERROR(__xludf.DUMMYFUNCTION("IMPORTRANGE(""https://docs.google.com/spreadsheets/d/11923uPwbBZFjjGgGUA6NLw09EwE0CqkOc4q9oUmW1yo/edit?usp=sharing"",""เพชรบูรณ์!I182"")"),1)</f>
        <v>1</v>
      </c>
      <c r="J267" s="188">
        <f ca="1">IFERROR(__xludf.DUMMYFUNCTION("IMPORTRANGE(""https://docs.google.com/spreadsheets/d/11923uPwbBZFjjGgGUA6NLw09EwE0CqkOc4q9oUmW1yo/edit?usp=sharing"",""เพชรบูรณ์!J182"")"),1)</f>
        <v>1</v>
      </c>
      <c r="K267" s="163">
        <f t="shared" ca="1" si="82"/>
        <v>100</v>
      </c>
      <c r="L267" s="181"/>
      <c r="M267" s="181"/>
      <c r="N267" s="181"/>
      <c r="O267" s="181"/>
      <c r="P267" s="181"/>
    </row>
    <row r="268" spans="1:16" ht="21.75" customHeight="1" x14ac:dyDescent="0.3">
      <c r="A268" s="175"/>
      <c r="B268" s="176"/>
      <c r="C268" s="176"/>
      <c r="D268" s="193"/>
      <c r="E268" s="194" t="s">
        <v>54</v>
      </c>
      <c r="F268" s="195"/>
      <c r="G268" s="196"/>
      <c r="H268" s="186"/>
      <c r="I268" s="187"/>
      <c r="J268" s="197">
        <f ca="1">IFERROR(__xludf.DUMMYFUNCTION("IMPORTRANGE(""https://docs.google.com/spreadsheets/d/11923uPwbBZFjjGgGUA6NLw09EwE0CqkOc4q9oUmW1yo/edit?usp=sharing"",""เพชรบูรณ์!J183"")"),0)</f>
        <v>0</v>
      </c>
      <c r="K268" s="163"/>
      <c r="L268" s="181"/>
      <c r="M268" s="181"/>
      <c r="N268" s="181"/>
      <c r="O268" s="181"/>
      <c r="P268" s="181"/>
    </row>
    <row r="269" spans="1:16" ht="21.75" customHeight="1" x14ac:dyDescent="0.3">
      <c r="A269" s="233"/>
      <c r="B269" s="234"/>
      <c r="C269" s="234"/>
      <c r="D269" s="235">
        <v>3</v>
      </c>
      <c r="E269" s="236" t="s">
        <v>55</v>
      </c>
      <c r="F269" s="237"/>
      <c r="G269" s="238"/>
      <c r="H269" s="239"/>
      <c r="I269" s="240"/>
      <c r="J269" s="285">
        <f ca="1">IFERROR(__xludf.DUMMYFUNCTION("IMPORTRANGE(""https://docs.google.com/spreadsheets/d/11923uPwbBZFjjGgGUA6NLw09EwE0CqkOc4q9oUmW1yo/edit?usp=sharing"",""เพชรบูรณ์!J184"")"),0)</f>
        <v>0</v>
      </c>
      <c r="K269" s="286"/>
      <c r="L269" s="244"/>
      <c r="M269" s="244"/>
      <c r="N269" s="244"/>
      <c r="O269" s="244"/>
      <c r="P269" s="244"/>
    </row>
    <row r="270" spans="1:16" ht="21.75" customHeight="1" x14ac:dyDescent="0.3">
      <c r="A270" s="310"/>
      <c r="B270" s="311" t="s">
        <v>109</v>
      </c>
      <c r="C270" s="311"/>
      <c r="D270" s="311"/>
      <c r="E270" s="311"/>
      <c r="F270" s="311"/>
      <c r="G270" s="312"/>
      <c r="H270" s="313" t="s">
        <v>37</v>
      </c>
      <c r="I270" s="314">
        <f ca="1">IFERROR(__xludf.DUMMYFUNCTION("IMPORTRANGE(""https://docs.google.com/spreadsheets/d/11923uPwbBZFjjGgGUA6NLw09EwE0CqkOc4q9oUmW1yo/edit?usp=sharing"",""เพชรบูรณ์!I185"")"),20)</f>
        <v>20</v>
      </c>
      <c r="J270" s="314">
        <f ca="1">IFERROR(__xludf.DUMMYFUNCTION("IMPORTRANGE(""https://docs.google.com/spreadsheets/d/11923uPwbBZFjjGgGUA6NLw09EwE0CqkOc4q9oUmW1yo/edit?usp=sharing"",""เพชรบูรณ์!J185"")"),20)</f>
        <v>20</v>
      </c>
      <c r="K270" s="315">
        <f ca="1">IF(I270&gt;0,J270*100/I270,0)</f>
        <v>100</v>
      </c>
      <c r="L270" s="316"/>
      <c r="M270" s="316"/>
      <c r="N270" s="316"/>
      <c r="O270" s="315"/>
      <c r="P270" s="315"/>
    </row>
    <row r="271" spans="1:16" ht="21.75" customHeight="1" x14ac:dyDescent="0.45">
      <c r="A271" s="145"/>
      <c r="B271" s="146"/>
      <c r="C271" s="147" t="s">
        <v>16</v>
      </c>
      <c r="D271" s="537" t="s">
        <v>17</v>
      </c>
      <c r="E271" s="528"/>
      <c r="F271" s="528"/>
      <c r="G271" s="528"/>
      <c r="H271" s="148" t="s">
        <v>12</v>
      </c>
      <c r="I271" s="162"/>
      <c r="J271" s="162"/>
      <c r="K271" s="163"/>
      <c r="L271" s="151">
        <f t="shared" ref="L271:N271" ca="1" si="83">L272+L273</f>
        <v>73700</v>
      </c>
      <c r="M271" s="151">
        <f t="shared" ca="1" si="83"/>
        <v>33000</v>
      </c>
      <c r="N271" s="151">
        <f t="shared" ca="1" si="83"/>
        <v>33000</v>
      </c>
      <c r="O271" s="150">
        <f t="shared" ref="O271:O273" ca="1" si="84">IF(L271&gt;0,N271*100/L271,0)</f>
        <v>44.776119402985074</v>
      </c>
      <c r="P271" s="150">
        <f t="shared" ref="P271:P273" ca="1" si="85">IF(M271&gt;0,N271*100/M271,0)</f>
        <v>100</v>
      </c>
    </row>
    <row r="272" spans="1:16" ht="21.75" customHeight="1" x14ac:dyDescent="0.45">
      <c r="A272" s="152"/>
      <c r="B272" s="32"/>
      <c r="C272" s="32"/>
      <c r="D272" s="32"/>
      <c r="E272" s="32"/>
      <c r="F272" s="32"/>
      <c r="G272" s="33" t="s">
        <v>18</v>
      </c>
      <c r="H272" s="153" t="s">
        <v>12</v>
      </c>
      <c r="I272" s="162"/>
      <c r="J272" s="162"/>
      <c r="K272" s="163"/>
      <c r="L272" s="87">
        <f t="shared" ref="L272:N272" si="86">L274+L278</f>
        <v>0</v>
      </c>
      <c r="M272" s="87">
        <f t="shared" si="86"/>
        <v>0</v>
      </c>
      <c r="N272" s="87">
        <f t="shared" si="86"/>
        <v>0</v>
      </c>
      <c r="O272" s="155">
        <f t="shared" si="84"/>
        <v>0</v>
      </c>
      <c r="P272" s="155">
        <f t="shared" si="85"/>
        <v>0</v>
      </c>
    </row>
    <row r="273" spans="1:16" ht="21.75" customHeight="1" x14ac:dyDescent="0.45">
      <c r="A273" s="152"/>
      <c r="B273" s="32"/>
      <c r="C273" s="32"/>
      <c r="D273" s="32"/>
      <c r="E273" s="32"/>
      <c r="F273" s="32"/>
      <c r="G273" s="33" t="s">
        <v>19</v>
      </c>
      <c r="H273" s="153" t="s">
        <v>12</v>
      </c>
      <c r="I273" s="162"/>
      <c r="J273" s="162"/>
      <c r="K273" s="163"/>
      <c r="L273" s="87">
        <f t="shared" ref="L273:N273" ca="1" si="87">L275+L279</f>
        <v>73700</v>
      </c>
      <c r="M273" s="87">
        <f t="shared" ca="1" si="87"/>
        <v>33000</v>
      </c>
      <c r="N273" s="87">
        <f t="shared" ca="1" si="87"/>
        <v>33000</v>
      </c>
      <c r="O273" s="155">
        <f t="shared" ca="1" si="84"/>
        <v>44.776119402985074</v>
      </c>
      <c r="P273" s="155">
        <f t="shared" ca="1" si="85"/>
        <v>100</v>
      </c>
    </row>
    <row r="274" spans="1:16" ht="21.75" customHeight="1" x14ac:dyDescent="0.3">
      <c r="A274" s="156"/>
      <c r="B274" s="157"/>
      <c r="C274" s="157" t="s">
        <v>16</v>
      </c>
      <c r="D274" s="158" t="s">
        <v>38</v>
      </c>
      <c r="E274" s="159"/>
      <c r="F274" s="159"/>
      <c r="G274" s="160" t="s">
        <v>39</v>
      </c>
      <c r="H274" s="161" t="s">
        <v>12</v>
      </c>
      <c r="I274" s="162" t="s">
        <v>40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3">
      <c r="A275" s="156"/>
      <c r="B275" s="157"/>
      <c r="C275" s="157"/>
      <c r="D275" s="166"/>
      <c r="E275" s="159"/>
      <c r="F275" s="159" t="s">
        <v>40</v>
      </c>
      <c r="G275" s="160" t="s">
        <v>41</v>
      </c>
      <c r="H275" s="161" t="s">
        <v>12</v>
      </c>
      <c r="I275" s="162"/>
      <c r="J275" s="162"/>
      <c r="K275" s="163"/>
      <c r="L275" s="167">
        <f ca="1">L276+L277</f>
        <v>73700</v>
      </c>
      <c r="M275" s="167">
        <f ca="1">IFERROR(__xludf.DUMMYFUNCTION("IMPORTRANGE(""https://docs.google.com/spreadsheets/d/1Yj_ptqi66GCucihVvJfMjLAmec39IyEx_6qawtMGysU/edit?usp=sharing"",""สบก!CK29"")"),33000)</f>
        <v>33000</v>
      </c>
      <c r="N275" s="168">
        <f ca="1">IFERROR(__xludf.DUMMYFUNCTION("IMPORTRANGE(""https://docs.google.com/spreadsheets/d/1Yj_ptqi66GCucihVvJfMjLAmec39IyEx_6qawtMGysU/edit?usp=sharing"",""สบก!CL29"")"),33000)</f>
        <v>33000</v>
      </c>
      <c r="O275" s="168">
        <f ca="1">IF(L275&gt;0,N275*100/L275,0)</f>
        <v>44.776119402985074</v>
      </c>
      <c r="P275" s="168">
        <f ca="1">IF(M275&gt;0,N275*100/M275,0)</f>
        <v>100</v>
      </c>
    </row>
    <row r="276" spans="1:16" ht="21.75" customHeight="1" x14ac:dyDescent="0.3">
      <c r="A276" s="156"/>
      <c r="B276" s="157"/>
      <c r="C276" s="157"/>
      <c r="D276" s="166"/>
      <c r="E276" s="159"/>
      <c r="F276" s="159"/>
      <c r="G276" s="169" t="s">
        <v>42</v>
      </c>
      <c r="H276" s="161" t="s">
        <v>12</v>
      </c>
      <c r="I276" s="162"/>
      <c r="J276" s="162"/>
      <c r="K276" s="163"/>
      <c r="L276" s="167">
        <f ca="1">IFERROR(__xludf.DUMMYFUNCTION("IMPORTRANGE(""https://docs.google.com/spreadsheets/d/1Yj_ptqi66GCucihVvJfMjLAmec39IyEx_6qawtMGysU/edit?usp=sharing"",""สบก!CG29"")"),0)</f>
        <v>0</v>
      </c>
      <c r="M276" s="167"/>
      <c r="N276" s="167"/>
      <c r="O276" s="168"/>
      <c r="P276" s="168"/>
    </row>
    <row r="277" spans="1:16" ht="21.75" customHeight="1" x14ac:dyDescent="0.3">
      <c r="A277" s="156"/>
      <c r="B277" s="157"/>
      <c r="C277" s="157"/>
      <c r="D277" s="166"/>
      <c r="E277" s="159"/>
      <c r="F277" s="159"/>
      <c r="G277" s="169" t="s">
        <v>43</v>
      </c>
      <c r="H277" s="161" t="s">
        <v>12</v>
      </c>
      <c r="I277" s="162"/>
      <c r="J277" s="162"/>
      <c r="K277" s="163"/>
      <c r="L277" s="167">
        <f ca="1">IFERROR(__xludf.DUMMYFUNCTION("IMPORTRANGE(""https://docs.google.com/spreadsheets/d/1Yj_ptqi66GCucihVvJfMjLAmec39IyEx_6qawtMGysU/edit?usp=sharing"",""สบก!CH29"")"),73700)</f>
        <v>73700</v>
      </c>
      <c r="M277" s="167"/>
      <c r="N277" s="167"/>
      <c r="O277" s="168"/>
      <c r="P277" s="168"/>
    </row>
    <row r="278" spans="1:16" ht="21.75" customHeight="1" x14ac:dyDescent="0.45">
      <c r="A278" s="170"/>
      <c r="B278" s="80"/>
      <c r="C278" s="81" t="s">
        <v>16</v>
      </c>
      <c r="D278" s="534" t="s">
        <v>23</v>
      </c>
      <c r="E278" s="530"/>
      <c r="F278" s="88"/>
      <c r="G278" s="82" t="s">
        <v>18</v>
      </c>
      <c r="H278" s="171" t="s">
        <v>12</v>
      </c>
      <c r="I278" s="162"/>
      <c r="J278" s="162"/>
      <c r="K278" s="163"/>
      <c r="L278" s="41">
        <v>0</v>
      </c>
      <c r="M278" s="41"/>
      <c r="N278" s="41"/>
      <c r="O278" s="41"/>
      <c r="P278" s="41"/>
    </row>
    <row r="279" spans="1:16" ht="21.75" customHeight="1" x14ac:dyDescent="0.45">
      <c r="A279" s="172"/>
      <c r="B279" s="91"/>
      <c r="C279" s="91"/>
      <c r="D279" s="173"/>
      <c r="E279" s="92"/>
      <c r="F279" s="92"/>
      <c r="G279" s="93" t="s">
        <v>19</v>
      </c>
      <c r="H279" s="174" t="s">
        <v>12</v>
      </c>
      <c r="I279" s="162"/>
      <c r="J279" s="162"/>
      <c r="K279" s="163"/>
      <c r="L279" s="49">
        <f ca="1">IFERROR(__xludf.DUMMYFUNCTION("IMPORTRANGE(""https://docs.google.com/spreadsheets/d/1Yj_ptqi66GCucihVvJfMjLAmec39IyEx_6qawtMGysU/edit?usp=sharing"",""สบก!CI29"")"),0)</f>
        <v>0</v>
      </c>
      <c r="M279" s="49"/>
      <c r="N279" s="49">
        <f ca="1">IFERROR(__xludf.DUMMYFUNCTION("IMPORTRANGE(""https://docs.google.com/spreadsheets/d/1Yj_ptqi66GCucihVvJfMjLAmec39IyEx_6qawtMGysU/edit?usp=sharing"",""สบก!CM29"")"),0)</f>
        <v>0</v>
      </c>
      <c r="O279" s="49">
        <f ca="1">IF(L279&gt;0,N279*100/L279,0)</f>
        <v>0</v>
      </c>
      <c r="P279" s="49"/>
    </row>
    <row r="280" spans="1:16" ht="21.75" customHeight="1" x14ac:dyDescent="0.3">
      <c r="A280" s="175"/>
      <c r="B280" s="176"/>
      <c r="C280" s="157" t="s">
        <v>16</v>
      </c>
      <c r="D280" s="177" t="s">
        <v>44</v>
      </c>
      <c r="E280" s="178"/>
      <c r="F280" s="178"/>
      <c r="G280" s="179"/>
      <c r="H280" s="180"/>
      <c r="I280" s="162"/>
      <c r="J280" s="162"/>
      <c r="K280" s="163"/>
      <c r="L280" s="181"/>
      <c r="M280" s="181"/>
      <c r="N280" s="181"/>
      <c r="O280" s="181"/>
      <c r="P280" s="181"/>
    </row>
    <row r="281" spans="1:16" ht="21.75" customHeight="1" x14ac:dyDescent="0.3">
      <c r="A281" s="175"/>
      <c r="B281" s="176"/>
      <c r="C281" s="176"/>
      <c r="D281" s="182">
        <v>1</v>
      </c>
      <c r="E281" s="183" t="s">
        <v>45</v>
      </c>
      <c r="F281" s="184"/>
      <c r="G281" s="185"/>
      <c r="H281" s="186"/>
      <c r="I281" s="187"/>
      <c r="J281" s="188">
        <f ca="1">IFERROR(__xludf.DUMMYFUNCTION("IMPORTRANGE(""https://docs.google.com/spreadsheets/d/11923uPwbBZFjjGgGUA6NLw09EwE0CqkOc4q9oUmW1yo/edit?usp=sharing"",""เพชรบูรณ์!J191"")"),0)</f>
        <v>0</v>
      </c>
      <c r="K281" s="163"/>
      <c r="L281" s="181"/>
      <c r="M281" s="181"/>
      <c r="N281" s="181"/>
      <c r="O281" s="181"/>
      <c r="P281" s="181"/>
    </row>
    <row r="282" spans="1:16" ht="21.75" customHeight="1" x14ac:dyDescent="0.3">
      <c r="A282" s="175"/>
      <c r="B282" s="176"/>
      <c r="C282" s="176"/>
      <c r="D282" s="189">
        <v>2</v>
      </c>
      <c r="E282" s="190" t="s">
        <v>46</v>
      </c>
      <c r="F282" s="191"/>
      <c r="G282" s="192"/>
      <c r="H282" s="186"/>
      <c r="I282" s="187"/>
      <c r="J282" s="197">
        <f ca="1">IFERROR(__xludf.DUMMYFUNCTION("IMPORTRANGE(""https://docs.google.com/spreadsheets/d/11923uPwbBZFjjGgGUA6NLw09EwE0CqkOc4q9oUmW1yo/edit?usp=sharing"",""เพชรบูรณ์!J192"")"),1)</f>
        <v>1</v>
      </c>
      <c r="K282" s="163"/>
      <c r="L282" s="181"/>
      <c r="M282" s="181"/>
      <c r="N282" s="181"/>
      <c r="O282" s="181"/>
      <c r="P282" s="181"/>
    </row>
    <row r="283" spans="1:16" ht="21.75" customHeight="1" x14ac:dyDescent="0.3">
      <c r="A283" s="175"/>
      <c r="B283" s="176"/>
      <c r="C283" s="176"/>
      <c r="D283" s="193"/>
      <c r="E283" s="194" t="s">
        <v>47</v>
      </c>
      <c r="F283" s="195"/>
      <c r="G283" s="196"/>
      <c r="H283" s="186"/>
      <c r="I283" s="187"/>
      <c r="J283" s="197">
        <f ca="1">IFERROR(__xludf.DUMMYFUNCTION("IMPORTRANGE(""https://docs.google.com/spreadsheets/d/11923uPwbBZFjjGgGUA6NLw09EwE0CqkOc4q9oUmW1yo/edit?usp=sharing"",""เพชรบูรณ์!J193"")"),1)</f>
        <v>1</v>
      </c>
      <c r="K283" s="163"/>
      <c r="L283" s="181"/>
      <c r="M283" s="181"/>
      <c r="N283" s="181"/>
      <c r="O283" s="181"/>
      <c r="P283" s="181"/>
    </row>
    <row r="284" spans="1:16" ht="21.75" customHeight="1" x14ac:dyDescent="0.3">
      <c r="A284" s="175"/>
      <c r="B284" s="176"/>
      <c r="C284" s="176"/>
      <c r="D284" s="193"/>
      <c r="E284" s="194" t="s">
        <v>48</v>
      </c>
      <c r="F284" s="195"/>
      <c r="G284" s="196"/>
      <c r="H284" s="186"/>
      <c r="I284" s="187"/>
      <c r="J284" s="197">
        <f ca="1">IFERROR(__xludf.DUMMYFUNCTION("IMPORTRANGE(""https://docs.google.com/spreadsheets/d/11923uPwbBZFjjGgGUA6NLw09EwE0CqkOc4q9oUmW1yo/edit?usp=sharing"",""เพชรบูรณ์!J194"")"),1)</f>
        <v>1</v>
      </c>
      <c r="K284" s="163"/>
      <c r="L284" s="181"/>
      <c r="M284" s="181"/>
      <c r="N284" s="181"/>
      <c r="O284" s="181"/>
      <c r="P284" s="181"/>
    </row>
    <row r="285" spans="1:16" ht="21.75" customHeight="1" x14ac:dyDescent="0.3">
      <c r="A285" s="175"/>
      <c r="B285" s="176"/>
      <c r="C285" s="176"/>
      <c r="D285" s="193"/>
      <c r="E285" s="195"/>
      <c r="F285" s="194" t="s">
        <v>110</v>
      </c>
      <c r="G285" s="196"/>
      <c r="H285" s="186" t="s">
        <v>37</v>
      </c>
      <c r="I285" s="187">
        <f ca="1">IFERROR(__xludf.DUMMYFUNCTION("IMPORTRANGE(""https://docs.google.com/spreadsheets/d/11923uPwbBZFjjGgGUA6NLw09EwE0CqkOc4q9oUmW1yo/edit?usp=sharing"",""เพชรบูรณ์!I195"")"),20)</f>
        <v>20</v>
      </c>
      <c r="J285" s="188">
        <f ca="1">IFERROR(__xludf.DUMMYFUNCTION("IMPORTRANGE(""https://docs.google.com/spreadsheets/d/11923uPwbBZFjjGgGUA6NLw09EwE0CqkOc4q9oUmW1yo/edit?usp=sharing"",""เพชรบูรณ์!J195"")"),20)</f>
        <v>20</v>
      </c>
      <c r="K285" s="163">
        <f ca="1">IF(I285&gt;0,J285*100/I285,0)</f>
        <v>100</v>
      </c>
      <c r="L285" s="181"/>
      <c r="M285" s="181"/>
      <c r="N285" s="181"/>
      <c r="O285" s="181"/>
      <c r="P285" s="181"/>
    </row>
    <row r="286" spans="1:16" ht="21.75" customHeight="1" x14ac:dyDescent="0.3">
      <c r="A286" s="175"/>
      <c r="B286" s="176"/>
      <c r="C286" s="176"/>
      <c r="D286" s="193"/>
      <c r="E286" s="194" t="s">
        <v>54</v>
      </c>
      <c r="F286" s="195"/>
      <c r="G286" s="196"/>
      <c r="H286" s="186"/>
      <c r="I286" s="187"/>
      <c r="J286" s="197">
        <f ca="1">IFERROR(__xludf.DUMMYFUNCTION("IMPORTRANGE(""https://docs.google.com/spreadsheets/d/11923uPwbBZFjjGgGUA6NLw09EwE0CqkOc4q9oUmW1yo/edit?usp=sharing"",""เพชรบูรณ์!J196"")"),0)</f>
        <v>0</v>
      </c>
      <c r="K286" s="163"/>
      <c r="L286" s="181"/>
      <c r="M286" s="181"/>
      <c r="N286" s="181"/>
      <c r="O286" s="181"/>
      <c r="P286" s="181"/>
    </row>
    <row r="287" spans="1:16" ht="21.75" customHeight="1" x14ac:dyDescent="0.3">
      <c r="A287" s="175"/>
      <c r="B287" s="176"/>
      <c r="C287" s="176"/>
      <c r="D287" s="205">
        <v>3</v>
      </c>
      <c r="E287" s="206" t="s">
        <v>55</v>
      </c>
      <c r="F287" s="207"/>
      <c r="G287" s="208"/>
      <c r="H287" s="186"/>
      <c r="I287" s="187"/>
      <c r="J287" s="209">
        <f ca="1">IFERROR(__xludf.DUMMYFUNCTION("IMPORTRANGE(""https://docs.google.com/spreadsheets/d/11923uPwbBZFjjGgGUA6NLw09EwE0CqkOc4q9oUmW1yo/edit?usp=sharing"",""เพชรบูรณ์!J197"")"),0)</f>
        <v>0</v>
      </c>
      <c r="K287" s="163"/>
      <c r="L287" s="181"/>
      <c r="M287" s="181"/>
      <c r="N287" s="181"/>
      <c r="O287" s="181"/>
      <c r="P287" s="181"/>
    </row>
    <row r="288" spans="1:16" ht="21.75" customHeight="1" x14ac:dyDescent="0.3">
      <c r="A288" s="302" t="s">
        <v>111</v>
      </c>
      <c r="B288" s="303"/>
      <c r="C288" s="303"/>
      <c r="D288" s="304"/>
      <c r="E288" s="303"/>
      <c r="F288" s="303"/>
      <c r="G288" s="317"/>
      <c r="H288" s="318"/>
      <c r="I288" s="319"/>
      <c r="J288" s="319"/>
      <c r="K288" s="320"/>
      <c r="L288" s="320"/>
      <c r="M288" s="320"/>
      <c r="N288" s="320"/>
      <c r="O288" s="309"/>
      <c r="P288" s="309"/>
    </row>
    <row r="289" spans="1:16" ht="21.75" customHeight="1" x14ac:dyDescent="0.3">
      <c r="A289" s="321"/>
      <c r="B289" s="311" t="s">
        <v>112</v>
      </c>
      <c r="C289" s="322"/>
      <c r="D289" s="323"/>
      <c r="E289" s="311"/>
      <c r="F289" s="311"/>
      <c r="G289" s="312"/>
      <c r="H289" s="313" t="s">
        <v>37</v>
      </c>
      <c r="I289" s="314">
        <f ca="1">IFERROR(__xludf.DUMMYFUNCTION("IMPORTRANGE(""https://docs.google.com/spreadsheets/d/11923uPwbBZFjjGgGUA6NLw09EwE0CqkOc4q9oUmW1yo/edit?usp=sharing"",""เพชรบูรณ์!I199"")"),0)</f>
        <v>0</v>
      </c>
      <c r="J289" s="314">
        <f ca="1">IFERROR(__xludf.DUMMYFUNCTION("IMPORTRANGE(""https://docs.google.com/spreadsheets/d/11923uPwbBZFjjGgGUA6NLw09EwE0CqkOc4q9oUmW1yo/edit?usp=sharing"",""เพชรบูรณ์!J199"")"),0)</f>
        <v>0</v>
      </c>
      <c r="K289" s="315">
        <f ca="1">IF(I289&gt;0,J289*100/I289,0)</f>
        <v>0</v>
      </c>
      <c r="L289" s="316"/>
      <c r="M289" s="316"/>
      <c r="N289" s="316"/>
      <c r="O289" s="315"/>
      <c r="P289" s="315"/>
    </row>
    <row r="290" spans="1:16" ht="21.75" customHeight="1" x14ac:dyDescent="0.45">
      <c r="A290" s="145"/>
      <c r="B290" s="146"/>
      <c r="C290" s="147" t="s">
        <v>16</v>
      </c>
      <c r="D290" s="537" t="s">
        <v>17</v>
      </c>
      <c r="E290" s="528"/>
      <c r="F290" s="528"/>
      <c r="G290" s="528"/>
      <c r="H290" s="148" t="s">
        <v>12</v>
      </c>
      <c r="I290" s="187"/>
      <c r="J290" s="187"/>
      <c r="K290" s="223"/>
      <c r="L290" s="151">
        <f t="shared" ref="L290:N290" ca="1" si="88">L291+L292</f>
        <v>0</v>
      </c>
      <c r="M290" s="151">
        <f t="shared" ca="1" si="88"/>
        <v>0</v>
      </c>
      <c r="N290" s="151">
        <f t="shared" ca="1" si="88"/>
        <v>0</v>
      </c>
      <c r="O290" s="150">
        <f t="shared" ref="O290:O292" ca="1" si="89">IF(L290&gt;0,N290*100/L290,0)</f>
        <v>0</v>
      </c>
      <c r="P290" s="150">
        <f t="shared" ref="P290:P292" ca="1" si="90">IF(M290&gt;0,N290*100/M290,0)</f>
        <v>0</v>
      </c>
    </row>
    <row r="291" spans="1:16" ht="21.75" customHeight="1" x14ac:dyDescent="0.45">
      <c r="A291" s="152"/>
      <c r="B291" s="32"/>
      <c r="C291" s="32"/>
      <c r="D291" s="32"/>
      <c r="E291" s="32"/>
      <c r="F291" s="32"/>
      <c r="G291" s="33" t="s">
        <v>18</v>
      </c>
      <c r="H291" s="153" t="s">
        <v>12</v>
      </c>
      <c r="I291" s="187"/>
      <c r="J291" s="187"/>
      <c r="K291" s="223"/>
      <c r="L291" s="87">
        <f t="shared" ref="L291:N291" si="91">L293+L297</f>
        <v>0</v>
      </c>
      <c r="M291" s="87">
        <f t="shared" si="91"/>
        <v>0</v>
      </c>
      <c r="N291" s="87">
        <f t="shared" si="91"/>
        <v>0</v>
      </c>
      <c r="O291" s="155">
        <f t="shared" si="89"/>
        <v>0</v>
      </c>
      <c r="P291" s="155">
        <f t="shared" si="90"/>
        <v>0</v>
      </c>
    </row>
    <row r="292" spans="1:16" ht="21.75" customHeight="1" x14ac:dyDescent="0.45">
      <c r="A292" s="152"/>
      <c r="B292" s="32"/>
      <c r="C292" s="32"/>
      <c r="D292" s="32"/>
      <c r="E292" s="32"/>
      <c r="F292" s="32"/>
      <c r="G292" s="33" t="s">
        <v>19</v>
      </c>
      <c r="H292" s="153" t="s">
        <v>12</v>
      </c>
      <c r="I292" s="187"/>
      <c r="J292" s="187"/>
      <c r="K292" s="223"/>
      <c r="L292" s="87">
        <f t="shared" ref="L292:N292" ca="1" si="92">L294+L298</f>
        <v>0</v>
      </c>
      <c r="M292" s="87">
        <f t="shared" ca="1" si="92"/>
        <v>0</v>
      </c>
      <c r="N292" s="87">
        <f t="shared" ca="1" si="92"/>
        <v>0</v>
      </c>
      <c r="O292" s="155">
        <f t="shared" ca="1" si="89"/>
        <v>0</v>
      </c>
      <c r="P292" s="155">
        <f t="shared" ca="1" si="90"/>
        <v>0</v>
      </c>
    </row>
    <row r="293" spans="1:16" ht="21.75" customHeight="1" x14ac:dyDescent="0.3">
      <c r="A293" s="156"/>
      <c r="B293" s="157"/>
      <c r="C293" s="157" t="s">
        <v>16</v>
      </c>
      <c r="D293" s="158" t="s">
        <v>38</v>
      </c>
      <c r="E293" s="159"/>
      <c r="F293" s="159"/>
      <c r="G293" s="160" t="s">
        <v>39</v>
      </c>
      <c r="H293" s="161" t="s">
        <v>12</v>
      </c>
      <c r="I293" s="187" t="s">
        <v>40</v>
      </c>
      <c r="J293" s="187"/>
      <c r="K293" s="223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3">
      <c r="A294" s="156"/>
      <c r="B294" s="157"/>
      <c r="C294" s="157"/>
      <c r="D294" s="166"/>
      <c r="E294" s="159"/>
      <c r="F294" s="159" t="s">
        <v>40</v>
      </c>
      <c r="G294" s="160" t="s">
        <v>41</v>
      </c>
      <c r="H294" s="161" t="s">
        <v>12</v>
      </c>
      <c r="I294" s="187"/>
      <c r="J294" s="187"/>
      <c r="K294" s="223"/>
      <c r="L294" s="167">
        <f ca="1">L295+L296</f>
        <v>0</v>
      </c>
      <c r="M294" s="167">
        <f ca="1">IFERROR(__xludf.DUMMYFUNCTION("IMPORTRANGE(""https://docs.google.com/spreadsheets/d/1Yj_ptqi66GCucihVvJfMjLAmec39IyEx_6qawtMGysU/edit?usp=sharing"",""สบก!CT29"")"),0)</f>
        <v>0</v>
      </c>
      <c r="N294" s="168">
        <f ca="1">IFERROR(__xludf.DUMMYFUNCTION("IMPORTRANGE(""https://docs.google.com/spreadsheets/d/1Yj_ptqi66GCucihVvJfMjLAmec39IyEx_6qawtMGysU/edit?usp=sharing"",""สบก!CU29"")"),0)</f>
        <v>0</v>
      </c>
      <c r="O294" s="168">
        <f ca="1">IF(L294&gt;0,N294*100/L294,0)</f>
        <v>0</v>
      </c>
      <c r="P294" s="168">
        <f ca="1">IF(M294&gt;0,N294*100/M294,0)</f>
        <v>0</v>
      </c>
    </row>
    <row r="295" spans="1:16" ht="21.75" customHeight="1" x14ac:dyDescent="0.3">
      <c r="A295" s="156"/>
      <c r="B295" s="157"/>
      <c r="C295" s="157"/>
      <c r="D295" s="166"/>
      <c r="E295" s="159"/>
      <c r="F295" s="159"/>
      <c r="G295" s="169" t="s">
        <v>42</v>
      </c>
      <c r="H295" s="161" t="s">
        <v>12</v>
      </c>
      <c r="I295" s="187"/>
      <c r="J295" s="187"/>
      <c r="K295" s="223"/>
      <c r="L295" s="167">
        <f ca="1">IFERROR(__xludf.DUMMYFUNCTION("IMPORTRANGE(""https://docs.google.com/spreadsheets/d/1Yj_ptqi66GCucihVvJfMjLAmec39IyEx_6qawtMGysU/edit?usp=sharing"",""สบก!CP29"")"),0)</f>
        <v>0</v>
      </c>
      <c r="M295" s="167"/>
      <c r="N295" s="167"/>
      <c r="O295" s="168"/>
      <c r="P295" s="168"/>
    </row>
    <row r="296" spans="1:16" ht="21.75" customHeight="1" x14ac:dyDescent="0.3">
      <c r="A296" s="156"/>
      <c r="B296" s="157"/>
      <c r="C296" s="157"/>
      <c r="D296" s="166"/>
      <c r="E296" s="159"/>
      <c r="F296" s="159"/>
      <c r="G296" s="169" t="s">
        <v>43</v>
      </c>
      <c r="H296" s="161" t="s">
        <v>12</v>
      </c>
      <c r="I296" s="187"/>
      <c r="J296" s="187"/>
      <c r="K296" s="223"/>
      <c r="L296" s="167">
        <f ca="1">IFERROR(__xludf.DUMMYFUNCTION("IMPORTRANGE(""https://docs.google.com/spreadsheets/d/1Yj_ptqi66GCucihVvJfMjLAmec39IyEx_6qawtMGysU/edit?usp=sharing"",""สบก!CQ29"")"),0)</f>
        <v>0</v>
      </c>
      <c r="M296" s="167"/>
      <c r="N296" s="167"/>
      <c r="O296" s="168"/>
      <c r="P296" s="168"/>
    </row>
    <row r="297" spans="1:16" ht="21.75" customHeight="1" x14ac:dyDescent="0.45">
      <c r="A297" s="170"/>
      <c r="B297" s="80"/>
      <c r="C297" s="81" t="s">
        <v>16</v>
      </c>
      <c r="D297" s="534" t="s">
        <v>23</v>
      </c>
      <c r="E297" s="530"/>
      <c r="F297" s="88"/>
      <c r="G297" s="82" t="s">
        <v>18</v>
      </c>
      <c r="H297" s="171" t="s">
        <v>12</v>
      </c>
      <c r="I297" s="187"/>
      <c r="J297" s="187"/>
      <c r="K297" s="223"/>
      <c r="L297" s="41">
        <v>0</v>
      </c>
      <c r="M297" s="41"/>
      <c r="N297" s="41"/>
      <c r="O297" s="41"/>
      <c r="P297" s="41"/>
    </row>
    <row r="298" spans="1:16" ht="21.75" customHeight="1" x14ac:dyDescent="0.45">
      <c r="A298" s="172"/>
      <c r="B298" s="91"/>
      <c r="C298" s="91"/>
      <c r="D298" s="173"/>
      <c r="E298" s="92"/>
      <c r="F298" s="92"/>
      <c r="G298" s="93" t="s">
        <v>19</v>
      </c>
      <c r="H298" s="174" t="s">
        <v>12</v>
      </c>
      <c r="I298" s="187"/>
      <c r="J298" s="187"/>
      <c r="K298" s="223"/>
      <c r="L298" s="49">
        <f ca="1">IFERROR(__xludf.DUMMYFUNCTION("IMPORTRANGE(""https://docs.google.com/spreadsheets/d/1Yj_ptqi66GCucihVvJfMjLAmec39IyEx_6qawtMGysU/edit?usp=sharing"",""สบก!CR29"")"),0)</f>
        <v>0</v>
      </c>
      <c r="M298" s="49"/>
      <c r="N298" s="49">
        <f ca="1">IFERROR(__xludf.DUMMYFUNCTION("IMPORTRANGE(""https://docs.google.com/spreadsheets/d/1Yj_ptqi66GCucihVvJfMjLAmec39IyEx_6qawtMGysU/edit?usp=sharing"",""สบก!CV29"")"),0)</f>
        <v>0</v>
      </c>
      <c r="O298" s="49">
        <f ca="1">IF(L298&gt;0,N298*100/L298,0)</f>
        <v>0</v>
      </c>
      <c r="P298" s="49"/>
    </row>
    <row r="299" spans="1:16" ht="21.75" customHeight="1" x14ac:dyDescent="0.3">
      <c r="A299" s="175"/>
      <c r="B299" s="176"/>
      <c r="C299" s="157" t="s">
        <v>16</v>
      </c>
      <c r="D299" s="177" t="s">
        <v>44</v>
      </c>
      <c r="E299" s="178"/>
      <c r="F299" s="178"/>
      <c r="G299" s="179"/>
      <c r="H299" s="180"/>
      <c r="I299" s="187"/>
      <c r="J299" s="187"/>
      <c r="K299" s="223"/>
      <c r="L299" s="168"/>
      <c r="M299" s="168"/>
      <c r="N299" s="168"/>
      <c r="O299" s="181"/>
      <c r="P299" s="181"/>
    </row>
    <row r="300" spans="1:16" ht="21.75" customHeight="1" x14ac:dyDescent="0.3">
      <c r="A300" s="175"/>
      <c r="B300" s="176"/>
      <c r="C300" s="176"/>
      <c r="D300" s="182">
        <v>1</v>
      </c>
      <c r="E300" s="183" t="s">
        <v>45</v>
      </c>
      <c r="F300" s="184"/>
      <c r="G300" s="185"/>
      <c r="H300" s="186"/>
      <c r="I300" s="187"/>
      <c r="J300" s="187">
        <f ca="1">IFERROR(__xludf.DUMMYFUNCTION("IMPORTRANGE(""https://docs.google.com/spreadsheets/d/11923uPwbBZFjjGgGUA6NLw09EwE0CqkOc4q9oUmW1yo/edit?usp=sharing"",""เพชรบูรณ์!J205"")"),0)</f>
        <v>0</v>
      </c>
      <c r="K300" s="223"/>
      <c r="L300" s="168"/>
      <c r="M300" s="168"/>
      <c r="N300" s="168"/>
      <c r="O300" s="181"/>
      <c r="P300" s="181"/>
    </row>
    <row r="301" spans="1:16" ht="21.75" customHeight="1" x14ac:dyDescent="0.3">
      <c r="A301" s="175"/>
      <c r="B301" s="176"/>
      <c r="C301" s="176"/>
      <c r="D301" s="189">
        <v>2</v>
      </c>
      <c r="E301" s="190" t="s">
        <v>46</v>
      </c>
      <c r="F301" s="191"/>
      <c r="G301" s="192"/>
      <c r="H301" s="186"/>
      <c r="I301" s="187"/>
      <c r="J301" s="187">
        <f ca="1">IFERROR(__xludf.DUMMYFUNCTION("IMPORTRANGE(""https://docs.google.com/spreadsheets/d/11923uPwbBZFjjGgGUA6NLw09EwE0CqkOc4q9oUmW1yo/edit?usp=sharing"",""เพชรบูรณ์!J206"")"),0)</f>
        <v>0</v>
      </c>
      <c r="K301" s="223"/>
      <c r="L301" s="168" t="s">
        <v>40</v>
      </c>
      <c r="M301" s="168"/>
      <c r="N301" s="168" t="s">
        <v>40</v>
      </c>
      <c r="O301" s="181"/>
      <c r="P301" s="181"/>
    </row>
    <row r="302" spans="1:16" ht="21.75" customHeight="1" x14ac:dyDescent="0.3">
      <c r="A302" s="175"/>
      <c r="B302" s="176"/>
      <c r="C302" s="176"/>
      <c r="D302" s="193"/>
      <c r="E302" s="194" t="s">
        <v>47</v>
      </c>
      <c r="F302" s="195"/>
      <c r="G302" s="196"/>
      <c r="H302" s="186"/>
      <c r="I302" s="187"/>
      <c r="J302" s="187">
        <f ca="1">IFERROR(__xludf.DUMMYFUNCTION("IMPORTRANGE(""https://docs.google.com/spreadsheets/d/11923uPwbBZFjjGgGUA6NLw09EwE0CqkOc4q9oUmW1yo/edit?usp=sharing"",""เพชรบูรณ์!J207"")"),0)</f>
        <v>0</v>
      </c>
      <c r="K302" s="223"/>
      <c r="L302" s="168"/>
      <c r="M302" s="168"/>
      <c r="N302" s="168"/>
      <c r="O302" s="181"/>
      <c r="P302" s="181"/>
    </row>
    <row r="303" spans="1:16" ht="21.75" customHeight="1" x14ac:dyDescent="0.3">
      <c r="A303" s="175"/>
      <c r="B303" s="176"/>
      <c r="C303" s="176"/>
      <c r="D303" s="193"/>
      <c r="E303" s="194" t="s">
        <v>48</v>
      </c>
      <c r="F303" s="195"/>
      <c r="G303" s="196"/>
      <c r="H303" s="186"/>
      <c r="I303" s="187"/>
      <c r="J303" s="187">
        <f ca="1">IFERROR(__xludf.DUMMYFUNCTION("IMPORTRANGE(""https://docs.google.com/spreadsheets/d/11923uPwbBZFjjGgGUA6NLw09EwE0CqkOc4q9oUmW1yo/edit?usp=sharing"",""เพชรบูรณ์!J208"")"),0)</f>
        <v>0</v>
      </c>
      <c r="K303" s="223"/>
      <c r="L303" s="168"/>
      <c r="M303" s="168"/>
      <c r="N303" s="168"/>
      <c r="O303" s="181"/>
      <c r="P303" s="181"/>
    </row>
    <row r="304" spans="1:16" ht="21.75" customHeight="1" x14ac:dyDescent="0.3">
      <c r="A304" s="175"/>
      <c r="B304" s="176"/>
      <c r="C304" s="176"/>
      <c r="D304" s="193"/>
      <c r="E304" s="198"/>
      <c r="F304" s="194" t="s">
        <v>113</v>
      </c>
      <c r="G304" s="196"/>
      <c r="H304" s="180" t="s">
        <v>37</v>
      </c>
      <c r="I304" s="187">
        <f ca="1">IFERROR(__xludf.DUMMYFUNCTION("IMPORTRANGE(""https://docs.google.com/spreadsheets/d/11923uPwbBZFjjGgGUA6NLw09EwE0CqkOc4q9oUmW1yo/edit?usp=sharing"",""เพชรบูรณ์!I209"")"),0)</f>
        <v>0</v>
      </c>
      <c r="J304" s="203">
        <f ca="1">IFERROR(__xludf.DUMMYFUNCTION("IMPORTRANGE(""https://docs.google.com/spreadsheets/d/11923uPwbBZFjjGgGUA6NLw09EwE0CqkOc4q9oUmW1yo/edit?usp=sharing"",""เพชรบูรณ์!J209"")"),0)</f>
        <v>0</v>
      </c>
      <c r="K304" s="223">
        <f ca="1">IF(I304&gt;0,J304*100/I304,0)</f>
        <v>0</v>
      </c>
      <c r="L304" s="168"/>
      <c r="M304" s="168"/>
      <c r="N304" s="168"/>
      <c r="O304" s="181"/>
      <c r="P304" s="181"/>
    </row>
    <row r="305" spans="1:16" ht="21.75" customHeight="1" x14ac:dyDescent="0.3">
      <c r="A305" s="175"/>
      <c r="B305" s="176"/>
      <c r="C305" s="176"/>
      <c r="D305" s="193"/>
      <c r="E305" s="198"/>
      <c r="F305" s="194" t="s">
        <v>114</v>
      </c>
      <c r="G305" s="196"/>
      <c r="H305" s="180"/>
      <c r="I305" s="187"/>
      <c r="J305" s="187"/>
      <c r="K305" s="223"/>
      <c r="L305" s="168"/>
      <c r="M305" s="168"/>
      <c r="N305" s="168"/>
      <c r="O305" s="181"/>
      <c r="P305" s="181"/>
    </row>
    <row r="306" spans="1:16" ht="21.75" customHeight="1" x14ac:dyDescent="0.3">
      <c r="A306" s="175"/>
      <c r="B306" s="176"/>
      <c r="C306" s="176"/>
      <c r="D306" s="193"/>
      <c r="E306" s="198"/>
      <c r="F306" s="195" t="s">
        <v>53</v>
      </c>
      <c r="G306" s="196"/>
      <c r="H306" s="180" t="s">
        <v>37</v>
      </c>
      <c r="I306" s="187">
        <f ca="1">IFERROR(__xludf.DUMMYFUNCTION("IMPORTRANGE(""https://docs.google.com/spreadsheets/d/11923uPwbBZFjjGgGUA6NLw09EwE0CqkOc4q9oUmW1yo/edit?usp=sharing"",""เพชรบูรณ์!I211"")"),0)</f>
        <v>0</v>
      </c>
      <c r="J306" s="203">
        <f ca="1">IFERROR(__xludf.DUMMYFUNCTION("IMPORTRANGE(""https://docs.google.com/spreadsheets/d/11923uPwbBZFjjGgGUA6NLw09EwE0CqkOc4q9oUmW1yo/edit?usp=sharing"",""เพชรบูรณ์!J211"")"),0)</f>
        <v>0</v>
      </c>
      <c r="K306" s="223">
        <f ca="1">IF(I306&gt;0,J306*100/I306,0)</f>
        <v>0</v>
      </c>
      <c r="L306" s="168"/>
      <c r="M306" s="168"/>
      <c r="N306" s="168"/>
      <c r="O306" s="181"/>
      <c r="P306" s="181"/>
    </row>
    <row r="307" spans="1:16" ht="21.75" customHeight="1" x14ac:dyDescent="0.3">
      <c r="A307" s="175"/>
      <c r="B307" s="176"/>
      <c r="C307" s="176"/>
      <c r="D307" s="193"/>
      <c r="E307" s="194" t="s">
        <v>54</v>
      </c>
      <c r="F307" s="195"/>
      <c r="G307" s="196"/>
      <c r="H307" s="186"/>
      <c r="I307" s="187"/>
      <c r="J307" s="187">
        <f ca="1">IFERROR(__xludf.DUMMYFUNCTION("IMPORTRANGE(""https://docs.google.com/spreadsheets/d/11923uPwbBZFjjGgGUA6NLw09EwE0CqkOc4q9oUmW1yo/edit?usp=sharing"",""เพชรบูรณ์!J212"")"),0)</f>
        <v>0</v>
      </c>
      <c r="K307" s="223"/>
      <c r="L307" s="168"/>
      <c r="M307" s="168"/>
      <c r="N307" s="168"/>
      <c r="O307" s="181"/>
      <c r="P307" s="181"/>
    </row>
    <row r="308" spans="1:16" ht="21.75" customHeight="1" x14ac:dyDescent="0.3">
      <c r="A308" s="175"/>
      <c r="B308" s="176"/>
      <c r="C308" s="176"/>
      <c r="D308" s="205">
        <v>3</v>
      </c>
      <c r="E308" s="206" t="s">
        <v>55</v>
      </c>
      <c r="F308" s="207"/>
      <c r="G308" s="208"/>
      <c r="H308" s="186"/>
      <c r="I308" s="187"/>
      <c r="J308" s="324">
        <f ca="1">IFERROR(__xludf.DUMMYFUNCTION("IMPORTRANGE(""https://docs.google.com/spreadsheets/d/11923uPwbBZFjjGgGUA6NLw09EwE0CqkOc4q9oUmW1yo/edit?usp=sharing"",""เพชรบูรณ์!J213"")"),0)</f>
        <v>0</v>
      </c>
      <c r="K308" s="223"/>
      <c r="L308" s="168"/>
      <c r="M308" s="168"/>
      <c r="N308" s="168"/>
      <c r="O308" s="181"/>
      <c r="P308" s="181"/>
    </row>
    <row r="309" spans="1:16" ht="21.75" customHeight="1" x14ac:dyDescent="0.3">
      <c r="A309" s="325"/>
      <c r="B309" s="326" t="s">
        <v>115</v>
      </c>
      <c r="C309" s="327"/>
      <c r="D309" s="328"/>
      <c r="E309" s="326"/>
      <c r="F309" s="326"/>
      <c r="G309" s="329"/>
      <c r="H309" s="330" t="s">
        <v>116</v>
      </c>
      <c r="I309" s="331">
        <f ca="1">IFERROR(__xludf.DUMMYFUNCTION("IMPORTRANGE(""https://docs.google.com/spreadsheets/d/11923uPwbBZFjjGgGUA6NLw09EwE0CqkOc4q9oUmW1yo/edit?usp=sharing"",""เพชรบูรณ์!I214"")"),0)</f>
        <v>0</v>
      </c>
      <c r="J309" s="331">
        <f ca="1">IFERROR(__xludf.DUMMYFUNCTION("IMPORTRANGE(""https://docs.google.com/spreadsheets/d/11923uPwbBZFjjGgGUA6NLw09EwE0CqkOc4q9oUmW1yo/edit?usp=sharing"",""เพชรบูรณ์!J214"")"),0)</f>
        <v>0</v>
      </c>
      <c r="K309" s="332">
        <f ca="1">IF(I309&gt;0,J309*100/I309,0)</f>
        <v>0</v>
      </c>
      <c r="L309" s="333"/>
      <c r="M309" s="333"/>
      <c r="N309" s="333"/>
      <c r="O309" s="332"/>
      <c r="P309" s="332"/>
    </row>
    <row r="310" spans="1:16" ht="21.75" customHeight="1" x14ac:dyDescent="0.45">
      <c r="A310" s="145"/>
      <c r="B310" s="146"/>
      <c r="C310" s="147" t="s">
        <v>16</v>
      </c>
      <c r="D310" s="537" t="s">
        <v>17</v>
      </c>
      <c r="E310" s="528"/>
      <c r="F310" s="528"/>
      <c r="G310" s="528"/>
      <c r="H310" s="148" t="s">
        <v>12</v>
      </c>
      <c r="I310" s="334"/>
      <c r="J310" s="334"/>
      <c r="K310" s="335"/>
      <c r="L310" s="151">
        <f t="shared" ref="L310:N310" ca="1" si="93">L311+L312</f>
        <v>0</v>
      </c>
      <c r="M310" s="151">
        <f t="shared" ca="1" si="93"/>
        <v>0</v>
      </c>
      <c r="N310" s="151">
        <f t="shared" ca="1" si="93"/>
        <v>0</v>
      </c>
      <c r="O310" s="150">
        <f t="shared" ref="O310:O312" ca="1" si="94">IF(L310&gt;0,N310*100/L310,0)</f>
        <v>0</v>
      </c>
      <c r="P310" s="150">
        <f t="shared" ref="P310:P312" ca="1" si="95">IF(M310&gt;0,N310*100/M310,0)</f>
        <v>0</v>
      </c>
    </row>
    <row r="311" spans="1:16" ht="21.75" customHeight="1" x14ac:dyDescent="0.45">
      <c r="A311" s="152"/>
      <c r="B311" s="32"/>
      <c r="C311" s="32"/>
      <c r="D311" s="32"/>
      <c r="E311" s="32"/>
      <c r="F311" s="32"/>
      <c r="G311" s="33" t="s">
        <v>18</v>
      </c>
      <c r="H311" s="153" t="s">
        <v>12</v>
      </c>
      <c r="I311" s="334"/>
      <c r="J311" s="334"/>
      <c r="K311" s="335"/>
      <c r="L311" s="87">
        <f t="shared" ref="L311:N311" si="96">L313+L317</f>
        <v>0</v>
      </c>
      <c r="M311" s="87">
        <f t="shared" si="96"/>
        <v>0</v>
      </c>
      <c r="N311" s="87">
        <f t="shared" si="96"/>
        <v>0</v>
      </c>
      <c r="O311" s="155">
        <f t="shared" si="94"/>
        <v>0</v>
      </c>
      <c r="P311" s="155">
        <f t="shared" si="95"/>
        <v>0</v>
      </c>
    </row>
    <row r="312" spans="1:16" ht="21.75" customHeight="1" x14ac:dyDescent="0.45">
      <c r="A312" s="152"/>
      <c r="B312" s="32"/>
      <c r="C312" s="32"/>
      <c r="D312" s="32"/>
      <c r="E312" s="32"/>
      <c r="F312" s="32"/>
      <c r="G312" s="33" t="s">
        <v>19</v>
      </c>
      <c r="H312" s="153" t="s">
        <v>12</v>
      </c>
      <c r="I312" s="334"/>
      <c r="J312" s="334"/>
      <c r="K312" s="335"/>
      <c r="L312" s="87">
        <f t="shared" ref="L312:N312" ca="1" si="97">L314+L318</f>
        <v>0</v>
      </c>
      <c r="M312" s="87">
        <f t="shared" ca="1" si="97"/>
        <v>0</v>
      </c>
      <c r="N312" s="87">
        <f t="shared" ca="1" si="97"/>
        <v>0</v>
      </c>
      <c r="O312" s="155">
        <f t="shared" ca="1" si="94"/>
        <v>0</v>
      </c>
      <c r="P312" s="155">
        <f t="shared" ca="1" si="95"/>
        <v>0</v>
      </c>
    </row>
    <row r="313" spans="1:16" ht="21.75" customHeight="1" x14ac:dyDescent="0.3">
      <c r="A313" s="156"/>
      <c r="B313" s="157"/>
      <c r="C313" s="157" t="s">
        <v>16</v>
      </c>
      <c r="D313" s="158" t="s">
        <v>38</v>
      </c>
      <c r="E313" s="159"/>
      <c r="F313" s="159"/>
      <c r="G313" s="160" t="s">
        <v>39</v>
      </c>
      <c r="H313" s="161" t="s">
        <v>12</v>
      </c>
      <c r="I313" s="162" t="s">
        <v>40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3">
      <c r="A314" s="156"/>
      <c r="B314" s="157"/>
      <c r="C314" s="157"/>
      <c r="D314" s="166"/>
      <c r="E314" s="159"/>
      <c r="F314" s="159" t="s">
        <v>40</v>
      </c>
      <c r="G314" s="160" t="s">
        <v>41</v>
      </c>
      <c r="H314" s="161" t="s">
        <v>12</v>
      </c>
      <c r="I314" s="162"/>
      <c r="J314" s="162"/>
      <c r="K314" s="163"/>
      <c r="L314" s="167">
        <f ca="1">L315+L316</f>
        <v>0</v>
      </c>
      <c r="M314" s="167">
        <f ca="1">IFERROR(__xludf.DUMMYFUNCTION("IMPORTRANGE(""https://docs.google.com/spreadsheets/d/1Yj_ptqi66GCucihVvJfMjLAmec39IyEx_6qawtMGysU/edit?usp=sharing"",""สบก!DC29"")"),0)</f>
        <v>0</v>
      </c>
      <c r="N314" s="168">
        <f ca="1">IFERROR(__xludf.DUMMYFUNCTION("IMPORTRANGE(""https://docs.google.com/spreadsheets/d/1Yj_ptqi66GCucihVvJfMjLAmec39IyEx_6qawtMGysU/edit?usp=sharing"",""สบก!DD29"")"),0)</f>
        <v>0</v>
      </c>
      <c r="O314" s="168">
        <f ca="1">IF(L314&gt;0,N314*100/L314,0)</f>
        <v>0</v>
      </c>
      <c r="P314" s="168">
        <f ca="1">IF(M314&gt;0,N314*100/M314,0)</f>
        <v>0</v>
      </c>
    </row>
    <row r="315" spans="1:16" ht="21.75" customHeight="1" x14ac:dyDescent="0.3">
      <c r="A315" s="156"/>
      <c r="B315" s="157"/>
      <c r="C315" s="157"/>
      <c r="D315" s="166"/>
      <c r="E315" s="159"/>
      <c r="F315" s="159"/>
      <c r="G315" s="169" t="s">
        <v>42</v>
      </c>
      <c r="H315" s="161" t="s">
        <v>12</v>
      </c>
      <c r="I315" s="162"/>
      <c r="J315" s="162"/>
      <c r="K315" s="163"/>
      <c r="L315" s="167">
        <f ca="1">IFERROR(__xludf.DUMMYFUNCTION("IMPORTRANGE(""https://docs.google.com/spreadsheets/d/1Yj_ptqi66GCucihVvJfMjLAmec39IyEx_6qawtMGysU/edit?usp=sharing"",""สบก!CY29"")"),0)</f>
        <v>0</v>
      </c>
      <c r="M315" s="167"/>
      <c r="N315" s="167"/>
      <c r="O315" s="168"/>
      <c r="P315" s="168"/>
    </row>
    <row r="316" spans="1:16" ht="21.75" customHeight="1" x14ac:dyDescent="0.3">
      <c r="A316" s="156"/>
      <c r="B316" s="157"/>
      <c r="C316" s="157"/>
      <c r="D316" s="166"/>
      <c r="E316" s="159"/>
      <c r="F316" s="159"/>
      <c r="G316" s="169" t="s">
        <v>43</v>
      </c>
      <c r="H316" s="161" t="s">
        <v>12</v>
      </c>
      <c r="I316" s="162"/>
      <c r="J316" s="187"/>
      <c r="K316" s="223"/>
      <c r="L316" s="167">
        <f ca="1">IFERROR(__xludf.DUMMYFUNCTION("IMPORTRANGE(""https://docs.google.com/spreadsheets/d/1Yj_ptqi66GCucihVvJfMjLAmec39IyEx_6qawtMGysU/edit?usp=sharing"",""สบก!CZ29"")"),0)</f>
        <v>0</v>
      </c>
      <c r="M316" s="167"/>
      <c r="N316" s="167"/>
      <c r="O316" s="168"/>
      <c r="P316" s="168"/>
    </row>
    <row r="317" spans="1:16" ht="21.75" customHeight="1" x14ac:dyDescent="0.45">
      <c r="A317" s="170"/>
      <c r="B317" s="80"/>
      <c r="C317" s="81" t="s">
        <v>16</v>
      </c>
      <c r="D317" s="534" t="s">
        <v>23</v>
      </c>
      <c r="E317" s="530"/>
      <c r="F317" s="88"/>
      <c r="G317" s="82" t="s">
        <v>18</v>
      </c>
      <c r="H317" s="171" t="s">
        <v>12</v>
      </c>
      <c r="I317" s="162"/>
      <c r="J317" s="187"/>
      <c r="K317" s="223"/>
      <c r="L317" s="41">
        <v>0</v>
      </c>
      <c r="M317" s="41"/>
      <c r="N317" s="41"/>
      <c r="O317" s="41"/>
      <c r="P317" s="41"/>
    </row>
    <row r="318" spans="1:16" ht="21.75" customHeight="1" x14ac:dyDescent="0.45">
      <c r="A318" s="172"/>
      <c r="B318" s="91"/>
      <c r="C318" s="91"/>
      <c r="D318" s="173"/>
      <c r="E318" s="92"/>
      <c r="F318" s="92"/>
      <c r="G318" s="93" t="s">
        <v>19</v>
      </c>
      <c r="H318" s="174" t="s">
        <v>12</v>
      </c>
      <c r="I318" s="162"/>
      <c r="J318" s="187"/>
      <c r="K318" s="223"/>
      <c r="L318" s="49">
        <f ca="1">IFERROR(__xludf.DUMMYFUNCTION("IMPORTRANGE(""https://docs.google.com/spreadsheets/d/1Yj_ptqi66GCucihVvJfMjLAmec39IyEx_6qawtMGysU/edit?usp=sharing"",""สบก!DA29"")"),0)</f>
        <v>0</v>
      </c>
      <c r="M318" s="49"/>
      <c r="N318" s="49">
        <f ca="1">IFERROR(__xludf.DUMMYFUNCTION("IMPORTRANGE(""https://docs.google.com/spreadsheets/d/1Yj_ptqi66GCucihVvJfMjLAmec39IyEx_6qawtMGysU/edit?usp=sharing"",""สบก!DE29"")"),0)</f>
        <v>0</v>
      </c>
      <c r="O318" s="49">
        <f ca="1">IF(L318&gt;0,N318*100/L318,0)</f>
        <v>0</v>
      </c>
      <c r="P318" s="49"/>
    </row>
    <row r="319" spans="1:16" ht="21.75" customHeight="1" x14ac:dyDescent="0.3">
      <c r="A319" s="175"/>
      <c r="B319" s="176"/>
      <c r="C319" s="157" t="s">
        <v>16</v>
      </c>
      <c r="D319" s="177" t="s">
        <v>44</v>
      </c>
      <c r="E319" s="178"/>
      <c r="F319" s="178"/>
      <c r="G319" s="179"/>
      <c r="H319" s="180"/>
      <c r="I319" s="162"/>
      <c r="J319" s="187"/>
      <c r="K319" s="223"/>
      <c r="L319" s="168"/>
      <c r="M319" s="168"/>
      <c r="N319" s="168"/>
      <c r="O319" s="181"/>
      <c r="P319" s="181"/>
    </row>
    <row r="320" spans="1:16" ht="21.75" customHeight="1" x14ac:dyDescent="0.3">
      <c r="A320" s="175"/>
      <c r="B320" s="176"/>
      <c r="C320" s="176"/>
      <c r="D320" s="182">
        <v>1</v>
      </c>
      <c r="E320" s="183" t="s">
        <v>45</v>
      </c>
      <c r="F320" s="184"/>
      <c r="G320" s="185"/>
      <c r="H320" s="186"/>
      <c r="I320" s="187"/>
      <c r="J320" s="187">
        <f ca="1">IFERROR(__xludf.DUMMYFUNCTION("IMPORTRANGE(""https://docs.google.com/spreadsheets/d/11923uPwbBZFjjGgGUA6NLw09EwE0CqkOc4q9oUmW1yo/edit?usp=sharing"",""เพชรบูรณ์!J220"")"),0)</f>
        <v>0</v>
      </c>
      <c r="K320" s="223"/>
      <c r="L320" s="168"/>
      <c r="M320" s="168"/>
      <c r="N320" s="168"/>
      <c r="O320" s="181"/>
      <c r="P320" s="181"/>
    </row>
    <row r="321" spans="1:16" ht="21.75" customHeight="1" x14ac:dyDescent="0.3">
      <c r="A321" s="175"/>
      <c r="B321" s="176"/>
      <c r="C321" s="176"/>
      <c r="D321" s="189">
        <v>2</v>
      </c>
      <c r="E321" s="190" t="s">
        <v>46</v>
      </c>
      <c r="F321" s="191"/>
      <c r="G321" s="192"/>
      <c r="H321" s="186"/>
      <c r="I321" s="187"/>
      <c r="J321" s="187">
        <f ca="1">IFERROR(__xludf.DUMMYFUNCTION("IMPORTRANGE(""https://docs.google.com/spreadsheets/d/11923uPwbBZFjjGgGUA6NLw09EwE0CqkOc4q9oUmW1yo/edit?usp=sharing"",""เพชรบูรณ์!J221"")"),0)</f>
        <v>0</v>
      </c>
      <c r="K321" s="223"/>
      <c r="L321" s="168" t="s">
        <v>40</v>
      </c>
      <c r="M321" s="168"/>
      <c r="N321" s="168" t="s">
        <v>40</v>
      </c>
      <c r="O321" s="181"/>
      <c r="P321" s="181"/>
    </row>
    <row r="322" spans="1:16" ht="21.75" customHeight="1" x14ac:dyDescent="0.3">
      <c r="A322" s="175"/>
      <c r="B322" s="176"/>
      <c r="C322" s="176"/>
      <c r="D322" s="193"/>
      <c r="E322" s="194" t="s">
        <v>47</v>
      </c>
      <c r="F322" s="195"/>
      <c r="G322" s="196"/>
      <c r="H322" s="186"/>
      <c r="I322" s="187"/>
      <c r="J322" s="187">
        <f ca="1">IFERROR(__xludf.DUMMYFUNCTION("IMPORTRANGE(""https://docs.google.com/spreadsheets/d/11923uPwbBZFjjGgGUA6NLw09EwE0CqkOc4q9oUmW1yo/edit?usp=sharing"",""เพชรบูรณ์!J222"")"),0)</f>
        <v>0</v>
      </c>
      <c r="K322" s="223"/>
      <c r="L322" s="168"/>
      <c r="M322" s="168"/>
      <c r="N322" s="168"/>
      <c r="O322" s="181"/>
      <c r="P322" s="181"/>
    </row>
    <row r="323" spans="1:16" ht="21.75" customHeight="1" x14ac:dyDescent="0.3">
      <c r="A323" s="175"/>
      <c r="B323" s="176"/>
      <c r="C323" s="176"/>
      <c r="D323" s="193"/>
      <c r="E323" s="194" t="s">
        <v>48</v>
      </c>
      <c r="F323" s="195"/>
      <c r="G323" s="196"/>
      <c r="H323" s="186"/>
      <c r="I323" s="187"/>
      <c r="J323" s="187">
        <f ca="1">IFERROR(__xludf.DUMMYFUNCTION("IMPORTRANGE(""https://docs.google.com/spreadsheets/d/11923uPwbBZFjjGgGUA6NLw09EwE0CqkOc4q9oUmW1yo/edit?usp=sharing"",""เพชรบูรณ์!J223"")"),0)</f>
        <v>0</v>
      </c>
      <c r="K323" s="223"/>
      <c r="L323" s="168"/>
      <c r="M323" s="168"/>
      <c r="N323" s="168"/>
      <c r="O323" s="181"/>
      <c r="P323" s="181"/>
    </row>
    <row r="324" spans="1:16" ht="21.75" customHeight="1" x14ac:dyDescent="0.3">
      <c r="A324" s="175"/>
      <c r="B324" s="176"/>
      <c r="C324" s="176"/>
      <c r="D324" s="193"/>
      <c r="E324" s="198"/>
      <c r="F324" s="194" t="s">
        <v>117</v>
      </c>
      <c r="G324" s="196"/>
      <c r="H324" s="186" t="s">
        <v>116</v>
      </c>
      <c r="I324" s="187">
        <f ca="1">IFERROR(__xludf.DUMMYFUNCTION("IMPORTRANGE(""https://docs.google.com/spreadsheets/d/11923uPwbBZFjjGgGUA6NLw09EwE0CqkOc4q9oUmW1yo/edit?usp=sharing"",""เพชรบูรณ์!I224"")"),0)</f>
        <v>0</v>
      </c>
      <c r="J324" s="203">
        <f ca="1">IFERROR(__xludf.DUMMYFUNCTION("IMPORTRANGE(""https://docs.google.com/spreadsheets/d/11923uPwbBZFjjGgGUA6NLw09EwE0CqkOc4q9oUmW1yo/edit?usp=sharing"",""เพชรบูรณ์!J224"")"),0)</f>
        <v>0</v>
      </c>
      <c r="K324" s="223">
        <f ca="1">IF(I324&gt;0,J324*100/I324,0)</f>
        <v>0</v>
      </c>
      <c r="L324" s="168"/>
      <c r="M324" s="168"/>
      <c r="N324" s="168"/>
      <c r="O324" s="181"/>
      <c r="P324" s="181"/>
    </row>
    <row r="325" spans="1:16" ht="21.75" customHeight="1" x14ac:dyDescent="0.3">
      <c r="A325" s="175"/>
      <c r="B325" s="176"/>
      <c r="C325" s="176"/>
      <c r="D325" s="193"/>
      <c r="E325" s="194" t="s">
        <v>54</v>
      </c>
      <c r="F325" s="195"/>
      <c r="G325" s="196"/>
      <c r="H325" s="186"/>
      <c r="I325" s="187"/>
      <c r="J325" s="187">
        <f ca="1">IFERROR(__xludf.DUMMYFUNCTION("IMPORTRANGE(""https://docs.google.com/spreadsheets/d/11923uPwbBZFjjGgGUA6NLw09EwE0CqkOc4q9oUmW1yo/edit?usp=sharing"",""เพชรบูรณ์!J225"")"),0)</f>
        <v>0</v>
      </c>
      <c r="K325" s="223"/>
      <c r="L325" s="168"/>
      <c r="M325" s="168"/>
      <c r="N325" s="168"/>
      <c r="O325" s="181"/>
      <c r="P325" s="181"/>
    </row>
    <row r="326" spans="1:16" ht="21.75" customHeight="1" x14ac:dyDescent="0.3">
      <c r="A326" s="175"/>
      <c r="B326" s="176"/>
      <c r="C326" s="176"/>
      <c r="D326" s="205">
        <v>3</v>
      </c>
      <c r="E326" s="206" t="s">
        <v>55</v>
      </c>
      <c r="F326" s="207"/>
      <c r="G326" s="208"/>
      <c r="H326" s="186"/>
      <c r="I326" s="187"/>
      <c r="J326" s="226">
        <f ca="1">IFERROR(__xludf.DUMMYFUNCTION("IMPORTRANGE(""https://docs.google.com/spreadsheets/d/11923uPwbBZFjjGgGUA6NLw09EwE0CqkOc4q9oUmW1yo/edit?usp=sharing"",""เพชรบูรณ์!J226"")"),0)</f>
        <v>0</v>
      </c>
      <c r="K326" s="223"/>
      <c r="L326" s="168"/>
      <c r="M326" s="168"/>
      <c r="N326" s="168"/>
      <c r="O326" s="181"/>
      <c r="P326" s="181"/>
    </row>
    <row r="327" spans="1:16" ht="21.75" customHeight="1" x14ac:dyDescent="0.3">
      <c r="A327" s="302" t="s">
        <v>118</v>
      </c>
      <c r="B327" s="303"/>
      <c r="C327" s="303"/>
      <c r="D327" s="304"/>
      <c r="E327" s="303"/>
      <c r="F327" s="303"/>
      <c r="G327" s="317"/>
      <c r="H327" s="306"/>
      <c r="I327" s="307"/>
      <c r="J327" s="307"/>
      <c r="K327" s="308"/>
      <c r="L327" s="308"/>
      <c r="M327" s="308"/>
      <c r="N327" s="308"/>
      <c r="O327" s="309"/>
      <c r="P327" s="309"/>
    </row>
    <row r="328" spans="1:16" ht="21.75" customHeight="1" x14ac:dyDescent="0.3">
      <c r="A328" s="310"/>
      <c r="B328" s="336" t="s">
        <v>119</v>
      </c>
      <c r="C328" s="323"/>
      <c r="D328" s="311"/>
      <c r="E328" s="311"/>
      <c r="F328" s="311"/>
      <c r="G328" s="312"/>
      <c r="H328" s="313" t="s">
        <v>37</v>
      </c>
      <c r="I328" s="337">
        <f ca="1">IFERROR(__xludf.DUMMYFUNCTION("IMPORTRANGE(""https://docs.google.com/spreadsheets/d/11923uPwbBZFjjGgGUA6NLw09EwE0CqkOc4q9oUmW1yo/edit?usp=sharing"",""เพชรบูรณ์!I228"")"),610)</f>
        <v>610</v>
      </c>
      <c r="J328" s="337">
        <f ca="1">IFERROR(__xludf.DUMMYFUNCTION("IMPORTRANGE(""https://docs.google.com/spreadsheets/d/11923uPwbBZFjjGgGUA6NLw09EwE0CqkOc4q9oUmW1yo/edit?usp=sharing"",""เพชรบูรณ์!J228"")"),38)</f>
        <v>38</v>
      </c>
      <c r="K328" s="315">
        <f ca="1">IF(I328&gt;0,J328*100/I328,0)</f>
        <v>6.2295081967213113</v>
      </c>
      <c r="L328" s="316"/>
      <c r="M328" s="316"/>
      <c r="N328" s="316"/>
      <c r="O328" s="315"/>
      <c r="P328" s="315"/>
    </row>
    <row r="329" spans="1:16" ht="21.75" customHeight="1" x14ac:dyDescent="0.45">
      <c r="A329" s="145"/>
      <c r="B329" s="146"/>
      <c r="C329" s="147" t="s">
        <v>16</v>
      </c>
      <c r="D329" s="537" t="s">
        <v>17</v>
      </c>
      <c r="E329" s="528"/>
      <c r="F329" s="528"/>
      <c r="G329" s="528"/>
      <c r="H329" s="148" t="s">
        <v>12</v>
      </c>
      <c r="I329" s="162"/>
      <c r="J329" s="162"/>
      <c r="K329" s="163"/>
      <c r="L329" s="151">
        <f t="shared" ref="L329:N329" ca="1" si="98">L330+L331</f>
        <v>1209740</v>
      </c>
      <c r="M329" s="151">
        <f t="shared" ca="1" si="98"/>
        <v>732360</v>
      </c>
      <c r="N329" s="151">
        <f t="shared" ca="1" si="98"/>
        <v>551283</v>
      </c>
      <c r="O329" s="150">
        <f t="shared" ref="O329:O331" ca="1" si="99">IF(L329&gt;0,N329*100/L329,0)</f>
        <v>45.57037049283317</v>
      </c>
      <c r="P329" s="150">
        <f t="shared" ref="P329:P331" ca="1" si="100">IF(M329&gt;0,N329*100/M329,0)</f>
        <v>75.274864820580049</v>
      </c>
    </row>
    <row r="330" spans="1:16" ht="21.75" customHeight="1" x14ac:dyDescent="0.45">
      <c r="A330" s="152"/>
      <c r="B330" s="32"/>
      <c r="C330" s="32"/>
      <c r="D330" s="32"/>
      <c r="E330" s="32"/>
      <c r="F330" s="32"/>
      <c r="G330" s="33" t="s">
        <v>18</v>
      </c>
      <c r="H330" s="153" t="s">
        <v>12</v>
      </c>
      <c r="I330" s="162"/>
      <c r="J330" s="162"/>
      <c r="K330" s="163"/>
      <c r="L330" s="87">
        <f t="shared" ref="L330:N330" si="101">L332+L336</f>
        <v>0</v>
      </c>
      <c r="M330" s="87">
        <f t="shared" si="101"/>
        <v>0</v>
      </c>
      <c r="N330" s="87">
        <f t="shared" si="101"/>
        <v>0</v>
      </c>
      <c r="O330" s="155">
        <f t="shared" si="99"/>
        <v>0</v>
      </c>
      <c r="P330" s="155">
        <f t="shared" si="100"/>
        <v>0</v>
      </c>
    </row>
    <row r="331" spans="1:16" ht="21.75" customHeight="1" x14ac:dyDescent="0.45">
      <c r="A331" s="152"/>
      <c r="B331" s="32"/>
      <c r="C331" s="32"/>
      <c r="D331" s="32"/>
      <c r="E331" s="32"/>
      <c r="F331" s="32"/>
      <c r="G331" s="33" t="s">
        <v>19</v>
      </c>
      <c r="H331" s="153" t="s">
        <v>12</v>
      </c>
      <c r="I331" s="162"/>
      <c r="J331" s="162"/>
      <c r="K331" s="163"/>
      <c r="L331" s="87">
        <f t="shared" ref="L331:N331" ca="1" si="102">L333+L337</f>
        <v>1209740</v>
      </c>
      <c r="M331" s="87">
        <f t="shared" ca="1" si="102"/>
        <v>732360</v>
      </c>
      <c r="N331" s="87">
        <f t="shared" ca="1" si="102"/>
        <v>551283</v>
      </c>
      <c r="O331" s="155">
        <f t="shared" ca="1" si="99"/>
        <v>45.57037049283317</v>
      </c>
      <c r="P331" s="155">
        <f t="shared" ca="1" si="100"/>
        <v>75.274864820580049</v>
      </c>
    </row>
    <row r="332" spans="1:16" ht="21.75" customHeight="1" x14ac:dyDescent="0.3">
      <c r="A332" s="156"/>
      <c r="B332" s="157"/>
      <c r="C332" s="157" t="s">
        <v>16</v>
      </c>
      <c r="D332" s="158" t="s">
        <v>38</v>
      </c>
      <c r="E332" s="159"/>
      <c r="F332" s="159"/>
      <c r="G332" s="160" t="s">
        <v>39</v>
      </c>
      <c r="H332" s="161" t="s">
        <v>12</v>
      </c>
      <c r="I332" s="162" t="s">
        <v>40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3">
      <c r="A333" s="156"/>
      <c r="B333" s="157"/>
      <c r="C333" s="157"/>
      <c r="D333" s="166"/>
      <c r="E333" s="159"/>
      <c r="F333" s="159" t="s">
        <v>40</v>
      </c>
      <c r="G333" s="160" t="s">
        <v>41</v>
      </c>
      <c r="H333" s="161" t="s">
        <v>12</v>
      </c>
      <c r="I333" s="162"/>
      <c r="J333" s="162"/>
      <c r="K333" s="163"/>
      <c r="L333" s="167">
        <f ca="1">L334+L335</f>
        <v>1144940</v>
      </c>
      <c r="M333" s="167">
        <f ca="1">IFERROR(__xludf.DUMMYFUNCTION("IMPORTRANGE(""https://docs.google.com/spreadsheets/d/1Yj_ptqi66GCucihVvJfMjLAmec39IyEx_6qawtMGysU/edit?usp=sharing"",""สบก!DL29"")"),667560)</f>
        <v>667560</v>
      </c>
      <c r="N333" s="168">
        <f ca="1">IFERROR(__xludf.DUMMYFUNCTION("IMPORTRANGE(""https://docs.google.com/spreadsheets/d/1Yj_ptqi66GCucihVvJfMjLAmec39IyEx_6qawtMGysU/edit?usp=sharing"",""สบก!DM29"")"),486483)</f>
        <v>486483</v>
      </c>
      <c r="O333" s="168">
        <f ca="1">IF(L333&gt;0,N333*100/L333,0)</f>
        <v>42.489824794312369</v>
      </c>
      <c r="P333" s="168">
        <f ca="1">IF(M333&gt;0,N333*100/M333,0)</f>
        <v>72.874797770986874</v>
      </c>
    </row>
    <row r="334" spans="1:16" ht="21.75" customHeight="1" x14ac:dyDescent="0.3">
      <c r="A334" s="156"/>
      <c r="B334" s="157"/>
      <c r="C334" s="157"/>
      <c r="D334" s="166"/>
      <c r="E334" s="159"/>
      <c r="F334" s="159"/>
      <c r="G334" s="169" t="s">
        <v>42</v>
      </c>
      <c r="H334" s="161" t="s">
        <v>12</v>
      </c>
      <c r="I334" s="162"/>
      <c r="J334" s="162"/>
      <c r="K334" s="163"/>
      <c r="L334" s="167">
        <f ca="1">IFERROR(__xludf.DUMMYFUNCTION("IMPORTRANGE(""https://docs.google.com/spreadsheets/d/1Yj_ptqi66GCucihVvJfMjLAmec39IyEx_6qawtMGysU/edit?usp=sharing"",""สบก!DH29"")"),306000)</f>
        <v>306000</v>
      </c>
      <c r="M334" s="167"/>
      <c r="N334" s="167"/>
      <c r="O334" s="168"/>
      <c r="P334" s="168"/>
    </row>
    <row r="335" spans="1:16" ht="21.75" customHeight="1" x14ac:dyDescent="0.3">
      <c r="A335" s="156"/>
      <c r="B335" s="157"/>
      <c r="C335" s="157"/>
      <c r="D335" s="166"/>
      <c r="E335" s="159"/>
      <c r="F335" s="159"/>
      <c r="G335" s="169" t="s">
        <v>43</v>
      </c>
      <c r="H335" s="161" t="s">
        <v>12</v>
      </c>
      <c r="I335" s="162"/>
      <c r="J335" s="162"/>
      <c r="K335" s="163"/>
      <c r="L335" s="167">
        <f ca="1">IFERROR(__xludf.DUMMYFUNCTION("IMPORTRANGE(""https://docs.google.com/spreadsheets/d/1Yj_ptqi66GCucihVvJfMjLAmec39IyEx_6qawtMGysU/edit?usp=sharing"",""สบก!DI29"")"),838940)</f>
        <v>838940</v>
      </c>
      <c r="M335" s="167"/>
      <c r="N335" s="167"/>
      <c r="O335" s="168"/>
      <c r="P335" s="168"/>
    </row>
    <row r="336" spans="1:16" ht="21.75" customHeight="1" x14ac:dyDescent="0.45">
      <c r="A336" s="170"/>
      <c r="B336" s="80"/>
      <c r="C336" s="81" t="s">
        <v>16</v>
      </c>
      <c r="D336" s="534" t="s">
        <v>23</v>
      </c>
      <c r="E336" s="530"/>
      <c r="F336" s="88"/>
      <c r="G336" s="82" t="s">
        <v>18</v>
      </c>
      <c r="H336" s="171" t="s">
        <v>12</v>
      </c>
      <c r="I336" s="162"/>
      <c r="J336" s="162"/>
      <c r="K336" s="163"/>
      <c r="L336" s="41">
        <v>0</v>
      </c>
      <c r="M336" s="41"/>
      <c r="N336" s="41"/>
      <c r="O336" s="41"/>
      <c r="P336" s="41"/>
    </row>
    <row r="337" spans="1:16" ht="21.75" customHeight="1" x14ac:dyDescent="0.45">
      <c r="A337" s="172"/>
      <c r="B337" s="91"/>
      <c r="C337" s="91"/>
      <c r="D337" s="173"/>
      <c r="E337" s="92"/>
      <c r="F337" s="92"/>
      <c r="G337" s="93" t="s">
        <v>19</v>
      </c>
      <c r="H337" s="174" t="s">
        <v>12</v>
      </c>
      <c r="I337" s="162"/>
      <c r="J337" s="162"/>
      <c r="K337" s="163"/>
      <c r="L337" s="49">
        <f ca="1">IFERROR(__xludf.DUMMYFUNCTION("IMPORTRANGE(""https://docs.google.com/spreadsheets/d/1Yj_ptqi66GCucihVvJfMjLAmec39IyEx_6qawtMGysU/edit?usp=sharing"",""สบก!DJ29"")"),64800)</f>
        <v>64800</v>
      </c>
      <c r="M337" s="49">
        <f ca="1">L337</f>
        <v>64800</v>
      </c>
      <c r="N337" s="49">
        <f ca="1">IFERROR(__xludf.DUMMYFUNCTION("IMPORTRANGE(""https://docs.google.com/spreadsheets/d/1Yj_ptqi66GCucihVvJfMjLAmec39IyEx_6qawtMGysU/edit?usp=sharing"",""สบก!DN29"")"),64800)</f>
        <v>64800</v>
      </c>
      <c r="O337" s="49">
        <f ca="1">IF(L337&gt;0,N337*100/L337,0)</f>
        <v>100</v>
      </c>
      <c r="P337" s="49">
        <f ca="1">IF(M337&gt;0,N337*100/M337,0)</f>
        <v>100</v>
      </c>
    </row>
    <row r="338" spans="1:16" ht="21.75" customHeight="1" x14ac:dyDescent="0.3">
      <c r="A338" s="175"/>
      <c r="B338" s="289"/>
      <c r="C338" s="338" t="s">
        <v>120</v>
      </c>
      <c r="D338" s="195"/>
      <c r="E338" s="195"/>
      <c r="F338" s="195"/>
      <c r="G338" s="196"/>
      <c r="H338" s="180"/>
      <c r="I338" s="339"/>
      <c r="J338" s="339"/>
      <c r="K338" s="340"/>
      <c r="L338" s="181"/>
      <c r="M338" s="181"/>
      <c r="N338" s="181"/>
      <c r="O338" s="341"/>
      <c r="P338" s="341"/>
    </row>
    <row r="339" spans="1:16" ht="21.75" customHeight="1" x14ac:dyDescent="0.3">
      <c r="A339" s="175"/>
      <c r="B339" s="289"/>
      <c r="C339" s="176"/>
      <c r="D339" s="195"/>
      <c r="E339" s="194" t="s">
        <v>121</v>
      </c>
      <c r="F339" s="195"/>
      <c r="G339" s="196"/>
      <c r="H339" s="342" t="s">
        <v>37</v>
      </c>
      <c r="I339" s="203">
        <f ca="1">IFERROR(__xludf.DUMMYFUNCTION("IMPORTRANGE(""https://docs.google.com/spreadsheets/d/11923uPwbBZFjjGgGUA6NLw09EwE0CqkOc4q9oUmW1yo/edit?usp=sharing"",""เพชรบูรณ์!I234"")"),0)</f>
        <v>0</v>
      </c>
      <c r="J339" s="187">
        <f ca="1">IFERROR(__xludf.DUMMYFUNCTION("IMPORTRANGE(""https://docs.google.com/spreadsheets/d/11923uPwbBZFjjGgGUA6NLw09EwE0CqkOc4q9oUmW1yo/edit?usp=sharing"",""เพชรบูรณ์!J234"")"),145)</f>
        <v>145</v>
      </c>
      <c r="K339" s="340">
        <f t="shared" ref="K339:K346" ca="1" si="103">IF(I339&gt;0,J339*100/I339,0)</f>
        <v>0</v>
      </c>
      <c r="L339" s="181"/>
      <c r="M339" s="181"/>
      <c r="N339" s="181"/>
      <c r="O339" s="341"/>
      <c r="P339" s="341"/>
    </row>
    <row r="340" spans="1:16" ht="21.75" customHeight="1" x14ac:dyDescent="0.3">
      <c r="A340" s="175"/>
      <c r="B340" s="289"/>
      <c r="C340" s="176"/>
      <c r="D340" s="195"/>
      <c r="E340" s="195"/>
      <c r="F340" s="195"/>
      <c r="G340" s="196"/>
      <c r="H340" s="342" t="s">
        <v>122</v>
      </c>
      <c r="I340" s="187">
        <f ca="1">IFERROR(__xludf.DUMMYFUNCTION("IMPORTRANGE(""https://docs.google.com/spreadsheets/d/11923uPwbBZFjjGgGUA6NLw09EwE0CqkOc4q9oUmW1yo/edit?usp=sharing"",""เพชรบูรณ์!I235"")"),5920)</f>
        <v>5920</v>
      </c>
      <c r="J340" s="187">
        <f ca="1">IFERROR(__xludf.DUMMYFUNCTION("IMPORTRANGE(""https://docs.google.com/spreadsheets/d/11923uPwbBZFjjGgGUA6NLw09EwE0CqkOc4q9oUmW1yo/edit?usp=sharing"",""เพชรบูรณ์!J235"")"),1585.38)</f>
        <v>1585.38</v>
      </c>
      <c r="K340" s="340">
        <f t="shared" ca="1" si="103"/>
        <v>26.780067567567567</v>
      </c>
      <c r="L340" s="181"/>
      <c r="M340" s="181"/>
      <c r="N340" s="181"/>
      <c r="O340" s="341"/>
      <c r="P340" s="341"/>
    </row>
    <row r="341" spans="1:16" ht="21.75" customHeight="1" x14ac:dyDescent="0.3">
      <c r="A341" s="175"/>
      <c r="B341" s="289"/>
      <c r="C341" s="176"/>
      <c r="D341" s="195"/>
      <c r="E341" s="194" t="s">
        <v>123</v>
      </c>
      <c r="F341" s="195"/>
      <c r="G341" s="196"/>
      <c r="H341" s="180" t="s">
        <v>37</v>
      </c>
      <c r="I341" s="187">
        <f ca="1">IFERROR(__xludf.DUMMYFUNCTION("IMPORTRANGE(""https://docs.google.com/spreadsheets/d/11923uPwbBZFjjGgGUA6NLw09EwE0CqkOc4q9oUmW1yo/edit?usp=sharing"",""เพชรบูรณ์!I236"")"),610)</f>
        <v>610</v>
      </c>
      <c r="J341" s="187">
        <f ca="1">IFERROR(__xludf.DUMMYFUNCTION("IMPORTRANGE(""https://docs.google.com/spreadsheets/d/11923uPwbBZFjjGgGUA6NLw09EwE0CqkOc4q9oUmW1yo/edit?usp=sharing"",""เพชรบูรณ์!J236"")"),206)</f>
        <v>206</v>
      </c>
      <c r="K341" s="340">
        <f t="shared" ca="1" si="103"/>
        <v>33.770491803278688</v>
      </c>
      <c r="L341" s="181"/>
      <c r="M341" s="181"/>
      <c r="N341" s="181"/>
      <c r="O341" s="341"/>
      <c r="P341" s="341"/>
    </row>
    <row r="342" spans="1:16" ht="21.75" customHeight="1" x14ac:dyDescent="0.3">
      <c r="A342" s="175"/>
      <c r="B342" s="289"/>
      <c r="C342" s="176"/>
      <c r="D342" s="195"/>
      <c r="E342" s="195"/>
      <c r="F342" s="195"/>
      <c r="G342" s="196"/>
      <c r="H342" s="180" t="s">
        <v>122</v>
      </c>
      <c r="I342" s="343">
        <f ca="1">IFERROR(__xludf.DUMMYFUNCTION("IMPORTRANGE(""https://docs.google.com/spreadsheets/d/11923uPwbBZFjjGgGUA6NLw09EwE0CqkOc4q9oUmW1yo/edit?usp=sharing"",""เพชรบูรณ์!I237"")"),0)</f>
        <v>0</v>
      </c>
      <c r="J342" s="187">
        <f ca="1">IFERROR(__xludf.DUMMYFUNCTION("IMPORTRANGE(""https://docs.google.com/spreadsheets/d/11923uPwbBZFjjGgGUA6NLw09EwE0CqkOc4q9oUmW1yo/edit?usp=sharing"",""เพชรบูรณ์!J237"")"),2952.27)</f>
        <v>2952.27</v>
      </c>
      <c r="K342" s="340">
        <f t="shared" ca="1" si="103"/>
        <v>0</v>
      </c>
      <c r="L342" s="181"/>
      <c r="M342" s="181"/>
      <c r="N342" s="181"/>
      <c r="O342" s="341"/>
      <c r="P342" s="341"/>
    </row>
    <row r="343" spans="1:16" ht="21.75" customHeight="1" x14ac:dyDescent="0.3">
      <c r="A343" s="175"/>
      <c r="B343" s="289"/>
      <c r="C343" s="176"/>
      <c r="D343" s="195"/>
      <c r="E343" s="194" t="s">
        <v>124</v>
      </c>
      <c r="F343" s="195"/>
      <c r="G343" s="196"/>
      <c r="H343" s="180" t="s">
        <v>37</v>
      </c>
      <c r="I343" s="187">
        <f ca="1">IFERROR(__xludf.DUMMYFUNCTION("IMPORTRANGE(""https://docs.google.com/spreadsheets/d/11923uPwbBZFjjGgGUA6NLw09EwE0CqkOc4q9oUmW1yo/edit?usp=sharing"",""เพชรบูรณ์!I238"")"),610)</f>
        <v>610</v>
      </c>
      <c r="J343" s="187">
        <f ca="1">IFERROR(__xludf.DUMMYFUNCTION("IMPORTRANGE(""https://docs.google.com/spreadsheets/d/11923uPwbBZFjjGgGUA6NLw09EwE0CqkOc4q9oUmW1yo/edit?usp=sharing"",""เพชรบูรณ์!J238"")"),38)</f>
        <v>38</v>
      </c>
      <c r="K343" s="340">
        <f t="shared" ca="1" si="103"/>
        <v>6.2295081967213113</v>
      </c>
      <c r="L343" s="181"/>
      <c r="M343" s="181"/>
      <c r="N343" s="181"/>
      <c r="O343" s="341"/>
      <c r="P343" s="341"/>
    </row>
    <row r="344" spans="1:16" ht="21.75" customHeight="1" x14ac:dyDescent="0.3">
      <c r="A344" s="175"/>
      <c r="B344" s="289"/>
      <c r="C344" s="176"/>
      <c r="D344" s="195"/>
      <c r="E344" s="195"/>
      <c r="F344" s="195"/>
      <c r="G344" s="196"/>
      <c r="H344" s="180" t="s">
        <v>122</v>
      </c>
      <c r="I344" s="343">
        <f ca="1">IFERROR(__xludf.DUMMYFUNCTION("IMPORTRANGE(""https://docs.google.com/spreadsheets/d/11923uPwbBZFjjGgGUA6NLw09EwE0CqkOc4q9oUmW1yo/edit?usp=sharing"",""เพชรบูรณ์!I239"")"),0)</f>
        <v>0</v>
      </c>
      <c r="J344" s="187">
        <f ca="1">IFERROR(__xludf.DUMMYFUNCTION("IMPORTRANGE(""https://docs.google.com/spreadsheets/d/11923uPwbBZFjjGgGUA6NLw09EwE0CqkOc4q9oUmW1yo/edit?usp=sharing"",""เพชรบูรณ์!J239"")"),402.8)</f>
        <v>402.8</v>
      </c>
      <c r="K344" s="340">
        <f t="shared" ca="1" si="103"/>
        <v>0</v>
      </c>
      <c r="L344" s="181"/>
      <c r="M344" s="181"/>
      <c r="N344" s="181"/>
      <c r="O344" s="341"/>
      <c r="P344" s="341"/>
    </row>
    <row r="345" spans="1:16" ht="21.75" customHeight="1" x14ac:dyDescent="0.3">
      <c r="A345" s="175"/>
      <c r="B345" s="289"/>
      <c r="C345" s="176"/>
      <c r="D345" s="195"/>
      <c r="E345" s="194" t="s">
        <v>125</v>
      </c>
      <c r="F345" s="195"/>
      <c r="G345" s="196"/>
      <c r="H345" s="180" t="s">
        <v>37</v>
      </c>
      <c r="I345" s="187">
        <f ca="1">IFERROR(__xludf.DUMMYFUNCTION("IMPORTRANGE(""https://docs.google.com/spreadsheets/d/11923uPwbBZFjjGgGUA6NLw09EwE0CqkOc4q9oUmW1yo/edit?usp=sharing"",""เพชรบูรณ์!I240"")"),610)</f>
        <v>610</v>
      </c>
      <c r="J345" s="187">
        <f ca="1">IFERROR(__xludf.DUMMYFUNCTION("IMPORTRANGE(""https://docs.google.com/spreadsheets/d/11923uPwbBZFjjGgGUA6NLw09EwE0CqkOc4q9oUmW1yo/edit?usp=sharing"",""เพชรบูรณ์!J240"")"),38)</f>
        <v>38</v>
      </c>
      <c r="K345" s="340">
        <f t="shared" ca="1" si="103"/>
        <v>6.2295081967213113</v>
      </c>
      <c r="L345" s="181"/>
      <c r="M345" s="181"/>
      <c r="N345" s="181"/>
      <c r="O345" s="341"/>
      <c r="P345" s="341"/>
    </row>
    <row r="346" spans="1:16" ht="21.75" customHeight="1" x14ac:dyDescent="0.3">
      <c r="A346" s="233"/>
      <c r="B346" s="344"/>
      <c r="C346" s="234"/>
      <c r="D346" s="344"/>
      <c r="E346" s="345"/>
      <c r="F346" s="345"/>
      <c r="G346" s="346"/>
      <c r="H346" s="347" t="s">
        <v>122</v>
      </c>
      <c r="I346" s="348">
        <f ca="1">IFERROR(__xludf.DUMMYFUNCTION("IMPORTRANGE(""https://docs.google.com/spreadsheets/d/11923uPwbBZFjjGgGUA6NLw09EwE0CqkOc4q9oUmW1yo/edit?usp=sharing"",""เพชรบูรณ์!I241"")"),0)</f>
        <v>0</v>
      </c>
      <c r="J346" s="187">
        <f ca="1">IFERROR(__xludf.DUMMYFUNCTION("IMPORTRANGE(""https://docs.google.com/spreadsheets/d/11923uPwbBZFjjGgGUA6NLw09EwE0CqkOc4q9oUmW1yo/edit?usp=sharing"",""เพชรบูรณ์!J241"")"),402.8)</f>
        <v>402.8</v>
      </c>
      <c r="K346" s="349">
        <f t="shared" ca="1" si="103"/>
        <v>0</v>
      </c>
      <c r="L346" s="244"/>
      <c r="M346" s="244"/>
      <c r="N346" s="244"/>
      <c r="O346" s="350"/>
      <c r="P346" s="350"/>
    </row>
    <row r="347" spans="1:16" ht="21.75" customHeight="1" x14ac:dyDescent="0.3">
      <c r="A347" s="351" t="s">
        <v>126</v>
      </c>
      <c r="B347" s="352"/>
      <c r="C347" s="352"/>
      <c r="D347" s="352"/>
      <c r="E347" s="352"/>
      <c r="F347" s="352"/>
      <c r="G347" s="353"/>
      <c r="H347" s="354"/>
      <c r="I347" s="355"/>
      <c r="J347" s="355"/>
      <c r="K347" s="356"/>
      <c r="L347" s="356">
        <f ca="1">IFERROR(__xludf.DUMMYFUNCTION("IMPORTRANGE(""https://docs.google.com/spreadsheets/d/11923uPwbBZFjjGgGUA6NLw09EwE0CqkOc4q9oUmW1yo/edit?usp=sharing"",""เพชรบูรณ์!L242"")"),3149956)</f>
        <v>3149956</v>
      </c>
      <c r="M347" s="356"/>
      <c r="N347" s="356">
        <f ca="1">IFERROR(__xludf.DUMMYFUNCTION("IMPORTRANGE(""https://docs.google.com/spreadsheets/d/11923uPwbBZFjjGgGUA6NLw09EwE0CqkOc4q9oUmW1yo/edit?usp=sharing"",""เพชรบูรณ์!M242"")"),639772.96)</f>
        <v>639772.96</v>
      </c>
      <c r="O347" s="356">
        <f ca="1">+IF(L347&gt;0,N347*100/L347,0)</f>
        <v>20.310536401143381</v>
      </c>
      <c r="P347" s="356"/>
    </row>
    <row r="348" spans="1:16" ht="21.75" customHeight="1" x14ac:dyDescent="0.3">
      <c r="A348" s="357" t="s">
        <v>127</v>
      </c>
      <c r="B348" s="358"/>
      <c r="C348" s="358"/>
      <c r="D348" s="358"/>
      <c r="E348" s="358"/>
      <c r="F348" s="358"/>
      <c r="G348" s="359"/>
      <c r="H348" s="360"/>
      <c r="I348" s="361"/>
      <c r="J348" s="361"/>
      <c r="K348" s="362"/>
      <c r="L348" s="362"/>
      <c r="M348" s="362"/>
      <c r="N348" s="362"/>
      <c r="O348" s="363"/>
      <c r="P348" s="363"/>
    </row>
    <row r="349" spans="1:16" ht="21.75" customHeight="1" x14ac:dyDescent="0.3">
      <c r="A349" s="364"/>
      <c r="B349" s="365">
        <v>1</v>
      </c>
      <c r="C349" s="366" t="s">
        <v>128</v>
      </c>
      <c r="D349" s="366"/>
      <c r="E349" s="366"/>
      <c r="F349" s="366"/>
      <c r="G349" s="367"/>
      <c r="H349" s="368" t="s">
        <v>122</v>
      </c>
      <c r="I349" s="369">
        <f ca="1">IFERROR(__xludf.DUMMYFUNCTION("IMPORTRANGE(""https://docs.google.com/spreadsheets/d/11923uPwbBZFjjGgGUA6NLw09EwE0CqkOc4q9oUmW1yo/edit?usp=sharing"",""เพชรบูรณ์!I244"")"),425)</f>
        <v>425</v>
      </c>
      <c r="J349" s="369">
        <f ca="1">IFERROR(__xludf.DUMMYFUNCTION("IMPORTRANGE(""https://docs.google.com/spreadsheets/d/11923uPwbBZFjjGgGUA6NLw09EwE0CqkOc4q9oUmW1yo/edit?usp=sharing"",""เพชรบูรณ์!J244"")"),0)</f>
        <v>0</v>
      </c>
      <c r="K349" s="370">
        <f t="shared" ref="K349:K350" ca="1" si="104">IF(I349&gt;0,J349*100/I349,0)</f>
        <v>0</v>
      </c>
      <c r="L349" s="371">
        <f ca="1">IFERROR(__xludf.DUMMYFUNCTION("IMPORTRANGE(""https://docs.google.com/spreadsheets/d/11923uPwbBZFjjGgGUA6NLw09EwE0CqkOc4q9oUmW1yo/edit?usp=sharing"",""เพชรบูรณ์!L244"")"),664130)</f>
        <v>664130</v>
      </c>
      <c r="M349" s="371"/>
      <c r="N349" s="371">
        <f ca="1">IFERROR(__xludf.DUMMYFUNCTION("IMPORTRANGE(""https://docs.google.com/spreadsheets/d/11923uPwbBZFjjGgGUA6NLw09EwE0CqkOc4q9oUmW1yo/edit?usp=sharing"",""เพชรบูรณ์!M244"")"),188684)</f>
        <v>188684</v>
      </c>
      <c r="O349" s="371">
        <f ca="1">+IF(L349&gt;0,N349*100/L349,0)</f>
        <v>28.410702723864304</v>
      </c>
      <c r="P349" s="371"/>
    </row>
    <row r="350" spans="1:16" ht="21.75" customHeight="1" x14ac:dyDescent="0.3">
      <c r="A350" s="364"/>
      <c r="B350" s="365"/>
      <c r="C350" s="366"/>
      <c r="D350" s="366"/>
      <c r="E350" s="366"/>
      <c r="F350" s="366"/>
      <c r="G350" s="367"/>
      <c r="H350" s="368" t="s">
        <v>37</v>
      </c>
      <c r="I350" s="369">
        <f ca="1">IFERROR(__xludf.DUMMYFUNCTION("IMPORTRANGE(""https://docs.google.com/spreadsheets/d/11923uPwbBZFjjGgGUA6NLw09EwE0CqkOc4q9oUmW1yo/edit?usp=sharing"",""เพชรบูรณ์!I245"")"),95)</f>
        <v>95</v>
      </c>
      <c r="J350" s="369">
        <f ca="1">IFERROR(__xludf.DUMMYFUNCTION("IMPORTRANGE(""https://docs.google.com/spreadsheets/d/11923uPwbBZFjjGgGUA6NLw09EwE0CqkOc4q9oUmW1yo/edit?usp=sharing"",""เพชรบูรณ์!J245"")"),95)</f>
        <v>95</v>
      </c>
      <c r="K350" s="370">
        <f t="shared" ca="1" si="104"/>
        <v>100</v>
      </c>
      <c r="L350" s="371"/>
      <c r="M350" s="371"/>
      <c r="N350" s="371"/>
      <c r="O350" s="371"/>
      <c r="P350" s="371"/>
    </row>
    <row r="351" spans="1:16" ht="21.75" customHeight="1" x14ac:dyDescent="0.3">
      <c r="A351" s="156"/>
      <c r="B351" s="157"/>
      <c r="C351" s="157" t="s">
        <v>16</v>
      </c>
      <c r="D351" s="158" t="s">
        <v>38</v>
      </c>
      <c r="E351" s="159"/>
      <c r="F351" s="159"/>
      <c r="G351" s="160" t="s">
        <v>39</v>
      </c>
      <c r="H351" s="161" t="s">
        <v>12</v>
      </c>
      <c r="I351" s="162" t="s">
        <v>40</v>
      </c>
      <c r="J351" s="162"/>
      <c r="K351" s="163"/>
      <c r="L351" s="164">
        <f ca="1">IFERROR(__xludf.DUMMYFUNCTION("IMPORTRANGE(""https://docs.google.com/spreadsheets/d/11923uPwbBZFjjGgGUA6NLw09EwE0CqkOc4q9oUmW1yo/edit?usp=sharing"",""เพชรบูรณ์!L246"")"),0)</f>
        <v>0</v>
      </c>
      <c r="M351" s="164"/>
      <c r="N351" s="164">
        <f ca="1">IFERROR(__xludf.DUMMYFUNCTION("IMPORTRANGE(""https://docs.google.com/spreadsheets/d/11923uPwbBZFjjGgGUA6NLw09EwE0CqkOc4q9oUmW1yo/edit?usp=sharing"",""เพชรบูรณ์!M246"")"),0)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3">
      <c r="A352" s="156"/>
      <c r="B352" s="157"/>
      <c r="C352" s="157"/>
      <c r="D352" s="166"/>
      <c r="E352" s="159"/>
      <c r="F352" s="159" t="s">
        <v>40</v>
      </c>
      <c r="G352" s="160" t="s">
        <v>41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IFERROR(__xludf.DUMMYFUNCTION("IMPORTRANGE(""https://docs.google.com/spreadsheets/d/11923uPwbBZFjjGgGUA6NLw09EwE0CqkOc4q9oUmW1yo/edit?usp=sharing"",""เพชรบูรณ์!L247"")"),664130)</f>
        <v>664130</v>
      </c>
      <c r="M352" s="165"/>
      <c r="N352" s="164">
        <f ca="1">IFERROR(__xludf.DUMMYFUNCTION("IMPORTRANGE(""https://docs.google.com/spreadsheets/d/11923uPwbBZFjjGgGUA6NLw09EwE0CqkOc4q9oUmW1yo/edit?usp=sharing"",""เพชรบูรณ์!M247"")"),188684)</f>
        <v>188684</v>
      </c>
      <c r="O352" s="165">
        <f t="shared" ca="1" si="105"/>
        <v>28.410702723864304</v>
      </c>
      <c r="P352" s="165"/>
    </row>
    <row r="353" spans="1:16" ht="21.75" customHeight="1" x14ac:dyDescent="0.3">
      <c r="A353" s="156"/>
      <c r="B353" s="157"/>
      <c r="C353" s="157"/>
      <c r="D353" s="166"/>
      <c r="E353" s="159"/>
      <c r="F353" s="159"/>
      <c r="G353" s="372" t="s">
        <v>129</v>
      </c>
      <c r="H353" s="161" t="s">
        <v>12</v>
      </c>
      <c r="I353" s="162"/>
      <c r="J353" s="162"/>
      <c r="K353" s="163"/>
      <c r="L353" s="168">
        <f ca="1">IFERROR(__xludf.DUMMYFUNCTION("IMPORTRANGE(""https://docs.google.com/spreadsheets/d/11923uPwbBZFjjGgGUA6NLw09EwE0CqkOc4q9oUmW1yo/edit?usp=sharing"",""เพชรบูรณ์!L248"")"),0)</f>
        <v>0</v>
      </c>
      <c r="M353" s="168"/>
      <c r="N353" s="168">
        <f ca="1">IFERROR(__xludf.DUMMYFUNCTION("IMPORTRANGE(""https://docs.google.com/spreadsheets/d/11923uPwbBZFjjGgGUA6NLw09EwE0CqkOc4q9oUmW1yo/edit?usp=sharing"",""เพชรบูรณ์!M248"")"),0)</f>
        <v>0</v>
      </c>
      <c r="O353" s="168">
        <f t="shared" ca="1" si="105"/>
        <v>0</v>
      </c>
      <c r="P353" s="168"/>
    </row>
    <row r="354" spans="1:16" ht="21.75" customHeight="1" x14ac:dyDescent="0.3">
      <c r="A354" s="156"/>
      <c r="B354" s="157"/>
      <c r="C354" s="157"/>
      <c r="D354" s="166"/>
      <c r="E354" s="159"/>
      <c r="F354" s="159"/>
      <c r="G354" s="372" t="s">
        <v>130</v>
      </c>
      <c r="H354" s="161" t="s">
        <v>12</v>
      </c>
      <c r="I354" s="162"/>
      <c r="J354" s="162"/>
      <c r="K354" s="163"/>
      <c r="L354" s="168">
        <f ca="1">IFERROR(__xludf.DUMMYFUNCTION("IMPORTRANGE(""https://docs.google.com/spreadsheets/d/11923uPwbBZFjjGgGUA6NLw09EwE0CqkOc4q9oUmW1yo/edit?usp=sharing"",""เพชรบูรณ์!L249"")"),664130)</f>
        <v>664130</v>
      </c>
      <c r="M354" s="168"/>
      <c r="N354" s="167">
        <f ca="1">IFERROR(__xludf.DUMMYFUNCTION("IMPORTRANGE(""https://docs.google.com/spreadsheets/d/11923uPwbBZFjjGgGUA6NLw09EwE0CqkOc4q9oUmW1yo/edit?usp=sharing"",""เพชรบูรณ์!M249"")"),188684)</f>
        <v>188684</v>
      </c>
      <c r="O354" s="168">
        <f t="shared" ca="1" si="105"/>
        <v>28.410702723864304</v>
      </c>
      <c r="P354" s="168"/>
    </row>
    <row r="355" spans="1:16" ht="21.75" customHeight="1" x14ac:dyDescent="0.3">
      <c r="A355" s="373"/>
      <c r="B355" s="374"/>
      <c r="C355" s="157"/>
      <c r="D355" s="375"/>
      <c r="E355" s="159"/>
      <c r="F355" s="159"/>
      <c r="G355" s="376" t="s">
        <v>131</v>
      </c>
      <c r="H355" s="161" t="s">
        <v>12</v>
      </c>
      <c r="I355" s="187"/>
      <c r="J355" s="187"/>
      <c r="K355" s="223"/>
      <c r="L355" s="168"/>
      <c r="M355" s="168"/>
      <c r="N355" s="377">
        <f ca="1">IFERROR(__xludf.DUMMYFUNCTION("IMPORTRANGE(""https://docs.google.com/spreadsheets/d/11923uPwbBZFjjGgGUA6NLw09EwE0CqkOc4q9oUmW1yo/edit?usp=sharing"",""เพชรบูรณ์!M250"")"),112334)</f>
        <v>112334</v>
      </c>
      <c r="O355" s="168"/>
      <c r="P355" s="168"/>
    </row>
    <row r="356" spans="1:16" ht="21.75" customHeight="1" x14ac:dyDescent="0.3">
      <c r="A356" s="373"/>
      <c r="B356" s="374"/>
      <c r="C356" s="157"/>
      <c r="D356" s="375"/>
      <c r="E356" s="159"/>
      <c r="F356" s="159"/>
      <c r="G356" s="376" t="s">
        <v>132</v>
      </c>
      <c r="H356" s="161" t="s">
        <v>12</v>
      </c>
      <c r="I356" s="187"/>
      <c r="J356" s="187"/>
      <c r="K356" s="223"/>
      <c r="L356" s="168"/>
      <c r="M356" s="168"/>
      <c r="N356" s="377">
        <f ca="1">IFERROR(__xludf.DUMMYFUNCTION("IMPORTRANGE(""https://docs.google.com/spreadsheets/d/11923uPwbBZFjjGgGUA6NLw09EwE0CqkOc4q9oUmW1yo/edit?usp=sharing"",""เพชรบูรณ์!M251"")"),0)</f>
        <v>0</v>
      </c>
      <c r="O356" s="168"/>
      <c r="P356" s="168"/>
    </row>
    <row r="357" spans="1:16" ht="21.75" customHeight="1" x14ac:dyDescent="0.3">
      <c r="A357" s="373"/>
      <c r="B357" s="374"/>
      <c r="C357" s="157"/>
      <c r="D357" s="375"/>
      <c r="E357" s="159"/>
      <c r="F357" s="159"/>
      <c r="G357" s="376" t="s">
        <v>133</v>
      </c>
      <c r="H357" s="161" t="s">
        <v>12</v>
      </c>
      <c r="I357" s="187"/>
      <c r="J357" s="187"/>
      <c r="K357" s="223"/>
      <c r="L357" s="168"/>
      <c r="M357" s="168"/>
      <c r="N357" s="377">
        <f ca="1">IFERROR(__xludf.DUMMYFUNCTION("IMPORTRANGE(""https://docs.google.com/spreadsheets/d/11923uPwbBZFjjGgGUA6NLw09EwE0CqkOc4q9oUmW1yo/edit?usp=sharing"",""เพชรบูรณ์!M252"")"),43248)</f>
        <v>43248</v>
      </c>
      <c r="O357" s="168"/>
      <c r="P357" s="168"/>
    </row>
    <row r="358" spans="1:16" ht="21.75" customHeight="1" x14ac:dyDescent="0.3">
      <c r="A358" s="373"/>
      <c r="B358" s="374"/>
      <c r="C358" s="157"/>
      <c r="D358" s="375"/>
      <c r="E358" s="159"/>
      <c r="F358" s="159"/>
      <c r="G358" s="376" t="s">
        <v>134</v>
      </c>
      <c r="H358" s="161" t="s">
        <v>12</v>
      </c>
      <c r="I358" s="187"/>
      <c r="J358" s="187"/>
      <c r="K358" s="223"/>
      <c r="L358" s="168"/>
      <c r="M358" s="168"/>
      <c r="N358" s="377">
        <f ca="1">IFERROR(__xludf.DUMMYFUNCTION("IMPORTRANGE(""https://docs.google.com/spreadsheets/d/11923uPwbBZFjjGgGUA6NLw09EwE0CqkOc4q9oUmW1yo/edit?usp=sharing"",""เพชรบูรณ์!M253"")"),33102)</f>
        <v>33102</v>
      </c>
      <c r="O358" s="168"/>
      <c r="P358" s="168"/>
    </row>
    <row r="359" spans="1:16" ht="21.75" customHeight="1" x14ac:dyDescent="0.3">
      <c r="A359" s="175"/>
      <c r="B359" s="176"/>
      <c r="C359" s="157" t="s">
        <v>16</v>
      </c>
      <c r="D359" s="177" t="s">
        <v>44</v>
      </c>
      <c r="E359" s="178"/>
      <c r="F359" s="178"/>
      <c r="G359" s="179"/>
      <c r="H359" s="180"/>
      <c r="I359" s="162"/>
      <c r="J359" s="162"/>
      <c r="K359" s="163"/>
      <c r="L359" s="181"/>
      <c r="M359" s="181"/>
      <c r="N359" s="181"/>
      <c r="O359" s="181"/>
      <c r="P359" s="181"/>
    </row>
    <row r="360" spans="1:16" ht="21.75" customHeight="1" x14ac:dyDescent="0.3">
      <c r="A360" s="175"/>
      <c r="B360" s="176"/>
      <c r="C360" s="176"/>
      <c r="D360" s="182">
        <v>1</v>
      </c>
      <c r="E360" s="183" t="s">
        <v>45</v>
      </c>
      <c r="F360" s="184"/>
      <c r="G360" s="185"/>
      <c r="H360" s="186"/>
      <c r="I360" s="187"/>
      <c r="J360" s="197">
        <f ca="1">IFERROR(__xludf.DUMMYFUNCTION("IMPORTRANGE(""https://docs.google.com/spreadsheets/d/11923uPwbBZFjjGgGUA6NLw09EwE0CqkOc4q9oUmW1yo/edit?usp=sharing"",""เพชรบูรณ์!J255"")"),0)</f>
        <v>0</v>
      </c>
      <c r="K360" s="163"/>
      <c r="L360" s="181"/>
      <c r="M360" s="181"/>
      <c r="N360" s="181"/>
      <c r="O360" s="181"/>
      <c r="P360" s="181"/>
    </row>
    <row r="361" spans="1:16" ht="21.75" customHeight="1" x14ac:dyDescent="0.3">
      <c r="A361" s="175"/>
      <c r="B361" s="176"/>
      <c r="C361" s="176"/>
      <c r="D361" s="189">
        <v>2</v>
      </c>
      <c r="E361" s="190" t="s">
        <v>46</v>
      </c>
      <c r="F361" s="191"/>
      <c r="G361" s="192"/>
      <c r="H361" s="186"/>
      <c r="I361" s="187"/>
      <c r="J361" s="188">
        <f ca="1">IFERROR(__xludf.DUMMYFUNCTION("IMPORTRANGE(""https://docs.google.com/spreadsheets/d/11923uPwbBZFjjGgGUA6NLw09EwE0CqkOc4q9oUmW1yo/edit?usp=sharing"",""เพชรบูรณ์!J256"")"),1)</f>
        <v>1</v>
      </c>
      <c r="K361" s="163"/>
      <c r="L361" s="181" t="s">
        <v>40</v>
      </c>
      <c r="M361" s="181"/>
      <c r="N361" s="181" t="s">
        <v>40</v>
      </c>
      <c r="O361" s="181"/>
      <c r="P361" s="181"/>
    </row>
    <row r="362" spans="1:16" ht="21.75" customHeight="1" x14ac:dyDescent="0.3">
      <c r="A362" s="175"/>
      <c r="B362" s="176"/>
      <c r="C362" s="176"/>
      <c r="D362" s="193"/>
      <c r="E362" s="194" t="s">
        <v>47</v>
      </c>
      <c r="F362" s="195"/>
      <c r="G362" s="196"/>
      <c r="H362" s="186"/>
      <c r="I362" s="187"/>
      <c r="J362" s="188">
        <f ca="1">IFERROR(__xludf.DUMMYFUNCTION("IMPORTRANGE(""https://docs.google.com/spreadsheets/d/11923uPwbBZFjjGgGUA6NLw09EwE0CqkOc4q9oUmW1yo/edit?usp=sharing"",""เพชรบูรณ์!J257"")"),1)</f>
        <v>1</v>
      </c>
      <c r="K362" s="163"/>
      <c r="L362" s="181"/>
      <c r="M362" s="181"/>
      <c r="N362" s="181"/>
      <c r="O362" s="181"/>
      <c r="P362" s="181"/>
    </row>
    <row r="363" spans="1:16" ht="21.75" customHeight="1" x14ac:dyDescent="0.3">
      <c r="A363" s="175"/>
      <c r="B363" s="176"/>
      <c r="C363" s="176"/>
      <c r="D363" s="193"/>
      <c r="E363" s="194" t="s">
        <v>48</v>
      </c>
      <c r="F363" s="195"/>
      <c r="G363" s="196"/>
      <c r="H363" s="186"/>
      <c r="I363" s="187"/>
      <c r="J363" s="197">
        <f ca="1">IFERROR(__xludf.DUMMYFUNCTION("IMPORTRANGE(""https://docs.google.com/spreadsheets/d/11923uPwbBZFjjGgGUA6NLw09EwE0CqkOc4q9oUmW1yo/edit?usp=sharing"",""เพชรบูรณ์!J258"")"),1)</f>
        <v>1</v>
      </c>
      <c r="K363" s="163"/>
      <c r="L363" s="181"/>
      <c r="M363" s="181"/>
      <c r="N363" s="181"/>
      <c r="O363" s="181"/>
      <c r="P363" s="181"/>
    </row>
    <row r="364" spans="1:16" ht="21.75" hidden="1" customHeight="1" x14ac:dyDescent="0.3">
      <c r="A364" s="175"/>
      <c r="B364" s="176"/>
      <c r="C364" s="176"/>
      <c r="D364" s="193"/>
      <c r="E364" s="198"/>
      <c r="F364" s="194" t="s">
        <v>70</v>
      </c>
      <c r="G364" s="196"/>
      <c r="H364" s="180"/>
      <c r="I364" s="187"/>
      <c r="J364" s="187">
        <f ca="1">IFERROR(__xludf.DUMMYFUNCTION("IMPORTRANGE(""https://docs.google.com/spreadsheets/d/11923uPwbBZFjjGgGUA6NLw09EwE0CqkOc4q9oUmW1yo/edit?usp=sharing"",""เพชรบูรณ์!J166"")"),0)</f>
        <v>0</v>
      </c>
      <c r="K364" s="163"/>
      <c r="L364" s="181"/>
      <c r="M364" s="181"/>
      <c r="N364" s="181"/>
      <c r="O364" s="181"/>
      <c r="P364" s="181"/>
    </row>
    <row r="365" spans="1:16" ht="21.75" hidden="1" customHeight="1" x14ac:dyDescent="0.3">
      <c r="A365" s="175"/>
      <c r="B365" s="176"/>
      <c r="C365" s="176"/>
      <c r="D365" s="193"/>
      <c r="E365" s="198"/>
      <c r="F365" s="195"/>
      <c r="G365" s="225" t="s">
        <v>135</v>
      </c>
      <c r="H365" s="180" t="s">
        <v>37</v>
      </c>
      <c r="I365" s="187">
        <f ca="1">IFERROR(__xludf.DUMMYFUNCTION("IMPORTRANGE(""https://docs.google.com/spreadsheets/d/1C3CXT74ZlgGe6_JY_1olB1XN4rF0dxEuIIF-xsYjHgg/edit?usp=sharing"",""งบกองทุน!f63"")"),0)</f>
        <v>0</v>
      </c>
      <c r="J365" s="187">
        <f ca="1">IFERROR(__xludf.DUMMYFUNCTION("IMPORTRANGE(""https://docs.google.com/spreadsheets/d/11923uPwbBZFjjGgGUA6NLw09EwE0CqkOc4q9oUmW1yo/edit?usp=sharing"",""เพชรบูรณ์!J166"")"),0)</f>
        <v>0</v>
      </c>
      <c r="K365" s="163">
        <f ca="1">IF(I365&gt;0,J365*100/I365,0)</f>
        <v>0</v>
      </c>
      <c r="L365" s="181"/>
      <c r="M365" s="181"/>
      <c r="N365" s="181"/>
      <c r="O365" s="181"/>
      <c r="P365" s="181"/>
    </row>
    <row r="366" spans="1:16" ht="21.75" hidden="1" customHeight="1" x14ac:dyDescent="0.3">
      <c r="A366" s="175"/>
      <c r="B366" s="176"/>
      <c r="C366" s="176"/>
      <c r="D366" s="193"/>
      <c r="E366" s="198"/>
      <c r="F366" s="195"/>
      <c r="G366" s="196" t="s">
        <v>136</v>
      </c>
      <c r="H366" s="180"/>
      <c r="I366" s="162"/>
      <c r="J366" s="187">
        <f ca="1">IFERROR(__xludf.DUMMYFUNCTION("IMPORTRANGE(""https://docs.google.com/spreadsheets/d/11923uPwbBZFjjGgGUA6NLw09EwE0CqkOc4q9oUmW1yo/edit?usp=sharing"",""เพชรบูรณ์!J166"")"),0)</f>
        <v>0</v>
      </c>
      <c r="K366" s="163"/>
      <c r="L366" s="181"/>
      <c r="M366" s="181"/>
      <c r="N366" s="181"/>
      <c r="O366" s="181"/>
      <c r="P366" s="181"/>
    </row>
    <row r="367" spans="1:16" ht="21.75" hidden="1" customHeight="1" x14ac:dyDescent="0.3">
      <c r="A367" s="175"/>
      <c r="B367" s="176"/>
      <c r="C367" s="176"/>
      <c r="D367" s="193"/>
      <c r="E367" s="198"/>
      <c r="F367" s="195"/>
      <c r="G367" s="225" t="s">
        <v>137</v>
      </c>
      <c r="H367" s="186" t="s">
        <v>122</v>
      </c>
      <c r="I367" s="187">
        <f ca="1">SUM(I369,I371)</f>
        <v>0</v>
      </c>
      <c r="J367" s="187">
        <f ca="1">IFERROR(__xludf.DUMMYFUNCTION("IMPORTRANGE(""https://docs.google.com/spreadsheets/d/11923uPwbBZFjjGgGUA6NLw09EwE0CqkOc4q9oUmW1yo/edit?usp=sharing"",""เพชรบูรณ์!J166"")"),0)</f>
        <v>0</v>
      </c>
      <c r="K367" s="163">
        <f t="shared" ref="K367:K373" ca="1" si="106">IF(I367&gt;0,J367*100/I367,0)</f>
        <v>0</v>
      </c>
      <c r="L367" s="181"/>
      <c r="M367" s="181"/>
      <c r="N367" s="181"/>
      <c r="O367" s="181"/>
      <c r="P367" s="181"/>
    </row>
    <row r="368" spans="1:16" ht="21.75" customHeight="1" x14ac:dyDescent="0.3">
      <c r="A368" s="175"/>
      <c r="B368" s="176"/>
      <c r="C368" s="176"/>
      <c r="D368" s="193"/>
      <c r="E368" s="198"/>
      <c r="F368" s="378" t="s">
        <v>138</v>
      </c>
      <c r="G368" s="379"/>
      <c r="H368" s="186" t="s">
        <v>37</v>
      </c>
      <c r="I368" s="162">
        <f ca="1">IFERROR(__xludf.DUMMYFUNCTION("IMPORTRANGE(""https://docs.google.com/spreadsheets/d/11923uPwbBZFjjGgGUA6NLw09EwE0CqkOc4q9oUmW1yo/edit?usp=sharing"",""เพชรบูรณ์!I263"")"),95)</f>
        <v>95</v>
      </c>
      <c r="J368" s="187">
        <f ca="1">IFERROR(__xludf.DUMMYFUNCTION("IMPORTRANGE(""https://docs.google.com/spreadsheets/d/11923uPwbBZFjjGgGUA6NLw09EwE0CqkOc4q9oUmW1yo/edit?usp=sharing"",""เพชรบูรณ์!J263"")"),95)</f>
        <v>95</v>
      </c>
      <c r="K368" s="163">
        <f t="shared" ca="1" si="106"/>
        <v>100</v>
      </c>
      <c r="L368" s="181"/>
      <c r="M368" s="181"/>
      <c r="N368" s="181"/>
      <c r="O368" s="181"/>
      <c r="P368" s="181"/>
    </row>
    <row r="369" spans="1:16" ht="21.75" hidden="1" customHeight="1" x14ac:dyDescent="0.3">
      <c r="A369" s="175"/>
      <c r="B369" s="176"/>
      <c r="C369" s="176"/>
      <c r="D369" s="193"/>
      <c r="E369" s="198"/>
      <c r="F369" s="195"/>
      <c r="G369" s="379"/>
      <c r="H369" s="180" t="s">
        <v>122</v>
      </c>
      <c r="I369" s="162">
        <f ca="1">IFERROR(__xludf.DUMMYFUNCTION("IMPORTRANGE(""https://docs.google.com/spreadsheets/d/11923uPwbBZFjjGgGUA6NLw09EwE0CqkOc4q9oUmW1yo/edit?usp=sharing"",""เพชรบูรณ์!I164"")"),0)</f>
        <v>0</v>
      </c>
      <c r="J369" s="203">
        <f ca="1">IFERROR(__xludf.DUMMYFUNCTION("IMPORTRANGE(""https://docs.google.com/spreadsheets/d/11923uPwbBZFjjGgGUA6NLw09EwE0CqkOc4q9oUmW1yo/edit?usp=sharing"",""เพชรบูรณ์!J164"")"),0)</f>
        <v>0</v>
      </c>
      <c r="K369" s="163">
        <f t="shared" ca="1" si="106"/>
        <v>0</v>
      </c>
      <c r="L369" s="181"/>
      <c r="M369" s="181"/>
      <c r="N369" s="181"/>
      <c r="O369" s="181"/>
      <c r="P369" s="181"/>
    </row>
    <row r="370" spans="1:16" ht="21.75" customHeight="1" x14ac:dyDescent="0.3">
      <c r="A370" s="175"/>
      <c r="B370" s="176"/>
      <c r="C370" s="176"/>
      <c r="D370" s="193"/>
      <c r="E370" s="198"/>
      <c r="F370" s="195"/>
      <c r="G370" s="378" t="s">
        <v>139</v>
      </c>
      <c r="H370" s="180" t="s">
        <v>37</v>
      </c>
      <c r="I370" s="162">
        <f ca="1">IFERROR(__xludf.DUMMYFUNCTION("IMPORTRANGE(""https://docs.google.com/spreadsheets/d/11923uPwbBZFjjGgGUA6NLw09EwE0CqkOc4q9oUmW1yo/edit?usp=sharing"",""เพชรบูรณ์!I265"")"),95)</f>
        <v>95</v>
      </c>
      <c r="J370" s="203">
        <f ca="1">IFERROR(__xludf.DUMMYFUNCTION("IMPORTRANGE(""https://docs.google.com/spreadsheets/d/11923uPwbBZFjjGgGUA6NLw09EwE0CqkOc4q9oUmW1yo/edit?usp=sharing"",""เพชรบูรณ์!J265"")"),95)</f>
        <v>95</v>
      </c>
      <c r="K370" s="163">
        <f t="shared" ca="1" si="106"/>
        <v>100</v>
      </c>
      <c r="L370" s="181"/>
      <c r="M370" s="181"/>
      <c r="N370" s="181"/>
      <c r="O370" s="181"/>
      <c r="P370" s="181"/>
    </row>
    <row r="371" spans="1:16" ht="21.75" hidden="1" customHeight="1" x14ac:dyDescent="0.3">
      <c r="A371" s="175"/>
      <c r="B371" s="176"/>
      <c r="C371" s="176"/>
      <c r="D371" s="193"/>
      <c r="E371" s="198"/>
      <c r="F371" s="195"/>
      <c r="G371" s="379"/>
      <c r="H371" s="180" t="s">
        <v>122</v>
      </c>
      <c r="I371" s="162">
        <f ca="1">IFERROR(__xludf.DUMMYFUNCTION("IMPORTRANGE(""https://docs.google.com/spreadsheets/d/11923uPwbBZFjjGgGUA6NLw09EwE0CqkOc4q9oUmW1yo/edit?usp=sharing"",""เพชรบูรณ์!I164"")"),0)</f>
        <v>0</v>
      </c>
      <c r="J371" s="188">
        <f ca="1">IFERROR(__xludf.DUMMYFUNCTION("IMPORTRANGE(""https://docs.google.com/spreadsheets/d/11923uPwbBZFjjGgGUA6NLw09EwE0CqkOc4q9oUmW1yo/edit?usp=sharing"",""เพชรบูรณ์!J164"")"),0)</f>
        <v>0</v>
      </c>
      <c r="K371" s="163">
        <f t="shared" ca="1" si="106"/>
        <v>0</v>
      </c>
      <c r="L371" s="181"/>
      <c r="M371" s="181"/>
      <c r="N371" s="181"/>
      <c r="O371" s="181"/>
      <c r="P371" s="181"/>
    </row>
    <row r="372" spans="1:16" ht="21.75" customHeight="1" x14ac:dyDescent="0.3">
      <c r="A372" s="175"/>
      <c r="B372" s="176"/>
      <c r="C372" s="176"/>
      <c r="D372" s="193"/>
      <c r="E372" s="198"/>
      <c r="F372" s="195"/>
      <c r="G372" s="378" t="s">
        <v>140</v>
      </c>
      <c r="H372" s="180" t="s">
        <v>37</v>
      </c>
      <c r="I372" s="162">
        <f ca="1">IFERROR(__xludf.DUMMYFUNCTION("IMPORTRANGE(""https://docs.google.com/spreadsheets/d/11923uPwbBZFjjGgGUA6NLw09EwE0CqkOc4q9oUmW1yo/edit?usp=sharing"",""เพชรบูรณ์!I267"")"),95)</f>
        <v>95</v>
      </c>
      <c r="J372" s="188">
        <f ca="1">IFERROR(__xludf.DUMMYFUNCTION("IMPORTRANGE(""https://docs.google.com/spreadsheets/d/11923uPwbBZFjjGgGUA6NLw09EwE0CqkOc4q9oUmW1yo/edit?usp=sharing"",""เพชรบูรณ์!J267"")"),95)</f>
        <v>95</v>
      </c>
      <c r="K372" s="163">
        <f t="shared" ca="1" si="106"/>
        <v>100</v>
      </c>
      <c r="L372" s="181"/>
      <c r="M372" s="181"/>
      <c r="N372" s="181"/>
      <c r="O372" s="181"/>
      <c r="P372" s="181"/>
    </row>
    <row r="373" spans="1:16" ht="21.75" hidden="1" customHeight="1" x14ac:dyDescent="0.3">
      <c r="A373" s="175"/>
      <c r="B373" s="176"/>
      <c r="C373" s="176"/>
      <c r="D373" s="193"/>
      <c r="E373" s="198"/>
      <c r="F373" s="195"/>
      <c r="G373" s="225" t="s">
        <v>141</v>
      </c>
      <c r="H373" s="180" t="s">
        <v>37</v>
      </c>
      <c r="I373" s="187">
        <f ca="1">IFERROR(__xludf.DUMMYFUNCTION("IMPORTRANGE(""https://docs.google.com/spreadsheets/d/11923uPwbBZFjjGgGUA6NLw09EwE0CqkOc4q9oUmW1yo/edit?usp=sharing"",""เพชรบูรณ์!I164"")"),0)</f>
        <v>0</v>
      </c>
      <c r="J373" s="203">
        <f ca="1">IFERROR(__xludf.DUMMYFUNCTION("IMPORTRANGE(""https://docs.google.com/spreadsheets/d/11923uPwbBZFjjGgGUA6NLw09EwE0CqkOc4q9oUmW1yo/edit?usp=sharing"",""เพชรบูรณ์!J164"")"),0)</f>
        <v>0</v>
      </c>
      <c r="K373" s="163">
        <f t="shared" ca="1" si="106"/>
        <v>0</v>
      </c>
      <c r="L373" s="181"/>
      <c r="M373" s="181"/>
      <c r="N373" s="181"/>
      <c r="O373" s="181"/>
      <c r="P373" s="181"/>
    </row>
    <row r="374" spans="1:16" ht="21.75" hidden="1" customHeight="1" x14ac:dyDescent="0.3">
      <c r="A374" s="175"/>
      <c r="B374" s="176"/>
      <c r="C374" s="176"/>
      <c r="D374" s="193"/>
      <c r="E374" s="198"/>
      <c r="F374" s="195"/>
      <c r="G374" s="196" t="s">
        <v>142</v>
      </c>
      <c r="H374" s="180"/>
      <c r="I374" s="187">
        <f ca="1">IFERROR(__xludf.DUMMYFUNCTION("IMPORTRANGE(""https://docs.google.com/spreadsheets/d/11923uPwbBZFjjGgGUA6NLw09EwE0CqkOc4q9oUmW1yo/edit?usp=sharing"",""เพชรบูรณ์!I164"")"),0)</f>
        <v>0</v>
      </c>
      <c r="J374" s="187">
        <f ca="1">IFERROR(__xludf.DUMMYFUNCTION("IMPORTRANGE(""https://docs.google.com/spreadsheets/d/11923uPwbBZFjjGgGUA6NLw09EwE0CqkOc4q9oUmW1yo/edit?usp=sharing"",""เพชรบูรณ์!J164"")"),0)</f>
        <v>0</v>
      </c>
      <c r="K374" s="163"/>
      <c r="L374" s="181"/>
      <c r="M374" s="181"/>
      <c r="N374" s="181"/>
      <c r="O374" s="181"/>
      <c r="P374" s="181"/>
    </row>
    <row r="375" spans="1:16" ht="21.75" customHeight="1" x14ac:dyDescent="0.3">
      <c r="A375" s="175"/>
      <c r="B375" s="176"/>
      <c r="C375" s="176"/>
      <c r="D375" s="193"/>
      <c r="E375" s="195"/>
      <c r="F375" s="204" t="s">
        <v>53</v>
      </c>
      <c r="G375" s="196"/>
      <c r="H375" s="278" t="s">
        <v>122</v>
      </c>
      <c r="I375" s="187">
        <f ca="1">IFERROR(__xludf.DUMMYFUNCTION("IMPORTRANGE(""https://docs.google.com/spreadsheets/d/11923uPwbBZFjjGgGUA6NLw09EwE0CqkOc4q9oUmW1yo/edit?usp=sharing"",""เพชรบูรณ์!I270"")"),425)</f>
        <v>425</v>
      </c>
      <c r="J375" s="187">
        <f ca="1">IFERROR(__xludf.DUMMYFUNCTION("IMPORTRANGE(""https://docs.google.com/spreadsheets/d/11923uPwbBZFjjGgGUA6NLw09EwE0CqkOc4q9oUmW1yo/edit?usp=sharing"",""เพชรบูรณ์!J270"")"),0)</f>
        <v>0</v>
      </c>
      <c r="K375" s="163">
        <f t="shared" ref="K375:K377" ca="1" si="107">IF(I375&gt;0,J375*100/I375,0)</f>
        <v>0</v>
      </c>
      <c r="L375" s="181"/>
      <c r="M375" s="181"/>
      <c r="N375" s="181"/>
      <c r="O375" s="181"/>
      <c r="P375" s="181"/>
    </row>
    <row r="376" spans="1:16" ht="21.75" customHeight="1" x14ac:dyDescent="0.3">
      <c r="A376" s="175"/>
      <c r="B376" s="176"/>
      <c r="C376" s="176"/>
      <c r="D376" s="193"/>
      <c r="E376" s="195"/>
      <c r="F376" s="195"/>
      <c r="G376" s="279" t="s">
        <v>143</v>
      </c>
      <c r="H376" s="278" t="s">
        <v>122</v>
      </c>
      <c r="I376" s="187">
        <f ca="1">IFERROR(__xludf.DUMMYFUNCTION("IMPORTRANGE(""https://docs.google.com/spreadsheets/d/11923uPwbBZFjjGgGUA6NLw09EwE0CqkOc4q9oUmW1yo/edit?usp=sharing"",""เพชรบูรณ์!I271"")"),150)</f>
        <v>150</v>
      </c>
      <c r="J376" s="188">
        <f ca="1">IFERROR(__xludf.DUMMYFUNCTION("IMPORTRANGE(""https://docs.google.com/spreadsheets/d/11923uPwbBZFjjGgGUA6NLw09EwE0CqkOc4q9oUmW1yo/edit?usp=sharing"",""เพชรบูรณ์!J271"")"),0)</f>
        <v>0</v>
      </c>
      <c r="K376" s="163">
        <f t="shared" ca="1" si="107"/>
        <v>0</v>
      </c>
      <c r="L376" s="181"/>
      <c r="M376" s="181"/>
      <c r="N376" s="181"/>
      <c r="O376" s="181"/>
      <c r="P376" s="181"/>
    </row>
    <row r="377" spans="1:16" ht="21.75" customHeight="1" x14ac:dyDescent="0.3">
      <c r="A377" s="175"/>
      <c r="B377" s="176"/>
      <c r="C377" s="176"/>
      <c r="D377" s="193"/>
      <c r="E377" s="195"/>
      <c r="F377" s="195"/>
      <c r="G377" s="279" t="s">
        <v>144</v>
      </c>
      <c r="H377" s="278" t="s">
        <v>122</v>
      </c>
      <c r="I377" s="187">
        <f ca="1">IFERROR(__xludf.DUMMYFUNCTION("IMPORTRANGE(""https://docs.google.com/spreadsheets/d/11923uPwbBZFjjGgGUA6NLw09EwE0CqkOc4q9oUmW1yo/edit?usp=sharing"",""เพชรบูรณ์!I272"")"),275)</f>
        <v>275</v>
      </c>
      <c r="J377" s="203">
        <f ca="1">IFERROR(__xludf.DUMMYFUNCTION("IMPORTRANGE(""https://docs.google.com/spreadsheets/d/11923uPwbBZFjjGgGUA6NLw09EwE0CqkOc4q9oUmW1yo/edit?usp=sharing"",""เพชรบูรณ์!J272"")"),0)</f>
        <v>0</v>
      </c>
      <c r="K377" s="163">
        <f t="shared" ca="1" si="107"/>
        <v>0</v>
      </c>
      <c r="L377" s="181"/>
      <c r="M377" s="181"/>
      <c r="N377" s="181"/>
      <c r="O377" s="181"/>
      <c r="P377" s="181"/>
    </row>
    <row r="378" spans="1:16" ht="21.75" customHeight="1" x14ac:dyDescent="0.3">
      <c r="A378" s="175"/>
      <c r="B378" s="176"/>
      <c r="C378" s="176"/>
      <c r="D378" s="193"/>
      <c r="E378" s="194" t="s">
        <v>54</v>
      </c>
      <c r="F378" s="195"/>
      <c r="G378" s="196"/>
      <c r="H378" s="186"/>
      <c r="I378" s="187"/>
      <c r="J378" s="197">
        <f ca="1">IFERROR(__xludf.DUMMYFUNCTION("IMPORTRANGE(""https://docs.google.com/spreadsheets/d/11923uPwbBZFjjGgGUA6NLw09EwE0CqkOc4q9oUmW1yo/edit?usp=sharing"",""เพชรบูรณ์!J273"")"),0)</f>
        <v>0</v>
      </c>
      <c r="K378" s="163"/>
      <c r="L378" s="181"/>
      <c r="M378" s="181"/>
      <c r="N378" s="181"/>
      <c r="O378" s="181"/>
      <c r="P378" s="181"/>
    </row>
    <row r="379" spans="1:16" ht="21.75" customHeight="1" x14ac:dyDescent="0.3">
      <c r="A379" s="175"/>
      <c r="B379" s="176"/>
      <c r="C379" s="176"/>
      <c r="D379" s="205">
        <v>3</v>
      </c>
      <c r="E379" s="206" t="s">
        <v>55</v>
      </c>
      <c r="F379" s="207"/>
      <c r="G379" s="208"/>
      <c r="H379" s="186"/>
      <c r="I379" s="187"/>
      <c r="J379" s="209">
        <f ca="1">IFERROR(__xludf.DUMMYFUNCTION("IMPORTRANGE(""https://docs.google.com/spreadsheets/d/11923uPwbBZFjjGgGUA6NLw09EwE0CqkOc4q9oUmW1yo/edit?usp=sharing"",""เพชรบูรณ์!J274"")"),0)</f>
        <v>0</v>
      </c>
      <c r="K379" s="163"/>
      <c r="L379" s="181"/>
      <c r="M379" s="181"/>
      <c r="N379" s="181"/>
      <c r="O379" s="181"/>
      <c r="P379" s="181"/>
    </row>
    <row r="380" spans="1:16" ht="21.75" customHeight="1" x14ac:dyDescent="0.3">
      <c r="A380" s="364"/>
      <c r="B380" s="365">
        <v>2</v>
      </c>
      <c r="C380" s="366" t="s">
        <v>145</v>
      </c>
      <c r="D380" s="366"/>
      <c r="E380" s="380"/>
      <c r="F380" s="380"/>
      <c r="G380" s="381"/>
      <c r="H380" s="368" t="s">
        <v>122</v>
      </c>
      <c r="I380" s="369">
        <f ca="1">IFERROR(__xludf.DUMMYFUNCTION("IMPORTRANGE(""https://docs.google.com/spreadsheets/d/11923uPwbBZFjjGgGUA6NLw09EwE0CqkOc4q9oUmW1yo/edit?usp=sharing"",""เพชรบูรณ์!I275"")"),1000)</f>
        <v>1000</v>
      </c>
      <c r="J380" s="369">
        <f ca="1">IFERROR(__xludf.DUMMYFUNCTION("IMPORTRANGE(""https://docs.google.com/spreadsheets/d/11923uPwbBZFjjGgGUA6NLw09EwE0CqkOc4q9oUmW1yo/edit?usp=sharing"",""เพชรบูรณ์!J275"")"),0)</f>
        <v>0</v>
      </c>
      <c r="K380" s="370">
        <f t="shared" ref="K380:K381" ca="1" si="108">IF(I380&gt;0,J380*100/I380,0)</f>
        <v>0</v>
      </c>
      <c r="L380" s="371">
        <f ca="1">IFERROR(__xludf.DUMMYFUNCTION("IMPORTRANGE(""https://docs.google.com/spreadsheets/d/11923uPwbBZFjjGgGUA6NLw09EwE0CqkOc4q9oUmW1yo/edit?usp=sharing"",""เพชรบูรณ์!L275"")"),1028520)</f>
        <v>1028520</v>
      </c>
      <c r="M380" s="371"/>
      <c r="N380" s="371">
        <f ca="1">IFERROR(__xludf.DUMMYFUNCTION("IMPORTRANGE(""https://docs.google.com/spreadsheets/d/11923uPwbBZFjjGgGUA6NLw09EwE0CqkOc4q9oUmW1yo/edit?usp=sharing"",""เพชรบูรณ์!M275"")"),85601)</f>
        <v>85601</v>
      </c>
      <c r="O380" s="371">
        <f ca="1">+IF(L380&gt;0,N380*100/L380,0)</f>
        <v>8.3227355812235064</v>
      </c>
      <c r="P380" s="371"/>
    </row>
    <row r="381" spans="1:16" ht="21.75" customHeight="1" x14ac:dyDescent="0.3">
      <c r="A381" s="364"/>
      <c r="B381" s="365"/>
      <c r="C381" s="366"/>
      <c r="D381" s="382"/>
      <c r="E381" s="383"/>
      <c r="F381" s="383"/>
      <c r="G381" s="384"/>
      <c r="H381" s="368" t="s">
        <v>37</v>
      </c>
      <c r="I381" s="369">
        <f ca="1">IFERROR(__xludf.DUMMYFUNCTION("IMPORTRANGE(""https://docs.google.com/spreadsheets/d/11923uPwbBZFjjGgGUA6NLw09EwE0CqkOc4q9oUmW1yo/edit?usp=sharing"",""เพชรบูรณ์!I276"")"),100)</f>
        <v>100</v>
      </c>
      <c r="J381" s="369">
        <f ca="1">IFERROR(__xludf.DUMMYFUNCTION("IMPORTRANGE(""https://docs.google.com/spreadsheets/d/11923uPwbBZFjjGgGUA6NLw09EwE0CqkOc4q9oUmW1yo/edit?usp=sharing"",""เพชรบูรณ์!J276"")"),50)</f>
        <v>50</v>
      </c>
      <c r="K381" s="370">
        <f t="shared" ca="1" si="108"/>
        <v>50</v>
      </c>
      <c r="L381" s="371"/>
      <c r="M381" s="371"/>
      <c r="N381" s="371"/>
      <c r="O381" s="371"/>
      <c r="P381" s="371"/>
    </row>
    <row r="382" spans="1:16" ht="21.75" customHeight="1" x14ac:dyDescent="0.3">
      <c r="A382" s="156"/>
      <c r="B382" s="157"/>
      <c r="C382" s="157" t="s">
        <v>16</v>
      </c>
      <c r="D382" s="158" t="s">
        <v>38</v>
      </c>
      <c r="E382" s="159"/>
      <c r="F382" s="159"/>
      <c r="G382" s="160" t="s">
        <v>39</v>
      </c>
      <c r="H382" s="161" t="s">
        <v>12</v>
      </c>
      <c r="I382" s="162" t="s">
        <v>40</v>
      </c>
      <c r="J382" s="162"/>
      <c r="K382" s="163"/>
      <c r="L382" s="164">
        <f ca="1">IFERROR(__xludf.DUMMYFUNCTION("IMPORTRANGE(""https://docs.google.com/spreadsheets/d/11923uPwbBZFjjGgGUA6NLw09EwE0CqkOc4q9oUmW1yo/edit?usp=sharing"",""เพชรบูรณ์!L277"")"),0)</f>
        <v>0</v>
      </c>
      <c r="M382" s="164"/>
      <c r="N382" s="164">
        <f ca="1">IFERROR(__xludf.DUMMYFUNCTION("IMPORTRANGE(""https://docs.google.com/spreadsheets/d/11923uPwbBZFjjGgGUA6NLw09EwE0CqkOc4q9oUmW1yo/edit?usp=sharing"",""เพชรบูรณ์!M277"")"),0)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3">
      <c r="A383" s="156"/>
      <c r="B383" s="157"/>
      <c r="C383" s="157"/>
      <c r="D383" s="166"/>
      <c r="E383" s="159"/>
      <c r="F383" s="159" t="s">
        <v>40</v>
      </c>
      <c r="G383" s="160" t="s">
        <v>41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IFERROR(__xludf.DUMMYFUNCTION("IMPORTRANGE(""https://docs.google.com/spreadsheets/d/11923uPwbBZFjjGgGUA6NLw09EwE0CqkOc4q9oUmW1yo/edit?usp=sharing"",""เพชรบูรณ์!L278"")"),1028520)</f>
        <v>1028520</v>
      </c>
      <c r="M383" s="165"/>
      <c r="N383" s="165">
        <f ca="1">IFERROR(__xludf.DUMMYFUNCTION("IMPORTRANGE(""https://docs.google.com/spreadsheets/d/11923uPwbBZFjjGgGUA6NLw09EwE0CqkOc4q9oUmW1yo/edit?usp=sharing"",""เพชรบูรณ์!M278"")"),85601)</f>
        <v>85601</v>
      </c>
      <c r="O383" s="165">
        <f t="shared" ca="1" si="109"/>
        <v>8.3227355812235064</v>
      </c>
      <c r="P383" s="165"/>
    </row>
    <row r="384" spans="1:16" ht="21.75" customHeight="1" x14ac:dyDescent="0.3">
      <c r="A384" s="156"/>
      <c r="B384" s="157"/>
      <c r="C384" s="157"/>
      <c r="D384" s="166"/>
      <c r="E384" s="159"/>
      <c r="F384" s="159"/>
      <c r="G384" s="372" t="s">
        <v>129</v>
      </c>
      <c r="H384" s="161" t="s">
        <v>12</v>
      </c>
      <c r="I384" s="162"/>
      <c r="J384" s="162"/>
      <c r="K384" s="163"/>
      <c r="L384" s="168">
        <f ca="1">IFERROR(__xludf.DUMMYFUNCTION("IMPORTRANGE(""https://docs.google.com/spreadsheets/d/11923uPwbBZFjjGgGUA6NLw09EwE0CqkOc4q9oUmW1yo/edit?usp=sharing"",""เพชรบูรณ์!L279"")"),0)</f>
        <v>0</v>
      </c>
      <c r="M384" s="168"/>
      <c r="N384" s="168">
        <f ca="1">IFERROR(__xludf.DUMMYFUNCTION("IMPORTRANGE(""https://docs.google.com/spreadsheets/d/11923uPwbBZFjjGgGUA6NLw09EwE0CqkOc4q9oUmW1yo/edit?usp=sharing"",""เพชรบูรณ์!M279"")"),0)</f>
        <v>0</v>
      </c>
      <c r="O384" s="168">
        <f t="shared" ca="1" si="109"/>
        <v>0</v>
      </c>
      <c r="P384" s="168"/>
    </row>
    <row r="385" spans="1:16" ht="21.75" customHeight="1" x14ac:dyDescent="0.3">
      <c r="A385" s="156"/>
      <c r="B385" s="157"/>
      <c r="C385" s="157"/>
      <c r="D385" s="166"/>
      <c r="E385" s="159"/>
      <c r="F385" s="159"/>
      <c r="G385" s="372" t="s">
        <v>130</v>
      </c>
      <c r="H385" s="161" t="s">
        <v>12</v>
      </c>
      <c r="I385" s="162"/>
      <c r="J385" s="162"/>
      <c r="K385" s="163"/>
      <c r="L385" s="168">
        <f ca="1">IFERROR(__xludf.DUMMYFUNCTION("IMPORTRANGE(""https://docs.google.com/spreadsheets/d/11923uPwbBZFjjGgGUA6NLw09EwE0CqkOc4q9oUmW1yo/edit?usp=sharing"",""เพชรบูรณ์!L280"")"),1028520)</f>
        <v>1028520</v>
      </c>
      <c r="M385" s="168"/>
      <c r="N385" s="167">
        <f ca="1">IFERROR(__xludf.DUMMYFUNCTION("IMPORTRANGE(""https://docs.google.com/spreadsheets/d/11923uPwbBZFjjGgGUA6NLw09EwE0CqkOc4q9oUmW1yo/edit?usp=sharing"",""เพชรบูรณ์!M280"")"),85601)</f>
        <v>85601</v>
      </c>
      <c r="O385" s="168">
        <f t="shared" ca="1" si="109"/>
        <v>8.3227355812235064</v>
      </c>
      <c r="P385" s="168"/>
    </row>
    <row r="386" spans="1:16" ht="21.75" customHeight="1" x14ac:dyDescent="0.3">
      <c r="A386" s="373"/>
      <c r="B386" s="374"/>
      <c r="C386" s="157"/>
      <c r="D386" s="375"/>
      <c r="E386" s="159"/>
      <c r="F386" s="159"/>
      <c r="G386" s="376" t="s">
        <v>131</v>
      </c>
      <c r="H386" s="161" t="s">
        <v>12</v>
      </c>
      <c r="I386" s="187"/>
      <c r="J386" s="187"/>
      <c r="K386" s="223"/>
      <c r="L386" s="168"/>
      <c r="M386" s="168"/>
      <c r="N386" s="377">
        <f ca="1">IFERROR(__xludf.DUMMYFUNCTION("IMPORTRANGE(""https://docs.google.com/spreadsheets/d/11923uPwbBZFjjGgGUA6NLw09EwE0CqkOc4q9oUmW1yo/edit?usp=sharing"",""เพชรบูรณ์!M281"")"),23708)</f>
        <v>23708</v>
      </c>
      <c r="O386" s="168"/>
      <c r="P386" s="168"/>
    </row>
    <row r="387" spans="1:16" ht="21.75" customHeight="1" x14ac:dyDescent="0.3">
      <c r="A387" s="373"/>
      <c r="B387" s="374"/>
      <c r="C387" s="157"/>
      <c r="D387" s="375"/>
      <c r="E387" s="159"/>
      <c r="F387" s="159"/>
      <c r="G387" s="376" t="s">
        <v>132</v>
      </c>
      <c r="H387" s="161" t="s">
        <v>12</v>
      </c>
      <c r="I387" s="187"/>
      <c r="J387" s="187"/>
      <c r="K387" s="223"/>
      <c r="L387" s="168"/>
      <c r="M387" s="168"/>
      <c r="N387" s="377">
        <f ca="1">IFERROR(__xludf.DUMMYFUNCTION("IMPORTRANGE(""https://docs.google.com/spreadsheets/d/11923uPwbBZFjjGgGUA6NLw09EwE0CqkOc4q9oUmW1yo/edit?usp=sharing"",""เพชรบูรณ์!M282"")"),0)</f>
        <v>0</v>
      </c>
      <c r="O387" s="168"/>
      <c r="P387" s="168"/>
    </row>
    <row r="388" spans="1:16" ht="21.75" customHeight="1" x14ac:dyDescent="0.3">
      <c r="A388" s="373"/>
      <c r="B388" s="374"/>
      <c r="C388" s="157"/>
      <c r="D388" s="375"/>
      <c r="E388" s="159"/>
      <c r="F388" s="159"/>
      <c r="G388" s="376" t="s">
        <v>133</v>
      </c>
      <c r="H388" s="161" t="s">
        <v>12</v>
      </c>
      <c r="I388" s="187"/>
      <c r="J388" s="187"/>
      <c r="K388" s="223"/>
      <c r="L388" s="168"/>
      <c r="M388" s="168"/>
      <c r="N388" s="377">
        <f ca="1">IFERROR(__xludf.DUMMYFUNCTION("IMPORTRANGE(""https://docs.google.com/spreadsheets/d/11923uPwbBZFjjGgGUA6NLw09EwE0CqkOc4q9oUmW1yo/edit?usp=sharing"",""เพชรบูรณ์!M283"")"),43248)</f>
        <v>43248</v>
      </c>
      <c r="O388" s="168"/>
      <c r="P388" s="168"/>
    </row>
    <row r="389" spans="1:16" ht="21.75" customHeight="1" x14ac:dyDescent="0.3">
      <c r="A389" s="373"/>
      <c r="B389" s="374"/>
      <c r="C389" s="157"/>
      <c r="D389" s="375"/>
      <c r="E389" s="159"/>
      <c r="F389" s="159"/>
      <c r="G389" s="376" t="s">
        <v>134</v>
      </c>
      <c r="H389" s="161" t="s">
        <v>12</v>
      </c>
      <c r="I389" s="187"/>
      <c r="J389" s="187"/>
      <c r="K389" s="223"/>
      <c r="L389" s="168"/>
      <c r="M389" s="168"/>
      <c r="N389" s="377">
        <f ca="1">IFERROR(__xludf.DUMMYFUNCTION("IMPORTRANGE(""https://docs.google.com/spreadsheets/d/11923uPwbBZFjjGgGUA6NLw09EwE0CqkOc4q9oUmW1yo/edit?usp=sharing"",""เพชรบูรณ์!M284"")"),18645)</f>
        <v>18645</v>
      </c>
      <c r="O389" s="168"/>
      <c r="P389" s="168"/>
    </row>
    <row r="390" spans="1:16" ht="21.75" customHeight="1" x14ac:dyDescent="0.3">
      <c r="A390" s="175"/>
      <c r="B390" s="176"/>
      <c r="C390" s="157" t="s">
        <v>16</v>
      </c>
      <c r="D390" s="177" t="s">
        <v>44</v>
      </c>
      <c r="E390" s="178"/>
      <c r="F390" s="178"/>
      <c r="G390" s="179"/>
      <c r="H390" s="180"/>
      <c r="I390" s="162"/>
      <c r="J390" s="162"/>
      <c r="K390" s="163"/>
      <c r="L390" s="181"/>
      <c r="M390" s="181"/>
      <c r="N390" s="181"/>
      <c r="O390" s="181"/>
      <c r="P390" s="181"/>
    </row>
    <row r="391" spans="1:16" ht="21.75" customHeight="1" x14ac:dyDescent="0.3">
      <c r="A391" s="175"/>
      <c r="B391" s="176"/>
      <c r="C391" s="176"/>
      <c r="D391" s="182">
        <v>1</v>
      </c>
      <c r="E391" s="183" t="s">
        <v>45</v>
      </c>
      <c r="F391" s="184"/>
      <c r="G391" s="185"/>
      <c r="H391" s="186"/>
      <c r="I391" s="187"/>
      <c r="J391" s="197">
        <f ca="1">IFERROR(__xludf.DUMMYFUNCTION("IMPORTRANGE(""https://docs.google.com/spreadsheets/d/11923uPwbBZFjjGgGUA6NLw09EwE0CqkOc4q9oUmW1yo/edit?usp=sharing"",""เพชรบูรณ์!J286"")"),0)</f>
        <v>0</v>
      </c>
      <c r="K391" s="163"/>
      <c r="L391" s="181"/>
      <c r="M391" s="181"/>
      <c r="N391" s="181"/>
      <c r="O391" s="181"/>
      <c r="P391" s="181"/>
    </row>
    <row r="392" spans="1:16" ht="21.75" customHeight="1" x14ac:dyDescent="0.3">
      <c r="A392" s="175"/>
      <c r="B392" s="176"/>
      <c r="C392" s="176"/>
      <c r="D392" s="189">
        <v>2</v>
      </c>
      <c r="E392" s="190" t="s">
        <v>46</v>
      </c>
      <c r="F392" s="191"/>
      <c r="G392" s="192"/>
      <c r="H392" s="186"/>
      <c r="I392" s="187"/>
      <c r="J392" s="188">
        <f ca="1">IFERROR(__xludf.DUMMYFUNCTION("IMPORTRANGE(""https://docs.google.com/spreadsheets/d/11923uPwbBZFjjGgGUA6NLw09EwE0CqkOc4q9oUmW1yo/edit?usp=sharing"",""เพชรบูรณ์!J287"")"),1)</f>
        <v>1</v>
      </c>
      <c r="K392" s="163"/>
      <c r="L392" s="181" t="s">
        <v>40</v>
      </c>
      <c r="M392" s="181"/>
      <c r="N392" s="181" t="s">
        <v>40</v>
      </c>
      <c r="O392" s="181"/>
      <c r="P392" s="181"/>
    </row>
    <row r="393" spans="1:16" ht="21.75" customHeight="1" x14ac:dyDescent="0.3">
      <c r="A393" s="175"/>
      <c r="B393" s="176"/>
      <c r="C393" s="176"/>
      <c r="D393" s="193"/>
      <c r="E393" s="194" t="s">
        <v>47</v>
      </c>
      <c r="F393" s="195"/>
      <c r="G393" s="196"/>
      <c r="H393" s="186"/>
      <c r="I393" s="187"/>
      <c r="J393" s="188">
        <f ca="1">IFERROR(__xludf.DUMMYFUNCTION("IMPORTRANGE(""https://docs.google.com/spreadsheets/d/11923uPwbBZFjjGgGUA6NLw09EwE0CqkOc4q9oUmW1yo/edit?usp=sharing"",""เพชรบูรณ์!J288"")"),1)</f>
        <v>1</v>
      </c>
      <c r="K393" s="163"/>
      <c r="L393" s="181"/>
      <c r="M393" s="181"/>
      <c r="N393" s="181"/>
      <c r="O393" s="181"/>
      <c r="P393" s="181"/>
    </row>
    <row r="394" spans="1:16" ht="21.75" customHeight="1" x14ac:dyDescent="0.3">
      <c r="A394" s="175"/>
      <c r="B394" s="176"/>
      <c r="C394" s="176"/>
      <c r="D394" s="193"/>
      <c r="E394" s="194" t="s">
        <v>48</v>
      </c>
      <c r="F394" s="195"/>
      <c r="G394" s="196"/>
      <c r="H394" s="186"/>
      <c r="I394" s="187"/>
      <c r="J394" s="197">
        <f ca="1">IFERROR(__xludf.DUMMYFUNCTION("IMPORTRANGE(""https://docs.google.com/spreadsheets/d/11923uPwbBZFjjGgGUA6NLw09EwE0CqkOc4q9oUmW1yo/edit?usp=sharing"",""เพชรบูรณ์!J289"")"),1)</f>
        <v>1</v>
      </c>
      <c r="K394" s="163"/>
      <c r="L394" s="181"/>
      <c r="M394" s="181"/>
      <c r="N394" s="181"/>
      <c r="O394" s="181"/>
      <c r="P394" s="181"/>
    </row>
    <row r="395" spans="1:16" ht="21.75" customHeight="1" x14ac:dyDescent="0.3">
      <c r="A395" s="175"/>
      <c r="B395" s="176"/>
      <c r="C395" s="176"/>
      <c r="D395" s="193"/>
      <c r="E395" s="198"/>
      <c r="F395" s="194" t="s">
        <v>146</v>
      </c>
      <c r="G395" s="195"/>
      <c r="H395" s="186"/>
      <c r="I395" s="187"/>
      <c r="J395" s="187"/>
      <c r="K395" s="163"/>
      <c r="L395" s="181"/>
      <c r="M395" s="181"/>
      <c r="N395" s="181"/>
      <c r="O395" s="181"/>
      <c r="P395" s="181"/>
    </row>
    <row r="396" spans="1:16" ht="21.75" customHeight="1" x14ac:dyDescent="0.3">
      <c r="A396" s="175"/>
      <c r="B396" s="176"/>
      <c r="C396" s="176"/>
      <c r="D396" s="193"/>
      <c r="E396" s="198"/>
      <c r="F396" s="195"/>
      <c r="G396" s="291" t="s">
        <v>70</v>
      </c>
      <c r="H396" s="186" t="s">
        <v>37</v>
      </c>
      <c r="I396" s="187">
        <f ca="1">IFERROR(__xludf.DUMMYFUNCTION("IMPORTRANGE(""https://docs.google.com/spreadsheets/d/11923uPwbBZFjjGgGUA6NLw09EwE0CqkOc4q9oUmW1yo/edit?usp=sharing"",""เพชรบูรณ์!I291"")"),100)</f>
        <v>100</v>
      </c>
      <c r="J396" s="197">
        <f ca="1">IFERROR(__xludf.DUMMYFUNCTION("IMPORTRANGE(""https://docs.google.com/spreadsheets/d/11923uPwbBZFjjGgGUA6NLw09EwE0CqkOc4q9oUmW1yo/edit?usp=sharing"",""เพชรบูรณ์!J291"")"),50)</f>
        <v>50</v>
      </c>
      <c r="K396" s="163">
        <f t="shared" ref="K396:K398" ca="1" si="110">IF(I396&gt;0,J396*100/I396,0)</f>
        <v>50</v>
      </c>
      <c r="L396" s="181"/>
      <c r="M396" s="181"/>
      <c r="N396" s="181"/>
      <c r="O396" s="181"/>
      <c r="P396" s="181"/>
    </row>
    <row r="397" spans="1:16" ht="21.75" customHeight="1" x14ac:dyDescent="0.3">
      <c r="A397" s="175"/>
      <c r="B397" s="176"/>
      <c r="C397" s="176"/>
      <c r="D397" s="193"/>
      <c r="E397" s="198"/>
      <c r="F397" s="195"/>
      <c r="G397" s="196" t="s">
        <v>53</v>
      </c>
      <c r="H397" s="186" t="s">
        <v>122</v>
      </c>
      <c r="I397" s="187">
        <f ca="1">IFERROR(__xludf.DUMMYFUNCTION("IMPORTRANGE(""https://docs.google.com/spreadsheets/d/11923uPwbBZFjjGgGUA6NLw09EwE0CqkOc4q9oUmW1yo/edit?usp=sharing"",""เพชรบูรณ์!I292"")"),1000)</f>
        <v>1000</v>
      </c>
      <c r="J397" s="197">
        <f ca="1">IFERROR(__xludf.DUMMYFUNCTION("IMPORTRANGE(""https://docs.google.com/spreadsheets/d/11923uPwbBZFjjGgGUA6NLw09EwE0CqkOc4q9oUmW1yo/edit?usp=sharing"",""เพชรบูรณ์!J292"")"),0)</f>
        <v>0</v>
      </c>
      <c r="K397" s="163">
        <f t="shared" ca="1" si="110"/>
        <v>0</v>
      </c>
      <c r="L397" s="181"/>
      <c r="M397" s="181"/>
      <c r="N397" s="181"/>
      <c r="O397" s="181"/>
      <c r="P397" s="181"/>
    </row>
    <row r="398" spans="1:16" ht="21.75" customHeight="1" x14ac:dyDescent="0.3">
      <c r="A398" s="175"/>
      <c r="B398" s="176"/>
      <c r="C398" s="176"/>
      <c r="D398" s="193"/>
      <c r="E398" s="198"/>
      <c r="F398" s="195"/>
      <c r="G398" s="196"/>
      <c r="H398" s="186" t="s">
        <v>37</v>
      </c>
      <c r="I398" s="187">
        <f ca="1">IFERROR(__xludf.DUMMYFUNCTION("IMPORTRANGE(""https://docs.google.com/spreadsheets/d/11923uPwbBZFjjGgGUA6NLw09EwE0CqkOc4q9oUmW1yo/edit?usp=sharing"",""เพชรบูรณ์!I293"")"),100)</f>
        <v>100</v>
      </c>
      <c r="J398" s="197">
        <f ca="1">IFERROR(__xludf.DUMMYFUNCTION("IMPORTRANGE(""https://docs.google.com/spreadsheets/d/11923uPwbBZFjjGgGUA6NLw09EwE0CqkOc4q9oUmW1yo/edit?usp=sharing"",""เพชรบูรณ์!J293"")"),0)</f>
        <v>0</v>
      </c>
      <c r="K398" s="163">
        <f t="shared" ca="1" si="110"/>
        <v>0</v>
      </c>
      <c r="L398" s="181"/>
      <c r="M398" s="181"/>
      <c r="N398" s="181"/>
      <c r="O398" s="181"/>
      <c r="P398" s="181"/>
    </row>
    <row r="399" spans="1:16" ht="21.75" customHeight="1" x14ac:dyDescent="0.3">
      <c r="A399" s="175"/>
      <c r="B399" s="176"/>
      <c r="C399" s="176"/>
      <c r="D399" s="193"/>
      <c r="E399" s="194" t="s">
        <v>54</v>
      </c>
      <c r="F399" s="195"/>
      <c r="G399" s="196"/>
      <c r="H399" s="186"/>
      <c r="I399" s="187"/>
      <c r="J399" s="197">
        <f ca="1">IFERROR(__xludf.DUMMYFUNCTION("IMPORTRANGE(""https://docs.google.com/spreadsheets/d/11923uPwbBZFjjGgGUA6NLw09EwE0CqkOc4q9oUmW1yo/edit?usp=sharing"",""เพชรบูรณ์!J294"")"),0)</f>
        <v>0</v>
      </c>
      <c r="K399" s="163"/>
      <c r="L399" s="181"/>
      <c r="M399" s="181"/>
      <c r="N399" s="181"/>
      <c r="O399" s="181"/>
      <c r="P399" s="181"/>
    </row>
    <row r="400" spans="1:16" ht="21.75" customHeight="1" x14ac:dyDescent="0.3">
      <c r="A400" s="175"/>
      <c r="B400" s="176"/>
      <c r="C400" s="176"/>
      <c r="D400" s="205">
        <v>3</v>
      </c>
      <c r="E400" s="206" t="s">
        <v>55</v>
      </c>
      <c r="F400" s="207"/>
      <c r="G400" s="208"/>
      <c r="H400" s="186"/>
      <c r="I400" s="187"/>
      <c r="J400" s="209">
        <f ca="1">IFERROR(__xludf.DUMMYFUNCTION("IMPORTRANGE(""https://docs.google.com/spreadsheets/d/11923uPwbBZFjjGgGUA6NLw09EwE0CqkOc4q9oUmW1yo/edit?usp=sharing"",""เพชรบูรณ์!J295"")"),0)</f>
        <v>0</v>
      </c>
      <c r="K400" s="163"/>
      <c r="L400" s="181"/>
      <c r="M400" s="181"/>
      <c r="N400" s="181"/>
      <c r="O400" s="181"/>
      <c r="P400" s="181"/>
    </row>
    <row r="401" spans="1:16" ht="21.75" customHeight="1" x14ac:dyDescent="0.3">
      <c r="A401" s="364"/>
      <c r="B401" s="365">
        <v>3</v>
      </c>
      <c r="C401" s="365" t="s">
        <v>147</v>
      </c>
      <c r="D401" s="366"/>
      <c r="E401" s="366"/>
      <c r="F401" s="366"/>
      <c r="G401" s="367"/>
      <c r="H401" s="368" t="s">
        <v>122</v>
      </c>
      <c r="I401" s="369">
        <f ca="1">IFERROR(__xludf.DUMMYFUNCTION("IMPORTRANGE(""https://docs.google.com/spreadsheets/d/11923uPwbBZFjjGgGUA6NLw09EwE0CqkOc4q9oUmW1yo/edit?usp=sharing"",""เพชรบูรณ์!I296"")"),219)</f>
        <v>219</v>
      </c>
      <c r="J401" s="369">
        <f ca="1">IFERROR(__xludf.DUMMYFUNCTION("IMPORTRANGE(""https://docs.google.com/spreadsheets/d/11923uPwbBZFjjGgGUA6NLw09EwE0CqkOc4q9oUmW1yo/edit?usp=sharing"",""เพชรบูรณ์!J296"")"),0)</f>
        <v>0</v>
      </c>
      <c r="K401" s="370">
        <f t="shared" ref="K401:K402" ca="1" si="111">IF(I401&gt;0,J401*100/I401,0)</f>
        <v>0</v>
      </c>
      <c r="L401" s="371">
        <f ca="1">IFERROR(__xludf.DUMMYFUNCTION("IMPORTRANGE(""https://docs.google.com/spreadsheets/d/11923uPwbBZFjjGgGUA6NLw09EwE0CqkOc4q9oUmW1yo/edit?usp=sharing"",""เพชรบูรณ์!L296"")"),244540)</f>
        <v>244540</v>
      </c>
      <c r="M401" s="371"/>
      <c r="N401" s="371">
        <f ca="1">IFERROR(__xludf.DUMMYFUNCTION("IMPORTRANGE(""https://docs.google.com/spreadsheets/d/11923uPwbBZFjjGgGUA6NLw09EwE0CqkOc4q9oUmW1yo/edit?usp=sharing"",""เพชรบูรณ์!M296"")"),40520)</f>
        <v>40520</v>
      </c>
      <c r="O401" s="371">
        <f ca="1">+IF(L401&gt;0,N401*100/L401,0)</f>
        <v>16.569886317166926</v>
      </c>
      <c r="P401" s="371"/>
    </row>
    <row r="402" spans="1:16" ht="21.75" customHeight="1" x14ac:dyDescent="0.3">
      <c r="A402" s="364"/>
      <c r="B402" s="365"/>
      <c r="C402" s="365"/>
      <c r="D402" s="382"/>
      <c r="E402" s="382"/>
      <c r="F402" s="382"/>
      <c r="G402" s="385"/>
      <c r="H402" s="368" t="s">
        <v>37</v>
      </c>
      <c r="I402" s="369">
        <f ca="1">IFERROR(__xludf.DUMMYFUNCTION("IMPORTRANGE(""https://docs.google.com/spreadsheets/d/11923uPwbBZFjjGgGUA6NLw09EwE0CqkOc4q9oUmW1yo/edit?usp=sharing"",""เพชรบูรณ์!I297"")"),73)</f>
        <v>73</v>
      </c>
      <c r="J402" s="369">
        <f ca="1">IFERROR(__xludf.DUMMYFUNCTION("IMPORTRANGE(""https://docs.google.com/spreadsheets/d/11923uPwbBZFjjGgGUA6NLw09EwE0CqkOc4q9oUmW1yo/edit?usp=sharing"",""เพชรบูรณ์!J297"")"),0)</f>
        <v>0</v>
      </c>
      <c r="K402" s="370">
        <f t="shared" ca="1" si="111"/>
        <v>0</v>
      </c>
      <c r="L402" s="371"/>
      <c r="M402" s="371"/>
      <c r="N402" s="371"/>
      <c r="O402" s="371"/>
      <c r="P402" s="371"/>
    </row>
    <row r="403" spans="1:16" ht="21.75" customHeight="1" x14ac:dyDescent="0.3">
      <c r="A403" s="156"/>
      <c r="B403" s="157"/>
      <c r="C403" s="157" t="s">
        <v>16</v>
      </c>
      <c r="D403" s="158" t="s">
        <v>38</v>
      </c>
      <c r="E403" s="159"/>
      <c r="F403" s="159"/>
      <c r="G403" s="160" t="s">
        <v>39</v>
      </c>
      <c r="H403" s="161" t="s">
        <v>12</v>
      </c>
      <c r="I403" s="162" t="s">
        <v>40</v>
      </c>
      <c r="J403" s="162"/>
      <c r="K403" s="163"/>
      <c r="L403" s="164">
        <f ca="1">IFERROR(__xludf.DUMMYFUNCTION("IMPORTRANGE(""https://docs.google.com/spreadsheets/d/11923uPwbBZFjjGgGUA6NLw09EwE0CqkOc4q9oUmW1yo/edit?usp=sharing"",""เพชรบูรณ์!L298"")"),0)</f>
        <v>0</v>
      </c>
      <c r="M403" s="164"/>
      <c r="N403" s="168">
        <f ca="1">IFERROR(__xludf.DUMMYFUNCTION("IMPORTRANGE(""https://docs.google.com/spreadsheets/d/11923uPwbBZFjjGgGUA6NLw09EwE0CqkOc4q9oUmW1yo/edit?usp=sharing"",""เพชรบูรณ์!M298"")"),0)</f>
        <v>0</v>
      </c>
      <c r="O403" s="168">
        <f t="shared" ref="O403:O406" ca="1" si="112">+IF(L403&gt;0,N403*100/L403,0)</f>
        <v>0</v>
      </c>
      <c r="P403" s="168"/>
    </row>
    <row r="404" spans="1:16" ht="21.75" customHeight="1" x14ac:dyDescent="0.3">
      <c r="A404" s="156"/>
      <c r="B404" s="157"/>
      <c r="C404" s="157"/>
      <c r="D404" s="166"/>
      <c r="E404" s="159"/>
      <c r="F404" s="159" t="s">
        <v>40</v>
      </c>
      <c r="G404" s="160" t="s">
        <v>41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IFERROR(__xludf.DUMMYFUNCTION("IMPORTRANGE(""https://docs.google.com/spreadsheets/d/11923uPwbBZFjjGgGUA6NLw09EwE0CqkOc4q9oUmW1yo/edit?usp=sharing"",""เพชรบูรณ์!L299"")"),244540)</f>
        <v>244540</v>
      </c>
      <c r="M404" s="165"/>
      <c r="N404" s="168">
        <f ca="1">IFERROR(__xludf.DUMMYFUNCTION("IMPORTRANGE(""https://docs.google.com/spreadsheets/d/11923uPwbBZFjjGgGUA6NLw09EwE0CqkOc4q9oUmW1yo/edit?usp=sharing"",""เพชรบูรณ์!M299"")"),40520)</f>
        <v>40520</v>
      </c>
      <c r="O404" s="168">
        <f t="shared" ca="1" si="112"/>
        <v>16.569886317166926</v>
      </c>
      <c r="P404" s="168"/>
    </row>
    <row r="405" spans="1:16" ht="21.75" customHeight="1" x14ac:dyDescent="0.3">
      <c r="A405" s="156"/>
      <c r="B405" s="157"/>
      <c r="C405" s="157"/>
      <c r="D405" s="166"/>
      <c r="E405" s="159"/>
      <c r="F405" s="159"/>
      <c r="G405" s="372" t="s">
        <v>129</v>
      </c>
      <c r="H405" s="161" t="s">
        <v>12</v>
      </c>
      <c r="I405" s="162"/>
      <c r="J405" s="162"/>
      <c r="K405" s="163"/>
      <c r="L405" s="168">
        <f ca="1">IFERROR(__xludf.DUMMYFUNCTION("IMPORTRANGE(""https://docs.google.com/spreadsheets/d/11923uPwbBZFjjGgGUA6NLw09EwE0CqkOc4q9oUmW1yo/edit?usp=sharing"",""เพชรบูรณ์!L300"")"),0)</f>
        <v>0</v>
      </c>
      <c r="M405" s="168"/>
      <c r="N405" s="168">
        <f ca="1">IFERROR(__xludf.DUMMYFUNCTION("IMPORTRANGE(""https://docs.google.com/spreadsheets/d/11923uPwbBZFjjGgGUA6NLw09EwE0CqkOc4q9oUmW1yo/edit?usp=sharing"",""เพชรบูรณ์!M300"")"),0)</f>
        <v>0</v>
      </c>
      <c r="O405" s="168">
        <f t="shared" ca="1" si="112"/>
        <v>0</v>
      </c>
      <c r="P405" s="168"/>
    </row>
    <row r="406" spans="1:16" ht="21.75" customHeight="1" x14ac:dyDescent="0.3">
      <c r="A406" s="156"/>
      <c r="B406" s="157"/>
      <c r="C406" s="157"/>
      <c r="D406" s="166"/>
      <c r="E406" s="159"/>
      <c r="F406" s="159"/>
      <c r="G406" s="372" t="s">
        <v>130</v>
      </c>
      <c r="H406" s="161" t="s">
        <v>12</v>
      </c>
      <c r="I406" s="162"/>
      <c r="J406" s="162"/>
      <c r="K406" s="163"/>
      <c r="L406" s="168">
        <f ca="1">IFERROR(__xludf.DUMMYFUNCTION("IMPORTRANGE(""https://docs.google.com/spreadsheets/d/11923uPwbBZFjjGgGUA6NLw09EwE0CqkOc4q9oUmW1yo/edit?usp=sharing"",""เพชรบูรณ์!L301"")"),244540)</f>
        <v>244540</v>
      </c>
      <c r="M406" s="168"/>
      <c r="N406" s="168">
        <f ca="1">IFERROR(__xludf.DUMMYFUNCTION("IMPORTRANGE(""https://docs.google.com/spreadsheets/d/11923uPwbBZFjjGgGUA6NLw09EwE0CqkOc4q9oUmW1yo/edit?usp=sharing"",""เพชรบูรณ์!M301"")"),40520)</f>
        <v>40520</v>
      </c>
      <c r="O406" s="168">
        <f t="shared" ca="1" si="112"/>
        <v>16.569886317166926</v>
      </c>
      <c r="P406" s="168"/>
    </row>
    <row r="407" spans="1:16" ht="21.75" customHeight="1" x14ac:dyDescent="0.3">
      <c r="A407" s="373"/>
      <c r="B407" s="374"/>
      <c r="C407" s="157"/>
      <c r="D407" s="375"/>
      <c r="E407" s="159"/>
      <c r="F407" s="159"/>
      <c r="G407" s="376" t="s">
        <v>131</v>
      </c>
      <c r="H407" s="161" t="s">
        <v>12</v>
      </c>
      <c r="I407" s="187"/>
      <c r="J407" s="187"/>
      <c r="K407" s="223"/>
      <c r="L407" s="168"/>
      <c r="M407" s="168"/>
      <c r="N407" s="377">
        <f ca="1">IFERROR(__xludf.DUMMYFUNCTION("IMPORTRANGE(""https://docs.google.com/spreadsheets/d/11923uPwbBZFjjGgGUA6NLw09EwE0CqkOc4q9oUmW1yo/edit?usp=sharing"",""เพชรบูรณ์!M302"")"),37620)</f>
        <v>37620</v>
      </c>
      <c r="O407" s="168"/>
      <c r="P407" s="168"/>
    </row>
    <row r="408" spans="1:16" ht="21.75" customHeight="1" x14ac:dyDescent="0.3">
      <c r="A408" s="373"/>
      <c r="B408" s="374"/>
      <c r="C408" s="157"/>
      <c r="D408" s="375"/>
      <c r="E408" s="159"/>
      <c r="F408" s="159"/>
      <c r="G408" s="376" t="s">
        <v>132</v>
      </c>
      <c r="H408" s="161" t="s">
        <v>12</v>
      </c>
      <c r="I408" s="187"/>
      <c r="J408" s="187"/>
      <c r="K408" s="223"/>
      <c r="L408" s="168"/>
      <c r="M408" s="168"/>
      <c r="N408" s="377">
        <f ca="1">IFERROR(__xludf.DUMMYFUNCTION("IMPORTRANGE(""https://docs.google.com/spreadsheets/d/11923uPwbBZFjjGgGUA6NLw09EwE0CqkOc4q9oUmW1yo/edit?usp=sharing"",""เพชรบูรณ์!M303"")"),0)</f>
        <v>0</v>
      </c>
      <c r="O408" s="168"/>
      <c r="P408" s="168"/>
    </row>
    <row r="409" spans="1:16" ht="21.75" customHeight="1" x14ac:dyDescent="0.3">
      <c r="A409" s="373"/>
      <c r="B409" s="374"/>
      <c r="C409" s="157"/>
      <c r="D409" s="375"/>
      <c r="E409" s="159"/>
      <c r="F409" s="159"/>
      <c r="G409" s="376" t="s">
        <v>133</v>
      </c>
      <c r="H409" s="161" t="s">
        <v>12</v>
      </c>
      <c r="I409" s="187"/>
      <c r="J409" s="187"/>
      <c r="K409" s="223"/>
      <c r="L409" s="168"/>
      <c r="M409" s="168"/>
      <c r="N409" s="377">
        <f ca="1">IFERROR(__xludf.DUMMYFUNCTION("IMPORTRANGE(""https://docs.google.com/spreadsheets/d/11923uPwbBZFjjGgGUA6NLw09EwE0CqkOc4q9oUmW1yo/edit?usp=sharing"",""เพชรบูรณ์!M304"")"),0)</f>
        <v>0</v>
      </c>
      <c r="O409" s="168"/>
      <c r="P409" s="168"/>
    </row>
    <row r="410" spans="1:16" ht="21.75" customHeight="1" x14ac:dyDescent="0.3">
      <c r="A410" s="373"/>
      <c r="B410" s="374"/>
      <c r="C410" s="157"/>
      <c r="D410" s="375"/>
      <c r="E410" s="159"/>
      <c r="F410" s="159"/>
      <c r="G410" s="376" t="s">
        <v>134</v>
      </c>
      <c r="H410" s="161" t="s">
        <v>12</v>
      </c>
      <c r="I410" s="187"/>
      <c r="J410" s="187"/>
      <c r="K410" s="223"/>
      <c r="L410" s="168"/>
      <c r="M410" s="168"/>
      <c r="N410" s="377">
        <f ca="1">IFERROR(__xludf.DUMMYFUNCTION("IMPORTRANGE(""https://docs.google.com/spreadsheets/d/11923uPwbBZFjjGgGUA6NLw09EwE0CqkOc4q9oUmW1yo/edit?usp=sharing"",""เพชรบูรณ์!M305"")"),2900)</f>
        <v>2900</v>
      </c>
      <c r="O410" s="168"/>
      <c r="P410" s="168"/>
    </row>
    <row r="411" spans="1:16" ht="21.75" customHeight="1" x14ac:dyDescent="0.3">
      <c r="A411" s="175"/>
      <c r="B411" s="176"/>
      <c r="C411" s="157" t="s">
        <v>16</v>
      </c>
      <c r="D411" s="177" t="s">
        <v>44</v>
      </c>
      <c r="E411" s="178"/>
      <c r="F411" s="178"/>
      <c r="G411" s="179"/>
      <c r="H411" s="180"/>
      <c r="I411" s="162"/>
      <c r="J411" s="162"/>
      <c r="K411" s="163"/>
      <c r="L411" s="181"/>
      <c r="M411" s="181"/>
      <c r="N411" s="181"/>
      <c r="O411" s="181"/>
      <c r="P411" s="181"/>
    </row>
    <row r="412" spans="1:16" ht="21.75" customHeight="1" x14ac:dyDescent="0.3">
      <c r="A412" s="175"/>
      <c r="B412" s="176"/>
      <c r="C412" s="176"/>
      <c r="D412" s="182">
        <v>1</v>
      </c>
      <c r="E412" s="183" t="s">
        <v>45</v>
      </c>
      <c r="F412" s="184"/>
      <c r="G412" s="185"/>
      <c r="H412" s="186"/>
      <c r="I412" s="187"/>
      <c r="J412" s="197">
        <f ca="1">IFERROR(__xludf.DUMMYFUNCTION("IMPORTRANGE(""https://docs.google.com/spreadsheets/d/11923uPwbBZFjjGgGUA6NLw09EwE0CqkOc4q9oUmW1yo/edit?usp=sharing"",""เพชรบูรณ์!J307"")"),0)</f>
        <v>0</v>
      </c>
      <c r="K412" s="163"/>
      <c r="L412" s="181"/>
      <c r="M412" s="181"/>
      <c r="N412" s="181"/>
      <c r="O412" s="181"/>
      <c r="P412" s="181"/>
    </row>
    <row r="413" spans="1:16" ht="21.75" customHeight="1" x14ac:dyDescent="0.3">
      <c r="A413" s="175"/>
      <c r="B413" s="176"/>
      <c r="C413" s="176"/>
      <c r="D413" s="189">
        <v>2</v>
      </c>
      <c r="E413" s="190" t="s">
        <v>46</v>
      </c>
      <c r="F413" s="191"/>
      <c r="G413" s="192"/>
      <c r="H413" s="186"/>
      <c r="I413" s="187"/>
      <c r="J413" s="188">
        <f ca="1">IFERROR(__xludf.DUMMYFUNCTION("IMPORTRANGE(""https://docs.google.com/spreadsheets/d/11923uPwbBZFjjGgGUA6NLw09EwE0CqkOc4q9oUmW1yo/edit?usp=sharing"",""เพชรบูรณ์!J308"")"),1)</f>
        <v>1</v>
      </c>
      <c r="K413" s="163"/>
      <c r="L413" s="181" t="s">
        <v>40</v>
      </c>
      <c r="M413" s="181"/>
      <c r="N413" s="181" t="s">
        <v>40</v>
      </c>
      <c r="O413" s="181"/>
      <c r="P413" s="181"/>
    </row>
    <row r="414" spans="1:16" ht="21.75" customHeight="1" x14ac:dyDescent="0.3">
      <c r="A414" s="175"/>
      <c r="B414" s="176"/>
      <c r="C414" s="176"/>
      <c r="D414" s="193"/>
      <c r="E414" s="194" t="s">
        <v>47</v>
      </c>
      <c r="F414" s="195"/>
      <c r="G414" s="196"/>
      <c r="H414" s="186"/>
      <c r="I414" s="187"/>
      <c r="J414" s="188">
        <f ca="1">IFERROR(__xludf.DUMMYFUNCTION("IMPORTRANGE(""https://docs.google.com/spreadsheets/d/11923uPwbBZFjjGgGUA6NLw09EwE0CqkOc4q9oUmW1yo/edit?usp=sharing"",""เพชรบูรณ์!J309"")"),1)</f>
        <v>1</v>
      </c>
      <c r="K414" s="163"/>
      <c r="L414" s="181"/>
      <c r="M414" s="181"/>
      <c r="N414" s="181"/>
      <c r="O414" s="181"/>
      <c r="P414" s="181"/>
    </row>
    <row r="415" spans="1:16" ht="21.75" customHeight="1" x14ac:dyDescent="0.3">
      <c r="A415" s="175"/>
      <c r="B415" s="176"/>
      <c r="C415" s="176"/>
      <c r="D415" s="193"/>
      <c r="E415" s="194" t="s">
        <v>48</v>
      </c>
      <c r="F415" s="195"/>
      <c r="G415" s="196"/>
      <c r="H415" s="186"/>
      <c r="I415" s="187"/>
      <c r="J415" s="197">
        <f ca="1">IFERROR(__xludf.DUMMYFUNCTION("IMPORTRANGE(""https://docs.google.com/spreadsheets/d/11923uPwbBZFjjGgGUA6NLw09EwE0CqkOc4q9oUmW1yo/edit?usp=sharing"",""เพชรบูรณ์!J310"")"),1)</f>
        <v>1</v>
      </c>
      <c r="K415" s="163"/>
      <c r="L415" s="181"/>
      <c r="M415" s="181"/>
      <c r="N415" s="181"/>
      <c r="O415" s="181"/>
      <c r="P415" s="181"/>
    </row>
    <row r="416" spans="1:16" ht="21.75" customHeight="1" x14ac:dyDescent="0.3">
      <c r="A416" s="175"/>
      <c r="B416" s="176"/>
      <c r="C416" s="176"/>
      <c r="D416" s="193"/>
      <c r="E416" s="198"/>
      <c r="F416" s="194" t="s">
        <v>70</v>
      </c>
      <c r="G416" s="386"/>
      <c r="H416" s="387" t="s">
        <v>37</v>
      </c>
      <c r="I416" s="200">
        <f ca="1">IFERROR(__xludf.DUMMYFUNCTION("IMPORTRANGE(""https://docs.google.com/spreadsheets/d/11923uPwbBZFjjGgGUA6NLw09EwE0CqkOc4q9oUmW1yo/edit?usp=sharing"",""เพชรบูรณ์!I311"")"),73)</f>
        <v>73</v>
      </c>
      <c r="J416" s="200">
        <f ca="1">IFERROR(__xludf.DUMMYFUNCTION("IMPORTRANGE(""https://docs.google.com/spreadsheets/d/11923uPwbBZFjjGgGUA6NLw09EwE0CqkOc4q9oUmW1yo/edit?usp=sharing"",""เพชรบูรณ์!J311"")"),0)</f>
        <v>0</v>
      </c>
      <c r="K416" s="201">
        <f t="shared" ref="K416:K432" ca="1" si="113">IF(I416&gt;0,J416*100/I416,0)</f>
        <v>0</v>
      </c>
      <c r="L416" s="181"/>
      <c r="M416" s="181"/>
      <c r="N416" s="181"/>
      <c r="O416" s="181"/>
      <c r="P416" s="181"/>
    </row>
    <row r="417" spans="1:16" ht="21.75" customHeight="1" x14ac:dyDescent="0.45">
      <c r="A417" s="175"/>
      <c r="B417" s="176"/>
      <c r="C417" s="176"/>
      <c r="D417" s="193"/>
      <c r="E417" s="198"/>
      <c r="F417" s="388" t="s">
        <v>148</v>
      </c>
      <c r="G417" s="196"/>
      <c r="H417" s="199" t="s">
        <v>37</v>
      </c>
      <c r="I417" s="389">
        <f ca="1">IFERROR(__xludf.DUMMYFUNCTION("IMPORTRANGE(""https://docs.google.com/spreadsheets/d/11923uPwbBZFjjGgGUA6NLw09EwE0CqkOc4q9oUmW1yo/edit?usp=sharing"",""เพชรบูรณ์!I312"")"),25)</f>
        <v>25</v>
      </c>
      <c r="J417" s="390">
        <f ca="1">IFERROR(__xludf.DUMMYFUNCTION("IMPORTRANGE(""https://docs.google.com/spreadsheets/d/11923uPwbBZFjjGgGUA6NLw09EwE0CqkOc4q9oUmW1yo/edit?usp=sharing"",""เพชรบูรณ์!J312"")"),0)</f>
        <v>0</v>
      </c>
      <c r="K417" s="201">
        <f t="shared" ca="1" si="113"/>
        <v>0</v>
      </c>
      <c r="L417" s="181"/>
      <c r="M417" s="181"/>
      <c r="N417" s="181"/>
      <c r="O417" s="181"/>
      <c r="P417" s="181"/>
    </row>
    <row r="418" spans="1:16" ht="21.75" customHeight="1" x14ac:dyDescent="0.45">
      <c r="A418" s="175"/>
      <c r="B418" s="176"/>
      <c r="C418" s="176"/>
      <c r="D418" s="193"/>
      <c r="E418" s="198"/>
      <c r="F418" s="195"/>
      <c r="G418" s="196"/>
      <c r="H418" s="199" t="s">
        <v>122</v>
      </c>
      <c r="I418" s="389">
        <f ca="1">IFERROR(__xludf.DUMMYFUNCTION("IMPORTRANGE(""https://docs.google.com/spreadsheets/d/11923uPwbBZFjjGgGUA6NLw09EwE0CqkOc4q9oUmW1yo/edit?usp=sharing"",""เพชรบูรณ์!I313"")"),75)</f>
        <v>75</v>
      </c>
      <c r="J418" s="391">
        <f ca="1">IFERROR(__xludf.DUMMYFUNCTION("IMPORTRANGE(""https://docs.google.com/spreadsheets/d/11923uPwbBZFjjGgGUA6NLw09EwE0CqkOc4q9oUmW1yo/edit?usp=sharing"",""เพชรบูรณ์!J313"")"),0)</f>
        <v>0</v>
      </c>
      <c r="K418" s="201">
        <f t="shared" ca="1" si="113"/>
        <v>0</v>
      </c>
      <c r="L418" s="181"/>
      <c r="M418" s="181"/>
      <c r="N418" s="181"/>
      <c r="O418" s="181"/>
      <c r="P418" s="181"/>
    </row>
    <row r="419" spans="1:16" ht="21.75" customHeight="1" x14ac:dyDescent="0.45">
      <c r="A419" s="175"/>
      <c r="B419" s="176"/>
      <c r="C419" s="176"/>
      <c r="D419" s="193"/>
      <c r="E419" s="198"/>
      <c r="F419" s="195"/>
      <c r="G419" s="225" t="s">
        <v>149</v>
      </c>
      <c r="H419" s="180" t="s">
        <v>37</v>
      </c>
      <c r="I419" s="339">
        <f ca="1">IFERROR(__xludf.DUMMYFUNCTION("IMPORTRANGE(""https://docs.google.com/spreadsheets/d/11923uPwbBZFjjGgGUA6NLw09EwE0CqkOc4q9oUmW1yo/edit?usp=sharing"",""เพชรบูรณ์!I314"")"),25)</f>
        <v>25</v>
      </c>
      <c r="J419" s="392">
        <f ca="1">IFERROR(__xludf.DUMMYFUNCTION("IMPORTRANGE(""https://docs.google.com/spreadsheets/d/11923uPwbBZFjjGgGUA6NLw09EwE0CqkOc4q9oUmW1yo/edit?usp=sharing"",""เพชรบูรณ์!J314"")"),0)</f>
        <v>0</v>
      </c>
      <c r="K419" s="163">
        <f t="shared" ca="1" si="113"/>
        <v>0</v>
      </c>
      <c r="L419" s="181"/>
      <c r="M419" s="181"/>
      <c r="N419" s="181"/>
      <c r="O419" s="181"/>
      <c r="P419" s="181"/>
    </row>
    <row r="420" spans="1:16" ht="21.75" customHeight="1" x14ac:dyDescent="0.45">
      <c r="A420" s="233"/>
      <c r="B420" s="234"/>
      <c r="C420" s="234"/>
      <c r="D420" s="393"/>
      <c r="E420" s="394"/>
      <c r="F420" s="345"/>
      <c r="G420" s="395" t="s">
        <v>150</v>
      </c>
      <c r="H420" s="347" t="s">
        <v>37</v>
      </c>
      <c r="I420" s="396">
        <f ca="1">IFERROR(__xludf.DUMMYFUNCTION("IMPORTRANGE(""https://docs.google.com/spreadsheets/d/11923uPwbBZFjjGgGUA6NLw09EwE0CqkOc4q9oUmW1yo/edit?usp=sharing"",""เพชรบูรณ์!I315"")"),25)</f>
        <v>25</v>
      </c>
      <c r="J420" s="392">
        <f ca="1">IFERROR(__xludf.DUMMYFUNCTION("IMPORTRANGE(""https://docs.google.com/spreadsheets/d/11923uPwbBZFjjGgGUA6NLw09EwE0CqkOc4q9oUmW1yo/edit?usp=sharing"",""เพชรบูรณ์!J315"")"),25)</f>
        <v>25</v>
      </c>
      <c r="K420" s="286">
        <f t="shared" ca="1" si="113"/>
        <v>100</v>
      </c>
      <c r="L420" s="244"/>
      <c r="M420" s="244"/>
      <c r="N420" s="244"/>
      <c r="O420" s="244"/>
      <c r="P420" s="244"/>
    </row>
    <row r="421" spans="1:16" ht="21.75" customHeight="1" x14ac:dyDescent="0.45">
      <c r="A421" s="175"/>
      <c r="B421" s="176"/>
      <c r="C421" s="176"/>
      <c r="D421" s="193"/>
      <c r="E421" s="198"/>
      <c r="F421" s="388" t="s">
        <v>151</v>
      </c>
      <c r="G421" s="196"/>
      <c r="H421" s="199" t="s">
        <v>37</v>
      </c>
      <c r="I421" s="389">
        <f ca="1">IFERROR(__xludf.DUMMYFUNCTION("IMPORTRANGE(""https://docs.google.com/spreadsheets/d/11923uPwbBZFjjGgGUA6NLw09EwE0CqkOc4q9oUmW1yo/edit?usp=sharing"",""เพชรบูรณ์!I316"")"),38)</f>
        <v>38</v>
      </c>
      <c r="J421" s="390">
        <f ca="1">IFERROR(__xludf.DUMMYFUNCTION("IMPORTRANGE(""https://docs.google.com/spreadsheets/d/11923uPwbBZFjjGgGUA6NLw09EwE0CqkOc4q9oUmW1yo/edit?usp=sharing"",""เพชรบูรณ์!J316"")"),0)</f>
        <v>0</v>
      </c>
      <c r="K421" s="201">
        <f t="shared" ca="1" si="113"/>
        <v>0</v>
      </c>
      <c r="L421" s="181"/>
      <c r="M421" s="181"/>
      <c r="N421" s="181"/>
      <c r="O421" s="181"/>
      <c r="P421" s="181"/>
    </row>
    <row r="422" spans="1:16" ht="21.75" customHeight="1" x14ac:dyDescent="0.45">
      <c r="A422" s="175"/>
      <c r="B422" s="176"/>
      <c r="C422" s="176"/>
      <c r="D422" s="193"/>
      <c r="E422" s="198"/>
      <c r="F422" s="195"/>
      <c r="G422" s="196"/>
      <c r="H422" s="199" t="s">
        <v>122</v>
      </c>
      <c r="I422" s="389">
        <f ca="1">IFERROR(__xludf.DUMMYFUNCTION("IMPORTRANGE(""https://docs.google.com/spreadsheets/d/11923uPwbBZFjjGgGUA6NLw09EwE0CqkOc4q9oUmW1yo/edit?usp=sharing"",""เพชรบูรณ์!I317"")"),114)</f>
        <v>114</v>
      </c>
      <c r="J422" s="391">
        <f ca="1">IFERROR(__xludf.DUMMYFUNCTION("IMPORTRANGE(""https://docs.google.com/spreadsheets/d/11923uPwbBZFjjGgGUA6NLw09EwE0CqkOc4q9oUmW1yo/edit?usp=sharing"",""เพชรบูรณ์!J317"")"),0)</f>
        <v>0</v>
      </c>
      <c r="K422" s="201">
        <f t="shared" ca="1" si="113"/>
        <v>0</v>
      </c>
      <c r="L422" s="181"/>
      <c r="M422" s="181"/>
      <c r="N422" s="181"/>
      <c r="O422" s="181"/>
      <c r="P422" s="181"/>
    </row>
    <row r="423" spans="1:16" ht="21.75" customHeight="1" x14ac:dyDescent="0.45">
      <c r="A423" s="175"/>
      <c r="B423" s="176"/>
      <c r="C423" s="176"/>
      <c r="D423" s="193"/>
      <c r="E423" s="198"/>
      <c r="F423" s="195"/>
      <c r="G423" s="225" t="s">
        <v>152</v>
      </c>
      <c r="H423" s="180" t="s">
        <v>37</v>
      </c>
      <c r="I423" s="339">
        <f ca="1">IFERROR(__xludf.DUMMYFUNCTION("IMPORTRANGE(""https://docs.google.com/spreadsheets/d/11923uPwbBZFjjGgGUA6NLw09EwE0CqkOc4q9oUmW1yo/edit?usp=sharing"",""เพชรบูรณ์!I318"")"),38)</f>
        <v>38</v>
      </c>
      <c r="J423" s="392">
        <f ca="1">IFERROR(__xludf.DUMMYFUNCTION("IMPORTRANGE(""https://docs.google.com/spreadsheets/d/11923uPwbBZFjjGgGUA6NLw09EwE0CqkOc4q9oUmW1yo/edit?usp=sharing"",""เพชรบูรณ์!J318"")"),0)</f>
        <v>0</v>
      </c>
      <c r="K423" s="163">
        <f t="shared" ca="1" si="113"/>
        <v>0</v>
      </c>
      <c r="L423" s="181"/>
      <c r="M423" s="181"/>
      <c r="N423" s="181"/>
      <c r="O423" s="181"/>
      <c r="P423" s="181"/>
    </row>
    <row r="424" spans="1:16" ht="21.75" customHeight="1" x14ac:dyDescent="0.45">
      <c r="A424" s="175"/>
      <c r="B424" s="176"/>
      <c r="C424" s="176"/>
      <c r="D424" s="193"/>
      <c r="E424" s="198"/>
      <c r="F424" s="195"/>
      <c r="G424" s="225" t="s">
        <v>153</v>
      </c>
      <c r="H424" s="180" t="s">
        <v>37</v>
      </c>
      <c r="I424" s="339">
        <f ca="1">IFERROR(__xludf.DUMMYFUNCTION("IMPORTRANGE(""https://docs.google.com/spreadsheets/d/11923uPwbBZFjjGgGUA6NLw09EwE0CqkOc4q9oUmW1yo/edit?usp=sharing"",""เพชรบูรณ์!I319"")"),38)</f>
        <v>38</v>
      </c>
      <c r="J424" s="392">
        <f ca="1">IFERROR(__xludf.DUMMYFUNCTION("IMPORTRANGE(""https://docs.google.com/spreadsheets/d/11923uPwbBZFjjGgGUA6NLw09EwE0CqkOc4q9oUmW1yo/edit?usp=sharing"",""เพชรบูรณ์!J319"")"),0)</f>
        <v>0</v>
      </c>
      <c r="K424" s="163">
        <f t="shared" ca="1" si="113"/>
        <v>0</v>
      </c>
      <c r="L424" s="181"/>
      <c r="M424" s="181"/>
      <c r="N424" s="181"/>
      <c r="O424" s="181"/>
      <c r="P424" s="181"/>
    </row>
    <row r="425" spans="1:16" ht="21.75" customHeight="1" x14ac:dyDescent="0.45">
      <c r="A425" s="175"/>
      <c r="B425" s="176"/>
      <c r="C425" s="176"/>
      <c r="D425" s="193"/>
      <c r="E425" s="198"/>
      <c r="F425" s="195"/>
      <c r="G425" s="225" t="s">
        <v>154</v>
      </c>
      <c r="H425" s="180" t="s">
        <v>37</v>
      </c>
      <c r="I425" s="339">
        <f ca="1">IFERROR(__xludf.DUMMYFUNCTION("IMPORTRANGE(""https://docs.google.com/spreadsheets/d/11923uPwbBZFjjGgGUA6NLw09EwE0CqkOc4q9oUmW1yo/edit?usp=sharing"",""เพชรบูรณ์!I320"")"),38)</f>
        <v>38</v>
      </c>
      <c r="J425" s="392">
        <f ca="1">IFERROR(__xludf.DUMMYFUNCTION("IMPORTRANGE(""https://docs.google.com/spreadsheets/d/11923uPwbBZFjjGgGUA6NLw09EwE0CqkOc4q9oUmW1yo/edit?usp=sharing"",""เพชรบูรณ์!J320"")"),0)</f>
        <v>0</v>
      </c>
      <c r="K425" s="163">
        <f t="shared" ca="1" si="113"/>
        <v>0</v>
      </c>
      <c r="L425" s="181"/>
      <c r="M425" s="181"/>
      <c r="N425" s="181"/>
      <c r="O425" s="181"/>
      <c r="P425" s="181"/>
    </row>
    <row r="426" spans="1:16" ht="21.75" customHeight="1" x14ac:dyDescent="0.45">
      <c r="A426" s="175"/>
      <c r="B426" s="176"/>
      <c r="C426" s="176"/>
      <c r="D426" s="193"/>
      <c r="E426" s="198"/>
      <c r="F426" s="397" t="s">
        <v>155</v>
      </c>
      <c r="G426" s="196"/>
      <c r="H426" s="199" t="s">
        <v>37</v>
      </c>
      <c r="I426" s="389">
        <f ca="1">IFERROR(__xludf.DUMMYFUNCTION("IMPORTRANGE(""https://docs.google.com/spreadsheets/d/11923uPwbBZFjjGgGUA6NLw09EwE0CqkOc4q9oUmW1yo/edit?usp=sharing"",""เพชรบูรณ์!I321"")"),10)</f>
        <v>10</v>
      </c>
      <c r="J426" s="390">
        <f ca="1">IFERROR(__xludf.DUMMYFUNCTION("IMPORTRANGE(""https://docs.google.com/spreadsheets/d/11923uPwbBZFjjGgGUA6NLw09EwE0CqkOc4q9oUmW1yo/edit?usp=sharing"",""เพชรบูรณ์!J321"")"),0)</f>
        <v>0</v>
      </c>
      <c r="K426" s="201">
        <f t="shared" ca="1" si="113"/>
        <v>0</v>
      </c>
      <c r="L426" s="181"/>
      <c r="M426" s="181"/>
      <c r="N426" s="181"/>
      <c r="O426" s="181"/>
      <c r="P426" s="181"/>
    </row>
    <row r="427" spans="1:16" ht="21.75" customHeight="1" x14ac:dyDescent="0.45">
      <c r="A427" s="175"/>
      <c r="B427" s="176"/>
      <c r="C427" s="176"/>
      <c r="D427" s="193"/>
      <c r="E427" s="198"/>
      <c r="F427" s="195"/>
      <c r="G427" s="196"/>
      <c r="H427" s="199" t="s">
        <v>122</v>
      </c>
      <c r="I427" s="389">
        <f ca="1">IFERROR(__xludf.DUMMYFUNCTION("IMPORTRANGE(""https://docs.google.com/spreadsheets/d/11923uPwbBZFjjGgGUA6NLw09EwE0CqkOc4q9oUmW1yo/edit?usp=sharing"",""เพชรบูรณ์!I322"")"),30)</f>
        <v>30</v>
      </c>
      <c r="J427" s="391">
        <f ca="1">IFERROR(__xludf.DUMMYFUNCTION("IMPORTRANGE(""https://docs.google.com/spreadsheets/d/11923uPwbBZFjjGgGUA6NLw09EwE0CqkOc4q9oUmW1yo/edit?usp=sharing"",""เพชรบูรณ์!J322"")"),0)</f>
        <v>0</v>
      </c>
      <c r="K427" s="201">
        <f t="shared" ca="1" si="113"/>
        <v>0</v>
      </c>
      <c r="L427" s="181"/>
      <c r="M427" s="181"/>
      <c r="N427" s="181"/>
      <c r="O427" s="181"/>
      <c r="P427" s="181"/>
    </row>
    <row r="428" spans="1:16" ht="21.75" customHeight="1" x14ac:dyDescent="0.45">
      <c r="A428" s="175"/>
      <c r="B428" s="176"/>
      <c r="C428" s="176"/>
      <c r="D428" s="193"/>
      <c r="E428" s="198"/>
      <c r="F428" s="195"/>
      <c r="G428" s="225" t="s">
        <v>156</v>
      </c>
      <c r="H428" s="180" t="s">
        <v>37</v>
      </c>
      <c r="I428" s="398">
        <f ca="1">IFERROR(__xludf.DUMMYFUNCTION("IMPORTRANGE(""https://docs.google.com/spreadsheets/d/11923uPwbBZFjjGgGUA6NLw09EwE0CqkOc4q9oUmW1yo/edit?usp=sharing"",""เพชรบูรณ์!I323"")"),10)</f>
        <v>10</v>
      </c>
      <c r="J428" s="392">
        <f ca="1">IFERROR(__xludf.DUMMYFUNCTION("IMPORTRANGE(""https://docs.google.com/spreadsheets/d/11923uPwbBZFjjGgGUA6NLw09EwE0CqkOc4q9oUmW1yo/edit?usp=sharing"",""เพชรบูรณ์!J323"")"),0)</f>
        <v>0</v>
      </c>
      <c r="K428" s="163">
        <f t="shared" ca="1" si="113"/>
        <v>0</v>
      </c>
      <c r="L428" s="181"/>
      <c r="M428" s="181"/>
      <c r="N428" s="181"/>
      <c r="O428" s="181"/>
      <c r="P428" s="181"/>
    </row>
    <row r="429" spans="1:16" ht="21.75" customHeight="1" x14ac:dyDescent="0.45">
      <c r="A429" s="175"/>
      <c r="B429" s="176"/>
      <c r="C429" s="176"/>
      <c r="D429" s="193"/>
      <c r="E429" s="198"/>
      <c r="F429" s="195"/>
      <c r="G429" s="225" t="s">
        <v>157</v>
      </c>
      <c r="H429" s="180" t="s">
        <v>37</v>
      </c>
      <c r="I429" s="398">
        <f ca="1">IFERROR(__xludf.DUMMYFUNCTION("IMPORTRANGE(""https://docs.google.com/spreadsheets/d/11923uPwbBZFjjGgGUA6NLw09EwE0CqkOc4q9oUmW1yo/edit?usp=sharing"",""เพชรบูรณ์!I324"")"),10)</f>
        <v>10</v>
      </c>
      <c r="J429" s="392">
        <f ca="1">IFERROR(__xludf.DUMMYFUNCTION("IMPORTRANGE(""https://docs.google.com/spreadsheets/d/11923uPwbBZFjjGgGUA6NLw09EwE0CqkOc4q9oUmW1yo/edit?usp=sharing"",""เพชรบูรณ์!J324"")"),0)</f>
        <v>0</v>
      </c>
      <c r="K429" s="163">
        <f t="shared" ca="1" si="113"/>
        <v>0</v>
      </c>
      <c r="L429" s="181"/>
      <c r="M429" s="181"/>
      <c r="N429" s="181"/>
      <c r="O429" s="181"/>
      <c r="P429" s="181"/>
    </row>
    <row r="430" spans="1:16" ht="21.75" customHeight="1" x14ac:dyDescent="0.45">
      <c r="A430" s="175"/>
      <c r="B430" s="176"/>
      <c r="C430" s="176"/>
      <c r="D430" s="193"/>
      <c r="E430" s="198"/>
      <c r="F430" s="194" t="s">
        <v>53</v>
      </c>
      <c r="G430" s="386"/>
      <c r="H430" s="399" t="s">
        <v>37</v>
      </c>
      <c r="I430" s="200">
        <f ca="1">IFERROR(__xludf.DUMMYFUNCTION("IMPORTRANGE(""https://docs.google.com/spreadsheets/d/11923uPwbBZFjjGgGUA6NLw09EwE0CqkOc4q9oUmW1yo/edit?usp=sharing"",""เพชรบูรณ์!I325"")"),63)</f>
        <v>63</v>
      </c>
      <c r="J430" s="390">
        <f ca="1">IFERROR(__xludf.DUMMYFUNCTION("IMPORTRANGE(""https://docs.google.com/spreadsheets/d/11923uPwbBZFjjGgGUA6NLw09EwE0CqkOc4q9oUmW1yo/edit?usp=sharing"",""เพชรบูรณ์!J325"")"),0)</f>
        <v>0</v>
      </c>
      <c r="K430" s="201">
        <f t="shared" ca="1" si="113"/>
        <v>0</v>
      </c>
      <c r="L430" s="181"/>
      <c r="M430" s="181"/>
      <c r="N430" s="181"/>
      <c r="O430" s="181"/>
      <c r="P430" s="181"/>
    </row>
    <row r="431" spans="1:16" ht="21.75" customHeight="1" x14ac:dyDescent="0.45">
      <c r="A431" s="400"/>
      <c r="B431" s="401"/>
      <c r="C431" s="401"/>
      <c r="D431" s="402"/>
      <c r="E431" s="198"/>
      <c r="F431" s="195"/>
      <c r="G431" s="225" t="s">
        <v>158</v>
      </c>
      <c r="H431" s="180" t="s">
        <v>37</v>
      </c>
      <c r="I431" s="398">
        <f ca="1">IFERROR(__xludf.DUMMYFUNCTION("IMPORTRANGE(""https://docs.google.com/spreadsheets/d/11923uPwbBZFjjGgGUA6NLw09EwE0CqkOc4q9oUmW1yo/edit?usp=sharing"",""เพชรบูรณ์!I326"")"),25)</f>
        <v>25</v>
      </c>
      <c r="J431" s="392">
        <f ca="1">IFERROR(__xludf.DUMMYFUNCTION("IMPORTRANGE(""https://docs.google.com/spreadsheets/d/11923uPwbBZFjjGgGUA6NLw09EwE0CqkOc4q9oUmW1yo/edit?usp=sharing"",""เพชรบูรณ์!J326"")"),0)</f>
        <v>0</v>
      </c>
      <c r="K431" s="163">
        <f t="shared" ca="1" si="113"/>
        <v>0</v>
      </c>
      <c r="L431" s="181"/>
      <c r="M431" s="181"/>
      <c r="N431" s="181"/>
      <c r="O431" s="181"/>
      <c r="P431" s="181"/>
    </row>
    <row r="432" spans="1:16" ht="21.75" customHeight="1" x14ac:dyDescent="0.45">
      <c r="A432" s="400"/>
      <c r="B432" s="401"/>
      <c r="C432" s="401"/>
      <c r="D432" s="402"/>
      <c r="E432" s="198"/>
      <c r="F432" s="195"/>
      <c r="G432" s="225" t="s">
        <v>159</v>
      </c>
      <c r="H432" s="180" t="s">
        <v>37</v>
      </c>
      <c r="I432" s="398">
        <f ca="1">IFERROR(__xludf.DUMMYFUNCTION("IMPORTRANGE(""https://docs.google.com/spreadsheets/d/11923uPwbBZFjjGgGUA6NLw09EwE0CqkOc4q9oUmW1yo/edit?usp=sharing"",""เพชรบูรณ์!I327"")"),38)</f>
        <v>38</v>
      </c>
      <c r="J432" s="392">
        <f ca="1">IFERROR(__xludf.DUMMYFUNCTION("IMPORTRANGE(""https://docs.google.com/spreadsheets/d/11923uPwbBZFjjGgGUA6NLw09EwE0CqkOc4q9oUmW1yo/edit?usp=sharing"",""เพชรบูรณ์!J327"")"),0)</f>
        <v>0</v>
      </c>
      <c r="K432" s="163">
        <f t="shared" ca="1" si="113"/>
        <v>0</v>
      </c>
      <c r="L432" s="181"/>
      <c r="M432" s="181"/>
      <c r="N432" s="181"/>
      <c r="O432" s="181"/>
      <c r="P432" s="181"/>
    </row>
    <row r="433" spans="1:16" ht="21.75" customHeight="1" x14ac:dyDescent="0.3">
      <c r="A433" s="175"/>
      <c r="B433" s="176"/>
      <c r="C433" s="176"/>
      <c r="D433" s="193"/>
      <c r="E433" s="194" t="s">
        <v>54</v>
      </c>
      <c r="F433" s="195"/>
      <c r="G433" s="196"/>
      <c r="H433" s="186"/>
      <c r="I433" s="187"/>
      <c r="J433" s="197">
        <f ca="1">IFERROR(__xludf.DUMMYFUNCTION("IMPORTRANGE(""https://docs.google.com/spreadsheets/d/11923uPwbBZFjjGgGUA6NLw09EwE0CqkOc4q9oUmW1yo/edit?usp=sharing"",""เพชรบูรณ์!J328"")"),0)</f>
        <v>0</v>
      </c>
      <c r="K433" s="163"/>
      <c r="L433" s="181"/>
      <c r="M433" s="181"/>
      <c r="N433" s="181"/>
      <c r="O433" s="181"/>
      <c r="P433" s="181"/>
    </row>
    <row r="434" spans="1:16" ht="21.75" customHeight="1" x14ac:dyDescent="0.3">
      <c r="A434" s="175"/>
      <c r="B434" s="176"/>
      <c r="C434" s="176"/>
      <c r="D434" s="205">
        <v>3</v>
      </c>
      <c r="E434" s="206" t="s">
        <v>55</v>
      </c>
      <c r="F434" s="207"/>
      <c r="G434" s="208"/>
      <c r="H434" s="186"/>
      <c r="I434" s="187"/>
      <c r="J434" s="209">
        <f ca="1">IFERROR(__xludf.DUMMYFUNCTION("IMPORTRANGE(""https://docs.google.com/spreadsheets/d/11923uPwbBZFjjGgGUA6NLw09EwE0CqkOc4q9oUmW1yo/edit?usp=sharing"",""เพชรบูรณ์!J329"")"),0)</f>
        <v>0</v>
      </c>
      <c r="K434" s="163"/>
      <c r="L434" s="181"/>
      <c r="M434" s="181"/>
      <c r="N434" s="181"/>
      <c r="O434" s="181"/>
      <c r="P434" s="181"/>
    </row>
    <row r="435" spans="1:16" ht="21.75" customHeight="1" x14ac:dyDescent="0.3">
      <c r="A435" s="403"/>
      <c r="B435" s="404">
        <v>4</v>
      </c>
      <c r="C435" s="404" t="s">
        <v>160</v>
      </c>
      <c r="D435" s="405"/>
      <c r="E435" s="405"/>
      <c r="F435" s="405"/>
      <c r="G435" s="406"/>
      <c r="H435" s="407" t="s">
        <v>37</v>
      </c>
      <c r="I435" s="408">
        <f ca="1">IFERROR(__xludf.DUMMYFUNCTION("IMPORTRANGE(""https://docs.google.com/spreadsheets/d/11923uPwbBZFjjGgGUA6NLw09EwE0CqkOc4q9oUmW1yo/edit?usp=sharing"",""เพชรบูรณ์!I330"")"),40)</f>
        <v>40</v>
      </c>
      <c r="J435" s="408">
        <f ca="1">IFERROR(__xludf.DUMMYFUNCTION("IMPORTRANGE(""https://docs.google.com/spreadsheets/d/11923uPwbBZFjjGgGUA6NLw09EwE0CqkOc4q9oUmW1yo/edit?usp=sharing"",""เพชรบูรณ์!J330"")"),40)</f>
        <v>40</v>
      </c>
      <c r="K435" s="409">
        <f ca="1">IF(I435&gt;0,J435*100/I435,0)</f>
        <v>100</v>
      </c>
      <c r="L435" s="410">
        <f ca="1">IFERROR(__xludf.DUMMYFUNCTION("IMPORTRANGE(""https://docs.google.com/spreadsheets/d/11923uPwbBZFjjGgGUA6NLw09EwE0CqkOc4q9oUmW1yo/edit?usp=sharing"",""เพชรบูรณ์!L330"")"),139000)</f>
        <v>139000</v>
      </c>
      <c r="M435" s="410"/>
      <c r="N435" s="410">
        <f ca="1">IFERROR(__xludf.DUMMYFUNCTION("IMPORTRANGE(""https://docs.google.com/spreadsheets/d/11923uPwbBZFjjGgGUA6NLw09EwE0CqkOc4q9oUmW1yo/edit?usp=sharing"",""เพชรบูรณ์!M330"")"),76749.5)</f>
        <v>76749.5</v>
      </c>
      <c r="O435" s="410">
        <f t="shared" ref="O435:O439" ca="1" si="114">+IF(L435&gt;0,N435*100/L435,0)</f>
        <v>55.215467625899279</v>
      </c>
      <c r="P435" s="410"/>
    </row>
    <row r="436" spans="1:16" ht="21.75" customHeight="1" x14ac:dyDescent="0.3">
      <c r="A436" s="156"/>
      <c r="B436" s="157"/>
      <c r="C436" s="157" t="s">
        <v>16</v>
      </c>
      <c r="D436" s="158" t="s">
        <v>38</v>
      </c>
      <c r="E436" s="159"/>
      <c r="F436" s="159"/>
      <c r="G436" s="160" t="s">
        <v>39</v>
      </c>
      <c r="H436" s="161" t="s">
        <v>12</v>
      </c>
      <c r="I436" s="162" t="s">
        <v>40</v>
      </c>
      <c r="J436" s="162"/>
      <c r="K436" s="163"/>
      <c r="L436" s="164">
        <f ca="1">IFERROR(__xludf.DUMMYFUNCTION("IMPORTRANGE(""https://docs.google.com/spreadsheets/d/11923uPwbBZFjjGgGUA6NLw09EwE0CqkOc4q9oUmW1yo/edit?usp=sharing"",""เพชรบูรณ์!L331"")"),0)</f>
        <v>0</v>
      </c>
      <c r="M436" s="164"/>
      <c r="N436" s="168">
        <f ca="1">IFERROR(__xludf.DUMMYFUNCTION("IMPORTRANGE(""https://docs.google.com/spreadsheets/d/11923uPwbBZFjjGgGUA6NLw09EwE0CqkOc4q9oUmW1yo/edit?usp=sharing"",""เพชรบูรณ์!M331"")"),0)</f>
        <v>0</v>
      </c>
      <c r="O436" s="168">
        <f t="shared" ca="1" si="114"/>
        <v>0</v>
      </c>
      <c r="P436" s="168"/>
    </row>
    <row r="437" spans="1:16" ht="21.75" customHeight="1" x14ac:dyDescent="0.3">
      <c r="A437" s="156"/>
      <c r="B437" s="157"/>
      <c r="C437" s="157"/>
      <c r="D437" s="166"/>
      <c r="E437" s="159"/>
      <c r="F437" s="159" t="s">
        <v>40</v>
      </c>
      <c r="G437" s="160" t="s">
        <v>41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IFERROR(__xludf.DUMMYFUNCTION("IMPORTRANGE(""https://docs.google.com/spreadsheets/d/11923uPwbBZFjjGgGUA6NLw09EwE0CqkOc4q9oUmW1yo/edit?usp=sharing"",""เพชรบูรณ์!L332"")"),139000)</f>
        <v>139000</v>
      </c>
      <c r="M437" s="165"/>
      <c r="N437" s="168">
        <f ca="1">IFERROR(__xludf.DUMMYFUNCTION("IMPORTRANGE(""https://docs.google.com/spreadsheets/d/11923uPwbBZFjjGgGUA6NLw09EwE0CqkOc4q9oUmW1yo/edit?usp=sharing"",""เพชรบูรณ์!M332"")"),76749.5)</f>
        <v>76749.5</v>
      </c>
      <c r="O437" s="168">
        <f t="shared" ca="1" si="114"/>
        <v>55.215467625899279</v>
      </c>
      <c r="P437" s="168"/>
    </row>
    <row r="438" spans="1:16" ht="21.75" customHeight="1" x14ac:dyDescent="0.3">
      <c r="A438" s="156"/>
      <c r="B438" s="157"/>
      <c r="C438" s="157"/>
      <c r="D438" s="166"/>
      <c r="E438" s="159"/>
      <c r="F438" s="159"/>
      <c r="G438" s="372" t="s">
        <v>129</v>
      </c>
      <c r="H438" s="161" t="s">
        <v>12</v>
      </c>
      <c r="I438" s="162"/>
      <c r="J438" s="162"/>
      <c r="K438" s="163"/>
      <c r="L438" s="168">
        <f ca="1">IFERROR(__xludf.DUMMYFUNCTION("IMPORTRANGE(""https://docs.google.com/spreadsheets/d/11923uPwbBZFjjGgGUA6NLw09EwE0CqkOc4q9oUmW1yo/edit?usp=sharing"",""เพชรบูรณ์!L333"")"),0)</f>
        <v>0</v>
      </c>
      <c r="M438" s="168"/>
      <c r="N438" s="168">
        <f ca="1">IFERROR(__xludf.DUMMYFUNCTION("IMPORTRANGE(""https://docs.google.com/spreadsheets/d/11923uPwbBZFjjGgGUA6NLw09EwE0CqkOc4q9oUmW1yo/edit?usp=sharing"",""เพชรบูรณ์!M333"")"),0)</f>
        <v>0</v>
      </c>
      <c r="O438" s="168">
        <f t="shared" ca="1" si="114"/>
        <v>0</v>
      </c>
      <c r="P438" s="168"/>
    </row>
    <row r="439" spans="1:16" ht="21.75" customHeight="1" x14ac:dyDescent="0.3">
      <c r="A439" s="156"/>
      <c r="B439" s="157"/>
      <c r="C439" s="157"/>
      <c r="D439" s="166"/>
      <c r="E439" s="159"/>
      <c r="F439" s="159"/>
      <c r="G439" s="372" t="s">
        <v>130</v>
      </c>
      <c r="H439" s="161" t="s">
        <v>12</v>
      </c>
      <c r="I439" s="162"/>
      <c r="J439" s="162"/>
      <c r="K439" s="163"/>
      <c r="L439" s="168">
        <f ca="1">IFERROR(__xludf.DUMMYFUNCTION("IMPORTRANGE(""https://docs.google.com/spreadsheets/d/11923uPwbBZFjjGgGUA6NLw09EwE0CqkOc4q9oUmW1yo/edit?usp=sharing"",""เพชรบูรณ์!L334"")"),139000)</f>
        <v>139000</v>
      </c>
      <c r="M439" s="168"/>
      <c r="N439" s="168">
        <f ca="1">IFERROR(__xludf.DUMMYFUNCTION("IMPORTRANGE(""https://docs.google.com/spreadsheets/d/11923uPwbBZFjjGgGUA6NLw09EwE0CqkOc4q9oUmW1yo/edit?usp=sharing"",""เพชรบูรณ์!M334"")"),76749.5)</f>
        <v>76749.5</v>
      </c>
      <c r="O439" s="168">
        <f t="shared" ca="1" si="114"/>
        <v>55.215467625899279</v>
      </c>
      <c r="P439" s="168"/>
    </row>
    <row r="440" spans="1:16" ht="21.75" customHeight="1" x14ac:dyDescent="0.3">
      <c r="A440" s="373"/>
      <c r="B440" s="374"/>
      <c r="C440" s="157"/>
      <c r="D440" s="375"/>
      <c r="E440" s="159"/>
      <c r="F440" s="159"/>
      <c r="G440" s="376" t="s">
        <v>131</v>
      </c>
      <c r="H440" s="161" t="s">
        <v>12</v>
      </c>
      <c r="I440" s="187"/>
      <c r="J440" s="187"/>
      <c r="K440" s="223"/>
      <c r="L440" s="168"/>
      <c r="M440" s="168"/>
      <c r="N440" s="377">
        <f ca="1">IFERROR(__xludf.DUMMYFUNCTION("IMPORTRANGE(""https://docs.google.com/spreadsheets/d/11923uPwbBZFjjGgGUA6NLw09EwE0CqkOc4q9oUmW1yo/edit?usp=sharing"",""เพชรบูรณ์!M335"")"),71239.5)</f>
        <v>71239.5</v>
      </c>
      <c r="O440" s="168"/>
      <c r="P440" s="168"/>
    </row>
    <row r="441" spans="1:16" ht="21.75" customHeight="1" x14ac:dyDescent="0.3">
      <c r="A441" s="373"/>
      <c r="B441" s="374"/>
      <c r="C441" s="157"/>
      <c r="D441" s="375"/>
      <c r="E441" s="159"/>
      <c r="F441" s="159"/>
      <c r="G441" s="376" t="s">
        <v>132</v>
      </c>
      <c r="H441" s="161" t="s">
        <v>12</v>
      </c>
      <c r="I441" s="187"/>
      <c r="J441" s="187"/>
      <c r="K441" s="223"/>
      <c r="L441" s="168"/>
      <c r="M441" s="168"/>
      <c r="N441" s="377">
        <f ca="1">IFERROR(__xludf.DUMMYFUNCTION("IMPORTRANGE(""https://docs.google.com/spreadsheets/d/11923uPwbBZFjjGgGUA6NLw09EwE0CqkOc4q9oUmW1yo/edit?usp=sharing"",""เพชรบูรณ์!M336"")"),0)</f>
        <v>0</v>
      </c>
      <c r="O441" s="168"/>
      <c r="P441" s="168"/>
    </row>
    <row r="442" spans="1:16" ht="21.75" customHeight="1" x14ac:dyDescent="0.3">
      <c r="A442" s="373"/>
      <c r="B442" s="374"/>
      <c r="C442" s="157"/>
      <c r="D442" s="375"/>
      <c r="E442" s="159"/>
      <c r="F442" s="159"/>
      <c r="G442" s="376" t="s">
        <v>133</v>
      </c>
      <c r="H442" s="161" t="s">
        <v>12</v>
      </c>
      <c r="I442" s="187"/>
      <c r="J442" s="187"/>
      <c r="K442" s="223"/>
      <c r="L442" s="168"/>
      <c r="M442" s="168"/>
      <c r="N442" s="377">
        <f ca="1">IFERROR(__xludf.DUMMYFUNCTION("IMPORTRANGE(""https://docs.google.com/spreadsheets/d/11923uPwbBZFjjGgGUA6NLw09EwE0CqkOc4q9oUmW1yo/edit?usp=sharing"",""เพชรบูรณ์!M337"")"),0)</f>
        <v>0</v>
      </c>
      <c r="O442" s="168"/>
      <c r="P442" s="168"/>
    </row>
    <row r="443" spans="1:16" ht="21.75" customHeight="1" x14ac:dyDescent="0.3">
      <c r="A443" s="373"/>
      <c r="B443" s="374"/>
      <c r="C443" s="157"/>
      <c r="D443" s="375"/>
      <c r="E443" s="159"/>
      <c r="F443" s="159"/>
      <c r="G443" s="376" t="s">
        <v>134</v>
      </c>
      <c r="H443" s="161" t="s">
        <v>12</v>
      </c>
      <c r="I443" s="187"/>
      <c r="J443" s="187"/>
      <c r="K443" s="223"/>
      <c r="L443" s="168"/>
      <c r="M443" s="168"/>
      <c r="N443" s="377">
        <f ca="1">IFERROR(__xludf.DUMMYFUNCTION("IMPORTRANGE(""https://docs.google.com/spreadsheets/d/11923uPwbBZFjjGgGUA6NLw09EwE0CqkOc4q9oUmW1yo/edit?usp=sharing"",""เพชรบูรณ์!M338"")"),5510)</f>
        <v>5510</v>
      </c>
      <c r="O443" s="168"/>
      <c r="P443" s="168"/>
    </row>
    <row r="444" spans="1:16" ht="21.75" customHeight="1" x14ac:dyDescent="0.3">
      <c r="A444" s="175"/>
      <c r="B444" s="176"/>
      <c r="C444" s="157" t="s">
        <v>16</v>
      </c>
      <c r="D444" s="177" t="s">
        <v>44</v>
      </c>
      <c r="E444" s="178"/>
      <c r="F444" s="178"/>
      <c r="G444" s="179"/>
      <c r="H444" s="180"/>
      <c r="I444" s="162"/>
      <c r="J444" s="162"/>
      <c r="K444" s="163"/>
      <c r="L444" s="181"/>
      <c r="M444" s="181"/>
      <c r="N444" s="181"/>
      <c r="O444" s="181"/>
      <c r="P444" s="181"/>
    </row>
    <row r="445" spans="1:16" ht="21.75" customHeight="1" x14ac:dyDescent="0.3">
      <c r="A445" s="175"/>
      <c r="B445" s="176"/>
      <c r="C445" s="176"/>
      <c r="D445" s="182">
        <v>1</v>
      </c>
      <c r="E445" s="183" t="s">
        <v>45</v>
      </c>
      <c r="F445" s="184"/>
      <c r="G445" s="185"/>
      <c r="H445" s="186"/>
      <c r="I445" s="187"/>
      <c r="J445" s="209">
        <f ca="1">IFERROR(__xludf.DUMMYFUNCTION("IMPORTRANGE(""https://docs.google.com/spreadsheets/d/11923uPwbBZFjjGgGUA6NLw09EwE0CqkOc4q9oUmW1yo/edit?usp=sharing"",""เพชรบูรณ์!J340"")"),0)</f>
        <v>0</v>
      </c>
      <c r="K445" s="163"/>
      <c r="L445" s="181"/>
      <c r="M445" s="181"/>
      <c r="N445" s="181"/>
      <c r="O445" s="181"/>
      <c r="P445" s="181"/>
    </row>
    <row r="446" spans="1:16" ht="21.75" customHeight="1" x14ac:dyDescent="0.3">
      <c r="A446" s="175"/>
      <c r="B446" s="176"/>
      <c r="C446" s="176"/>
      <c r="D446" s="189">
        <v>2</v>
      </c>
      <c r="E446" s="190" t="s">
        <v>46</v>
      </c>
      <c r="F446" s="191"/>
      <c r="G446" s="192"/>
      <c r="H446" s="186"/>
      <c r="I446" s="187"/>
      <c r="J446" s="411">
        <f ca="1">IFERROR(__xludf.DUMMYFUNCTION("IMPORTRANGE(""https://docs.google.com/spreadsheets/d/11923uPwbBZFjjGgGUA6NLw09EwE0CqkOc4q9oUmW1yo/edit?usp=sharing"",""เพชรบูรณ์!J341"")"),1)</f>
        <v>1</v>
      </c>
      <c r="K446" s="163"/>
      <c r="L446" s="181" t="s">
        <v>40</v>
      </c>
      <c r="M446" s="181"/>
      <c r="N446" s="181" t="s">
        <v>40</v>
      </c>
      <c r="O446" s="181"/>
      <c r="P446" s="181"/>
    </row>
    <row r="447" spans="1:16" ht="21.75" customHeight="1" x14ac:dyDescent="0.3">
      <c r="A447" s="175"/>
      <c r="B447" s="176"/>
      <c r="C447" s="176"/>
      <c r="D447" s="193"/>
      <c r="E447" s="194" t="s">
        <v>161</v>
      </c>
      <c r="F447" s="195"/>
      <c r="G447" s="196"/>
      <c r="H447" s="186"/>
      <c r="I447" s="187"/>
      <c r="J447" s="188">
        <f ca="1">IFERROR(__xludf.DUMMYFUNCTION("IMPORTRANGE(""https://docs.google.com/spreadsheets/d/11923uPwbBZFjjGgGUA6NLw09EwE0CqkOc4q9oUmW1yo/edit?usp=sharing"",""เพชรบูรณ์!J342"")"),1)</f>
        <v>1</v>
      </c>
      <c r="K447" s="163"/>
      <c r="L447" s="181"/>
      <c r="M447" s="181"/>
      <c r="N447" s="181"/>
      <c r="O447" s="181"/>
      <c r="P447" s="181"/>
    </row>
    <row r="448" spans="1:16" ht="21.75" customHeight="1" x14ac:dyDescent="0.3">
      <c r="A448" s="175"/>
      <c r="B448" s="176"/>
      <c r="C448" s="176"/>
      <c r="D448" s="193"/>
      <c r="E448" s="194" t="s">
        <v>48</v>
      </c>
      <c r="F448" s="195"/>
      <c r="G448" s="196"/>
      <c r="H448" s="186"/>
      <c r="I448" s="187"/>
      <c r="J448" s="188">
        <f ca="1">IFERROR(__xludf.DUMMYFUNCTION("IMPORTRANGE(""https://docs.google.com/spreadsheets/d/11923uPwbBZFjjGgGUA6NLw09EwE0CqkOc4q9oUmW1yo/edit?usp=sharing"",""เพชรบูรณ์!J343"")"),1)</f>
        <v>1</v>
      </c>
      <c r="K448" s="163"/>
      <c r="L448" s="181"/>
      <c r="M448" s="181"/>
      <c r="N448" s="181"/>
      <c r="O448" s="181"/>
      <c r="P448" s="181"/>
    </row>
    <row r="449" spans="1:16" ht="21.75" customHeight="1" x14ac:dyDescent="0.3">
      <c r="A449" s="175"/>
      <c r="B449" s="176"/>
      <c r="C449" s="176"/>
      <c r="D449" s="193"/>
      <c r="E449" s="198"/>
      <c r="F449" s="412" t="s">
        <v>101</v>
      </c>
      <c r="G449" s="196"/>
      <c r="H449" s="186" t="s">
        <v>37</v>
      </c>
      <c r="I449" s="389">
        <f ca="1">IFERROR(__xludf.DUMMYFUNCTION("IMPORTRANGE(""https://docs.google.com/spreadsheets/d/11923uPwbBZFjjGgGUA6NLw09EwE0CqkOc4q9oUmW1yo/edit?usp=sharing"",""เพชรบูรณ์!I344"")"),40)</f>
        <v>40</v>
      </c>
      <c r="J449" s="200">
        <f ca="1">IFERROR(__xludf.DUMMYFUNCTION("IMPORTRANGE(""https://docs.google.com/spreadsheets/d/11923uPwbBZFjjGgGUA6NLw09EwE0CqkOc4q9oUmW1yo/edit?usp=sharing"",""เพชรบูรณ์!J344"")"),40)</f>
        <v>40</v>
      </c>
      <c r="K449" s="163">
        <f t="shared" ref="K449:K452" ca="1" si="115">IF(I449&gt;0,J449*100/I449,0)</f>
        <v>100</v>
      </c>
      <c r="L449" s="181"/>
      <c r="M449" s="181"/>
      <c r="N449" s="181"/>
      <c r="O449" s="181"/>
      <c r="P449" s="181"/>
    </row>
    <row r="450" spans="1:16" ht="21.75" customHeight="1" x14ac:dyDescent="0.3">
      <c r="A450" s="175"/>
      <c r="B450" s="176"/>
      <c r="C450" s="176"/>
      <c r="D450" s="193"/>
      <c r="E450" s="198"/>
      <c r="F450" s="195"/>
      <c r="G450" s="225" t="s">
        <v>162</v>
      </c>
      <c r="H450" s="186" t="s">
        <v>37</v>
      </c>
      <c r="I450" s="339">
        <f ca="1">IFERROR(__xludf.DUMMYFUNCTION("IMPORTRANGE(""https://docs.google.com/spreadsheets/d/11923uPwbBZFjjGgGUA6NLw09EwE0CqkOc4q9oUmW1yo/edit?usp=sharing"",""เพชรบูรณ์!I345"")"),40)</f>
        <v>40</v>
      </c>
      <c r="J450" s="188">
        <f ca="1">IFERROR(__xludf.DUMMYFUNCTION("IMPORTRANGE(""https://docs.google.com/spreadsheets/d/11923uPwbBZFjjGgGUA6NLw09EwE0CqkOc4q9oUmW1yo/edit?usp=sharing"",""เพชรบูรณ์!J345"")"),40)</f>
        <v>40</v>
      </c>
      <c r="K450" s="163">
        <f t="shared" ca="1" si="115"/>
        <v>100</v>
      </c>
      <c r="L450" s="181"/>
      <c r="M450" s="181"/>
      <c r="N450" s="181"/>
      <c r="O450" s="181"/>
      <c r="P450" s="181"/>
    </row>
    <row r="451" spans="1:16" ht="21.75" customHeight="1" x14ac:dyDescent="0.3">
      <c r="A451" s="175"/>
      <c r="B451" s="176"/>
      <c r="C451" s="176"/>
      <c r="D451" s="193"/>
      <c r="E451" s="198"/>
      <c r="F451" s="195"/>
      <c r="G451" s="279" t="s">
        <v>163</v>
      </c>
      <c r="H451" s="186" t="s">
        <v>37</v>
      </c>
      <c r="I451" s="339">
        <f ca="1">IFERROR(__xludf.DUMMYFUNCTION("IMPORTRANGE(""https://docs.google.com/spreadsheets/d/11923uPwbBZFjjGgGUA6NLw09EwE0CqkOc4q9oUmW1yo/edit?usp=sharing"",""เพชรบูรณ์!I346"")"),0)</f>
        <v>0</v>
      </c>
      <c r="J451" s="187">
        <f ca="1">IFERROR(__xludf.DUMMYFUNCTION("IMPORTRANGE(""https://docs.google.com/spreadsheets/d/11923uPwbBZFjjGgGUA6NLw09EwE0CqkOc4q9oUmW1yo/edit?usp=sharing"",""เพชรบูรณ์!J346"")"),0)</f>
        <v>0</v>
      </c>
      <c r="K451" s="163">
        <f t="shared" ca="1" si="115"/>
        <v>0</v>
      </c>
      <c r="L451" s="181"/>
      <c r="M451" s="181"/>
      <c r="N451" s="181"/>
      <c r="O451" s="181"/>
      <c r="P451" s="181"/>
    </row>
    <row r="452" spans="1:16" ht="21.75" customHeight="1" x14ac:dyDescent="0.3">
      <c r="A452" s="175"/>
      <c r="B452" s="176"/>
      <c r="C452" s="176"/>
      <c r="D452" s="193"/>
      <c r="E452" s="198"/>
      <c r="F452" s="195"/>
      <c r="G452" s="196" t="s">
        <v>164</v>
      </c>
      <c r="H452" s="186" t="s">
        <v>37</v>
      </c>
      <c r="I452" s="187">
        <f ca="1">IFERROR(__xludf.DUMMYFUNCTION("IMPORTRANGE(""https://docs.google.com/spreadsheets/d/11923uPwbBZFjjGgGUA6NLw09EwE0CqkOc4q9oUmW1yo/edit?usp=sharing"",""เพชรบูรณ์!I347"")"),0)</f>
        <v>0</v>
      </c>
      <c r="J452" s="187">
        <f ca="1">IFERROR(__xludf.DUMMYFUNCTION("IMPORTRANGE(""https://docs.google.com/spreadsheets/d/11923uPwbBZFjjGgGUA6NLw09EwE0CqkOc4q9oUmW1yo/edit?usp=sharing"",""เพชรบูรณ์!J347"")"),0)</f>
        <v>0</v>
      </c>
      <c r="K452" s="163">
        <f t="shared" ca="1" si="115"/>
        <v>0</v>
      </c>
      <c r="L452" s="181"/>
      <c r="M452" s="181"/>
      <c r="N452" s="181"/>
      <c r="O452" s="181"/>
      <c r="P452" s="181"/>
    </row>
    <row r="453" spans="1:16" ht="21.75" customHeight="1" x14ac:dyDescent="0.3">
      <c r="A453" s="175"/>
      <c r="B453" s="176"/>
      <c r="C453" s="176"/>
      <c r="D453" s="193"/>
      <c r="E453" s="194" t="s">
        <v>54</v>
      </c>
      <c r="F453" s="195"/>
      <c r="G453" s="196"/>
      <c r="H453" s="186"/>
      <c r="I453" s="187"/>
      <c r="J453" s="197">
        <f ca="1">IFERROR(__xludf.DUMMYFUNCTION("IMPORTRANGE(""https://docs.google.com/spreadsheets/d/11923uPwbBZFjjGgGUA6NLw09EwE0CqkOc4q9oUmW1yo/edit?usp=sharing"",""เพชรบูรณ์!J348"")"),0)</f>
        <v>0</v>
      </c>
      <c r="K453" s="163"/>
      <c r="L453" s="181"/>
      <c r="M453" s="181"/>
      <c r="N453" s="181"/>
      <c r="O453" s="181"/>
      <c r="P453" s="181"/>
    </row>
    <row r="454" spans="1:16" ht="21.75" customHeight="1" x14ac:dyDescent="0.3">
      <c r="A454" s="175"/>
      <c r="B454" s="176"/>
      <c r="C454" s="176"/>
      <c r="D454" s="205">
        <v>3</v>
      </c>
      <c r="E454" s="206" t="s">
        <v>55</v>
      </c>
      <c r="F454" s="207"/>
      <c r="G454" s="208"/>
      <c r="H454" s="186"/>
      <c r="I454" s="187"/>
      <c r="J454" s="209">
        <f ca="1">IFERROR(__xludf.DUMMYFUNCTION("IMPORTRANGE(""https://docs.google.com/spreadsheets/d/11923uPwbBZFjjGgGUA6NLw09EwE0CqkOc4q9oUmW1yo/edit?usp=sharing"",""เพชรบูรณ์!J349"")"),0)</f>
        <v>0</v>
      </c>
      <c r="K454" s="163"/>
      <c r="L454" s="181"/>
      <c r="M454" s="181"/>
      <c r="N454" s="181"/>
      <c r="O454" s="181"/>
      <c r="P454" s="181"/>
    </row>
    <row r="455" spans="1:16" ht="21.75" customHeight="1" x14ac:dyDescent="0.3">
      <c r="A455" s="364"/>
      <c r="B455" s="365">
        <v>5</v>
      </c>
      <c r="C455" s="366" t="s">
        <v>165</v>
      </c>
      <c r="D455" s="366"/>
      <c r="E455" s="366"/>
      <c r="F455" s="366"/>
      <c r="G455" s="367"/>
      <c r="H455" s="368" t="s">
        <v>122</v>
      </c>
      <c r="I455" s="369">
        <f ca="1">IFERROR(__xludf.DUMMYFUNCTION("IMPORTRANGE(""https://docs.google.com/spreadsheets/d/11923uPwbBZFjjGgGUA6NLw09EwE0CqkOc4q9oUmW1yo/edit?usp=sharing"",""เพชรบูรณ์!I350"")"),55704)</f>
        <v>55704</v>
      </c>
      <c r="J455" s="369">
        <f ca="1">IFERROR(__xludf.DUMMYFUNCTION("IMPORTRANGE(""https://docs.google.com/spreadsheets/d/11923uPwbBZFjjGgGUA6NLw09EwE0CqkOc4q9oUmW1yo/edit?usp=sharing"",""เพชรบูรณ์!J350"")"),0)</f>
        <v>0</v>
      </c>
      <c r="K455" s="370">
        <f ca="1">IF(I455&gt;0,J455*100/I455,0)</f>
        <v>0</v>
      </c>
      <c r="L455" s="371">
        <f ca="1">IFERROR(__xludf.DUMMYFUNCTION("IMPORTRANGE(""https://docs.google.com/spreadsheets/d/11923uPwbBZFjjGgGUA6NLw09EwE0CqkOc4q9oUmW1yo/edit?usp=sharing"",""เพชรบูรณ์!L350"")"),527976)</f>
        <v>527976</v>
      </c>
      <c r="M455" s="371"/>
      <c r="N455" s="371">
        <f ca="1">IFERROR(__xludf.DUMMYFUNCTION("IMPORTRANGE(""https://docs.google.com/spreadsheets/d/11923uPwbBZFjjGgGUA6NLw09EwE0CqkOc4q9oUmW1yo/edit?usp=sharing"",""เพชรบูรณ์!M350"")"),71990)</f>
        <v>71990</v>
      </c>
      <c r="O455" s="371">
        <f t="shared" ref="O455:O459" ca="1" si="116">+IF(L455&gt;0,N455*100/L455,0)</f>
        <v>13.635089473763959</v>
      </c>
      <c r="P455" s="371"/>
    </row>
    <row r="456" spans="1:16" ht="21.75" customHeight="1" x14ac:dyDescent="0.3">
      <c r="A456" s="156"/>
      <c r="B456" s="157"/>
      <c r="C456" s="157" t="s">
        <v>16</v>
      </c>
      <c r="D456" s="158" t="s">
        <v>38</v>
      </c>
      <c r="E456" s="159"/>
      <c r="F456" s="159"/>
      <c r="G456" s="160" t="s">
        <v>39</v>
      </c>
      <c r="H456" s="161" t="s">
        <v>12</v>
      </c>
      <c r="I456" s="162" t="s">
        <v>40</v>
      </c>
      <c r="J456" s="162"/>
      <c r="K456" s="163"/>
      <c r="L456" s="164">
        <f ca="1">IFERROR(__xludf.DUMMYFUNCTION("IMPORTRANGE(""https://docs.google.com/spreadsheets/d/11923uPwbBZFjjGgGUA6NLw09EwE0CqkOc4q9oUmW1yo/edit?usp=sharing"",""เพชรบูรณ์!L351"")"),0)</f>
        <v>0</v>
      </c>
      <c r="M456" s="164"/>
      <c r="N456" s="168">
        <f ca="1">IFERROR(__xludf.DUMMYFUNCTION("IMPORTRANGE(""https://docs.google.com/spreadsheets/d/11923uPwbBZFjjGgGUA6NLw09EwE0CqkOc4q9oUmW1yo/edit?usp=sharing"",""เพชรบูรณ์!M351"")"),0)</f>
        <v>0</v>
      </c>
      <c r="O456" s="168">
        <f t="shared" ca="1" si="116"/>
        <v>0</v>
      </c>
      <c r="P456" s="168"/>
    </row>
    <row r="457" spans="1:16" ht="21.75" customHeight="1" x14ac:dyDescent="0.3">
      <c r="A457" s="156"/>
      <c r="B457" s="157"/>
      <c r="C457" s="157"/>
      <c r="D457" s="166"/>
      <c r="E457" s="159"/>
      <c r="F457" s="159" t="s">
        <v>40</v>
      </c>
      <c r="G457" s="160" t="s">
        <v>41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IFERROR(__xludf.DUMMYFUNCTION("IMPORTRANGE(""https://docs.google.com/spreadsheets/d/11923uPwbBZFjjGgGUA6NLw09EwE0CqkOc4q9oUmW1yo/edit?usp=sharing"",""เพชรบูรณ์!L352"")"),527976)</f>
        <v>527976</v>
      </c>
      <c r="M457" s="165"/>
      <c r="N457" s="168">
        <f ca="1">IFERROR(__xludf.DUMMYFUNCTION("IMPORTRANGE(""https://docs.google.com/spreadsheets/d/11923uPwbBZFjjGgGUA6NLw09EwE0CqkOc4q9oUmW1yo/edit?usp=sharing"",""เพชรบูรณ์!M352"")"),71990)</f>
        <v>71990</v>
      </c>
      <c r="O457" s="168">
        <f t="shared" ca="1" si="116"/>
        <v>13.635089473763959</v>
      </c>
      <c r="P457" s="168"/>
    </row>
    <row r="458" spans="1:16" ht="21.75" customHeight="1" x14ac:dyDescent="0.3">
      <c r="A458" s="156"/>
      <c r="B458" s="157"/>
      <c r="C458" s="157"/>
      <c r="D458" s="166"/>
      <c r="E458" s="159"/>
      <c r="F458" s="159"/>
      <c r="G458" s="372" t="s">
        <v>129</v>
      </c>
      <c r="H458" s="161" t="s">
        <v>12</v>
      </c>
      <c r="I458" s="162"/>
      <c r="J458" s="162"/>
      <c r="K458" s="163"/>
      <c r="L458" s="168">
        <f ca="1">IFERROR(__xludf.DUMMYFUNCTION("IMPORTRANGE(""https://docs.google.com/spreadsheets/d/11923uPwbBZFjjGgGUA6NLw09EwE0CqkOc4q9oUmW1yo/edit?usp=sharing"",""เพชรบูรณ์!L353"")"),0)</f>
        <v>0</v>
      </c>
      <c r="M458" s="168"/>
      <c r="N458" s="168">
        <f ca="1">IFERROR(__xludf.DUMMYFUNCTION("IMPORTRANGE(""https://docs.google.com/spreadsheets/d/11923uPwbBZFjjGgGUA6NLw09EwE0CqkOc4q9oUmW1yo/edit?usp=sharing"",""เพชรบูรณ์!M353"")"),0)</f>
        <v>0</v>
      </c>
      <c r="O458" s="168">
        <f t="shared" ca="1" si="116"/>
        <v>0</v>
      </c>
      <c r="P458" s="168"/>
    </row>
    <row r="459" spans="1:16" ht="21.75" customHeight="1" x14ac:dyDescent="0.3">
      <c r="A459" s="156"/>
      <c r="B459" s="157"/>
      <c r="C459" s="157"/>
      <c r="D459" s="166"/>
      <c r="E459" s="159"/>
      <c r="F459" s="159"/>
      <c r="G459" s="372" t="s">
        <v>130</v>
      </c>
      <c r="H459" s="161" t="s">
        <v>12</v>
      </c>
      <c r="I459" s="162"/>
      <c r="J459" s="162"/>
      <c r="K459" s="163"/>
      <c r="L459" s="168">
        <f ca="1">IFERROR(__xludf.DUMMYFUNCTION("IMPORTRANGE(""https://docs.google.com/spreadsheets/d/11923uPwbBZFjjGgGUA6NLw09EwE0CqkOc4q9oUmW1yo/edit?usp=sharing"",""เพชรบูรณ์!L354"")"),527976)</f>
        <v>527976</v>
      </c>
      <c r="M459" s="168"/>
      <c r="N459" s="168">
        <f ca="1">IFERROR(__xludf.DUMMYFUNCTION("IMPORTRANGE(""https://docs.google.com/spreadsheets/d/11923uPwbBZFjjGgGUA6NLw09EwE0CqkOc4q9oUmW1yo/edit?usp=sharing"",""เพชรบูรณ์!M354"")"),71990)</f>
        <v>71990</v>
      </c>
      <c r="O459" s="168">
        <f t="shared" ca="1" si="116"/>
        <v>13.635089473763959</v>
      </c>
      <c r="P459" s="168"/>
    </row>
    <row r="460" spans="1:16" ht="21.75" customHeight="1" x14ac:dyDescent="0.3">
      <c r="A460" s="373"/>
      <c r="B460" s="374"/>
      <c r="C460" s="157"/>
      <c r="D460" s="375"/>
      <c r="E460" s="159"/>
      <c r="F460" s="159"/>
      <c r="G460" s="376" t="s">
        <v>131</v>
      </c>
      <c r="H460" s="161" t="s">
        <v>12</v>
      </c>
      <c r="I460" s="187"/>
      <c r="J460" s="187"/>
      <c r="K460" s="223"/>
      <c r="L460" s="168"/>
      <c r="M460" s="168"/>
      <c r="N460" s="167">
        <f ca="1">IFERROR(__xludf.DUMMYFUNCTION("IMPORTRANGE(""https://docs.google.com/spreadsheets/d/11923uPwbBZFjjGgGUA6NLw09EwE0CqkOc4q9oUmW1yo/edit?usp=sharing"",""เพชรบูรณ์!M355"")"),0)</f>
        <v>0</v>
      </c>
      <c r="O460" s="168"/>
      <c r="P460" s="168"/>
    </row>
    <row r="461" spans="1:16" ht="21.75" customHeight="1" x14ac:dyDescent="0.3">
      <c r="A461" s="373"/>
      <c r="B461" s="374"/>
      <c r="C461" s="157"/>
      <c r="D461" s="375"/>
      <c r="E461" s="159"/>
      <c r="F461" s="159"/>
      <c r="G461" s="376" t="s">
        <v>132</v>
      </c>
      <c r="H461" s="161" t="s">
        <v>12</v>
      </c>
      <c r="I461" s="187"/>
      <c r="J461" s="187"/>
      <c r="K461" s="223"/>
      <c r="L461" s="168"/>
      <c r="M461" s="168"/>
      <c r="N461" s="167">
        <f ca="1">IFERROR(__xludf.DUMMYFUNCTION("IMPORTRANGE(""https://docs.google.com/spreadsheets/d/11923uPwbBZFjjGgGUA6NLw09EwE0CqkOc4q9oUmW1yo/edit?usp=sharing"",""เพชรบูรณ์!M356"")"),0)</f>
        <v>0</v>
      </c>
      <c r="O461" s="168"/>
      <c r="P461" s="168"/>
    </row>
    <row r="462" spans="1:16" ht="21.75" customHeight="1" x14ac:dyDescent="0.3">
      <c r="A462" s="373"/>
      <c r="B462" s="374"/>
      <c r="C462" s="157"/>
      <c r="D462" s="375"/>
      <c r="E462" s="159"/>
      <c r="F462" s="159"/>
      <c r="G462" s="376" t="s">
        <v>133</v>
      </c>
      <c r="H462" s="161" t="s">
        <v>12</v>
      </c>
      <c r="I462" s="187"/>
      <c r="J462" s="187"/>
      <c r="K462" s="223"/>
      <c r="L462" s="168"/>
      <c r="M462" s="168"/>
      <c r="N462" s="377">
        <f ca="1">IFERROR(__xludf.DUMMYFUNCTION("IMPORTRANGE(""https://docs.google.com/spreadsheets/d/11923uPwbBZFjjGgGUA6NLw09EwE0CqkOc4q9oUmW1yo/edit?usp=sharing"",""เพชรบูรณ์!M357"")"),0)</f>
        <v>0</v>
      </c>
      <c r="O462" s="168"/>
      <c r="P462" s="168"/>
    </row>
    <row r="463" spans="1:16" ht="21.75" customHeight="1" x14ac:dyDescent="0.3">
      <c r="A463" s="373"/>
      <c r="B463" s="374"/>
      <c r="C463" s="157"/>
      <c r="D463" s="375"/>
      <c r="E463" s="159"/>
      <c r="F463" s="159"/>
      <c r="G463" s="376" t="s">
        <v>134</v>
      </c>
      <c r="H463" s="161" t="s">
        <v>12</v>
      </c>
      <c r="I463" s="187"/>
      <c r="J463" s="187"/>
      <c r="K463" s="223"/>
      <c r="L463" s="168"/>
      <c r="M463" s="168"/>
      <c r="N463" s="377">
        <f ca="1">IFERROR(__xludf.DUMMYFUNCTION("IMPORTRANGE(""https://docs.google.com/spreadsheets/d/11923uPwbBZFjjGgGUA6NLw09EwE0CqkOc4q9oUmW1yo/edit?usp=sharing"",""เพชรบูรณ์!M358"")"),71990)</f>
        <v>71990</v>
      </c>
      <c r="O463" s="168"/>
      <c r="P463" s="168"/>
    </row>
    <row r="464" spans="1:16" ht="21.75" customHeight="1" x14ac:dyDescent="0.3">
      <c r="A464" s="175"/>
      <c r="B464" s="176"/>
      <c r="C464" s="413" t="s">
        <v>166</v>
      </c>
      <c r="D464" s="413"/>
      <c r="E464" s="414"/>
      <c r="F464" s="414"/>
      <c r="G464" s="415"/>
      <c r="H464" s="265" t="s">
        <v>122</v>
      </c>
      <c r="I464" s="266">
        <f ca="1">IFERROR(__xludf.DUMMYFUNCTION("IMPORTRANGE(""https://docs.google.com/spreadsheets/d/11923uPwbBZFjjGgGUA6NLw09EwE0CqkOc4q9oUmW1yo/edit?usp=sharing"",""เพชรบูรณ์!I359"")"),55704)</f>
        <v>55704</v>
      </c>
      <c r="J464" s="266">
        <f ca="1">IFERROR(__xludf.DUMMYFUNCTION("IMPORTRANGE(""https://docs.google.com/spreadsheets/d/11923uPwbBZFjjGgGUA6NLw09EwE0CqkOc4q9oUmW1yo/edit?usp=sharing"",""เพชรบูรณ์!J359"")"),0)</f>
        <v>0</v>
      </c>
      <c r="K464" s="267">
        <f t="shared" ref="K464:K515" ca="1" si="117">IF(I464&gt;0,J464*100/I464,0)</f>
        <v>0</v>
      </c>
      <c r="L464" s="290"/>
      <c r="M464" s="290"/>
      <c r="N464" s="290"/>
      <c r="O464" s="290"/>
      <c r="P464" s="290"/>
    </row>
    <row r="465" spans="1:16" ht="21.75" customHeight="1" x14ac:dyDescent="0.3">
      <c r="A465" s="400"/>
      <c r="B465" s="401"/>
      <c r="C465" s="401"/>
      <c r="D465" s="402"/>
      <c r="E465" s="193" t="s">
        <v>167</v>
      </c>
      <c r="F465" s="195"/>
      <c r="G465" s="196"/>
      <c r="H465" s="416" t="s">
        <v>122</v>
      </c>
      <c r="I465" s="417">
        <f ca="1">IFERROR(__xludf.DUMMYFUNCTION("IMPORTRANGE(""https://docs.google.com/spreadsheets/d/11923uPwbBZFjjGgGUA6NLw09EwE0CqkOc4q9oUmW1yo/edit?usp=sharing"",""เพชรบูรณ์!I360"")"),55704)</f>
        <v>55704</v>
      </c>
      <c r="J465" s="418">
        <f ca="1">IFERROR(__xludf.DUMMYFUNCTION("IMPORTRANGE(""https://docs.google.com/spreadsheets/d/11923uPwbBZFjjGgGUA6NLw09EwE0CqkOc4q9oUmW1yo/edit?usp=sharing"",""เพชรบูรณ์!J360"")"),55710)</f>
        <v>55710</v>
      </c>
      <c r="K465" s="201">
        <f t="shared" ca="1" si="117"/>
        <v>100.01077121930203</v>
      </c>
      <c r="L465" s="181"/>
      <c r="M465" s="181"/>
      <c r="N465" s="181"/>
      <c r="O465" s="181"/>
      <c r="P465" s="181"/>
    </row>
    <row r="466" spans="1:16" ht="21.75" customHeight="1" x14ac:dyDescent="0.3">
      <c r="A466" s="400"/>
      <c r="B466" s="401"/>
      <c r="C466" s="401"/>
      <c r="D466" s="402"/>
      <c r="E466" s="195"/>
      <c r="F466" s="195"/>
      <c r="G466" s="196"/>
      <c r="H466" s="416" t="s">
        <v>36</v>
      </c>
      <c r="I466" s="417">
        <f ca="1">IFERROR(__xludf.DUMMYFUNCTION("IMPORTRANGE(""https://docs.google.com/spreadsheets/d/11923uPwbBZFjjGgGUA6NLw09EwE0CqkOc4q9oUmW1yo/edit?usp=sharing"",""เพชรบูรณ์!I361"")"),3219)</f>
        <v>3219</v>
      </c>
      <c r="J466" s="418">
        <f ca="1">IFERROR(__xludf.DUMMYFUNCTION("IMPORTRANGE(""https://docs.google.com/spreadsheets/d/11923uPwbBZFjjGgGUA6NLw09EwE0CqkOc4q9oUmW1yo/edit?usp=sharing"",""เพชรบูรณ์!J361"")"),3219)</f>
        <v>3219</v>
      </c>
      <c r="K466" s="201">
        <f t="shared" ca="1" si="117"/>
        <v>100</v>
      </c>
      <c r="L466" s="181"/>
      <c r="M466" s="181"/>
      <c r="N466" s="181"/>
      <c r="O466" s="181"/>
      <c r="P466" s="181"/>
    </row>
    <row r="467" spans="1:16" ht="21.75" customHeight="1" x14ac:dyDescent="0.3">
      <c r="A467" s="400"/>
      <c r="B467" s="401"/>
      <c r="C467" s="401"/>
      <c r="D467" s="402"/>
      <c r="E467" s="195"/>
      <c r="F467" s="388" t="s">
        <v>168</v>
      </c>
      <c r="G467" s="419"/>
      <c r="H467" s="420" t="s">
        <v>122</v>
      </c>
      <c r="I467" s="202">
        <f ca="1">IFERROR(__xludf.DUMMYFUNCTION("IMPORTRANGE(""https://docs.google.com/spreadsheets/d/11923uPwbBZFjjGgGUA6NLw09EwE0CqkOc4q9oUmW1yo/edit?usp=sharing"",""เพชรบูรณ์!I362"")"),0)</f>
        <v>0</v>
      </c>
      <c r="J467" s="188">
        <f ca="1">IFERROR(__xludf.DUMMYFUNCTION("IMPORTRANGE(""https://docs.google.com/spreadsheets/d/11923uPwbBZFjjGgGUA6NLw09EwE0CqkOc4q9oUmW1yo/edit?usp=sharing"",""เพชรบูรณ์!J362"")"),34722)</f>
        <v>34722</v>
      </c>
      <c r="K467" s="163">
        <f t="shared" ca="1" si="117"/>
        <v>0</v>
      </c>
      <c r="L467" s="181"/>
      <c r="M467" s="181"/>
      <c r="N467" s="181"/>
      <c r="O467" s="181"/>
      <c r="P467" s="181"/>
    </row>
    <row r="468" spans="1:16" ht="21.75" customHeight="1" x14ac:dyDescent="0.3">
      <c r="A468" s="400"/>
      <c r="B468" s="401"/>
      <c r="C468" s="401"/>
      <c r="D468" s="402"/>
      <c r="E468" s="195"/>
      <c r="F468" s="195"/>
      <c r="G468" s="419"/>
      <c r="H468" s="420" t="s">
        <v>36</v>
      </c>
      <c r="I468" s="202">
        <f ca="1">IFERROR(__xludf.DUMMYFUNCTION("IMPORTRANGE(""https://docs.google.com/spreadsheets/d/11923uPwbBZFjjGgGUA6NLw09EwE0CqkOc4q9oUmW1yo/edit?usp=sharing"",""เพชรบูรณ์!I363"")"),0)</f>
        <v>0</v>
      </c>
      <c r="J468" s="188">
        <f ca="1">IFERROR(__xludf.DUMMYFUNCTION("IMPORTRANGE(""https://docs.google.com/spreadsheets/d/11923uPwbBZFjjGgGUA6NLw09EwE0CqkOc4q9oUmW1yo/edit?usp=sharing"",""เพชรบูรณ์!J363"")"),2238)</f>
        <v>2238</v>
      </c>
      <c r="K468" s="163">
        <f t="shared" ca="1" si="117"/>
        <v>0</v>
      </c>
      <c r="L468" s="181"/>
      <c r="M468" s="181"/>
      <c r="N468" s="181"/>
      <c r="O468" s="181"/>
      <c r="P468" s="181"/>
    </row>
    <row r="469" spans="1:16" ht="21.75" customHeight="1" x14ac:dyDescent="0.3">
      <c r="A469" s="400"/>
      <c r="B469" s="401"/>
      <c r="C469" s="401"/>
      <c r="D469" s="402"/>
      <c r="E469" s="195"/>
      <c r="F469" s="388" t="s">
        <v>169</v>
      </c>
      <c r="G469" s="419"/>
      <c r="H469" s="420" t="s">
        <v>122</v>
      </c>
      <c r="I469" s="202">
        <f ca="1">IFERROR(__xludf.DUMMYFUNCTION("IMPORTRANGE(""https://docs.google.com/spreadsheets/d/11923uPwbBZFjjGgGUA6NLw09EwE0CqkOc4q9oUmW1yo/edit?usp=sharing"",""เพชรบูรณ์!I364"")"),0)</f>
        <v>0</v>
      </c>
      <c r="J469" s="188">
        <f ca="1">IFERROR(__xludf.DUMMYFUNCTION("IMPORTRANGE(""https://docs.google.com/spreadsheets/d/11923uPwbBZFjjGgGUA6NLw09EwE0CqkOc4q9oUmW1yo/edit?usp=sharing"",""เพชรบูรณ์!J364"")"),19289)</f>
        <v>19289</v>
      </c>
      <c r="K469" s="163">
        <f t="shared" ca="1" si="117"/>
        <v>0</v>
      </c>
      <c r="L469" s="181"/>
      <c r="M469" s="181"/>
      <c r="N469" s="181"/>
      <c r="O469" s="181"/>
      <c r="P469" s="181"/>
    </row>
    <row r="470" spans="1:16" ht="21.75" customHeight="1" x14ac:dyDescent="0.3">
      <c r="A470" s="400"/>
      <c r="B470" s="401"/>
      <c r="C470" s="401"/>
      <c r="D470" s="402"/>
      <c r="E470" s="195"/>
      <c r="F470" s="195"/>
      <c r="G470" s="419"/>
      <c r="H470" s="420" t="s">
        <v>36</v>
      </c>
      <c r="I470" s="202">
        <f ca="1">IFERROR(__xludf.DUMMYFUNCTION("IMPORTRANGE(""https://docs.google.com/spreadsheets/d/11923uPwbBZFjjGgGUA6NLw09EwE0CqkOc4q9oUmW1yo/edit?usp=sharing"",""เพชรบูรณ์!I365"")"),0)</f>
        <v>0</v>
      </c>
      <c r="J470" s="188">
        <f ca="1">IFERROR(__xludf.DUMMYFUNCTION("IMPORTRANGE(""https://docs.google.com/spreadsheets/d/11923uPwbBZFjjGgGUA6NLw09EwE0CqkOc4q9oUmW1yo/edit?usp=sharing"",""เพชรบูรณ์!J365"")"),896)</f>
        <v>896</v>
      </c>
      <c r="K470" s="163">
        <f t="shared" ca="1" si="117"/>
        <v>0</v>
      </c>
      <c r="L470" s="181"/>
      <c r="M470" s="181"/>
      <c r="N470" s="181"/>
      <c r="O470" s="181"/>
      <c r="P470" s="181"/>
    </row>
    <row r="471" spans="1:16" ht="21.75" customHeight="1" x14ac:dyDescent="0.3">
      <c r="A471" s="400"/>
      <c r="B471" s="401"/>
      <c r="C471" s="401"/>
      <c r="D471" s="402"/>
      <c r="E471" s="195"/>
      <c r="F471" s="388" t="s">
        <v>170</v>
      </c>
      <c r="G471" s="419"/>
      <c r="H471" s="420" t="s">
        <v>122</v>
      </c>
      <c r="I471" s="202">
        <f ca="1">IFERROR(__xludf.DUMMYFUNCTION("IMPORTRANGE(""https://docs.google.com/spreadsheets/d/11923uPwbBZFjjGgGUA6NLw09EwE0CqkOc4q9oUmW1yo/edit?usp=sharing"",""เพชรบูรณ์!I366"")"),0)</f>
        <v>0</v>
      </c>
      <c r="J471" s="188">
        <f ca="1">IFERROR(__xludf.DUMMYFUNCTION("IMPORTRANGE(""https://docs.google.com/spreadsheets/d/11923uPwbBZFjjGgGUA6NLw09EwE0CqkOc4q9oUmW1yo/edit?usp=sharing"",""เพชรบูรณ์!J366"")"),1699)</f>
        <v>1699</v>
      </c>
      <c r="K471" s="163">
        <f t="shared" ca="1" si="117"/>
        <v>0</v>
      </c>
      <c r="L471" s="181"/>
      <c r="M471" s="181"/>
      <c r="N471" s="181"/>
      <c r="O471" s="181"/>
      <c r="P471" s="181"/>
    </row>
    <row r="472" spans="1:16" ht="21.75" customHeight="1" x14ac:dyDescent="0.3">
      <c r="A472" s="400"/>
      <c r="B472" s="401"/>
      <c r="C472" s="401"/>
      <c r="D472" s="402"/>
      <c r="E472" s="195"/>
      <c r="F472" s="195"/>
      <c r="G472" s="195"/>
      <c r="H472" s="420" t="s">
        <v>36</v>
      </c>
      <c r="I472" s="202">
        <f ca="1">IFERROR(__xludf.DUMMYFUNCTION("IMPORTRANGE(""https://docs.google.com/spreadsheets/d/11923uPwbBZFjjGgGUA6NLw09EwE0CqkOc4q9oUmW1yo/edit?usp=sharing"",""เพชรบูรณ์!I367"")"),0)</f>
        <v>0</v>
      </c>
      <c r="J472" s="188">
        <f ca="1">IFERROR(__xludf.DUMMYFUNCTION("IMPORTRANGE(""https://docs.google.com/spreadsheets/d/11923uPwbBZFjjGgGUA6NLw09EwE0CqkOc4q9oUmW1yo/edit?usp=sharing"",""เพชรบูรณ์!J367"")"),85)</f>
        <v>85</v>
      </c>
      <c r="K472" s="163">
        <f t="shared" ca="1" si="117"/>
        <v>0</v>
      </c>
      <c r="L472" s="181"/>
      <c r="M472" s="181"/>
      <c r="N472" s="181"/>
      <c r="O472" s="181"/>
      <c r="P472" s="181"/>
    </row>
    <row r="473" spans="1:16" ht="21.75" customHeight="1" x14ac:dyDescent="0.3">
      <c r="A473" s="400"/>
      <c r="B473" s="401"/>
      <c r="C473" s="401"/>
      <c r="D473" s="402"/>
      <c r="E473" s="289" t="s">
        <v>171</v>
      </c>
      <c r="F473" s="195"/>
      <c r="G473" s="196"/>
      <c r="H473" s="416" t="s">
        <v>122</v>
      </c>
      <c r="I473" s="418">
        <f ca="1">IFERROR(__xludf.DUMMYFUNCTION("IMPORTRANGE(""https://docs.google.com/spreadsheets/d/11923uPwbBZFjjGgGUA6NLw09EwE0CqkOc4q9oUmW1yo/edit?usp=sharing"",""เพชรบูรณ์!I368"")"),55704)</f>
        <v>55704</v>
      </c>
      <c r="J473" s="418">
        <f ca="1">IFERROR(__xludf.DUMMYFUNCTION("IMPORTRANGE(""https://docs.google.com/spreadsheets/d/11923uPwbBZFjjGgGUA6NLw09EwE0CqkOc4q9oUmW1yo/edit?usp=sharing"",""เพชรบูรณ์!J368"")"),55710)</f>
        <v>55710</v>
      </c>
      <c r="K473" s="201">
        <f t="shared" ca="1" si="117"/>
        <v>100.01077121930203</v>
      </c>
      <c r="L473" s="181"/>
      <c r="M473" s="181"/>
      <c r="N473" s="181"/>
      <c r="O473" s="181"/>
      <c r="P473" s="181"/>
    </row>
    <row r="474" spans="1:16" ht="21.75" customHeight="1" x14ac:dyDescent="0.3">
      <c r="A474" s="400"/>
      <c r="B474" s="401"/>
      <c r="C474" s="401"/>
      <c r="D474" s="402"/>
      <c r="E474" s="195"/>
      <c r="F474" s="195"/>
      <c r="G474" s="196"/>
      <c r="H474" s="416" t="s">
        <v>36</v>
      </c>
      <c r="I474" s="417">
        <f ca="1">IFERROR(__xludf.DUMMYFUNCTION("IMPORTRANGE(""https://docs.google.com/spreadsheets/d/11923uPwbBZFjjGgGUA6NLw09EwE0CqkOc4q9oUmW1yo/edit?usp=sharing"",""เพชรบูรณ์!I369"")"),3219)</f>
        <v>3219</v>
      </c>
      <c r="J474" s="418">
        <f ca="1">IFERROR(__xludf.DUMMYFUNCTION("IMPORTRANGE(""https://docs.google.com/spreadsheets/d/11923uPwbBZFjjGgGUA6NLw09EwE0CqkOc4q9oUmW1yo/edit?usp=sharing"",""เพชรบูรณ์!J369"")"),3219)</f>
        <v>3219</v>
      </c>
      <c r="K474" s="163">
        <f t="shared" ca="1" si="117"/>
        <v>100</v>
      </c>
      <c r="L474" s="181"/>
      <c r="M474" s="181"/>
      <c r="N474" s="181"/>
      <c r="O474" s="181"/>
      <c r="P474" s="181"/>
    </row>
    <row r="475" spans="1:16" ht="21.75" customHeight="1" x14ac:dyDescent="0.3">
      <c r="A475" s="400"/>
      <c r="B475" s="401"/>
      <c r="C475" s="401"/>
      <c r="D475" s="402"/>
      <c r="E475" s="195"/>
      <c r="F475" s="194" t="s">
        <v>172</v>
      </c>
      <c r="G475" s="419"/>
      <c r="H475" s="420" t="s">
        <v>122</v>
      </c>
      <c r="I475" s="202">
        <f ca="1">IFERROR(__xludf.DUMMYFUNCTION("IMPORTRANGE(""https://docs.google.com/spreadsheets/d/11923uPwbBZFjjGgGUA6NLw09EwE0CqkOc4q9oUmW1yo/edit?usp=sharing"",""เพชรบูรณ์!I370"")"),0)</f>
        <v>0</v>
      </c>
      <c r="J475" s="188">
        <f ca="1">IFERROR(__xludf.DUMMYFUNCTION("IMPORTRANGE(""https://docs.google.com/spreadsheets/d/11923uPwbBZFjjGgGUA6NLw09EwE0CqkOc4q9oUmW1yo/edit?usp=sharing"",""เพชรบูรณ์!J370"")"),34722)</f>
        <v>34722</v>
      </c>
      <c r="K475" s="163">
        <f t="shared" ca="1" si="117"/>
        <v>0</v>
      </c>
      <c r="L475" s="181"/>
      <c r="M475" s="181"/>
      <c r="N475" s="181"/>
      <c r="O475" s="181"/>
      <c r="P475" s="181"/>
    </row>
    <row r="476" spans="1:16" ht="21.75" customHeight="1" x14ac:dyDescent="0.3">
      <c r="A476" s="400"/>
      <c r="B476" s="401"/>
      <c r="C476" s="401"/>
      <c r="D476" s="402"/>
      <c r="E476" s="195"/>
      <c r="F476" s="195"/>
      <c r="G476" s="419"/>
      <c r="H476" s="420" t="s">
        <v>36</v>
      </c>
      <c r="I476" s="202">
        <f ca="1">IFERROR(__xludf.DUMMYFUNCTION("IMPORTRANGE(""https://docs.google.com/spreadsheets/d/11923uPwbBZFjjGgGUA6NLw09EwE0CqkOc4q9oUmW1yo/edit?usp=sharing"",""เพชรบูรณ์!I371"")"),0)</f>
        <v>0</v>
      </c>
      <c r="J476" s="188">
        <f ca="1">IFERROR(__xludf.DUMMYFUNCTION("IMPORTRANGE(""https://docs.google.com/spreadsheets/d/11923uPwbBZFjjGgGUA6NLw09EwE0CqkOc4q9oUmW1yo/edit?usp=sharing"",""เพชรบูรณ์!J371"")"),2238)</f>
        <v>2238</v>
      </c>
      <c r="K476" s="163">
        <f t="shared" ca="1" si="117"/>
        <v>0</v>
      </c>
      <c r="L476" s="181"/>
      <c r="M476" s="181"/>
      <c r="N476" s="181"/>
      <c r="O476" s="181"/>
      <c r="P476" s="181"/>
    </row>
    <row r="477" spans="1:16" ht="21.75" customHeight="1" x14ac:dyDescent="0.3">
      <c r="A477" s="400"/>
      <c r="B477" s="401"/>
      <c r="C477" s="401"/>
      <c r="D477" s="402"/>
      <c r="E477" s="195"/>
      <c r="F477" s="194" t="s">
        <v>173</v>
      </c>
      <c r="G477" s="419"/>
      <c r="H477" s="420" t="s">
        <v>122</v>
      </c>
      <c r="I477" s="202">
        <f ca="1">IFERROR(__xludf.DUMMYFUNCTION("IMPORTRANGE(""https://docs.google.com/spreadsheets/d/11923uPwbBZFjjGgGUA6NLw09EwE0CqkOc4q9oUmW1yo/edit?usp=sharing"",""เพชรบูรณ์!I372"")"),0)</f>
        <v>0</v>
      </c>
      <c r="J477" s="188">
        <f ca="1">IFERROR(__xludf.DUMMYFUNCTION("IMPORTRANGE(""https://docs.google.com/spreadsheets/d/11923uPwbBZFjjGgGUA6NLw09EwE0CqkOc4q9oUmW1yo/edit?usp=sharing"",""เพชรบูรณ์!J372"")"),19289)</f>
        <v>19289</v>
      </c>
      <c r="K477" s="163">
        <f t="shared" ca="1" si="117"/>
        <v>0</v>
      </c>
      <c r="L477" s="181"/>
      <c r="M477" s="181"/>
      <c r="N477" s="181"/>
      <c r="O477" s="181"/>
      <c r="P477" s="181"/>
    </row>
    <row r="478" spans="1:16" ht="21.75" customHeight="1" x14ac:dyDescent="0.3">
      <c r="A478" s="400"/>
      <c r="B478" s="401"/>
      <c r="C478" s="401"/>
      <c r="D478" s="402"/>
      <c r="E478" s="195"/>
      <c r="F478" s="195"/>
      <c r="G478" s="419"/>
      <c r="H478" s="420" t="s">
        <v>36</v>
      </c>
      <c r="I478" s="202">
        <f ca="1">IFERROR(__xludf.DUMMYFUNCTION("IMPORTRANGE(""https://docs.google.com/spreadsheets/d/11923uPwbBZFjjGgGUA6NLw09EwE0CqkOc4q9oUmW1yo/edit?usp=sharing"",""เพชรบูรณ์!I373"")"),0)</f>
        <v>0</v>
      </c>
      <c r="J478" s="188">
        <f ca="1">IFERROR(__xludf.DUMMYFUNCTION("IMPORTRANGE(""https://docs.google.com/spreadsheets/d/11923uPwbBZFjjGgGUA6NLw09EwE0CqkOc4q9oUmW1yo/edit?usp=sharing"",""เพชรบูรณ์!J373"")"),896)</f>
        <v>896</v>
      </c>
      <c r="K478" s="163">
        <f t="shared" ca="1" si="117"/>
        <v>0</v>
      </c>
      <c r="L478" s="181"/>
      <c r="M478" s="181"/>
      <c r="N478" s="181"/>
      <c r="O478" s="181"/>
      <c r="P478" s="181"/>
    </row>
    <row r="479" spans="1:16" ht="21.75" customHeight="1" x14ac:dyDescent="0.3">
      <c r="A479" s="400"/>
      <c r="B479" s="401"/>
      <c r="C479" s="401"/>
      <c r="D479" s="402"/>
      <c r="E479" s="195"/>
      <c r="F479" s="194" t="s">
        <v>174</v>
      </c>
      <c r="G479" s="419"/>
      <c r="H479" s="420" t="s">
        <v>122</v>
      </c>
      <c r="I479" s="202">
        <f ca="1">IFERROR(__xludf.DUMMYFUNCTION("IMPORTRANGE(""https://docs.google.com/spreadsheets/d/11923uPwbBZFjjGgGUA6NLw09EwE0CqkOc4q9oUmW1yo/edit?usp=sharing"",""เพชรบูรณ์!I374"")"),0)</f>
        <v>0</v>
      </c>
      <c r="J479" s="188">
        <f ca="1">IFERROR(__xludf.DUMMYFUNCTION("IMPORTRANGE(""https://docs.google.com/spreadsheets/d/11923uPwbBZFjjGgGUA6NLw09EwE0CqkOc4q9oUmW1yo/edit?usp=sharing"",""เพชรบูรณ์!J374"")"),1699)</f>
        <v>1699</v>
      </c>
      <c r="K479" s="163">
        <f t="shared" ca="1" si="117"/>
        <v>0</v>
      </c>
      <c r="L479" s="181"/>
      <c r="M479" s="181"/>
      <c r="N479" s="181"/>
      <c r="O479" s="181"/>
      <c r="P479" s="181"/>
    </row>
    <row r="480" spans="1:16" ht="21.75" customHeight="1" x14ac:dyDescent="0.3">
      <c r="A480" s="400"/>
      <c r="B480" s="401"/>
      <c r="C480" s="401"/>
      <c r="D480" s="402"/>
      <c r="E480" s="195"/>
      <c r="F480" s="195"/>
      <c r="G480" s="196"/>
      <c r="H480" s="420" t="s">
        <v>36</v>
      </c>
      <c r="I480" s="202">
        <f ca="1">IFERROR(__xludf.DUMMYFUNCTION("IMPORTRANGE(""https://docs.google.com/spreadsheets/d/11923uPwbBZFjjGgGUA6NLw09EwE0CqkOc4q9oUmW1yo/edit?usp=sharing"",""เพชรบูรณ์!I375"")"),0)</f>
        <v>0</v>
      </c>
      <c r="J480" s="188">
        <f ca="1">IFERROR(__xludf.DUMMYFUNCTION("IMPORTRANGE(""https://docs.google.com/spreadsheets/d/11923uPwbBZFjjGgGUA6NLw09EwE0CqkOc4q9oUmW1yo/edit?usp=sharing"",""เพชรบูรณ์!J375"")"),85)</f>
        <v>85</v>
      </c>
      <c r="K480" s="163">
        <f t="shared" ca="1" si="117"/>
        <v>0</v>
      </c>
      <c r="L480" s="181"/>
      <c r="M480" s="181"/>
      <c r="N480" s="181"/>
      <c r="O480" s="181"/>
      <c r="P480" s="181"/>
    </row>
    <row r="481" spans="1:16" ht="21.75" customHeight="1" x14ac:dyDescent="0.3">
      <c r="A481" s="421"/>
      <c r="B481" s="422"/>
      <c r="C481" s="422"/>
      <c r="D481" s="423"/>
      <c r="E481" s="424" t="s">
        <v>175</v>
      </c>
      <c r="F481" s="425"/>
      <c r="G481" s="426"/>
      <c r="H481" s="427" t="s">
        <v>122</v>
      </c>
      <c r="I481" s="418">
        <f ca="1">IFERROR(__xludf.DUMMYFUNCTION("IMPORTRANGE(""https://docs.google.com/spreadsheets/d/11923uPwbBZFjjGgGUA6NLw09EwE0CqkOc4q9oUmW1yo/edit?usp=sharing"",""เพชรบูรณ์!I376"")"),55704)</f>
        <v>55704</v>
      </c>
      <c r="J481" s="418">
        <f ca="1">IFERROR(__xludf.DUMMYFUNCTION("IMPORTRANGE(""https://docs.google.com/spreadsheets/d/11923uPwbBZFjjGgGUA6NLw09EwE0CqkOc4q9oUmW1yo/edit?usp=sharing"",""เพชรบูรณ์!J376"")"),0)</f>
        <v>0</v>
      </c>
      <c r="K481" s="201">
        <f t="shared" ca="1" si="117"/>
        <v>0</v>
      </c>
      <c r="L481" s="428"/>
      <c r="M481" s="428"/>
      <c r="N481" s="428"/>
      <c r="O481" s="428"/>
      <c r="P481" s="428"/>
    </row>
    <row r="482" spans="1:16" ht="21.75" customHeight="1" x14ac:dyDescent="0.3">
      <c r="A482" s="400"/>
      <c r="B482" s="401"/>
      <c r="C482" s="401"/>
      <c r="D482" s="402"/>
      <c r="E482" s="195"/>
      <c r="F482" s="195"/>
      <c r="G482" s="196"/>
      <c r="H482" s="416" t="s">
        <v>36</v>
      </c>
      <c r="I482" s="417">
        <f ca="1">IFERROR(__xludf.DUMMYFUNCTION("IMPORTRANGE(""https://docs.google.com/spreadsheets/d/11923uPwbBZFjjGgGUA6NLw09EwE0CqkOc4q9oUmW1yo/edit?usp=sharing"",""เพชรบูรณ์!I377"")"),3219)</f>
        <v>3219</v>
      </c>
      <c r="J482" s="418">
        <f ca="1">IFERROR(__xludf.DUMMYFUNCTION("IMPORTRANGE(""https://docs.google.com/spreadsheets/d/11923uPwbBZFjjGgGUA6NLw09EwE0CqkOc4q9oUmW1yo/edit?usp=sharing"",""เพชรบูรณ์!J377"")"),0)</f>
        <v>0</v>
      </c>
      <c r="K482" s="163">
        <f t="shared" ca="1" si="117"/>
        <v>0</v>
      </c>
      <c r="L482" s="181"/>
      <c r="M482" s="181"/>
      <c r="N482" s="181"/>
      <c r="O482" s="181"/>
      <c r="P482" s="181"/>
    </row>
    <row r="483" spans="1:16" ht="21.75" customHeight="1" x14ac:dyDescent="0.3">
      <c r="A483" s="400"/>
      <c r="B483" s="401"/>
      <c r="C483" s="401"/>
      <c r="D483" s="402"/>
      <c r="E483" s="195"/>
      <c r="F483" s="194" t="s">
        <v>176</v>
      </c>
      <c r="G483" s="419"/>
      <c r="H483" s="420" t="s">
        <v>122</v>
      </c>
      <c r="I483" s="202">
        <f ca="1">IFERROR(__xludf.DUMMYFUNCTION("IMPORTRANGE(""https://docs.google.com/spreadsheets/d/11923uPwbBZFjjGgGUA6NLw09EwE0CqkOc4q9oUmW1yo/edit?usp=sharing"",""เพชรบูรณ์!I378"")"),0)</f>
        <v>0</v>
      </c>
      <c r="J483" s="188">
        <f ca="1">IFERROR(__xludf.DUMMYFUNCTION("IMPORTRANGE(""https://docs.google.com/spreadsheets/d/11923uPwbBZFjjGgGUA6NLw09EwE0CqkOc4q9oUmW1yo/edit?usp=sharing"",""เพชรบูรณ์!J378"")"),0)</f>
        <v>0</v>
      </c>
      <c r="K483" s="163">
        <f t="shared" ca="1" si="117"/>
        <v>0</v>
      </c>
      <c r="L483" s="181"/>
      <c r="M483" s="181"/>
      <c r="N483" s="181"/>
      <c r="O483" s="181"/>
      <c r="P483" s="181"/>
    </row>
    <row r="484" spans="1:16" ht="21.75" customHeight="1" x14ac:dyDescent="0.3">
      <c r="A484" s="400"/>
      <c r="B484" s="401"/>
      <c r="C484" s="401"/>
      <c r="D484" s="402"/>
      <c r="E484" s="195"/>
      <c r="F484" s="195"/>
      <c r="G484" s="419"/>
      <c r="H484" s="420" t="s">
        <v>36</v>
      </c>
      <c r="I484" s="202">
        <f ca="1">IFERROR(__xludf.DUMMYFUNCTION("IMPORTRANGE(""https://docs.google.com/spreadsheets/d/11923uPwbBZFjjGgGUA6NLw09EwE0CqkOc4q9oUmW1yo/edit?usp=sharing"",""เพชรบูรณ์!I379"")"),0)</f>
        <v>0</v>
      </c>
      <c r="J484" s="188">
        <f ca="1">IFERROR(__xludf.DUMMYFUNCTION("IMPORTRANGE(""https://docs.google.com/spreadsheets/d/11923uPwbBZFjjGgGUA6NLw09EwE0CqkOc4q9oUmW1yo/edit?usp=sharing"",""เพชรบูรณ์!J379"")"),0)</f>
        <v>0</v>
      </c>
      <c r="K484" s="163">
        <f t="shared" ca="1" si="117"/>
        <v>0</v>
      </c>
      <c r="L484" s="181"/>
      <c r="M484" s="181"/>
      <c r="N484" s="181"/>
      <c r="O484" s="181"/>
      <c r="P484" s="181"/>
    </row>
    <row r="485" spans="1:16" ht="21.75" customHeight="1" x14ac:dyDescent="0.3">
      <c r="A485" s="400"/>
      <c r="B485" s="401"/>
      <c r="C485" s="401"/>
      <c r="D485" s="402"/>
      <c r="E485" s="195"/>
      <c r="F485" s="194" t="s">
        <v>177</v>
      </c>
      <c r="G485" s="419"/>
      <c r="H485" s="420" t="s">
        <v>122</v>
      </c>
      <c r="I485" s="202">
        <f ca="1">IFERROR(__xludf.DUMMYFUNCTION("IMPORTRANGE(""https://docs.google.com/spreadsheets/d/11923uPwbBZFjjGgGUA6NLw09EwE0CqkOc4q9oUmW1yo/edit?usp=sharing"",""เพชรบูรณ์!I380"")"),0)</f>
        <v>0</v>
      </c>
      <c r="J485" s="188">
        <f ca="1">IFERROR(__xludf.DUMMYFUNCTION("IMPORTRANGE(""https://docs.google.com/spreadsheets/d/11923uPwbBZFjjGgGUA6NLw09EwE0CqkOc4q9oUmW1yo/edit?usp=sharing"",""เพชรบูรณ์!J380"")"),0)</f>
        <v>0</v>
      </c>
      <c r="K485" s="163">
        <f t="shared" ca="1" si="117"/>
        <v>0</v>
      </c>
      <c r="L485" s="181"/>
      <c r="M485" s="181"/>
      <c r="N485" s="181"/>
      <c r="O485" s="181"/>
      <c r="P485" s="181"/>
    </row>
    <row r="486" spans="1:16" ht="21.75" customHeight="1" x14ac:dyDescent="0.3">
      <c r="A486" s="400"/>
      <c r="B486" s="401"/>
      <c r="C486" s="401"/>
      <c r="D486" s="402"/>
      <c r="E486" s="195"/>
      <c r="F486" s="195"/>
      <c r="G486" s="419"/>
      <c r="H486" s="420" t="s">
        <v>36</v>
      </c>
      <c r="I486" s="202">
        <f ca="1">IFERROR(__xludf.DUMMYFUNCTION("IMPORTRANGE(""https://docs.google.com/spreadsheets/d/11923uPwbBZFjjGgGUA6NLw09EwE0CqkOc4q9oUmW1yo/edit?usp=sharing"",""เพชรบูรณ์!I381"")"),0)</f>
        <v>0</v>
      </c>
      <c r="J486" s="188">
        <f ca="1">IFERROR(__xludf.DUMMYFUNCTION("IMPORTRANGE(""https://docs.google.com/spreadsheets/d/11923uPwbBZFjjGgGUA6NLw09EwE0CqkOc4q9oUmW1yo/edit?usp=sharing"",""เพชรบูรณ์!J381"")"),0)</f>
        <v>0</v>
      </c>
      <c r="K486" s="163">
        <f t="shared" ca="1" si="117"/>
        <v>0</v>
      </c>
      <c r="L486" s="181"/>
      <c r="M486" s="181"/>
      <c r="N486" s="181"/>
      <c r="O486" s="181"/>
      <c r="P486" s="181"/>
    </row>
    <row r="487" spans="1:16" ht="21.75" customHeight="1" x14ac:dyDescent="0.3">
      <c r="A487" s="400"/>
      <c r="B487" s="401"/>
      <c r="C487" s="401"/>
      <c r="D487" s="402"/>
      <c r="E487" s="195"/>
      <c r="F487" s="194" t="s">
        <v>178</v>
      </c>
      <c r="G487" s="419"/>
      <c r="H487" s="420" t="s">
        <v>122</v>
      </c>
      <c r="I487" s="202">
        <f ca="1">IFERROR(__xludf.DUMMYFUNCTION("IMPORTRANGE(""https://docs.google.com/spreadsheets/d/11923uPwbBZFjjGgGUA6NLw09EwE0CqkOc4q9oUmW1yo/edit?usp=sharing"",""เพชรบูรณ์!I382"")"),0)</f>
        <v>0</v>
      </c>
      <c r="J487" s="418">
        <f ca="1">IFERROR(__xludf.DUMMYFUNCTION("IMPORTRANGE(""https://docs.google.com/spreadsheets/d/11923uPwbBZFjjGgGUA6NLw09EwE0CqkOc4q9oUmW1yo/edit?usp=sharing"",""เพชรบูรณ์!J382"")"),0)</f>
        <v>0</v>
      </c>
      <c r="K487" s="163">
        <f t="shared" ca="1" si="117"/>
        <v>0</v>
      </c>
      <c r="L487" s="181"/>
      <c r="M487" s="181"/>
      <c r="N487" s="181"/>
      <c r="O487" s="181"/>
      <c r="P487" s="181"/>
    </row>
    <row r="488" spans="1:16" ht="21.75" customHeight="1" x14ac:dyDescent="0.3">
      <c r="A488" s="400"/>
      <c r="B488" s="401"/>
      <c r="C488" s="401"/>
      <c r="D488" s="402"/>
      <c r="E488" s="195"/>
      <c r="F488" s="195"/>
      <c r="G488" s="195"/>
      <c r="H488" s="420" t="s">
        <v>36</v>
      </c>
      <c r="I488" s="202">
        <f ca="1">IFERROR(__xludf.DUMMYFUNCTION("IMPORTRANGE(""https://docs.google.com/spreadsheets/d/11923uPwbBZFjjGgGUA6NLw09EwE0CqkOc4q9oUmW1yo/edit?usp=sharing"",""เพชรบูรณ์!I383"")"),0)</f>
        <v>0</v>
      </c>
      <c r="J488" s="418">
        <f ca="1">IFERROR(__xludf.DUMMYFUNCTION("IMPORTRANGE(""https://docs.google.com/spreadsheets/d/11923uPwbBZFjjGgGUA6NLw09EwE0CqkOc4q9oUmW1yo/edit?usp=sharing"",""เพชรบูรณ์!J383"")"),0)</f>
        <v>0</v>
      </c>
      <c r="K488" s="163">
        <f t="shared" ca="1" si="117"/>
        <v>0</v>
      </c>
      <c r="L488" s="181"/>
      <c r="M488" s="181"/>
      <c r="N488" s="181"/>
      <c r="O488" s="181"/>
      <c r="P488" s="181"/>
    </row>
    <row r="489" spans="1:16" ht="21.75" customHeight="1" x14ac:dyDescent="0.3">
      <c r="A489" s="400"/>
      <c r="B489" s="401"/>
      <c r="C489" s="401"/>
      <c r="D489" s="402"/>
      <c r="E489" s="195"/>
      <c r="F489" s="195"/>
      <c r="G489" s="194" t="s">
        <v>179</v>
      </c>
      <c r="H489" s="420" t="s">
        <v>122</v>
      </c>
      <c r="I489" s="202">
        <f ca="1">IFERROR(__xludf.DUMMYFUNCTION("IMPORTRANGE(""https://docs.google.com/spreadsheets/d/11923uPwbBZFjjGgGUA6NLw09EwE0CqkOc4q9oUmW1yo/edit?usp=sharing"",""เพชรบูรณ์!I384"")"),0)</f>
        <v>0</v>
      </c>
      <c r="J489" s="188">
        <f ca="1">IFERROR(__xludf.DUMMYFUNCTION("IMPORTRANGE(""https://docs.google.com/spreadsheets/d/11923uPwbBZFjjGgGUA6NLw09EwE0CqkOc4q9oUmW1yo/edit?usp=sharing"",""เพชรบูรณ์!J384"")"),0)</f>
        <v>0</v>
      </c>
      <c r="K489" s="163">
        <f t="shared" ca="1" si="117"/>
        <v>0</v>
      </c>
      <c r="L489" s="181"/>
      <c r="M489" s="181"/>
      <c r="N489" s="181"/>
      <c r="O489" s="181"/>
      <c r="P489" s="181"/>
    </row>
    <row r="490" spans="1:16" ht="21.75" customHeight="1" x14ac:dyDescent="0.3">
      <c r="A490" s="400"/>
      <c r="B490" s="401"/>
      <c r="C490" s="401"/>
      <c r="D490" s="402"/>
      <c r="E490" s="195"/>
      <c r="F490" s="195"/>
      <c r="G490" s="195"/>
      <c r="H490" s="420" t="s">
        <v>36</v>
      </c>
      <c r="I490" s="202">
        <f ca="1">IFERROR(__xludf.DUMMYFUNCTION("IMPORTRANGE(""https://docs.google.com/spreadsheets/d/11923uPwbBZFjjGgGUA6NLw09EwE0CqkOc4q9oUmW1yo/edit?usp=sharing"",""เพชรบูรณ์!I385"")"),0)</f>
        <v>0</v>
      </c>
      <c r="J490" s="188">
        <f ca="1">IFERROR(__xludf.DUMMYFUNCTION("IMPORTRANGE(""https://docs.google.com/spreadsheets/d/11923uPwbBZFjjGgGUA6NLw09EwE0CqkOc4q9oUmW1yo/edit?usp=sharing"",""เพชรบูรณ์!J385"")"),0)</f>
        <v>0</v>
      </c>
      <c r="K490" s="163">
        <f t="shared" ca="1" si="117"/>
        <v>0</v>
      </c>
      <c r="L490" s="181"/>
      <c r="M490" s="181"/>
      <c r="N490" s="181"/>
      <c r="O490" s="181"/>
      <c r="P490" s="181"/>
    </row>
    <row r="491" spans="1:16" ht="21.75" customHeight="1" x14ac:dyDescent="0.3">
      <c r="A491" s="400"/>
      <c r="B491" s="401"/>
      <c r="C491" s="401"/>
      <c r="D491" s="402"/>
      <c r="E491" s="195"/>
      <c r="F491" s="195"/>
      <c r="G491" s="194" t="s">
        <v>180</v>
      </c>
      <c r="H491" s="420" t="s">
        <v>122</v>
      </c>
      <c r="I491" s="202">
        <f ca="1">IFERROR(__xludf.DUMMYFUNCTION("IMPORTRANGE(""https://docs.google.com/spreadsheets/d/11923uPwbBZFjjGgGUA6NLw09EwE0CqkOc4q9oUmW1yo/edit?usp=sharing"",""เพชรบูรณ์!I386"")"),0)</f>
        <v>0</v>
      </c>
      <c r="J491" s="188">
        <f ca="1">IFERROR(__xludf.DUMMYFUNCTION("IMPORTRANGE(""https://docs.google.com/spreadsheets/d/11923uPwbBZFjjGgGUA6NLw09EwE0CqkOc4q9oUmW1yo/edit?usp=sharing"",""เพชรบูรณ์!J386"")"),0)</f>
        <v>0</v>
      </c>
      <c r="K491" s="163">
        <f t="shared" ca="1" si="117"/>
        <v>0</v>
      </c>
      <c r="L491" s="181"/>
      <c r="M491" s="181"/>
      <c r="N491" s="181"/>
      <c r="O491" s="181"/>
      <c r="P491" s="181"/>
    </row>
    <row r="492" spans="1:16" ht="21.75" customHeight="1" x14ac:dyDescent="0.3">
      <c r="A492" s="400"/>
      <c r="B492" s="401"/>
      <c r="C492" s="401"/>
      <c r="D492" s="402"/>
      <c r="E492" s="195"/>
      <c r="F492" s="195"/>
      <c r="G492" s="196"/>
      <c r="H492" s="420" t="s">
        <v>36</v>
      </c>
      <c r="I492" s="202">
        <f ca="1">IFERROR(__xludf.DUMMYFUNCTION("IMPORTRANGE(""https://docs.google.com/spreadsheets/d/11923uPwbBZFjjGgGUA6NLw09EwE0CqkOc4q9oUmW1yo/edit?usp=sharing"",""เพชรบูรณ์!I387"")"),0)</f>
        <v>0</v>
      </c>
      <c r="J492" s="188">
        <f ca="1">IFERROR(__xludf.DUMMYFUNCTION("IMPORTRANGE(""https://docs.google.com/spreadsheets/d/11923uPwbBZFjjGgGUA6NLw09EwE0CqkOc4q9oUmW1yo/edit?usp=sharing"",""เพชรบูรณ์!J387"")"),0)</f>
        <v>0</v>
      </c>
      <c r="K492" s="163">
        <f t="shared" ca="1" si="117"/>
        <v>0</v>
      </c>
      <c r="L492" s="181"/>
      <c r="M492" s="181"/>
      <c r="N492" s="181"/>
      <c r="O492" s="181"/>
      <c r="P492" s="181"/>
    </row>
    <row r="493" spans="1:16" ht="21.75" customHeight="1" x14ac:dyDescent="0.3">
      <c r="A493" s="400"/>
      <c r="B493" s="401"/>
      <c r="C493" s="401"/>
      <c r="D493" s="402"/>
      <c r="E493" s="195"/>
      <c r="F493" s="194" t="s">
        <v>181</v>
      </c>
      <c r="G493" s="419"/>
      <c r="H493" s="420" t="s">
        <v>122</v>
      </c>
      <c r="I493" s="202">
        <f ca="1">IFERROR(__xludf.DUMMYFUNCTION("IMPORTRANGE(""https://docs.google.com/spreadsheets/d/11923uPwbBZFjjGgGUA6NLw09EwE0CqkOc4q9oUmW1yo/edit?usp=sharing"",""เพชรบูรณ์!I388"")"),0)</f>
        <v>0</v>
      </c>
      <c r="J493" s="188">
        <f ca="1">IFERROR(__xludf.DUMMYFUNCTION("IMPORTRANGE(""https://docs.google.com/spreadsheets/d/11923uPwbBZFjjGgGUA6NLw09EwE0CqkOc4q9oUmW1yo/edit?usp=sharing"",""เพชรบูรณ์!J388"")"),0)</f>
        <v>0</v>
      </c>
      <c r="K493" s="163">
        <f t="shared" ca="1" si="117"/>
        <v>0</v>
      </c>
      <c r="L493" s="181"/>
      <c r="M493" s="181"/>
      <c r="N493" s="181"/>
      <c r="O493" s="181"/>
      <c r="P493" s="181"/>
    </row>
    <row r="494" spans="1:16" ht="21.75" customHeight="1" x14ac:dyDescent="0.3">
      <c r="A494" s="429"/>
      <c r="B494" s="430"/>
      <c r="C494" s="430"/>
      <c r="D494" s="431"/>
      <c r="E494" s="345"/>
      <c r="F494" s="345"/>
      <c r="G494" s="345"/>
      <c r="H494" s="432" t="s">
        <v>36</v>
      </c>
      <c r="I494" s="433">
        <f ca="1">IFERROR(__xludf.DUMMYFUNCTION("IMPORTRANGE(""https://docs.google.com/spreadsheets/d/11923uPwbBZFjjGgGUA6NLw09EwE0CqkOc4q9oUmW1yo/edit?usp=sharing"",""เพชรบูรณ์!I389"")"),0)</f>
        <v>0</v>
      </c>
      <c r="J494" s="434">
        <f ca="1">IFERROR(__xludf.DUMMYFUNCTION("IMPORTRANGE(""https://docs.google.com/spreadsheets/d/11923uPwbBZFjjGgGUA6NLw09EwE0CqkOc4q9oUmW1yo/edit?usp=sharing"",""เพชรบูรณ์!J389"")"),0)</f>
        <v>0</v>
      </c>
      <c r="K494" s="286">
        <f t="shared" ca="1" si="117"/>
        <v>0</v>
      </c>
      <c r="L494" s="244"/>
      <c r="M494" s="244"/>
      <c r="N494" s="244"/>
      <c r="O494" s="244"/>
      <c r="P494" s="244"/>
    </row>
    <row r="495" spans="1:16" ht="21.75" customHeight="1" x14ac:dyDescent="0.3">
      <c r="A495" s="400"/>
      <c r="B495" s="401"/>
      <c r="C495" s="401"/>
      <c r="D495" s="402"/>
      <c r="E495" s="195"/>
      <c r="F495" s="195">
        <v>3.5</v>
      </c>
      <c r="G495" s="419" t="s">
        <v>182</v>
      </c>
      <c r="H495" s="420" t="s">
        <v>122</v>
      </c>
      <c r="I495" s="433">
        <f ca="1">IFERROR(__xludf.DUMMYFUNCTION("IMPORTRANGE(""https://docs.google.com/spreadsheets/d/11923uPwbBZFjjGgGUA6NLw09EwE0CqkOc4q9oUmW1yo/edit?usp=sharing"",""เพชรบูรณ์!I390"")"),0)</f>
        <v>0</v>
      </c>
      <c r="J495" s="434">
        <f ca="1">IFERROR(__xludf.DUMMYFUNCTION("IMPORTRANGE(""https://docs.google.com/spreadsheets/d/11923uPwbBZFjjGgGUA6NLw09EwE0CqkOc4q9oUmW1yo/edit?usp=sharing"",""เพชรบูรณ์!J390"")"),0)</f>
        <v>0</v>
      </c>
      <c r="K495" s="163">
        <f t="shared" ca="1" si="117"/>
        <v>0</v>
      </c>
      <c r="L495" s="181"/>
      <c r="M495" s="181"/>
      <c r="N495" s="181"/>
      <c r="O495" s="181"/>
      <c r="P495" s="181"/>
    </row>
    <row r="496" spans="1:16" ht="21.75" customHeight="1" x14ac:dyDescent="0.3">
      <c r="A496" s="429"/>
      <c r="B496" s="430"/>
      <c r="C496" s="430"/>
      <c r="D496" s="431"/>
      <c r="E496" s="345"/>
      <c r="F496" s="345"/>
      <c r="G496" s="345"/>
      <c r="H496" s="432" t="s">
        <v>36</v>
      </c>
      <c r="I496" s="433">
        <f ca="1">IFERROR(__xludf.DUMMYFUNCTION("IMPORTRANGE(""https://docs.google.com/spreadsheets/d/11923uPwbBZFjjGgGUA6NLw09EwE0CqkOc4q9oUmW1yo/edit?usp=sharing"",""เพชรบูรณ์!I391"")"),0)</f>
        <v>0</v>
      </c>
      <c r="J496" s="434">
        <f ca="1">IFERROR(__xludf.DUMMYFUNCTION("IMPORTRANGE(""https://docs.google.com/spreadsheets/d/11923uPwbBZFjjGgGUA6NLw09EwE0CqkOc4q9oUmW1yo/edit?usp=sharing"",""เพชรบูรณ์!J391"")"),0)</f>
        <v>0</v>
      </c>
      <c r="K496" s="286">
        <f t="shared" ca="1" si="117"/>
        <v>0</v>
      </c>
      <c r="L496" s="244"/>
      <c r="M496" s="244"/>
      <c r="N496" s="244"/>
      <c r="O496" s="244"/>
      <c r="P496" s="244"/>
    </row>
    <row r="497" spans="1:16" ht="21.75" customHeight="1" x14ac:dyDescent="0.3">
      <c r="A497" s="435"/>
      <c r="B497" s="436"/>
      <c r="C497" s="437" t="s">
        <v>183</v>
      </c>
      <c r="D497" s="437"/>
      <c r="E497" s="438"/>
      <c r="F497" s="438"/>
      <c r="G497" s="439"/>
      <c r="H497" s="440" t="s">
        <v>122</v>
      </c>
      <c r="I497" s="441">
        <f ca="1">IFERROR(__xludf.DUMMYFUNCTION("IMPORTRANGE(""https://docs.google.com/spreadsheets/d/11923uPwbBZFjjGgGUA6NLw09EwE0CqkOc4q9oUmW1yo/edit?usp=sharing"",""เพชรบูรณ์!I392"")"),3349)</f>
        <v>3349</v>
      </c>
      <c r="J497" s="441">
        <f ca="1">IFERROR(__xludf.DUMMYFUNCTION("IMPORTRANGE(""https://docs.google.com/spreadsheets/d/11923uPwbBZFjjGgGUA6NLw09EwE0CqkOc4q9oUmW1yo/edit?usp=sharing"",""เพชรบูรณ์!J392"")"),708)</f>
        <v>708</v>
      </c>
      <c r="K497" s="442">
        <f t="shared" ca="1" si="117"/>
        <v>21.140638996715438</v>
      </c>
      <c r="L497" s="443"/>
      <c r="M497" s="443"/>
      <c r="N497" s="443"/>
      <c r="O497" s="443"/>
      <c r="P497" s="443"/>
    </row>
    <row r="498" spans="1:16" ht="21.75" customHeight="1" x14ac:dyDescent="0.3">
      <c r="A498" s="175"/>
      <c r="B498" s="176"/>
      <c r="C498" s="176"/>
      <c r="D498" s="402"/>
      <c r="E498" s="444" t="s">
        <v>184</v>
      </c>
      <c r="F498" s="445"/>
      <c r="G498" s="446"/>
      <c r="H498" s="447" t="s">
        <v>122</v>
      </c>
      <c r="I498" s="418">
        <f ca="1">IFERROR(__xludf.DUMMYFUNCTION("IMPORTRANGE(""https://docs.google.com/spreadsheets/d/11923uPwbBZFjjGgGUA6NLw09EwE0CqkOc4q9oUmW1yo/edit?usp=sharing"",""เพชรบูรณ์!I393"")"),3349)</f>
        <v>3349</v>
      </c>
      <c r="J498" s="418">
        <f ca="1">IFERROR(__xludf.DUMMYFUNCTION("IMPORTRANGE(""https://docs.google.com/spreadsheets/d/11923uPwbBZFjjGgGUA6NLw09EwE0CqkOc4q9oUmW1yo/edit?usp=sharing"",""เพชรบูรณ์!J393"")"),708)</f>
        <v>708</v>
      </c>
      <c r="K498" s="163">
        <f t="shared" ca="1" si="117"/>
        <v>21.140638996715438</v>
      </c>
      <c r="L498" s="181"/>
      <c r="M498" s="181"/>
      <c r="N498" s="181"/>
      <c r="O498" s="181"/>
      <c r="P498" s="181"/>
    </row>
    <row r="499" spans="1:16" ht="21.75" customHeight="1" x14ac:dyDescent="0.3">
      <c r="A499" s="175"/>
      <c r="B499" s="176"/>
      <c r="C499" s="176"/>
      <c r="D499" s="193"/>
      <c r="E499" s="445"/>
      <c r="F499" s="445"/>
      <c r="G499" s="446"/>
      <c r="H499" s="447" t="s">
        <v>36</v>
      </c>
      <c r="I499" s="418">
        <f ca="1">IFERROR(__xludf.DUMMYFUNCTION("IMPORTRANGE(""https://docs.google.com/spreadsheets/d/11923uPwbBZFjjGgGUA6NLw09EwE0CqkOc4q9oUmW1yo/edit?usp=sharing"",""เพชรบูรณ์!I394"")"),281)</f>
        <v>281</v>
      </c>
      <c r="J499" s="418">
        <f ca="1">IFERROR(__xludf.DUMMYFUNCTION("IMPORTRANGE(""https://docs.google.com/spreadsheets/d/11923uPwbBZFjjGgGUA6NLw09EwE0CqkOc4q9oUmW1yo/edit?usp=sharing"",""เพชรบูรณ์!J394"")"),62)</f>
        <v>62</v>
      </c>
      <c r="K499" s="201">
        <f t="shared" ca="1" si="117"/>
        <v>22.064056939501778</v>
      </c>
      <c r="L499" s="181"/>
      <c r="M499" s="181"/>
      <c r="N499" s="181"/>
      <c r="O499" s="181"/>
      <c r="P499" s="181"/>
    </row>
    <row r="500" spans="1:16" ht="21.75" customHeight="1" x14ac:dyDescent="0.3">
      <c r="A500" s="175"/>
      <c r="B500" s="176"/>
      <c r="C500" s="176"/>
      <c r="D500" s="402"/>
      <c r="E500" s="402" t="s">
        <v>185</v>
      </c>
      <c r="F500" s="195"/>
      <c r="G500" s="196"/>
      <c r="H500" s="420" t="s">
        <v>122</v>
      </c>
      <c r="I500" s="202">
        <f ca="1">IFERROR(__xludf.DUMMYFUNCTION("IMPORTRANGE(""https://docs.google.com/spreadsheets/d/11923uPwbBZFjjGgGUA6NLw09EwE0CqkOc4q9oUmW1yo/edit?usp=sharing"",""เพชรบูรณ์!I395"")"),0)</f>
        <v>0</v>
      </c>
      <c r="J500" s="162">
        <f ca="1">IFERROR(__xludf.DUMMYFUNCTION("IMPORTRANGE(""https://docs.google.com/spreadsheets/d/11923uPwbBZFjjGgGUA6NLw09EwE0CqkOc4q9oUmW1yo/edit?usp=sharing"",""เพชรบูรณ์!J395"")"),693)</f>
        <v>693</v>
      </c>
      <c r="K500" s="163">
        <f t="shared" ca="1" si="117"/>
        <v>0</v>
      </c>
      <c r="L500" s="181"/>
      <c r="M500" s="181"/>
      <c r="N500" s="181"/>
      <c r="O500" s="181"/>
      <c r="P500" s="181"/>
    </row>
    <row r="501" spans="1:16" ht="21.75" customHeight="1" x14ac:dyDescent="0.3">
      <c r="A501" s="175"/>
      <c r="B501" s="176"/>
      <c r="C501" s="176"/>
      <c r="D501" s="193"/>
      <c r="E501" s="195"/>
      <c r="F501" s="195"/>
      <c r="G501" s="196"/>
      <c r="H501" s="420" t="s">
        <v>36</v>
      </c>
      <c r="I501" s="202">
        <f ca="1">IFERROR(__xludf.DUMMYFUNCTION("IMPORTRANGE(""https://docs.google.com/spreadsheets/d/11923uPwbBZFjjGgGUA6NLw09EwE0CqkOc4q9oUmW1yo/edit?usp=sharing"",""เพชรบูรณ์!I396"")"),0)</f>
        <v>0</v>
      </c>
      <c r="J501" s="162">
        <f ca="1">IFERROR(__xludf.DUMMYFUNCTION("IMPORTRANGE(""https://docs.google.com/spreadsheets/d/11923uPwbBZFjjGgGUA6NLw09EwE0CqkOc4q9oUmW1yo/edit?usp=sharing"",""เพชรบูรณ์!J396"")"),59)</f>
        <v>59</v>
      </c>
      <c r="K501" s="163">
        <f t="shared" ca="1" si="117"/>
        <v>0</v>
      </c>
      <c r="L501" s="181"/>
      <c r="M501" s="181"/>
      <c r="N501" s="181"/>
      <c r="O501" s="181"/>
      <c r="P501" s="181"/>
    </row>
    <row r="502" spans="1:16" ht="21.75" customHeight="1" x14ac:dyDescent="0.3">
      <c r="A502" s="175"/>
      <c r="B502" s="176"/>
      <c r="C502" s="176"/>
      <c r="D502" s="193"/>
      <c r="E502" s="195"/>
      <c r="F502" s="397" t="s">
        <v>186</v>
      </c>
      <c r="G502" s="419"/>
      <c r="H502" s="420" t="s">
        <v>122</v>
      </c>
      <c r="I502" s="202">
        <f ca="1">IFERROR(__xludf.DUMMYFUNCTION("IMPORTRANGE(""https://docs.google.com/spreadsheets/d/11923uPwbBZFjjGgGUA6NLw09EwE0CqkOc4q9oUmW1yo/edit?usp=sharing"",""เพชรบูรณ์!I397"")"),0)</f>
        <v>0</v>
      </c>
      <c r="J502" s="188">
        <f ca="1">IFERROR(__xludf.DUMMYFUNCTION("IMPORTRANGE(""https://docs.google.com/spreadsheets/d/11923uPwbBZFjjGgGUA6NLw09EwE0CqkOc4q9oUmW1yo/edit?usp=sharing"",""เพชรบูรณ์!J397"")"),614)</f>
        <v>614</v>
      </c>
      <c r="K502" s="163">
        <f t="shared" ca="1" si="117"/>
        <v>0</v>
      </c>
      <c r="L502" s="181"/>
      <c r="M502" s="181"/>
      <c r="N502" s="181"/>
      <c r="O502" s="181"/>
      <c r="P502" s="181"/>
    </row>
    <row r="503" spans="1:16" ht="21.75" customHeight="1" x14ac:dyDescent="0.3">
      <c r="A503" s="175"/>
      <c r="B503" s="176"/>
      <c r="C503" s="176"/>
      <c r="D503" s="193"/>
      <c r="E503" s="195"/>
      <c r="F503" s="195"/>
      <c r="G503" s="419"/>
      <c r="H503" s="420" t="s">
        <v>36</v>
      </c>
      <c r="I503" s="187">
        <f ca="1">IFERROR(__xludf.DUMMYFUNCTION("IMPORTRANGE(""https://docs.google.com/spreadsheets/d/11923uPwbBZFjjGgGUA6NLw09EwE0CqkOc4q9oUmW1yo/edit?usp=sharing"",""เพชรบูรณ์!I398"")"),0)</f>
        <v>0</v>
      </c>
      <c r="J503" s="197">
        <f ca="1">IFERROR(__xludf.DUMMYFUNCTION("IMPORTRANGE(""https://docs.google.com/spreadsheets/d/11923uPwbBZFjjGgGUA6NLw09EwE0CqkOc4q9oUmW1yo/edit?usp=sharing"",""เพชรบูรณ์!J398"")"),53)</f>
        <v>53</v>
      </c>
      <c r="K503" s="163">
        <f t="shared" ca="1" si="117"/>
        <v>0</v>
      </c>
      <c r="L503" s="181"/>
      <c r="M503" s="181"/>
      <c r="N503" s="181"/>
      <c r="O503" s="181"/>
      <c r="P503" s="181"/>
    </row>
    <row r="504" spans="1:16" ht="21.75" customHeight="1" x14ac:dyDescent="0.3">
      <c r="A504" s="175"/>
      <c r="B504" s="176"/>
      <c r="C504" s="176"/>
      <c r="D504" s="193"/>
      <c r="E504" s="195"/>
      <c r="F504" s="388" t="s">
        <v>187</v>
      </c>
      <c r="G504" s="419"/>
      <c r="H504" s="420" t="s">
        <v>122</v>
      </c>
      <c r="I504" s="203">
        <f ca="1">IFERROR(__xludf.DUMMYFUNCTION("IMPORTRANGE(""https://docs.google.com/spreadsheets/d/11923uPwbBZFjjGgGUA6NLw09EwE0CqkOc4q9oUmW1yo/edit?usp=sharing"",""เพชรบูรณ์!I399"")"),0)</f>
        <v>0</v>
      </c>
      <c r="J504" s="188">
        <f ca="1">IFERROR(__xludf.DUMMYFUNCTION("IMPORTRANGE(""https://docs.google.com/spreadsheets/d/11923uPwbBZFjjGgGUA6NLw09EwE0CqkOc4q9oUmW1yo/edit?usp=sharing"",""เพชรบูรณ์!J399"")"),79)</f>
        <v>79</v>
      </c>
      <c r="K504" s="163">
        <f t="shared" ca="1" si="117"/>
        <v>0</v>
      </c>
      <c r="L504" s="181"/>
      <c r="M504" s="181"/>
      <c r="N504" s="181"/>
      <c r="O504" s="181"/>
      <c r="P504" s="181"/>
    </row>
    <row r="505" spans="1:16" ht="21.75" customHeight="1" x14ac:dyDescent="0.3">
      <c r="A505" s="175"/>
      <c r="B505" s="176"/>
      <c r="C505" s="176"/>
      <c r="D505" s="193"/>
      <c r="E505" s="195"/>
      <c r="F505" s="195"/>
      <c r="G505" s="419"/>
      <c r="H505" s="420" t="s">
        <v>36</v>
      </c>
      <c r="I505" s="187">
        <f ca="1">IFERROR(__xludf.DUMMYFUNCTION("IMPORTRANGE(""https://docs.google.com/spreadsheets/d/11923uPwbBZFjjGgGUA6NLw09EwE0CqkOc4q9oUmW1yo/edit?usp=sharing"",""เพชรบูรณ์!I400"")"),0)</f>
        <v>0</v>
      </c>
      <c r="J505" s="197">
        <f ca="1">IFERROR(__xludf.DUMMYFUNCTION("IMPORTRANGE(""https://docs.google.com/spreadsheets/d/11923uPwbBZFjjGgGUA6NLw09EwE0CqkOc4q9oUmW1yo/edit?usp=sharing"",""เพชรบูรณ์!J400"")"),6)</f>
        <v>6</v>
      </c>
      <c r="K505" s="163">
        <f t="shared" ca="1" si="117"/>
        <v>0</v>
      </c>
      <c r="L505" s="181"/>
      <c r="M505" s="181"/>
      <c r="N505" s="181"/>
      <c r="O505" s="181"/>
      <c r="P505" s="181"/>
    </row>
    <row r="506" spans="1:16" ht="21.75" customHeight="1" x14ac:dyDescent="0.3">
      <c r="A506" s="175"/>
      <c r="B506" s="176"/>
      <c r="C506" s="176"/>
      <c r="D506" s="193"/>
      <c r="E506" s="195"/>
      <c r="F506" s="397" t="s">
        <v>188</v>
      </c>
      <c r="G506" s="419"/>
      <c r="H506" s="420" t="s">
        <v>122</v>
      </c>
      <c r="I506" s="203">
        <f ca="1">IFERROR(__xludf.DUMMYFUNCTION("IMPORTRANGE(""https://docs.google.com/spreadsheets/d/11923uPwbBZFjjGgGUA6NLw09EwE0CqkOc4q9oUmW1yo/edit?usp=sharing"",""เพชรบูรณ์!I401"")"),0)</f>
        <v>0</v>
      </c>
      <c r="J506" s="188">
        <f ca="1">IFERROR(__xludf.DUMMYFUNCTION("IMPORTRANGE(""https://docs.google.com/spreadsheets/d/11923uPwbBZFjjGgGUA6NLw09EwE0CqkOc4q9oUmW1yo/edit?usp=sharing"",""เพชรบูรณ์!J401"")"),0)</f>
        <v>0</v>
      </c>
      <c r="K506" s="163">
        <f t="shared" ca="1" si="117"/>
        <v>0</v>
      </c>
      <c r="L506" s="181"/>
      <c r="M506" s="181"/>
      <c r="N506" s="181"/>
      <c r="O506" s="181"/>
      <c r="P506" s="181"/>
    </row>
    <row r="507" spans="1:16" ht="21.75" customHeight="1" x14ac:dyDescent="0.3">
      <c r="A507" s="175"/>
      <c r="B507" s="176"/>
      <c r="C507" s="176"/>
      <c r="D507" s="193"/>
      <c r="E507" s="195"/>
      <c r="F507" s="195"/>
      <c r="G507" s="195"/>
      <c r="H507" s="420" t="s">
        <v>36</v>
      </c>
      <c r="I507" s="187">
        <f ca="1">IFERROR(__xludf.DUMMYFUNCTION("IMPORTRANGE(""https://docs.google.com/spreadsheets/d/11923uPwbBZFjjGgGUA6NLw09EwE0CqkOc4q9oUmW1yo/edit?usp=sharing"",""เพชรบูรณ์!I402"")"),0)</f>
        <v>0</v>
      </c>
      <c r="J507" s="197">
        <f ca="1">IFERROR(__xludf.DUMMYFUNCTION("IMPORTRANGE(""https://docs.google.com/spreadsheets/d/11923uPwbBZFjjGgGUA6NLw09EwE0CqkOc4q9oUmW1yo/edit?usp=sharing"",""เพชรบูรณ์!J402"")"),0)</f>
        <v>0</v>
      </c>
      <c r="K507" s="163">
        <f t="shared" ca="1" si="117"/>
        <v>0</v>
      </c>
      <c r="L507" s="181"/>
      <c r="M507" s="181"/>
      <c r="N507" s="181"/>
      <c r="O507" s="181"/>
      <c r="P507" s="181"/>
    </row>
    <row r="508" spans="1:16" ht="21.75" customHeight="1" x14ac:dyDescent="0.3">
      <c r="A508" s="175"/>
      <c r="B508" s="176"/>
      <c r="C508" s="176"/>
      <c r="D508" s="193"/>
      <c r="E508" s="194" t="s">
        <v>189</v>
      </c>
      <c r="F508" s="195"/>
      <c r="G508" s="419"/>
      <c r="H508" s="420" t="s">
        <v>122</v>
      </c>
      <c r="I508" s="187">
        <f ca="1">IFERROR(__xludf.DUMMYFUNCTION("IMPORTRANGE(""https://docs.google.com/spreadsheets/d/11923uPwbBZFjjGgGUA6NLw09EwE0CqkOc4q9oUmW1yo/edit?usp=sharing"",""เพชรบูรณ์!I403"")"),0)</f>
        <v>0</v>
      </c>
      <c r="J508" s="162">
        <f ca="1">IFERROR(__xludf.DUMMYFUNCTION("IMPORTRANGE(""https://docs.google.com/spreadsheets/d/11923uPwbBZFjjGgGUA6NLw09EwE0CqkOc4q9oUmW1yo/edit?usp=sharing"",""เพชรบูรณ์!J403"")"),15)</f>
        <v>15</v>
      </c>
      <c r="K508" s="163">
        <f t="shared" ca="1" si="117"/>
        <v>0</v>
      </c>
      <c r="L508" s="181"/>
      <c r="M508" s="181"/>
      <c r="N508" s="181"/>
      <c r="O508" s="181"/>
      <c r="P508" s="181"/>
    </row>
    <row r="509" spans="1:16" ht="21.75" customHeight="1" x14ac:dyDescent="0.3">
      <c r="A509" s="175"/>
      <c r="B509" s="176"/>
      <c r="C509" s="176"/>
      <c r="D509" s="193"/>
      <c r="E509" s="195"/>
      <c r="F509" s="195"/>
      <c r="G509" s="195"/>
      <c r="H509" s="420" t="s">
        <v>36</v>
      </c>
      <c r="I509" s="187">
        <f ca="1">IFERROR(__xludf.DUMMYFUNCTION("IMPORTRANGE(""https://docs.google.com/spreadsheets/d/11923uPwbBZFjjGgGUA6NLw09EwE0CqkOc4q9oUmW1yo/edit?usp=sharing"",""เพชรบูรณ์!I404"")"),0)</f>
        <v>0</v>
      </c>
      <c r="J509" s="162">
        <f ca="1">IFERROR(__xludf.DUMMYFUNCTION("IMPORTRANGE(""https://docs.google.com/spreadsheets/d/11923uPwbBZFjjGgGUA6NLw09EwE0CqkOc4q9oUmW1yo/edit?usp=sharing"",""เพชรบูรณ์!J404"")"),3)</f>
        <v>3</v>
      </c>
      <c r="K509" s="163">
        <f t="shared" ca="1" si="117"/>
        <v>0</v>
      </c>
      <c r="L509" s="181"/>
      <c r="M509" s="181"/>
      <c r="N509" s="181"/>
      <c r="O509" s="181"/>
      <c r="P509" s="181"/>
    </row>
    <row r="510" spans="1:16" ht="21.75" customHeight="1" x14ac:dyDescent="0.3">
      <c r="A510" s="175"/>
      <c r="B510" s="176"/>
      <c r="C510" s="176"/>
      <c r="D510" s="193"/>
      <c r="E510" s="195"/>
      <c r="F510" s="194" t="s">
        <v>190</v>
      </c>
      <c r="G510" s="195"/>
      <c r="H510" s="420" t="s">
        <v>122</v>
      </c>
      <c r="I510" s="187">
        <f ca="1">IFERROR(__xludf.DUMMYFUNCTION("IMPORTRANGE(""https://docs.google.com/spreadsheets/d/11923uPwbBZFjjGgGUA6NLw09EwE0CqkOc4q9oUmW1yo/edit?usp=sharing"",""เพชรบูรณ์!I405"")"),0)</f>
        <v>0</v>
      </c>
      <c r="J510" s="197">
        <f ca="1">IFERROR(__xludf.DUMMYFUNCTION("IMPORTRANGE(""https://docs.google.com/spreadsheets/d/11923uPwbBZFjjGgGUA6NLw09EwE0CqkOc4q9oUmW1yo/edit?usp=sharing"",""เพชรบูรณ์!J405"")"),15)</f>
        <v>15</v>
      </c>
      <c r="K510" s="163">
        <f t="shared" ca="1" si="117"/>
        <v>0</v>
      </c>
      <c r="L510" s="181"/>
      <c r="M510" s="181"/>
      <c r="N510" s="181"/>
      <c r="O510" s="181"/>
      <c r="P510" s="181"/>
    </row>
    <row r="511" spans="1:16" ht="21.75" customHeight="1" x14ac:dyDescent="0.3">
      <c r="A511" s="175"/>
      <c r="B511" s="176"/>
      <c r="C511" s="176"/>
      <c r="D511" s="193"/>
      <c r="E511" s="195"/>
      <c r="F511" s="195"/>
      <c r="G511" s="195"/>
      <c r="H511" s="420" t="s">
        <v>36</v>
      </c>
      <c r="I511" s="187">
        <f ca="1">IFERROR(__xludf.DUMMYFUNCTION("IMPORTRANGE(""https://docs.google.com/spreadsheets/d/11923uPwbBZFjjGgGUA6NLw09EwE0CqkOc4q9oUmW1yo/edit?usp=sharing"",""เพชรบูรณ์!I406"")"),0)</f>
        <v>0</v>
      </c>
      <c r="J511" s="197">
        <f ca="1">IFERROR(__xludf.DUMMYFUNCTION("IMPORTRANGE(""https://docs.google.com/spreadsheets/d/11923uPwbBZFjjGgGUA6NLw09EwE0CqkOc4q9oUmW1yo/edit?usp=sharing"",""เพชรบูรณ์!J406"")"),3)</f>
        <v>3</v>
      </c>
      <c r="K511" s="163">
        <f t="shared" ca="1" si="117"/>
        <v>0</v>
      </c>
      <c r="L511" s="181"/>
      <c r="M511" s="181"/>
      <c r="N511" s="181"/>
      <c r="O511" s="181"/>
      <c r="P511" s="181"/>
    </row>
    <row r="512" spans="1:16" ht="21.75" customHeight="1" x14ac:dyDescent="0.3">
      <c r="A512" s="175"/>
      <c r="B512" s="176"/>
      <c r="C512" s="176"/>
      <c r="D512" s="193"/>
      <c r="E512" s="195"/>
      <c r="F512" s="194" t="s">
        <v>191</v>
      </c>
      <c r="G512" s="195"/>
      <c r="H512" s="420" t="s">
        <v>122</v>
      </c>
      <c r="I512" s="187">
        <f ca="1">IFERROR(__xludf.DUMMYFUNCTION("IMPORTRANGE(""https://docs.google.com/spreadsheets/d/11923uPwbBZFjjGgGUA6NLw09EwE0CqkOc4q9oUmW1yo/edit?usp=sharing"",""เพชรบูรณ์!I407"")"),0)</f>
        <v>0</v>
      </c>
      <c r="J512" s="197">
        <f ca="1">IFERROR(__xludf.DUMMYFUNCTION("IMPORTRANGE(""https://docs.google.com/spreadsheets/d/11923uPwbBZFjjGgGUA6NLw09EwE0CqkOc4q9oUmW1yo/edit?usp=sharing"",""เพชรบูรณ์!J407"")"),0)</f>
        <v>0</v>
      </c>
      <c r="K512" s="163">
        <f t="shared" ca="1" si="117"/>
        <v>0</v>
      </c>
      <c r="L512" s="181"/>
      <c r="M512" s="181"/>
      <c r="N512" s="181"/>
      <c r="O512" s="181"/>
      <c r="P512" s="181"/>
    </row>
    <row r="513" spans="1:16" ht="21.75" customHeight="1" x14ac:dyDescent="0.3">
      <c r="A513" s="175"/>
      <c r="B513" s="176"/>
      <c r="C513" s="176"/>
      <c r="D513" s="193"/>
      <c r="E513" s="195"/>
      <c r="F513" s="195"/>
      <c r="G513" s="196"/>
      <c r="H513" s="420" t="s">
        <v>36</v>
      </c>
      <c r="I513" s="187">
        <f ca="1">IFERROR(__xludf.DUMMYFUNCTION("IMPORTRANGE(""https://docs.google.com/spreadsheets/d/11923uPwbBZFjjGgGUA6NLw09EwE0CqkOc4q9oUmW1yo/edit?usp=sharing"",""เพชรบูรณ์!I408"")"),0)</f>
        <v>0</v>
      </c>
      <c r="J513" s="197">
        <f ca="1">IFERROR(__xludf.DUMMYFUNCTION("IMPORTRANGE(""https://docs.google.com/spreadsheets/d/11923uPwbBZFjjGgGUA6NLw09EwE0CqkOc4q9oUmW1yo/edit?usp=sharing"",""เพชรบูรณ์!J408"")"),0)</f>
        <v>0</v>
      </c>
      <c r="K513" s="163">
        <f t="shared" ca="1" si="117"/>
        <v>0</v>
      </c>
      <c r="L513" s="181"/>
      <c r="M513" s="181"/>
      <c r="N513" s="181"/>
      <c r="O513" s="181"/>
      <c r="P513" s="181"/>
    </row>
    <row r="514" spans="1:16" ht="21.75" customHeight="1" x14ac:dyDescent="0.3">
      <c r="A514" s="175"/>
      <c r="B514" s="176"/>
      <c r="C514" s="176"/>
      <c r="D514" s="402"/>
      <c r="E514" s="448" t="s">
        <v>192</v>
      </c>
      <c r="F514" s="195"/>
      <c r="G514" s="196"/>
      <c r="H514" s="420" t="s">
        <v>122</v>
      </c>
      <c r="I514" s="187">
        <f ca="1">IFERROR(__xludf.DUMMYFUNCTION("IMPORTRANGE(""https://docs.google.com/spreadsheets/d/11923uPwbBZFjjGgGUA6NLw09EwE0CqkOc4q9oUmW1yo/edit?usp=sharing"",""เพชรบูรณ์!I409"")"),0)</f>
        <v>0</v>
      </c>
      <c r="J514" s="197">
        <f ca="1">IFERROR(__xludf.DUMMYFUNCTION("IMPORTRANGE(""https://docs.google.com/spreadsheets/d/11923uPwbBZFjjGgGUA6NLw09EwE0CqkOc4q9oUmW1yo/edit?usp=sharing"",""เพชรบูรณ์!J409"")"),0)</f>
        <v>0</v>
      </c>
      <c r="K514" s="163">
        <f t="shared" ca="1" si="117"/>
        <v>0</v>
      </c>
      <c r="L514" s="181"/>
      <c r="M514" s="181"/>
      <c r="N514" s="181"/>
      <c r="O514" s="181"/>
      <c r="P514" s="181"/>
    </row>
    <row r="515" spans="1:16" ht="21.75" customHeight="1" x14ac:dyDescent="0.3">
      <c r="A515" s="175"/>
      <c r="B515" s="176"/>
      <c r="C515" s="176"/>
      <c r="D515" s="193"/>
      <c r="E515" s="195"/>
      <c r="F515" s="195"/>
      <c r="G515" s="196"/>
      <c r="H515" s="420" t="s">
        <v>36</v>
      </c>
      <c r="I515" s="187">
        <f ca="1">IFERROR(__xludf.DUMMYFUNCTION("IMPORTRANGE(""https://docs.google.com/spreadsheets/d/11923uPwbBZFjjGgGUA6NLw09EwE0CqkOc4q9oUmW1yo/edit?usp=sharing"",""เพชรบูรณ์!I410"")"),0)</f>
        <v>0</v>
      </c>
      <c r="J515" s="197">
        <f ca="1">IFERROR(__xludf.DUMMYFUNCTION("IMPORTRANGE(""https://docs.google.com/spreadsheets/d/11923uPwbBZFjjGgGUA6NLw09EwE0CqkOc4q9oUmW1yo/edit?usp=sharing"",""เพชรบูรณ์!J410"")"),0)</f>
        <v>0</v>
      </c>
      <c r="K515" s="163">
        <f t="shared" ca="1" si="117"/>
        <v>0</v>
      </c>
      <c r="L515" s="181"/>
      <c r="M515" s="181"/>
      <c r="N515" s="181"/>
      <c r="O515" s="181"/>
      <c r="P515" s="181"/>
    </row>
    <row r="516" spans="1:16" ht="21.75" customHeight="1" x14ac:dyDescent="0.3">
      <c r="A516" s="175"/>
      <c r="B516" s="176"/>
      <c r="C516" s="413" t="s">
        <v>193</v>
      </c>
      <c r="D516" s="413"/>
      <c r="E516" s="449"/>
      <c r="F516" s="449"/>
      <c r="G516" s="450"/>
      <c r="H516" s="451" t="s">
        <v>122</v>
      </c>
      <c r="I516" s="266">
        <f ca="1">IFERROR(__xludf.DUMMYFUNCTION("IMPORTRANGE(""https://docs.google.com/spreadsheets/d/11923uPwbBZFjjGgGUA6NLw09EwE0CqkOc4q9oUmW1yo/edit?usp=sharing"",""เพชรบูรณ์!I411"")"),0)</f>
        <v>0</v>
      </c>
      <c r="J516" s="266">
        <f ca="1">IFERROR(__xludf.DUMMYFUNCTION("IMPORTRANGE(""https://docs.google.com/spreadsheets/d/11923uPwbBZFjjGgGUA6NLw09EwE0CqkOc4q9oUmW1yo/edit?usp=sharing"",""เพชรบูรณ์!J411"")"),0)</f>
        <v>0</v>
      </c>
      <c r="K516" s="267">
        <v>0</v>
      </c>
      <c r="L516" s="181"/>
      <c r="M516" s="181"/>
      <c r="N516" s="181"/>
      <c r="O516" s="181"/>
      <c r="P516" s="181"/>
    </row>
    <row r="517" spans="1:16" ht="21.75" customHeight="1" x14ac:dyDescent="0.3">
      <c r="A517" s="175"/>
      <c r="B517" s="176"/>
      <c r="C517" s="452"/>
      <c r="D517" s="452"/>
      <c r="E517" s="452" t="s">
        <v>194</v>
      </c>
      <c r="F517" s="453"/>
      <c r="G517" s="454"/>
      <c r="H517" s="455" t="s">
        <v>122</v>
      </c>
      <c r="I517" s="282">
        <f ca="1">IFERROR(__xludf.DUMMYFUNCTION("IMPORTRANGE(""https://docs.google.com/spreadsheets/d/11923uPwbBZFjjGgGUA6NLw09EwE0CqkOc4q9oUmW1yo/edit?usp=sharing"",""เพชรบูรณ์!I412"")"),0)</f>
        <v>0</v>
      </c>
      <c r="J517" s="282">
        <f ca="1">IFERROR(__xludf.DUMMYFUNCTION("IMPORTRANGE(""https://docs.google.com/spreadsheets/d/11923uPwbBZFjjGgGUA6NLw09EwE0CqkOc4q9oUmW1yo/edit?usp=sharing"",""เพชรบูรณ์!J412"")"),0)</f>
        <v>0</v>
      </c>
      <c r="K517" s="283">
        <v>0</v>
      </c>
      <c r="L517" s="181"/>
      <c r="M517" s="181"/>
      <c r="N517" s="181"/>
      <c r="O517" s="181"/>
      <c r="P517" s="181"/>
    </row>
    <row r="518" spans="1:16" ht="21.75" customHeight="1" x14ac:dyDescent="0.3">
      <c r="A518" s="175"/>
      <c r="B518" s="176"/>
      <c r="C518" s="452"/>
      <c r="D518" s="452"/>
      <c r="E518" s="452" t="s">
        <v>195</v>
      </c>
      <c r="F518" s="453"/>
      <c r="G518" s="454"/>
      <c r="H518" s="455" t="s">
        <v>36</v>
      </c>
      <c r="I518" s="282">
        <f ca="1">IFERROR(__xludf.DUMMYFUNCTION("IMPORTRANGE(""https://docs.google.com/spreadsheets/d/11923uPwbBZFjjGgGUA6NLw09EwE0CqkOc4q9oUmW1yo/edit?usp=sharing"",""เพชรบูรณ์!I413"")"),0)</f>
        <v>0</v>
      </c>
      <c r="J518" s="282">
        <f ca="1">IFERROR(__xludf.DUMMYFUNCTION("IMPORTRANGE(""https://docs.google.com/spreadsheets/d/11923uPwbBZFjjGgGUA6NLw09EwE0CqkOc4q9oUmW1yo/edit?usp=sharing"",""เพชรบูรณ์!J413"")"),0)</f>
        <v>0</v>
      </c>
      <c r="K518" s="283">
        <v>0</v>
      </c>
      <c r="L518" s="181"/>
      <c r="M518" s="181"/>
      <c r="N518" s="181"/>
      <c r="O518" s="181"/>
      <c r="P518" s="181"/>
    </row>
    <row r="519" spans="1:16" ht="21.75" customHeight="1" x14ac:dyDescent="0.3">
      <c r="A519" s="175"/>
      <c r="B519" s="176"/>
      <c r="C519" s="176"/>
      <c r="D519" s="193"/>
      <c r="E519" s="195"/>
      <c r="F519" s="195"/>
      <c r="G519" s="225" t="s">
        <v>196</v>
      </c>
      <c r="H519" s="420" t="s">
        <v>122</v>
      </c>
      <c r="I519" s="187">
        <f ca="1">IFERROR(__xludf.DUMMYFUNCTION("IMPORTRANGE(""https://docs.google.com/spreadsheets/d/11923uPwbBZFjjGgGUA6NLw09EwE0CqkOc4q9oUmW1yo/edit?usp=sharing"",""เพชรบูรณ์!I414"")"),0)</f>
        <v>0</v>
      </c>
      <c r="J519" s="187">
        <f ca="1">IFERROR(__xludf.DUMMYFUNCTION("IMPORTRANGE(""https://docs.google.com/spreadsheets/d/11923uPwbBZFjjGgGUA6NLw09EwE0CqkOc4q9oUmW1yo/edit?usp=sharing"",""เพชรบูรณ์!J414"")"),0)</f>
        <v>0</v>
      </c>
      <c r="K519" s="163">
        <v>0</v>
      </c>
      <c r="L519" s="181"/>
      <c r="M519" s="181"/>
      <c r="N519" s="181"/>
      <c r="O519" s="181"/>
      <c r="P519" s="181"/>
    </row>
    <row r="520" spans="1:16" ht="21.75" customHeight="1" x14ac:dyDescent="0.3">
      <c r="A520" s="175"/>
      <c r="B520" s="176"/>
      <c r="C520" s="176"/>
      <c r="D520" s="193"/>
      <c r="E520" s="195"/>
      <c r="F520" s="195"/>
      <c r="G520" s="196"/>
      <c r="H520" s="420" t="s">
        <v>36</v>
      </c>
      <c r="I520" s="187">
        <f ca="1">IFERROR(__xludf.DUMMYFUNCTION("IMPORTRANGE(""https://docs.google.com/spreadsheets/d/11923uPwbBZFjjGgGUA6NLw09EwE0CqkOc4q9oUmW1yo/edit?usp=sharing"",""เพชรบูรณ์!I415"")"),0)</f>
        <v>0</v>
      </c>
      <c r="J520" s="187">
        <f ca="1">IFERROR(__xludf.DUMMYFUNCTION("IMPORTRANGE(""https://docs.google.com/spreadsheets/d/11923uPwbBZFjjGgGUA6NLw09EwE0CqkOc4q9oUmW1yo/edit?usp=sharing"",""เพชรบูรณ์!J415"")"),0)</f>
        <v>0</v>
      </c>
      <c r="K520" s="163">
        <v>0</v>
      </c>
      <c r="L520" s="181"/>
      <c r="M520" s="181"/>
      <c r="N520" s="181"/>
      <c r="O520" s="181"/>
      <c r="P520" s="181"/>
    </row>
    <row r="521" spans="1:16" ht="21.75" customHeight="1" x14ac:dyDescent="0.3">
      <c r="A521" s="175"/>
      <c r="B521" s="176"/>
      <c r="C521" s="176"/>
      <c r="D521" s="193"/>
      <c r="E521" s="195"/>
      <c r="F521" s="195"/>
      <c r="G521" s="225" t="s">
        <v>197</v>
      </c>
      <c r="H521" s="420" t="s">
        <v>122</v>
      </c>
      <c r="I521" s="187">
        <f ca="1">IFERROR(__xludf.DUMMYFUNCTION("IMPORTRANGE(""https://docs.google.com/spreadsheets/d/11923uPwbBZFjjGgGUA6NLw09EwE0CqkOc4q9oUmW1yo/edit?usp=sharing"",""เพชรบูรณ์!I416"")"),0)</f>
        <v>0</v>
      </c>
      <c r="J521" s="187">
        <f ca="1">IFERROR(__xludf.DUMMYFUNCTION("IMPORTRANGE(""https://docs.google.com/spreadsheets/d/11923uPwbBZFjjGgGUA6NLw09EwE0CqkOc4q9oUmW1yo/edit?usp=sharing"",""เพชรบูรณ์!J416"")"),0)</f>
        <v>0</v>
      </c>
      <c r="K521" s="163">
        <v>0</v>
      </c>
      <c r="L521" s="181"/>
      <c r="M521" s="181"/>
      <c r="N521" s="181"/>
      <c r="O521" s="181"/>
      <c r="P521" s="181"/>
    </row>
    <row r="522" spans="1:16" ht="21.75" customHeight="1" x14ac:dyDescent="0.3">
      <c r="A522" s="175"/>
      <c r="B522" s="176"/>
      <c r="C522" s="176"/>
      <c r="D522" s="193"/>
      <c r="E522" s="195"/>
      <c r="F522" s="195"/>
      <c r="G522" s="196"/>
      <c r="H522" s="420" t="s">
        <v>36</v>
      </c>
      <c r="I522" s="187">
        <f ca="1">IFERROR(__xludf.DUMMYFUNCTION("IMPORTRANGE(""https://docs.google.com/spreadsheets/d/11923uPwbBZFjjGgGUA6NLw09EwE0CqkOc4q9oUmW1yo/edit?usp=sharing"",""เพชรบูรณ์!I417"")"),0)</f>
        <v>0</v>
      </c>
      <c r="J522" s="187">
        <f ca="1">IFERROR(__xludf.DUMMYFUNCTION("IMPORTRANGE(""https://docs.google.com/spreadsheets/d/11923uPwbBZFjjGgGUA6NLw09EwE0CqkOc4q9oUmW1yo/edit?usp=sharing"",""เพชรบูรณ์!J417"")"),0)</f>
        <v>0</v>
      </c>
      <c r="K522" s="163">
        <v>0</v>
      </c>
      <c r="L522" s="181"/>
      <c r="M522" s="181"/>
      <c r="N522" s="181"/>
      <c r="O522" s="181"/>
      <c r="P522" s="181"/>
    </row>
    <row r="523" spans="1:16" ht="21.75" customHeight="1" x14ac:dyDescent="0.3">
      <c r="A523" s="175"/>
      <c r="B523" s="176"/>
      <c r="C523" s="176"/>
      <c r="D523" s="193"/>
      <c r="E523" s="195"/>
      <c r="F523" s="195"/>
      <c r="G523" s="456" t="s">
        <v>198</v>
      </c>
      <c r="H523" s="420" t="s">
        <v>122</v>
      </c>
      <c r="I523" s="187">
        <f ca="1">IFERROR(__xludf.DUMMYFUNCTION("IMPORTRANGE(""https://docs.google.com/spreadsheets/d/11923uPwbBZFjjGgGUA6NLw09EwE0CqkOc4q9oUmW1yo/edit?usp=sharing"",""เพชรบูรณ์!I418"")"),0)</f>
        <v>0</v>
      </c>
      <c r="J523" s="187">
        <f ca="1">IFERROR(__xludf.DUMMYFUNCTION("IMPORTRANGE(""https://docs.google.com/spreadsheets/d/11923uPwbBZFjjGgGUA6NLw09EwE0CqkOc4q9oUmW1yo/edit?usp=sharing"",""เพชรบูรณ์!J418"")"),0)</f>
        <v>0</v>
      </c>
      <c r="K523" s="163">
        <v>0</v>
      </c>
      <c r="L523" s="181"/>
      <c r="M523" s="181"/>
      <c r="N523" s="181"/>
      <c r="O523" s="181"/>
      <c r="P523" s="181"/>
    </row>
    <row r="524" spans="1:16" ht="21.75" customHeight="1" x14ac:dyDescent="0.3">
      <c r="A524" s="175"/>
      <c r="B524" s="176"/>
      <c r="C524" s="176"/>
      <c r="D524" s="193"/>
      <c r="E524" s="195"/>
      <c r="F524" s="195"/>
      <c r="G524" s="196"/>
      <c r="H524" s="420" t="s">
        <v>36</v>
      </c>
      <c r="I524" s="187">
        <f ca="1">IFERROR(__xludf.DUMMYFUNCTION("IMPORTRANGE(""https://docs.google.com/spreadsheets/d/11923uPwbBZFjjGgGUA6NLw09EwE0CqkOc4q9oUmW1yo/edit?usp=sharing"",""เพชรบูรณ์!I419"")"),0)</f>
        <v>0</v>
      </c>
      <c r="J524" s="187">
        <f ca="1">IFERROR(__xludf.DUMMYFUNCTION("IMPORTRANGE(""https://docs.google.com/spreadsheets/d/11923uPwbBZFjjGgGUA6NLw09EwE0CqkOc4q9oUmW1yo/edit?usp=sharing"",""เพชรบูรณ์!J419"")"),0)</f>
        <v>0</v>
      </c>
      <c r="K524" s="163">
        <v>0</v>
      </c>
      <c r="L524" s="181"/>
      <c r="M524" s="181"/>
      <c r="N524" s="181"/>
      <c r="O524" s="181"/>
      <c r="P524" s="181"/>
    </row>
    <row r="525" spans="1:16" ht="21.75" customHeight="1" x14ac:dyDescent="0.3">
      <c r="A525" s="175"/>
      <c r="B525" s="176"/>
      <c r="C525" s="452"/>
      <c r="D525" s="452"/>
      <c r="E525" s="452" t="s">
        <v>199</v>
      </c>
      <c r="F525" s="453"/>
      <c r="G525" s="454"/>
      <c r="H525" s="455" t="s">
        <v>122</v>
      </c>
      <c r="I525" s="282">
        <f ca="1">IFERROR(__xludf.DUMMYFUNCTION("IMPORTRANGE(""https://docs.google.com/spreadsheets/d/11923uPwbBZFjjGgGUA6NLw09EwE0CqkOc4q9oUmW1yo/edit?usp=sharing"",""เพชรบูรณ์!I420"")"),0)</f>
        <v>0</v>
      </c>
      <c r="J525" s="282">
        <f ca="1">IFERROR(__xludf.DUMMYFUNCTION("IMPORTRANGE(""https://docs.google.com/spreadsheets/d/11923uPwbBZFjjGgGUA6NLw09EwE0CqkOc4q9oUmW1yo/edit?usp=sharing"",""เพชรบูรณ์!J420"")"),0)</f>
        <v>0</v>
      </c>
      <c r="K525" s="283">
        <v>0</v>
      </c>
      <c r="L525" s="181"/>
      <c r="M525" s="181"/>
      <c r="N525" s="181"/>
      <c r="O525" s="181"/>
      <c r="P525" s="181"/>
    </row>
    <row r="526" spans="1:16" ht="21.75" customHeight="1" x14ac:dyDescent="0.3">
      <c r="A526" s="175"/>
      <c r="B526" s="176"/>
      <c r="C526" s="452"/>
      <c r="D526" s="452"/>
      <c r="E526" s="452" t="s">
        <v>200</v>
      </c>
      <c r="F526" s="453"/>
      <c r="G526" s="454"/>
      <c r="H526" s="455" t="s">
        <v>36</v>
      </c>
      <c r="I526" s="282">
        <f ca="1">IFERROR(__xludf.DUMMYFUNCTION("IMPORTRANGE(""https://docs.google.com/spreadsheets/d/11923uPwbBZFjjGgGUA6NLw09EwE0CqkOc4q9oUmW1yo/edit?usp=sharing"",""เพชรบูรณ์!I421"")"),0)</f>
        <v>0</v>
      </c>
      <c r="J526" s="282">
        <f ca="1">IFERROR(__xludf.DUMMYFUNCTION("IMPORTRANGE(""https://docs.google.com/spreadsheets/d/11923uPwbBZFjjGgGUA6NLw09EwE0CqkOc4q9oUmW1yo/edit?usp=sharing"",""เพชรบูรณ์!J421"")"),0)</f>
        <v>0</v>
      </c>
      <c r="K526" s="283">
        <v>0</v>
      </c>
      <c r="L526" s="181"/>
      <c r="M526" s="181"/>
      <c r="N526" s="181"/>
      <c r="O526" s="181"/>
      <c r="P526" s="181"/>
    </row>
    <row r="527" spans="1:16" ht="21.75" customHeight="1" x14ac:dyDescent="0.3">
      <c r="A527" s="175"/>
      <c r="B527" s="176"/>
      <c r="C527" s="176"/>
      <c r="D527" s="193"/>
      <c r="E527" s="195"/>
      <c r="F527" s="195"/>
      <c r="G527" s="225" t="s">
        <v>196</v>
      </c>
      <c r="H527" s="420" t="s">
        <v>122</v>
      </c>
      <c r="I527" s="187">
        <f ca="1">IFERROR(__xludf.DUMMYFUNCTION("IMPORTRANGE(""https://docs.google.com/spreadsheets/d/11923uPwbBZFjjGgGUA6NLw09EwE0CqkOc4q9oUmW1yo/edit?usp=sharing"",""เพชรบูรณ์!I422"")"),0)</f>
        <v>0</v>
      </c>
      <c r="J527" s="197">
        <f ca="1">IFERROR(__xludf.DUMMYFUNCTION("IMPORTRANGE(""https://docs.google.com/spreadsheets/d/11923uPwbBZFjjGgGUA6NLw09EwE0CqkOc4q9oUmW1yo/edit?usp=sharing"",""เพชรบูรณ์!J422"")"),0)</f>
        <v>0</v>
      </c>
      <c r="K527" s="163">
        <v>0</v>
      </c>
      <c r="L527" s="181"/>
      <c r="M527" s="181"/>
      <c r="N527" s="181"/>
      <c r="O527" s="181"/>
      <c r="P527" s="181"/>
    </row>
    <row r="528" spans="1:16" ht="21.75" customHeight="1" x14ac:dyDescent="0.3">
      <c r="A528" s="175"/>
      <c r="B528" s="176"/>
      <c r="C528" s="176"/>
      <c r="D528" s="193"/>
      <c r="E528" s="195"/>
      <c r="F528" s="195"/>
      <c r="G528" s="196"/>
      <c r="H528" s="420" t="s">
        <v>36</v>
      </c>
      <c r="I528" s="187">
        <f ca="1">IFERROR(__xludf.DUMMYFUNCTION("IMPORTRANGE(""https://docs.google.com/spreadsheets/d/11923uPwbBZFjjGgGUA6NLw09EwE0CqkOc4q9oUmW1yo/edit?usp=sharing"",""เพชรบูรณ์!I423"")"),0)</f>
        <v>0</v>
      </c>
      <c r="J528" s="197">
        <f ca="1">IFERROR(__xludf.DUMMYFUNCTION("IMPORTRANGE(""https://docs.google.com/spreadsheets/d/11923uPwbBZFjjGgGUA6NLw09EwE0CqkOc4q9oUmW1yo/edit?usp=sharing"",""เพชรบูรณ์!J423"")"),0)</f>
        <v>0</v>
      </c>
      <c r="K528" s="163">
        <v>0</v>
      </c>
      <c r="L528" s="181"/>
      <c r="M528" s="181"/>
      <c r="N528" s="181"/>
      <c r="O528" s="181"/>
      <c r="P528" s="181"/>
    </row>
    <row r="529" spans="1:16" ht="21.75" customHeight="1" x14ac:dyDescent="0.3">
      <c r="A529" s="175"/>
      <c r="B529" s="176"/>
      <c r="C529" s="176"/>
      <c r="D529" s="193"/>
      <c r="E529" s="195"/>
      <c r="F529" s="195"/>
      <c r="G529" s="225" t="s">
        <v>197</v>
      </c>
      <c r="H529" s="420" t="s">
        <v>122</v>
      </c>
      <c r="I529" s="187">
        <f ca="1">IFERROR(__xludf.DUMMYFUNCTION("IMPORTRANGE(""https://docs.google.com/spreadsheets/d/11923uPwbBZFjjGgGUA6NLw09EwE0CqkOc4q9oUmW1yo/edit?usp=sharing"",""เพชรบูรณ์!I424"")"),0)</f>
        <v>0</v>
      </c>
      <c r="J529" s="197">
        <f ca="1">IFERROR(__xludf.DUMMYFUNCTION("IMPORTRANGE(""https://docs.google.com/spreadsheets/d/11923uPwbBZFjjGgGUA6NLw09EwE0CqkOc4q9oUmW1yo/edit?usp=sharing"",""เพชรบูรณ์!J424"")"),0)</f>
        <v>0</v>
      </c>
      <c r="K529" s="163">
        <v>0</v>
      </c>
      <c r="L529" s="181"/>
      <c r="M529" s="181"/>
      <c r="N529" s="181"/>
      <c r="O529" s="181"/>
      <c r="P529" s="181"/>
    </row>
    <row r="530" spans="1:16" ht="21.75" customHeight="1" x14ac:dyDescent="0.3">
      <c r="A530" s="175"/>
      <c r="B530" s="176"/>
      <c r="C530" s="176"/>
      <c r="D530" s="193"/>
      <c r="E530" s="195"/>
      <c r="F530" s="195"/>
      <c r="G530" s="196"/>
      <c r="H530" s="420" t="s">
        <v>36</v>
      </c>
      <c r="I530" s="187">
        <f ca="1">IFERROR(__xludf.DUMMYFUNCTION("IMPORTRANGE(""https://docs.google.com/spreadsheets/d/11923uPwbBZFjjGgGUA6NLw09EwE0CqkOc4q9oUmW1yo/edit?usp=sharing"",""เพชรบูรณ์!I425"")"),0)</f>
        <v>0</v>
      </c>
      <c r="J530" s="197">
        <f ca="1">IFERROR(__xludf.DUMMYFUNCTION("IMPORTRANGE(""https://docs.google.com/spreadsheets/d/11923uPwbBZFjjGgGUA6NLw09EwE0CqkOc4q9oUmW1yo/edit?usp=sharing"",""เพชรบูรณ์!J425"")"),0)</f>
        <v>0</v>
      </c>
      <c r="K530" s="163">
        <v>0</v>
      </c>
      <c r="L530" s="181"/>
      <c r="M530" s="181"/>
      <c r="N530" s="181"/>
      <c r="O530" s="181"/>
      <c r="P530" s="181"/>
    </row>
    <row r="531" spans="1:16" ht="21.75" customHeight="1" x14ac:dyDescent="0.3">
      <c r="A531" s="175"/>
      <c r="B531" s="176"/>
      <c r="C531" s="176"/>
      <c r="D531" s="193"/>
      <c r="E531" s="195"/>
      <c r="F531" s="195"/>
      <c r="G531" s="225" t="s">
        <v>201</v>
      </c>
      <c r="H531" s="420" t="s">
        <v>122</v>
      </c>
      <c r="I531" s="187">
        <f ca="1">IFERROR(__xludf.DUMMYFUNCTION("IMPORTRANGE(""https://docs.google.com/spreadsheets/d/11923uPwbBZFjjGgGUA6NLw09EwE0CqkOc4q9oUmW1yo/edit?usp=sharing"",""เพชรบูรณ์!I426"")"),0)</f>
        <v>0</v>
      </c>
      <c r="J531" s="197">
        <f ca="1">IFERROR(__xludf.DUMMYFUNCTION("IMPORTRANGE(""https://docs.google.com/spreadsheets/d/11923uPwbBZFjjGgGUA6NLw09EwE0CqkOc4q9oUmW1yo/edit?usp=sharing"",""เพชรบูรณ์!J426"")"),0)</f>
        <v>0</v>
      </c>
      <c r="K531" s="163">
        <v>0</v>
      </c>
      <c r="L531" s="181"/>
      <c r="M531" s="181"/>
      <c r="N531" s="181"/>
      <c r="O531" s="181"/>
      <c r="P531" s="181"/>
    </row>
    <row r="532" spans="1:16" ht="21.75" customHeight="1" x14ac:dyDescent="0.3">
      <c r="A532" s="457"/>
      <c r="B532" s="458"/>
      <c r="C532" s="458"/>
      <c r="D532" s="459"/>
      <c r="E532" s="460"/>
      <c r="F532" s="460"/>
      <c r="G532" s="461"/>
      <c r="H532" s="462" t="s">
        <v>36</v>
      </c>
      <c r="I532" s="463">
        <f ca="1">IFERROR(__xludf.DUMMYFUNCTION("IMPORTRANGE(""https://docs.google.com/spreadsheets/d/11923uPwbBZFjjGgGUA6NLw09EwE0CqkOc4q9oUmW1yo/edit?usp=sharing"",""เพชรบูรณ์!I427"")"),0)</f>
        <v>0</v>
      </c>
      <c r="J532" s="464">
        <f ca="1">IFERROR(__xludf.DUMMYFUNCTION("IMPORTRANGE(""https://docs.google.com/spreadsheets/d/11923uPwbBZFjjGgGUA6NLw09EwE0CqkOc4q9oUmW1yo/edit?usp=sharing"",""เพชรบูรณ์!J427"")"),0)</f>
        <v>0</v>
      </c>
      <c r="K532" s="465">
        <v>0</v>
      </c>
      <c r="L532" s="466"/>
      <c r="M532" s="466"/>
      <c r="N532" s="466"/>
      <c r="O532" s="466"/>
      <c r="P532" s="466"/>
    </row>
    <row r="533" spans="1:16" ht="21.75" customHeight="1" x14ac:dyDescent="0.3">
      <c r="A533" s="403"/>
      <c r="B533" s="404">
        <v>6</v>
      </c>
      <c r="C533" s="405" t="s">
        <v>202</v>
      </c>
      <c r="D533" s="405"/>
      <c r="E533" s="405"/>
      <c r="F533" s="405"/>
      <c r="G533" s="406"/>
      <c r="H533" s="407" t="s">
        <v>37</v>
      </c>
      <c r="I533" s="408">
        <f ca="1">IFERROR(__xludf.DUMMYFUNCTION("IMPORTRANGE(""https://docs.google.com/spreadsheets/d/11923uPwbBZFjjGgGUA6NLw09EwE0CqkOc4q9oUmW1yo/edit?usp=sharing"",""เพชรบูรณ์!I428"")"),22)</f>
        <v>22</v>
      </c>
      <c r="J533" s="408">
        <f ca="1">IFERROR(__xludf.DUMMYFUNCTION("IMPORTRANGE(""https://docs.google.com/spreadsheets/d/11923uPwbBZFjjGgGUA6NLw09EwE0CqkOc4q9oUmW1yo/edit?usp=sharing"",""เพชรบูรณ์!J428"")"),22)</f>
        <v>22</v>
      </c>
      <c r="K533" s="409">
        <f ca="1">IF(I533&gt;0,J533*100/I533,0)</f>
        <v>100</v>
      </c>
      <c r="L533" s="410">
        <f ca="1">IFERROR(__xludf.DUMMYFUNCTION("IMPORTRANGE(""https://docs.google.com/spreadsheets/d/11923uPwbBZFjjGgGUA6NLw09EwE0CqkOc4q9oUmW1yo/edit?usp=sharing"",""เพชรบูรณ์!L428"")"),34340)</f>
        <v>34340</v>
      </c>
      <c r="M533" s="410"/>
      <c r="N533" s="410">
        <f ca="1">IFERROR(__xludf.DUMMYFUNCTION("IMPORTRANGE(""https://docs.google.com/spreadsheets/d/11923uPwbBZFjjGgGUA6NLw09EwE0CqkOc4q9oUmW1yo/edit?usp=sharing"",""เพชรบูรณ์!M428"")"),17161)</f>
        <v>17161</v>
      </c>
      <c r="O533" s="410">
        <f t="shared" ref="O533:O537" ca="1" si="118">+IF(L533&gt;0,N533*100/L533,0)</f>
        <v>49.973791496796736</v>
      </c>
      <c r="P533" s="410"/>
    </row>
    <row r="534" spans="1:16" ht="21.75" customHeight="1" x14ac:dyDescent="0.3">
      <c r="A534" s="156"/>
      <c r="B534" s="157"/>
      <c r="C534" s="157" t="s">
        <v>16</v>
      </c>
      <c r="D534" s="158" t="s">
        <v>38</v>
      </c>
      <c r="E534" s="159"/>
      <c r="F534" s="159"/>
      <c r="G534" s="160" t="s">
        <v>39</v>
      </c>
      <c r="H534" s="161" t="s">
        <v>12</v>
      </c>
      <c r="I534" s="162" t="s">
        <v>40</v>
      </c>
      <c r="J534" s="162"/>
      <c r="K534" s="163"/>
      <c r="L534" s="164">
        <f ca="1">IFERROR(__xludf.DUMMYFUNCTION("IMPORTRANGE(""https://docs.google.com/spreadsheets/d/11923uPwbBZFjjGgGUA6NLw09EwE0CqkOc4q9oUmW1yo/edit?usp=sharing"",""เพชรบูรณ์!L429"")"),0)</f>
        <v>0</v>
      </c>
      <c r="M534" s="164"/>
      <c r="N534" s="168">
        <f ca="1">IFERROR(__xludf.DUMMYFUNCTION("IMPORTRANGE(""https://docs.google.com/spreadsheets/d/11923uPwbBZFjjGgGUA6NLw09EwE0CqkOc4q9oUmW1yo/edit?usp=sharing"",""เพชรบูรณ์!M429"")"),0)</f>
        <v>0</v>
      </c>
      <c r="O534" s="168">
        <f t="shared" ca="1" si="118"/>
        <v>0</v>
      </c>
      <c r="P534" s="168"/>
    </row>
    <row r="535" spans="1:16" ht="21.75" customHeight="1" x14ac:dyDescent="0.3">
      <c r="A535" s="156"/>
      <c r="B535" s="157"/>
      <c r="C535" s="157"/>
      <c r="D535" s="166"/>
      <c r="E535" s="159"/>
      <c r="F535" s="159" t="s">
        <v>40</v>
      </c>
      <c r="G535" s="160" t="s">
        <v>41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IFERROR(__xludf.DUMMYFUNCTION("IMPORTRANGE(""https://docs.google.com/spreadsheets/d/11923uPwbBZFjjGgGUA6NLw09EwE0CqkOc4q9oUmW1yo/edit?usp=sharing"",""เพชรบูรณ์!L430"")"),34340)</f>
        <v>34340</v>
      </c>
      <c r="M535" s="165"/>
      <c r="N535" s="168">
        <f ca="1">IFERROR(__xludf.DUMMYFUNCTION("IMPORTRANGE(""https://docs.google.com/spreadsheets/d/11923uPwbBZFjjGgGUA6NLw09EwE0CqkOc4q9oUmW1yo/edit?usp=sharing"",""เพชรบูรณ์!M430"")"),17161)</f>
        <v>17161</v>
      </c>
      <c r="O535" s="168">
        <f t="shared" ca="1" si="118"/>
        <v>49.973791496796736</v>
      </c>
      <c r="P535" s="168"/>
    </row>
    <row r="536" spans="1:16" ht="21.75" customHeight="1" x14ac:dyDescent="0.3">
      <c r="A536" s="156"/>
      <c r="B536" s="157"/>
      <c r="C536" s="157"/>
      <c r="D536" s="166"/>
      <c r="E536" s="159"/>
      <c r="F536" s="159"/>
      <c r="G536" s="372" t="s">
        <v>129</v>
      </c>
      <c r="H536" s="161" t="s">
        <v>12</v>
      </c>
      <c r="I536" s="162"/>
      <c r="J536" s="162"/>
      <c r="K536" s="163"/>
      <c r="L536" s="168">
        <f ca="1">IFERROR(__xludf.DUMMYFUNCTION("IMPORTRANGE(""https://docs.google.com/spreadsheets/d/11923uPwbBZFjjGgGUA6NLw09EwE0CqkOc4q9oUmW1yo/edit?usp=sharing"",""เพชรบูรณ์!L431"")"),0)</f>
        <v>0</v>
      </c>
      <c r="M536" s="168"/>
      <c r="N536" s="168">
        <f ca="1">IFERROR(__xludf.DUMMYFUNCTION("IMPORTRANGE(""https://docs.google.com/spreadsheets/d/11923uPwbBZFjjGgGUA6NLw09EwE0CqkOc4q9oUmW1yo/edit?usp=sharing"",""เพชรบูรณ์!M431"")"),0)</f>
        <v>0</v>
      </c>
      <c r="O536" s="168">
        <f t="shared" ca="1" si="118"/>
        <v>0</v>
      </c>
      <c r="P536" s="168"/>
    </row>
    <row r="537" spans="1:16" ht="21.75" customHeight="1" x14ac:dyDescent="0.3">
      <c r="A537" s="156"/>
      <c r="B537" s="157"/>
      <c r="C537" s="157"/>
      <c r="D537" s="166"/>
      <c r="E537" s="159"/>
      <c r="F537" s="159"/>
      <c r="G537" s="372" t="s">
        <v>130</v>
      </c>
      <c r="H537" s="161" t="s">
        <v>12</v>
      </c>
      <c r="I537" s="162"/>
      <c r="J537" s="162"/>
      <c r="K537" s="163"/>
      <c r="L537" s="168">
        <f ca="1">IFERROR(__xludf.DUMMYFUNCTION("IMPORTRANGE(""https://docs.google.com/spreadsheets/d/11923uPwbBZFjjGgGUA6NLw09EwE0CqkOc4q9oUmW1yo/edit?usp=sharing"",""เพชรบูรณ์!L432"")"),34340)</f>
        <v>34340</v>
      </c>
      <c r="M537" s="168"/>
      <c r="N537" s="168">
        <f ca="1">IFERROR(__xludf.DUMMYFUNCTION("IMPORTRANGE(""https://docs.google.com/spreadsheets/d/11923uPwbBZFjjGgGUA6NLw09EwE0CqkOc4q9oUmW1yo/edit?usp=sharing"",""เพชรบูรณ์!M432"")"),17161)</f>
        <v>17161</v>
      </c>
      <c r="O537" s="168">
        <f t="shared" ca="1" si="118"/>
        <v>49.973791496796736</v>
      </c>
      <c r="P537" s="168"/>
    </row>
    <row r="538" spans="1:16" ht="21.75" customHeight="1" x14ac:dyDescent="0.3">
      <c r="A538" s="373"/>
      <c r="B538" s="374"/>
      <c r="C538" s="157"/>
      <c r="D538" s="375"/>
      <c r="E538" s="159"/>
      <c r="F538" s="159"/>
      <c r="G538" s="376" t="s">
        <v>131</v>
      </c>
      <c r="H538" s="161" t="s">
        <v>12</v>
      </c>
      <c r="I538" s="187"/>
      <c r="J538" s="187"/>
      <c r="K538" s="223"/>
      <c r="L538" s="168"/>
      <c r="M538" s="168"/>
      <c r="N538" s="377">
        <f ca="1">IFERROR(__xludf.DUMMYFUNCTION("IMPORTRANGE(""https://docs.google.com/spreadsheets/d/11923uPwbBZFjjGgGUA6NLw09EwE0CqkOc4q9oUmW1yo/edit?usp=sharing"",""เพชรบูรณ์!M433"")"),17161)</f>
        <v>17161</v>
      </c>
      <c r="O538" s="168"/>
      <c r="P538" s="168"/>
    </row>
    <row r="539" spans="1:16" ht="21.75" customHeight="1" x14ac:dyDescent="0.3">
      <c r="A539" s="373"/>
      <c r="B539" s="374"/>
      <c r="C539" s="157"/>
      <c r="D539" s="375"/>
      <c r="E539" s="159"/>
      <c r="F539" s="159"/>
      <c r="G539" s="376" t="s">
        <v>132</v>
      </c>
      <c r="H539" s="161" t="s">
        <v>12</v>
      </c>
      <c r="I539" s="187"/>
      <c r="J539" s="187"/>
      <c r="K539" s="223"/>
      <c r="L539" s="168"/>
      <c r="M539" s="168"/>
      <c r="N539" s="377">
        <f ca="1">IFERROR(__xludf.DUMMYFUNCTION("IMPORTRANGE(""https://docs.google.com/spreadsheets/d/11923uPwbBZFjjGgGUA6NLw09EwE0CqkOc4q9oUmW1yo/edit?usp=sharing"",""เพชรบูรณ์!M434"")"),0)</f>
        <v>0</v>
      </c>
      <c r="O539" s="168"/>
      <c r="P539" s="168"/>
    </row>
    <row r="540" spans="1:16" ht="21.75" customHeight="1" x14ac:dyDescent="0.3">
      <c r="A540" s="373"/>
      <c r="B540" s="374"/>
      <c r="C540" s="157"/>
      <c r="D540" s="375"/>
      <c r="E540" s="159"/>
      <c r="F540" s="159"/>
      <c r="G540" s="376" t="s">
        <v>133</v>
      </c>
      <c r="H540" s="161" t="s">
        <v>12</v>
      </c>
      <c r="I540" s="187"/>
      <c r="J540" s="187"/>
      <c r="K540" s="223"/>
      <c r="L540" s="168"/>
      <c r="M540" s="168"/>
      <c r="N540" s="377">
        <f ca="1">IFERROR(__xludf.DUMMYFUNCTION("IMPORTRANGE(""https://docs.google.com/spreadsheets/d/11923uPwbBZFjjGgGUA6NLw09EwE0CqkOc4q9oUmW1yo/edit?usp=sharing"",""เพชรบูรณ์!M435"")"),0)</f>
        <v>0</v>
      </c>
      <c r="O540" s="168"/>
      <c r="P540" s="168"/>
    </row>
    <row r="541" spans="1:16" ht="21.75" customHeight="1" x14ac:dyDescent="0.3">
      <c r="A541" s="373"/>
      <c r="B541" s="374"/>
      <c r="C541" s="157"/>
      <c r="D541" s="375"/>
      <c r="E541" s="159"/>
      <c r="F541" s="159"/>
      <c r="G541" s="376" t="s">
        <v>134</v>
      </c>
      <c r="H541" s="161" t="s">
        <v>12</v>
      </c>
      <c r="I541" s="187"/>
      <c r="J541" s="187"/>
      <c r="K541" s="223"/>
      <c r="L541" s="168"/>
      <c r="M541" s="168"/>
      <c r="N541" s="377">
        <f ca="1">IFERROR(__xludf.DUMMYFUNCTION("IMPORTRANGE(""https://docs.google.com/spreadsheets/d/11923uPwbBZFjjGgGUA6NLw09EwE0CqkOc4q9oUmW1yo/edit?usp=sharing"",""เพชรบูรณ์!M436"")"),0)</f>
        <v>0</v>
      </c>
      <c r="O541" s="168"/>
      <c r="P541" s="168"/>
    </row>
    <row r="542" spans="1:16" ht="21.75" customHeight="1" x14ac:dyDescent="0.3">
      <c r="A542" s="175"/>
      <c r="B542" s="176"/>
      <c r="C542" s="157" t="s">
        <v>16</v>
      </c>
      <c r="D542" s="177" t="s">
        <v>44</v>
      </c>
      <c r="E542" s="178"/>
      <c r="F542" s="178"/>
      <c r="G542" s="179"/>
      <c r="H542" s="180"/>
      <c r="I542" s="162"/>
      <c r="J542" s="162"/>
      <c r="K542" s="163"/>
      <c r="L542" s="181"/>
      <c r="M542" s="181"/>
      <c r="N542" s="181"/>
      <c r="O542" s="181"/>
      <c r="P542" s="181"/>
    </row>
    <row r="543" spans="1:16" ht="21.75" customHeight="1" x14ac:dyDescent="0.3">
      <c r="A543" s="175"/>
      <c r="B543" s="176"/>
      <c r="C543" s="176"/>
      <c r="D543" s="182">
        <v>1</v>
      </c>
      <c r="E543" s="183" t="s">
        <v>45</v>
      </c>
      <c r="F543" s="184"/>
      <c r="G543" s="185"/>
      <c r="H543" s="186"/>
      <c r="I543" s="187"/>
      <c r="J543" s="197">
        <f ca="1">IFERROR(__xludf.DUMMYFUNCTION("IMPORTRANGE(""https://docs.google.com/spreadsheets/d/11923uPwbBZFjjGgGUA6NLw09EwE0CqkOc4q9oUmW1yo/edit?usp=sharing"",""เพชรบูรณ์!J438"")"),0)</f>
        <v>0</v>
      </c>
      <c r="K543" s="163"/>
      <c r="L543" s="181"/>
      <c r="M543" s="181"/>
      <c r="N543" s="181"/>
      <c r="O543" s="181"/>
      <c r="P543" s="181"/>
    </row>
    <row r="544" spans="1:16" ht="21.75" customHeight="1" x14ac:dyDescent="0.3">
      <c r="A544" s="175"/>
      <c r="B544" s="176"/>
      <c r="C544" s="176"/>
      <c r="D544" s="189">
        <v>2</v>
      </c>
      <c r="E544" s="190" t="s">
        <v>46</v>
      </c>
      <c r="F544" s="191"/>
      <c r="G544" s="192"/>
      <c r="H544" s="186"/>
      <c r="I544" s="187"/>
      <c r="J544" s="188">
        <f ca="1">IFERROR(__xludf.DUMMYFUNCTION("IMPORTRANGE(""https://docs.google.com/spreadsheets/d/11923uPwbBZFjjGgGUA6NLw09EwE0CqkOc4q9oUmW1yo/edit?usp=sharing"",""เพชรบูรณ์!J439"")"),1)</f>
        <v>1</v>
      </c>
      <c r="K544" s="163"/>
      <c r="L544" s="181" t="s">
        <v>40</v>
      </c>
      <c r="M544" s="181"/>
      <c r="N544" s="181" t="s">
        <v>40</v>
      </c>
      <c r="O544" s="181"/>
      <c r="P544" s="181"/>
    </row>
    <row r="545" spans="1:16" ht="21.75" customHeight="1" x14ac:dyDescent="0.3">
      <c r="A545" s="175"/>
      <c r="B545" s="176"/>
      <c r="C545" s="176"/>
      <c r="D545" s="193"/>
      <c r="E545" s="194" t="s">
        <v>47</v>
      </c>
      <c r="F545" s="195"/>
      <c r="G545" s="196"/>
      <c r="H545" s="186"/>
      <c r="I545" s="187"/>
      <c r="J545" s="188">
        <f ca="1">IFERROR(__xludf.DUMMYFUNCTION("IMPORTRANGE(""https://docs.google.com/spreadsheets/d/11923uPwbBZFjjGgGUA6NLw09EwE0CqkOc4q9oUmW1yo/edit?usp=sharing"",""เพชรบูรณ์!J440"")"),1)</f>
        <v>1</v>
      </c>
      <c r="K545" s="163"/>
      <c r="L545" s="181"/>
      <c r="M545" s="181"/>
      <c r="N545" s="181"/>
      <c r="O545" s="181"/>
      <c r="P545" s="181"/>
    </row>
    <row r="546" spans="1:16" ht="21.75" customHeight="1" x14ac:dyDescent="0.3">
      <c r="A546" s="175"/>
      <c r="B546" s="176"/>
      <c r="C546" s="176"/>
      <c r="D546" s="193"/>
      <c r="E546" s="194" t="s">
        <v>48</v>
      </c>
      <c r="F546" s="195"/>
      <c r="G546" s="196"/>
      <c r="H546" s="186"/>
      <c r="I546" s="187"/>
      <c r="J546" s="197">
        <f ca="1">IFERROR(__xludf.DUMMYFUNCTION("IMPORTRANGE(""https://docs.google.com/spreadsheets/d/11923uPwbBZFjjGgGUA6NLw09EwE0CqkOc4q9oUmW1yo/edit?usp=sharing"",""เพชรบูรณ์!J441"")"),1)</f>
        <v>1</v>
      </c>
      <c r="K546" s="163"/>
      <c r="L546" s="181"/>
      <c r="M546" s="181"/>
      <c r="N546" s="181"/>
      <c r="O546" s="181"/>
      <c r="P546" s="181"/>
    </row>
    <row r="547" spans="1:16" ht="21.75" customHeight="1" x14ac:dyDescent="0.3">
      <c r="A547" s="175"/>
      <c r="B547" s="176"/>
      <c r="C547" s="176"/>
      <c r="D547" s="193"/>
      <c r="E547" s="198"/>
      <c r="F547" s="195"/>
      <c r="G547" s="225" t="s">
        <v>203</v>
      </c>
      <c r="H547" s="186" t="s">
        <v>37</v>
      </c>
      <c r="I547" s="203">
        <f ca="1">IFERROR(__xludf.DUMMYFUNCTION("IMPORTRANGE(""https://docs.google.com/spreadsheets/d/11923uPwbBZFjjGgGUA6NLw09EwE0CqkOc4q9oUmW1yo/edit?usp=sharing"",""เพชรบูรณ์!I442"")"),22)</f>
        <v>22</v>
      </c>
      <c r="J547" s="188">
        <f ca="1">IFERROR(__xludf.DUMMYFUNCTION("IMPORTRANGE(""https://docs.google.com/spreadsheets/d/11923uPwbBZFjjGgGUA6NLw09EwE0CqkOc4q9oUmW1yo/edit?usp=sharing"",""เพชรบูรณ์!J442"")"),22)</f>
        <v>22</v>
      </c>
      <c r="K547" s="163">
        <f t="shared" ref="K547:K548" ca="1" si="119">IF(I547&gt;0,J547*100/I547,0)</f>
        <v>100</v>
      </c>
      <c r="L547" s="181"/>
      <c r="M547" s="181"/>
      <c r="N547" s="181"/>
      <c r="O547" s="181"/>
      <c r="P547" s="181"/>
    </row>
    <row r="548" spans="1:16" ht="21.75" hidden="1" customHeight="1" x14ac:dyDescent="0.3">
      <c r="A548" s="175"/>
      <c r="B548" s="176"/>
      <c r="C548" s="176"/>
      <c r="D548" s="193"/>
      <c r="E548" s="198"/>
      <c r="F548" s="195"/>
      <c r="G548" s="225" t="s">
        <v>204</v>
      </c>
      <c r="H548" s="186" t="s">
        <v>37</v>
      </c>
      <c r="I548" s="339">
        <f ca="1">IFERROR(__xludf.DUMMYFUNCTION("IMPORTRANGE(""https://docs.google.com/spreadsheets/d/1C3CXT74ZlgGe6_JY_1olB1XN4rF0dxEuIIF-xsYjHgg/edit?usp=sharing"",""งบกองทุน!dr63"")"),0)</f>
        <v>0</v>
      </c>
      <c r="J548" s="197">
        <f ca="1">IFERROR(__xludf.DUMMYFUNCTION("IMPORTRANGE(""https://docs.google.com/spreadsheets/d/11923uPwbBZFjjGgGUA6NLw09EwE0CqkOc4q9oUmW1yo/edit?usp=sharing"",""เพชรบูรณ์!J166"")"),0)</f>
        <v>0</v>
      </c>
      <c r="K548" s="163">
        <f t="shared" ca="1" si="119"/>
        <v>0</v>
      </c>
      <c r="L548" s="181"/>
      <c r="M548" s="181"/>
      <c r="N548" s="181"/>
      <c r="O548" s="181"/>
      <c r="P548" s="181"/>
    </row>
    <row r="549" spans="1:16" ht="21.75" customHeight="1" x14ac:dyDescent="0.3">
      <c r="A549" s="175"/>
      <c r="B549" s="176"/>
      <c r="C549" s="176"/>
      <c r="D549" s="193"/>
      <c r="E549" s="194" t="s">
        <v>54</v>
      </c>
      <c r="F549" s="195"/>
      <c r="G549" s="196"/>
      <c r="H549" s="186"/>
      <c r="I549" s="187"/>
      <c r="J549" s="197">
        <f ca="1">IFERROR(__xludf.DUMMYFUNCTION("IMPORTRANGE(""https://docs.google.com/spreadsheets/d/11923uPwbBZFjjGgGUA6NLw09EwE0CqkOc4q9oUmW1yo/edit?usp=sharing"",""เพชรบูรณ์!J444"")"),0)</f>
        <v>0</v>
      </c>
      <c r="K549" s="163"/>
      <c r="L549" s="181"/>
      <c r="M549" s="181"/>
      <c r="N549" s="181"/>
      <c r="O549" s="181"/>
      <c r="P549" s="181"/>
    </row>
    <row r="550" spans="1:16" ht="21.75" customHeight="1" x14ac:dyDescent="0.3">
      <c r="A550" s="457"/>
      <c r="B550" s="458"/>
      <c r="C550" s="458"/>
      <c r="D550" s="467">
        <v>3</v>
      </c>
      <c r="E550" s="468" t="s">
        <v>55</v>
      </c>
      <c r="F550" s="469"/>
      <c r="G550" s="470"/>
      <c r="H550" s="471"/>
      <c r="I550" s="463"/>
      <c r="J550" s="472">
        <f ca="1">IFERROR(__xludf.DUMMYFUNCTION("IMPORTRANGE(""https://docs.google.com/spreadsheets/d/11923uPwbBZFjjGgGUA6NLw09EwE0CqkOc4q9oUmW1yo/edit?usp=sharing"",""เพชรบูรณ์!J445"")"),0)</f>
        <v>0</v>
      </c>
      <c r="K550" s="465"/>
      <c r="L550" s="466"/>
      <c r="M550" s="466"/>
      <c r="N550" s="466"/>
      <c r="O550" s="466"/>
      <c r="P550" s="466"/>
    </row>
    <row r="551" spans="1:16" ht="21.75" customHeight="1" x14ac:dyDescent="0.3">
      <c r="A551" s="403"/>
      <c r="B551" s="404">
        <v>7</v>
      </c>
      <c r="C551" s="405" t="s">
        <v>205</v>
      </c>
      <c r="D551" s="405"/>
      <c r="E551" s="405"/>
      <c r="F551" s="405"/>
      <c r="G551" s="406"/>
      <c r="H551" s="407" t="s">
        <v>122</v>
      </c>
      <c r="I551" s="408">
        <f ca="1">IFERROR(__xludf.DUMMYFUNCTION("IMPORTRANGE(""https://docs.google.com/spreadsheets/d/11923uPwbBZFjjGgGUA6NLw09EwE0CqkOc4q9oUmW1yo/edit?usp=sharing"",""เพชรบูรณ์!I446"")"),0)</f>
        <v>0</v>
      </c>
      <c r="J551" s="408">
        <f ca="1">IFERROR(__xludf.DUMMYFUNCTION("IMPORTRANGE(""https://docs.google.com/spreadsheets/d/11923uPwbBZFjjGgGUA6NLw09EwE0CqkOc4q9oUmW1yo/edit?usp=sharing"",""เพชรบูรณ์!J446"")"),0)</f>
        <v>0</v>
      </c>
      <c r="K551" s="409">
        <f ca="1">IF(I551&gt;0,J551*100/I551,0)</f>
        <v>0</v>
      </c>
      <c r="L551" s="410">
        <f ca="1">IFERROR(__xludf.DUMMYFUNCTION("IMPORTRANGE(""https://docs.google.com/spreadsheets/d/11923uPwbBZFjjGgGUA6NLw09EwE0CqkOc4q9oUmW1yo/edit?usp=sharing"",""เพชรบูรณ์!L446"")"),0)</f>
        <v>0</v>
      </c>
      <c r="M551" s="410"/>
      <c r="N551" s="410">
        <f ca="1">IFERROR(__xludf.DUMMYFUNCTION("IMPORTRANGE(""https://docs.google.com/spreadsheets/d/11923uPwbBZFjjGgGUA6NLw09EwE0CqkOc4q9oUmW1yo/edit?usp=sharing"",""เพชรบูรณ์!M446"")"),0)</f>
        <v>0</v>
      </c>
      <c r="O551" s="410">
        <f t="shared" ref="O551:O555" ca="1" si="120">+IF(L551&gt;0,N551*100/L551,0)</f>
        <v>0</v>
      </c>
      <c r="P551" s="410"/>
    </row>
    <row r="552" spans="1:16" ht="21.75" customHeight="1" x14ac:dyDescent="0.3">
      <c r="A552" s="156"/>
      <c r="B552" s="157"/>
      <c r="C552" s="157" t="s">
        <v>16</v>
      </c>
      <c r="D552" s="158" t="s">
        <v>38</v>
      </c>
      <c r="E552" s="159"/>
      <c r="F552" s="159"/>
      <c r="G552" s="160" t="s">
        <v>39</v>
      </c>
      <c r="H552" s="161" t="s">
        <v>12</v>
      </c>
      <c r="I552" s="162" t="s">
        <v>40</v>
      </c>
      <c r="J552" s="162"/>
      <c r="K552" s="163"/>
      <c r="L552" s="164">
        <f ca="1">IFERROR(__xludf.DUMMYFUNCTION("IMPORTRANGE(""https://docs.google.com/spreadsheets/d/11923uPwbBZFjjGgGUA6NLw09EwE0CqkOc4q9oUmW1yo/edit?usp=sharing"",""เพชรบูรณ์!L447"")"),0)</f>
        <v>0</v>
      </c>
      <c r="M552" s="164"/>
      <c r="N552" s="168">
        <f ca="1">IFERROR(__xludf.DUMMYFUNCTION("IMPORTRANGE(""https://docs.google.com/spreadsheets/d/11923uPwbBZFjjGgGUA6NLw09EwE0CqkOc4q9oUmW1yo/edit?usp=sharing"",""เพชรบูรณ์!M447"")"),0)</f>
        <v>0</v>
      </c>
      <c r="O552" s="168">
        <f t="shared" ca="1" si="120"/>
        <v>0</v>
      </c>
      <c r="P552" s="168"/>
    </row>
    <row r="553" spans="1:16" ht="21.75" customHeight="1" x14ac:dyDescent="0.3">
      <c r="A553" s="156"/>
      <c r="B553" s="157"/>
      <c r="C553" s="157"/>
      <c r="D553" s="166"/>
      <c r="E553" s="159"/>
      <c r="F553" s="159" t="s">
        <v>40</v>
      </c>
      <c r="G553" s="160" t="s">
        <v>41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IFERROR(__xludf.DUMMYFUNCTION("IMPORTRANGE(""https://docs.google.com/spreadsheets/d/11923uPwbBZFjjGgGUA6NLw09EwE0CqkOc4q9oUmW1yo/edit?usp=sharing"",""เพชรบูรณ์!L448"")"),0)</f>
        <v>0</v>
      </c>
      <c r="M553" s="165"/>
      <c r="N553" s="168">
        <f ca="1">IFERROR(__xludf.DUMMYFUNCTION("IMPORTRANGE(""https://docs.google.com/spreadsheets/d/11923uPwbBZFjjGgGUA6NLw09EwE0CqkOc4q9oUmW1yo/edit?usp=sharing"",""เพชรบูรณ์!M448"")"),0)</f>
        <v>0</v>
      </c>
      <c r="O553" s="168">
        <f t="shared" ca="1" si="120"/>
        <v>0</v>
      </c>
      <c r="P553" s="168"/>
    </row>
    <row r="554" spans="1:16" ht="21.75" customHeight="1" x14ac:dyDescent="0.3">
      <c r="A554" s="156"/>
      <c r="B554" s="157"/>
      <c r="C554" s="157"/>
      <c r="D554" s="166"/>
      <c r="E554" s="159"/>
      <c r="F554" s="159"/>
      <c r="G554" s="372" t="s">
        <v>129</v>
      </c>
      <c r="H554" s="161" t="s">
        <v>12</v>
      </c>
      <c r="I554" s="162"/>
      <c r="J554" s="162"/>
      <c r="K554" s="163"/>
      <c r="L554" s="168">
        <f ca="1">IFERROR(__xludf.DUMMYFUNCTION("IMPORTRANGE(""https://docs.google.com/spreadsheets/d/11923uPwbBZFjjGgGUA6NLw09EwE0CqkOc4q9oUmW1yo/edit?usp=sharing"",""เพชรบูรณ์!L449"")"),0)</f>
        <v>0</v>
      </c>
      <c r="M554" s="168"/>
      <c r="N554" s="168">
        <f ca="1">IFERROR(__xludf.DUMMYFUNCTION("IMPORTRANGE(""https://docs.google.com/spreadsheets/d/11923uPwbBZFjjGgGUA6NLw09EwE0CqkOc4q9oUmW1yo/edit?usp=sharing"",""เพชรบูรณ์!M449"")"),0)</f>
        <v>0</v>
      </c>
      <c r="O554" s="168">
        <f t="shared" ca="1" si="120"/>
        <v>0</v>
      </c>
      <c r="P554" s="168"/>
    </row>
    <row r="555" spans="1:16" ht="21.75" customHeight="1" x14ac:dyDescent="0.3">
      <c r="A555" s="156"/>
      <c r="B555" s="157"/>
      <c r="C555" s="157"/>
      <c r="D555" s="166"/>
      <c r="E555" s="159"/>
      <c r="F555" s="159"/>
      <c r="G555" s="372" t="s">
        <v>130</v>
      </c>
      <c r="H555" s="161" t="s">
        <v>12</v>
      </c>
      <c r="I555" s="162"/>
      <c r="J555" s="162"/>
      <c r="K555" s="163"/>
      <c r="L555" s="168">
        <f ca="1">IFERROR(__xludf.DUMMYFUNCTION("IMPORTRANGE(""https://docs.google.com/spreadsheets/d/11923uPwbBZFjjGgGUA6NLw09EwE0CqkOc4q9oUmW1yo/edit?usp=sharing"",""เพชรบูรณ์!L450"")"),0)</f>
        <v>0</v>
      </c>
      <c r="M555" s="168"/>
      <c r="N555" s="168">
        <f ca="1">IFERROR(__xludf.DUMMYFUNCTION("IMPORTRANGE(""https://docs.google.com/spreadsheets/d/11923uPwbBZFjjGgGUA6NLw09EwE0CqkOc4q9oUmW1yo/edit?usp=sharing"",""เพชรบูรณ์!M450"")"),0)</f>
        <v>0</v>
      </c>
      <c r="O555" s="168">
        <f t="shared" ca="1" si="120"/>
        <v>0</v>
      </c>
      <c r="P555" s="168"/>
    </row>
    <row r="556" spans="1:16" ht="21.75" customHeight="1" x14ac:dyDescent="0.3">
      <c r="A556" s="373"/>
      <c r="B556" s="374"/>
      <c r="C556" s="157"/>
      <c r="D556" s="375"/>
      <c r="E556" s="159"/>
      <c r="F556" s="159"/>
      <c r="G556" s="376" t="s">
        <v>131</v>
      </c>
      <c r="H556" s="161" t="s">
        <v>12</v>
      </c>
      <c r="I556" s="187"/>
      <c r="J556" s="187"/>
      <c r="K556" s="223"/>
      <c r="L556" s="168"/>
      <c r="M556" s="168"/>
      <c r="N556" s="167">
        <f ca="1">IFERROR(__xludf.DUMMYFUNCTION("IMPORTRANGE(""https://docs.google.com/spreadsheets/d/11923uPwbBZFjjGgGUA6NLw09EwE0CqkOc4q9oUmW1yo/edit?usp=sharing"",""เพชรบูรณ์!M451"")"),0)</f>
        <v>0</v>
      </c>
      <c r="O556" s="168"/>
      <c r="P556" s="168"/>
    </row>
    <row r="557" spans="1:16" ht="21.75" customHeight="1" x14ac:dyDescent="0.3">
      <c r="A557" s="373"/>
      <c r="B557" s="374"/>
      <c r="C557" s="157"/>
      <c r="D557" s="375"/>
      <c r="E557" s="159"/>
      <c r="F557" s="159"/>
      <c r="G557" s="376" t="s">
        <v>132</v>
      </c>
      <c r="H557" s="161" t="s">
        <v>12</v>
      </c>
      <c r="I557" s="187"/>
      <c r="J557" s="187"/>
      <c r="K557" s="223"/>
      <c r="L557" s="168"/>
      <c r="M557" s="168"/>
      <c r="N557" s="167">
        <f ca="1">IFERROR(__xludf.DUMMYFUNCTION("IMPORTRANGE(""https://docs.google.com/spreadsheets/d/11923uPwbBZFjjGgGUA6NLw09EwE0CqkOc4q9oUmW1yo/edit?usp=sharing"",""เพชรบูรณ์!M452"")"),0)</f>
        <v>0</v>
      </c>
      <c r="O557" s="168"/>
      <c r="P557" s="168"/>
    </row>
    <row r="558" spans="1:16" ht="21.75" customHeight="1" x14ac:dyDescent="0.3">
      <c r="A558" s="373"/>
      <c r="B558" s="374"/>
      <c r="C558" s="157"/>
      <c r="D558" s="375"/>
      <c r="E558" s="159"/>
      <c r="F558" s="159"/>
      <c r="G558" s="376" t="s">
        <v>133</v>
      </c>
      <c r="H558" s="161" t="s">
        <v>12</v>
      </c>
      <c r="I558" s="187"/>
      <c r="J558" s="187"/>
      <c r="K558" s="223"/>
      <c r="L558" s="168"/>
      <c r="M558" s="168"/>
      <c r="N558" s="167">
        <f ca="1">IFERROR(__xludf.DUMMYFUNCTION("IMPORTRANGE(""https://docs.google.com/spreadsheets/d/11923uPwbBZFjjGgGUA6NLw09EwE0CqkOc4q9oUmW1yo/edit?usp=sharing"",""เพชรบูรณ์!M453"")"),0)</f>
        <v>0</v>
      </c>
      <c r="O558" s="168"/>
      <c r="P558" s="168"/>
    </row>
    <row r="559" spans="1:16" ht="21.75" customHeight="1" x14ac:dyDescent="0.3">
      <c r="A559" s="373"/>
      <c r="B559" s="374"/>
      <c r="C559" s="157"/>
      <c r="D559" s="375"/>
      <c r="E559" s="159"/>
      <c r="F559" s="159"/>
      <c r="G559" s="376" t="s">
        <v>134</v>
      </c>
      <c r="H559" s="161" t="s">
        <v>12</v>
      </c>
      <c r="I559" s="187"/>
      <c r="J559" s="187"/>
      <c r="K559" s="223"/>
      <c r="L559" s="168"/>
      <c r="M559" s="168"/>
      <c r="N559" s="167">
        <f ca="1">IFERROR(__xludf.DUMMYFUNCTION("IMPORTRANGE(""https://docs.google.com/spreadsheets/d/11923uPwbBZFjjGgGUA6NLw09EwE0CqkOc4q9oUmW1yo/edit?usp=sharing"",""เพชรบูรณ์!M454"")"),0)</f>
        <v>0</v>
      </c>
      <c r="O559" s="168"/>
      <c r="P559" s="168"/>
    </row>
    <row r="560" spans="1:16" ht="21.75" customHeight="1" x14ac:dyDescent="0.3">
      <c r="A560" s="175"/>
      <c r="B560" s="176"/>
      <c r="C560" s="176"/>
      <c r="D560" s="193"/>
      <c r="E560" s="195"/>
      <c r="F560" s="277" t="s">
        <v>206</v>
      </c>
      <c r="G560" s="196"/>
      <c r="H560" s="473" t="s">
        <v>122</v>
      </c>
      <c r="I560" s="162">
        <f ca="1">IFERROR(__xludf.DUMMYFUNCTION("IMPORTRANGE(""https://docs.google.com/spreadsheets/d/11923uPwbBZFjjGgGUA6NLw09EwE0CqkOc4q9oUmW1yo/edit?usp=sharing"",""เพชรบูรณ์!I455"")"),0)</f>
        <v>0</v>
      </c>
      <c r="J560" s="162">
        <f ca="1">IFERROR(__xludf.DUMMYFUNCTION("IMPORTRANGE(""https://docs.google.com/spreadsheets/d/11923uPwbBZFjjGgGUA6NLw09EwE0CqkOc4q9oUmW1yo/edit?usp=sharing"",""เพชรบูรณ์!J455"")"),0)</f>
        <v>0</v>
      </c>
      <c r="K560" s="223">
        <f t="shared" ref="K560:K564" ca="1" si="121">IF(I560&gt;0,J560*100/I560,0)</f>
        <v>0</v>
      </c>
      <c r="L560" s="168"/>
      <c r="M560" s="168"/>
      <c r="N560" s="168"/>
      <c r="O560" s="181"/>
      <c r="P560" s="181"/>
    </row>
    <row r="561" spans="1:16" ht="21.75" customHeight="1" x14ac:dyDescent="0.3">
      <c r="A561" s="175"/>
      <c r="B561" s="176"/>
      <c r="C561" s="176"/>
      <c r="D561" s="193"/>
      <c r="E561" s="195"/>
      <c r="F561" s="195"/>
      <c r="G561" s="196"/>
      <c r="H561" s="473" t="s">
        <v>36</v>
      </c>
      <c r="I561" s="162">
        <f ca="1">IFERROR(__xludf.DUMMYFUNCTION("IMPORTRANGE(""https://docs.google.com/spreadsheets/d/11923uPwbBZFjjGgGUA6NLw09EwE0CqkOc4q9oUmW1yo/edit?usp=sharing"",""เพชรบูรณ์!I456"")"),0)</f>
        <v>0</v>
      </c>
      <c r="J561" s="203">
        <f ca="1">IFERROR(__xludf.DUMMYFUNCTION("IMPORTRANGE(""https://docs.google.com/spreadsheets/d/11923uPwbBZFjjGgGUA6NLw09EwE0CqkOc4q9oUmW1yo/edit?usp=sharing"",""เพชรบูรณ์!J456"")"),0)</f>
        <v>0</v>
      </c>
      <c r="K561" s="223">
        <f t="shared" ca="1" si="121"/>
        <v>0</v>
      </c>
      <c r="L561" s="168"/>
      <c r="M561" s="168"/>
      <c r="N561" s="168"/>
      <c r="O561" s="181"/>
      <c r="P561" s="181"/>
    </row>
    <row r="562" spans="1:16" ht="21.75" customHeight="1" x14ac:dyDescent="0.3">
      <c r="A562" s="175"/>
      <c r="B562" s="176"/>
      <c r="C562" s="176"/>
      <c r="D562" s="193"/>
      <c r="E562" s="195"/>
      <c r="F562" s="195" t="s">
        <v>207</v>
      </c>
      <c r="G562" s="196"/>
      <c r="H562" s="473" t="s">
        <v>122</v>
      </c>
      <c r="I562" s="162">
        <v>0</v>
      </c>
      <c r="J562" s="203" t="str">
        <f ca="1">IFERROR(__xludf.DUMMYFUNCTION("IMPORTRANGE(""https://docs.google.com/spreadsheets/d/11923uPwbBZFjjGgGUA6NLw09EwE0CqkOc4q9oUmW1yo/edit?usp=sharing"",""เพชรบูรณ์!J457"")"),"")</f>
        <v/>
      </c>
      <c r="K562" s="163">
        <f t="shared" si="121"/>
        <v>0</v>
      </c>
      <c r="L562" s="181"/>
      <c r="M562" s="181"/>
      <c r="N562" s="181"/>
      <c r="O562" s="181"/>
      <c r="P562" s="181"/>
    </row>
    <row r="563" spans="1:16" ht="21.75" customHeight="1" x14ac:dyDescent="0.3">
      <c r="A563" s="175"/>
      <c r="B563" s="176"/>
      <c r="C563" s="176"/>
      <c r="D563" s="193"/>
      <c r="E563" s="195"/>
      <c r="F563" s="195"/>
      <c r="G563" s="196"/>
      <c r="H563" s="473" t="s">
        <v>36</v>
      </c>
      <c r="I563" s="162">
        <v>0</v>
      </c>
      <c r="J563" s="187" t="str">
        <f ca="1">IFERROR(__xludf.DUMMYFUNCTION("IMPORTRANGE(""https://docs.google.com/spreadsheets/d/11923uPwbBZFjjGgGUA6NLw09EwE0CqkOc4q9oUmW1yo/edit?usp=sharing"",""เพชรบูรณ์!J458"")"),"")</f>
        <v/>
      </c>
      <c r="K563" s="163">
        <f t="shared" si="121"/>
        <v>0</v>
      </c>
      <c r="L563" s="181"/>
      <c r="M563" s="181"/>
      <c r="N563" s="181"/>
      <c r="O563" s="181"/>
      <c r="P563" s="181"/>
    </row>
    <row r="564" spans="1:16" ht="21.75" customHeight="1" x14ac:dyDescent="0.3">
      <c r="A564" s="364"/>
      <c r="B564" s="365">
        <v>8</v>
      </c>
      <c r="C564" s="366" t="s">
        <v>208</v>
      </c>
      <c r="D564" s="366"/>
      <c r="E564" s="366"/>
      <c r="F564" s="366"/>
      <c r="G564" s="367"/>
      <c r="H564" s="368" t="s">
        <v>37</v>
      </c>
      <c r="I564" s="369">
        <f ca="1">IFERROR(__xludf.DUMMYFUNCTION("IMPORTRANGE(""https://docs.google.com/spreadsheets/d/11923uPwbBZFjjGgGUA6NLw09EwE0CqkOc4q9oUmW1yo/edit?usp=sharing"",""เพชรบูรณ์!I459"")"),3850)</f>
        <v>3850</v>
      </c>
      <c r="J564" s="369">
        <f ca="1">IFERROR(__xludf.DUMMYFUNCTION("IMPORTRANGE(""https://docs.google.com/spreadsheets/d/11923uPwbBZFjjGgGUA6NLw09EwE0CqkOc4q9oUmW1yo/edit?usp=sharing"",""เพชรบูรณ์!J459"")"),3981)</f>
        <v>3981</v>
      </c>
      <c r="K564" s="370">
        <f t="shared" ca="1" si="121"/>
        <v>103.40259740259741</v>
      </c>
      <c r="L564" s="371">
        <f ca="1">IFERROR(__xludf.DUMMYFUNCTION("IMPORTRANGE(""https://docs.google.com/spreadsheets/d/11923uPwbBZFjjGgGUA6NLw09EwE0CqkOc4q9oUmW1yo/edit?usp=sharing"",""เพชรบูรณ์!L459"")"),157200)</f>
        <v>157200</v>
      </c>
      <c r="M564" s="371"/>
      <c r="N564" s="371">
        <f ca="1">IFERROR(__xludf.DUMMYFUNCTION("IMPORTRANGE(""https://docs.google.com/spreadsheets/d/11923uPwbBZFjjGgGUA6NLw09EwE0CqkOc4q9oUmW1yo/edit?usp=sharing"",""เพชรบูรณ์!M459"")"),57681.46)</f>
        <v>57681.46</v>
      </c>
      <c r="O564" s="371">
        <f t="shared" ref="O564:O568" ca="1" si="122">+IF(L564&gt;0,N564*100/L564,0)</f>
        <v>36.693040712468196</v>
      </c>
      <c r="P564" s="371"/>
    </row>
    <row r="565" spans="1:16" ht="21.75" customHeight="1" x14ac:dyDescent="0.3">
      <c r="A565" s="156"/>
      <c r="B565" s="157"/>
      <c r="C565" s="157" t="s">
        <v>16</v>
      </c>
      <c r="D565" s="158" t="s">
        <v>38</v>
      </c>
      <c r="E565" s="159"/>
      <c r="F565" s="159"/>
      <c r="G565" s="160" t="s">
        <v>39</v>
      </c>
      <c r="H565" s="161" t="s">
        <v>12</v>
      </c>
      <c r="I565" s="162" t="s">
        <v>40</v>
      </c>
      <c r="J565" s="162"/>
      <c r="K565" s="163"/>
      <c r="L565" s="164">
        <f ca="1">IFERROR(__xludf.DUMMYFUNCTION("IMPORTRANGE(""https://docs.google.com/spreadsheets/d/11923uPwbBZFjjGgGUA6NLw09EwE0CqkOc4q9oUmW1yo/edit?usp=sharing"",""เพชรบูรณ์!L460"")"),0)</f>
        <v>0</v>
      </c>
      <c r="M565" s="164"/>
      <c r="N565" s="168">
        <f ca="1">IFERROR(__xludf.DUMMYFUNCTION("IMPORTRANGE(""https://docs.google.com/spreadsheets/d/11923uPwbBZFjjGgGUA6NLw09EwE0CqkOc4q9oUmW1yo/edit?usp=sharing"",""เพชรบูรณ์!M460"")"),0)</f>
        <v>0</v>
      </c>
      <c r="O565" s="168">
        <f t="shared" ca="1" si="122"/>
        <v>0</v>
      </c>
      <c r="P565" s="168"/>
    </row>
    <row r="566" spans="1:16" ht="21.75" customHeight="1" x14ac:dyDescent="0.3">
      <c r="A566" s="156"/>
      <c r="B566" s="157"/>
      <c r="C566" s="157"/>
      <c r="D566" s="166"/>
      <c r="E566" s="159"/>
      <c r="F566" s="159" t="s">
        <v>40</v>
      </c>
      <c r="G566" s="160" t="s">
        <v>41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IFERROR(__xludf.DUMMYFUNCTION("IMPORTRANGE(""https://docs.google.com/spreadsheets/d/11923uPwbBZFjjGgGUA6NLw09EwE0CqkOc4q9oUmW1yo/edit?usp=sharing"",""เพชรบูรณ์!L461"")"),157200)</f>
        <v>157200</v>
      </c>
      <c r="M566" s="165"/>
      <c r="N566" s="168">
        <f ca="1">IFERROR(__xludf.DUMMYFUNCTION("IMPORTRANGE(""https://docs.google.com/spreadsheets/d/11923uPwbBZFjjGgGUA6NLw09EwE0CqkOc4q9oUmW1yo/edit?usp=sharing"",""เพชรบูรณ์!M461"")"),57681.46)</f>
        <v>57681.46</v>
      </c>
      <c r="O566" s="168">
        <f t="shared" ca="1" si="122"/>
        <v>36.693040712468196</v>
      </c>
      <c r="P566" s="168"/>
    </row>
    <row r="567" spans="1:16" ht="21.75" customHeight="1" x14ac:dyDescent="0.3">
      <c r="A567" s="156"/>
      <c r="B567" s="157"/>
      <c r="C567" s="157"/>
      <c r="D567" s="166"/>
      <c r="E567" s="159"/>
      <c r="F567" s="159"/>
      <c r="G567" s="372" t="s">
        <v>129</v>
      </c>
      <c r="H567" s="161" t="s">
        <v>12</v>
      </c>
      <c r="I567" s="162"/>
      <c r="J567" s="162"/>
      <c r="K567" s="163"/>
      <c r="L567" s="168">
        <f ca="1">IFERROR(__xludf.DUMMYFUNCTION("IMPORTRANGE(""https://docs.google.com/spreadsheets/d/11923uPwbBZFjjGgGUA6NLw09EwE0CqkOc4q9oUmW1yo/edit?usp=sharing"",""เพชรบูรณ์!L462"")"),0)</f>
        <v>0</v>
      </c>
      <c r="M567" s="168"/>
      <c r="N567" s="168">
        <f ca="1">IFERROR(__xludf.DUMMYFUNCTION("IMPORTRANGE(""https://docs.google.com/spreadsheets/d/11923uPwbBZFjjGgGUA6NLw09EwE0CqkOc4q9oUmW1yo/edit?usp=sharing"",""เพชรบูรณ์!M462"")"),0)</f>
        <v>0</v>
      </c>
      <c r="O567" s="168">
        <f t="shared" ca="1" si="122"/>
        <v>0</v>
      </c>
      <c r="P567" s="168"/>
    </row>
    <row r="568" spans="1:16" ht="21.75" customHeight="1" x14ac:dyDescent="0.3">
      <c r="A568" s="156"/>
      <c r="B568" s="157"/>
      <c r="C568" s="157"/>
      <c r="D568" s="166"/>
      <c r="E568" s="159"/>
      <c r="F568" s="159"/>
      <c r="G568" s="372" t="s">
        <v>130</v>
      </c>
      <c r="H568" s="161" t="s">
        <v>12</v>
      </c>
      <c r="I568" s="162"/>
      <c r="J568" s="162"/>
      <c r="K568" s="163"/>
      <c r="L568" s="168">
        <f ca="1">IFERROR(__xludf.DUMMYFUNCTION("IMPORTRANGE(""https://docs.google.com/spreadsheets/d/11923uPwbBZFjjGgGUA6NLw09EwE0CqkOc4q9oUmW1yo/edit?usp=sharing"",""เพชรบูรณ์!L463"")"),157200)</f>
        <v>157200</v>
      </c>
      <c r="M568" s="168"/>
      <c r="N568" s="168">
        <f ca="1">IFERROR(__xludf.DUMMYFUNCTION("IMPORTRANGE(""https://docs.google.com/spreadsheets/d/11923uPwbBZFjjGgGUA6NLw09EwE0CqkOc4q9oUmW1yo/edit?usp=sharing"",""เพชรบูรณ์!M463"")"),57681.46)</f>
        <v>57681.46</v>
      </c>
      <c r="O568" s="168">
        <f t="shared" ca="1" si="122"/>
        <v>36.693040712468196</v>
      </c>
      <c r="P568" s="168"/>
    </row>
    <row r="569" spans="1:16" ht="21.75" customHeight="1" x14ac:dyDescent="0.3">
      <c r="A569" s="373"/>
      <c r="B569" s="374"/>
      <c r="C569" s="157"/>
      <c r="D569" s="375"/>
      <c r="E569" s="159"/>
      <c r="F569" s="159"/>
      <c r="G569" s="376" t="s">
        <v>131</v>
      </c>
      <c r="H569" s="161" t="s">
        <v>12</v>
      </c>
      <c r="I569" s="187"/>
      <c r="J569" s="187"/>
      <c r="K569" s="223"/>
      <c r="L569" s="168"/>
      <c r="M569" s="168"/>
      <c r="N569" s="167">
        <f ca="1">IFERROR(__xludf.DUMMYFUNCTION("IMPORTRANGE(""https://docs.google.com/spreadsheets/d/11923uPwbBZFjjGgGUA6NLw09EwE0CqkOc4q9oUmW1yo/edit?usp=sharing"",""เพชรบูรณ์!M464"")"),0)</f>
        <v>0</v>
      </c>
      <c r="O569" s="168"/>
      <c r="P569" s="168"/>
    </row>
    <row r="570" spans="1:16" ht="21.75" customHeight="1" x14ac:dyDescent="0.3">
      <c r="A570" s="373"/>
      <c r="B570" s="374"/>
      <c r="C570" s="157"/>
      <c r="D570" s="375"/>
      <c r="E570" s="159"/>
      <c r="F570" s="159"/>
      <c r="G570" s="376" t="s">
        <v>132</v>
      </c>
      <c r="H570" s="161" t="s">
        <v>12</v>
      </c>
      <c r="I570" s="187"/>
      <c r="J570" s="187"/>
      <c r="K570" s="223"/>
      <c r="L570" s="168"/>
      <c r="M570" s="168"/>
      <c r="N570" s="167">
        <f ca="1">IFERROR(__xludf.DUMMYFUNCTION("IMPORTRANGE(""https://docs.google.com/spreadsheets/d/11923uPwbBZFjjGgGUA6NLw09EwE0CqkOc4q9oUmW1yo/edit?usp=sharing"",""เพชรบูรณ์!M465"")"),0)</f>
        <v>0</v>
      </c>
      <c r="O570" s="168"/>
      <c r="P570" s="168"/>
    </row>
    <row r="571" spans="1:16" ht="21.75" customHeight="1" x14ac:dyDescent="0.3">
      <c r="A571" s="373"/>
      <c r="B571" s="374"/>
      <c r="C571" s="157"/>
      <c r="D571" s="375"/>
      <c r="E571" s="159"/>
      <c r="F571" s="159"/>
      <c r="G571" s="376" t="s">
        <v>133</v>
      </c>
      <c r="H571" s="161" t="s">
        <v>12</v>
      </c>
      <c r="I571" s="187"/>
      <c r="J571" s="187"/>
      <c r="K571" s="223"/>
      <c r="L571" s="168"/>
      <c r="M571" s="168"/>
      <c r="N571" s="377">
        <f ca="1">IFERROR(__xludf.DUMMYFUNCTION("IMPORTRANGE(""https://docs.google.com/spreadsheets/d/11923uPwbBZFjjGgGUA6NLw09EwE0CqkOc4q9oUmW1yo/edit?usp=sharing"",""เพชรบูรณ์!M466"")"),43248)</f>
        <v>43248</v>
      </c>
      <c r="O571" s="168"/>
      <c r="P571" s="168"/>
    </row>
    <row r="572" spans="1:16" ht="21.75" customHeight="1" x14ac:dyDescent="0.3">
      <c r="A572" s="373"/>
      <c r="B572" s="374"/>
      <c r="C572" s="157"/>
      <c r="D572" s="375"/>
      <c r="E572" s="159"/>
      <c r="F572" s="159"/>
      <c r="G572" s="376" t="s">
        <v>134</v>
      </c>
      <c r="H572" s="161" t="s">
        <v>12</v>
      </c>
      <c r="I572" s="187"/>
      <c r="J572" s="187"/>
      <c r="K572" s="223"/>
      <c r="L572" s="168"/>
      <c r="M572" s="168"/>
      <c r="N572" s="377">
        <f ca="1">IFERROR(__xludf.DUMMYFUNCTION("IMPORTRANGE(""https://docs.google.com/spreadsheets/d/11923uPwbBZFjjGgGUA6NLw09EwE0CqkOc4q9oUmW1yo/edit?usp=sharing"",""เพชรบูรณ์!M467"")"),14433.46)</f>
        <v>14433.46</v>
      </c>
      <c r="O572" s="168"/>
      <c r="P572" s="168"/>
    </row>
    <row r="573" spans="1:16" ht="21.75" customHeight="1" x14ac:dyDescent="0.3">
      <c r="A573" s="175"/>
      <c r="B573" s="176"/>
      <c r="C573" s="176"/>
      <c r="D573" s="195"/>
      <c r="E573" s="194" t="s">
        <v>40</v>
      </c>
      <c r="F573" s="412" t="s">
        <v>209</v>
      </c>
      <c r="G573" s="386"/>
      <c r="H573" s="474" t="s">
        <v>37</v>
      </c>
      <c r="I573" s="418">
        <f ca="1">IFERROR(__xludf.DUMMYFUNCTION("IMPORTRANGE(""https://docs.google.com/spreadsheets/d/11923uPwbBZFjjGgGUA6NLw09EwE0CqkOc4q9oUmW1yo/edit?usp=sharing"",""เพชรบูรณ์!I468"")"),3850)</f>
        <v>3850</v>
      </c>
      <c r="J573" s="418">
        <f ca="1">IFERROR(__xludf.DUMMYFUNCTION("IMPORTRANGE(""https://docs.google.com/spreadsheets/d/11923uPwbBZFjjGgGUA6NLw09EwE0CqkOc4q9oUmW1yo/edit?usp=sharing"",""เพชรบูรณ์!J468"")"),3981)</f>
        <v>3981</v>
      </c>
      <c r="K573" s="201">
        <f ca="1">IF(I573&gt;0,J573*100/I573,0)</f>
        <v>103.40259740259741</v>
      </c>
      <c r="L573" s="181"/>
      <c r="M573" s="181"/>
      <c r="N573" s="181"/>
      <c r="O573" s="181"/>
      <c r="P573" s="181"/>
    </row>
    <row r="574" spans="1:16" ht="21.75" customHeight="1" x14ac:dyDescent="0.3">
      <c r="A574" s="175"/>
      <c r="B574" s="176"/>
      <c r="C574" s="176"/>
      <c r="D574" s="195"/>
      <c r="E574" s="195"/>
      <c r="F574" s="194" t="s">
        <v>210</v>
      </c>
      <c r="G574" s="196"/>
      <c r="H574" s="473"/>
      <c r="I574" s="162"/>
      <c r="J574" s="162"/>
      <c r="K574" s="163"/>
      <c r="L574" s="181"/>
      <c r="M574" s="181"/>
      <c r="N574" s="181"/>
      <c r="O574" s="181"/>
      <c r="P574" s="181"/>
    </row>
    <row r="575" spans="1:16" ht="21.75" customHeight="1" x14ac:dyDescent="0.3">
      <c r="A575" s="175"/>
      <c r="B575" s="176"/>
      <c r="C575" s="176"/>
      <c r="D575" s="195"/>
      <c r="E575" s="194" t="s">
        <v>40</v>
      </c>
      <c r="F575" s="194" t="s">
        <v>211</v>
      </c>
      <c r="G575" s="196"/>
      <c r="H575" s="473" t="s">
        <v>77</v>
      </c>
      <c r="I575" s="202">
        <f ca="1">IFERROR(__xludf.DUMMYFUNCTION("IMPORTRANGE(""https://docs.google.com/spreadsheets/d/11923uPwbBZFjjGgGUA6NLw09EwE0CqkOc4q9oUmW1yo/edit?usp=sharing"",""เพชรบูรณ์!I470"")"),0)</f>
        <v>0</v>
      </c>
      <c r="J575" s="197">
        <f ca="1">IFERROR(__xludf.DUMMYFUNCTION("IMPORTRANGE(""https://docs.google.com/spreadsheets/d/11923uPwbBZFjjGgGUA6NLw09EwE0CqkOc4q9oUmW1yo/edit?usp=sharing"",""เพชรบูรณ์!J470"")"),3)</f>
        <v>3</v>
      </c>
      <c r="K575" s="163">
        <f t="shared" ref="K575:K579" ca="1" si="123">IF(I575&gt;0,J575*100/I575,0)</f>
        <v>0</v>
      </c>
      <c r="L575" s="181"/>
      <c r="M575" s="181"/>
      <c r="N575" s="181"/>
      <c r="O575" s="181"/>
      <c r="P575" s="181"/>
    </row>
    <row r="576" spans="1:16" ht="21.75" customHeight="1" x14ac:dyDescent="0.3">
      <c r="A576" s="175"/>
      <c r="B576" s="176"/>
      <c r="C576" s="176"/>
      <c r="D576" s="195"/>
      <c r="E576" s="195"/>
      <c r="F576" s="194" t="s">
        <v>212</v>
      </c>
      <c r="G576" s="196"/>
      <c r="H576" s="473" t="s">
        <v>37</v>
      </c>
      <c r="I576" s="202">
        <f ca="1">IFERROR(__xludf.DUMMYFUNCTION("IMPORTRANGE(""https://docs.google.com/spreadsheets/d/11923uPwbBZFjjGgGUA6NLw09EwE0CqkOc4q9oUmW1yo/edit?usp=sharing"",""เพชรบูรณ์!I471"")"),0)</f>
        <v>0</v>
      </c>
      <c r="J576" s="197">
        <f ca="1">IFERROR(__xludf.DUMMYFUNCTION("IMPORTRANGE(""https://docs.google.com/spreadsheets/d/11923uPwbBZFjjGgGUA6NLw09EwE0CqkOc4q9oUmW1yo/edit?usp=sharing"",""เพชรบูรณ์!J471"")"),377)</f>
        <v>377</v>
      </c>
      <c r="K576" s="163">
        <f t="shared" ca="1" si="123"/>
        <v>0</v>
      </c>
      <c r="L576" s="181"/>
      <c r="M576" s="181"/>
      <c r="N576" s="181"/>
      <c r="O576" s="181"/>
      <c r="P576" s="181"/>
    </row>
    <row r="577" spans="1:16" ht="21.75" customHeight="1" x14ac:dyDescent="0.3">
      <c r="A577" s="175"/>
      <c r="B577" s="176"/>
      <c r="C577" s="176"/>
      <c r="D577" s="195"/>
      <c r="E577" s="195"/>
      <c r="F577" s="194" t="s">
        <v>213</v>
      </c>
      <c r="G577" s="196"/>
      <c r="H577" s="473" t="s">
        <v>37</v>
      </c>
      <c r="I577" s="202">
        <f ca="1">IFERROR(__xludf.DUMMYFUNCTION("IMPORTRANGE(""https://docs.google.com/spreadsheets/d/11923uPwbBZFjjGgGUA6NLw09EwE0CqkOc4q9oUmW1yo/edit?usp=sharing"",""เพชรบูรณ์!I472"")"),0)</f>
        <v>0</v>
      </c>
      <c r="J577" s="188">
        <f ca="1">IFERROR(__xludf.DUMMYFUNCTION("IMPORTRANGE(""https://docs.google.com/spreadsheets/d/11923uPwbBZFjjGgGUA6NLw09EwE0CqkOc4q9oUmW1yo/edit?usp=sharing"",""เพชรบูรณ์!J472"")"),3572)</f>
        <v>3572</v>
      </c>
      <c r="K577" s="163">
        <f t="shared" ca="1" si="123"/>
        <v>0</v>
      </c>
      <c r="L577" s="181"/>
      <c r="M577" s="181"/>
      <c r="N577" s="181"/>
      <c r="O577" s="181"/>
      <c r="P577" s="181"/>
    </row>
    <row r="578" spans="1:16" ht="21.75" customHeight="1" x14ac:dyDescent="0.3">
      <c r="A578" s="175"/>
      <c r="B578" s="176"/>
      <c r="C578" s="176"/>
      <c r="D578" s="195"/>
      <c r="E578" s="195"/>
      <c r="F578" s="194" t="s">
        <v>214</v>
      </c>
      <c r="G578" s="419"/>
      <c r="H578" s="473" t="s">
        <v>37</v>
      </c>
      <c r="I578" s="202">
        <f ca="1">IFERROR(__xludf.DUMMYFUNCTION("IMPORTRANGE(""https://docs.google.com/spreadsheets/d/11923uPwbBZFjjGgGUA6NLw09EwE0CqkOc4q9oUmW1yo/edit?usp=sharing"",""เพชรบูรณ์!I473"")"),0)</f>
        <v>0</v>
      </c>
      <c r="J578" s="197">
        <f ca="1">IFERROR(__xludf.DUMMYFUNCTION("IMPORTRANGE(""https://docs.google.com/spreadsheets/d/11923uPwbBZFjjGgGUA6NLw09EwE0CqkOc4q9oUmW1yo/edit?usp=sharing"",""เพชรบูรณ์!J473"")"),2)</f>
        <v>2</v>
      </c>
      <c r="K578" s="163">
        <f t="shared" ca="1" si="123"/>
        <v>0</v>
      </c>
      <c r="L578" s="181"/>
      <c r="M578" s="181"/>
      <c r="N578" s="181"/>
      <c r="O578" s="181"/>
      <c r="P578" s="181"/>
    </row>
    <row r="579" spans="1:16" ht="21.75" customHeight="1" x14ac:dyDescent="0.3">
      <c r="A579" s="175"/>
      <c r="B579" s="176"/>
      <c r="C579" s="176"/>
      <c r="D579" s="195"/>
      <c r="E579" s="195"/>
      <c r="F579" s="194" t="s">
        <v>215</v>
      </c>
      <c r="G579" s="419"/>
      <c r="H579" s="473" t="s">
        <v>37</v>
      </c>
      <c r="I579" s="202">
        <f ca="1">IFERROR(__xludf.DUMMYFUNCTION("IMPORTRANGE(""https://docs.google.com/spreadsheets/d/11923uPwbBZFjjGgGUA6NLw09EwE0CqkOc4q9oUmW1yo/edit?usp=sharing"",""เพชรบูรณ์!I474"")"),0)</f>
        <v>0</v>
      </c>
      <c r="J579" s="197">
        <f ca="1">IFERROR(__xludf.DUMMYFUNCTION("IMPORTRANGE(""https://docs.google.com/spreadsheets/d/11923uPwbBZFjjGgGUA6NLw09EwE0CqkOc4q9oUmW1yo/edit?usp=sharing"",""เพชรบูรณ์!J474"")"),30)</f>
        <v>30</v>
      </c>
      <c r="K579" s="163">
        <f t="shared" ca="1" si="123"/>
        <v>0</v>
      </c>
      <c r="L579" s="181"/>
      <c r="M579" s="181"/>
      <c r="N579" s="181"/>
      <c r="O579" s="181"/>
      <c r="P579" s="181"/>
    </row>
    <row r="580" spans="1:16" ht="21.75" customHeight="1" x14ac:dyDescent="0.3">
      <c r="A580" s="364"/>
      <c r="B580" s="365">
        <v>9</v>
      </c>
      <c r="C580" s="475" t="s">
        <v>216</v>
      </c>
      <c r="D580" s="366"/>
      <c r="E580" s="366"/>
      <c r="F580" s="366"/>
      <c r="G580" s="367"/>
      <c r="H580" s="368" t="s">
        <v>37</v>
      </c>
      <c r="I580" s="369">
        <f ca="1">IFERROR(__xludf.DUMMYFUNCTION("IMPORTRANGE(""https://docs.google.com/spreadsheets/d/11923uPwbBZFjjGgGUA6NLw09EwE0CqkOc4q9oUmW1yo/edit?usp=sharing"",""เพชรบูรณ์!I475"")"),300)</f>
        <v>300</v>
      </c>
      <c r="J580" s="369">
        <f ca="1">IFERROR(__xludf.DUMMYFUNCTION("IMPORTRANGE(""https://docs.google.com/spreadsheets/d/11923uPwbBZFjjGgGUA6NLw09EwE0CqkOc4q9oUmW1yo/edit?usp=sharing"",""เพชรบูรณ์!J475"")"),21)</f>
        <v>21</v>
      </c>
      <c r="K580" s="370">
        <f ca="1">IF(I580&gt;0,J580*100/I580,0)</f>
        <v>7</v>
      </c>
      <c r="L580" s="371">
        <f ca="1">IFERROR(__xludf.DUMMYFUNCTION("IMPORTRANGE(""https://docs.google.com/spreadsheets/d/11923uPwbBZFjjGgGUA6NLw09EwE0CqkOc4q9oUmW1yo/edit?usp=sharing"",""เพชรบูรณ์!L475"")"),346950)</f>
        <v>346950</v>
      </c>
      <c r="M580" s="371"/>
      <c r="N580" s="371">
        <f ca="1">IFERROR(__xludf.DUMMYFUNCTION("IMPORTRANGE(""https://docs.google.com/spreadsheets/d/11923uPwbBZFjjGgGUA6NLw09EwE0CqkOc4q9oUmW1yo/edit?usp=sharing"",""เพชรบูรณ์!M475"")"),100936)</f>
        <v>100936</v>
      </c>
      <c r="O580" s="371">
        <f t="shared" ref="O580:O584" ca="1" si="124">+IF(L580&gt;0,N580*100/L580,0)</f>
        <v>29.092376423115724</v>
      </c>
      <c r="P580" s="371"/>
    </row>
    <row r="581" spans="1:16" ht="21.75" customHeight="1" x14ac:dyDescent="0.3">
      <c r="A581" s="156"/>
      <c r="B581" s="157"/>
      <c r="C581" s="157" t="s">
        <v>16</v>
      </c>
      <c r="D581" s="158" t="s">
        <v>38</v>
      </c>
      <c r="E581" s="159"/>
      <c r="F581" s="159"/>
      <c r="G581" s="160" t="s">
        <v>39</v>
      </c>
      <c r="H581" s="161" t="s">
        <v>12</v>
      </c>
      <c r="I581" s="162" t="s">
        <v>40</v>
      </c>
      <c r="J581" s="162"/>
      <c r="K581" s="163"/>
      <c r="L581" s="164">
        <f ca="1">IFERROR(__xludf.DUMMYFUNCTION("IMPORTRANGE(""https://docs.google.com/spreadsheets/d/11923uPwbBZFjjGgGUA6NLw09EwE0CqkOc4q9oUmW1yo/edit?usp=sharing"",""เพชรบูรณ์!L476"")"),0)</f>
        <v>0</v>
      </c>
      <c r="M581" s="164"/>
      <c r="N581" s="168">
        <f ca="1">IFERROR(__xludf.DUMMYFUNCTION("IMPORTRANGE(""https://docs.google.com/spreadsheets/d/11923uPwbBZFjjGgGUA6NLw09EwE0CqkOc4q9oUmW1yo/edit?usp=sharing"",""เพชรบูรณ์!M476"")"),0)</f>
        <v>0</v>
      </c>
      <c r="O581" s="168">
        <f t="shared" ca="1" si="124"/>
        <v>0</v>
      </c>
      <c r="P581" s="168"/>
    </row>
    <row r="582" spans="1:16" ht="21.75" customHeight="1" x14ac:dyDescent="0.3">
      <c r="A582" s="156"/>
      <c r="B582" s="157"/>
      <c r="C582" s="157"/>
      <c r="D582" s="166"/>
      <c r="E582" s="159"/>
      <c r="F582" s="159" t="s">
        <v>40</v>
      </c>
      <c r="G582" s="160" t="s">
        <v>41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IFERROR(__xludf.DUMMYFUNCTION("IMPORTRANGE(""https://docs.google.com/spreadsheets/d/11923uPwbBZFjjGgGUA6NLw09EwE0CqkOc4q9oUmW1yo/edit?usp=sharing"",""เพชรบูรณ์!L477"")"),346950)</f>
        <v>346950</v>
      </c>
      <c r="M582" s="165"/>
      <c r="N582" s="168">
        <f ca="1">IFERROR(__xludf.DUMMYFUNCTION("IMPORTRANGE(""https://docs.google.com/spreadsheets/d/11923uPwbBZFjjGgGUA6NLw09EwE0CqkOc4q9oUmW1yo/edit?usp=sharing"",""เพชรบูรณ์!M477"")"),100936)</f>
        <v>100936</v>
      </c>
      <c r="O582" s="168">
        <f t="shared" ca="1" si="124"/>
        <v>29.092376423115724</v>
      </c>
      <c r="P582" s="168"/>
    </row>
    <row r="583" spans="1:16" ht="21.75" customHeight="1" x14ac:dyDescent="0.3">
      <c r="A583" s="156"/>
      <c r="B583" s="157"/>
      <c r="C583" s="157"/>
      <c r="D583" s="166"/>
      <c r="E583" s="159"/>
      <c r="F583" s="159"/>
      <c r="G583" s="372" t="s">
        <v>129</v>
      </c>
      <c r="H583" s="161" t="s">
        <v>12</v>
      </c>
      <c r="I583" s="162"/>
      <c r="J583" s="162"/>
      <c r="K583" s="163"/>
      <c r="L583" s="168">
        <f ca="1">IFERROR(__xludf.DUMMYFUNCTION("IMPORTRANGE(""https://docs.google.com/spreadsheets/d/11923uPwbBZFjjGgGUA6NLw09EwE0CqkOc4q9oUmW1yo/edit?usp=sharing"",""เพชรบูรณ์!L478"")"),0)</f>
        <v>0</v>
      </c>
      <c r="M583" s="168"/>
      <c r="N583" s="168">
        <f ca="1">IFERROR(__xludf.DUMMYFUNCTION("IMPORTRANGE(""https://docs.google.com/spreadsheets/d/11923uPwbBZFjjGgGUA6NLw09EwE0CqkOc4q9oUmW1yo/edit?usp=sharing"",""เพชรบูรณ์!M478"")"),0)</f>
        <v>0</v>
      </c>
      <c r="O583" s="168">
        <f t="shared" ca="1" si="124"/>
        <v>0</v>
      </c>
      <c r="P583" s="168"/>
    </row>
    <row r="584" spans="1:16" ht="21.75" customHeight="1" x14ac:dyDescent="0.3">
      <c r="A584" s="156"/>
      <c r="B584" s="157"/>
      <c r="C584" s="157"/>
      <c r="D584" s="166"/>
      <c r="E584" s="159"/>
      <c r="F584" s="159"/>
      <c r="G584" s="372" t="s">
        <v>130</v>
      </c>
      <c r="H584" s="161" t="s">
        <v>12</v>
      </c>
      <c r="I584" s="162"/>
      <c r="J584" s="162"/>
      <c r="K584" s="163"/>
      <c r="L584" s="168">
        <f ca="1">IFERROR(__xludf.DUMMYFUNCTION("IMPORTRANGE(""https://docs.google.com/spreadsheets/d/11923uPwbBZFjjGgGUA6NLw09EwE0CqkOc4q9oUmW1yo/edit?usp=sharing"",""เพชรบูรณ์!L479"")"),346950)</f>
        <v>346950</v>
      </c>
      <c r="M584" s="168"/>
      <c r="N584" s="168">
        <f ca="1">IFERROR(__xludf.DUMMYFUNCTION("IMPORTRANGE(""https://docs.google.com/spreadsheets/d/11923uPwbBZFjjGgGUA6NLw09EwE0CqkOc4q9oUmW1yo/edit?usp=sharing"",""เพชรบูรณ์!M479"")"),100936)</f>
        <v>100936</v>
      </c>
      <c r="O584" s="168">
        <f t="shared" ca="1" si="124"/>
        <v>29.092376423115724</v>
      </c>
      <c r="P584" s="168"/>
    </row>
    <row r="585" spans="1:16" ht="21.75" customHeight="1" x14ac:dyDescent="0.3">
      <c r="A585" s="373"/>
      <c r="B585" s="374"/>
      <c r="C585" s="157"/>
      <c r="D585" s="375"/>
      <c r="E585" s="159"/>
      <c r="F585" s="159"/>
      <c r="G585" s="376" t="s">
        <v>131</v>
      </c>
      <c r="H585" s="161" t="s">
        <v>12</v>
      </c>
      <c r="I585" s="187"/>
      <c r="J585" s="187"/>
      <c r="K585" s="223"/>
      <c r="L585" s="168"/>
      <c r="M585" s="168"/>
      <c r="N585" s="167">
        <f ca="1">IFERROR(__xludf.DUMMYFUNCTION("IMPORTRANGE(""https://docs.google.com/spreadsheets/d/11923uPwbBZFjjGgGUA6NLw09EwE0CqkOc4q9oUmW1yo/edit?usp=sharing"",""เพชรบูรณ์!M480"")"),0)</f>
        <v>0</v>
      </c>
      <c r="O585" s="168"/>
      <c r="P585" s="168"/>
    </row>
    <row r="586" spans="1:16" ht="21.75" customHeight="1" x14ac:dyDescent="0.3">
      <c r="A586" s="373"/>
      <c r="B586" s="374"/>
      <c r="C586" s="157"/>
      <c r="D586" s="375"/>
      <c r="E586" s="159"/>
      <c r="F586" s="159"/>
      <c r="G586" s="376" t="s">
        <v>132</v>
      </c>
      <c r="H586" s="161" t="s">
        <v>12</v>
      </c>
      <c r="I586" s="187"/>
      <c r="J586" s="187"/>
      <c r="K586" s="223"/>
      <c r="L586" s="168"/>
      <c r="M586" s="168"/>
      <c r="N586" s="167">
        <f ca="1">IFERROR(__xludf.DUMMYFUNCTION("IMPORTRANGE(""https://docs.google.com/spreadsheets/d/11923uPwbBZFjjGgGUA6NLw09EwE0CqkOc4q9oUmW1yo/edit?usp=sharing"",""เพชรบูรณ์!M481"")"),0)</f>
        <v>0</v>
      </c>
      <c r="O586" s="168"/>
      <c r="P586" s="168"/>
    </row>
    <row r="587" spans="1:16" ht="21.75" customHeight="1" x14ac:dyDescent="0.3">
      <c r="A587" s="373"/>
      <c r="B587" s="374"/>
      <c r="C587" s="157"/>
      <c r="D587" s="375"/>
      <c r="E587" s="159"/>
      <c r="F587" s="159"/>
      <c r="G587" s="376" t="s">
        <v>133</v>
      </c>
      <c r="H587" s="161" t="s">
        <v>12</v>
      </c>
      <c r="I587" s="187"/>
      <c r="J587" s="187"/>
      <c r="K587" s="223"/>
      <c r="L587" s="168"/>
      <c r="M587" s="168"/>
      <c r="N587" s="167">
        <f ca="1">IFERROR(__xludf.DUMMYFUNCTION("IMPORTRANGE(""https://docs.google.com/spreadsheets/d/11923uPwbBZFjjGgGUA6NLw09EwE0CqkOc4q9oUmW1yo/edit?usp=sharing"",""เพชรบูรณ์!M482"")"),37026)</f>
        <v>37026</v>
      </c>
      <c r="O587" s="168"/>
      <c r="P587" s="168"/>
    </row>
    <row r="588" spans="1:16" ht="21.75" customHeight="1" x14ac:dyDescent="0.3">
      <c r="A588" s="373"/>
      <c r="B588" s="374"/>
      <c r="C588" s="157"/>
      <c r="D588" s="375"/>
      <c r="E588" s="159"/>
      <c r="F588" s="159"/>
      <c r="G588" s="376" t="s">
        <v>134</v>
      </c>
      <c r="H588" s="161" t="s">
        <v>12</v>
      </c>
      <c r="I588" s="187"/>
      <c r="J588" s="187"/>
      <c r="K588" s="223"/>
      <c r="L588" s="168"/>
      <c r="M588" s="168"/>
      <c r="N588" s="167">
        <f ca="1">IFERROR(__xludf.DUMMYFUNCTION("IMPORTRANGE(""https://docs.google.com/spreadsheets/d/11923uPwbBZFjjGgGUA6NLw09EwE0CqkOc4q9oUmW1yo/edit?usp=sharing"",""เพชรบูรณ์!M483"")"),63910)</f>
        <v>63910</v>
      </c>
      <c r="O588" s="168"/>
      <c r="P588" s="168"/>
    </row>
    <row r="589" spans="1:16" ht="21.75" customHeight="1" x14ac:dyDescent="0.3">
      <c r="A589" s="476"/>
      <c r="B589" s="166"/>
      <c r="C589" s="157"/>
      <c r="D589" s="289"/>
      <c r="E589" s="194" t="s">
        <v>217</v>
      </c>
      <c r="F589" s="195"/>
      <c r="G589" s="196"/>
      <c r="H589" s="180" t="s">
        <v>36</v>
      </c>
      <c r="I589" s="339">
        <f ca="1">IFERROR(__xludf.DUMMYFUNCTION("IMPORTRANGE(""https://docs.google.com/spreadsheets/d/11923uPwbBZFjjGgGUA6NLw09EwE0CqkOc4q9oUmW1yo/edit?usp=sharing"",""เพชรบูรณ์!I484"")"),300)</f>
        <v>300</v>
      </c>
      <c r="J589" s="187">
        <f ca="1">IFERROR(__xludf.DUMMYFUNCTION("IMPORTRANGE(""https://docs.google.com/spreadsheets/d/11923uPwbBZFjjGgGUA6NLw09EwE0CqkOc4q9oUmW1yo/edit?usp=sharing"",""เพชรบูรณ์!J484"")"),93)</f>
        <v>93</v>
      </c>
      <c r="K589" s="163">
        <f t="shared" ref="K589:K596" ca="1" si="125">IF(I589&gt;0,J589*100/I589,0)</f>
        <v>31</v>
      </c>
      <c r="L589" s="181"/>
      <c r="M589" s="181"/>
      <c r="N589" s="168"/>
      <c r="O589" s="181"/>
      <c r="P589" s="181"/>
    </row>
    <row r="590" spans="1:16" ht="21.75" customHeight="1" x14ac:dyDescent="0.3">
      <c r="A590" s="476"/>
      <c r="B590" s="166"/>
      <c r="C590" s="157"/>
      <c r="D590" s="289"/>
      <c r="E590" s="195"/>
      <c r="F590" s="195"/>
      <c r="G590" s="196"/>
      <c r="H590" s="180" t="s">
        <v>122</v>
      </c>
      <c r="I590" s="343">
        <f ca="1">IFERROR(__xludf.DUMMYFUNCTION("IMPORTRANGE(""https://docs.google.com/spreadsheets/d/11923uPwbBZFjjGgGUA6NLw09EwE0CqkOc4q9oUmW1yo/edit?usp=sharing"",""เพชรบูรณ์!I485"")"),0)</f>
        <v>0</v>
      </c>
      <c r="J590" s="187">
        <f ca="1">IFERROR(__xludf.DUMMYFUNCTION("IMPORTRANGE(""https://docs.google.com/spreadsheets/d/11923uPwbBZFjjGgGUA6NLw09EwE0CqkOc4q9oUmW1yo/edit?usp=sharing"",""เพชรบูรณ์!J485"")"),55.24)</f>
        <v>55.24</v>
      </c>
      <c r="K590" s="477">
        <f t="shared" ca="1" si="125"/>
        <v>0</v>
      </c>
      <c r="L590" s="181"/>
      <c r="M590" s="181"/>
      <c r="N590" s="168"/>
      <c r="O590" s="181"/>
      <c r="P590" s="181"/>
    </row>
    <row r="591" spans="1:16" ht="21.75" customHeight="1" x14ac:dyDescent="0.3">
      <c r="A591" s="476"/>
      <c r="B591" s="166"/>
      <c r="C591" s="157"/>
      <c r="D591" s="289"/>
      <c r="E591" s="194" t="s">
        <v>123</v>
      </c>
      <c r="F591" s="195"/>
      <c r="G591" s="196"/>
      <c r="H591" s="180" t="s">
        <v>37</v>
      </c>
      <c r="I591" s="339">
        <f ca="1">IFERROR(__xludf.DUMMYFUNCTION("IMPORTRANGE(""https://docs.google.com/spreadsheets/d/11923uPwbBZFjjGgGUA6NLw09EwE0CqkOc4q9oUmW1yo/edit?usp=sharing"",""เพชรบูรณ์!I486"")"),300)</f>
        <v>300</v>
      </c>
      <c r="J591" s="187">
        <f ca="1">IFERROR(__xludf.DUMMYFUNCTION("IMPORTRANGE(""https://docs.google.com/spreadsheets/d/11923uPwbBZFjjGgGUA6NLw09EwE0CqkOc4q9oUmW1yo/edit?usp=sharing"",""เพชรบูรณ์!J486"")"),14)</f>
        <v>14</v>
      </c>
      <c r="K591" s="163">
        <f t="shared" ca="1" si="125"/>
        <v>4.666666666666667</v>
      </c>
      <c r="L591" s="181"/>
      <c r="M591" s="181"/>
      <c r="N591" s="181"/>
      <c r="O591" s="181"/>
      <c r="P591" s="181"/>
    </row>
    <row r="592" spans="1:16" ht="21.75" customHeight="1" x14ac:dyDescent="0.3">
      <c r="A592" s="476"/>
      <c r="B592" s="166"/>
      <c r="C592" s="157"/>
      <c r="D592" s="289"/>
      <c r="E592" s="195"/>
      <c r="F592" s="195"/>
      <c r="G592" s="196"/>
      <c r="H592" s="180" t="s">
        <v>122</v>
      </c>
      <c r="I592" s="343">
        <f ca="1">IFERROR(__xludf.DUMMYFUNCTION("IMPORTRANGE(""https://docs.google.com/spreadsheets/d/11923uPwbBZFjjGgGUA6NLw09EwE0CqkOc4q9oUmW1yo/edit?usp=sharing"",""เพชรบูรณ์!I487"")"),0)</f>
        <v>0</v>
      </c>
      <c r="J592" s="187">
        <f ca="1">IFERROR(__xludf.DUMMYFUNCTION("IMPORTRANGE(""https://docs.google.com/spreadsheets/d/11923uPwbBZFjjGgGUA6NLw09EwE0CqkOc4q9oUmW1yo/edit?usp=sharing"",""เพชรบูรณ์!J487"")"),7.91)</f>
        <v>7.91</v>
      </c>
      <c r="K592" s="340">
        <f t="shared" ca="1" si="125"/>
        <v>0</v>
      </c>
      <c r="L592" s="181"/>
      <c r="M592" s="181"/>
      <c r="N592" s="181"/>
      <c r="O592" s="181"/>
      <c r="P592" s="181"/>
    </row>
    <row r="593" spans="1:16" ht="21.75" customHeight="1" x14ac:dyDescent="0.3">
      <c r="A593" s="476"/>
      <c r="B593" s="166"/>
      <c r="C593" s="157"/>
      <c r="D593" s="289"/>
      <c r="E593" s="194" t="s">
        <v>124</v>
      </c>
      <c r="F593" s="195"/>
      <c r="G593" s="196"/>
      <c r="H593" s="180" t="s">
        <v>37</v>
      </c>
      <c r="I593" s="339">
        <f ca="1">IFERROR(__xludf.DUMMYFUNCTION("IMPORTRANGE(""https://docs.google.com/spreadsheets/d/11923uPwbBZFjjGgGUA6NLw09EwE0CqkOc4q9oUmW1yo/edit?usp=sharing"",""เพชรบูรณ์!I488"")"),300)</f>
        <v>300</v>
      </c>
      <c r="J593" s="187">
        <f ca="1">IFERROR(__xludf.DUMMYFUNCTION("IMPORTRANGE(""https://docs.google.com/spreadsheets/d/11923uPwbBZFjjGgGUA6NLw09EwE0CqkOc4q9oUmW1yo/edit?usp=sharing"",""เพชรบูรณ์!J488"")"),0)</f>
        <v>0</v>
      </c>
      <c r="K593" s="163">
        <f t="shared" ca="1" si="125"/>
        <v>0</v>
      </c>
      <c r="L593" s="181"/>
      <c r="M593" s="181"/>
      <c r="N593" s="181"/>
      <c r="O593" s="181"/>
      <c r="P593" s="181"/>
    </row>
    <row r="594" spans="1:16" ht="21.75" customHeight="1" x14ac:dyDescent="0.3">
      <c r="A594" s="476"/>
      <c r="B594" s="166"/>
      <c r="C594" s="157"/>
      <c r="D594" s="289"/>
      <c r="E594" s="195"/>
      <c r="F594" s="195"/>
      <c r="G594" s="196"/>
      <c r="H594" s="180" t="s">
        <v>122</v>
      </c>
      <c r="I594" s="343">
        <f ca="1">IFERROR(__xludf.DUMMYFUNCTION("IMPORTRANGE(""https://docs.google.com/spreadsheets/d/11923uPwbBZFjjGgGUA6NLw09EwE0CqkOc4q9oUmW1yo/edit?usp=sharing"",""เพชรบูรณ์!I489"")"),0)</f>
        <v>0</v>
      </c>
      <c r="J594" s="187">
        <f ca="1">IFERROR(__xludf.DUMMYFUNCTION("IMPORTRANGE(""https://docs.google.com/spreadsheets/d/11923uPwbBZFjjGgGUA6NLw09EwE0CqkOc4q9oUmW1yo/edit?usp=sharing"",""เพชรบูรณ์!J489"")"),0)</f>
        <v>0</v>
      </c>
      <c r="K594" s="340">
        <f t="shared" ca="1" si="125"/>
        <v>0</v>
      </c>
      <c r="L594" s="181"/>
      <c r="M594" s="181"/>
      <c r="N594" s="181"/>
      <c r="O594" s="181"/>
      <c r="P594" s="181"/>
    </row>
    <row r="595" spans="1:16" ht="21.75" customHeight="1" x14ac:dyDescent="0.3">
      <c r="A595" s="476"/>
      <c r="B595" s="166"/>
      <c r="C595" s="157"/>
      <c r="D595" s="289"/>
      <c r="E595" s="194" t="s">
        <v>125</v>
      </c>
      <c r="F595" s="195"/>
      <c r="G595" s="196"/>
      <c r="H595" s="180" t="s">
        <v>37</v>
      </c>
      <c r="I595" s="339">
        <f ca="1">IFERROR(__xludf.DUMMYFUNCTION("IMPORTRANGE(""https://docs.google.com/spreadsheets/d/11923uPwbBZFjjGgGUA6NLw09EwE0CqkOc4q9oUmW1yo/edit?usp=sharing"",""เพชรบูรณ์!I490"")"),300)</f>
        <v>300</v>
      </c>
      <c r="J595" s="187">
        <f ca="1">IFERROR(__xludf.DUMMYFUNCTION("IMPORTRANGE(""https://docs.google.com/spreadsheets/d/11923uPwbBZFjjGgGUA6NLw09EwE0CqkOc4q9oUmW1yo/edit?usp=sharing"",""เพชรบูรณ์!J490"")"),21)</f>
        <v>21</v>
      </c>
      <c r="K595" s="163">
        <f t="shared" ca="1" si="125"/>
        <v>7</v>
      </c>
      <c r="L595" s="181"/>
      <c r="M595" s="181"/>
      <c r="N595" s="181"/>
      <c r="O595" s="181"/>
      <c r="P595" s="181"/>
    </row>
    <row r="596" spans="1:16" ht="21.75" customHeight="1" x14ac:dyDescent="0.3">
      <c r="A596" s="478"/>
      <c r="B596" s="479"/>
      <c r="C596" s="480"/>
      <c r="D596" s="481"/>
      <c r="E596" s="460"/>
      <c r="F596" s="460"/>
      <c r="G596" s="461"/>
      <c r="H596" s="482" t="s">
        <v>122</v>
      </c>
      <c r="I596" s="483">
        <f ca="1">IFERROR(__xludf.DUMMYFUNCTION("IMPORTRANGE(""https://docs.google.com/spreadsheets/d/11923uPwbBZFjjGgGUA6NLw09EwE0CqkOc4q9oUmW1yo/edit?usp=sharing"",""เพชรบูรณ์!I491"")"),0)</f>
        <v>0</v>
      </c>
      <c r="J596" s="240">
        <f ca="1">IFERROR(__xludf.DUMMYFUNCTION("IMPORTRANGE(""https://docs.google.com/spreadsheets/d/11923uPwbBZFjjGgGUA6NLw09EwE0CqkOc4q9oUmW1yo/edit?usp=sharing"",""เพชรบูรณ์!J491"")"),12.36)</f>
        <v>12.36</v>
      </c>
      <c r="K596" s="484">
        <f t="shared" ca="1" si="125"/>
        <v>0</v>
      </c>
      <c r="L596" s="466"/>
      <c r="M596" s="466"/>
      <c r="N596" s="466"/>
      <c r="O596" s="466"/>
      <c r="P596" s="466"/>
    </row>
    <row r="597" spans="1:16" ht="21.75" customHeight="1" x14ac:dyDescent="0.3">
      <c r="A597" s="403"/>
      <c r="B597" s="404">
        <v>10</v>
      </c>
      <c r="C597" s="405" t="s">
        <v>218</v>
      </c>
      <c r="D597" s="405"/>
      <c r="E597" s="405"/>
      <c r="F597" s="405"/>
      <c r="G597" s="406"/>
      <c r="H597" s="407" t="s">
        <v>122</v>
      </c>
      <c r="I597" s="408">
        <f ca="1">IFERROR(__xludf.DUMMYFUNCTION("IMPORTRANGE(""https://docs.google.com/spreadsheets/d/11923uPwbBZFjjGgGUA6NLw09EwE0CqkOc4q9oUmW1yo/edit?usp=sharing"",""เพชรบูรณ์!I492"")"),100)</f>
        <v>100</v>
      </c>
      <c r="J597" s="485">
        <f ca="1">IFERROR(__xludf.DUMMYFUNCTION("IMPORTRANGE(""https://docs.google.com/spreadsheets/d/11923uPwbBZFjjGgGUA6NLw09EwE0CqkOc4q9oUmW1yo/edit?usp=sharing"",""เพชรบูรณ์!J492"")"),0)</f>
        <v>0</v>
      </c>
      <c r="K597" s="409">
        <f ca="1">IF(I597&gt;0,J597*100/I597,0)</f>
        <v>0</v>
      </c>
      <c r="L597" s="410">
        <f ca="1">IFERROR(__xludf.DUMMYFUNCTION("IMPORTRANGE(""https://docs.google.com/spreadsheets/d/11923uPwbBZFjjGgGUA6NLw09EwE0CqkOc4q9oUmW1yo/edit?usp=sharing"",""เพชรบูรณ์!L492"")"),7300)</f>
        <v>7300</v>
      </c>
      <c r="M597" s="410"/>
      <c r="N597" s="410">
        <f ca="1">IFERROR(__xludf.DUMMYFUNCTION("IMPORTRANGE(""https://docs.google.com/spreadsheets/d/11923uPwbBZFjjGgGUA6NLw09EwE0CqkOc4q9oUmW1yo/edit?usp=sharing"",""เพชรบูรณ์!M492"")"),450)</f>
        <v>450</v>
      </c>
      <c r="O597" s="410">
        <f t="shared" ref="O597:O601" ca="1" si="126">+IF(L597&gt;0,N597*100/L597,0)</f>
        <v>6.1643835616438354</v>
      </c>
      <c r="P597" s="410"/>
    </row>
    <row r="598" spans="1:16" ht="21.75" customHeight="1" x14ac:dyDescent="0.3">
      <c r="A598" s="156"/>
      <c r="B598" s="157"/>
      <c r="C598" s="157" t="s">
        <v>16</v>
      </c>
      <c r="D598" s="158" t="s">
        <v>38</v>
      </c>
      <c r="E598" s="159"/>
      <c r="F598" s="159"/>
      <c r="G598" s="160" t="s">
        <v>39</v>
      </c>
      <c r="H598" s="161" t="s">
        <v>12</v>
      </c>
      <c r="I598" s="162" t="s">
        <v>40</v>
      </c>
      <c r="J598" s="162"/>
      <c r="K598" s="163"/>
      <c r="L598" s="164">
        <f ca="1">IFERROR(__xludf.DUMMYFUNCTION("IMPORTRANGE(""https://docs.google.com/spreadsheets/d/11923uPwbBZFjjGgGUA6NLw09EwE0CqkOc4q9oUmW1yo/edit?usp=sharing"",""เพชรบูรณ์!L493"")"),0)</f>
        <v>0</v>
      </c>
      <c r="M598" s="164"/>
      <c r="N598" s="168">
        <f ca="1">IFERROR(__xludf.DUMMYFUNCTION("IMPORTRANGE(""https://docs.google.com/spreadsheets/d/11923uPwbBZFjjGgGUA6NLw09EwE0CqkOc4q9oUmW1yo/edit?usp=sharing"",""เพชรบูรณ์!M493"")"),0)</f>
        <v>0</v>
      </c>
      <c r="O598" s="168">
        <f t="shared" ca="1" si="126"/>
        <v>0</v>
      </c>
      <c r="P598" s="168"/>
    </row>
    <row r="599" spans="1:16" ht="21.75" customHeight="1" x14ac:dyDescent="0.3">
      <c r="A599" s="156"/>
      <c r="B599" s="157"/>
      <c r="C599" s="157"/>
      <c r="D599" s="166"/>
      <c r="E599" s="159"/>
      <c r="F599" s="159" t="s">
        <v>40</v>
      </c>
      <c r="G599" s="160" t="s">
        <v>41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IFERROR(__xludf.DUMMYFUNCTION("IMPORTRANGE(""https://docs.google.com/spreadsheets/d/11923uPwbBZFjjGgGUA6NLw09EwE0CqkOc4q9oUmW1yo/edit?usp=sharing"",""เพชรบูรณ์!L494"")"),7300)</f>
        <v>7300</v>
      </c>
      <c r="M599" s="165"/>
      <c r="N599" s="168">
        <f ca="1">IFERROR(__xludf.DUMMYFUNCTION("IMPORTRANGE(""https://docs.google.com/spreadsheets/d/11923uPwbBZFjjGgGUA6NLw09EwE0CqkOc4q9oUmW1yo/edit?usp=sharing"",""เพชรบูรณ์!M494"")"),450)</f>
        <v>450</v>
      </c>
      <c r="O599" s="168">
        <f t="shared" ca="1" si="126"/>
        <v>6.1643835616438354</v>
      </c>
      <c r="P599" s="168"/>
    </row>
    <row r="600" spans="1:16" ht="21.75" customHeight="1" x14ac:dyDescent="0.3">
      <c r="A600" s="156"/>
      <c r="B600" s="157"/>
      <c r="C600" s="157"/>
      <c r="D600" s="166"/>
      <c r="E600" s="159"/>
      <c r="F600" s="159"/>
      <c r="G600" s="372" t="s">
        <v>129</v>
      </c>
      <c r="H600" s="161" t="s">
        <v>12</v>
      </c>
      <c r="I600" s="162"/>
      <c r="J600" s="162"/>
      <c r="K600" s="163"/>
      <c r="L600" s="168">
        <f ca="1">IFERROR(__xludf.DUMMYFUNCTION("IMPORTRANGE(""https://docs.google.com/spreadsheets/d/11923uPwbBZFjjGgGUA6NLw09EwE0CqkOc4q9oUmW1yo/edit?usp=sharing"",""เพชรบูรณ์!L495"")"),0)</f>
        <v>0</v>
      </c>
      <c r="M600" s="168"/>
      <c r="N600" s="168">
        <f ca="1">IFERROR(__xludf.DUMMYFUNCTION("IMPORTRANGE(""https://docs.google.com/spreadsheets/d/11923uPwbBZFjjGgGUA6NLw09EwE0CqkOc4q9oUmW1yo/edit?usp=sharing"",""เพชรบูรณ์!M495"")"),0)</f>
        <v>0</v>
      </c>
      <c r="O600" s="168">
        <f t="shared" ca="1" si="126"/>
        <v>0</v>
      </c>
      <c r="P600" s="168"/>
    </row>
    <row r="601" spans="1:16" ht="21.75" customHeight="1" x14ac:dyDescent="0.3">
      <c r="A601" s="156"/>
      <c r="B601" s="157"/>
      <c r="C601" s="157"/>
      <c r="D601" s="166"/>
      <c r="E601" s="159"/>
      <c r="F601" s="159"/>
      <c r="G601" s="372" t="s">
        <v>130</v>
      </c>
      <c r="H601" s="161" t="s">
        <v>12</v>
      </c>
      <c r="I601" s="162"/>
      <c r="J601" s="162"/>
      <c r="K601" s="163"/>
      <c r="L601" s="168">
        <f ca="1">IFERROR(__xludf.DUMMYFUNCTION("IMPORTRANGE(""https://docs.google.com/spreadsheets/d/11923uPwbBZFjjGgGUA6NLw09EwE0CqkOc4q9oUmW1yo/edit?usp=sharing"",""เพชรบูรณ์!L496"")"),7300)</f>
        <v>7300</v>
      </c>
      <c r="M601" s="168"/>
      <c r="N601" s="168">
        <f ca="1">IFERROR(__xludf.DUMMYFUNCTION("IMPORTRANGE(""https://docs.google.com/spreadsheets/d/11923uPwbBZFjjGgGUA6NLw09EwE0CqkOc4q9oUmW1yo/edit?usp=sharing"",""เพชรบูรณ์!M496"")"),450)</f>
        <v>450</v>
      </c>
      <c r="O601" s="168">
        <f t="shared" ca="1" si="126"/>
        <v>6.1643835616438354</v>
      </c>
      <c r="P601" s="168"/>
    </row>
    <row r="602" spans="1:16" ht="21.75" customHeight="1" x14ac:dyDescent="0.3">
      <c r="A602" s="373"/>
      <c r="B602" s="374"/>
      <c r="C602" s="157"/>
      <c r="D602" s="375"/>
      <c r="E602" s="159"/>
      <c r="F602" s="159"/>
      <c r="G602" s="376" t="s">
        <v>131</v>
      </c>
      <c r="H602" s="161" t="s">
        <v>12</v>
      </c>
      <c r="I602" s="187"/>
      <c r="J602" s="187"/>
      <c r="K602" s="223"/>
      <c r="L602" s="168"/>
      <c r="M602" s="168"/>
      <c r="N602" s="167">
        <f ca="1">IFERROR(__xludf.DUMMYFUNCTION("IMPORTRANGE(""https://docs.google.com/spreadsheets/d/11923uPwbBZFjjGgGUA6NLw09EwE0CqkOc4q9oUmW1yo/edit?usp=sharing"",""เพชรบูรณ์!M497"")"),0)</f>
        <v>0</v>
      </c>
      <c r="O602" s="168"/>
      <c r="P602" s="168"/>
    </row>
    <row r="603" spans="1:16" ht="21.75" customHeight="1" x14ac:dyDescent="0.3">
      <c r="A603" s="373"/>
      <c r="B603" s="374"/>
      <c r="C603" s="157"/>
      <c r="D603" s="375"/>
      <c r="E603" s="159"/>
      <c r="F603" s="159"/>
      <c r="G603" s="376" t="s">
        <v>132</v>
      </c>
      <c r="H603" s="161" t="s">
        <v>12</v>
      </c>
      <c r="I603" s="187"/>
      <c r="J603" s="187"/>
      <c r="K603" s="223"/>
      <c r="L603" s="168"/>
      <c r="M603" s="168"/>
      <c r="N603" s="167">
        <f ca="1">IFERROR(__xludf.DUMMYFUNCTION("IMPORTRANGE(""https://docs.google.com/spreadsheets/d/11923uPwbBZFjjGgGUA6NLw09EwE0CqkOc4q9oUmW1yo/edit?usp=sharing"",""เพชรบูรณ์!M498"")"),0)</f>
        <v>0</v>
      </c>
      <c r="O603" s="168"/>
      <c r="P603" s="168"/>
    </row>
    <row r="604" spans="1:16" ht="21.75" customHeight="1" x14ac:dyDescent="0.3">
      <c r="A604" s="373"/>
      <c r="B604" s="374"/>
      <c r="C604" s="157"/>
      <c r="D604" s="375"/>
      <c r="E604" s="159"/>
      <c r="F604" s="159"/>
      <c r="G604" s="376" t="s">
        <v>133</v>
      </c>
      <c r="H604" s="161" t="s">
        <v>12</v>
      </c>
      <c r="I604" s="187"/>
      <c r="J604" s="187"/>
      <c r="K604" s="223"/>
      <c r="L604" s="168"/>
      <c r="M604" s="168"/>
      <c r="N604" s="377">
        <f ca="1">IFERROR(__xludf.DUMMYFUNCTION("IMPORTRANGE(""https://docs.google.com/spreadsheets/d/11923uPwbBZFjjGgGUA6NLw09EwE0CqkOc4q9oUmW1yo/edit?usp=sharing"",""เพชรบูรณ์!M499"")"),0)</f>
        <v>0</v>
      </c>
      <c r="O604" s="168"/>
      <c r="P604" s="168"/>
    </row>
    <row r="605" spans="1:16" ht="21.75" customHeight="1" x14ac:dyDescent="0.3">
      <c r="A605" s="373"/>
      <c r="B605" s="374"/>
      <c r="C605" s="157"/>
      <c r="D605" s="375"/>
      <c r="E605" s="159"/>
      <c r="F605" s="159"/>
      <c r="G605" s="376" t="s">
        <v>134</v>
      </c>
      <c r="H605" s="161" t="s">
        <v>12</v>
      </c>
      <c r="I605" s="187"/>
      <c r="J605" s="187"/>
      <c r="K605" s="223"/>
      <c r="L605" s="168"/>
      <c r="M605" s="168"/>
      <c r="N605" s="377">
        <f ca="1">IFERROR(__xludf.DUMMYFUNCTION("IMPORTRANGE(""https://docs.google.com/spreadsheets/d/11923uPwbBZFjjGgGUA6NLw09EwE0CqkOc4q9oUmW1yo/edit?usp=sharing"",""เพชรบูรณ์!M500"")"),450)</f>
        <v>450</v>
      </c>
      <c r="O605" s="168"/>
      <c r="P605" s="168"/>
    </row>
    <row r="606" spans="1:16" ht="21.75" customHeight="1" x14ac:dyDescent="0.3">
      <c r="A606" s="175"/>
      <c r="B606" s="176"/>
      <c r="C606" s="157" t="s">
        <v>16</v>
      </c>
      <c r="D606" s="177" t="s">
        <v>44</v>
      </c>
      <c r="E606" s="178"/>
      <c r="F606" s="178"/>
      <c r="G606" s="179"/>
      <c r="H606" s="180"/>
      <c r="I606" s="162"/>
      <c r="J606" s="162"/>
      <c r="K606" s="163"/>
      <c r="L606" s="181"/>
      <c r="M606" s="181"/>
      <c r="N606" s="181"/>
      <c r="O606" s="181"/>
      <c r="P606" s="181"/>
    </row>
    <row r="607" spans="1:16" ht="21.75" customHeight="1" x14ac:dyDescent="0.3">
      <c r="A607" s="175"/>
      <c r="B607" s="176"/>
      <c r="C607" s="176"/>
      <c r="D607" s="182">
        <v>1</v>
      </c>
      <c r="E607" s="183" t="s">
        <v>45</v>
      </c>
      <c r="F607" s="184"/>
      <c r="G607" s="185"/>
      <c r="H607" s="186"/>
      <c r="I607" s="187"/>
      <c r="J607" s="197">
        <f ca="1">IFERROR(__xludf.DUMMYFUNCTION("IMPORTRANGE(""https://docs.google.com/spreadsheets/d/11923uPwbBZFjjGgGUA6NLw09EwE0CqkOc4q9oUmW1yo/edit?usp=sharing"",""เพชรบูรณ์!J502"")"),0)</f>
        <v>0</v>
      </c>
      <c r="K607" s="163"/>
      <c r="L607" s="181"/>
      <c r="M607" s="181"/>
      <c r="N607" s="181"/>
      <c r="O607" s="181"/>
      <c r="P607" s="181"/>
    </row>
    <row r="608" spans="1:16" ht="21.75" customHeight="1" x14ac:dyDescent="0.3">
      <c r="A608" s="175"/>
      <c r="B608" s="176"/>
      <c r="C608" s="176"/>
      <c r="D608" s="189">
        <v>2</v>
      </c>
      <c r="E608" s="190" t="s">
        <v>46</v>
      </c>
      <c r="F608" s="191"/>
      <c r="G608" s="192"/>
      <c r="H608" s="186"/>
      <c r="I608" s="187"/>
      <c r="J608" s="197">
        <f ca="1">IFERROR(__xludf.DUMMYFUNCTION("IMPORTRANGE(""https://docs.google.com/spreadsheets/d/11923uPwbBZFjjGgGUA6NLw09EwE0CqkOc4q9oUmW1yo/edit?usp=sharing"",""เพชรบูรณ์!J503"")"),1)</f>
        <v>1</v>
      </c>
      <c r="K608" s="163"/>
      <c r="L608" s="181" t="s">
        <v>40</v>
      </c>
      <c r="M608" s="181"/>
      <c r="N608" s="181" t="s">
        <v>40</v>
      </c>
      <c r="O608" s="181"/>
      <c r="P608" s="181"/>
    </row>
    <row r="609" spans="1:16" ht="21.75" hidden="1" customHeight="1" x14ac:dyDescent="0.3">
      <c r="A609" s="373"/>
      <c r="B609" s="374"/>
      <c r="C609" s="374"/>
      <c r="D609" s="486"/>
      <c r="E609" s="487" t="s">
        <v>47</v>
      </c>
      <c r="F609" s="488"/>
      <c r="G609" s="379"/>
      <c r="H609" s="186"/>
      <c r="I609" s="187"/>
      <c r="J609" s="187">
        <f ca="1">IFERROR(__xludf.DUMMYFUNCTION("IMPORTRANGE(""https://docs.google.com/spreadsheets/d/11923uPwbBZFjjGgGUA6NLw09EwE0CqkOc4q9oUmW1yo/edit?usp=sharing"",""เพชรบูรณ์!J166"")"),0)</f>
        <v>0</v>
      </c>
      <c r="K609" s="223"/>
      <c r="L609" s="168"/>
      <c r="M609" s="168"/>
      <c r="N609" s="168"/>
      <c r="O609" s="168"/>
      <c r="P609" s="168"/>
    </row>
    <row r="610" spans="1:16" ht="21.75" hidden="1" customHeight="1" x14ac:dyDescent="0.3">
      <c r="A610" s="373"/>
      <c r="B610" s="374"/>
      <c r="C610" s="374"/>
      <c r="D610" s="486"/>
      <c r="E610" s="487" t="s">
        <v>48</v>
      </c>
      <c r="F610" s="488"/>
      <c r="G610" s="379"/>
      <c r="H610" s="186"/>
      <c r="I610" s="187"/>
      <c r="J610" s="187">
        <f ca="1">IFERROR(__xludf.DUMMYFUNCTION("IMPORTRANGE(""https://docs.google.com/spreadsheets/d/11923uPwbBZFjjGgGUA6NLw09EwE0CqkOc4q9oUmW1yo/edit?usp=sharing"",""เพชรบูรณ์!J166"")"),0)</f>
        <v>0</v>
      </c>
      <c r="K610" s="223"/>
      <c r="L610" s="168"/>
      <c r="M610" s="168"/>
      <c r="N610" s="168"/>
      <c r="O610" s="168"/>
      <c r="P610" s="168"/>
    </row>
    <row r="611" spans="1:16" ht="21.75" customHeight="1" x14ac:dyDescent="0.3">
      <c r="A611" s="175"/>
      <c r="B611" s="176"/>
      <c r="C611" s="176"/>
      <c r="D611" s="193"/>
      <c r="E611" s="195"/>
      <c r="F611" s="195" t="s">
        <v>219</v>
      </c>
      <c r="G611" s="196"/>
      <c r="H611" s="180" t="s">
        <v>122</v>
      </c>
      <c r="I611" s="187">
        <f ca="1">IFERROR(__xludf.DUMMYFUNCTION("IMPORTRANGE(""https://docs.google.com/spreadsheets/d/11923uPwbBZFjjGgGUA6NLw09EwE0CqkOc4q9oUmW1yo/edit?usp=sharing"",""เพชรบูรณ์!I506"")"),100)</f>
        <v>100</v>
      </c>
      <c r="J611" s="162">
        <f ca="1">IFERROR(__xludf.DUMMYFUNCTION("IMPORTRANGE(""https://docs.google.com/spreadsheets/d/11923uPwbBZFjjGgGUA6NLw09EwE0CqkOc4q9oUmW1yo/edit?usp=sharing"",""เพชรบูรณ์!J506"")"),0)</f>
        <v>0</v>
      </c>
      <c r="K611" s="163">
        <f t="shared" ref="K611:K619" ca="1" si="127">IF(I$611&gt;0,J611*100/I$611,0)</f>
        <v>0</v>
      </c>
      <c r="L611" s="181"/>
      <c r="M611" s="181"/>
      <c r="N611" s="181"/>
      <c r="O611" s="181"/>
      <c r="P611" s="181"/>
    </row>
    <row r="612" spans="1:16" ht="21.75" customHeight="1" x14ac:dyDescent="0.3">
      <c r="A612" s="175"/>
      <c r="B612" s="176"/>
      <c r="C612" s="176"/>
      <c r="D612" s="193"/>
      <c r="E612" s="198"/>
      <c r="F612" s="195"/>
      <c r="G612" s="225" t="s">
        <v>220</v>
      </c>
      <c r="H612" s="180" t="s">
        <v>122</v>
      </c>
      <c r="I612" s="203">
        <f ca="1">IFERROR(__xludf.DUMMYFUNCTION("IMPORTRANGE(""https://docs.google.com/spreadsheets/d/11923uPwbBZFjjGgGUA6NLw09EwE0CqkOc4q9oUmW1yo/edit?usp=sharing"",""เพชรบูรณ์!I507"")"),0)</f>
        <v>0</v>
      </c>
      <c r="J612" s="197">
        <f ca="1">IFERROR(__xludf.DUMMYFUNCTION("IMPORTRANGE(""https://docs.google.com/spreadsheets/d/11923uPwbBZFjjGgGUA6NLw09EwE0CqkOc4q9oUmW1yo/edit?usp=sharing"",""เพชรบูรณ์!J507"")"),0)</f>
        <v>0</v>
      </c>
      <c r="K612" s="163">
        <f t="shared" ca="1" si="127"/>
        <v>0</v>
      </c>
      <c r="L612" s="181"/>
      <c r="M612" s="181"/>
      <c r="N612" s="181"/>
      <c r="O612" s="181"/>
      <c r="P612" s="181"/>
    </row>
    <row r="613" spans="1:16" ht="21.75" customHeight="1" x14ac:dyDescent="0.3">
      <c r="A613" s="175"/>
      <c r="B613" s="176"/>
      <c r="C613" s="176"/>
      <c r="D613" s="193"/>
      <c r="E613" s="198"/>
      <c r="F613" s="195"/>
      <c r="G613" s="225" t="s">
        <v>221</v>
      </c>
      <c r="H613" s="180" t="s">
        <v>122</v>
      </c>
      <c r="I613" s="203">
        <f ca="1">IFERROR(__xludf.DUMMYFUNCTION("IMPORTRANGE(""https://docs.google.com/spreadsheets/d/11923uPwbBZFjjGgGUA6NLw09EwE0CqkOc4q9oUmW1yo/edit?usp=sharing"",""เพชรบูรณ์!I508"")"),0)</f>
        <v>0</v>
      </c>
      <c r="J613" s="197">
        <f ca="1">IFERROR(__xludf.DUMMYFUNCTION("IMPORTRANGE(""https://docs.google.com/spreadsheets/d/11923uPwbBZFjjGgGUA6NLw09EwE0CqkOc4q9oUmW1yo/edit?usp=sharing"",""เพชรบูรณ์!J508"")"),0)</f>
        <v>0</v>
      </c>
      <c r="K613" s="163">
        <f t="shared" ca="1" si="127"/>
        <v>0</v>
      </c>
      <c r="L613" s="181"/>
      <c r="M613" s="181"/>
      <c r="N613" s="181"/>
      <c r="O613" s="181"/>
      <c r="P613" s="181"/>
    </row>
    <row r="614" spans="1:16" ht="21.75" customHeight="1" x14ac:dyDescent="0.3">
      <c r="A614" s="175"/>
      <c r="B614" s="176"/>
      <c r="C614" s="176"/>
      <c r="D614" s="193"/>
      <c r="E614" s="198"/>
      <c r="F614" s="195"/>
      <c r="G614" s="225" t="s">
        <v>222</v>
      </c>
      <c r="H614" s="180" t="s">
        <v>122</v>
      </c>
      <c r="I614" s="203">
        <f ca="1">IFERROR(__xludf.DUMMYFUNCTION("IMPORTRANGE(""https://docs.google.com/spreadsheets/d/11923uPwbBZFjjGgGUA6NLw09EwE0CqkOc4q9oUmW1yo/edit?usp=sharing"",""เพชรบูรณ์!I509"")"),0)</f>
        <v>0</v>
      </c>
      <c r="J614" s="197">
        <f ca="1">IFERROR(__xludf.DUMMYFUNCTION("IMPORTRANGE(""https://docs.google.com/spreadsheets/d/11923uPwbBZFjjGgGUA6NLw09EwE0CqkOc4q9oUmW1yo/edit?usp=sharing"",""เพชรบูรณ์!J509"")"),0)</f>
        <v>0</v>
      </c>
      <c r="K614" s="163">
        <f t="shared" ca="1" si="127"/>
        <v>0</v>
      </c>
      <c r="L614" s="181"/>
      <c r="M614" s="181"/>
      <c r="N614" s="181"/>
      <c r="O614" s="181"/>
      <c r="P614" s="181"/>
    </row>
    <row r="615" spans="1:16" ht="21.75" customHeight="1" x14ac:dyDescent="0.3">
      <c r="A615" s="175"/>
      <c r="B615" s="176"/>
      <c r="C615" s="176"/>
      <c r="D615" s="193"/>
      <c r="E615" s="198"/>
      <c r="F615" s="195"/>
      <c r="G615" s="225" t="s">
        <v>223</v>
      </c>
      <c r="H615" s="180" t="s">
        <v>122</v>
      </c>
      <c r="I615" s="203">
        <f ca="1">IFERROR(__xludf.DUMMYFUNCTION("IMPORTRANGE(""https://docs.google.com/spreadsheets/d/11923uPwbBZFjjGgGUA6NLw09EwE0CqkOc4q9oUmW1yo/edit?usp=sharing"",""เพชรบูรณ์!I510"")"),0)</f>
        <v>0</v>
      </c>
      <c r="J615" s="197">
        <f ca="1">IFERROR(__xludf.DUMMYFUNCTION("IMPORTRANGE(""https://docs.google.com/spreadsheets/d/11923uPwbBZFjjGgGUA6NLw09EwE0CqkOc4q9oUmW1yo/edit?usp=sharing"",""เพชรบูรณ์!J510"")"),0)</f>
        <v>0</v>
      </c>
      <c r="K615" s="163">
        <f t="shared" ca="1" si="127"/>
        <v>0</v>
      </c>
      <c r="L615" s="181"/>
      <c r="M615" s="181"/>
      <c r="N615" s="181"/>
      <c r="O615" s="181"/>
      <c r="P615" s="181"/>
    </row>
    <row r="616" spans="1:16" ht="21.75" customHeight="1" x14ac:dyDescent="0.3">
      <c r="A616" s="175"/>
      <c r="B616" s="176"/>
      <c r="C616" s="176"/>
      <c r="D616" s="193"/>
      <c r="E616" s="198"/>
      <c r="F616" s="195"/>
      <c r="G616" s="194" t="s">
        <v>224</v>
      </c>
      <c r="H616" s="180" t="s">
        <v>122</v>
      </c>
      <c r="I616" s="203">
        <f ca="1">IFERROR(__xludf.DUMMYFUNCTION("IMPORTRANGE(""https://docs.google.com/spreadsheets/d/11923uPwbBZFjjGgGUA6NLw09EwE0CqkOc4q9oUmW1yo/edit?usp=sharing"",""เพชรบูรณ์!I511"")"),0)</f>
        <v>0</v>
      </c>
      <c r="J616" s="197">
        <f ca="1">IFERROR(__xludf.DUMMYFUNCTION("IMPORTRANGE(""https://docs.google.com/spreadsheets/d/11923uPwbBZFjjGgGUA6NLw09EwE0CqkOc4q9oUmW1yo/edit?usp=sharing"",""เพชรบูรณ์!J511"")"),0)</f>
        <v>0</v>
      </c>
      <c r="K616" s="163">
        <f t="shared" ca="1" si="127"/>
        <v>0</v>
      </c>
      <c r="L616" s="181"/>
      <c r="M616" s="181"/>
      <c r="N616" s="181"/>
      <c r="O616" s="181"/>
      <c r="P616" s="181"/>
    </row>
    <row r="617" spans="1:16" ht="21.75" customHeight="1" x14ac:dyDescent="0.3">
      <c r="A617" s="175"/>
      <c r="B617" s="176"/>
      <c r="C617" s="176"/>
      <c r="D617" s="193"/>
      <c r="E617" s="198"/>
      <c r="F617" s="195"/>
      <c r="G617" s="194" t="s">
        <v>225</v>
      </c>
      <c r="H617" s="180" t="s">
        <v>122</v>
      </c>
      <c r="I617" s="187">
        <f ca="1">IFERROR(__xludf.DUMMYFUNCTION("IMPORTRANGE(""https://docs.google.com/spreadsheets/d/11923uPwbBZFjjGgGUA6NLw09EwE0CqkOc4q9oUmW1yo/edit?usp=sharing"",""เพชรบูรณ์!I512"")"),0)</f>
        <v>0</v>
      </c>
      <c r="J617" s="187">
        <f ca="1">IFERROR(__xludf.DUMMYFUNCTION("IMPORTRANGE(""https://docs.google.com/spreadsheets/d/11923uPwbBZFjjGgGUA6NLw09EwE0CqkOc4q9oUmW1yo/edit?usp=sharing"",""เพชรบูรณ์!J512"")"),0)</f>
        <v>0</v>
      </c>
      <c r="K617" s="163">
        <f t="shared" ca="1" si="127"/>
        <v>0</v>
      </c>
      <c r="L617" s="181"/>
      <c r="M617" s="181"/>
      <c r="N617" s="181"/>
      <c r="O617" s="181"/>
      <c r="P617" s="181"/>
    </row>
    <row r="618" spans="1:16" ht="21.75" customHeight="1" x14ac:dyDescent="0.3">
      <c r="A618" s="175"/>
      <c r="B618" s="176"/>
      <c r="C618" s="176"/>
      <c r="D618" s="193"/>
      <c r="E618" s="198"/>
      <c r="F618" s="195"/>
      <c r="G618" s="489" t="s">
        <v>226</v>
      </c>
      <c r="H618" s="180" t="s">
        <v>122</v>
      </c>
      <c r="I618" s="203">
        <f ca="1">IFERROR(__xludf.DUMMYFUNCTION("IMPORTRANGE(""https://docs.google.com/spreadsheets/d/11923uPwbBZFjjGgGUA6NLw09EwE0CqkOc4q9oUmW1yo/edit?usp=sharing"",""เพชรบูรณ์!I513"")"),0)</f>
        <v>0</v>
      </c>
      <c r="J618" s="188">
        <f ca="1">IFERROR(__xludf.DUMMYFUNCTION("IMPORTRANGE(""https://docs.google.com/spreadsheets/d/11923uPwbBZFjjGgGUA6NLw09EwE0CqkOc4q9oUmW1yo/edit?usp=sharing"",""เพชรบูรณ์!J513"")"),0)</f>
        <v>0</v>
      </c>
      <c r="K618" s="163">
        <f t="shared" ca="1" si="127"/>
        <v>0</v>
      </c>
      <c r="L618" s="181"/>
      <c r="M618" s="181"/>
      <c r="N618" s="181"/>
      <c r="O618" s="181"/>
      <c r="P618" s="181"/>
    </row>
    <row r="619" spans="1:16" ht="21.75" customHeight="1" x14ac:dyDescent="0.3">
      <c r="A619" s="175"/>
      <c r="B619" s="176"/>
      <c r="C619" s="176"/>
      <c r="D619" s="193"/>
      <c r="E619" s="198"/>
      <c r="F619" s="195"/>
      <c r="G619" s="489" t="s">
        <v>227</v>
      </c>
      <c r="H619" s="180" t="s">
        <v>122</v>
      </c>
      <c r="I619" s="203">
        <f ca="1">IFERROR(__xludf.DUMMYFUNCTION("IMPORTRANGE(""https://docs.google.com/spreadsheets/d/11923uPwbBZFjjGgGUA6NLw09EwE0CqkOc4q9oUmW1yo/edit?usp=sharing"",""เพชรบูรณ์!I514"")"),0)</f>
        <v>0</v>
      </c>
      <c r="J619" s="188">
        <f ca="1">IFERROR(__xludf.DUMMYFUNCTION("IMPORTRANGE(""https://docs.google.com/spreadsheets/d/11923uPwbBZFjjGgGUA6NLw09EwE0CqkOc4q9oUmW1yo/edit?usp=sharing"",""เพชรบูรณ์!J514"")"),0)</f>
        <v>0</v>
      </c>
      <c r="K619" s="163">
        <f t="shared" ca="1" si="127"/>
        <v>0</v>
      </c>
      <c r="L619" s="181"/>
      <c r="M619" s="181"/>
      <c r="N619" s="181"/>
      <c r="O619" s="181"/>
      <c r="P619" s="181"/>
    </row>
    <row r="620" spans="1:16" ht="21.75" customHeight="1" x14ac:dyDescent="0.3">
      <c r="A620" s="175"/>
      <c r="B620" s="176"/>
      <c r="C620" s="176"/>
      <c r="D620" s="193"/>
      <c r="E620" s="195"/>
      <c r="F620" s="194" t="s">
        <v>228</v>
      </c>
      <c r="G620" s="196"/>
      <c r="H620" s="180" t="s">
        <v>122</v>
      </c>
      <c r="I620" s="187">
        <f ca="1">IFERROR(__xludf.DUMMYFUNCTION("IMPORTRANGE(""https://docs.google.com/spreadsheets/d/11923uPwbBZFjjGgGUA6NLw09EwE0CqkOc4q9oUmW1yo/edit?usp=sharing"",""เพชรบูรณ์!I515"")"),0)</f>
        <v>0</v>
      </c>
      <c r="J620" s="202">
        <f ca="1">IFERROR(__xludf.DUMMYFUNCTION("IMPORTRANGE(""https://docs.google.com/spreadsheets/d/11923uPwbBZFjjGgGUA6NLw09EwE0CqkOc4q9oUmW1yo/edit?usp=sharing"",""เพชรบูรณ์!J515"")"),0)</f>
        <v>0</v>
      </c>
      <c r="K620" s="163">
        <f t="shared" ref="K620:K626" ca="1" si="128">IF(I$620&gt;0,J620*100/I$620,0)</f>
        <v>0</v>
      </c>
      <c r="L620" s="181"/>
      <c r="M620" s="181"/>
      <c r="N620" s="181"/>
      <c r="O620" s="181"/>
      <c r="P620" s="181"/>
    </row>
    <row r="621" spans="1:16" ht="21.75" customHeight="1" x14ac:dyDescent="0.3">
      <c r="A621" s="175"/>
      <c r="B621" s="176"/>
      <c r="C621" s="176"/>
      <c r="D621" s="193"/>
      <c r="E621" s="198"/>
      <c r="F621" s="195"/>
      <c r="G621" s="225" t="s">
        <v>225</v>
      </c>
      <c r="H621" s="180" t="s">
        <v>122</v>
      </c>
      <c r="I621" s="202">
        <f ca="1">IFERROR(__xludf.DUMMYFUNCTION("IMPORTRANGE(""https://docs.google.com/spreadsheets/d/11923uPwbBZFjjGgGUA6NLw09EwE0CqkOc4q9oUmW1yo/edit?usp=sharing"",""เพชรบูรณ์!I516"")"),0)</f>
        <v>0</v>
      </c>
      <c r="J621" s="202">
        <f ca="1">IFERROR(__xludf.DUMMYFUNCTION("IMPORTRANGE(""https://docs.google.com/spreadsheets/d/11923uPwbBZFjjGgGUA6NLw09EwE0CqkOc4q9oUmW1yo/edit?usp=sharing"",""เพชรบูรณ์!J516"")"),0)</f>
        <v>0</v>
      </c>
      <c r="K621" s="163">
        <f t="shared" ca="1" si="128"/>
        <v>0</v>
      </c>
      <c r="L621" s="181"/>
      <c r="M621" s="181"/>
      <c r="N621" s="181"/>
      <c r="O621" s="181"/>
      <c r="P621" s="181"/>
    </row>
    <row r="622" spans="1:16" ht="21.75" customHeight="1" x14ac:dyDescent="0.3">
      <c r="A622" s="175"/>
      <c r="B622" s="176"/>
      <c r="C622" s="176"/>
      <c r="D622" s="193"/>
      <c r="E622" s="198"/>
      <c r="F622" s="195"/>
      <c r="G622" s="489" t="s">
        <v>226</v>
      </c>
      <c r="H622" s="180" t="s">
        <v>122</v>
      </c>
      <c r="I622" s="203">
        <f ca="1">IFERROR(__xludf.DUMMYFUNCTION("IMPORTRANGE(""https://docs.google.com/spreadsheets/d/11923uPwbBZFjjGgGUA6NLw09EwE0CqkOc4q9oUmW1yo/edit?usp=sharing"",""เพชรบูรณ์!I517"")"),0)</f>
        <v>0</v>
      </c>
      <c r="J622" s="188">
        <f ca="1">IFERROR(__xludf.DUMMYFUNCTION("IMPORTRANGE(""https://docs.google.com/spreadsheets/d/11923uPwbBZFjjGgGUA6NLw09EwE0CqkOc4q9oUmW1yo/edit?usp=sharing"",""เพชรบูรณ์!J517"")"),0)</f>
        <v>0</v>
      </c>
      <c r="K622" s="163">
        <f t="shared" ca="1" si="128"/>
        <v>0</v>
      </c>
      <c r="L622" s="181"/>
      <c r="M622" s="181"/>
      <c r="N622" s="181"/>
      <c r="O622" s="181"/>
      <c r="P622" s="181"/>
    </row>
    <row r="623" spans="1:16" ht="21.75" customHeight="1" x14ac:dyDescent="0.3">
      <c r="A623" s="175"/>
      <c r="B623" s="176"/>
      <c r="C623" s="176"/>
      <c r="D623" s="193"/>
      <c r="E623" s="198"/>
      <c r="F623" s="195"/>
      <c r="G623" s="489" t="s">
        <v>227</v>
      </c>
      <c r="H623" s="180" t="s">
        <v>122</v>
      </c>
      <c r="I623" s="203">
        <f ca="1">IFERROR(__xludf.DUMMYFUNCTION("IMPORTRANGE(""https://docs.google.com/spreadsheets/d/11923uPwbBZFjjGgGUA6NLw09EwE0CqkOc4q9oUmW1yo/edit?usp=sharing"",""เพชรบูรณ์!I518"")"),0)</f>
        <v>0</v>
      </c>
      <c r="J623" s="188">
        <f ca="1">IFERROR(__xludf.DUMMYFUNCTION("IMPORTRANGE(""https://docs.google.com/spreadsheets/d/11923uPwbBZFjjGgGUA6NLw09EwE0CqkOc4q9oUmW1yo/edit?usp=sharing"",""เพชรบูรณ์!J518"")"),0)</f>
        <v>0</v>
      </c>
      <c r="K623" s="163">
        <f t="shared" ca="1" si="128"/>
        <v>0</v>
      </c>
      <c r="L623" s="181"/>
      <c r="M623" s="181"/>
      <c r="N623" s="181"/>
      <c r="O623" s="181"/>
      <c r="P623" s="181"/>
    </row>
    <row r="624" spans="1:16" ht="21.75" customHeight="1" x14ac:dyDescent="0.3">
      <c r="A624" s="175"/>
      <c r="B624" s="176"/>
      <c r="C624" s="176"/>
      <c r="D624" s="193"/>
      <c r="E624" s="198"/>
      <c r="F624" s="195"/>
      <c r="G624" s="225" t="s">
        <v>229</v>
      </c>
      <c r="H624" s="180" t="s">
        <v>122</v>
      </c>
      <c r="I624" s="187">
        <f ca="1">IFERROR(__xludf.DUMMYFUNCTION("IMPORTRANGE(""https://docs.google.com/spreadsheets/d/11923uPwbBZFjjGgGUA6NLw09EwE0CqkOc4q9oUmW1yo/edit?usp=sharing"",""เพชรบูรณ์!I519"")"),0)</f>
        <v>0</v>
      </c>
      <c r="J624" s="187">
        <f ca="1">IFERROR(__xludf.DUMMYFUNCTION("IMPORTRANGE(""https://docs.google.com/spreadsheets/d/11923uPwbBZFjjGgGUA6NLw09EwE0CqkOc4q9oUmW1yo/edit?usp=sharing"",""เพชรบูรณ์!J519"")"),0)</f>
        <v>0</v>
      </c>
      <c r="K624" s="163">
        <f t="shared" ca="1" si="128"/>
        <v>0</v>
      </c>
      <c r="L624" s="181"/>
      <c r="M624" s="181"/>
      <c r="N624" s="181"/>
      <c r="O624" s="181"/>
      <c r="P624" s="181"/>
    </row>
    <row r="625" spans="1:16" ht="21.75" customHeight="1" x14ac:dyDescent="0.3">
      <c r="A625" s="175"/>
      <c r="B625" s="176"/>
      <c r="C625" s="176"/>
      <c r="D625" s="193"/>
      <c r="E625" s="198"/>
      <c r="F625" s="195"/>
      <c r="G625" s="489" t="s">
        <v>230</v>
      </c>
      <c r="H625" s="180" t="s">
        <v>122</v>
      </c>
      <c r="I625" s="203">
        <f ca="1">IFERROR(__xludf.DUMMYFUNCTION("IMPORTRANGE(""https://docs.google.com/spreadsheets/d/11923uPwbBZFjjGgGUA6NLw09EwE0CqkOc4q9oUmW1yo/edit?usp=sharing"",""เพชรบูรณ์!I520"")"),0)</f>
        <v>0</v>
      </c>
      <c r="J625" s="188">
        <f ca="1">IFERROR(__xludf.DUMMYFUNCTION("IMPORTRANGE(""https://docs.google.com/spreadsheets/d/11923uPwbBZFjjGgGUA6NLw09EwE0CqkOc4q9oUmW1yo/edit?usp=sharing"",""เพชรบูรณ์!J520"")"),0)</f>
        <v>0</v>
      </c>
      <c r="K625" s="163">
        <f t="shared" ca="1" si="128"/>
        <v>0</v>
      </c>
      <c r="L625" s="181"/>
      <c r="M625" s="181"/>
      <c r="N625" s="181"/>
      <c r="O625" s="181"/>
      <c r="P625" s="181"/>
    </row>
    <row r="626" spans="1:16" ht="21.75" customHeight="1" x14ac:dyDescent="0.3">
      <c r="A626" s="175"/>
      <c r="B626" s="176"/>
      <c r="C626" s="176"/>
      <c r="D626" s="193"/>
      <c r="E626" s="198"/>
      <c r="F626" s="195"/>
      <c r="G626" s="489" t="s">
        <v>231</v>
      </c>
      <c r="H626" s="180" t="s">
        <v>122</v>
      </c>
      <c r="I626" s="203">
        <f ca="1">IFERROR(__xludf.DUMMYFUNCTION("IMPORTRANGE(""https://docs.google.com/spreadsheets/d/11923uPwbBZFjjGgGUA6NLw09EwE0CqkOc4q9oUmW1yo/edit?usp=sharing"",""เพชรบูรณ์!I521"")"),0)</f>
        <v>0</v>
      </c>
      <c r="J626" s="188">
        <f ca="1">IFERROR(__xludf.DUMMYFUNCTION("IMPORTRANGE(""https://docs.google.com/spreadsheets/d/11923uPwbBZFjjGgGUA6NLw09EwE0CqkOc4q9oUmW1yo/edit?usp=sharing"",""เพชรบูรณ์!J521"")"),0)</f>
        <v>0</v>
      </c>
      <c r="K626" s="163">
        <f t="shared" ca="1" si="128"/>
        <v>0</v>
      </c>
      <c r="L626" s="181"/>
      <c r="M626" s="181"/>
      <c r="N626" s="181"/>
      <c r="O626" s="181"/>
      <c r="P626" s="181"/>
    </row>
    <row r="627" spans="1:16" ht="21.75" customHeight="1" x14ac:dyDescent="0.3">
      <c r="A627" s="490" t="s">
        <v>232</v>
      </c>
      <c r="B627" s="491"/>
      <c r="C627" s="491"/>
      <c r="D627" s="491"/>
      <c r="E627" s="491"/>
      <c r="F627" s="491"/>
      <c r="G627" s="492"/>
      <c r="H627" s="493"/>
      <c r="I627" s="494"/>
      <c r="J627" s="494"/>
      <c r="K627" s="495"/>
      <c r="L627" s="495"/>
      <c r="M627" s="495"/>
      <c r="N627" s="495"/>
      <c r="O627" s="496"/>
      <c r="P627" s="496"/>
    </row>
    <row r="628" spans="1:16" ht="21.75" customHeight="1" x14ac:dyDescent="0.3">
      <c r="A628" s="476"/>
      <c r="B628" s="497" t="s">
        <v>233</v>
      </c>
      <c r="C628" s="157"/>
      <c r="D628" s="166"/>
      <c r="E628" s="159"/>
      <c r="F628" s="159"/>
      <c r="G628" s="160"/>
      <c r="H628" s="498" t="s">
        <v>12</v>
      </c>
      <c r="I628" s="339">
        <f ca="1">IFERROR(__xludf.DUMMYFUNCTION("IMPORTRANGE(""https://docs.google.com/spreadsheets/d/11923uPwbBZFjjGgGUA6NLw09EwE0CqkOc4q9oUmW1yo/edit?usp=sharing"",""เพชรบูรณ์!I523"")"),20013464.24)</f>
        <v>20013464.239999998</v>
      </c>
      <c r="J628" s="339">
        <f ca="1">IFERROR(__xludf.DUMMYFUNCTION("IMPORTRANGE(""https://docs.google.com/spreadsheets/d/11923uPwbBZFjjGgGUA6NLw09EwE0CqkOc4q9oUmW1yo/edit?usp=sharing"",""เพชรบูรณ์!J523"")"),4488749.16)</f>
        <v>4488749.16</v>
      </c>
      <c r="K628" s="340">
        <f t="shared" ref="K628:K635" ca="1" si="129">IF(I628&gt;0,J628*100/I628,0)</f>
        <v>22.428646565988021</v>
      </c>
      <c r="L628" s="340"/>
      <c r="M628" s="340"/>
      <c r="N628" s="340"/>
      <c r="O628" s="168"/>
      <c r="P628" s="168"/>
    </row>
    <row r="629" spans="1:16" ht="21.75" customHeight="1" x14ac:dyDescent="0.3">
      <c r="A629" s="476"/>
      <c r="B629" s="157"/>
      <c r="C629" s="157"/>
      <c r="D629" s="166"/>
      <c r="E629" s="159"/>
      <c r="F629" s="159"/>
      <c r="G629" s="160"/>
      <c r="H629" s="498" t="s">
        <v>37</v>
      </c>
      <c r="I629" s="339">
        <f ca="1">IFERROR(__xludf.DUMMYFUNCTION("IMPORTRANGE(""https://docs.google.com/spreadsheets/d/11923uPwbBZFjjGgGUA6NLw09EwE0CqkOc4q9oUmW1yo/edit?usp=sharing"",""เพชรบูรณ์!I524"")"),654)</f>
        <v>654</v>
      </c>
      <c r="J629" s="339">
        <f ca="1">IFERROR(__xludf.DUMMYFUNCTION("IMPORTRANGE(""https://docs.google.com/spreadsheets/d/11923uPwbBZFjjGgGUA6NLw09EwE0CqkOc4q9oUmW1yo/edit?usp=sharing"",""เพชรบูรณ์!J524"")"),130)</f>
        <v>130</v>
      </c>
      <c r="K629" s="340">
        <f t="shared" ca="1" si="129"/>
        <v>19.877675840978593</v>
      </c>
      <c r="L629" s="340"/>
      <c r="M629" s="340"/>
      <c r="N629" s="340"/>
      <c r="O629" s="168"/>
      <c r="P629" s="168"/>
    </row>
    <row r="630" spans="1:16" ht="21.75" customHeight="1" x14ac:dyDescent="0.3">
      <c r="A630" s="476"/>
      <c r="B630" s="497" t="s">
        <v>234</v>
      </c>
      <c r="C630" s="157"/>
      <c r="D630" s="166"/>
      <c r="E630" s="159"/>
      <c r="F630" s="159"/>
      <c r="G630" s="160"/>
      <c r="H630" s="498" t="s">
        <v>12</v>
      </c>
      <c r="I630" s="339">
        <f ca="1">IFERROR(__xludf.DUMMYFUNCTION("IMPORTRANGE(""https://docs.google.com/spreadsheets/d/11923uPwbBZFjjGgGUA6NLw09EwE0CqkOc4q9oUmW1yo/edit?usp=sharing"",""เพชรบูรณ์!I525"")"),28025974.82)</f>
        <v>28025974.82</v>
      </c>
      <c r="J630" s="339">
        <f ca="1">IFERROR(__xludf.DUMMYFUNCTION("IMPORTRANGE(""https://docs.google.com/spreadsheets/d/11923uPwbBZFjjGgGUA6NLw09EwE0CqkOc4q9oUmW1yo/edit?usp=sharing"",""เพชรบูรณ์!J525"")"),446423.57)</f>
        <v>446423.57</v>
      </c>
      <c r="K630" s="340">
        <f t="shared" ca="1" si="129"/>
        <v>1.5928922111263069</v>
      </c>
      <c r="L630" s="340"/>
      <c r="M630" s="340"/>
      <c r="N630" s="340"/>
      <c r="O630" s="168"/>
      <c r="P630" s="168"/>
    </row>
    <row r="631" spans="1:16" ht="21.75" customHeight="1" x14ac:dyDescent="0.3">
      <c r="A631" s="476"/>
      <c r="B631" s="157"/>
      <c r="C631" s="157"/>
      <c r="D631" s="166"/>
      <c r="E631" s="159"/>
      <c r="F631" s="159"/>
      <c r="G631" s="160"/>
      <c r="H631" s="498" t="s">
        <v>37</v>
      </c>
      <c r="I631" s="339">
        <f ca="1">IFERROR(__xludf.DUMMYFUNCTION("IMPORTRANGE(""https://docs.google.com/spreadsheets/d/11923uPwbBZFjjGgGUA6NLw09EwE0CqkOc4q9oUmW1yo/edit?usp=sharing"",""เพชรบูรณ์!I526"")"),1029)</f>
        <v>1029</v>
      </c>
      <c r="J631" s="339">
        <f ca="1">IFERROR(__xludf.DUMMYFUNCTION("IMPORTRANGE(""https://docs.google.com/spreadsheets/d/11923uPwbBZFjjGgGUA6NLw09EwE0CqkOc4q9oUmW1yo/edit?usp=sharing"",""เพชรบูรณ์!J526"")"),93)</f>
        <v>93</v>
      </c>
      <c r="K631" s="340">
        <f t="shared" ca="1" si="129"/>
        <v>9.037900874635568</v>
      </c>
      <c r="L631" s="340"/>
      <c r="M631" s="340"/>
      <c r="N631" s="340"/>
      <c r="O631" s="168"/>
      <c r="P631" s="168"/>
    </row>
    <row r="632" spans="1:16" ht="21.75" customHeight="1" x14ac:dyDescent="0.3">
      <c r="A632" s="476"/>
      <c r="B632" s="497" t="s">
        <v>235</v>
      </c>
      <c r="C632" s="157"/>
      <c r="D632" s="166"/>
      <c r="E632" s="159"/>
      <c r="F632" s="159"/>
      <c r="G632" s="160"/>
      <c r="H632" s="498" t="s">
        <v>12</v>
      </c>
      <c r="I632" s="339">
        <f ca="1">IFERROR(__xludf.DUMMYFUNCTION("IMPORTRANGE(""https://docs.google.com/spreadsheets/d/11923uPwbBZFjjGgGUA6NLw09EwE0CqkOc4q9oUmW1yo/edit?usp=sharing"",""เพชรบูรณ์!I527"")"),2642317.88)</f>
        <v>2642317.88</v>
      </c>
      <c r="J632" s="339">
        <f ca="1">IFERROR(__xludf.DUMMYFUNCTION("IMPORTRANGE(""https://docs.google.com/spreadsheets/d/11923uPwbBZFjjGgGUA6NLw09EwE0CqkOc4q9oUmW1yo/edit?usp=sharing"",""เพชรบูรณ์!J527"")"),202280.99)</f>
        <v>202280.99</v>
      </c>
      <c r="K632" s="340">
        <f t="shared" ca="1" si="129"/>
        <v>7.6554373541157741</v>
      </c>
      <c r="L632" s="340"/>
      <c r="M632" s="340"/>
      <c r="N632" s="340"/>
      <c r="O632" s="168"/>
      <c r="P632" s="168"/>
    </row>
    <row r="633" spans="1:16" ht="21.75" customHeight="1" x14ac:dyDescent="0.3">
      <c r="A633" s="476"/>
      <c r="B633" s="497"/>
      <c r="C633" s="157"/>
      <c r="D633" s="166"/>
      <c r="E633" s="159"/>
      <c r="F633" s="159"/>
      <c r="G633" s="160"/>
      <c r="H633" s="498" t="s">
        <v>37</v>
      </c>
      <c r="I633" s="339">
        <f ca="1">IFERROR(__xludf.DUMMYFUNCTION("IMPORTRANGE(""https://docs.google.com/spreadsheets/d/11923uPwbBZFjjGgGUA6NLw09EwE0CqkOc4q9oUmW1yo/edit?usp=sharing"",""เพชรบูรณ์!I528"")"),133)</f>
        <v>133</v>
      </c>
      <c r="J633" s="339">
        <f ca="1">IFERROR(__xludf.DUMMYFUNCTION("IMPORTRANGE(""https://docs.google.com/spreadsheets/d/11923uPwbBZFjjGgGUA6NLw09EwE0CqkOc4q9oUmW1yo/edit?usp=sharing"",""เพชรบูรณ์!J528"")"),43)</f>
        <v>43</v>
      </c>
      <c r="K633" s="340">
        <f t="shared" ca="1" si="129"/>
        <v>32.330827067669176</v>
      </c>
      <c r="L633" s="340"/>
      <c r="M633" s="340"/>
      <c r="N633" s="340"/>
      <c r="O633" s="168"/>
      <c r="P633" s="168"/>
    </row>
    <row r="634" spans="1:16" ht="21.75" customHeight="1" x14ac:dyDescent="0.3">
      <c r="A634" s="476"/>
      <c r="B634" s="497" t="s">
        <v>236</v>
      </c>
      <c r="C634" s="157"/>
      <c r="D634" s="166"/>
      <c r="E634" s="159"/>
      <c r="F634" s="159"/>
      <c r="G634" s="160"/>
      <c r="H634" s="498" t="s">
        <v>12</v>
      </c>
      <c r="I634" s="339">
        <f ca="1">IFERROR(__xludf.DUMMYFUNCTION("IMPORTRANGE(""https://docs.google.com/spreadsheets/d/11923uPwbBZFjjGgGUA6NLw09EwE0CqkOc4q9oUmW1yo/edit?usp=sharing"",""เพชรบูรณ์!I529"")"),12000000)</f>
        <v>12000000</v>
      </c>
      <c r="J634" s="339">
        <f ca="1">IFERROR(__xludf.DUMMYFUNCTION("IMPORTRANGE(""https://docs.google.com/spreadsheets/d/11923uPwbBZFjjGgGUA6NLw09EwE0CqkOc4q9oUmW1yo/edit?usp=sharing"",""เพชรบูรณ์!J529"")"),1021000)</f>
        <v>1021000</v>
      </c>
      <c r="K634" s="340">
        <f t="shared" ca="1" si="129"/>
        <v>8.5083333333333329</v>
      </c>
      <c r="L634" s="340"/>
      <c r="M634" s="340"/>
      <c r="N634" s="340"/>
      <c r="O634" s="168"/>
      <c r="P634" s="168"/>
    </row>
    <row r="635" spans="1:16" ht="21.75" customHeight="1" x14ac:dyDescent="0.3">
      <c r="A635" s="478"/>
      <c r="B635" s="480"/>
      <c r="C635" s="480"/>
      <c r="D635" s="479"/>
      <c r="E635" s="499"/>
      <c r="F635" s="499"/>
      <c r="G635" s="500"/>
      <c r="H635" s="501" t="s">
        <v>37</v>
      </c>
      <c r="I635" s="502">
        <f ca="1">IFERROR(__xludf.DUMMYFUNCTION("IMPORTRANGE(""https://docs.google.com/spreadsheets/d/11923uPwbBZFjjGgGUA6NLw09EwE0CqkOc4q9oUmW1yo/edit?usp=sharing"",""เพชรบูรณ์!I530"")"),300)</f>
        <v>300</v>
      </c>
      <c r="J635" s="502">
        <f ca="1">IFERROR(__xludf.DUMMYFUNCTION("IMPORTRANGE(""https://docs.google.com/spreadsheets/d/11923uPwbBZFjjGgGUA6NLw09EwE0CqkOc4q9oUmW1yo/edit?usp=sharing"",""เพชรบูรณ์!J530"")"),34)</f>
        <v>34</v>
      </c>
      <c r="K635" s="484">
        <f t="shared" ca="1" si="129"/>
        <v>11.333333333333334</v>
      </c>
      <c r="L635" s="484"/>
      <c r="M635" s="484"/>
      <c r="N635" s="484"/>
      <c r="O635" s="503"/>
      <c r="P635" s="503"/>
    </row>
    <row r="636" spans="1:16" ht="21.75" customHeight="1" x14ac:dyDescent="0.3">
      <c r="A636" s="504"/>
      <c r="B636" s="504"/>
      <c r="C636" s="504"/>
      <c r="D636" s="504"/>
      <c r="E636" s="505" t="s">
        <v>237</v>
      </c>
      <c r="F636" s="505"/>
      <c r="G636" s="505"/>
      <c r="H636" s="506"/>
      <c r="I636" s="506"/>
      <c r="J636" s="506"/>
      <c r="K636" s="507"/>
      <c r="L636" s="508"/>
      <c r="M636" s="508"/>
      <c r="N636" s="508"/>
      <c r="O636" s="509"/>
      <c r="P636" s="509"/>
    </row>
    <row r="637" spans="1:16" ht="21.75" customHeight="1" x14ac:dyDescent="0.3">
      <c r="A637" s="504"/>
      <c r="B637" s="504"/>
      <c r="C637" s="504"/>
      <c r="D637" s="504"/>
      <c r="E637" s="506"/>
      <c r="F637" s="506"/>
      <c r="G637" s="506"/>
      <c r="H637" s="506"/>
      <c r="I637" s="506"/>
      <c r="J637" s="506"/>
      <c r="K637" s="507"/>
      <c r="L637" s="508"/>
      <c r="M637" s="508"/>
      <c r="N637" s="508"/>
      <c r="O637" s="509"/>
      <c r="P637" s="509"/>
    </row>
    <row r="638" spans="1:16" ht="21.75" customHeight="1" x14ac:dyDescent="0.3">
      <c r="A638" s="504"/>
      <c r="B638" s="504"/>
      <c r="C638" s="504"/>
      <c r="D638" s="504"/>
      <c r="E638" s="506"/>
      <c r="F638" s="506"/>
      <c r="G638" s="506"/>
      <c r="H638" s="506"/>
      <c r="I638" s="506"/>
      <c r="J638" s="506"/>
      <c r="K638" s="507"/>
      <c r="L638" s="508"/>
      <c r="M638" s="508"/>
      <c r="N638" s="508"/>
      <c r="O638" s="509"/>
      <c r="P638" s="509"/>
    </row>
    <row r="639" spans="1:16" ht="21.75" customHeight="1" x14ac:dyDescent="0.3">
      <c r="A639" s="504"/>
      <c r="B639" s="504"/>
      <c r="C639" s="504"/>
      <c r="D639" s="504"/>
      <c r="E639" s="506"/>
      <c r="F639" s="506"/>
      <c r="G639" s="506"/>
      <c r="H639" s="506"/>
      <c r="I639" s="506"/>
      <c r="J639" s="506"/>
      <c r="K639" s="507"/>
      <c r="L639" s="508"/>
      <c r="M639" s="508"/>
      <c r="N639" s="508"/>
      <c r="O639" s="509"/>
      <c r="P639" s="509"/>
    </row>
    <row r="640" spans="1:16" ht="21.75" customHeight="1" x14ac:dyDescent="0.3">
      <c r="A640" s="504"/>
      <c r="B640" s="504"/>
      <c r="C640" s="504"/>
      <c r="D640" s="504"/>
      <c r="E640" s="506"/>
      <c r="F640" s="506"/>
      <c r="G640" s="506"/>
      <c r="H640" s="506"/>
      <c r="I640" s="506"/>
      <c r="J640" s="506"/>
      <c r="K640" s="507"/>
      <c r="L640" s="508"/>
      <c r="M640" s="508"/>
      <c r="N640" s="508"/>
      <c r="O640" s="509"/>
      <c r="P640" s="509"/>
    </row>
    <row r="641" spans="1:16" ht="21.75" customHeight="1" x14ac:dyDescent="0.3">
      <c r="A641" s="504"/>
      <c r="B641" s="504"/>
      <c r="C641" s="504"/>
      <c r="D641" s="504"/>
      <c r="E641" s="506"/>
      <c r="F641" s="506"/>
      <c r="G641" s="506"/>
      <c r="H641" s="506"/>
      <c r="I641" s="506"/>
      <c r="J641" s="506"/>
      <c r="K641" s="507"/>
      <c r="L641" s="508"/>
      <c r="M641" s="508"/>
      <c r="N641" s="508"/>
      <c r="O641" s="509"/>
      <c r="P641" s="509"/>
    </row>
    <row r="642" spans="1:16" ht="21.75" customHeight="1" x14ac:dyDescent="0.3">
      <c r="A642" s="504"/>
      <c r="B642" s="504"/>
      <c r="C642" s="504"/>
      <c r="D642" s="504"/>
      <c r="E642" s="506"/>
      <c r="F642" s="506"/>
      <c r="G642" s="506"/>
      <c r="H642" s="506"/>
      <c r="I642" s="506"/>
      <c r="J642" s="506"/>
      <c r="K642" s="507"/>
      <c r="L642" s="508"/>
      <c r="M642" s="508"/>
      <c r="N642" s="508"/>
      <c r="O642" s="509"/>
      <c r="P642" s="509"/>
    </row>
    <row r="643" spans="1:16" ht="21.75" customHeight="1" x14ac:dyDescent="0.3">
      <c r="A643" s="504"/>
      <c r="B643" s="504"/>
      <c r="C643" s="504"/>
      <c r="D643" s="504"/>
      <c r="E643" s="506"/>
      <c r="F643" s="506"/>
      <c r="G643" s="506"/>
      <c r="H643" s="506"/>
      <c r="I643" s="506"/>
      <c r="J643" s="506"/>
      <c r="K643" s="507"/>
      <c r="L643" s="508"/>
      <c r="M643" s="508"/>
      <c r="N643" s="508"/>
      <c r="O643" s="509"/>
      <c r="P643" s="509"/>
    </row>
    <row r="644" spans="1:16" ht="21.75" customHeight="1" x14ac:dyDescent="0.3">
      <c r="A644" s="504"/>
      <c r="B644" s="504"/>
      <c r="C644" s="504"/>
      <c r="D644" s="504"/>
      <c r="E644" s="506"/>
      <c r="F644" s="506"/>
      <c r="G644" s="506"/>
      <c r="H644" s="506"/>
      <c r="I644" s="506"/>
      <c r="J644" s="506"/>
      <c r="K644" s="507"/>
      <c r="L644" s="508"/>
      <c r="M644" s="508"/>
      <c r="N644" s="508"/>
      <c r="O644" s="509"/>
      <c r="P644" s="509"/>
    </row>
    <row r="645" spans="1:16" ht="21.75" customHeight="1" x14ac:dyDescent="0.3">
      <c r="A645" s="504"/>
      <c r="B645" s="504"/>
      <c r="C645" s="504"/>
      <c r="D645" s="504"/>
      <c r="E645" s="506"/>
      <c r="F645" s="506"/>
      <c r="G645" s="506"/>
      <c r="H645" s="506"/>
      <c r="I645" s="506"/>
      <c r="J645" s="506"/>
      <c r="K645" s="507"/>
      <c r="L645" s="508"/>
      <c r="M645" s="508"/>
      <c r="N645" s="508"/>
      <c r="O645" s="509"/>
      <c r="P645" s="509"/>
    </row>
    <row r="646" spans="1:16" ht="21.75" customHeight="1" x14ac:dyDescent="0.3">
      <c r="A646" s="504"/>
      <c r="B646" s="504"/>
      <c r="C646" s="504"/>
      <c r="D646" s="504"/>
      <c r="E646" s="506"/>
      <c r="F646" s="506"/>
      <c r="G646" s="506"/>
      <c r="H646" s="506"/>
      <c r="I646" s="506"/>
      <c r="J646" s="506"/>
      <c r="K646" s="507"/>
      <c r="L646" s="508"/>
      <c r="M646" s="508"/>
      <c r="N646" s="508"/>
      <c r="O646" s="509"/>
      <c r="P646" s="509"/>
    </row>
    <row r="647" spans="1:16" ht="21.75" customHeight="1" x14ac:dyDescent="0.3">
      <c r="A647" s="504"/>
      <c r="B647" s="504"/>
      <c r="C647" s="504"/>
      <c r="D647" s="504"/>
      <c r="E647" s="506"/>
      <c r="F647" s="506"/>
      <c r="G647" s="506"/>
      <c r="H647" s="506"/>
      <c r="I647" s="506"/>
      <c r="J647" s="506"/>
      <c r="K647" s="507"/>
      <c r="L647" s="508"/>
      <c r="M647" s="508"/>
      <c r="N647" s="508"/>
      <c r="O647" s="509"/>
      <c r="P647" s="509"/>
    </row>
    <row r="648" spans="1:16" ht="21.75" customHeight="1" x14ac:dyDescent="0.3">
      <c r="A648" s="504"/>
      <c r="B648" s="504"/>
      <c r="C648" s="504"/>
      <c r="D648" s="504"/>
      <c r="E648" s="506"/>
      <c r="F648" s="506"/>
      <c r="G648" s="506"/>
      <c r="H648" s="506"/>
      <c r="I648" s="506"/>
      <c r="J648" s="506"/>
      <c r="K648" s="507"/>
      <c r="L648" s="508"/>
      <c r="M648" s="508"/>
      <c r="N648" s="508"/>
      <c r="O648" s="509"/>
      <c r="P648" s="509"/>
    </row>
    <row r="649" spans="1:16" ht="21.75" customHeight="1" x14ac:dyDescent="0.3">
      <c r="A649" s="504"/>
      <c r="B649" s="504"/>
      <c r="C649" s="504"/>
      <c r="D649" s="504"/>
      <c r="E649" s="506"/>
      <c r="F649" s="506"/>
      <c r="G649" s="506"/>
      <c r="H649" s="506"/>
      <c r="I649" s="506"/>
      <c r="J649" s="506"/>
      <c r="K649" s="507"/>
      <c r="L649" s="508"/>
      <c r="M649" s="508"/>
      <c r="N649" s="508"/>
      <c r="O649" s="509"/>
      <c r="P649" s="509"/>
    </row>
    <row r="650" spans="1:16" ht="21.75" customHeight="1" x14ac:dyDescent="0.3">
      <c r="A650" s="504"/>
      <c r="B650" s="504"/>
      <c r="C650" s="504"/>
      <c r="D650" s="504"/>
      <c r="E650" s="506"/>
      <c r="F650" s="506"/>
      <c r="G650" s="506"/>
      <c r="H650" s="506"/>
      <c r="I650" s="506"/>
      <c r="J650" s="506"/>
      <c r="K650" s="507"/>
      <c r="L650" s="508"/>
      <c r="M650" s="508"/>
      <c r="N650" s="508"/>
      <c r="O650" s="509"/>
      <c r="P650" s="509"/>
    </row>
    <row r="651" spans="1:16" ht="21.75" customHeight="1" x14ac:dyDescent="0.3">
      <c r="A651" s="504"/>
      <c r="B651" s="504"/>
      <c r="C651" s="504"/>
      <c r="D651" s="504"/>
      <c r="E651" s="506"/>
      <c r="F651" s="506"/>
      <c r="G651" s="506"/>
      <c r="H651" s="506"/>
      <c r="I651" s="506"/>
      <c r="J651" s="506"/>
      <c r="K651" s="507"/>
      <c r="L651" s="508"/>
      <c r="M651" s="508"/>
      <c r="N651" s="508"/>
      <c r="O651" s="509"/>
      <c r="P651" s="509"/>
    </row>
    <row r="652" spans="1:16" ht="21.75" customHeight="1" x14ac:dyDescent="0.3">
      <c r="A652" s="504"/>
      <c r="B652" s="504"/>
      <c r="C652" s="504"/>
      <c r="D652" s="504"/>
      <c r="E652" s="506"/>
      <c r="F652" s="506"/>
      <c r="G652" s="506"/>
      <c r="H652" s="506"/>
      <c r="I652" s="506"/>
      <c r="J652" s="506"/>
      <c r="K652" s="507"/>
      <c r="L652" s="508"/>
      <c r="M652" s="508"/>
      <c r="N652" s="508"/>
      <c r="O652" s="509"/>
      <c r="P652" s="509"/>
    </row>
    <row r="653" spans="1:16" ht="21.75" customHeight="1" x14ac:dyDescent="0.3">
      <c r="A653" s="504"/>
      <c r="B653" s="504"/>
      <c r="C653" s="504"/>
      <c r="D653" s="504"/>
      <c r="E653" s="506"/>
      <c r="F653" s="506"/>
      <c r="G653" s="506"/>
      <c r="H653" s="506"/>
      <c r="I653" s="506"/>
      <c r="J653" s="506"/>
      <c r="K653" s="507"/>
      <c r="L653" s="508"/>
      <c r="M653" s="508"/>
      <c r="N653" s="508"/>
      <c r="O653" s="509"/>
      <c r="P653" s="509"/>
    </row>
    <row r="654" spans="1:16" ht="21.75" customHeight="1" x14ac:dyDescent="0.3">
      <c r="A654" s="504"/>
      <c r="B654" s="504"/>
      <c r="C654" s="504"/>
      <c r="D654" s="504"/>
      <c r="E654" s="506"/>
      <c r="F654" s="506"/>
      <c r="G654" s="506"/>
      <c r="H654" s="506"/>
      <c r="I654" s="506"/>
      <c r="J654" s="506"/>
      <c r="K654" s="507"/>
      <c r="L654" s="508"/>
      <c r="M654" s="508"/>
      <c r="N654" s="508"/>
      <c r="O654" s="509"/>
      <c r="P654" s="509"/>
    </row>
    <row r="655" spans="1:16" ht="21.75" customHeight="1" x14ac:dyDescent="0.3">
      <c r="A655" s="504"/>
      <c r="B655" s="504"/>
      <c r="C655" s="504"/>
      <c r="D655" s="504"/>
      <c r="E655" s="506"/>
      <c r="F655" s="506"/>
      <c r="G655" s="506"/>
      <c r="H655" s="506"/>
      <c r="I655" s="506"/>
      <c r="J655" s="506"/>
      <c r="K655" s="507"/>
      <c r="L655" s="508"/>
      <c r="M655" s="508"/>
      <c r="N655" s="508"/>
      <c r="O655" s="509"/>
      <c r="P655" s="509"/>
    </row>
    <row r="656" spans="1:16" ht="21.75" customHeight="1" x14ac:dyDescent="0.3">
      <c r="A656" s="504"/>
      <c r="B656" s="504"/>
      <c r="C656" s="504"/>
      <c r="D656" s="504"/>
      <c r="E656" s="506"/>
      <c r="F656" s="506"/>
      <c r="G656" s="506"/>
      <c r="H656" s="506"/>
      <c r="I656" s="506"/>
      <c r="J656" s="506"/>
      <c r="K656" s="507"/>
      <c r="L656" s="508"/>
      <c r="M656" s="508"/>
      <c r="N656" s="508"/>
      <c r="O656" s="509"/>
      <c r="P656" s="509"/>
    </row>
    <row r="657" spans="1:16" ht="21.75" customHeight="1" x14ac:dyDescent="0.3">
      <c r="A657" s="504"/>
      <c r="B657" s="504"/>
      <c r="C657" s="504"/>
      <c r="D657" s="504"/>
      <c r="E657" s="506"/>
      <c r="F657" s="506"/>
      <c r="G657" s="506"/>
      <c r="H657" s="506"/>
      <c r="I657" s="506"/>
      <c r="J657" s="506"/>
      <c r="K657" s="507"/>
      <c r="L657" s="508"/>
      <c r="M657" s="508"/>
      <c r="N657" s="508"/>
      <c r="O657" s="509"/>
      <c r="P657" s="509"/>
    </row>
    <row r="658" spans="1:16" ht="21.75" customHeight="1" x14ac:dyDescent="0.3">
      <c r="A658" s="504"/>
      <c r="B658" s="504"/>
      <c r="C658" s="504"/>
      <c r="D658" s="504"/>
      <c r="E658" s="506"/>
      <c r="F658" s="506"/>
      <c r="G658" s="506"/>
      <c r="H658" s="506"/>
      <c r="I658" s="506"/>
      <c r="J658" s="506"/>
      <c r="K658" s="507"/>
      <c r="L658" s="508"/>
      <c r="M658" s="508"/>
      <c r="N658" s="508"/>
      <c r="O658" s="509"/>
      <c r="P658" s="509"/>
    </row>
    <row r="659" spans="1:16" ht="21.75" customHeight="1" x14ac:dyDescent="0.3">
      <c r="A659" s="504"/>
      <c r="B659" s="504"/>
      <c r="C659" s="504"/>
      <c r="D659" s="504"/>
      <c r="E659" s="506"/>
      <c r="F659" s="506"/>
      <c r="G659" s="506"/>
      <c r="H659" s="506"/>
      <c r="I659" s="506"/>
      <c r="J659" s="506"/>
      <c r="K659" s="507"/>
      <c r="L659" s="508"/>
      <c r="M659" s="508"/>
      <c r="N659" s="508"/>
      <c r="O659" s="509"/>
      <c r="P659" s="509"/>
    </row>
    <row r="660" spans="1:16" ht="21.75" customHeight="1" x14ac:dyDescent="0.3">
      <c r="A660" s="504"/>
      <c r="B660" s="504"/>
      <c r="C660" s="504"/>
      <c r="D660" s="504"/>
      <c r="E660" s="506"/>
      <c r="F660" s="506"/>
      <c r="G660" s="506"/>
      <c r="H660" s="506"/>
      <c r="I660" s="506"/>
      <c r="J660" s="506"/>
      <c r="K660" s="507"/>
      <c r="L660" s="508"/>
      <c r="M660" s="508"/>
      <c r="N660" s="508"/>
      <c r="O660" s="509"/>
      <c r="P660" s="509"/>
    </row>
    <row r="661" spans="1:16" ht="21.75" customHeight="1" x14ac:dyDescent="0.3">
      <c r="A661" s="504"/>
      <c r="B661" s="504"/>
      <c r="C661" s="504"/>
      <c r="D661" s="504"/>
      <c r="E661" s="506"/>
      <c r="F661" s="506"/>
      <c r="G661" s="506"/>
      <c r="H661" s="506"/>
      <c r="I661" s="506"/>
      <c r="J661" s="506"/>
      <c r="K661" s="507"/>
      <c r="L661" s="508"/>
      <c r="M661" s="508"/>
      <c r="N661" s="508"/>
      <c r="O661" s="509"/>
      <c r="P661" s="509"/>
    </row>
    <row r="662" spans="1:16" ht="21.75" customHeight="1" x14ac:dyDescent="0.3">
      <c r="A662" s="504"/>
      <c r="B662" s="504"/>
      <c r="C662" s="504"/>
      <c r="D662" s="504"/>
      <c r="E662" s="506"/>
      <c r="F662" s="506"/>
      <c r="G662" s="506"/>
      <c r="H662" s="506"/>
      <c r="I662" s="506"/>
      <c r="J662" s="506"/>
      <c r="K662" s="507"/>
      <c r="L662" s="508"/>
      <c r="M662" s="508"/>
      <c r="N662" s="508"/>
      <c r="O662" s="509"/>
      <c r="P662" s="509"/>
    </row>
    <row r="663" spans="1:16" ht="21.75" customHeight="1" x14ac:dyDescent="0.3">
      <c r="A663" s="504"/>
      <c r="B663" s="504"/>
      <c r="C663" s="504"/>
      <c r="D663" s="504"/>
      <c r="E663" s="506"/>
      <c r="F663" s="506"/>
      <c r="G663" s="506"/>
      <c r="H663" s="506"/>
      <c r="I663" s="506"/>
      <c r="J663" s="506"/>
      <c r="K663" s="507"/>
      <c r="L663" s="508"/>
      <c r="M663" s="508"/>
      <c r="N663" s="508"/>
      <c r="O663" s="509"/>
      <c r="P663" s="509"/>
    </row>
    <row r="664" spans="1:16" ht="21.75" customHeight="1" x14ac:dyDescent="0.3">
      <c r="A664" s="504"/>
      <c r="B664" s="504"/>
      <c r="C664" s="504"/>
      <c r="D664" s="504"/>
      <c r="E664" s="506"/>
      <c r="F664" s="506"/>
      <c r="G664" s="506"/>
      <c r="H664" s="506"/>
      <c r="I664" s="506"/>
      <c r="J664" s="506"/>
      <c r="K664" s="507"/>
      <c r="L664" s="508"/>
      <c r="M664" s="508"/>
      <c r="N664" s="508"/>
      <c r="O664" s="509"/>
      <c r="P664" s="509"/>
    </row>
    <row r="665" spans="1:16" ht="21.75" customHeight="1" x14ac:dyDescent="0.3">
      <c r="A665" s="504"/>
      <c r="B665" s="504"/>
      <c r="C665" s="504"/>
      <c r="D665" s="504"/>
      <c r="E665" s="506"/>
      <c r="F665" s="506"/>
      <c r="G665" s="506"/>
      <c r="H665" s="506"/>
      <c r="I665" s="506"/>
      <c r="J665" s="506"/>
      <c r="K665" s="507"/>
      <c r="L665" s="508"/>
      <c r="M665" s="508"/>
      <c r="N665" s="508"/>
      <c r="O665" s="509"/>
      <c r="P665" s="509"/>
    </row>
    <row r="666" spans="1:16" ht="21.75" customHeight="1" x14ac:dyDescent="0.3">
      <c r="A666" s="504"/>
      <c r="B666" s="504"/>
      <c r="C666" s="504"/>
      <c r="D666" s="504"/>
      <c r="E666" s="506"/>
      <c r="F666" s="506"/>
      <c r="G666" s="506"/>
      <c r="H666" s="506"/>
      <c r="I666" s="506"/>
      <c r="J666" s="506"/>
      <c r="K666" s="507"/>
      <c r="L666" s="508"/>
      <c r="M666" s="508"/>
      <c r="N666" s="508"/>
      <c r="O666" s="509"/>
      <c r="P666" s="509"/>
    </row>
    <row r="667" spans="1:16" ht="21.75" customHeight="1" x14ac:dyDescent="0.3">
      <c r="A667" s="504"/>
      <c r="B667" s="504"/>
      <c r="C667" s="504"/>
      <c r="D667" s="504"/>
      <c r="E667" s="506"/>
      <c r="F667" s="506"/>
      <c r="G667" s="506"/>
      <c r="H667" s="506"/>
      <c r="I667" s="506"/>
      <c r="J667" s="506"/>
      <c r="K667" s="507"/>
      <c r="L667" s="508"/>
      <c r="M667" s="508"/>
      <c r="N667" s="508"/>
      <c r="O667" s="509"/>
      <c r="P667" s="509"/>
    </row>
    <row r="668" spans="1:16" ht="21.75" customHeight="1" x14ac:dyDescent="0.3">
      <c r="A668" s="504"/>
      <c r="B668" s="504"/>
      <c r="C668" s="504"/>
      <c r="D668" s="504"/>
      <c r="E668" s="506"/>
      <c r="F668" s="506"/>
      <c r="G668" s="506"/>
      <c r="H668" s="506"/>
      <c r="I668" s="506"/>
      <c r="J668" s="506"/>
      <c r="K668" s="507"/>
      <c r="L668" s="508"/>
      <c r="M668" s="508"/>
      <c r="N668" s="508"/>
      <c r="O668" s="509"/>
      <c r="P668" s="509"/>
    </row>
    <row r="669" spans="1:16" ht="21.75" customHeight="1" x14ac:dyDescent="0.3">
      <c r="A669" s="504"/>
      <c r="B669" s="504"/>
      <c r="C669" s="504"/>
      <c r="D669" s="504"/>
      <c r="E669" s="506"/>
      <c r="F669" s="506"/>
      <c r="G669" s="506"/>
      <c r="H669" s="506"/>
      <c r="I669" s="506"/>
      <c r="J669" s="506"/>
      <c r="K669" s="507"/>
      <c r="L669" s="508"/>
      <c r="M669" s="508"/>
      <c r="N669" s="508"/>
      <c r="O669" s="509"/>
      <c r="P669" s="509"/>
    </row>
    <row r="670" spans="1:16" ht="21.75" customHeight="1" x14ac:dyDescent="0.3">
      <c r="A670" s="504"/>
      <c r="B670" s="504"/>
      <c r="C670" s="504"/>
      <c r="D670" s="504"/>
      <c r="E670" s="506"/>
      <c r="F670" s="506"/>
      <c r="G670" s="506"/>
      <c r="H670" s="506"/>
      <c r="I670" s="506"/>
      <c r="J670" s="506"/>
      <c r="K670" s="507"/>
      <c r="L670" s="508"/>
      <c r="M670" s="508"/>
      <c r="N670" s="508"/>
      <c r="O670" s="509"/>
      <c r="P670" s="509"/>
    </row>
    <row r="671" spans="1:16" ht="21.75" customHeight="1" x14ac:dyDescent="0.3">
      <c r="A671" s="504"/>
      <c r="B671" s="504"/>
      <c r="C671" s="504"/>
      <c r="D671" s="504"/>
      <c r="E671" s="506"/>
      <c r="F671" s="506"/>
      <c r="G671" s="506"/>
      <c r="H671" s="506"/>
      <c r="I671" s="506"/>
      <c r="J671" s="506"/>
      <c r="K671" s="507"/>
      <c r="L671" s="508"/>
      <c r="M671" s="508"/>
      <c r="N671" s="508"/>
      <c r="O671" s="509"/>
      <c r="P671" s="509"/>
    </row>
    <row r="672" spans="1:16" ht="21.75" customHeight="1" x14ac:dyDescent="0.3">
      <c r="A672" s="504"/>
      <c r="B672" s="504"/>
      <c r="C672" s="504"/>
      <c r="D672" s="504"/>
      <c r="E672" s="506"/>
      <c r="F672" s="506"/>
      <c r="G672" s="506"/>
      <c r="H672" s="506"/>
      <c r="I672" s="506"/>
      <c r="J672" s="506"/>
      <c r="K672" s="507"/>
      <c r="L672" s="508"/>
      <c r="M672" s="508"/>
      <c r="N672" s="508"/>
      <c r="O672" s="509"/>
      <c r="P672" s="509"/>
    </row>
    <row r="673" spans="1:16" ht="21.75" customHeight="1" x14ac:dyDescent="0.3">
      <c r="A673" s="504"/>
      <c r="B673" s="504"/>
      <c r="C673" s="504"/>
      <c r="D673" s="504"/>
      <c r="E673" s="506"/>
      <c r="F673" s="506"/>
      <c r="G673" s="506"/>
      <c r="H673" s="506"/>
      <c r="I673" s="506"/>
      <c r="J673" s="506"/>
      <c r="K673" s="507"/>
      <c r="L673" s="508"/>
      <c r="M673" s="508"/>
      <c r="N673" s="508"/>
      <c r="O673" s="509"/>
      <c r="P673" s="509"/>
    </row>
    <row r="674" spans="1:16" ht="21.75" customHeight="1" x14ac:dyDescent="0.3">
      <c r="A674" s="504"/>
      <c r="B674" s="504"/>
      <c r="C674" s="504"/>
      <c r="D674" s="504"/>
      <c r="E674" s="506"/>
      <c r="F674" s="506"/>
      <c r="G674" s="506"/>
      <c r="H674" s="506"/>
      <c r="I674" s="506"/>
      <c r="J674" s="506"/>
      <c r="K674" s="507"/>
      <c r="L674" s="508"/>
      <c r="M674" s="508"/>
      <c r="N674" s="508"/>
      <c r="O674" s="509"/>
      <c r="P674" s="509"/>
    </row>
    <row r="675" spans="1:16" ht="21.75" customHeight="1" x14ac:dyDescent="0.3">
      <c r="A675" s="504"/>
      <c r="B675" s="504"/>
      <c r="C675" s="504"/>
      <c r="D675" s="504"/>
      <c r="E675" s="506"/>
      <c r="F675" s="506"/>
      <c r="G675" s="506"/>
      <c r="H675" s="506"/>
      <c r="I675" s="506"/>
      <c r="J675" s="506"/>
      <c r="K675" s="507"/>
      <c r="L675" s="508"/>
      <c r="M675" s="508"/>
      <c r="N675" s="508"/>
      <c r="O675" s="509"/>
      <c r="P675" s="509"/>
    </row>
    <row r="676" spans="1:16" ht="21.75" customHeight="1" x14ac:dyDescent="0.3">
      <c r="A676" s="504"/>
      <c r="B676" s="504"/>
      <c r="C676" s="504"/>
      <c r="D676" s="504"/>
      <c r="E676" s="506"/>
      <c r="F676" s="506"/>
      <c r="G676" s="506"/>
      <c r="H676" s="506"/>
      <c r="I676" s="506"/>
      <c r="J676" s="506"/>
      <c r="K676" s="507"/>
      <c r="L676" s="508"/>
      <c r="M676" s="508"/>
      <c r="N676" s="508"/>
      <c r="O676" s="509"/>
      <c r="P676" s="509"/>
    </row>
    <row r="677" spans="1:16" ht="21.75" customHeight="1" x14ac:dyDescent="0.3">
      <c r="A677" s="504"/>
      <c r="B677" s="504"/>
      <c r="C677" s="504"/>
      <c r="D677" s="504"/>
      <c r="E677" s="506"/>
      <c r="F677" s="506"/>
      <c r="G677" s="506"/>
      <c r="H677" s="506"/>
      <c r="I677" s="506"/>
      <c r="J677" s="506"/>
      <c r="K677" s="507"/>
      <c r="L677" s="508"/>
      <c r="M677" s="508"/>
      <c r="N677" s="508"/>
      <c r="O677" s="509"/>
      <c r="P677" s="509"/>
    </row>
    <row r="678" spans="1:16" ht="21.75" customHeight="1" x14ac:dyDescent="0.3">
      <c r="A678" s="504"/>
      <c r="B678" s="504"/>
      <c r="C678" s="504"/>
      <c r="D678" s="504"/>
      <c r="E678" s="506"/>
      <c r="F678" s="506"/>
      <c r="G678" s="506"/>
      <c r="H678" s="506"/>
      <c r="I678" s="506"/>
      <c r="J678" s="506"/>
      <c r="K678" s="507"/>
      <c r="L678" s="508"/>
      <c r="M678" s="508"/>
      <c r="N678" s="508"/>
      <c r="O678" s="509"/>
      <c r="P678" s="509"/>
    </row>
    <row r="679" spans="1:16" ht="21.75" customHeight="1" x14ac:dyDescent="0.3">
      <c r="A679" s="504"/>
      <c r="B679" s="504"/>
      <c r="C679" s="504"/>
      <c r="D679" s="504"/>
      <c r="E679" s="506"/>
      <c r="F679" s="506"/>
      <c r="G679" s="506"/>
      <c r="H679" s="506"/>
      <c r="I679" s="506"/>
      <c r="J679" s="506"/>
      <c r="K679" s="507"/>
      <c r="L679" s="508"/>
      <c r="M679" s="508"/>
      <c r="N679" s="508"/>
      <c r="O679" s="509"/>
      <c r="P679" s="509"/>
    </row>
    <row r="680" spans="1:16" ht="21.75" customHeight="1" x14ac:dyDescent="0.3">
      <c r="A680" s="504"/>
      <c r="B680" s="504"/>
      <c r="C680" s="504"/>
      <c r="D680" s="504"/>
      <c r="E680" s="506"/>
      <c r="F680" s="506"/>
      <c r="G680" s="506"/>
      <c r="H680" s="506"/>
      <c r="I680" s="506"/>
      <c r="J680" s="506"/>
      <c r="K680" s="507"/>
      <c r="L680" s="508"/>
      <c r="M680" s="508"/>
      <c r="N680" s="508"/>
      <c r="O680" s="509"/>
      <c r="P680" s="509"/>
    </row>
    <row r="681" spans="1:16" ht="21.75" customHeight="1" x14ac:dyDescent="0.3">
      <c r="A681" s="504"/>
      <c r="B681" s="504"/>
      <c r="C681" s="504"/>
      <c r="D681" s="504"/>
      <c r="E681" s="506"/>
      <c r="F681" s="506"/>
      <c r="G681" s="506"/>
      <c r="H681" s="506"/>
      <c r="I681" s="506"/>
      <c r="J681" s="506"/>
      <c r="K681" s="507"/>
      <c r="L681" s="508"/>
      <c r="M681" s="508"/>
      <c r="N681" s="508"/>
      <c r="O681" s="509"/>
      <c r="P681" s="509"/>
    </row>
    <row r="682" spans="1:16" ht="21.75" customHeight="1" x14ac:dyDescent="0.3">
      <c r="A682" s="504"/>
      <c r="B682" s="504"/>
      <c r="C682" s="504"/>
      <c r="D682" s="504"/>
      <c r="E682" s="506"/>
      <c r="F682" s="506"/>
      <c r="G682" s="506"/>
      <c r="H682" s="506"/>
      <c r="I682" s="506"/>
      <c r="J682" s="506"/>
      <c r="K682" s="507"/>
      <c r="L682" s="508"/>
      <c r="M682" s="508"/>
      <c r="N682" s="508"/>
      <c r="O682" s="509"/>
      <c r="P682" s="509"/>
    </row>
    <row r="683" spans="1:16" ht="21.75" customHeight="1" x14ac:dyDescent="0.3">
      <c r="A683" s="504"/>
      <c r="B683" s="504"/>
      <c r="C683" s="504"/>
      <c r="D683" s="504"/>
      <c r="E683" s="506"/>
      <c r="F683" s="506"/>
      <c r="G683" s="506"/>
      <c r="H683" s="506"/>
      <c r="I683" s="506"/>
      <c r="J683" s="506"/>
      <c r="K683" s="507"/>
      <c r="L683" s="508"/>
      <c r="M683" s="508"/>
      <c r="N683" s="508"/>
      <c r="O683" s="509"/>
      <c r="P683" s="509"/>
    </row>
    <row r="684" spans="1:16" ht="21.75" customHeight="1" x14ac:dyDescent="0.3">
      <c r="A684" s="504"/>
      <c r="B684" s="504"/>
      <c r="C684" s="504"/>
      <c r="D684" s="504"/>
      <c r="E684" s="506"/>
      <c r="F684" s="506"/>
      <c r="G684" s="506"/>
      <c r="H684" s="506"/>
      <c r="I684" s="506"/>
      <c r="J684" s="506"/>
      <c r="K684" s="507"/>
      <c r="L684" s="508"/>
      <c r="M684" s="508"/>
      <c r="N684" s="508"/>
      <c r="O684" s="509"/>
      <c r="P684" s="509"/>
    </row>
    <row r="685" spans="1:16" ht="21.75" customHeight="1" x14ac:dyDescent="0.3">
      <c r="A685" s="504"/>
      <c r="B685" s="504"/>
      <c r="C685" s="504"/>
      <c r="D685" s="504"/>
      <c r="E685" s="506"/>
      <c r="F685" s="506"/>
      <c r="G685" s="506"/>
      <c r="H685" s="506"/>
      <c r="I685" s="506"/>
      <c r="J685" s="506"/>
      <c r="K685" s="507"/>
      <c r="L685" s="508"/>
      <c r="M685" s="508"/>
      <c r="N685" s="508"/>
      <c r="O685" s="509"/>
      <c r="P685" s="509"/>
    </row>
    <row r="686" spans="1:16" ht="21.75" customHeight="1" x14ac:dyDescent="0.3">
      <c r="A686" s="504"/>
      <c r="B686" s="504"/>
      <c r="C686" s="504"/>
      <c r="D686" s="504"/>
      <c r="E686" s="506"/>
      <c r="F686" s="506"/>
      <c r="G686" s="506"/>
      <c r="H686" s="506"/>
      <c r="I686" s="506"/>
      <c r="J686" s="506"/>
      <c r="K686" s="507"/>
      <c r="L686" s="508"/>
      <c r="M686" s="508"/>
      <c r="N686" s="508"/>
      <c r="O686" s="509"/>
      <c r="P686" s="509"/>
    </row>
    <row r="687" spans="1:16" ht="21.75" customHeight="1" x14ac:dyDescent="0.3">
      <c r="A687" s="504"/>
      <c r="B687" s="504"/>
      <c r="C687" s="504"/>
      <c r="D687" s="504"/>
      <c r="E687" s="506"/>
      <c r="F687" s="506"/>
      <c r="G687" s="506"/>
      <c r="H687" s="506"/>
      <c r="I687" s="506"/>
      <c r="J687" s="506"/>
      <c r="K687" s="507"/>
      <c r="L687" s="508"/>
      <c r="M687" s="508"/>
      <c r="N687" s="508"/>
      <c r="O687" s="509"/>
      <c r="P687" s="509"/>
    </row>
    <row r="688" spans="1:16" ht="21.75" customHeight="1" x14ac:dyDescent="0.3">
      <c r="A688" s="504"/>
      <c r="B688" s="504"/>
      <c r="C688" s="504"/>
      <c r="D688" s="504"/>
      <c r="E688" s="506"/>
      <c r="F688" s="506"/>
      <c r="G688" s="506"/>
      <c r="H688" s="506"/>
      <c r="I688" s="506"/>
      <c r="J688" s="506"/>
      <c r="K688" s="507"/>
      <c r="L688" s="508"/>
      <c r="M688" s="508"/>
      <c r="N688" s="508"/>
      <c r="O688" s="509"/>
      <c r="P688" s="509"/>
    </row>
    <row r="689" spans="1:16" ht="21.75" customHeight="1" x14ac:dyDescent="0.3">
      <c r="A689" s="504"/>
      <c r="B689" s="504"/>
      <c r="C689" s="504"/>
      <c r="D689" s="504"/>
      <c r="E689" s="506"/>
      <c r="F689" s="506"/>
      <c r="G689" s="506"/>
      <c r="H689" s="506"/>
      <c r="I689" s="506"/>
      <c r="J689" s="506"/>
      <c r="K689" s="507"/>
      <c r="L689" s="508"/>
      <c r="M689" s="508"/>
      <c r="N689" s="508"/>
      <c r="O689" s="509"/>
      <c r="P689" s="509"/>
    </row>
    <row r="690" spans="1:16" ht="21.75" customHeight="1" x14ac:dyDescent="0.3">
      <c r="A690" s="504"/>
      <c r="B690" s="504"/>
      <c r="C690" s="504"/>
      <c r="D690" s="504"/>
      <c r="E690" s="506"/>
      <c r="F690" s="506"/>
      <c r="G690" s="506"/>
      <c r="H690" s="506"/>
      <c r="I690" s="506"/>
      <c r="J690" s="506"/>
      <c r="K690" s="507"/>
      <c r="L690" s="508"/>
      <c r="M690" s="508"/>
      <c r="N690" s="508"/>
      <c r="O690" s="509"/>
      <c r="P690" s="509"/>
    </row>
    <row r="691" spans="1:16" ht="21.75" customHeight="1" x14ac:dyDescent="0.3">
      <c r="A691" s="504"/>
      <c r="B691" s="504"/>
      <c r="C691" s="504"/>
      <c r="D691" s="504"/>
      <c r="E691" s="506"/>
      <c r="F691" s="506"/>
      <c r="G691" s="506"/>
      <c r="H691" s="506"/>
      <c r="I691" s="506"/>
      <c r="J691" s="506"/>
      <c r="K691" s="507"/>
      <c r="L691" s="508"/>
      <c r="M691" s="508"/>
      <c r="N691" s="508"/>
      <c r="O691" s="509"/>
      <c r="P691" s="509"/>
    </row>
    <row r="692" spans="1:16" ht="21.75" customHeight="1" x14ac:dyDescent="0.3">
      <c r="A692" s="504"/>
      <c r="B692" s="504"/>
      <c r="C692" s="504"/>
      <c r="D692" s="504"/>
      <c r="E692" s="506"/>
      <c r="F692" s="506"/>
      <c r="G692" s="506"/>
      <c r="H692" s="506"/>
      <c r="I692" s="506"/>
      <c r="J692" s="506"/>
      <c r="K692" s="507"/>
      <c r="L692" s="508"/>
      <c r="M692" s="508"/>
      <c r="N692" s="508"/>
      <c r="O692" s="509"/>
      <c r="P692" s="509"/>
    </row>
    <row r="693" spans="1:16" ht="21.75" customHeight="1" x14ac:dyDescent="0.3">
      <c r="A693" s="504"/>
      <c r="B693" s="504"/>
      <c r="C693" s="504"/>
      <c r="D693" s="504"/>
      <c r="E693" s="506"/>
      <c r="F693" s="506"/>
      <c r="G693" s="506"/>
      <c r="H693" s="506"/>
      <c r="I693" s="506"/>
      <c r="J693" s="506"/>
      <c r="K693" s="507"/>
      <c r="L693" s="508"/>
      <c r="M693" s="508"/>
      <c r="N693" s="508"/>
      <c r="O693" s="509"/>
      <c r="P693" s="509"/>
    </row>
    <row r="694" spans="1:16" ht="21.75" customHeight="1" x14ac:dyDescent="0.3">
      <c r="A694" s="504"/>
      <c r="B694" s="504"/>
      <c r="C694" s="504"/>
      <c r="D694" s="504"/>
      <c r="E694" s="506"/>
      <c r="F694" s="506"/>
      <c r="G694" s="506"/>
      <c r="H694" s="506"/>
      <c r="I694" s="506"/>
      <c r="J694" s="506"/>
      <c r="K694" s="507"/>
      <c r="L694" s="508"/>
      <c r="M694" s="508"/>
      <c r="N694" s="508"/>
      <c r="O694" s="509"/>
      <c r="P694" s="509"/>
    </row>
    <row r="695" spans="1:16" ht="21.75" customHeight="1" x14ac:dyDescent="0.3">
      <c r="A695" s="504"/>
      <c r="B695" s="504"/>
      <c r="C695" s="504"/>
      <c r="D695" s="504"/>
      <c r="E695" s="506"/>
      <c r="F695" s="506"/>
      <c r="G695" s="506"/>
      <c r="H695" s="506"/>
      <c r="I695" s="506"/>
      <c r="J695" s="506"/>
      <c r="K695" s="507"/>
      <c r="L695" s="508"/>
      <c r="M695" s="508"/>
      <c r="N695" s="508"/>
      <c r="O695" s="509"/>
      <c r="P695" s="509"/>
    </row>
    <row r="696" spans="1:16" ht="21.75" customHeight="1" x14ac:dyDescent="0.3">
      <c r="A696" s="504"/>
      <c r="B696" s="504"/>
      <c r="C696" s="504"/>
      <c r="D696" s="504"/>
      <c r="E696" s="506"/>
      <c r="F696" s="506"/>
      <c r="G696" s="506"/>
      <c r="H696" s="506"/>
      <c r="I696" s="506"/>
      <c r="J696" s="506"/>
      <c r="K696" s="507"/>
      <c r="L696" s="508"/>
      <c r="M696" s="508"/>
      <c r="N696" s="508"/>
      <c r="O696" s="509"/>
      <c r="P696" s="509"/>
    </row>
    <row r="697" spans="1:16" ht="21.75" customHeight="1" x14ac:dyDescent="0.3">
      <c r="A697" s="504"/>
      <c r="B697" s="504"/>
      <c r="C697" s="504"/>
      <c r="D697" s="504"/>
      <c r="E697" s="506"/>
      <c r="F697" s="506"/>
      <c r="G697" s="506"/>
      <c r="H697" s="506"/>
      <c r="I697" s="506"/>
      <c r="J697" s="506"/>
      <c r="K697" s="507"/>
      <c r="L697" s="508"/>
      <c r="M697" s="508"/>
      <c r="N697" s="508"/>
      <c r="O697" s="509"/>
      <c r="P697" s="509"/>
    </row>
    <row r="698" spans="1:16" ht="21.75" customHeight="1" x14ac:dyDescent="0.3">
      <c r="A698" s="504"/>
      <c r="B698" s="504"/>
      <c r="C698" s="504"/>
      <c r="D698" s="504"/>
      <c r="E698" s="506"/>
      <c r="F698" s="506"/>
      <c r="G698" s="506"/>
      <c r="H698" s="506"/>
      <c r="I698" s="506"/>
      <c r="J698" s="506"/>
      <c r="K698" s="507"/>
      <c r="L698" s="508"/>
      <c r="M698" s="508"/>
      <c r="N698" s="508"/>
      <c r="O698" s="509"/>
      <c r="P698" s="509"/>
    </row>
    <row r="699" spans="1:16" ht="21.75" customHeight="1" x14ac:dyDescent="0.3">
      <c r="A699" s="504"/>
      <c r="B699" s="504"/>
      <c r="C699" s="504"/>
      <c r="D699" s="504"/>
      <c r="E699" s="506"/>
      <c r="F699" s="506"/>
      <c r="G699" s="506"/>
      <c r="H699" s="506"/>
      <c r="I699" s="506"/>
      <c r="J699" s="506"/>
      <c r="K699" s="507"/>
      <c r="L699" s="508"/>
      <c r="M699" s="508"/>
      <c r="N699" s="508"/>
      <c r="O699" s="509"/>
      <c r="P699" s="509"/>
    </row>
    <row r="700" spans="1:16" ht="21.75" customHeight="1" x14ac:dyDescent="0.3">
      <c r="A700" s="504"/>
      <c r="B700" s="504"/>
      <c r="C700" s="504"/>
      <c r="D700" s="504"/>
      <c r="E700" s="506"/>
      <c r="F700" s="506"/>
      <c r="G700" s="506"/>
      <c r="H700" s="506"/>
      <c r="I700" s="506"/>
      <c r="J700" s="506"/>
      <c r="K700" s="507"/>
      <c r="L700" s="508"/>
      <c r="M700" s="508"/>
      <c r="N700" s="508"/>
      <c r="O700" s="509"/>
      <c r="P700" s="509"/>
    </row>
    <row r="701" spans="1:16" ht="21.75" customHeight="1" x14ac:dyDescent="0.3">
      <c r="A701" s="504"/>
      <c r="B701" s="504"/>
      <c r="C701" s="504"/>
      <c r="D701" s="504"/>
      <c r="E701" s="506"/>
      <c r="F701" s="506"/>
      <c r="G701" s="506"/>
      <c r="H701" s="506"/>
      <c r="I701" s="506"/>
      <c r="J701" s="506"/>
      <c r="K701" s="507"/>
      <c r="L701" s="508"/>
      <c r="M701" s="508"/>
      <c r="N701" s="508"/>
      <c r="O701" s="509"/>
      <c r="P701" s="509"/>
    </row>
    <row r="702" spans="1:16" ht="21.75" customHeight="1" x14ac:dyDescent="0.3">
      <c r="A702" s="504"/>
      <c r="B702" s="504"/>
      <c r="C702" s="504"/>
      <c r="D702" s="504"/>
      <c r="E702" s="506"/>
      <c r="F702" s="506"/>
      <c r="G702" s="506"/>
      <c r="H702" s="506"/>
      <c r="I702" s="506"/>
      <c r="J702" s="506"/>
      <c r="K702" s="507"/>
      <c r="L702" s="508"/>
      <c r="M702" s="508"/>
      <c r="N702" s="508"/>
      <c r="O702" s="509"/>
      <c r="P702" s="509"/>
    </row>
    <row r="703" spans="1:16" ht="21.75" customHeight="1" x14ac:dyDescent="0.3">
      <c r="A703" s="504"/>
      <c r="B703" s="504"/>
      <c r="C703" s="504"/>
      <c r="D703" s="504"/>
      <c r="E703" s="506"/>
      <c r="F703" s="506"/>
      <c r="G703" s="506"/>
      <c r="H703" s="506"/>
      <c r="I703" s="506"/>
      <c r="J703" s="506"/>
      <c r="K703" s="507"/>
      <c r="L703" s="508"/>
      <c r="M703" s="508"/>
      <c r="N703" s="508"/>
      <c r="O703" s="509"/>
      <c r="P703" s="509"/>
    </row>
    <row r="704" spans="1:16" ht="21.75" customHeight="1" x14ac:dyDescent="0.3">
      <c r="A704" s="504"/>
      <c r="B704" s="504"/>
      <c r="C704" s="504"/>
      <c r="D704" s="504"/>
      <c r="E704" s="506"/>
      <c r="F704" s="506"/>
      <c r="G704" s="506"/>
      <c r="H704" s="506"/>
      <c r="I704" s="506"/>
      <c r="J704" s="506"/>
      <c r="K704" s="507"/>
      <c r="L704" s="508"/>
      <c r="M704" s="508"/>
      <c r="N704" s="508"/>
      <c r="O704" s="509"/>
      <c r="P704" s="509"/>
    </row>
    <row r="705" spans="1:16" ht="21.75" customHeight="1" x14ac:dyDescent="0.3">
      <c r="A705" s="504"/>
      <c r="B705" s="504"/>
      <c r="C705" s="504"/>
      <c r="D705" s="504"/>
      <c r="E705" s="506"/>
      <c r="F705" s="506"/>
      <c r="G705" s="506"/>
      <c r="H705" s="506"/>
      <c r="I705" s="506"/>
      <c r="J705" s="506"/>
      <c r="K705" s="507"/>
      <c r="L705" s="508"/>
      <c r="M705" s="508"/>
      <c r="N705" s="508"/>
      <c r="O705" s="509"/>
      <c r="P705" s="509"/>
    </row>
    <row r="706" spans="1:16" ht="21.75" customHeight="1" x14ac:dyDescent="0.3">
      <c r="A706" s="504"/>
      <c r="B706" s="504"/>
      <c r="C706" s="504"/>
      <c r="D706" s="504"/>
      <c r="E706" s="506"/>
      <c r="F706" s="506"/>
      <c r="G706" s="506"/>
      <c r="H706" s="506"/>
      <c r="I706" s="506"/>
      <c r="J706" s="506"/>
      <c r="K706" s="507"/>
      <c r="L706" s="508"/>
      <c r="M706" s="508"/>
      <c r="N706" s="508"/>
      <c r="O706" s="509"/>
      <c r="P706" s="509"/>
    </row>
    <row r="707" spans="1:16" ht="21.75" customHeight="1" x14ac:dyDescent="0.3">
      <c r="A707" s="504"/>
      <c r="B707" s="504"/>
      <c r="C707" s="504"/>
      <c r="D707" s="504"/>
      <c r="E707" s="506"/>
      <c r="F707" s="506"/>
      <c r="G707" s="506"/>
      <c r="H707" s="506"/>
      <c r="I707" s="506"/>
      <c r="J707" s="506"/>
      <c r="K707" s="507"/>
      <c r="L707" s="508"/>
      <c r="M707" s="508"/>
      <c r="N707" s="508"/>
      <c r="O707" s="509"/>
      <c r="P707" s="509"/>
    </row>
    <row r="708" spans="1:16" ht="21.75" customHeight="1" x14ac:dyDescent="0.3">
      <c r="A708" s="504"/>
      <c r="B708" s="504"/>
      <c r="C708" s="504"/>
      <c r="D708" s="504"/>
      <c r="E708" s="506"/>
      <c r="F708" s="506"/>
      <c r="G708" s="506"/>
      <c r="H708" s="506"/>
      <c r="I708" s="506"/>
      <c r="J708" s="506"/>
      <c r="K708" s="507"/>
      <c r="L708" s="508"/>
      <c r="M708" s="508"/>
      <c r="N708" s="508"/>
      <c r="O708" s="509"/>
      <c r="P708" s="509"/>
    </row>
    <row r="709" spans="1:16" ht="21.75" customHeight="1" x14ac:dyDescent="0.3">
      <c r="A709" s="504"/>
      <c r="B709" s="504"/>
      <c r="C709" s="504"/>
      <c r="D709" s="504"/>
      <c r="E709" s="506"/>
      <c r="F709" s="506"/>
      <c r="G709" s="506"/>
      <c r="H709" s="506"/>
      <c r="I709" s="506"/>
      <c r="J709" s="506"/>
      <c r="K709" s="507"/>
      <c r="L709" s="508"/>
      <c r="M709" s="508"/>
      <c r="N709" s="508"/>
      <c r="O709" s="509"/>
      <c r="P709" s="509"/>
    </row>
    <row r="710" spans="1:16" ht="21.75" customHeight="1" x14ac:dyDescent="0.3">
      <c r="A710" s="504"/>
      <c r="B710" s="504"/>
      <c r="C710" s="504"/>
      <c r="D710" s="504"/>
      <c r="E710" s="506"/>
      <c r="F710" s="506"/>
      <c r="G710" s="506"/>
      <c r="H710" s="506"/>
      <c r="I710" s="506"/>
      <c r="J710" s="506"/>
      <c r="K710" s="507"/>
      <c r="L710" s="508"/>
      <c r="M710" s="508"/>
      <c r="N710" s="508"/>
      <c r="O710" s="509"/>
      <c r="P710" s="509"/>
    </row>
    <row r="711" spans="1:16" ht="21.75" customHeight="1" x14ac:dyDescent="0.3">
      <c r="A711" s="504"/>
      <c r="B711" s="504"/>
      <c r="C711" s="504"/>
      <c r="D711" s="504"/>
      <c r="E711" s="506"/>
      <c r="F711" s="506"/>
      <c r="G711" s="506"/>
      <c r="H711" s="506"/>
      <c r="I711" s="506"/>
      <c r="J711" s="506"/>
      <c r="K711" s="507"/>
      <c r="L711" s="508"/>
      <c r="M711" s="508"/>
      <c r="N711" s="508"/>
      <c r="O711" s="509"/>
      <c r="P711" s="509"/>
    </row>
    <row r="712" spans="1:16" ht="21.75" customHeight="1" x14ac:dyDescent="0.3">
      <c r="A712" s="504"/>
      <c r="B712" s="504"/>
      <c r="C712" s="504"/>
      <c r="D712" s="504"/>
      <c r="E712" s="506"/>
      <c r="F712" s="506"/>
      <c r="G712" s="506"/>
      <c r="H712" s="506"/>
      <c r="I712" s="506"/>
      <c r="J712" s="506"/>
      <c r="K712" s="507"/>
      <c r="L712" s="508"/>
      <c r="M712" s="508"/>
      <c r="N712" s="508"/>
      <c r="O712" s="509"/>
      <c r="P712" s="509"/>
    </row>
    <row r="713" spans="1:16" ht="21.75" customHeight="1" x14ac:dyDescent="0.3">
      <c r="A713" s="504"/>
      <c r="B713" s="504"/>
      <c r="C713" s="504"/>
      <c r="D713" s="504"/>
      <c r="E713" s="506"/>
      <c r="F713" s="506"/>
      <c r="G713" s="506"/>
      <c r="H713" s="506"/>
      <c r="I713" s="506"/>
      <c r="J713" s="506"/>
      <c r="K713" s="507"/>
      <c r="L713" s="508"/>
      <c r="M713" s="508"/>
      <c r="N713" s="508"/>
      <c r="O713" s="509"/>
      <c r="P713" s="509"/>
    </row>
    <row r="714" spans="1:16" ht="21.75" customHeight="1" x14ac:dyDescent="0.3">
      <c r="A714" s="504"/>
      <c r="B714" s="504"/>
      <c r="C714" s="504"/>
      <c r="D714" s="504"/>
      <c r="E714" s="506"/>
      <c r="F714" s="506"/>
      <c r="G714" s="506"/>
      <c r="H714" s="506"/>
      <c r="I714" s="506"/>
      <c r="J714" s="506"/>
      <c r="K714" s="507"/>
      <c r="L714" s="508"/>
      <c r="M714" s="508"/>
      <c r="N714" s="508"/>
      <c r="O714" s="509"/>
      <c r="P714" s="509"/>
    </row>
    <row r="715" spans="1:16" ht="21.75" customHeight="1" x14ac:dyDescent="0.3">
      <c r="A715" s="504"/>
      <c r="B715" s="504"/>
      <c r="C715" s="504"/>
      <c r="D715" s="504"/>
      <c r="E715" s="506"/>
      <c r="F715" s="506"/>
      <c r="G715" s="506"/>
      <c r="H715" s="506"/>
      <c r="I715" s="506"/>
      <c r="J715" s="506"/>
      <c r="K715" s="507"/>
      <c r="L715" s="508"/>
      <c r="M715" s="508"/>
      <c r="N715" s="508"/>
      <c r="O715" s="509"/>
      <c r="P715" s="509"/>
    </row>
    <row r="716" spans="1:16" ht="21.75" customHeight="1" x14ac:dyDescent="0.3">
      <c r="A716" s="504"/>
      <c r="B716" s="504"/>
      <c r="C716" s="504"/>
      <c r="D716" s="504"/>
      <c r="E716" s="506"/>
      <c r="F716" s="506"/>
      <c r="G716" s="506"/>
      <c r="H716" s="506"/>
      <c r="I716" s="506"/>
      <c r="J716" s="506"/>
      <c r="K716" s="507"/>
      <c r="L716" s="508"/>
      <c r="M716" s="508"/>
      <c r="N716" s="508"/>
      <c r="O716" s="509"/>
      <c r="P716" s="509"/>
    </row>
    <row r="717" spans="1:16" ht="21.75" customHeight="1" x14ac:dyDescent="0.3">
      <c r="A717" s="504"/>
      <c r="B717" s="504"/>
      <c r="C717" s="504"/>
      <c r="D717" s="504"/>
      <c r="E717" s="506"/>
      <c r="F717" s="506"/>
      <c r="G717" s="506"/>
      <c r="H717" s="506"/>
      <c r="I717" s="506"/>
      <c r="J717" s="506"/>
      <c r="K717" s="507"/>
      <c r="L717" s="508"/>
      <c r="M717" s="508"/>
      <c r="N717" s="508"/>
      <c r="O717" s="509"/>
      <c r="P717" s="509"/>
    </row>
    <row r="718" spans="1:16" ht="21.75" customHeight="1" x14ac:dyDescent="0.3">
      <c r="A718" s="504"/>
      <c r="B718" s="504"/>
      <c r="C718" s="504"/>
      <c r="D718" s="504"/>
      <c r="E718" s="506"/>
      <c r="F718" s="506"/>
      <c r="G718" s="506"/>
      <c r="H718" s="506"/>
      <c r="I718" s="506"/>
      <c r="J718" s="506"/>
      <c r="K718" s="507"/>
      <c r="L718" s="508"/>
      <c r="M718" s="508"/>
      <c r="N718" s="508"/>
      <c r="O718" s="509"/>
      <c r="P718" s="509"/>
    </row>
    <row r="719" spans="1:16" ht="21.75" customHeight="1" x14ac:dyDescent="0.3">
      <c r="A719" s="504"/>
      <c r="B719" s="504"/>
      <c r="C719" s="504"/>
      <c r="D719" s="504"/>
      <c r="E719" s="506"/>
      <c r="F719" s="506"/>
      <c r="G719" s="506"/>
      <c r="H719" s="506"/>
      <c r="I719" s="506"/>
      <c r="J719" s="506"/>
      <c r="K719" s="507"/>
      <c r="L719" s="508"/>
      <c r="M719" s="508"/>
      <c r="N719" s="508"/>
      <c r="O719" s="509"/>
      <c r="P719" s="509"/>
    </row>
    <row r="720" spans="1:16" ht="21.75" customHeight="1" x14ac:dyDescent="0.3">
      <c r="A720" s="504"/>
      <c r="B720" s="504"/>
      <c r="C720" s="504"/>
      <c r="D720" s="504"/>
      <c r="E720" s="506"/>
      <c r="F720" s="506"/>
      <c r="G720" s="506"/>
      <c r="H720" s="506"/>
      <c r="I720" s="506"/>
      <c r="J720" s="506"/>
      <c r="K720" s="507"/>
      <c r="L720" s="508"/>
      <c r="M720" s="508"/>
      <c r="N720" s="508"/>
      <c r="O720" s="509"/>
      <c r="P720" s="509"/>
    </row>
    <row r="721" spans="1:16" ht="21.75" customHeight="1" x14ac:dyDescent="0.3">
      <c r="A721" s="504"/>
      <c r="B721" s="504"/>
      <c r="C721" s="504"/>
      <c r="D721" s="504"/>
      <c r="E721" s="506"/>
      <c r="F721" s="506"/>
      <c r="G721" s="506"/>
      <c r="H721" s="506"/>
      <c r="I721" s="506"/>
      <c r="J721" s="506"/>
      <c r="K721" s="507"/>
      <c r="L721" s="508"/>
      <c r="M721" s="508"/>
      <c r="N721" s="508"/>
      <c r="O721" s="509"/>
      <c r="P721" s="509"/>
    </row>
    <row r="722" spans="1:16" ht="21.75" customHeight="1" x14ac:dyDescent="0.3">
      <c r="A722" s="504"/>
      <c r="B722" s="504"/>
      <c r="C722" s="504"/>
      <c r="D722" s="504"/>
      <c r="E722" s="506"/>
      <c r="F722" s="506"/>
      <c r="G722" s="506"/>
      <c r="H722" s="506"/>
      <c r="I722" s="506"/>
      <c r="J722" s="506"/>
      <c r="K722" s="507"/>
      <c r="L722" s="508"/>
      <c r="M722" s="508"/>
      <c r="N722" s="508"/>
      <c r="O722" s="509"/>
      <c r="P722" s="509"/>
    </row>
    <row r="723" spans="1:16" ht="21.75" customHeight="1" x14ac:dyDescent="0.3">
      <c r="A723" s="504"/>
      <c r="B723" s="504"/>
      <c r="C723" s="504"/>
      <c r="D723" s="504"/>
      <c r="E723" s="506"/>
      <c r="F723" s="506"/>
      <c r="G723" s="506"/>
      <c r="H723" s="506"/>
      <c r="I723" s="506"/>
      <c r="J723" s="506"/>
      <c r="K723" s="507"/>
      <c r="L723" s="508"/>
      <c r="M723" s="508"/>
      <c r="N723" s="508"/>
      <c r="O723" s="509"/>
      <c r="P723" s="509"/>
    </row>
    <row r="724" spans="1:16" ht="21.75" customHeight="1" x14ac:dyDescent="0.3">
      <c r="A724" s="504"/>
      <c r="B724" s="504"/>
      <c r="C724" s="504"/>
      <c r="D724" s="504"/>
      <c r="E724" s="506"/>
      <c r="F724" s="506"/>
      <c r="G724" s="506"/>
      <c r="H724" s="506"/>
      <c r="I724" s="506"/>
      <c r="J724" s="506"/>
      <c r="K724" s="507"/>
      <c r="L724" s="508"/>
      <c r="M724" s="508"/>
      <c r="N724" s="508"/>
      <c r="O724" s="509"/>
      <c r="P724" s="509"/>
    </row>
    <row r="725" spans="1:16" ht="21.75" customHeight="1" x14ac:dyDescent="0.3">
      <c r="A725" s="504"/>
      <c r="B725" s="504"/>
      <c r="C725" s="504"/>
      <c r="D725" s="504"/>
      <c r="E725" s="506"/>
      <c r="F725" s="506"/>
      <c r="G725" s="506"/>
      <c r="H725" s="506"/>
      <c r="I725" s="506"/>
      <c r="J725" s="506"/>
      <c r="K725" s="507"/>
      <c r="L725" s="508"/>
      <c r="M725" s="508"/>
      <c r="N725" s="508"/>
      <c r="O725" s="509"/>
      <c r="P725" s="509"/>
    </row>
    <row r="726" spans="1:16" ht="21.75" customHeight="1" x14ac:dyDescent="0.3">
      <c r="A726" s="504"/>
      <c r="B726" s="504"/>
      <c r="C726" s="504"/>
      <c r="D726" s="504"/>
      <c r="E726" s="506"/>
      <c r="F726" s="506"/>
      <c r="G726" s="506"/>
      <c r="H726" s="506"/>
      <c r="I726" s="506"/>
      <c r="J726" s="506"/>
      <c r="K726" s="507"/>
      <c r="L726" s="508"/>
      <c r="M726" s="508"/>
      <c r="N726" s="508"/>
      <c r="O726" s="509"/>
      <c r="P726" s="509"/>
    </row>
    <row r="727" spans="1:16" ht="21.75" customHeight="1" x14ac:dyDescent="0.3">
      <c r="A727" s="504"/>
      <c r="B727" s="504"/>
      <c r="C727" s="504"/>
      <c r="D727" s="504"/>
      <c r="E727" s="506"/>
      <c r="F727" s="506"/>
      <c r="G727" s="506"/>
      <c r="H727" s="506"/>
      <c r="I727" s="506"/>
      <c r="J727" s="506"/>
      <c r="K727" s="507"/>
      <c r="L727" s="508"/>
      <c r="M727" s="508"/>
      <c r="N727" s="508"/>
      <c r="O727" s="509"/>
      <c r="P727" s="509"/>
    </row>
    <row r="728" spans="1:16" ht="21.75" customHeight="1" x14ac:dyDescent="0.3">
      <c r="A728" s="504"/>
      <c r="B728" s="504"/>
      <c r="C728" s="504"/>
      <c r="D728" s="504"/>
      <c r="E728" s="506"/>
      <c r="F728" s="506"/>
      <c r="G728" s="506"/>
      <c r="H728" s="506"/>
      <c r="I728" s="506"/>
      <c r="J728" s="506"/>
      <c r="K728" s="507"/>
      <c r="L728" s="508"/>
      <c r="M728" s="508"/>
      <c r="N728" s="508"/>
      <c r="O728" s="509"/>
      <c r="P728" s="509"/>
    </row>
    <row r="729" spans="1:16" ht="21.75" customHeight="1" x14ac:dyDescent="0.3">
      <c r="A729" s="504"/>
      <c r="B729" s="504"/>
      <c r="C729" s="504"/>
      <c r="D729" s="504"/>
      <c r="E729" s="506"/>
      <c r="F729" s="506"/>
      <c r="G729" s="506"/>
      <c r="H729" s="506"/>
      <c r="I729" s="506"/>
      <c r="J729" s="506"/>
      <c r="K729" s="507"/>
      <c r="L729" s="508"/>
      <c r="M729" s="508"/>
      <c r="N729" s="508"/>
      <c r="O729" s="509"/>
      <c r="P729" s="509"/>
    </row>
    <row r="730" spans="1:16" ht="21.75" customHeight="1" x14ac:dyDescent="0.3">
      <c r="A730" s="504"/>
      <c r="B730" s="504"/>
      <c r="C730" s="504"/>
      <c r="D730" s="504"/>
      <c r="E730" s="506"/>
      <c r="F730" s="506"/>
      <c r="G730" s="506"/>
      <c r="H730" s="506"/>
      <c r="I730" s="506"/>
      <c r="J730" s="506"/>
      <c r="K730" s="507"/>
      <c r="L730" s="508"/>
      <c r="M730" s="508"/>
      <c r="N730" s="508"/>
      <c r="O730" s="509"/>
      <c r="P730" s="509"/>
    </row>
    <row r="731" spans="1:16" ht="21.75" customHeight="1" x14ac:dyDescent="0.3">
      <c r="A731" s="504"/>
      <c r="B731" s="504"/>
      <c r="C731" s="504"/>
      <c r="D731" s="504"/>
      <c r="E731" s="506"/>
      <c r="F731" s="506"/>
      <c r="G731" s="506"/>
      <c r="H731" s="506"/>
      <c r="I731" s="506"/>
      <c r="J731" s="506"/>
      <c r="K731" s="507"/>
      <c r="L731" s="508"/>
      <c r="M731" s="508"/>
      <c r="N731" s="508"/>
      <c r="O731" s="509"/>
      <c r="P731" s="509"/>
    </row>
    <row r="732" spans="1:16" ht="21.75" customHeight="1" x14ac:dyDescent="0.3">
      <c r="A732" s="504"/>
      <c r="B732" s="504"/>
      <c r="C732" s="504"/>
      <c r="D732" s="504"/>
      <c r="E732" s="506"/>
      <c r="F732" s="506"/>
      <c r="G732" s="506"/>
      <c r="H732" s="506"/>
      <c r="I732" s="506"/>
      <c r="J732" s="506"/>
      <c r="K732" s="507"/>
      <c r="L732" s="508"/>
      <c r="M732" s="508"/>
      <c r="N732" s="508"/>
      <c r="O732" s="509"/>
      <c r="P732" s="509"/>
    </row>
    <row r="733" spans="1:16" ht="21.75" customHeight="1" x14ac:dyDescent="0.3">
      <c r="A733" s="504"/>
      <c r="B733" s="504"/>
      <c r="C733" s="504"/>
      <c r="D733" s="504"/>
      <c r="E733" s="506"/>
      <c r="F733" s="506"/>
      <c r="G733" s="506"/>
      <c r="H733" s="506"/>
      <c r="I733" s="506"/>
      <c r="J733" s="506"/>
      <c r="K733" s="507"/>
      <c r="L733" s="508"/>
      <c r="M733" s="508"/>
      <c r="N733" s="508"/>
      <c r="O733" s="509"/>
      <c r="P733" s="509"/>
    </row>
    <row r="734" spans="1:16" ht="21.75" customHeight="1" x14ac:dyDescent="0.3">
      <c r="A734" s="504"/>
      <c r="B734" s="504"/>
      <c r="C734" s="504"/>
      <c r="D734" s="504"/>
      <c r="E734" s="506"/>
      <c r="F734" s="506"/>
      <c r="G734" s="506"/>
      <c r="H734" s="506"/>
      <c r="I734" s="506"/>
      <c r="J734" s="506"/>
      <c r="K734" s="507"/>
      <c r="L734" s="508"/>
      <c r="M734" s="508"/>
      <c r="N734" s="508"/>
      <c r="O734" s="509"/>
      <c r="P734" s="509"/>
    </row>
    <row r="735" spans="1:16" ht="21.75" customHeight="1" x14ac:dyDescent="0.3">
      <c r="A735" s="504"/>
      <c r="B735" s="504"/>
      <c r="C735" s="504"/>
      <c r="D735" s="504"/>
      <c r="E735" s="506"/>
      <c r="F735" s="506"/>
      <c r="G735" s="506"/>
      <c r="H735" s="506"/>
      <c r="I735" s="506"/>
      <c r="J735" s="506"/>
      <c r="K735" s="507"/>
      <c r="L735" s="508"/>
      <c r="M735" s="508"/>
      <c r="N735" s="508"/>
      <c r="O735" s="509"/>
      <c r="P735" s="509"/>
    </row>
    <row r="736" spans="1:16" ht="21.75" customHeight="1" x14ac:dyDescent="0.3">
      <c r="A736" s="504"/>
      <c r="B736" s="504"/>
      <c r="C736" s="504"/>
      <c r="D736" s="504"/>
      <c r="E736" s="506"/>
      <c r="F736" s="506"/>
      <c r="G736" s="506"/>
      <c r="H736" s="506"/>
      <c r="I736" s="506"/>
      <c r="J736" s="506"/>
      <c r="K736" s="507"/>
      <c r="L736" s="508"/>
      <c r="M736" s="508"/>
      <c r="N736" s="508"/>
      <c r="O736" s="509"/>
      <c r="P736" s="509"/>
    </row>
    <row r="737" spans="1:16" ht="21.75" customHeight="1" x14ac:dyDescent="0.3">
      <c r="A737" s="504"/>
      <c r="B737" s="504"/>
      <c r="C737" s="504"/>
      <c r="D737" s="504"/>
      <c r="E737" s="506"/>
      <c r="F737" s="506"/>
      <c r="G737" s="506"/>
      <c r="H737" s="506"/>
      <c r="I737" s="506"/>
      <c r="J737" s="506"/>
      <c r="K737" s="507"/>
      <c r="L737" s="508"/>
      <c r="M737" s="508"/>
      <c r="N737" s="508"/>
      <c r="O737" s="509"/>
      <c r="P737" s="509"/>
    </row>
    <row r="738" spans="1:16" ht="21.75" customHeight="1" x14ac:dyDescent="0.3">
      <c r="A738" s="504"/>
      <c r="B738" s="504"/>
      <c r="C738" s="504"/>
      <c r="D738" s="504"/>
      <c r="E738" s="506"/>
      <c r="F738" s="506"/>
      <c r="G738" s="506"/>
      <c r="H738" s="506"/>
      <c r="I738" s="506"/>
      <c r="J738" s="506"/>
      <c r="K738" s="507"/>
      <c r="L738" s="508"/>
      <c r="M738" s="508"/>
      <c r="N738" s="508"/>
      <c r="O738" s="509"/>
      <c r="P738" s="509"/>
    </row>
    <row r="739" spans="1:16" ht="21.75" customHeight="1" x14ac:dyDescent="0.3">
      <c r="A739" s="504"/>
      <c r="B739" s="504"/>
      <c r="C739" s="504"/>
      <c r="D739" s="504"/>
      <c r="E739" s="506"/>
      <c r="F739" s="506"/>
      <c r="G739" s="506"/>
      <c r="H739" s="506"/>
      <c r="I739" s="506"/>
      <c r="J739" s="506"/>
      <c r="K739" s="507"/>
      <c r="L739" s="508"/>
      <c r="M739" s="508"/>
      <c r="N739" s="508"/>
      <c r="O739" s="509"/>
      <c r="P739" s="509"/>
    </row>
    <row r="740" spans="1:16" ht="21.75" customHeight="1" x14ac:dyDescent="0.3">
      <c r="A740" s="504"/>
      <c r="B740" s="504"/>
      <c r="C740" s="504"/>
      <c r="D740" s="504"/>
      <c r="E740" s="506"/>
      <c r="F740" s="506"/>
      <c r="G740" s="506"/>
      <c r="H740" s="506"/>
      <c r="I740" s="506"/>
      <c r="J740" s="506"/>
      <c r="K740" s="507"/>
      <c r="L740" s="508"/>
      <c r="M740" s="508"/>
      <c r="N740" s="508"/>
      <c r="O740" s="509"/>
      <c r="P740" s="509"/>
    </row>
    <row r="741" spans="1:16" ht="21.75" customHeight="1" x14ac:dyDescent="0.3">
      <c r="A741" s="504"/>
      <c r="B741" s="504"/>
      <c r="C741" s="504"/>
      <c r="D741" s="504"/>
      <c r="E741" s="506"/>
      <c r="F741" s="506"/>
      <c r="G741" s="506"/>
      <c r="H741" s="506"/>
      <c r="I741" s="506"/>
      <c r="J741" s="506"/>
      <c r="K741" s="507"/>
      <c r="L741" s="508"/>
      <c r="M741" s="508"/>
      <c r="N741" s="508"/>
      <c r="O741" s="509"/>
      <c r="P741" s="509"/>
    </row>
    <row r="742" spans="1:16" ht="21.75" customHeight="1" x14ac:dyDescent="0.3">
      <c r="A742" s="504"/>
      <c r="B742" s="504"/>
      <c r="C742" s="504"/>
      <c r="D742" s="504"/>
      <c r="E742" s="506"/>
      <c r="F742" s="506"/>
      <c r="G742" s="506"/>
      <c r="H742" s="506"/>
      <c r="I742" s="506"/>
      <c r="J742" s="506"/>
      <c r="K742" s="507"/>
      <c r="L742" s="508"/>
      <c r="M742" s="508"/>
      <c r="N742" s="508"/>
      <c r="O742" s="509"/>
      <c r="P742" s="509"/>
    </row>
    <row r="743" spans="1:16" ht="21.75" customHeight="1" x14ac:dyDescent="0.3">
      <c r="A743" s="504"/>
      <c r="B743" s="504"/>
      <c r="C743" s="504"/>
      <c r="D743" s="504"/>
      <c r="E743" s="506"/>
      <c r="F743" s="506"/>
      <c r="G743" s="506"/>
      <c r="H743" s="506"/>
      <c r="I743" s="506"/>
      <c r="J743" s="506"/>
      <c r="K743" s="507"/>
      <c r="L743" s="508"/>
      <c r="M743" s="508"/>
      <c r="N743" s="508"/>
      <c r="O743" s="509"/>
      <c r="P743" s="509"/>
    </row>
    <row r="744" spans="1:16" ht="21.75" customHeight="1" x14ac:dyDescent="0.3">
      <c r="A744" s="504"/>
      <c r="B744" s="504"/>
      <c r="C744" s="504"/>
      <c r="D744" s="504"/>
      <c r="E744" s="506"/>
      <c r="F744" s="506"/>
      <c r="G744" s="506"/>
      <c r="H744" s="506"/>
      <c r="I744" s="506"/>
      <c r="J744" s="506"/>
      <c r="K744" s="507"/>
      <c r="L744" s="508"/>
      <c r="M744" s="508"/>
      <c r="N744" s="508"/>
      <c r="O744" s="509"/>
      <c r="P744" s="509"/>
    </row>
    <row r="745" spans="1:16" ht="21.75" customHeight="1" x14ac:dyDescent="0.3">
      <c r="A745" s="504"/>
      <c r="B745" s="504"/>
      <c r="C745" s="504"/>
      <c r="D745" s="504"/>
      <c r="E745" s="506"/>
      <c r="F745" s="506"/>
      <c r="G745" s="506"/>
      <c r="H745" s="506"/>
      <c r="I745" s="506"/>
      <c r="J745" s="506"/>
      <c r="K745" s="507"/>
      <c r="L745" s="508"/>
      <c r="M745" s="508"/>
      <c r="N745" s="508"/>
      <c r="O745" s="509"/>
      <c r="P745" s="509"/>
    </row>
    <row r="746" spans="1:16" ht="21.75" customHeight="1" x14ac:dyDescent="0.3">
      <c r="A746" s="504"/>
      <c r="B746" s="504"/>
      <c r="C746" s="504"/>
      <c r="D746" s="504"/>
      <c r="E746" s="506"/>
      <c r="F746" s="506"/>
      <c r="G746" s="506"/>
      <c r="H746" s="506"/>
      <c r="I746" s="506"/>
      <c r="J746" s="506"/>
      <c r="K746" s="507"/>
      <c r="L746" s="508"/>
      <c r="M746" s="508"/>
      <c r="N746" s="508"/>
      <c r="O746" s="509"/>
      <c r="P746" s="509"/>
    </row>
    <row r="747" spans="1:16" ht="21.75" customHeight="1" x14ac:dyDescent="0.3">
      <c r="A747" s="504"/>
      <c r="B747" s="504"/>
      <c r="C747" s="504"/>
      <c r="D747" s="504"/>
      <c r="E747" s="506"/>
      <c r="F747" s="506"/>
      <c r="G747" s="506"/>
      <c r="H747" s="506"/>
      <c r="I747" s="506"/>
      <c r="J747" s="506"/>
      <c r="K747" s="507"/>
      <c r="L747" s="508"/>
      <c r="M747" s="508"/>
      <c r="N747" s="508"/>
      <c r="O747" s="509"/>
      <c r="P747" s="509"/>
    </row>
    <row r="748" spans="1:16" ht="21.75" customHeight="1" x14ac:dyDescent="0.3">
      <c r="A748" s="504"/>
      <c r="B748" s="504"/>
      <c r="C748" s="504"/>
      <c r="D748" s="504"/>
      <c r="E748" s="506"/>
      <c r="F748" s="506"/>
      <c r="G748" s="506"/>
      <c r="H748" s="506"/>
      <c r="I748" s="506"/>
      <c r="J748" s="506"/>
      <c r="K748" s="507"/>
      <c r="L748" s="508"/>
      <c r="M748" s="508"/>
      <c r="N748" s="508"/>
      <c r="O748" s="509"/>
      <c r="P748" s="509"/>
    </row>
    <row r="749" spans="1:16" ht="21.75" customHeight="1" x14ac:dyDescent="0.3">
      <c r="A749" s="504"/>
      <c r="B749" s="504"/>
      <c r="C749" s="504"/>
      <c r="D749" s="504"/>
      <c r="E749" s="506"/>
      <c r="F749" s="506"/>
      <c r="G749" s="506"/>
      <c r="H749" s="506"/>
      <c r="I749" s="506"/>
      <c r="J749" s="506"/>
      <c r="K749" s="507"/>
      <c r="L749" s="508"/>
      <c r="M749" s="508"/>
      <c r="N749" s="508"/>
      <c r="O749" s="509"/>
      <c r="P749" s="509"/>
    </row>
    <row r="750" spans="1:16" ht="21.75" customHeight="1" x14ac:dyDescent="0.3">
      <c r="A750" s="504"/>
      <c r="B750" s="504"/>
      <c r="C750" s="504"/>
      <c r="D750" s="504"/>
      <c r="E750" s="506"/>
      <c r="F750" s="506"/>
      <c r="G750" s="506"/>
      <c r="H750" s="506"/>
      <c r="I750" s="506"/>
      <c r="J750" s="506"/>
      <c r="K750" s="507"/>
      <c r="L750" s="508"/>
      <c r="M750" s="508"/>
      <c r="N750" s="508"/>
      <c r="O750" s="509"/>
      <c r="P750" s="509"/>
    </row>
    <row r="751" spans="1:16" ht="21.75" customHeight="1" x14ac:dyDescent="0.3">
      <c r="A751" s="504"/>
      <c r="B751" s="504"/>
      <c r="C751" s="504"/>
      <c r="D751" s="504"/>
      <c r="E751" s="506"/>
      <c r="F751" s="506"/>
      <c r="G751" s="506"/>
      <c r="H751" s="506"/>
      <c r="I751" s="506"/>
      <c r="J751" s="506"/>
      <c r="K751" s="507"/>
      <c r="L751" s="508"/>
      <c r="M751" s="508"/>
      <c r="N751" s="508"/>
      <c r="O751" s="509"/>
      <c r="P751" s="509"/>
    </row>
    <row r="752" spans="1:16" ht="21.75" customHeight="1" x14ac:dyDescent="0.3">
      <c r="A752" s="504"/>
      <c r="B752" s="504"/>
      <c r="C752" s="504"/>
      <c r="D752" s="504"/>
      <c r="E752" s="506"/>
      <c r="F752" s="506"/>
      <c r="G752" s="506"/>
      <c r="H752" s="506"/>
      <c r="I752" s="506"/>
      <c r="J752" s="506"/>
      <c r="K752" s="507"/>
      <c r="L752" s="508"/>
      <c r="M752" s="508"/>
      <c r="N752" s="508"/>
      <c r="O752" s="509"/>
      <c r="P752" s="509"/>
    </row>
    <row r="753" spans="1:16" ht="21.75" customHeight="1" x14ac:dyDescent="0.3">
      <c r="A753" s="504"/>
      <c r="B753" s="504"/>
      <c r="C753" s="504"/>
      <c r="D753" s="504"/>
      <c r="E753" s="506"/>
      <c r="F753" s="506"/>
      <c r="G753" s="506"/>
      <c r="H753" s="506"/>
      <c r="I753" s="506"/>
      <c r="J753" s="506"/>
      <c r="K753" s="507"/>
      <c r="L753" s="508"/>
      <c r="M753" s="508"/>
      <c r="N753" s="508"/>
      <c r="O753" s="509"/>
      <c r="P753" s="509"/>
    </row>
    <row r="754" spans="1:16" ht="21.75" customHeight="1" x14ac:dyDescent="0.3">
      <c r="A754" s="504"/>
      <c r="B754" s="504"/>
      <c r="C754" s="504"/>
      <c r="D754" s="504"/>
      <c r="E754" s="506"/>
      <c r="F754" s="506"/>
      <c r="G754" s="506"/>
      <c r="H754" s="506"/>
      <c r="I754" s="506"/>
      <c r="J754" s="506"/>
      <c r="K754" s="507"/>
      <c r="L754" s="508"/>
      <c r="M754" s="508"/>
      <c r="N754" s="508"/>
      <c r="O754" s="509"/>
      <c r="P754" s="509"/>
    </row>
    <row r="755" spans="1:16" ht="21.75" customHeight="1" x14ac:dyDescent="0.3">
      <c r="A755" s="504"/>
      <c r="B755" s="504"/>
      <c r="C755" s="504"/>
      <c r="D755" s="504"/>
      <c r="E755" s="506"/>
      <c r="F755" s="506"/>
      <c r="G755" s="506"/>
      <c r="H755" s="506"/>
      <c r="I755" s="506"/>
      <c r="J755" s="506"/>
      <c r="K755" s="507"/>
      <c r="L755" s="508"/>
      <c r="M755" s="508"/>
      <c r="N755" s="508"/>
      <c r="O755" s="509"/>
      <c r="P755" s="509"/>
    </row>
    <row r="756" spans="1:16" ht="21.75" customHeight="1" x14ac:dyDescent="0.3">
      <c r="A756" s="504"/>
      <c r="B756" s="504"/>
      <c r="C756" s="504"/>
      <c r="D756" s="504"/>
      <c r="E756" s="506"/>
      <c r="F756" s="506"/>
      <c r="G756" s="506"/>
      <c r="H756" s="506"/>
      <c r="I756" s="506"/>
      <c r="J756" s="506"/>
      <c r="K756" s="507"/>
      <c r="L756" s="508"/>
      <c r="M756" s="508"/>
      <c r="N756" s="508"/>
      <c r="O756" s="509"/>
      <c r="P756" s="509"/>
    </row>
    <row r="757" spans="1:16" ht="21.75" customHeight="1" x14ac:dyDescent="0.3">
      <c r="A757" s="504"/>
      <c r="B757" s="504"/>
      <c r="C757" s="504"/>
      <c r="D757" s="504"/>
      <c r="E757" s="506"/>
      <c r="F757" s="506"/>
      <c r="G757" s="506"/>
      <c r="H757" s="506"/>
      <c r="I757" s="506"/>
      <c r="J757" s="506"/>
      <c r="K757" s="507"/>
      <c r="L757" s="508"/>
      <c r="M757" s="508"/>
      <c r="N757" s="508"/>
      <c r="O757" s="509"/>
      <c r="P757" s="509"/>
    </row>
    <row r="758" spans="1:16" ht="21.75" customHeight="1" x14ac:dyDescent="0.3">
      <c r="A758" s="504"/>
      <c r="B758" s="504"/>
      <c r="C758" s="504"/>
      <c r="D758" s="504"/>
      <c r="E758" s="506"/>
      <c r="F758" s="506"/>
      <c r="G758" s="506"/>
      <c r="H758" s="506"/>
      <c r="I758" s="506"/>
      <c r="J758" s="506"/>
      <c r="K758" s="507"/>
      <c r="L758" s="508"/>
      <c r="M758" s="508"/>
      <c r="N758" s="508"/>
      <c r="O758" s="509"/>
      <c r="P758" s="509"/>
    </row>
    <row r="759" spans="1:16" ht="21.75" customHeight="1" x14ac:dyDescent="0.3">
      <c r="A759" s="504"/>
      <c r="B759" s="504"/>
      <c r="C759" s="504"/>
      <c r="D759" s="504"/>
      <c r="E759" s="506"/>
      <c r="F759" s="506"/>
      <c r="G759" s="506"/>
      <c r="H759" s="506"/>
      <c r="I759" s="506"/>
      <c r="J759" s="506"/>
      <c r="K759" s="507"/>
      <c r="L759" s="508"/>
      <c r="M759" s="508"/>
      <c r="N759" s="508"/>
      <c r="O759" s="509"/>
      <c r="P759" s="509"/>
    </row>
    <row r="760" spans="1:16" ht="21.75" customHeight="1" x14ac:dyDescent="0.3">
      <c r="A760" s="504"/>
      <c r="B760" s="504"/>
      <c r="C760" s="504"/>
      <c r="D760" s="504"/>
      <c r="E760" s="506"/>
      <c r="F760" s="506"/>
      <c r="G760" s="506"/>
      <c r="H760" s="506"/>
      <c r="I760" s="506"/>
      <c r="J760" s="506"/>
      <c r="K760" s="507"/>
      <c r="L760" s="508"/>
      <c r="M760" s="508"/>
      <c r="N760" s="508"/>
      <c r="O760" s="509"/>
      <c r="P760" s="509"/>
    </row>
    <row r="761" spans="1:16" ht="21.75" customHeight="1" x14ac:dyDescent="0.3">
      <c r="A761" s="504"/>
      <c r="B761" s="504"/>
      <c r="C761" s="504"/>
      <c r="D761" s="504"/>
      <c r="E761" s="506"/>
      <c r="F761" s="506"/>
      <c r="G761" s="506"/>
      <c r="H761" s="506"/>
      <c r="I761" s="506"/>
      <c r="J761" s="506"/>
      <c r="K761" s="507"/>
      <c r="L761" s="508"/>
      <c r="M761" s="508"/>
      <c r="N761" s="508"/>
      <c r="O761" s="509"/>
      <c r="P761" s="509"/>
    </row>
    <row r="762" spans="1:16" ht="21.75" customHeight="1" x14ac:dyDescent="0.3">
      <c r="A762" s="504"/>
      <c r="B762" s="504"/>
      <c r="C762" s="504"/>
      <c r="D762" s="504"/>
      <c r="E762" s="506"/>
      <c r="F762" s="506"/>
      <c r="G762" s="506"/>
      <c r="H762" s="506"/>
      <c r="I762" s="506"/>
      <c r="J762" s="506"/>
      <c r="K762" s="507"/>
      <c r="L762" s="508"/>
      <c r="M762" s="508"/>
      <c r="N762" s="508"/>
      <c r="O762" s="509"/>
      <c r="P762" s="509"/>
    </row>
    <row r="763" spans="1:16" ht="21.75" customHeight="1" x14ac:dyDescent="0.3">
      <c r="A763" s="504"/>
      <c r="B763" s="504"/>
      <c r="C763" s="504"/>
      <c r="D763" s="504"/>
      <c r="E763" s="506"/>
      <c r="F763" s="506"/>
      <c r="G763" s="506"/>
      <c r="H763" s="506"/>
      <c r="I763" s="506"/>
      <c r="J763" s="506"/>
      <c r="K763" s="507"/>
      <c r="L763" s="508"/>
      <c r="M763" s="508"/>
      <c r="N763" s="508"/>
      <c r="O763" s="509"/>
      <c r="P763" s="509"/>
    </row>
    <row r="764" spans="1:16" ht="21.75" customHeight="1" x14ac:dyDescent="0.3">
      <c r="A764" s="504"/>
      <c r="B764" s="504"/>
      <c r="C764" s="504"/>
      <c r="D764" s="504"/>
      <c r="E764" s="506"/>
      <c r="F764" s="506"/>
      <c r="G764" s="506"/>
      <c r="H764" s="506"/>
      <c r="I764" s="506"/>
      <c r="J764" s="506"/>
      <c r="K764" s="507"/>
      <c r="L764" s="508"/>
      <c r="M764" s="508"/>
      <c r="N764" s="508"/>
      <c r="O764" s="509"/>
      <c r="P764" s="509"/>
    </row>
    <row r="765" spans="1:16" ht="21.75" customHeight="1" x14ac:dyDescent="0.3">
      <c r="A765" s="504"/>
      <c r="B765" s="504"/>
      <c r="C765" s="504"/>
      <c r="D765" s="504"/>
      <c r="E765" s="506"/>
      <c r="F765" s="506"/>
      <c r="G765" s="506"/>
      <c r="H765" s="506"/>
      <c r="I765" s="506"/>
      <c r="J765" s="506"/>
      <c r="K765" s="507"/>
      <c r="L765" s="508"/>
      <c r="M765" s="508"/>
      <c r="N765" s="508"/>
      <c r="O765" s="509"/>
      <c r="P765" s="509"/>
    </row>
    <row r="766" spans="1:16" ht="21.75" customHeight="1" x14ac:dyDescent="0.3">
      <c r="A766" s="504"/>
      <c r="B766" s="504"/>
      <c r="C766" s="504"/>
      <c r="D766" s="504"/>
      <c r="E766" s="506"/>
      <c r="F766" s="506"/>
      <c r="G766" s="506"/>
      <c r="H766" s="506"/>
      <c r="I766" s="506"/>
      <c r="J766" s="506"/>
      <c r="K766" s="507"/>
      <c r="L766" s="508"/>
      <c r="M766" s="508"/>
      <c r="N766" s="508"/>
      <c r="O766" s="509"/>
      <c r="P766" s="509"/>
    </row>
    <row r="767" spans="1:16" ht="21.75" customHeight="1" x14ac:dyDescent="0.3">
      <c r="A767" s="504"/>
      <c r="B767" s="504"/>
      <c r="C767" s="504"/>
      <c r="D767" s="504"/>
      <c r="E767" s="506"/>
      <c r="F767" s="506"/>
      <c r="G767" s="506"/>
      <c r="H767" s="506"/>
      <c r="I767" s="506"/>
      <c r="J767" s="506"/>
      <c r="K767" s="507"/>
      <c r="L767" s="508"/>
      <c r="M767" s="508"/>
      <c r="N767" s="508"/>
      <c r="O767" s="509"/>
      <c r="P767" s="509"/>
    </row>
    <row r="768" spans="1:16" ht="21.75" customHeight="1" x14ac:dyDescent="0.3">
      <c r="A768" s="504"/>
      <c r="B768" s="504"/>
      <c r="C768" s="504"/>
      <c r="D768" s="504"/>
      <c r="E768" s="506"/>
      <c r="F768" s="506"/>
      <c r="G768" s="506"/>
      <c r="H768" s="506"/>
      <c r="I768" s="506"/>
      <c r="J768" s="506"/>
      <c r="K768" s="507"/>
      <c r="L768" s="508"/>
      <c r="M768" s="508"/>
      <c r="N768" s="508"/>
      <c r="O768" s="509"/>
      <c r="P768" s="509"/>
    </row>
    <row r="769" spans="1:16" ht="21.75" customHeight="1" x14ac:dyDescent="0.3">
      <c r="A769" s="504"/>
      <c r="B769" s="504"/>
      <c r="C769" s="504"/>
      <c r="D769" s="504"/>
      <c r="E769" s="506"/>
      <c r="F769" s="506"/>
      <c r="G769" s="506"/>
      <c r="H769" s="506"/>
      <c r="I769" s="506"/>
      <c r="J769" s="506"/>
      <c r="K769" s="507"/>
      <c r="L769" s="508"/>
      <c r="M769" s="508"/>
      <c r="N769" s="508"/>
      <c r="O769" s="509"/>
      <c r="P769" s="509"/>
    </row>
    <row r="770" spans="1:16" ht="21.75" customHeight="1" x14ac:dyDescent="0.3">
      <c r="A770" s="504"/>
      <c r="B770" s="504"/>
      <c r="C770" s="504"/>
      <c r="D770" s="504"/>
      <c r="E770" s="506"/>
      <c r="F770" s="506"/>
      <c r="G770" s="506"/>
      <c r="H770" s="506"/>
      <c r="I770" s="506"/>
      <c r="J770" s="506"/>
      <c r="K770" s="507"/>
      <c r="L770" s="508"/>
      <c r="M770" s="508"/>
      <c r="N770" s="508"/>
      <c r="O770" s="509"/>
      <c r="P770" s="509"/>
    </row>
    <row r="771" spans="1:16" ht="21.75" customHeight="1" x14ac:dyDescent="0.3">
      <c r="A771" s="504"/>
      <c r="B771" s="504"/>
      <c r="C771" s="504"/>
      <c r="D771" s="504"/>
      <c r="E771" s="506"/>
      <c r="F771" s="506"/>
      <c r="G771" s="506"/>
      <c r="H771" s="506"/>
      <c r="I771" s="506"/>
      <c r="J771" s="506"/>
      <c r="K771" s="507"/>
      <c r="L771" s="508"/>
      <c r="M771" s="508"/>
      <c r="N771" s="508"/>
      <c r="O771" s="509"/>
      <c r="P771" s="509"/>
    </row>
    <row r="772" spans="1:16" ht="21.75" customHeight="1" x14ac:dyDescent="0.3">
      <c r="A772" s="504"/>
      <c r="B772" s="504"/>
      <c r="C772" s="504"/>
      <c r="D772" s="504"/>
      <c r="E772" s="506"/>
      <c r="F772" s="506"/>
      <c r="G772" s="506"/>
      <c r="H772" s="506"/>
      <c r="I772" s="506"/>
      <c r="J772" s="506"/>
      <c r="K772" s="507"/>
      <c r="L772" s="508"/>
      <c r="M772" s="508"/>
      <c r="N772" s="508"/>
      <c r="O772" s="509"/>
      <c r="P772" s="509"/>
    </row>
    <row r="773" spans="1:16" ht="21.75" customHeight="1" x14ac:dyDescent="0.3">
      <c r="A773" s="504"/>
      <c r="B773" s="504"/>
      <c r="C773" s="504"/>
      <c r="D773" s="504"/>
      <c r="E773" s="506"/>
      <c r="F773" s="506"/>
      <c r="G773" s="506"/>
      <c r="H773" s="506"/>
      <c r="I773" s="506"/>
      <c r="J773" s="506"/>
      <c r="K773" s="507"/>
      <c r="L773" s="508"/>
      <c r="M773" s="508"/>
      <c r="N773" s="508"/>
      <c r="O773" s="509"/>
      <c r="P773" s="509"/>
    </row>
    <row r="774" spans="1:16" ht="21.75" customHeight="1" x14ac:dyDescent="0.3">
      <c r="A774" s="504"/>
      <c r="B774" s="504"/>
      <c r="C774" s="504"/>
      <c r="D774" s="504"/>
      <c r="E774" s="506"/>
      <c r="F774" s="506"/>
      <c r="G774" s="506"/>
      <c r="H774" s="506"/>
      <c r="I774" s="506"/>
      <c r="J774" s="506"/>
      <c r="K774" s="507"/>
      <c r="L774" s="508"/>
      <c r="M774" s="508"/>
      <c r="N774" s="508"/>
      <c r="O774" s="509"/>
      <c r="P774" s="509"/>
    </row>
    <row r="775" spans="1:16" ht="21.75" customHeight="1" x14ac:dyDescent="0.3">
      <c r="A775" s="504"/>
      <c r="B775" s="504"/>
      <c r="C775" s="504"/>
      <c r="D775" s="504"/>
      <c r="E775" s="506"/>
      <c r="F775" s="506"/>
      <c r="G775" s="506"/>
      <c r="H775" s="506"/>
      <c r="I775" s="506"/>
      <c r="J775" s="506"/>
      <c r="K775" s="507"/>
      <c r="L775" s="508"/>
      <c r="M775" s="508"/>
      <c r="N775" s="508"/>
      <c r="O775" s="509"/>
      <c r="P775" s="509"/>
    </row>
    <row r="776" spans="1:16" ht="21.75" customHeight="1" x14ac:dyDescent="0.3">
      <c r="A776" s="504"/>
      <c r="B776" s="504"/>
      <c r="C776" s="504"/>
      <c r="D776" s="504"/>
      <c r="E776" s="506"/>
      <c r="F776" s="506"/>
      <c r="G776" s="506"/>
      <c r="H776" s="506"/>
      <c r="I776" s="506"/>
      <c r="J776" s="506"/>
      <c r="K776" s="507"/>
      <c r="L776" s="508"/>
      <c r="M776" s="508"/>
      <c r="N776" s="508"/>
      <c r="O776" s="509"/>
      <c r="P776" s="509"/>
    </row>
    <row r="777" spans="1:16" ht="21.75" customHeight="1" x14ac:dyDescent="0.3">
      <c r="A777" s="504"/>
      <c r="B777" s="504"/>
      <c r="C777" s="504"/>
      <c r="D777" s="504"/>
      <c r="E777" s="506"/>
      <c r="F777" s="506"/>
      <c r="G777" s="506"/>
      <c r="H777" s="506"/>
      <c r="I777" s="506"/>
      <c r="J777" s="506"/>
      <c r="K777" s="507"/>
      <c r="L777" s="508"/>
      <c r="M777" s="508"/>
      <c r="N777" s="508"/>
      <c r="O777" s="509"/>
      <c r="P777" s="509"/>
    </row>
    <row r="778" spans="1:16" ht="21.75" customHeight="1" x14ac:dyDescent="0.3">
      <c r="A778" s="504"/>
      <c r="B778" s="504"/>
      <c r="C778" s="504"/>
      <c r="D778" s="504"/>
      <c r="E778" s="506"/>
      <c r="F778" s="506"/>
      <c r="G778" s="506"/>
      <c r="H778" s="506"/>
      <c r="I778" s="506"/>
      <c r="J778" s="506"/>
      <c r="K778" s="507"/>
      <c r="L778" s="508"/>
      <c r="M778" s="508"/>
      <c r="N778" s="508"/>
      <c r="O778" s="509"/>
      <c r="P778" s="509"/>
    </row>
    <row r="779" spans="1:16" ht="21.75" customHeight="1" x14ac:dyDescent="0.3">
      <c r="A779" s="504"/>
      <c r="B779" s="504"/>
      <c r="C779" s="504"/>
      <c r="D779" s="504"/>
      <c r="E779" s="506"/>
      <c r="F779" s="506"/>
      <c r="G779" s="506"/>
      <c r="H779" s="506"/>
      <c r="I779" s="506"/>
      <c r="J779" s="506"/>
      <c r="K779" s="507"/>
      <c r="L779" s="508"/>
      <c r="M779" s="508"/>
      <c r="N779" s="508"/>
      <c r="O779" s="509"/>
      <c r="P779" s="509"/>
    </row>
    <row r="780" spans="1:16" ht="21.75" customHeight="1" x14ac:dyDescent="0.3">
      <c r="A780" s="504"/>
      <c r="B780" s="504"/>
      <c r="C780" s="504"/>
      <c r="D780" s="504"/>
      <c r="E780" s="506"/>
      <c r="F780" s="506"/>
      <c r="G780" s="506"/>
      <c r="H780" s="506"/>
      <c r="I780" s="506"/>
      <c r="J780" s="506"/>
      <c r="K780" s="507"/>
      <c r="L780" s="508"/>
      <c r="M780" s="508"/>
      <c r="N780" s="508"/>
      <c r="O780" s="509"/>
      <c r="P780" s="509"/>
    </row>
    <row r="781" spans="1:16" ht="21.75" customHeight="1" x14ac:dyDescent="0.3">
      <c r="A781" s="504"/>
      <c r="B781" s="504"/>
      <c r="C781" s="504"/>
      <c r="D781" s="504"/>
      <c r="E781" s="506"/>
      <c r="F781" s="506"/>
      <c r="G781" s="506"/>
      <c r="H781" s="506"/>
      <c r="I781" s="506"/>
      <c r="J781" s="506"/>
      <c r="K781" s="507"/>
      <c r="L781" s="508"/>
      <c r="M781" s="508"/>
      <c r="N781" s="508"/>
      <c r="O781" s="509"/>
      <c r="P781" s="509"/>
    </row>
    <row r="782" spans="1:16" ht="21.75" customHeight="1" x14ac:dyDescent="0.3">
      <c r="A782" s="504"/>
      <c r="B782" s="504"/>
      <c r="C782" s="504"/>
      <c r="D782" s="504"/>
      <c r="E782" s="506"/>
      <c r="F782" s="506"/>
      <c r="G782" s="506"/>
      <c r="H782" s="506"/>
      <c r="I782" s="506"/>
      <c r="J782" s="506"/>
      <c r="K782" s="507"/>
      <c r="L782" s="508"/>
      <c r="M782" s="508"/>
      <c r="N782" s="508"/>
      <c r="O782" s="509"/>
      <c r="P782" s="509"/>
    </row>
    <row r="783" spans="1:16" ht="21.75" customHeight="1" x14ac:dyDescent="0.3">
      <c r="A783" s="504"/>
      <c r="B783" s="504"/>
      <c r="C783" s="504"/>
      <c r="D783" s="504"/>
      <c r="E783" s="506"/>
      <c r="F783" s="506"/>
      <c r="G783" s="506"/>
      <c r="H783" s="506"/>
      <c r="I783" s="506"/>
      <c r="J783" s="506"/>
      <c r="K783" s="507"/>
      <c r="L783" s="508"/>
      <c r="M783" s="508"/>
      <c r="N783" s="508"/>
      <c r="O783" s="509"/>
      <c r="P783" s="509"/>
    </row>
    <row r="784" spans="1:16" ht="21.75" customHeight="1" x14ac:dyDescent="0.3">
      <c r="A784" s="504"/>
      <c r="B784" s="504"/>
      <c r="C784" s="504"/>
      <c r="D784" s="504"/>
      <c r="E784" s="506"/>
      <c r="F784" s="506"/>
      <c r="G784" s="506"/>
      <c r="H784" s="506"/>
      <c r="I784" s="506"/>
      <c r="J784" s="506"/>
      <c r="K784" s="507"/>
      <c r="L784" s="508"/>
      <c r="M784" s="508"/>
      <c r="N784" s="508"/>
      <c r="O784" s="509"/>
      <c r="P784" s="509"/>
    </row>
    <row r="785" spans="1:16" ht="21.75" customHeight="1" x14ac:dyDescent="0.3">
      <c r="A785" s="504"/>
      <c r="B785" s="504"/>
      <c r="C785" s="504"/>
      <c r="D785" s="504"/>
      <c r="E785" s="506"/>
      <c r="F785" s="506"/>
      <c r="G785" s="506"/>
      <c r="H785" s="506"/>
      <c r="I785" s="506"/>
      <c r="J785" s="506"/>
      <c r="K785" s="507"/>
      <c r="L785" s="508"/>
      <c r="M785" s="508"/>
      <c r="N785" s="508"/>
      <c r="O785" s="509"/>
      <c r="P785" s="509"/>
    </row>
    <row r="786" spans="1:16" ht="21.75" customHeight="1" x14ac:dyDescent="0.3">
      <c r="A786" s="504"/>
      <c r="B786" s="504"/>
      <c r="C786" s="504"/>
      <c r="D786" s="504"/>
      <c r="E786" s="506"/>
      <c r="F786" s="506"/>
      <c r="G786" s="506"/>
      <c r="H786" s="506"/>
      <c r="I786" s="506"/>
      <c r="J786" s="506"/>
      <c r="K786" s="507"/>
      <c r="L786" s="508"/>
      <c r="M786" s="508"/>
      <c r="N786" s="508"/>
      <c r="O786" s="509"/>
      <c r="P786" s="509"/>
    </row>
    <row r="787" spans="1:16" ht="21.75" customHeight="1" x14ac:dyDescent="0.3">
      <c r="A787" s="504"/>
      <c r="B787" s="504"/>
      <c r="C787" s="504"/>
      <c r="D787" s="504"/>
      <c r="E787" s="506"/>
      <c r="F787" s="506"/>
      <c r="G787" s="506"/>
      <c r="H787" s="506"/>
      <c r="I787" s="506"/>
      <c r="J787" s="506"/>
      <c r="K787" s="507"/>
      <c r="L787" s="508"/>
      <c r="M787" s="508"/>
      <c r="N787" s="508"/>
      <c r="O787" s="509"/>
      <c r="P787" s="509"/>
    </row>
    <row r="788" spans="1:16" ht="21.75" customHeight="1" x14ac:dyDescent="0.3">
      <c r="A788" s="504"/>
      <c r="B788" s="504"/>
      <c r="C788" s="504"/>
      <c r="D788" s="504"/>
      <c r="E788" s="506"/>
      <c r="F788" s="506"/>
      <c r="G788" s="506"/>
      <c r="H788" s="506"/>
      <c r="I788" s="506"/>
      <c r="J788" s="506"/>
      <c r="K788" s="507"/>
      <c r="L788" s="508"/>
      <c r="M788" s="508"/>
      <c r="N788" s="508"/>
      <c r="O788" s="509"/>
      <c r="P788" s="509"/>
    </row>
    <row r="789" spans="1:16" ht="21.75" customHeight="1" x14ac:dyDescent="0.3">
      <c r="A789" s="504"/>
      <c r="B789" s="504"/>
      <c r="C789" s="504"/>
      <c r="D789" s="504"/>
      <c r="E789" s="506"/>
      <c r="F789" s="506"/>
      <c r="G789" s="506"/>
      <c r="H789" s="506"/>
      <c r="I789" s="506"/>
      <c r="J789" s="506"/>
      <c r="K789" s="507"/>
      <c r="L789" s="508"/>
      <c r="M789" s="508"/>
      <c r="N789" s="508"/>
      <c r="O789" s="509"/>
      <c r="P789" s="509"/>
    </row>
    <row r="790" spans="1:16" ht="21.75" customHeight="1" x14ac:dyDescent="0.3">
      <c r="A790" s="504"/>
      <c r="B790" s="504"/>
      <c r="C790" s="504"/>
      <c r="D790" s="504"/>
      <c r="E790" s="506"/>
      <c r="F790" s="506"/>
      <c r="G790" s="506"/>
      <c r="H790" s="506"/>
      <c r="I790" s="506"/>
      <c r="J790" s="506"/>
      <c r="K790" s="507"/>
      <c r="L790" s="508"/>
      <c r="M790" s="508"/>
      <c r="N790" s="508"/>
      <c r="O790" s="509"/>
      <c r="P790" s="509"/>
    </row>
    <row r="791" spans="1:16" ht="21.75" customHeight="1" x14ac:dyDescent="0.3">
      <c r="A791" s="504"/>
      <c r="B791" s="504"/>
      <c r="C791" s="504"/>
      <c r="D791" s="504"/>
      <c r="E791" s="506"/>
      <c r="F791" s="506"/>
      <c r="G791" s="506"/>
      <c r="H791" s="506"/>
      <c r="I791" s="506"/>
      <c r="J791" s="506"/>
      <c r="K791" s="507"/>
      <c r="L791" s="508"/>
      <c r="M791" s="508"/>
      <c r="N791" s="508"/>
      <c r="O791" s="509"/>
      <c r="P791" s="509"/>
    </row>
    <row r="792" spans="1:16" ht="21.75" customHeight="1" x14ac:dyDescent="0.3">
      <c r="A792" s="504"/>
      <c r="B792" s="504"/>
      <c r="C792" s="504"/>
      <c r="D792" s="504"/>
      <c r="E792" s="506"/>
      <c r="F792" s="506"/>
      <c r="G792" s="506"/>
      <c r="H792" s="506"/>
      <c r="I792" s="506"/>
      <c r="J792" s="506"/>
      <c r="K792" s="507"/>
      <c r="L792" s="508"/>
      <c r="M792" s="508"/>
      <c r="N792" s="508"/>
      <c r="O792" s="509"/>
      <c r="P792" s="509"/>
    </row>
    <row r="793" spans="1:16" ht="21.75" customHeight="1" x14ac:dyDescent="0.3">
      <c r="A793" s="504"/>
      <c r="B793" s="504"/>
      <c r="C793" s="504"/>
      <c r="D793" s="504"/>
      <c r="E793" s="506"/>
      <c r="F793" s="506"/>
      <c r="G793" s="506"/>
      <c r="H793" s="506"/>
      <c r="I793" s="506"/>
      <c r="J793" s="506"/>
      <c r="K793" s="507"/>
      <c r="L793" s="508"/>
      <c r="M793" s="508"/>
      <c r="N793" s="508"/>
      <c r="O793" s="509"/>
      <c r="P793" s="509"/>
    </row>
    <row r="794" spans="1:16" ht="21.75" customHeight="1" x14ac:dyDescent="0.3">
      <c r="A794" s="504"/>
      <c r="B794" s="504"/>
      <c r="C794" s="504"/>
      <c r="D794" s="504"/>
      <c r="E794" s="506"/>
      <c r="F794" s="506"/>
      <c r="G794" s="506"/>
      <c r="H794" s="506"/>
      <c r="I794" s="506"/>
      <c r="J794" s="506"/>
      <c r="K794" s="507"/>
      <c r="L794" s="508"/>
      <c r="M794" s="508"/>
      <c r="N794" s="508"/>
      <c r="O794" s="509"/>
      <c r="P794" s="509"/>
    </row>
    <row r="795" spans="1:16" ht="21.75" customHeight="1" x14ac:dyDescent="0.3">
      <c r="A795" s="504"/>
      <c r="B795" s="504"/>
      <c r="C795" s="504"/>
      <c r="D795" s="504"/>
      <c r="E795" s="506"/>
      <c r="F795" s="506"/>
      <c r="G795" s="506"/>
      <c r="H795" s="506"/>
      <c r="I795" s="506"/>
      <c r="J795" s="506"/>
      <c r="K795" s="507"/>
      <c r="L795" s="508"/>
      <c r="M795" s="508"/>
      <c r="N795" s="508"/>
      <c r="O795" s="509"/>
      <c r="P795" s="509"/>
    </row>
    <row r="796" spans="1:16" ht="21.75" customHeight="1" x14ac:dyDescent="0.3">
      <c r="A796" s="504"/>
      <c r="B796" s="504"/>
      <c r="C796" s="504"/>
      <c r="D796" s="504"/>
      <c r="E796" s="506"/>
      <c r="F796" s="506"/>
      <c r="G796" s="506"/>
      <c r="H796" s="506"/>
      <c r="I796" s="506"/>
      <c r="J796" s="506"/>
      <c r="K796" s="507"/>
      <c r="L796" s="508"/>
      <c r="M796" s="508"/>
      <c r="N796" s="508"/>
      <c r="O796" s="509"/>
      <c r="P796" s="509"/>
    </row>
    <row r="797" spans="1:16" ht="21.75" customHeight="1" x14ac:dyDescent="0.3">
      <c r="A797" s="504"/>
      <c r="B797" s="504"/>
      <c r="C797" s="504"/>
      <c r="D797" s="504"/>
      <c r="E797" s="506"/>
      <c r="F797" s="506"/>
      <c r="G797" s="506"/>
      <c r="H797" s="506"/>
      <c r="I797" s="506"/>
      <c r="J797" s="506"/>
      <c r="K797" s="507"/>
      <c r="L797" s="508"/>
      <c r="M797" s="508"/>
      <c r="N797" s="508"/>
      <c r="O797" s="509"/>
      <c r="P797" s="509"/>
    </row>
    <row r="798" spans="1:16" ht="21.75" customHeight="1" x14ac:dyDescent="0.3">
      <c r="A798" s="504"/>
      <c r="B798" s="504"/>
      <c r="C798" s="504"/>
      <c r="D798" s="504"/>
      <c r="E798" s="506"/>
      <c r="F798" s="506"/>
      <c r="G798" s="506"/>
      <c r="H798" s="506"/>
      <c r="I798" s="506"/>
      <c r="J798" s="506"/>
      <c r="K798" s="507"/>
      <c r="L798" s="508"/>
      <c r="M798" s="508"/>
      <c r="N798" s="508"/>
      <c r="O798" s="509"/>
      <c r="P798" s="509"/>
    </row>
    <row r="799" spans="1:16" ht="21.75" customHeight="1" x14ac:dyDescent="0.3">
      <c r="A799" s="504"/>
      <c r="B799" s="504"/>
      <c r="C799" s="504"/>
      <c r="D799" s="504"/>
      <c r="E799" s="506"/>
      <c r="F799" s="506"/>
      <c r="G799" s="506"/>
      <c r="H799" s="506"/>
      <c r="I799" s="506"/>
      <c r="J799" s="506"/>
      <c r="K799" s="507"/>
      <c r="L799" s="508"/>
      <c r="M799" s="508"/>
      <c r="N799" s="508"/>
      <c r="O799" s="509"/>
      <c r="P799" s="509"/>
    </row>
    <row r="800" spans="1:16" ht="21.75" customHeight="1" x14ac:dyDescent="0.3">
      <c r="A800" s="504"/>
      <c r="B800" s="504"/>
      <c r="C800" s="504"/>
      <c r="D800" s="504"/>
      <c r="E800" s="506"/>
      <c r="F800" s="506"/>
      <c r="G800" s="506"/>
      <c r="H800" s="506"/>
      <c r="I800" s="506"/>
      <c r="J800" s="506"/>
      <c r="K800" s="507"/>
      <c r="L800" s="508"/>
      <c r="M800" s="508"/>
      <c r="N800" s="508"/>
      <c r="O800" s="509"/>
      <c r="P800" s="509"/>
    </row>
    <row r="801" spans="1:16" ht="21.75" customHeight="1" x14ac:dyDescent="0.3">
      <c r="A801" s="504"/>
      <c r="B801" s="504"/>
      <c r="C801" s="504"/>
      <c r="D801" s="504"/>
      <c r="E801" s="506"/>
      <c r="F801" s="506"/>
      <c r="G801" s="506"/>
      <c r="H801" s="506"/>
      <c r="I801" s="506"/>
      <c r="J801" s="506"/>
      <c r="K801" s="507"/>
      <c r="L801" s="508"/>
      <c r="M801" s="508"/>
      <c r="N801" s="508"/>
      <c r="O801" s="509"/>
      <c r="P801" s="509"/>
    </row>
    <row r="802" spans="1:16" ht="21.75" customHeight="1" x14ac:dyDescent="0.3">
      <c r="A802" s="504"/>
      <c r="B802" s="504"/>
      <c r="C802" s="504"/>
      <c r="D802" s="504"/>
      <c r="E802" s="506"/>
      <c r="F802" s="506"/>
      <c r="G802" s="506"/>
      <c r="H802" s="506"/>
      <c r="I802" s="506"/>
      <c r="J802" s="506"/>
      <c r="K802" s="507"/>
      <c r="L802" s="508"/>
      <c r="M802" s="508"/>
      <c r="N802" s="508"/>
      <c r="O802" s="509"/>
      <c r="P802" s="509"/>
    </row>
    <row r="803" spans="1:16" ht="21.75" customHeight="1" x14ac:dyDescent="0.3">
      <c r="A803" s="504"/>
      <c r="B803" s="504"/>
      <c r="C803" s="504"/>
      <c r="D803" s="504"/>
      <c r="E803" s="506"/>
      <c r="F803" s="506"/>
      <c r="G803" s="506"/>
      <c r="H803" s="506"/>
      <c r="I803" s="506"/>
      <c r="J803" s="506"/>
      <c r="K803" s="507"/>
      <c r="L803" s="508"/>
      <c r="M803" s="508"/>
      <c r="N803" s="508"/>
      <c r="O803" s="509"/>
      <c r="P803" s="509"/>
    </row>
    <row r="804" spans="1:16" ht="21.75" customHeight="1" x14ac:dyDescent="0.3">
      <c r="A804" s="504"/>
      <c r="B804" s="504"/>
      <c r="C804" s="504"/>
      <c r="D804" s="504"/>
      <c r="E804" s="506"/>
      <c r="F804" s="506"/>
      <c r="G804" s="506"/>
      <c r="H804" s="506"/>
      <c r="I804" s="506"/>
      <c r="J804" s="506"/>
      <c r="K804" s="507"/>
      <c r="L804" s="508"/>
      <c r="M804" s="508"/>
      <c r="N804" s="508"/>
      <c r="O804" s="509"/>
      <c r="P804" s="509"/>
    </row>
    <row r="805" spans="1:16" ht="21.75" customHeight="1" x14ac:dyDescent="0.3">
      <c r="A805" s="504"/>
      <c r="B805" s="504"/>
      <c r="C805" s="504"/>
      <c r="D805" s="504"/>
      <c r="E805" s="506"/>
      <c r="F805" s="506"/>
      <c r="G805" s="506"/>
      <c r="H805" s="506"/>
      <c r="I805" s="506"/>
      <c r="J805" s="506"/>
      <c r="K805" s="507"/>
      <c r="L805" s="508"/>
      <c r="M805" s="508"/>
      <c r="N805" s="508"/>
      <c r="O805" s="509"/>
      <c r="P805" s="509"/>
    </row>
    <row r="806" spans="1:16" ht="21.75" customHeight="1" x14ac:dyDescent="0.3">
      <c r="A806" s="504"/>
      <c r="B806" s="504"/>
      <c r="C806" s="504"/>
      <c r="D806" s="504"/>
      <c r="E806" s="506"/>
      <c r="F806" s="506"/>
      <c r="G806" s="506"/>
      <c r="H806" s="506"/>
      <c r="I806" s="506"/>
      <c r="J806" s="506"/>
      <c r="K806" s="507"/>
      <c r="L806" s="508"/>
      <c r="M806" s="508"/>
      <c r="N806" s="508"/>
      <c r="O806" s="509"/>
      <c r="P806" s="509"/>
    </row>
    <row r="807" spans="1:16" ht="21.75" customHeight="1" x14ac:dyDescent="0.3">
      <c r="A807" s="504"/>
      <c r="B807" s="504"/>
      <c r="C807" s="504"/>
      <c r="D807" s="504"/>
      <c r="E807" s="506"/>
      <c r="F807" s="506"/>
      <c r="G807" s="506"/>
      <c r="H807" s="506"/>
      <c r="I807" s="506"/>
      <c r="J807" s="506"/>
      <c r="K807" s="507"/>
      <c r="L807" s="508"/>
      <c r="M807" s="508"/>
      <c r="N807" s="508"/>
      <c r="O807" s="509"/>
      <c r="P807" s="509"/>
    </row>
    <row r="808" spans="1:16" ht="21.75" customHeight="1" x14ac:dyDescent="0.3">
      <c r="A808" s="504"/>
      <c r="B808" s="504"/>
      <c r="C808" s="504"/>
      <c r="D808" s="504"/>
      <c r="E808" s="506"/>
      <c r="F808" s="506"/>
      <c r="G808" s="506"/>
      <c r="H808" s="506"/>
      <c r="I808" s="506"/>
      <c r="J808" s="506"/>
      <c r="K808" s="507"/>
      <c r="L808" s="508"/>
      <c r="M808" s="508"/>
      <c r="N808" s="508"/>
      <c r="O808" s="509"/>
      <c r="P808" s="509"/>
    </row>
    <row r="809" spans="1:16" ht="21.75" customHeight="1" x14ac:dyDescent="0.3">
      <c r="A809" s="504"/>
      <c r="B809" s="504"/>
      <c r="C809" s="504"/>
      <c r="D809" s="504"/>
      <c r="E809" s="506"/>
      <c r="F809" s="506"/>
      <c r="G809" s="506"/>
      <c r="H809" s="506"/>
      <c r="I809" s="506"/>
      <c r="J809" s="506"/>
      <c r="K809" s="507"/>
      <c r="L809" s="508"/>
      <c r="M809" s="508"/>
      <c r="N809" s="508"/>
      <c r="O809" s="509"/>
      <c r="P809" s="509"/>
    </row>
    <row r="810" spans="1:16" ht="21.75" customHeight="1" x14ac:dyDescent="0.3">
      <c r="A810" s="504"/>
      <c r="B810" s="504"/>
      <c r="C810" s="504"/>
      <c r="D810" s="504"/>
      <c r="E810" s="506"/>
      <c r="F810" s="506"/>
      <c r="G810" s="506"/>
      <c r="H810" s="506"/>
      <c r="I810" s="506"/>
      <c r="J810" s="506"/>
      <c r="K810" s="507"/>
      <c r="L810" s="508"/>
      <c r="M810" s="508"/>
      <c r="N810" s="508"/>
      <c r="O810" s="509"/>
      <c r="P810" s="509"/>
    </row>
    <row r="811" spans="1:16" ht="21.75" customHeight="1" x14ac:dyDescent="0.3">
      <c r="A811" s="504"/>
      <c r="B811" s="504"/>
      <c r="C811" s="504"/>
      <c r="D811" s="504"/>
      <c r="E811" s="506"/>
      <c r="F811" s="506"/>
      <c r="G811" s="506"/>
      <c r="H811" s="506"/>
      <c r="I811" s="506"/>
      <c r="J811" s="506"/>
      <c r="K811" s="507"/>
      <c r="L811" s="508"/>
      <c r="M811" s="508"/>
      <c r="N811" s="508"/>
      <c r="O811" s="509"/>
      <c r="P811" s="509"/>
    </row>
    <row r="812" spans="1:16" ht="21.75" customHeight="1" x14ac:dyDescent="0.3">
      <c r="A812" s="504"/>
      <c r="B812" s="504"/>
      <c r="C812" s="504"/>
      <c r="D812" s="504"/>
      <c r="E812" s="506"/>
      <c r="F812" s="506"/>
      <c r="G812" s="506"/>
      <c r="H812" s="506"/>
      <c r="I812" s="506"/>
      <c r="J812" s="506"/>
      <c r="K812" s="507"/>
      <c r="L812" s="508"/>
      <c r="M812" s="508"/>
      <c r="N812" s="508"/>
      <c r="O812" s="509"/>
      <c r="P812" s="509"/>
    </row>
    <row r="813" spans="1:16" ht="21.75" customHeight="1" x14ac:dyDescent="0.3">
      <c r="A813" s="504"/>
      <c r="B813" s="504"/>
      <c r="C813" s="504"/>
      <c r="D813" s="504"/>
      <c r="E813" s="506"/>
      <c r="F813" s="506"/>
      <c r="G813" s="506"/>
      <c r="H813" s="506"/>
      <c r="I813" s="506"/>
      <c r="J813" s="506"/>
      <c r="K813" s="507"/>
      <c r="L813" s="508"/>
      <c r="M813" s="508"/>
      <c r="N813" s="508"/>
      <c r="O813" s="509"/>
      <c r="P813" s="509"/>
    </row>
    <row r="814" spans="1:16" ht="21.75" customHeight="1" x14ac:dyDescent="0.3">
      <c r="A814" s="504"/>
      <c r="B814" s="504"/>
      <c r="C814" s="504"/>
      <c r="D814" s="504"/>
      <c r="E814" s="506"/>
      <c r="F814" s="506"/>
      <c r="G814" s="506"/>
      <c r="H814" s="506"/>
      <c r="I814" s="506"/>
      <c r="J814" s="506"/>
      <c r="K814" s="507"/>
      <c r="L814" s="508"/>
      <c r="M814" s="508"/>
      <c r="N814" s="508"/>
      <c r="O814" s="509"/>
      <c r="P814" s="509"/>
    </row>
    <row r="815" spans="1:16" ht="21.75" customHeight="1" x14ac:dyDescent="0.3">
      <c r="A815" s="504"/>
      <c r="B815" s="504"/>
      <c r="C815" s="504"/>
      <c r="D815" s="504"/>
      <c r="E815" s="506"/>
      <c r="F815" s="506"/>
      <c r="G815" s="506"/>
      <c r="H815" s="506"/>
      <c r="I815" s="506"/>
      <c r="J815" s="506"/>
      <c r="K815" s="507"/>
      <c r="L815" s="508"/>
      <c r="M815" s="508"/>
      <c r="N815" s="508"/>
      <c r="O815" s="509"/>
      <c r="P815" s="509"/>
    </row>
    <row r="816" spans="1:16" ht="21.75" customHeight="1" x14ac:dyDescent="0.3">
      <c r="A816" s="504"/>
      <c r="B816" s="504"/>
      <c r="C816" s="504"/>
      <c r="D816" s="504"/>
      <c r="E816" s="506"/>
      <c r="F816" s="506"/>
      <c r="G816" s="506"/>
      <c r="H816" s="506"/>
      <c r="I816" s="506"/>
      <c r="J816" s="506"/>
      <c r="K816" s="507"/>
      <c r="L816" s="508"/>
      <c r="M816" s="508"/>
      <c r="N816" s="508"/>
      <c r="O816" s="509"/>
      <c r="P816" s="509"/>
    </row>
    <row r="817" spans="1:16" ht="21.75" customHeight="1" x14ac:dyDescent="0.3">
      <c r="A817" s="504"/>
      <c r="B817" s="504"/>
      <c r="C817" s="504"/>
      <c r="D817" s="504"/>
      <c r="E817" s="506"/>
      <c r="F817" s="506"/>
      <c r="G817" s="506"/>
      <c r="H817" s="506"/>
      <c r="I817" s="506"/>
      <c r="J817" s="506"/>
      <c r="K817" s="507"/>
      <c r="L817" s="508"/>
      <c r="M817" s="508"/>
      <c r="N817" s="508"/>
      <c r="O817" s="509"/>
      <c r="P817" s="509"/>
    </row>
    <row r="818" spans="1:16" ht="21.75" customHeight="1" x14ac:dyDescent="0.3">
      <c r="A818" s="504"/>
      <c r="B818" s="504"/>
      <c r="C818" s="504"/>
      <c r="D818" s="504"/>
      <c r="E818" s="506"/>
      <c r="F818" s="506"/>
      <c r="G818" s="506"/>
      <c r="H818" s="506"/>
      <c r="I818" s="506"/>
      <c r="J818" s="506"/>
      <c r="K818" s="507"/>
      <c r="L818" s="508"/>
      <c r="M818" s="508"/>
      <c r="N818" s="508"/>
      <c r="O818" s="509"/>
      <c r="P818" s="509"/>
    </row>
    <row r="819" spans="1:16" ht="21.75" customHeight="1" x14ac:dyDescent="0.3">
      <c r="A819" s="504"/>
      <c r="B819" s="504"/>
      <c r="C819" s="504"/>
      <c r="D819" s="504"/>
      <c r="E819" s="506"/>
      <c r="F819" s="506"/>
      <c r="G819" s="506"/>
      <c r="H819" s="506"/>
      <c r="I819" s="506"/>
      <c r="J819" s="506"/>
      <c r="K819" s="507"/>
      <c r="L819" s="508"/>
      <c r="M819" s="508"/>
      <c r="N819" s="508"/>
      <c r="O819" s="509"/>
      <c r="P819" s="509"/>
    </row>
    <row r="820" spans="1:16" ht="21.75" customHeight="1" x14ac:dyDescent="0.3">
      <c r="A820" s="504"/>
      <c r="B820" s="504"/>
      <c r="C820" s="504"/>
      <c r="D820" s="504"/>
      <c r="E820" s="506"/>
      <c r="F820" s="506"/>
      <c r="G820" s="506"/>
      <c r="H820" s="506"/>
      <c r="I820" s="506"/>
      <c r="J820" s="506"/>
      <c r="K820" s="507"/>
      <c r="L820" s="508"/>
      <c r="M820" s="508"/>
      <c r="N820" s="508"/>
      <c r="O820" s="509"/>
      <c r="P820" s="509"/>
    </row>
    <row r="821" spans="1:16" ht="21.75" customHeight="1" x14ac:dyDescent="0.3">
      <c r="A821" s="504"/>
      <c r="B821" s="504"/>
      <c r="C821" s="504"/>
      <c r="D821" s="504"/>
      <c r="E821" s="506"/>
      <c r="F821" s="506"/>
      <c r="G821" s="506"/>
      <c r="H821" s="506"/>
      <c r="I821" s="506"/>
      <c r="J821" s="506"/>
      <c r="K821" s="507"/>
      <c r="L821" s="508"/>
      <c r="M821" s="508"/>
      <c r="N821" s="508"/>
      <c r="O821" s="509"/>
      <c r="P821" s="509"/>
    </row>
    <row r="822" spans="1:16" ht="21.75" customHeight="1" x14ac:dyDescent="0.3">
      <c r="A822" s="504"/>
      <c r="B822" s="504"/>
      <c r="C822" s="504"/>
      <c r="D822" s="504"/>
      <c r="E822" s="506"/>
      <c r="F822" s="506"/>
      <c r="G822" s="506"/>
      <c r="H822" s="506"/>
      <c r="I822" s="506"/>
      <c r="J822" s="506"/>
      <c r="K822" s="507"/>
      <c r="L822" s="508"/>
      <c r="M822" s="508"/>
      <c r="N822" s="508"/>
      <c r="O822" s="509"/>
      <c r="P822" s="509"/>
    </row>
    <row r="823" spans="1:16" ht="21.75" customHeight="1" x14ac:dyDescent="0.3">
      <c r="A823" s="504"/>
      <c r="B823" s="504"/>
      <c r="C823" s="504"/>
      <c r="D823" s="504"/>
      <c r="E823" s="506"/>
      <c r="F823" s="506"/>
      <c r="G823" s="506"/>
      <c r="H823" s="506"/>
      <c r="I823" s="506"/>
      <c r="J823" s="506"/>
      <c r="K823" s="507"/>
      <c r="L823" s="508"/>
      <c r="M823" s="508"/>
      <c r="N823" s="508"/>
      <c r="O823" s="509"/>
      <c r="P823" s="509"/>
    </row>
    <row r="824" spans="1:16" ht="21.75" customHeight="1" x14ac:dyDescent="0.3">
      <c r="A824" s="504"/>
      <c r="B824" s="504"/>
      <c r="C824" s="504"/>
      <c r="D824" s="504"/>
      <c r="E824" s="506"/>
      <c r="F824" s="506"/>
      <c r="G824" s="506"/>
      <c r="H824" s="506"/>
      <c r="I824" s="506"/>
      <c r="J824" s="506"/>
      <c r="K824" s="507"/>
      <c r="L824" s="508"/>
      <c r="M824" s="508"/>
      <c r="N824" s="508"/>
      <c r="O824" s="509"/>
      <c r="P824" s="509"/>
    </row>
    <row r="825" spans="1:16" ht="21.75" customHeight="1" x14ac:dyDescent="0.3">
      <c r="A825" s="504"/>
      <c r="B825" s="504"/>
      <c r="C825" s="504"/>
      <c r="D825" s="504"/>
      <c r="E825" s="506"/>
      <c r="F825" s="506"/>
      <c r="G825" s="506"/>
      <c r="H825" s="506"/>
      <c r="I825" s="506"/>
      <c r="J825" s="506"/>
      <c r="K825" s="507"/>
      <c r="L825" s="508"/>
      <c r="M825" s="508"/>
      <c r="N825" s="508"/>
      <c r="O825" s="509"/>
      <c r="P825" s="509"/>
    </row>
    <row r="826" spans="1:16" ht="21.75" customHeight="1" x14ac:dyDescent="0.3">
      <c r="A826" s="504"/>
      <c r="B826" s="504"/>
      <c r="C826" s="504"/>
      <c r="D826" s="504"/>
      <c r="E826" s="506"/>
      <c r="F826" s="506"/>
      <c r="G826" s="506"/>
      <c r="H826" s="506"/>
      <c r="I826" s="506"/>
      <c r="J826" s="506"/>
      <c r="K826" s="507"/>
      <c r="L826" s="508"/>
      <c r="M826" s="508"/>
      <c r="N826" s="508"/>
      <c r="O826" s="509"/>
      <c r="P826" s="509"/>
    </row>
    <row r="827" spans="1:16" ht="21.75" customHeight="1" x14ac:dyDescent="0.3">
      <c r="A827" s="504"/>
      <c r="B827" s="504"/>
      <c r="C827" s="504"/>
      <c r="D827" s="504"/>
      <c r="E827" s="506"/>
      <c r="F827" s="506"/>
      <c r="G827" s="506"/>
      <c r="H827" s="506"/>
      <c r="I827" s="506"/>
      <c r="J827" s="506"/>
      <c r="K827" s="507"/>
      <c r="L827" s="508"/>
      <c r="M827" s="508"/>
      <c r="N827" s="508"/>
      <c r="O827" s="509"/>
      <c r="P827" s="509"/>
    </row>
    <row r="828" spans="1:16" ht="21.75" customHeight="1" x14ac:dyDescent="0.3">
      <c r="A828" s="504"/>
      <c r="B828" s="504"/>
      <c r="C828" s="504"/>
      <c r="D828" s="504"/>
      <c r="E828" s="506"/>
      <c r="F828" s="506"/>
      <c r="G828" s="506"/>
      <c r="H828" s="506"/>
      <c r="I828" s="506"/>
      <c r="J828" s="506"/>
      <c r="K828" s="507"/>
      <c r="L828" s="508"/>
      <c r="M828" s="508"/>
      <c r="N828" s="508"/>
      <c r="O828" s="509"/>
      <c r="P828" s="509"/>
    </row>
    <row r="829" spans="1:16" ht="21.75" customHeight="1" x14ac:dyDescent="0.3">
      <c r="A829" s="504"/>
      <c r="B829" s="504"/>
      <c r="C829" s="504"/>
      <c r="D829" s="504"/>
      <c r="E829" s="506"/>
      <c r="F829" s="506"/>
      <c r="G829" s="506"/>
      <c r="H829" s="506"/>
      <c r="I829" s="506"/>
      <c r="J829" s="506"/>
      <c r="K829" s="507"/>
      <c r="L829" s="508"/>
      <c r="M829" s="508"/>
      <c r="N829" s="508"/>
      <c r="O829" s="509"/>
      <c r="P829" s="509"/>
    </row>
    <row r="830" spans="1:16" ht="21.75" customHeight="1" x14ac:dyDescent="0.3">
      <c r="A830" s="504"/>
      <c r="B830" s="504"/>
      <c r="C830" s="504"/>
      <c r="D830" s="504"/>
      <c r="E830" s="506"/>
      <c r="F830" s="506"/>
      <c r="G830" s="506"/>
      <c r="H830" s="506"/>
      <c r="I830" s="506"/>
      <c r="J830" s="506"/>
      <c r="K830" s="507"/>
      <c r="L830" s="508"/>
      <c r="M830" s="508"/>
      <c r="N830" s="508"/>
      <c r="O830" s="509"/>
      <c r="P830" s="509"/>
    </row>
    <row r="831" spans="1:16" ht="21.75" customHeight="1" x14ac:dyDescent="0.3">
      <c r="A831" s="504"/>
      <c r="B831" s="504"/>
      <c r="C831" s="504"/>
      <c r="D831" s="504"/>
      <c r="E831" s="506"/>
      <c r="F831" s="506"/>
      <c r="G831" s="506"/>
      <c r="H831" s="506"/>
      <c r="I831" s="506"/>
      <c r="J831" s="506"/>
      <c r="K831" s="507"/>
      <c r="L831" s="508"/>
      <c r="M831" s="508"/>
      <c r="N831" s="508"/>
      <c r="O831" s="509"/>
      <c r="P831" s="509"/>
    </row>
    <row r="832" spans="1:16" ht="21.75" customHeight="1" x14ac:dyDescent="0.3">
      <c r="A832" s="504"/>
      <c r="B832" s="504"/>
      <c r="C832" s="504"/>
      <c r="D832" s="504"/>
      <c r="E832" s="506"/>
      <c r="F832" s="506"/>
      <c r="G832" s="506"/>
      <c r="H832" s="506"/>
      <c r="I832" s="506"/>
      <c r="J832" s="506"/>
      <c r="K832" s="507"/>
      <c r="L832" s="508"/>
      <c r="M832" s="508"/>
      <c r="N832" s="508"/>
      <c r="O832" s="509"/>
      <c r="P832" s="509"/>
    </row>
    <row r="833" spans="1:16" ht="21.75" customHeight="1" x14ac:dyDescent="0.3">
      <c r="A833" s="504"/>
      <c r="B833" s="504"/>
      <c r="C833" s="504"/>
      <c r="D833" s="504"/>
      <c r="E833" s="506"/>
      <c r="F833" s="506"/>
      <c r="G833" s="506"/>
      <c r="H833" s="506"/>
      <c r="I833" s="506"/>
      <c r="J833" s="506"/>
      <c r="K833" s="507"/>
      <c r="L833" s="508"/>
      <c r="M833" s="508"/>
      <c r="N833" s="508"/>
      <c r="O833" s="509"/>
      <c r="P833" s="509"/>
    </row>
    <row r="834" spans="1:16" ht="21.75" customHeight="1" x14ac:dyDescent="0.3">
      <c r="A834" s="504"/>
      <c r="B834" s="504"/>
      <c r="C834" s="504"/>
      <c r="D834" s="504"/>
      <c r="E834" s="506"/>
      <c r="F834" s="506"/>
      <c r="G834" s="506"/>
      <c r="H834" s="506"/>
      <c r="I834" s="506"/>
      <c r="J834" s="506"/>
      <c r="K834" s="507"/>
      <c r="L834" s="508"/>
      <c r="M834" s="508"/>
      <c r="N834" s="508"/>
      <c r="O834" s="509"/>
      <c r="P834" s="509"/>
    </row>
    <row r="835" spans="1:16" ht="21.75" customHeight="1" x14ac:dyDescent="0.3">
      <c r="A835" s="504"/>
      <c r="B835" s="504"/>
      <c r="C835" s="504"/>
      <c r="D835" s="504"/>
      <c r="E835" s="506"/>
      <c r="F835" s="506"/>
      <c r="G835" s="506"/>
      <c r="H835" s="506"/>
      <c r="I835" s="506"/>
      <c r="J835" s="506"/>
      <c r="K835" s="507"/>
      <c r="L835" s="508"/>
      <c r="M835" s="508"/>
      <c r="N835" s="508"/>
      <c r="O835" s="509"/>
      <c r="P835" s="509"/>
    </row>
    <row r="836" spans="1:16" ht="21.75" customHeight="1" x14ac:dyDescent="0.3">
      <c r="A836" s="504"/>
      <c r="B836" s="504"/>
      <c r="C836" s="504"/>
      <c r="D836" s="504"/>
      <c r="E836" s="506"/>
      <c r="F836" s="506"/>
      <c r="G836" s="506"/>
      <c r="H836" s="506"/>
      <c r="I836" s="506"/>
      <c r="J836" s="506"/>
      <c r="K836" s="507"/>
      <c r="L836" s="508"/>
      <c r="M836" s="508"/>
      <c r="N836" s="508"/>
      <c r="O836" s="509"/>
      <c r="P836" s="509"/>
    </row>
    <row r="837" spans="1:16" ht="21.75" customHeight="1" x14ac:dyDescent="0.3">
      <c r="A837" s="504"/>
      <c r="B837" s="504"/>
      <c r="C837" s="504"/>
      <c r="D837" s="504"/>
      <c r="E837" s="506"/>
      <c r="F837" s="506"/>
      <c r="G837" s="506"/>
      <c r="H837" s="506"/>
      <c r="I837" s="506"/>
      <c r="J837" s="506"/>
      <c r="K837" s="507"/>
      <c r="L837" s="508"/>
      <c r="M837" s="508"/>
      <c r="N837" s="508"/>
      <c r="O837" s="509"/>
      <c r="P837" s="509"/>
    </row>
    <row r="838" spans="1:16" ht="21.75" customHeight="1" x14ac:dyDescent="0.3">
      <c r="A838" s="504"/>
      <c r="B838" s="504"/>
      <c r="C838" s="504"/>
      <c r="D838" s="504"/>
      <c r="E838" s="506"/>
      <c r="F838" s="506"/>
      <c r="G838" s="506"/>
      <c r="H838" s="506"/>
      <c r="I838" s="506"/>
      <c r="J838" s="506"/>
      <c r="K838" s="507"/>
      <c r="L838" s="508"/>
      <c r="M838" s="508"/>
      <c r="N838" s="508"/>
      <c r="O838" s="509"/>
      <c r="P838" s="509"/>
    </row>
    <row r="839" spans="1:16" ht="21.75" customHeight="1" x14ac:dyDescent="0.3">
      <c r="A839" s="504"/>
      <c r="B839" s="504"/>
      <c r="C839" s="504"/>
      <c r="D839" s="504"/>
      <c r="E839" s="506"/>
      <c r="F839" s="506"/>
      <c r="G839" s="506"/>
      <c r="H839" s="506"/>
      <c r="I839" s="506"/>
      <c r="J839" s="506"/>
      <c r="K839" s="507"/>
      <c r="L839" s="508"/>
      <c r="M839" s="508"/>
      <c r="N839" s="508"/>
      <c r="O839" s="509"/>
      <c r="P839" s="509"/>
    </row>
    <row r="840" spans="1:16" ht="21.75" customHeight="1" x14ac:dyDescent="0.3">
      <c r="A840" s="504"/>
      <c r="B840" s="504"/>
      <c r="C840" s="504"/>
      <c r="D840" s="504"/>
      <c r="E840" s="506"/>
      <c r="F840" s="506"/>
      <c r="G840" s="506"/>
      <c r="H840" s="506"/>
      <c r="I840" s="506"/>
      <c r="J840" s="506"/>
      <c r="K840" s="507"/>
      <c r="L840" s="508"/>
      <c r="M840" s="508"/>
      <c r="N840" s="508"/>
      <c r="O840" s="509"/>
      <c r="P840" s="509"/>
    </row>
    <row r="841" spans="1:16" ht="21.75" customHeight="1" x14ac:dyDescent="0.3">
      <c r="A841" s="504"/>
      <c r="B841" s="504"/>
      <c r="C841" s="504"/>
      <c r="D841" s="504"/>
      <c r="E841" s="506"/>
      <c r="F841" s="506"/>
      <c r="G841" s="506"/>
      <c r="H841" s="506"/>
      <c r="I841" s="506"/>
      <c r="J841" s="506"/>
      <c r="K841" s="507"/>
      <c r="L841" s="508"/>
      <c r="M841" s="508"/>
      <c r="N841" s="508"/>
      <c r="O841" s="509"/>
      <c r="P841" s="509"/>
    </row>
    <row r="842" spans="1:16" ht="21.75" customHeight="1" x14ac:dyDescent="0.3">
      <c r="A842" s="504"/>
      <c r="B842" s="504"/>
      <c r="C842" s="504"/>
      <c r="D842" s="504"/>
      <c r="E842" s="506"/>
      <c r="F842" s="506"/>
      <c r="G842" s="506"/>
      <c r="H842" s="506"/>
      <c r="I842" s="506"/>
      <c r="J842" s="506"/>
      <c r="K842" s="507"/>
      <c r="L842" s="508"/>
      <c r="M842" s="508"/>
      <c r="N842" s="508"/>
      <c r="O842" s="509"/>
      <c r="P842" s="509"/>
    </row>
    <row r="843" spans="1:16" ht="21.75" customHeight="1" x14ac:dyDescent="0.3">
      <c r="A843" s="504"/>
      <c r="B843" s="504"/>
      <c r="C843" s="504"/>
      <c r="D843" s="504"/>
      <c r="E843" s="506"/>
      <c r="F843" s="506"/>
      <c r="G843" s="506"/>
      <c r="H843" s="506"/>
      <c r="I843" s="506"/>
      <c r="J843" s="506"/>
      <c r="K843" s="507"/>
      <c r="L843" s="508"/>
      <c r="M843" s="508"/>
      <c r="N843" s="508"/>
      <c r="O843" s="509"/>
      <c r="P843" s="509"/>
    </row>
    <row r="844" spans="1:16" ht="21.75" customHeight="1" x14ac:dyDescent="0.3">
      <c r="A844" s="504"/>
      <c r="B844" s="504"/>
      <c r="C844" s="504"/>
      <c r="D844" s="504"/>
      <c r="E844" s="506"/>
      <c r="F844" s="506"/>
      <c r="G844" s="506"/>
      <c r="H844" s="506"/>
      <c r="I844" s="506"/>
      <c r="J844" s="506"/>
      <c r="K844" s="507"/>
      <c r="L844" s="508"/>
      <c r="M844" s="508"/>
      <c r="N844" s="508"/>
      <c r="O844" s="509"/>
      <c r="P844" s="509"/>
    </row>
    <row r="845" spans="1:16" ht="21.75" customHeight="1" x14ac:dyDescent="0.3">
      <c r="A845" s="504"/>
      <c r="B845" s="504"/>
      <c r="C845" s="504"/>
      <c r="D845" s="504"/>
      <c r="E845" s="506"/>
      <c r="F845" s="506"/>
      <c r="G845" s="506"/>
      <c r="H845" s="506"/>
      <c r="I845" s="506"/>
      <c r="J845" s="506"/>
      <c r="K845" s="507"/>
      <c r="L845" s="508"/>
      <c r="M845" s="508"/>
      <c r="N845" s="508"/>
      <c r="O845" s="509"/>
      <c r="P845" s="509"/>
    </row>
    <row r="846" spans="1:16" ht="21.75" customHeight="1" x14ac:dyDescent="0.3">
      <c r="A846" s="504"/>
      <c r="B846" s="504"/>
      <c r="C846" s="504"/>
      <c r="D846" s="504"/>
      <c r="E846" s="506"/>
      <c r="F846" s="506"/>
      <c r="G846" s="506"/>
      <c r="H846" s="506"/>
      <c r="I846" s="506"/>
      <c r="J846" s="506"/>
      <c r="K846" s="507"/>
      <c r="L846" s="508"/>
      <c r="M846" s="508"/>
      <c r="N846" s="508"/>
      <c r="O846" s="509"/>
      <c r="P846" s="509"/>
    </row>
    <row r="847" spans="1:16" ht="21.75" customHeight="1" x14ac:dyDescent="0.3">
      <c r="A847" s="504"/>
      <c r="B847" s="504"/>
      <c r="C847" s="504"/>
      <c r="D847" s="504"/>
      <c r="E847" s="506"/>
      <c r="F847" s="506"/>
      <c r="G847" s="506"/>
      <c r="H847" s="506"/>
      <c r="I847" s="506"/>
      <c r="J847" s="506"/>
      <c r="K847" s="507"/>
      <c r="L847" s="508"/>
      <c r="M847" s="508"/>
      <c r="N847" s="508"/>
      <c r="O847" s="509"/>
      <c r="P847" s="509"/>
    </row>
    <row r="848" spans="1:16" ht="21.75" customHeight="1" x14ac:dyDescent="0.3">
      <c r="A848" s="504"/>
      <c r="B848" s="504"/>
      <c r="C848" s="504"/>
      <c r="D848" s="504"/>
      <c r="E848" s="506"/>
      <c r="F848" s="506"/>
      <c r="G848" s="506"/>
      <c r="H848" s="506"/>
      <c r="I848" s="506"/>
      <c r="J848" s="506"/>
      <c r="K848" s="507"/>
      <c r="L848" s="508"/>
      <c r="M848" s="508"/>
      <c r="N848" s="508"/>
      <c r="O848" s="509"/>
      <c r="P848" s="509"/>
    </row>
    <row r="849" spans="1:16" ht="21.75" customHeight="1" x14ac:dyDescent="0.3">
      <c r="A849" s="504"/>
      <c r="B849" s="504"/>
      <c r="C849" s="504"/>
      <c r="D849" s="504"/>
      <c r="E849" s="506"/>
      <c r="F849" s="506"/>
      <c r="G849" s="506"/>
      <c r="H849" s="506"/>
      <c r="I849" s="506"/>
      <c r="J849" s="506"/>
      <c r="K849" s="507"/>
      <c r="L849" s="508"/>
      <c r="M849" s="508"/>
      <c r="N849" s="508"/>
      <c r="O849" s="509"/>
      <c r="P849" s="509"/>
    </row>
    <row r="850" spans="1:16" ht="21.75" customHeight="1" x14ac:dyDescent="0.3">
      <c r="A850" s="504"/>
      <c r="B850" s="504"/>
      <c r="C850" s="504"/>
      <c r="D850" s="504"/>
      <c r="E850" s="506"/>
      <c r="F850" s="506"/>
      <c r="G850" s="506"/>
      <c r="H850" s="506"/>
      <c r="I850" s="506"/>
      <c r="J850" s="506"/>
      <c r="K850" s="507"/>
      <c r="L850" s="508"/>
      <c r="M850" s="508"/>
      <c r="N850" s="508"/>
      <c r="O850" s="509"/>
      <c r="P850" s="509"/>
    </row>
    <row r="851" spans="1:16" ht="21.75" customHeight="1" x14ac:dyDescent="0.3">
      <c r="A851" s="504"/>
      <c r="B851" s="504"/>
      <c r="C851" s="504"/>
      <c r="D851" s="504"/>
      <c r="E851" s="506"/>
      <c r="F851" s="506"/>
      <c r="G851" s="506"/>
      <c r="H851" s="506"/>
      <c r="I851" s="506"/>
      <c r="J851" s="506"/>
      <c r="K851" s="507"/>
      <c r="L851" s="508"/>
      <c r="M851" s="508"/>
      <c r="N851" s="508"/>
      <c r="O851" s="509"/>
      <c r="P851" s="509"/>
    </row>
    <row r="852" spans="1:16" ht="21.75" customHeight="1" x14ac:dyDescent="0.3">
      <c r="A852" s="504"/>
      <c r="B852" s="504"/>
      <c r="C852" s="504"/>
      <c r="D852" s="504"/>
      <c r="E852" s="506"/>
      <c r="F852" s="506"/>
      <c r="G852" s="506"/>
      <c r="H852" s="506"/>
      <c r="I852" s="506"/>
      <c r="J852" s="506"/>
      <c r="K852" s="507"/>
      <c r="L852" s="508"/>
      <c r="M852" s="508"/>
      <c r="N852" s="508"/>
      <c r="O852" s="509"/>
      <c r="P852" s="509"/>
    </row>
    <row r="853" spans="1:16" ht="21.75" customHeight="1" x14ac:dyDescent="0.3">
      <c r="A853" s="504"/>
      <c r="B853" s="504"/>
      <c r="C853" s="504"/>
      <c r="D853" s="504"/>
      <c r="E853" s="506"/>
      <c r="F853" s="506"/>
      <c r="G853" s="506"/>
      <c r="H853" s="506"/>
      <c r="I853" s="506"/>
      <c r="J853" s="506"/>
      <c r="K853" s="507"/>
      <c r="L853" s="508"/>
      <c r="M853" s="508"/>
      <c r="N853" s="508"/>
      <c r="O853" s="509"/>
      <c r="P853" s="509"/>
    </row>
    <row r="854" spans="1:16" ht="21.75" customHeight="1" x14ac:dyDescent="0.3">
      <c r="A854" s="504"/>
      <c r="B854" s="504"/>
      <c r="C854" s="504"/>
      <c r="D854" s="504"/>
      <c r="E854" s="506"/>
      <c r="F854" s="506"/>
      <c r="G854" s="506"/>
      <c r="H854" s="506"/>
      <c r="I854" s="506"/>
      <c r="J854" s="506"/>
      <c r="K854" s="507"/>
      <c r="L854" s="508"/>
      <c r="M854" s="508"/>
      <c r="N854" s="508"/>
      <c r="O854" s="509"/>
      <c r="P854" s="509"/>
    </row>
    <row r="855" spans="1:16" ht="21.75" customHeight="1" x14ac:dyDescent="0.3">
      <c r="A855" s="504"/>
      <c r="B855" s="504"/>
      <c r="C855" s="504"/>
      <c r="D855" s="504"/>
      <c r="E855" s="506"/>
      <c r="F855" s="506"/>
      <c r="G855" s="506"/>
      <c r="H855" s="506"/>
      <c r="I855" s="506"/>
      <c r="J855" s="506"/>
      <c r="K855" s="507"/>
      <c r="L855" s="508"/>
      <c r="M855" s="508"/>
      <c r="N855" s="508"/>
      <c r="O855" s="509"/>
      <c r="P855" s="509"/>
    </row>
    <row r="856" spans="1:16" ht="21.75" customHeight="1" x14ac:dyDescent="0.3">
      <c r="A856" s="504"/>
      <c r="B856" s="504"/>
      <c r="C856" s="504"/>
      <c r="D856" s="504"/>
      <c r="E856" s="506"/>
      <c r="F856" s="506"/>
      <c r="G856" s="506"/>
      <c r="H856" s="506"/>
      <c r="I856" s="506"/>
      <c r="J856" s="506"/>
      <c r="K856" s="507"/>
      <c r="L856" s="508"/>
      <c r="M856" s="508"/>
      <c r="N856" s="508"/>
      <c r="O856" s="509"/>
      <c r="P856" s="509"/>
    </row>
    <row r="857" spans="1:16" ht="21.75" customHeight="1" x14ac:dyDescent="0.3">
      <c r="A857" s="504"/>
      <c r="B857" s="504"/>
      <c r="C857" s="504"/>
      <c r="D857" s="504"/>
      <c r="E857" s="506"/>
      <c r="F857" s="506"/>
      <c r="G857" s="506"/>
      <c r="H857" s="506"/>
      <c r="I857" s="506"/>
      <c r="J857" s="506"/>
      <c r="K857" s="507"/>
      <c r="L857" s="508"/>
      <c r="M857" s="508"/>
      <c r="N857" s="508"/>
      <c r="O857" s="509"/>
      <c r="P857" s="509"/>
    </row>
    <row r="858" spans="1:16" ht="21.75" customHeight="1" x14ac:dyDescent="0.3">
      <c r="A858" s="504"/>
      <c r="B858" s="504"/>
      <c r="C858" s="504"/>
      <c r="D858" s="504"/>
      <c r="E858" s="506"/>
      <c r="F858" s="506"/>
      <c r="G858" s="506"/>
      <c r="H858" s="506"/>
      <c r="I858" s="506"/>
      <c r="J858" s="506"/>
      <c r="K858" s="507"/>
      <c r="L858" s="508"/>
      <c r="M858" s="508"/>
      <c r="N858" s="508"/>
      <c r="O858" s="509"/>
      <c r="P858" s="509"/>
    </row>
    <row r="859" spans="1:16" ht="21.75" customHeight="1" x14ac:dyDescent="0.3">
      <c r="A859" s="504"/>
      <c r="B859" s="504"/>
      <c r="C859" s="504"/>
      <c r="D859" s="504"/>
      <c r="E859" s="506"/>
      <c r="F859" s="506"/>
      <c r="G859" s="506"/>
      <c r="H859" s="506"/>
      <c r="I859" s="506"/>
      <c r="J859" s="506"/>
      <c r="K859" s="507"/>
      <c r="L859" s="508"/>
      <c r="M859" s="508"/>
      <c r="N859" s="508"/>
      <c r="O859" s="509"/>
      <c r="P859" s="509"/>
    </row>
    <row r="860" spans="1:16" ht="21.75" customHeight="1" x14ac:dyDescent="0.3">
      <c r="A860" s="504"/>
      <c r="B860" s="504"/>
      <c r="C860" s="504"/>
      <c r="D860" s="504"/>
      <c r="E860" s="506"/>
      <c r="F860" s="506"/>
      <c r="G860" s="506"/>
      <c r="H860" s="506"/>
      <c r="I860" s="506"/>
      <c r="J860" s="506"/>
      <c r="K860" s="507"/>
      <c r="L860" s="508"/>
      <c r="M860" s="508"/>
      <c r="N860" s="508"/>
      <c r="O860" s="509"/>
      <c r="P860" s="509"/>
    </row>
    <row r="861" spans="1:16" ht="21.75" customHeight="1" x14ac:dyDescent="0.3">
      <c r="A861" s="504"/>
      <c r="B861" s="504"/>
      <c r="C861" s="504"/>
      <c r="D861" s="504"/>
      <c r="E861" s="506"/>
      <c r="F861" s="506"/>
      <c r="G861" s="506"/>
      <c r="H861" s="506"/>
      <c r="I861" s="506"/>
      <c r="J861" s="506"/>
      <c r="K861" s="507"/>
      <c r="L861" s="508"/>
      <c r="M861" s="508"/>
      <c r="N861" s="508"/>
      <c r="O861" s="509"/>
      <c r="P861" s="509"/>
    </row>
    <row r="862" spans="1:16" ht="21.75" customHeight="1" x14ac:dyDescent="0.3">
      <c r="A862" s="504"/>
      <c r="B862" s="504"/>
      <c r="C862" s="504"/>
      <c r="D862" s="504"/>
      <c r="E862" s="506"/>
      <c r="F862" s="506"/>
      <c r="G862" s="506"/>
      <c r="H862" s="506"/>
      <c r="I862" s="506"/>
      <c r="J862" s="506"/>
      <c r="K862" s="507"/>
      <c r="L862" s="508"/>
      <c r="M862" s="508"/>
      <c r="N862" s="508"/>
      <c r="O862" s="509"/>
      <c r="P862" s="509"/>
    </row>
    <row r="863" spans="1:16" ht="21.75" customHeight="1" x14ac:dyDescent="0.3">
      <c r="A863" s="504"/>
      <c r="B863" s="504"/>
      <c r="C863" s="504"/>
      <c r="D863" s="504"/>
      <c r="E863" s="506"/>
      <c r="F863" s="506"/>
      <c r="G863" s="506"/>
      <c r="H863" s="506"/>
      <c r="I863" s="506"/>
      <c r="J863" s="506"/>
      <c r="K863" s="507"/>
      <c r="L863" s="508"/>
      <c r="M863" s="508"/>
      <c r="N863" s="508"/>
      <c r="O863" s="509"/>
      <c r="P863" s="509"/>
    </row>
    <row r="864" spans="1:16" ht="21.75" customHeight="1" x14ac:dyDescent="0.3">
      <c r="A864" s="504"/>
      <c r="B864" s="504"/>
      <c r="C864" s="504"/>
      <c r="D864" s="504"/>
      <c r="E864" s="506"/>
      <c r="F864" s="506"/>
      <c r="G864" s="506"/>
      <c r="H864" s="506"/>
      <c r="I864" s="506"/>
      <c r="J864" s="506"/>
      <c r="K864" s="507"/>
      <c r="L864" s="508"/>
      <c r="M864" s="508"/>
      <c r="N864" s="508"/>
      <c r="O864" s="509"/>
      <c r="P864" s="509"/>
    </row>
    <row r="865" spans="1:16" ht="21.75" customHeight="1" x14ac:dyDescent="0.3">
      <c r="A865" s="504"/>
      <c r="B865" s="504"/>
      <c r="C865" s="504"/>
      <c r="D865" s="504"/>
      <c r="E865" s="506"/>
      <c r="F865" s="506"/>
      <c r="G865" s="506"/>
      <c r="H865" s="506"/>
      <c r="I865" s="506"/>
      <c r="J865" s="506"/>
      <c r="K865" s="507"/>
      <c r="L865" s="508"/>
      <c r="M865" s="508"/>
      <c r="N865" s="508"/>
      <c r="O865" s="509"/>
      <c r="P865" s="509"/>
    </row>
    <row r="866" spans="1:16" ht="21.75" customHeight="1" x14ac:dyDescent="0.3">
      <c r="A866" s="504"/>
      <c r="B866" s="504"/>
      <c r="C866" s="504"/>
      <c r="D866" s="504"/>
      <c r="E866" s="506"/>
      <c r="F866" s="506"/>
      <c r="G866" s="506"/>
      <c r="H866" s="506"/>
      <c r="I866" s="506"/>
      <c r="J866" s="506"/>
      <c r="K866" s="507"/>
      <c r="L866" s="508"/>
      <c r="M866" s="508"/>
      <c r="N866" s="508"/>
      <c r="O866" s="509"/>
      <c r="P866" s="509"/>
    </row>
    <row r="867" spans="1:16" ht="21.75" customHeight="1" x14ac:dyDescent="0.3">
      <c r="A867" s="504"/>
      <c r="B867" s="504"/>
      <c r="C867" s="504"/>
      <c r="D867" s="504"/>
      <c r="E867" s="506"/>
      <c r="F867" s="506"/>
      <c r="G867" s="506"/>
      <c r="H867" s="506"/>
      <c r="I867" s="506"/>
      <c r="J867" s="506"/>
      <c r="K867" s="507"/>
      <c r="L867" s="508"/>
      <c r="M867" s="508"/>
      <c r="N867" s="508"/>
      <c r="O867" s="509"/>
      <c r="P867" s="509"/>
    </row>
    <row r="868" spans="1:16" ht="21.75" customHeight="1" x14ac:dyDescent="0.3">
      <c r="A868" s="504"/>
      <c r="B868" s="504"/>
      <c r="C868" s="504"/>
      <c r="D868" s="504"/>
      <c r="E868" s="506"/>
      <c r="F868" s="506"/>
      <c r="G868" s="506"/>
      <c r="H868" s="506"/>
      <c r="I868" s="506"/>
      <c r="J868" s="506"/>
      <c r="K868" s="507"/>
      <c r="L868" s="508"/>
      <c r="M868" s="508"/>
      <c r="N868" s="508"/>
      <c r="O868" s="509"/>
      <c r="P868" s="509"/>
    </row>
    <row r="869" spans="1:16" ht="21.75" customHeight="1" x14ac:dyDescent="0.3">
      <c r="A869" s="504"/>
      <c r="B869" s="504"/>
      <c r="C869" s="504"/>
      <c r="D869" s="504"/>
      <c r="E869" s="506"/>
      <c r="F869" s="506"/>
      <c r="G869" s="506"/>
      <c r="H869" s="506"/>
      <c r="I869" s="506"/>
      <c r="J869" s="506"/>
      <c r="K869" s="507"/>
      <c r="L869" s="508"/>
      <c r="M869" s="508"/>
      <c r="N869" s="508"/>
      <c r="O869" s="509"/>
      <c r="P869" s="509"/>
    </row>
    <row r="870" spans="1:16" ht="21.75" customHeight="1" x14ac:dyDescent="0.3">
      <c r="A870" s="504"/>
      <c r="B870" s="504"/>
      <c r="C870" s="504"/>
      <c r="D870" s="504"/>
      <c r="E870" s="506"/>
      <c r="F870" s="506"/>
      <c r="G870" s="506"/>
      <c r="H870" s="506"/>
      <c r="I870" s="506"/>
      <c r="J870" s="506"/>
      <c r="K870" s="507"/>
      <c r="L870" s="508"/>
      <c r="M870" s="508"/>
      <c r="N870" s="508"/>
      <c r="O870" s="509"/>
      <c r="P870" s="509"/>
    </row>
    <row r="871" spans="1:16" ht="21.75" customHeight="1" x14ac:dyDescent="0.3">
      <c r="A871" s="504"/>
      <c r="B871" s="504"/>
      <c r="C871" s="504"/>
      <c r="D871" s="504"/>
      <c r="E871" s="506"/>
      <c r="F871" s="506"/>
      <c r="G871" s="506"/>
      <c r="H871" s="506"/>
      <c r="I871" s="506"/>
      <c r="J871" s="506"/>
      <c r="K871" s="507"/>
      <c r="L871" s="508"/>
      <c r="M871" s="508"/>
      <c r="N871" s="508"/>
      <c r="O871" s="509"/>
      <c r="P871" s="509"/>
    </row>
    <row r="872" spans="1:16" ht="21.75" customHeight="1" x14ac:dyDescent="0.3">
      <c r="A872" s="504"/>
      <c r="B872" s="504"/>
      <c r="C872" s="504"/>
      <c r="D872" s="504"/>
      <c r="E872" s="506"/>
      <c r="F872" s="506"/>
      <c r="G872" s="506"/>
      <c r="H872" s="506"/>
      <c r="I872" s="506"/>
      <c r="J872" s="506"/>
      <c r="K872" s="507"/>
      <c r="L872" s="508"/>
      <c r="M872" s="508"/>
      <c r="N872" s="508"/>
      <c r="O872" s="509"/>
      <c r="P872" s="509"/>
    </row>
    <row r="873" spans="1:16" ht="21.75" customHeight="1" x14ac:dyDescent="0.3">
      <c r="A873" s="504"/>
      <c r="B873" s="504"/>
      <c r="C873" s="504"/>
      <c r="D873" s="504"/>
      <c r="E873" s="506"/>
      <c r="F873" s="506"/>
      <c r="G873" s="506"/>
      <c r="H873" s="506"/>
      <c r="I873" s="506"/>
      <c r="J873" s="506"/>
      <c r="K873" s="507"/>
      <c r="L873" s="508"/>
      <c r="M873" s="508"/>
      <c r="N873" s="508"/>
      <c r="O873" s="509"/>
      <c r="P873" s="509"/>
    </row>
    <row r="874" spans="1:16" ht="21.75" customHeight="1" x14ac:dyDescent="0.3">
      <c r="A874" s="504"/>
      <c r="B874" s="504"/>
      <c r="C874" s="504"/>
      <c r="D874" s="504"/>
      <c r="E874" s="506"/>
      <c r="F874" s="506"/>
      <c r="G874" s="506"/>
      <c r="H874" s="506"/>
      <c r="I874" s="506"/>
      <c r="J874" s="506"/>
      <c r="K874" s="507"/>
      <c r="L874" s="508"/>
      <c r="M874" s="508"/>
      <c r="N874" s="508"/>
      <c r="O874" s="509"/>
      <c r="P874" s="509"/>
    </row>
    <row r="875" spans="1:16" ht="21.75" customHeight="1" x14ac:dyDescent="0.3">
      <c r="A875" s="504"/>
      <c r="B875" s="504"/>
      <c r="C875" s="504"/>
      <c r="D875" s="504"/>
      <c r="E875" s="506"/>
      <c r="F875" s="506"/>
      <c r="G875" s="506"/>
      <c r="H875" s="506"/>
      <c r="I875" s="506"/>
      <c r="J875" s="506"/>
      <c r="K875" s="507"/>
      <c r="L875" s="508"/>
      <c r="M875" s="508"/>
      <c r="N875" s="508"/>
      <c r="O875" s="509"/>
      <c r="P875" s="509"/>
    </row>
    <row r="876" spans="1:16" ht="21.75" customHeight="1" x14ac:dyDescent="0.3">
      <c r="A876" s="504"/>
      <c r="B876" s="504"/>
      <c r="C876" s="504"/>
      <c r="D876" s="504"/>
      <c r="E876" s="506"/>
      <c r="F876" s="506"/>
      <c r="G876" s="506"/>
      <c r="H876" s="506"/>
      <c r="I876" s="506"/>
      <c r="J876" s="506"/>
      <c r="K876" s="507"/>
      <c r="L876" s="508"/>
      <c r="M876" s="508"/>
      <c r="N876" s="508"/>
      <c r="O876" s="509"/>
      <c r="P876" s="509"/>
    </row>
    <row r="877" spans="1:16" ht="21.75" customHeight="1" x14ac:dyDescent="0.3">
      <c r="A877" s="504"/>
      <c r="B877" s="504"/>
      <c r="C877" s="504"/>
      <c r="D877" s="504"/>
      <c r="E877" s="506"/>
      <c r="F877" s="506"/>
      <c r="G877" s="506"/>
      <c r="H877" s="506"/>
      <c r="I877" s="506"/>
      <c r="J877" s="506"/>
      <c r="K877" s="507"/>
      <c r="L877" s="508"/>
      <c r="M877" s="508"/>
      <c r="N877" s="508"/>
      <c r="O877" s="509"/>
      <c r="P877" s="509"/>
    </row>
    <row r="878" spans="1:16" ht="21.75" customHeight="1" x14ac:dyDescent="0.3">
      <c r="A878" s="504"/>
      <c r="B878" s="504"/>
      <c r="C878" s="504"/>
      <c r="D878" s="504"/>
      <c r="E878" s="506"/>
      <c r="F878" s="506"/>
      <c r="G878" s="506"/>
      <c r="H878" s="506"/>
      <c r="I878" s="506"/>
      <c r="J878" s="506"/>
      <c r="K878" s="507"/>
      <c r="L878" s="508"/>
      <c r="M878" s="508"/>
      <c r="N878" s="508"/>
      <c r="O878" s="509"/>
      <c r="P878" s="509"/>
    </row>
    <row r="879" spans="1:16" ht="21.75" customHeight="1" x14ac:dyDescent="0.3">
      <c r="A879" s="504"/>
      <c r="B879" s="504"/>
      <c r="C879" s="504"/>
      <c r="D879" s="504"/>
      <c r="E879" s="506"/>
      <c r="F879" s="506"/>
      <c r="G879" s="506"/>
      <c r="H879" s="506"/>
      <c r="I879" s="506"/>
      <c r="J879" s="506"/>
      <c r="K879" s="507"/>
      <c r="L879" s="508"/>
      <c r="M879" s="508"/>
      <c r="N879" s="508"/>
      <c r="O879" s="509"/>
      <c r="P879" s="509"/>
    </row>
    <row r="880" spans="1:16" ht="21.75" customHeight="1" x14ac:dyDescent="0.3">
      <c r="A880" s="504"/>
      <c r="B880" s="504"/>
      <c r="C880" s="504"/>
      <c r="D880" s="504"/>
      <c r="E880" s="506"/>
      <c r="F880" s="506"/>
      <c r="G880" s="506"/>
      <c r="H880" s="506"/>
      <c r="I880" s="506"/>
      <c r="J880" s="506"/>
      <c r="K880" s="507"/>
      <c r="L880" s="508"/>
      <c r="M880" s="508"/>
      <c r="N880" s="508"/>
      <c r="O880" s="509"/>
      <c r="P880" s="509"/>
    </row>
    <row r="881" spans="1:16" ht="21.75" customHeight="1" x14ac:dyDescent="0.3">
      <c r="A881" s="504"/>
      <c r="B881" s="504"/>
      <c r="C881" s="504"/>
      <c r="D881" s="504"/>
      <c r="E881" s="506"/>
      <c r="F881" s="506"/>
      <c r="G881" s="506"/>
      <c r="H881" s="506"/>
      <c r="I881" s="506"/>
      <c r="J881" s="506"/>
      <c r="K881" s="507"/>
      <c r="L881" s="508"/>
      <c r="M881" s="508"/>
      <c r="N881" s="508"/>
      <c r="O881" s="509"/>
      <c r="P881" s="509"/>
    </row>
    <row r="882" spans="1:16" ht="21.75" customHeight="1" x14ac:dyDescent="0.3">
      <c r="A882" s="504"/>
      <c r="B882" s="504"/>
      <c r="C882" s="504"/>
      <c r="D882" s="504"/>
      <c r="E882" s="506"/>
      <c r="F882" s="506"/>
      <c r="G882" s="506"/>
      <c r="H882" s="506"/>
      <c r="I882" s="506"/>
      <c r="J882" s="506"/>
      <c r="K882" s="507"/>
      <c r="L882" s="508"/>
      <c r="M882" s="508"/>
      <c r="N882" s="508"/>
      <c r="O882" s="509"/>
      <c r="P882" s="509"/>
    </row>
    <row r="883" spans="1:16" ht="21.75" customHeight="1" x14ac:dyDescent="0.3">
      <c r="A883" s="504"/>
      <c r="B883" s="504"/>
      <c r="C883" s="504"/>
      <c r="D883" s="504"/>
      <c r="E883" s="506"/>
      <c r="F883" s="506"/>
      <c r="G883" s="506"/>
      <c r="H883" s="506"/>
      <c r="I883" s="506"/>
      <c r="J883" s="506"/>
      <c r="K883" s="507"/>
      <c r="L883" s="508"/>
      <c r="M883" s="508"/>
      <c r="N883" s="508"/>
      <c r="O883" s="509"/>
      <c r="P883" s="509"/>
    </row>
    <row r="884" spans="1:16" ht="21.75" customHeight="1" x14ac:dyDescent="0.3">
      <c r="A884" s="504"/>
      <c r="B884" s="504"/>
      <c r="C884" s="504"/>
      <c r="D884" s="504"/>
      <c r="E884" s="506"/>
      <c r="F884" s="506"/>
      <c r="G884" s="506"/>
      <c r="H884" s="506"/>
      <c r="I884" s="506"/>
      <c r="J884" s="506"/>
      <c r="K884" s="507"/>
      <c r="L884" s="508"/>
      <c r="M884" s="508"/>
      <c r="N884" s="508"/>
      <c r="O884" s="509"/>
      <c r="P884" s="509"/>
    </row>
    <row r="885" spans="1:16" ht="21.75" customHeight="1" x14ac:dyDescent="0.3">
      <c r="A885" s="504"/>
      <c r="B885" s="504"/>
      <c r="C885" s="504"/>
      <c r="D885" s="504"/>
      <c r="E885" s="506"/>
      <c r="F885" s="506"/>
      <c r="G885" s="506"/>
      <c r="H885" s="506"/>
      <c r="I885" s="506"/>
      <c r="J885" s="506"/>
      <c r="K885" s="507"/>
      <c r="L885" s="508"/>
      <c r="M885" s="508"/>
      <c r="N885" s="508"/>
      <c r="O885" s="509"/>
      <c r="P885" s="509"/>
    </row>
    <row r="886" spans="1:16" ht="21.75" customHeight="1" x14ac:dyDescent="0.3">
      <c r="A886" s="504"/>
      <c r="B886" s="504"/>
      <c r="C886" s="504"/>
      <c r="D886" s="504"/>
      <c r="E886" s="506"/>
      <c r="F886" s="506"/>
      <c r="G886" s="506"/>
      <c r="H886" s="506"/>
      <c r="I886" s="506"/>
      <c r="J886" s="506"/>
      <c r="K886" s="507"/>
      <c r="L886" s="508"/>
      <c r="M886" s="508"/>
      <c r="N886" s="508"/>
      <c r="O886" s="509"/>
      <c r="P886" s="509"/>
    </row>
    <row r="887" spans="1:16" ht="21.75" customHeight="1" x14ac:dyDescent="0.3">
      <c r="A887" s="504"/>
      <c r="B887" s="504"/>
      <c r="C887" s="504"/>
      <c r="D887" s="504"/>
      <c r="E887" s="506"/>
      <c r="F887" s="506"/>
      <c r="G887" s="506"/>
      <c r="H887" s="506"/>
      <c r="I887" s="506"/>
      <c r="J887" s="506"/>
      <c r="K887" s="507"/>
      <c r="L887" s="508"/>
      <c r="M887" s="508"/>
      <c r="N887" s="508"/>
      <c r="O887" s="509"/>
      <c r="P887" s="509"/>
    </row>
    <row r="888" spans="1:16" ht="21.75" customHeight="1" x14ac:dyDescent="0.3">
      <c r="A888" s="504"/>
      <c r="B888" s="504"/>
      <c r="C888" s="504"/>
      <c r="D888" s="504"/>
      <c r="E888" s="506"/>
      <c r="F888" s="506"/>
      <c r="G888" s="506"/>
      <c r="H888" s="506"/>
      <c r="I888" s="506"/>
      <c r="J888" s="506"/>
      <c r="K888" s="507"/>
      <c r="L888" s="508"/>
      <c r="M888" s="508"/>
      <c r="N888" s="508"/>
      <c r="O888" s="509"/>
      <c r="P888" s="509"/>
    </row>
    <row r="889" spans="1:16" ht="21.75" customHeight="1" x14ac:dyDescent="0.3">
      <c r="A889" s="504"/>
      <c r="B889" s="504"/>
      <c r="C889" s="504"/>
      <c r="D889" s="504"/>
      <c r="E889" s="506"/>
      <c r="F889" s="506"/>
      <c r="G889" s="506"/>
      <c r="H889" s="506"/>
      <c r="I889" s="506"/>
      <c r="J889" s="506"/>
      <c r="K889" s="507"/>
      <c r="L889" s="508"/>
      <c r="M889" s="508"/>
      <c r="N889" s="508"/>
      <c r="O889" s="509"/>
      <c r="P889" s="509"/>
    </row>
    <row r="890" spans="1:16" ht="21.75" customHeight="1" x14ac:dyDescent="0.3">
      <c r="A890" s="504"/>
      <c r="B890" s="504"/>
      <c r="C890" s="504"/>
      <c r="D890" s="504"/>
      <c r="E890" s="506"/>
      <c r="F890" s="506"/>
      <c r="G890" s="506"/>
      <c r="H890" s="506"/>
      <c r="I890" s="506"/>
      <c r="J890" s="506"/>
      <c r="K890" s="507"/>
      <c r="L890" s="508"/>
      <c r="M890" s="508"/>
      <c r="N890" s="508"/>
      <c r="O890" s="509"/>
      <c r="P890" s="509"/>
    </row>
    <row r="891" spans="1:16" ht="21.75" customHeight="1" x14ac:dyDescent="0.3">
      <c r="A891" s="504"/>
      <c r="B891" s="504"/>
      <c r="C891" s="504"/>
      <c r="D891" s="504"/>
      <c r="E891" s="506"/>
      <c r="F891" s="506"/>
      <c r="G891" s="506"/>
      <c r="H891" s="506"/>
      <c r="I891" s="506"/>
      <c r="J891" s="506"/>
      <c r="K891" s="507"/>
      <c r="L891" s="508"/>
      <c r="M891" s="508"/>
      <c r="N891" s="508"/>
      <c r="O891" s="509"/>
      <c r="P891" s="509"/>
    </row>
    <row r="892" spans="1:16" ht="21.75" customHeight="1" x14ac:dyDescent="0.3">
      <c r="A892" s="504"/>
      <c r="B892" s="504"/>
      <c r="C892" s="504"/>
      <c r="D892" s="504"/>
      <c r="E892" s="506"/>
      <c r="F892" s="506"/>
      <c r="G892" s="506"/>
      <c r="H892" s="506"/>
      <c r="I892" s="506"/>
      <c r="J892" s="506"/>
      <c r="K892" s="507"/>
      <c r="L892" s="508"/>
      <c r="M892" s="508"/>
      <c r="N892" s="508"/>
      <c r="O892" s="509"/>
      <c r="P892" s="509"/>
    </row>
    <row r="893" spans="1:16" ht="21.75" customHeight="1" x14ac:dyDescent="0.3">
      <c r="A893" s="504"/>
      <c r="B893" s="504"/>
      <c r="C893" s="504"/>
      <c r="D893" s="504"/>
      <c r="E893" s="506"/>
      <c r="F893" s="506"/>
      <c r="G893" s="506"/>
      <c r="H893" s="506"/>
      <c r="I893" s="506"/>
      <c r="J893" s="506"/>
      <c r="K893" s="507"/>
      <c r="L893" s="508"/>
      <c r="M893" s="508"/>
      <c r="N893" s="508"/>
      <c r="O893" s="509"/>
      <c r="P893" s="509"/>
    </row>
    <row r="894" spans="1:16" ht="21.75" customHeight="1" x14ac:dyDescent="0.3">
      <c r="A894" s="504"/>
      <c r="B894" s="504"/>
      <c r="C894" s="504"/>
      <c r="D894" s="504"/>
      <c r="E894" s="506"/>
      <c r="F894" s="506"/>
      <c r="G894" s="506"/>
      <c r="H894" s="506"/>
      <c r="I894" s="506"/>
      <c r="J894" s="506"/>
      <c r="K894" s="507"/>
      <c r="L894" s="508"/>
      <c r="M894" s="508"/>
      <c r="N894" s="508"/>
      <c r="O894" s="509"/>
      <c r="P894" s="509"/>
    </row>
    <row r="895" spans="1:16" ht="21.75" customHeight="1" x14ac:dyDescent="0.3">
      <c r="A895" s="504"/>
      <c r="B895" s="504"/>
      <c r="C895" s="504"/>
      <c r="D895" s="504"/>
      <c r="E895" s="506"/>
      <c r="F895" s="506"/>
      <c r="G895" s="506"/>
      <c r="H895" s="506"/>
      <c r="I895" s="506"/>
      <c r="J895" s="506"/>
      <c r="K895" s="507"/>
      <c r="L895" s="508"/>
      <c r="M895" s="508"/>
      <c r="N895" s="508"/>
      <c r="O895" s="509"/>
      <c r="P895" s="509"/>
    </row>
    <row r="896" spans="1:16" ht="21.75" customHeight="1" x14ac:dyDescent="0.3">
      <c r="A896" s="504"/>
      <c r="B896" s="504"/>
      <c r="C896" s="504"/>
      <c r="D896" s="504"/>
      <c r="E896" s="506"/>
      <c r="F896" s="506"/>
      <c r="G896" s="506"/>
      <c r="H896" s="506"/>
      <c r="I896" s="506"/>
      <c r="J896" s="506"/>
      <c r="K896" s="507"/>
      <c r="L896" s="508"/>
      <c r="M896" s="508"/>
      <c r="N896" s="508"/>
      <c r="O896" s="509"/>
      <c r="P896" s="509"/>
    </row>
    <row r="897" spans="1:16" ht="21.75" customHeight="1" x14ac:dyDescent="0.3">
      <c r="A897" s="504"/>
      <c r="B897" s="504"/>
      <c r="C897" s="504"/>
      <c r="D897" s="504"/>
      <c r="E897" s="506"/>
      <c r="F897" s="506"/>
      <c r="G897" s="506"/>
      <c r="H897" s="506"/>
      <c r="I897" s="506"/>
      <c r="J897" s="506"/>
      <c r="K897" s="507"/>
      <c r="L897" s="508"/>
      <c r="M897" s="508"/>
      <c r="N897" s="508"/>
      <c r="O897" s="509"/>
      <c r="P897" s="509"/>
    </row>
    <row r="898" spans="1:16" ht="21.75" customHeight="1" x14ac:dyDescent="0.3">
      <c r="A898" s="504"/>
      <c r="B898" s="504"/>
      <c r="C898" s="504"/>
      <c r="D898" s="504"/>
      <c r="E898" s="506"/>
      <c r="F898" s="506"/>
      <c r="G898" s="506"/>
      <c r="H898" s="506"/>
      <c r="I898" s="506"/>
      <c r="J898" s="506"/>
      <c r="K898" s="507"/>
      <c r="L898" s="508"/>
      <c r="M898" s="508"/>
      <c r="N898" s="508"/>
      <c r="O898" s="509"/>
      <c r="P898" s="509"/>
    </row>
    <row r="899" spans="1:16" ht="21.75" customHeight="1" x14ac:dyDescent="0.3">
      <c r="A899" s="504"/>
      <c r="B899" s="504"/>
      <c r="C899" s="504"/>
      <c r="D899" s="504"/>
      <c r="E899" s="506"/>
      <c r="F899" s="506"/>
      <c r="G899" s="506"/>
      <c r="H899" s="506"/>
      <c r="I899" s="506"/>
      <c r="J899" s="506"/>
      <c r="K899" s="507"/>
      <c r="L899" s="508"/>
      <c r="M899" s="508"/>
      <c r="N899" s="508"/>
      <c r="O899" s="509"/>
      <c r="P899" s="509"/>
    </row>
    <row r="900" spans="1:16" ht="21.75" customHeight="1" x14ac:dyDescent="0.3">
      <c r="A900" s="504"/>
      <c r="B900" s="504"/>
      <c r="C900" s="504"/>
      <c r="D900" s="504"/>
      <c r="E900" s="506"/>
      <c r="F900" s="506"/>
      <c r="G900" s="506"/>
      <c r="H900" s="506"/>
      <c r="I900" s="506"/>
      <c r="J900" s="506"/>
      <c r="K900" s="507"/>
      <c r="L900" s="508"/>
      <c r="M900" s="508"/>
      <c r="N900" s="508"/>
      <c r="O900" s="509"/>
      <c r="P900" s="509"/>
    </row>
    <row r="901" spans="1:16" ht="21.75" customHeight="1" x14ac:dyDescent="0.3">
      <c r="A901" s="504"/>
      <c r="B901" s="504"/>
      <c r="C901" s="504"/>
      <c r="D901" s="504"/>
      <c r="E901" s="506"/>
      <c r="F901" s="506"/>
      <c r="G901" s="506"/>
      <c r="H901" s="506"/>
      <c r="I901" s="506"/>
      <c r="J901" s="506"/>
      <c r="K901" s="507"/>
      <c r="L901" s="508"/>
      <c r="M901" s="508"/>
      <c r="N901" s="508"/>
      <c r="O901" s="509"/>
      <c r="P901" s="509"/>
    </row>
    <row r="902" spans="1:16" ht="21.75" customHeight="1" x14ac:dyDescent="0.3">
      <c r="A902" s="504"/>
      <c r="B902" s="504"/>
      <c r="C902" s="504"/>
      <c r="D902" s="504"/>
      <c r="E902" s="506"/>
      <c r="F902" s="506"/>
      <c r="G902" s="506"/>
      <c r="H902" s="506"/>
      <c r="I902" s="506"/>
      <c r="J902" s="506"/>
      <c r="K902" s="507"/>
      <c r="L902" s="508"/>
      <c r="M902" s="508"/>
      <c r="N902" s="508"/>
      <c r="O902" s="509"/>
      <c r="P902" s="509"/>
    </row>
    <row r="903" spans="1:16" ht="21.75" customHeight="1" x14ac:dyDescent="0.3">
      <c r="A903" s="504"/>
      <c r="B903" s="504"/>
      <c r="C903" s="504"/>
      <c r="D903" s="504"/>
      <c r="E903" s="506"/>
      <c r="F903" s="506"/>
      <c r="G903" s="506"/>
      <c r="H903" s="506"/>
      <c r="I903" s="506"/>
      <c r="J903" s="506"/>
      <c r="K903" s="507"/>
      <c r="L903" s="508"/>
      <c r="M903" s="508"/>
      <c r="N903" s="508"/>
      <c r="O903" s="509"/>
      <c r="P903" s="509"/>
    </row>
    <row r="904" spans="1:16" ht="21.75" customHeight="1" x14ac:dyDescent="0.3">
      <c r="A904" s="504"/>
      <c r="B904" s="504"/>
      <c r="C904" s="504"/>
      <c r="D904" s="504"/>
      <c r="E904" s="506"/>
      <c r="F904" s="506"/>
      <c r="G904" s="506"/>
      <c r="H904" s="506"/>
      <c r="I904" s="506"/>
      <c r="J904" s="506"/>
      <c r="K904" s="507"/>
      <c r="L904" s="508"/>
      <c r="M904" s="508"/>
      <c r="N904" s="508"/>
      <c r="O904" s="509"/>
      <c r="P904" s="509"/>
    </row>
    <row r="905" spans="1:16" ht="21.75" customHeight="1" x14ac:dyDescent="0.3">
      <c r="A905" s="504"/>
      <c r="B905" s="504"/>
      <c r="C905" s="504"/>
      <c r="D905" s="504"/>
      <c r="E905" s="506"/>
      <c r="F905" s="506"/>
      <c r="G905" s="506"/>
      <c r="H905" s="506"/>
      <c r="I905" s="506"/>
      <c r="J905" s="506"/>
      <c r="K905" s="507"/>
      <c r="L905" s="508"/>
      <c r="M905" s="508"/>
      <c r="N905" s="508"/>
      <c r="O905" s="509"/>
      <c r="P905" s="509"/>
    </row>
    <row r="906" spans="1:16" ht="21.75" customHeight="1" x14ac:dyDescent="0.3">
      <c r="A906" s="504"/>
      <c r="B906" s="504"/>
      <c r="C906" s="504"/>
      <c r="D906" s="504"/>
      <c r="E906" s="506"/>
      <c r="F906" s="506"/>
      <c r="G906" s="506"/>
      <c r="H906" s="506"/>
      <c r="I906" s="506"/>
      <c r="J906" s="506"/>
      <c r="K906" s="507"/>
      <c r="L906" s="508"/>
      <c r="M906" s="508"/>
      <c r="N906" s="508"/>
      <c r="O906" s="509"/>
      <c r="P906" s="509"/>
    </row>
    <row r="907" spans="1:16" ht="21.75" customHeight="1" x14ac:dyDescent="0.3">
      <c r="A907" s="504"/>
      <c r="B907" s="504"/>
      <c r="C907" s="504"/>
      <c r="D907" s="504"/>
      <c r="E907" s="506"/>
      <c r="F907" s="506"/>
      <c r="G907" s="506"/>
      <c r="H907" s="506"/>
      <c r="I907" s="506"/>
      <c r="J907" s="506"/>
      <c r="K907" s="507"/>
      <c r="L907" s="508"/>
      <c r="M907" s="508"/>
      <c r="N907" s="508"/>
      <c r="O907" s="509"/>
      <c r="P907" s="509"/>
    </row>
    <row r="908" spans="1:16" ht="21.75" customHeight="1" x14ac:dyDescent="0.3">
      <c r="A908" s="504"/>
      <c r="B908" s="504"/>
      <c r="C908" s="504"/>
      <c r="D908" s="504"/>
      <c r="E908" s="506"/>
      <c r="F908" s="506"/>
      <c r="G908" s="506"/>
      <c r="H908" s="506"/>
      <c r="I908" s="506"/>
      <c r="J908" s="506"/>
      <c r="K908" s="507"/>
      <c r="L908" s="508"/>
      <c r="M908" s="508"/>
      <c r="N908" s="508"/>
      <c r="O908" s="509"/>
      <c r="P908" s="509"/>
    </row>
    <row r="909" spans="1:16" ht="21.75" customHeight="1" x14ac:dyDescent="0.3">
      <c r="A909" s="504"/>
      <c r="B909" s="504"/>
      <c r="C909" s="504"/>
      <c r="D909" s="504"/>
      <c r="E909" s="506"/>
      <c r="F909" s="506"/>
      <c r="G909" s="506"/>
      <c r="H909" s="506"/>
      <c r="I909" s="506"/>
      <c r="J909" s="506"/>
      <c r="K909" s="507"/>
      <c r="L909" s="508"/>
      <c r="M909" s="508"/>
      <c r="N909" s="508"/>
      <c r="O909" s="509"/>
      <c r="P909" s="509"/>
    </row>
    <row r="910" spans="1:16" ht="21.75" customHeight="1" x14ac:dyDescent="0.3">
      <c r="A910" s="504"/>
      <c r="B910" s="504"/>
      <c r="C910" s="504"/>
      <c r="D910" s="504"/>
      <c r="E910" s="506"/>
      <c r="F910" s="506"/>
      <c r="G910" s="506"/>
      <c r="H910" s="506"/>
      <c r="I910" s="506"/>
      <c r="J910" s="506"/>
      <c r="K910" s="507"/>
      <c r="L910" s="508"/>
      <c r="M910" s="508"/>
      <c r="N910" s="508"/>
      <c r="O910" s="509"/>
      <c r="P910" s="509"/>
    </row>
    <row r="911" spans="1:16" ht="21.75" customHeight="1" x14ac:dyDescent="0.3">
      <c r="A911" s="504"/>
      <c r="B911" s="504"/>
      <c r="C911" s="504"/>
      <c r="D911" s="504"/>
      <c r="E911" s="506"/>
      <c r="F911" s="506"/>
      <c r="G911" s="506"/>
      <c r="H911" s="506"/>
      <c r="I911" s="506"/>
      <c r="J911" s="506"/>
      <c r="K911" s="507"/>
      <c r="L911" s="508"/>
      <c r="M911" s="508"/>
      <c r="N911" s="508"/>
      <c r="O911" s="509"/>
      <c r="P911" s="509"/>
    </row>
    <row r="912" spans="1:16" ht="21.75" customHeight="1" x14ac:dyDescent="0.3">
      <c r="A912" s="504"/>
      <c r="B912" s="504"/>
      <c r="C912" s="504"/>
      <c r="D912" s="504"/>
      <c r="E912" s="506"/>
      <c r="F912" s="506"/>
      <c r="G912" s="506"/>
      <c r="H912" s="506"/>
      <c r="I912" s="506"/>
      <c r="J912" s="506"/>
      <c r="K912" s="507"/>
      <c r="L912" s="508"/>
      <c r="M912" s="508"/>
      <c r="N912" s="508"/>
      <c r="O912" s="509"/>
      <c r="P912" s="509"/>
    </row>
    <row r="913" spans="1:16" ht="21.75" customHeight="1" x14ac:dyDescent="0.3">
      <c r="A913" s="504"/>
      <c r="B913" s="504"/>
      <c r="C913" s="504"/>
      <c r="D913" s="504"/>
      <c r="E913" s="506"/>
      <c r="F913" s="506"/>
      <c r="G913" s="506"/>
      <c r="H913" s="506"/>
      <c r="I913" s="506"/>
      <c r="J913" s="506"/>
      <c r="K913" s="507"/>
      <c r="L913" s="508"/>
      <c r="M913" s="508"/>
      <c r="N913" s="508"/>
      <c r="O913" s="509"/>
      <c r="P913" s="509"/>
    </row>
    <row r="914" spans="1:16" ht="21.75" customHeight="1" x14ac:dyDescent="0.3">
      <c r="A914" s="504"/>
      <c r="B914" s="504"/>
      <c r="C914" s="504"/>
      <c r="D914" s="504"/>
      <c r="E914" s="506"/>
      <c r="F914" s="506"/>
      <c r="G914" s="506"/>
      <c r="H914" s="506"/>
      <c r="I914" s="506"/>
      <c r="J914" s="506"/>
      <c r="K914" s="507"/>
      <c r="L914" s="508"/>
      <c r="M914" s="508"/>
      <c r="N914" s="508"/>
      <c r="O914" s="509"/>
      <c r="P914" s="509"/>
    </row>
    <row r="915" spans="1:16" ht="21.75" customHeight="1" x14ac:dyDescent="0.3">
      <c r="A915" s="504"/>
      <c r="B915" s="504"/>
      <c r="C915" s="504"/>
      <c r="D915" s="504"/>
      <c r="E915" s="506"/>
      <c r="F915" s="506"/>
      <c r="G915" s="506"/>
      <c r="H915" s="506"/>
      <c r="I915" s="506"/>
      <c r="J915" s="506"/>
      <c r="K915" s="507"/>
      <c r="L915" s="508"/>
      <c r="M915" s="508"/>
      <c r="N915" s="508"/>
      <c r="O915" s="509"/>
      <c r="P915" s="509"/>
    </row>
    <row r="916" spans="1:16" ht="21.75" customHeight="1" x14ac:dyDescent="0.3">
      <c r="A916" s="504"/>
      <c r="B916" s="504"/>
      <c r="C916" s="504"/>
      <c r="D916" s="504"/>
      <c r="E916" s="506"/>
      <c r="F916" s="506"/>
      <c r="G916" s="506"/>
      <c r="H916" s="506"/>
      <c r="I916" s="506"/>
      <c r="J916" s="506"/>
      <c r="K916" s="507"/>
      <c r="L916" s="508"/>
      <c r="M916" s="508"/>
      <c r="N916" s="508"/>
      <c r="O916" s="509"/>
      <c r="P916" s="509"/>
    </row>
    <row r="917" spans="1:16" ht="21.75" customHeight="1" x14ac:dyDescent="0.3">
      <c r="A917" s="504"/>
      <c r="B917" s="504"/>
      <c r="C917" s="504"/>
      <c r="D917" s="504"/>
      <c r="E917" s="506"/>
      <c r="F917" s="506"/>
      <c r="G917" s="506"/>
      <c r="H917" s="506"/>
      <c r="I917" s="506"/>
      <c r="J917" s="506"/>
      <c r="K917" s="507"/>
      <c r="L917" s="508"/>
      <c r="M917" s="508"/>
      <c r="N917" s="508"/>
      <c r="O917" s="509"/>
      <c r="P917" s="509"/>
    </row>
    <row r="918" spans="1:16" ht="21.75" customHeight="1" x14ac:dyDescent="0.3">
      <c r="A918" s="504"/>
      <c r="B918" s="504"/>
      <c r="C918" s="504"/>
      <c r="D918" s="504"/>
      <c r="E918" s="506"/>
      <c r="F918" s="506"/>
      <c r="G918" s="506"/>
      <c r="H918" s="506"/>
      <c r="I918" s="506"/>
      <c r="J918" s="506"/>
      <c r="K918" s="507"/>
      <c r="L918" s="508"/>
      <c r="M918" s="508"/>
      <c r="N918" s="508"/>
      <c r="O918" s="509"/>
      <c r="P918" s="509"/>
    </row>
    <row r="919" spans="1:16" ht="21.75" customHeight="1" x14ac:dyDescent="0.3">
      <c r="A919" s="504"/>
      <c r="B919" s="504"/>
      <c r="C919" s="504"/>
      <c r="D919" s="504"/>
      <c r="E919" s="506"/>
      <c r="F919" s="506"/>
      <c r="G919" s="506"/>
      <c r="H919" s="506"/>
      <c r="I919" s="506"/>
      <c r="J919" s="506"/>
      <c r="K919" s="507"/>
      <c r="L919" s="508"/>
      <c r="M919" s="508"/>
      <c r="N919" s="508"/>
      <c r="O919" s="509"/>
      <c r="P919" s="509"/>
    </row>
    <row r="920" spans="1:16" ht="21.75" customHeight="1" x14ac:dyDescent="0.3">
      <c r="A920" s="504"/>
      <c r="B920" s="504"/>
      <c r="C920" s="504"/>
      <c r="D920" s="504"/>
      <c r="E920" s="506"/>
      <c r="F920" s="506"/>
      <c r="G920" s="506"/>
      <c r="H920" s="506"/>
      <c r="I920" s="506"/>
      <c r="J920" s="506"/>
      <c r="K920" s="507"/>
      <c r="L920" s="508"/>
      <c r="M920" s="508"/>
      <c r="N920" s="508"/>
      <c r="O920" s="509"/>
      <c r="P920" s="509"/>
    </row>
    <row r="921" spans="1:16" ht="21.75" customHeight="1" x14ac:dyDescent="0.3">
      <c r="A921" s="504"/>
      <c r="B921" s="504"/>
      <c r="C921" s="504"/>
      <c r="D921" s="504"/>
      <c r="E921" s="506"/>
      <c r="F921" s="506"/>
      <c r="G921" s="506"/>
      <c r="H921" s="506"/>
      <c r="I921" s="506"/>
      <c r="J921" s="506"/>
      <c r="K921" s="507"/>
      <c r="L921" s="508"/>
      <c r="M921" s="508"/>
      <c r="N921" s="508"/>
      <c r="O921" s="509"/>
      <c r="P921" s="509"/>
    </row>
    <row r="922" spans="1:16" ht="21.75" customHeight="1" x14ac:dyDescent="0.3">
      <c r="A922" s="504"/>
      <c r="B922" s="504"/>
      <c r="C922" s="504"/>
      <c r="D922" s="504"/>
      <c r="E922" s="506"/>
      <c r="F922" s="506"/>
      <c r="G922" s="506"/>
      <c r="H922" s="506"/>
      <c r="I922" s="506"/>
      <c r="J922" s="506"/>
      <c r="K922" s="507"/>
      <c r="L922" s="508"/>
      <c r="M922" s="508"/>
      <c r="N922" s="508"/>
      <c r="O922" s="509"/>
      <c r="P922" s="509"/>
    </row>
    <row r="923" spans="1:16" ht="21.75" customHeight="1" x14ac:dyDescent="0.3">
      <c r="A923" s="504"/>
      <c r="B923" s="504"/>
      <c r="C923" s="504"/>
      <c r="D923" s="504"/>
      <c r="E923" s="506"/>
      <c r="F923" s="506"/>
      <c r="G923" s="506"/>
      <c r="H923" s="506"/>
      <c r="I923" s="506"/>
      <c r="J923" s="506"/>
      <c r="K923" s="507"/>
      <c r="L923" s="508"/>
      <c r="M923" s="508"/>
      <c r="N923" s="508"/>
      <c r="O923" s="509"/>
      <c r="P923" s="509"/>
    </row>
    <row r="924" spans="1:16" ht="21.75" customHeight="1" x14ac:dyDescent="0.3">
      <c r="A924" s="504"/>
      <c r="B924" s="504"/>
      <c r="C924" s="504"/>
      <c r="D924" s="504"/>
      <c r="E924" s="506"/>
      <c r="F924" s="506"/>
      <c r="G924" s="506"/>
      <c r="H924" s="506"/>
      <c r="I924" s="506"/>
      <c r="J924" s="506"/>
      <c r="K924" s="507"/>
      <c r="L924" s="508"/>
      <c r="M924" s="508"/>
      <c r="N924" s="508"/>
      <c r="O924" s="509"/>
      <c r="P924" s="509"/>
    </row>
    <row r="925" spans="1:16" ht="21.75" customHeight="1" x14ac:dyDescent="0.3">
      <c r="A925" s="504"/>
      <c r="B925" s="504"/>
      <c r="C925" s="504"/>
      <c r="D925" s="504"/>
      <c r="E925" s="506"/>
      <c r="F925" s="506"/>
      <c r="G925" s="506"/>
      <c r="H925" s="506"/>
      <c r="I925" s="506"/>
      <c r="J925" s="506"/>
      <c r="K925" s="507"/>
      <c r="L925" s="508"/>
      <c r="M925" s="508"/>
      <c r="N925" s="508"/>
      <c r="O925" s="509"/>
      <c r="P925" s="509"/>
    </row>
    <row r="926" spans="1:16" ht="21.75" customHeight="1" x14ac:dyDescent="0.3">
      <c r="A926" s="504"/>
      <c r="B926" s="504"/>
      <c r="C926" s="504"/>
      <c r="D926" s="504"/>
      <c r="E926" s="506"/>
      <c r="F926" s="506"/>
      <c r="G926" s="506"/>
      <c r="H926" s="506"/>
      <c r="I926" s="506"/>
      <c r="J926" s="506"/>
      <c r="K926" s="507"/>
      <c r="L926" s="508"/>
      <c r="M926" s="508"/>
      <c r="N926" s="508"/>
      <c r="O926" s="509"/>
      <c r="P926" s="509"/>
    </row>
    <row r="927" spans="1:16" ht="21.75" customHeight="1" x14ac:dyDescent="0.3">
      <c r="A927" s="504"/>
      <c r="B927" s="504"/>
      <c r="C927" s="504"/>
      <c r="D927" s="504"/>
      <c r="E927" s="506"/>
      <c r="F927" s="506"/>
      <c r="G927" s="506"/>
      <c r="H927" s="506"/>
      <c r="I927" s="506"/>
      <c r="J927" s="506"/>
      <c r="K927" s="507"/>
      <c r="L927" s="508"/>
      <c r="M927" s="508"/>
      <c r="N927" s="508"/>
      <c r="O927" s="509"/>
      <c r="P927" s="509"/>
    </row>
    <row r="928" spans="1:16" ht="21.75" customHeight="1" x14ac:dyDescent="0.3">
      <c r="A928" s="504"/>
      <c r="B928" s="504"/>
      <c r="C928" s="504"/>
      <c r="D928" s="504"/>
      <c r="E928" s="506"/>
      <c r="F928" s="506"/>
      <c r="G928" s="506"/>
      <c r="H928" s="506"/>
      <c r="I928" s="506"/>
      <c r="J928" s="506"/>
      <c r="K928" s="507"/>
      <c r="L928" s="508"/>
      <c r="M928" s="508"/>
      <c r="N928" s="508"/>
      <c r="O928" s="509"/>
      <c r="P928" s="509"/>
    </row>
    <row r="929" spans="1:16" ht="21.75" customHeight="1" x14ac:dyDescent="0.3">
      <c r="A929" s="504"/>
      <c r="B929" s="504"/>
      <c r="C929" s="504"/>
      <c r="D929" s="504"/>
      <c r="E929" s="506"/>
      <c r="F929" s="506"/>
      <c r="G929" s="506"/>
      <c r="H929" s="506"/>
      <c r="I929" s="506"/>
      <c r="J929" s="506"/>
      <c r="K929" s="507"/>
      <c r="L929" s="508"/>
      <c r="M929" s="508"/>
      <c r="N929" s="508"/>
      <c r="O929" s="509"/>
      <c r="P929" s="509"/>
    </row>
    <row r="930" spans="1:16" ht="21.75" customHeight="1" x14ac:dyDescent="0.3">
      <c r="A930" s="504"/>
      <c r="B930" s="504"/>
      <c r="C930" s="504"/>
      <c r="D930" s="504"/>
      <c r="E930" s="506"/>
      <c r="F930" s="506"/>
      <c r="G930" s="506"/>
      <c r="H930" s="506"/>
      <c r="I930" s="506"/>
      <c r="J930" s="506"/>
      <c r="K930" s="507"/>
      <c r="L930" s="508"/>
      <c r="M930" s="508"/>
      <c r="N930" s="508"/>
      <c r="O930" s="509"/>
      <c r="P930" s="509"/>
    </row>
    <row r="931" spans="1:16" ht="21.75" customHeight="1" x14ac:dyDescent="0.3">
      <c r="A931" s="504"/>
      <c r="B931" s="504"/>
      <c r="C931" s="504"/>
      <c r="D931" s="504"/>
      <c r="E931" s="506"/>
      <c r="F931" s="506"/>
      <c r="G931" s="506"/>
      <c r="H931" s="506"/>
      <c r="I931" s="506"/>
      <c r="J931" s="506"/>
      <c r="K931" s="507"/>
      <c r="L931" s="508"/>
      <c r="M931" s="508"/>
      <c r="N931" s="508"/>
      <c r="O931" s="509"/>
      <c r="P931" s="509"/>
    </row>
    <row r="932" spans="1:16" ht="21.75" customHeight="1" x14ac:dyDescent="0.3">
      <c r="A932" s="504"/>
      <c r="B932" s="504"/>
      <c r="C932" s="504"/>
      <c r="D932" s="504"/>
      <c r="E932" s="506"/>
      <c r="F932" s="506"/>
      <c r="G932" s="506"/>
      <c r="H932" s="506"/>
      <c r="I932" s="506"/>
      <c r="J932" s="506"/>
      <c r="K932" s="507"/>
      <c r="L932" s="508"/>
      <c r="M932" s="508"/>
      <c r="N932" s="508"/>
      <c r="O932" s="509"/>
      <c r="P932" s="509"/>
    </row>
    <row r="933" spans="1:16" ht="21.75" customHeight="1" x14ac:dyDescent="0.3">
      <c r="A933" s="504"/>
      <c r="B933" s="504"/>
      <c r="C933" s="504"/>
      <c r="D933" s="504"/>
      <c r="E933" s="506"/>
      <c r="F933" s="506"/>
      <c r="G933" s="506"/>
      <c r="H933" s="506"/>
      <c r="I933" s="506"/>
      <c r="J933" s="506"/>
      <c r="K933" s="507"/>
      <c r="L933" s="508"/>
      <c r="M933" s="508"/>
      <c r="N933" s="508"/>
      <c r="O933" s="509"/>
      <c r="P933" s="509"/>
    </row>
    <row r="934" spans="1:16" ht="21.75" customHeight="1" x14ac:dyDescent="0.3">
      <c r="A934" s="504"/>
      <c r="B934" s="504"/>
      <c r="C934" s="504"/>
      <c r="D934" s="504"/>
      <c r="E934" s="506"/>
      <c r="F934" s="506"/>
      <c r="G934" s="506"/>
      <c r="H934" s="506"/>
      <c r="I934" s="506"/>
      <c r="J934" s="506"/>
      <c r="K934" s="507"/>
      <c r="L934" s="508"/>
      <c r="M934" s="508"/>
      <c r="N934" s="508"/>
      <c r="O934" s="509"/>
      <c r="P934" s="509"/>
    </row>
    <row r="935" spans="1:16" ht="21.75" customHeight="1" x14ac:dyDescent="0.3">
      <c r="A935" s="504"/>
      <c r="B935" s="504"/>
      <c r="C935" s="504"/>
      <c r="D935" s="504"/>
      <c r="E935" s="506"/>
      <c r="F935" s="506"/>
      <c r="G935" s="506"/>
      <c r="H935" s="506"/>
      <c r="I935" s="506"/>
      <c r="J935" s="506"/>
      <c r="K935" s="507"/>
      <c r="L935" s="508"/>
      <c r="M935" s="508"/>
      <c r="N935" s="508"/>
      <c r="O935" s="509"/>
      <c r="P935" s="509"/>
    </row>
    <row r="936" spans="1:16" ht="21.75" customHeight="1" x14ac:dyDescent="0.3">
      <c r="A936" s="504"/>
      <c r="B936" s="504"/>
      <c r="C936" s="504"/>
      <c r="D936" s="504"/>
      <c r="E936" s="506"/>
      <c r="F936" s="506"/>
      <c r="G936" s="506"/>
      <c r="H936" s="506"/>
      <c r="I936" s="506"/>
      <c r="J936" s="506"/>
      <c r="K936" s="507"/>
      <c r="L936" s="508"/>
      <c r="M936" s="508"/>
      <c r="N936" s="508"/>
      <c r="O936" s="509"/>
      <c r="P936" s="509"/>
    </row>
    <row r="937" spans="1:16" ht="21.75" customHeight="1" x14ac:dyDescent="0.3">
      <c r="A937" s="504"/>
      <c r="B937" s="504"/>
      <c r="C937" s="504"/>
      <c r="D937" s="504"/>
      <c r="E937" s="506"/>
      <c r="F937" s="506"/>
      <c r="G937" s="506"/>
      <c r="H937" s="506"/>
      <c r="I937" s="506"/>
      <c r="J937" s="506"/>
      <c r="K937" s="507"/>
      <c r="L937" s="508"/>
      <c r="M937" s="508"/>
      <c r="N937" s="508"/>
      <c r="O937" s="509"/>
      <c r="P937" s="509"/>
    </row>
    <row r="938" spans="1:16" ht="21.75" customHeight="1" x14ac:dyDescent="0.3">
      <c r="A938" s="504"/>
      <c r="B938" s="504"/>
      <c r="C938" s="504"/>
      <c r="D938" s="504"/>
      <c r="E938" s="506"/>
      <c r="F938" s="506"/>
      <c r="G938" s="506"/>
      <c r="H938" s="506"/>
      <c r="I938" s="506"/>
      <c r="J938" s="506"/>
      <c r="K938" s="507"/>
      <c r="L938" s="508"/>
      <c r="M938" s="508"/>
      <c r="N938" s="508"/>
      <c r="O938" s="509"/>
      <c r="P938" s="509"/>
    </row>
    <row r="939" spans="1:16" ht="21.75" customHeight="1" x14ac:dyDescent="0.3">
      <c r="A939" s="504"/>
      <c r="B939" s="504"/>
      <c r="C939" s="504"/>
      <c r="D939" s="504"/>
      <c r="E939" s="506"/>
      <c r="F939" s="506"/>
      <c r="G939" s="506"/>
      <c r="H939" s="506"/>
      <c r="I939" s="506"/>
      <c r="J939" s="506"/>
      <c r="K939" s="507"/>
      <c r="L939" s="508"/>
      <c r="M939" s="508"/>
      <c r="N939" s="508"/>
      <c r="O939" s="509"/>
      <c r="P939" s="509"/>
    </row>
    <row r="940" spans="1:16" ht="21.75" customHeight="1" x14ac:dyDescent="0.3">
      <c r="A940" s="504"/>
      <c r="B940" s="504"/>
      <c r="C940" s="504"/>
      <c r="D940" s="504"/>
      <c r="E940" s="506"/>
      <c r="F940" s="506"/>
      <c r="G940" s="506"/>
      <c r="H940" s="506"/>
      <c r="I940" s="506"/>
      <c r="J940" s="506"/>
      <c r="K940" s="507"/>
      <c r="L940" s="508"/>
      <c r="M940" s="508"/>
      <c r="N940" s="508"/>
      <c r="O940" s="509"/>
      <c r="P940" s="509"/>
    </row>
    <row r="941" spans="1:16" ht="21.75" customHeight="1" x14ac:dyDescent="0.3">
      <c r="A941" s="504"/>
      <c r="B941" s="504"/>
      <c r="C941" s="504"/>
      <c r="D941" s="504"/>
      <c r="E941" s="506"/>
      <c r="F941" s="506"/>
      <c r="G941" s="506"/>
      <c r="H941" s="506"/>
      <c r="I941" s="506"/>
      <c r="J941" s="506"/>
      <c r="K941" s="507"/>
      <c r="L941" s="508"/>
      <c r="M941" s="508"/>
      <c r="N941" s="508"/>
      <c r="O941" s="509"/>
      <c r="P941" s="509"/>
    </row>
    <row r="942" spans="1:16" ht="21.75" customHeight="1" x14ac:dyDescent="0.3">
      <c r="A942" s="504"/>
      <c r="B942" s="504"/>
      <c r="C942" s="504"/>
      <c r="D942" s="504"/>
      <c r="E942" s="506"/>
      <c r="F942" s="506"/>
      <c r="G942" s="506"/>
      <c r="H942" s="506"/>
      <c r="I942" s="506"/>
      <c r="J942" s="506"/>
      <c r="K942" s="507"/>
      <c r="L942" s="508"/>
      <c r="M942" s="508"/>
      <c r="N942" s="508"/>
      <c r="O942" s="509"/>
      <c r="P942" s="509"/>
    </row>
    <row r="943" spans="1:16" ht="21.75" customHeight="1" x14ac:dyDescent="0.3">
      <c r="A943" s="504"/>
      <c r="B943" s="504"/>
      <c r="C943" s="504"/>
      <c r="D943" s="504"/>
      <c r="E943" s="506"/>
      <c r="F943" s="506"/>
      <c r="G943" s="506"/>
      <c r="H943" s="506"/>
      <c r="I943" s="506"/>
      <c r="J943" s="506"/>
      <c r="K943" s="507"/>
      <c r="L943" s="508"/>
      <c r="M943" s="508"/>
      <c r="N943" s="508"/>
      <c r="O943" s="509"/>
      <c r="P943" s="509"/>
    </row>
    <row r="944" spans="1:16" ht="21.75" customHeight="1" x14ac:dyDescent="0.3">
      <c r="A944" s="504"/>
      <c r="B944" s="504"/>
      <c r="C944" s="504"/>
      <c r="D944" s="504"/>
      <c r="E944" s="506"/>
      <c r="F944" s="506"/>
      <c r="G944" s="506"/>
      <c r="H944" s="506"/>
      <c r="I944" s="506"/>
      <c r="J944" s="506"/>
      <c r="K944" s="507"/>
      <c r="L944" s="508"/>
      <c r="M944" s="508"/>
      <c r="N944" s="508"/>
      <c r="O944" s="509"/>
      <c r="P944" s="509"/>
    </row>
    <row r="945" spans="1:16" ht="21.75" customHeight="1" x14ac:dyDescent="0.3">
      <c r="A945" s="504"/>
      <c r="B945" s="504"/>
      <c r="C945" s="504"/>
      <c r="D945" s="504"/>
      <c r="E945" s="506"/>
      <c r="F945" s="506"/>
      <c r="G945" s="506"/>
      <c r="H945" s="506"/>
      <c r="I945" s="506"/>
      <c r="J945" s="506"/>
      <c r="K945" s="507"/>
      <c r="L945" s="508"/>
      <c r="M945" s="508"/>
      <c r="N945" s="508"/>
      <c r="O945" s="509"/>
      <c r="P945" s="509"/>
    </row>
    <row r="946" spans="1:16" ht="21.75" customHeight="1" x14ac:dyDescent="0.3">
      <c r="A946" s="504"/>
      <c r="B946" s="504"/>
      <c r="C946" s="504"/>
      <c r="D946" s="504"/>
      <c r="E946" s="506"/>
      <c r="F946" s="506"/>
      <c r="G946" s="506"/>
      <c r="H946" s="506"/>
      <c r="I946" s="506"/>
      <c r="J946" s="506"/>
      <c r="K946" s="507"/>
      <c r="L946" s="508"/>
      <c r="M946" s="508"/>
      <c r="N946" s="508"/>
      <c r="O946" s="509"/>
      <c r="P946" s="509"/>
    </row>
    <row r="947" spans="1:16" ht="21.75" customHeight="1" x14ac:dyDescent="0.3">
      <c r="A947" s="504"/>
      <c r="B947" s="504"/>
      <c r="C947" s="504"/>
      <c r="D947" s="504"/>
      <c r="E947" s="506"/>
      <c r="F947" s="506"/>
      <c r="G947" s="506"/>
      <c r="H947" s="506"/>
      <c r="I947" s="506"/>
      <c r="J947" s="506"/>
      <c r="K947" s="507"/>
      <c r="L947" s="508"/>
      <c r="M947" s="508"/>
      <c r="N947" s="508"/>
      <c r="O947" s="509"/>
      <c r="P947" s="509"/>
    </row>
    <row r="948" spans="1:16" ht="21.75" customHeight="1" x14ac:dyDescent="0.3">
      <c r="A948" s="504"/>
      <c r="B948" s="504"/>
      <c r="C948" s="504"/>
      <c r="D948" s="504"/>
      <c r="E948" s="506"/>
      <c r="F948" s="506"/>
      <c r="G948" s="506"/>
      <c r="H948" s="506"/>
      <c r="I948" s="506"/>
      <c r="J948" s="506"/>
      <c r="K948" s="507"/>
      <c r="L948" s="508"/>
      <c r="M948" s="508"/>
      <c r="N948" s="508"/>
      <c r="O948" s="509"/>
      <c r="P948" s="509"/>
    </row>
    <row r="949" spans="1:16" ht="21.75" customHeight="1" x14ac:dyDescent="0.3">
      <c r="A949" s="504"/>
      <c r="B949" s="504"/>
      <c r="C949" s="504"/>
      <c r="D949" s="504"/>
      <c r="E949" s="506"/>
      <c r="F949" s="506"/>
      <c r="G949" s="506"/>
      <c r="H949" s="506"/>
      <c r="I949" s="506"/>
      <c r="J949" s="506"/>
      <c r="K949" s="507"/>
      <c r="L949" s="508"/>
      <c r="M949" s="508"/>
      <c r="N949" s="508"/>
      <c r="O949" s="509"/>
      <c r="P949" s="509"/>
    </row>
    <row r="950" spans="1:16" ht="21.75" customHeight="1" x14ac:dyDescent="0.3">
      <c r="A950" s="504"/>
      <c r="B950" s="504"/>
      <c r="C950" s="504"/>
      <c r="D950" s="504"/>
      <c r="E950" s="506"/>
      <c r="F950" s="506"/>
      <c r="G950" s="506"/>
      <c r="H950" s="506"/>
      <c r="I950" s="506"/>
      <c r="J950" s="506"/>
      <c r="K950" s="507"/>
      <c r="L950" s="508"/>
      <c r="M950" s="508"/>
      <c r="N950" s="508"/>
      <c r="O950" s="509"/>
      <c r="P950" s="509"/>
    </row>
    <row r="951" spans="1:16" ht="21.75" customHeight="1" x14ac:dyDescent="0.3">
      <c r="A951" s="504"/>
      <c r="B951" s="504"/>
      <c r="C951" s="504"/>
      <c r="D951" s="504"/>
      <c r="E951" s="506"/>
      <c r="F951" s="506"/>
      <c r="G951" s="506"/>
      <c r="H951" s="506"/>
      <c r="I951" s="506"/>
      <c r="J951" s="506"/>
      <c r="K951" s="507"/>
      <c r="L951" s="508"/>
      <c r="M951" s="508"/>
      <c r="N951" s="508"/>
      <c r="O951" s="509"/>
      <c r="P951" s="509"/>
    </row>
    <row r="952" spans="1:16" ht="21.75" customHeight="1" x14ac:dyDescent="0.3">
      <c r="A952" s="504"/>
      <c r="B952" s="504"/>
      <c r="C952" s="504"/>
      <c r="D952" s="504"/>
      <c r="E952" s="506"/>
      <c r="F952" s="506"/>
      <c r="G952" s="506"/>
      <c r="H952" s="506"/>
      <c r="I952" s="506"/>
      <c r="J952" s="506"/>
      <c r="K952" s="507"/>
      <c r="L952" s="508"/>
      <c r="M952" s="508"/>
      <c r="N952" s="508"/>
      <c r="O952" s="509"/>
      <c r="P952" s="509"/>
    </row>
    <row r="953" spans="1:16" ht="21.75" customHeight="1" x14ac:dyDescent="0.3">
      <c r="A953" s="504"/>
      <c r="B953" s="504"/>
      <c r="C953" s="504"/>
      <c r="D953" s="504"/>
      <c r="E953" s="506"/>
      <c r="F953" s="506"/>
      <c r="G953" s="506"/>
      <c r="H953" s="506"/>
      <c r="I953" s="506"/>
      <c r="J953" s="506"/>
      <c r="K953" s="507"/>
      <c r="L953" s="508"/>
      <c r="M953" s="508"/>
      <c r="N953" s="508"/>
      <c r="O953" s="509"/>
      <c r="P953" s="509"/>
    </row>
    <row r="954" spans="1:16" ht="21.75" customHeight="1" x14ac:dyDescent="0.3">
      <c r="A954" s="504"/>
      <c r="B954" s="504"/>
      <c r="C954" s="504"/>
      <c r="D954" s="504"/>
      <c r="E954" s="506"/>
      <c r="F954" s="506"/>
      <c r="G954" s="506"/>
      <c r="H954" s="506"/>
      <c r="I954" s="506"/>
      <c r="J954" s="506"/>
      <c r="K954" s="507"/>
      <c r="L954" s="508"/>
      <c r="M954" s="508"/>
      <c r="N954" s="508"/>
      <c r="O954" s="509"/>
      <c r="P954" s="509"/>
    </row>
    <row r="955" spans="1:16" ht="21.75" customHeight="1" x14ac:dyDescent="0.3">
      <c r="A955" s="504"/>
      <c r="B955" s="504"/>
      <c r="C955" s="504"/>
      <c r="D955" s="504"/>
      <c r="E955" s="506"/>
      <c r="F955" s="506"/>
      <c r="G955" s="506"/>
      <c r="H955" s="506"/>
      <c r="I955" s="506"/>
      <c r="J955" s="506"/>
      <c r="K955" s="507"/>
      <c r="L955" s="508"/>
      <c r="M955" s="508"/>
      <c r="N955" s="508"/>
      <c r="O955" s="509"/>
      <c r="P955" s="509"/>
    </row>
    <row r="956" spans="1:16" ht="21.75" customHeight="1" x14ac:dyDescent="0.3">
      <c r="A956" s="504"/>
      <c r="B956" s="504"/>
      <c r="C956" s="504"/>
      <c r="D956" s="504"/>
      <c r="E956" s="506"/>
      <c r="F956" s="506"/>
      <c r="G956" s="506"/>
      <c r="H956" s="506"/>
      <c r="I956" s="506"/>
      <c r="J956" s="506"/>
      <c r="K956" s="507"/>
      <c r="L956" s="508"/>
      <c r="M956" s="508"/>
      <c r="N956" s="508"/>
      <c r="O956" s="509"/>
      <c r="P956" s="509"/>
    </row>
    <row r="957" spans="1:16" ht="21.75" customHeight="1" x14ac:dyDescent="0.3">
      <c r="A957" s="504"/>
      <c r="B957" s="504"/>
      <c r="C957" s="504"/>
      <c r="D957" s="504"/>
      <c r="E957" s="506"/>
      <c r="F957" s="506"/>
      <c r="G957" s="506"/>
      <c r="H957" s="506"/>
      <c r="I957" s="506"/>
      <c r="J957" s="506"/>
      <c r="K957" s="507"/>
      <c r="L957" s="508"/>
      <c r="M957" s="508"/>
      <c r="N957" s="508"/>
      <c r="O957" s="509"/>
      <c r="P957" s="509"/>
    </row>
    <row r="958" spans="1:16" ht="21.75" customHeight="1" x14ac:dyDescent="0.3">
      <c r="A958" s="504"/>
      <c r="B958" s="504"/>
      <c r="C958" s="504"/>
      <c r="D958" s="504"/>
      <c r="E958" s="506"/>
      <c r="F958" s="506"/>
      <c r="G958" s="506"/>
      <c r="H958" s="506"/>
      <c r="I958" s="506"/>
      <c r="J958" s="506"/>
      <c r="K958" s="507"/>
      <c r="L958" s="508"/>
      <c r="M958" s="508"/>
      <c r="N958" s="508"/>
      <c r="O958" s="509"/>
      <c r="P958" s="509"/>
    </row>
    <row r="959" spans="1:16" ht="21.75" customHeight="1" x14ac:dyDescent="0.3">
      <c r="A959" s="504"/>
      <c r="B959" s="504"/>
      <c r="C959" s="504"/>
      <c r="D959" s="504"/>
      <c r="E959" s="506"/>
      <c r="F959" s="506"/>
      <c r="G959" s="506"/>
      <c r="H959" s="506"/>
      <c r="I959" s="506"/>
      <c r="J959" s="506"/>
      <c r="K959" s="507"/>
      <c r="L959" s="508"/>
      <c r="M959" s="508"/>
      <c r="N959" s="508"/>
      <c r="O959" s="509"/>
      <c r="P959" s="509"/>
    </row>
    <row r="960" spans="1:16" ht="21.75" customHeight="1" x14ac:dyDescent="0.3">
      <c r="A960" s="504"/>
      <c r="B960" s="504"/>
      <c r="C960" s="504"/>
      <c r="D960" s="504"/>
      <c r="E960" s="506"/>
      <c r="F960" s="506"/>
      <c r="G960" s="506"/>
      <c r="H960" s="506"/>
      <c r="I960" s="506"/>
      <c r="J960" s="506"/>
      <c r="K960" s="507"/>
      <c r="L960" s="508"/>
      <c r="M960" s="508"/>
      <c r="N960" s="508"/>
      <c r="O960" s="509"/>
      <c r="P960" s="509"/>
    </row>
    <row r="961" spans="1:16" ht="21.75" customHeight="1" x14ac:dyDescent="0.3">
      <c r="A961" s="504"/>
      <c r="B961" s="504"/>
      <c r="C961" s="504"/>
      <c r="D961" s="504"/>
      <c r="E961" s="506"/>
      <c r="F961" s="506"/>
      <c r="G961" s="506"/>
      <c r="H961" s="506"/>
      <c r="I961" s="506"/>
      <c r="J961" s="506"/>
      <c r="K961" s="507"/>
      <c r="L961" s="508"/>
      <c r="M961" s="508"/>
      <c r="N961" s="508"/>
      <c r="O961" s="509"/>
      <c r="P961" s="509"/>
    </row>
    <row r="962" spans="1:16" ht="21.75" customHeight="1" x14ac:dyDescent="0.3">
      <c r="A962" s="504"/>
      <c r="B962" s="504"/>
      <c r="C962" s="504"/>
      <c r="D962" s="504"/>
      <c r="E962" s="506"/>
      <c r="F962" s="506"/>
      <c r="G962" s="506"/>
      <c r="H962" s="506"/>
      <c r="I962" s="506"/>
      <c r="J962" s="506"/>
      <c r="K962" s="507"/>
      <c r="L962" s="508"/>
      <c r="M962" s="508"/>
      <c r="N962" s="508"/>
      <c r="O962" s="509"/>
      <c r="P962" s="509"/>
    </row>
    <row r="963" spans="1:16" ht="21.75" customHeight="1" x14ac:dyDescent="0.3">
      <c r="A963" s="504"/>
      <c r="B963" s="504"/>
      <c r="C963" s="504"/>
      <c r="D963" s="504"/>
      <c r="E963" s="506"/>
      <c r="F963" s="506"/>
      <c r="G963" s="506"/>
      <c r="H963" s="506"/>
      <c r="I963" s="506"/>
      <c r="J963" s="506"/>
      <c r="K963" s="507"/>
      <c r="L963" s="508"/>
      <c r="M963" s="508"/>
      <c r="N963" s="508"/>
      <c r="O963" s="509"/>
      <c r="P963" s="509"/>
    </row>
    <row r="964" spans="1:16" ht="21.75" customHeight="1" x14ac:dyDescent="0.3">
      <c r="A964" s="504"/>
      <c r="B964" s="504"/>
      <c r="C964" s="504"/>
      <c r="D964" s="504"/>
      <c r="E964" s="506"/>
      <c r="F964" s="506"/>
      <c r="G964" s="506"/>
      <c r="H964" s="506"/>
      <c r="I964" s="506"/>
      <c r="J964" s="506"/>
      <c r="K964" s="507"/>
      <c r="L964" s="508"/>
      <c r="M964" s="508"/>
      <c r="N964" s="508"/>
      <c r="O964" s="509"/>
      <c r="P964" s="509"/>
    </row>
    <row r="965" spans="1:16" ht="21.75" customHeight="1" x14ac:dyDescent="0.3">
      <c r="A965" s="504"/>
      <c r="B965" s="504"/>
      <c r="C965" s="504"/>
      <c r="D965" s="504"/>
      <c r="E965" s="506"/>
      <c r="F965" s="506"/>
      <c r="G965" s="506"/>
      <c r="H965" s="506"/>
      <c r="I965" s="506"/>
      <c r="J965" s="506"/>
      <c r="K965" s="507"/>
      <c r="L965" s="508"/>
      <c r="M965" s="508"/>
      <c r="N965" s="508"/>
      <c r="O965" s="509"/>
      <c r="P965" s="509"/>
    </row>
    <row r="966" spans="1:16" ht="21.75" customHeight="1" x14ac:dyDescent="0.3">
      <c r="A966" s="504"/>
      <c r="B966" s="504"/>
      <c r="C966" s="504"/>
      <c r="D966" s="504"/>
      <c r="E966" s="506"/>
      <c r="F966" s="506"/>
      <c r="G966" s="506"/>
      <c r="H966" s="506"/>
      <c r="I966" s="506"/>
      <c r="J966" s="506"/>
      <c r="K966" s="507"/>
      <c r="L966" s="508"/>
      <c r="M966" s="508"/>
      <c r="N966" s="508"/>
      <c r="O966" s="509"/>
      <c r="P966" s="509"/>
    </row>
    <row r="967" spans="1:16" ht="21.75" customHeight="1" x14ac:dyDescent="0.3">
      <c r="A967" s="504"/>
      <c r="B967" s="504"/>
      <c r="C967" s="504"/>
      <c r="D967" s="504"/>
      <c r="E967" s="506"/>
      <c r="F967" s="506"/>
      <c r="G967" s="506"/>
      <c r="H967" s="506"/>
      <c r="I967" s="506"/>
      <c r="J967" s="506"/>
      <c r="K967" s="507"/>
      <c r="L967" s="508"/>
      <c r="M967" s="508"/>
      <c r="N967" s="508"/>
      <c r="O967" s="509"/>
      <c r="P967" s="509"/>
    </row>
    <row r="968" spans="1:16" ht="21.75" customHeight="1" x14ac:dyDescent="0.3">
      <c r="A968" s="504"/>
      <c r="B968" s="504"/>
      <c r="C968" s="504"/>
      <c r="D968" s="504"/>
      <c r="E968" s="506"/>
      <c r="F968" s="506"/>
      <c r="G968" s="506"/>
      <c r="H968" s="506"/>
      <c r="I968" s="506"/>
      <c r="J968" s="506"/>
      <c r="K968" s="507"/>
      <c r="L968" s="508"/>
      <c r="M968" s="508"/>
      <c r="N968" s="508"/>
      <c r="O968" s="509"/>
      <c r="P968" s="509"/>
    </row>
    <row r="969" spans="1:16" ht="21.75" customHeight="1" x14ac:dyDescent="0.3">
      <c r="A969" s="504"/>
      <c r="B969" s="504"/>
      <c r="C969" s="504"/>
      <c r="D969" s="504"/>
      <c r="E969" s="506"/>
      <c r="F969" s="506"/>
      <c r="G969" s="506"/>
      <c r="H969" s="506"/>
      <c r="I969" s="506"/>
      <c r="J969" s="506"/>
      <c r="K969" s="507"/>
      <c r="L969" s="508"/>
      <c r="M969" s="508"/>
      <c r="N969" s="508"/>
      <c r="O969" s="509"/>
      <c r="P969" s="509"/>
    </row>
    <row r="970" spans="1:16" ht="21.75" customHeight="1" x14ac:dyDescent="0.3">
      <c r="A970" s="504"/>
      <c r="B970" s="504"/>
      <c r="C970" s="504"/>
      <c r="D970" s="504"/>
      <c r="E970" s="506"/>
      <c r="F970" s="506"/>
      <c r="G970" s="506"/>
      <c r="H970" s="506"/>
      <c r="I970" s="506"/>
      <c r="J970" s="506"/>
      <c r="K970" s="507"/>
      <c r="L970" s="508"/>
      <c r="M970" s="508"/>
      <c r="N970" s="508"/>
      <c r="O970" s="509"/>
      <c r="P970" s="509"/>
    </row>
    <row r="971" spans="1:16" ht="21.75" customHeight="1" x14ac:dyDescent="0.3">
      <c r="A971" s="504"/>
      <c r="B971" s="504"/>
      <c r="C971" s="504"/>
      <c r="D971" s="504"/>
      <c r="E971" s="506"/>
      <c r="F971" s="506"/>
      <c r="G971" s="506"/>
      <c r="H971" s="506"/>
      <c r="I971" s="506"/>
      <c r="J971" s="506"/>
      <c r="K971" s="507"/>
      <c r="L971" s="508"/>
      <c r="M971" s="508"/>
      <c r="N971" s="508"/>
      <c r="O971" s="509"/>
      <c r="P971" s="509"/>
    </row>
    <row r="972" spans="1:16" ht="21.75" customHeight="1" x14ac:dyDescent="0.3">
      <c r="A972" s="504"/>
      <c r="B972" s="504"/>
      <c r="C972" s="504"/>
      <c r="D972" s="504"/>
      <c r="E972" s="506"/>
      <c r="F972" s="506"/>
      <c r="G972" s="506"/>
      <c r="H972" s="506"/>
      <c r="I972" s="506"/>
      <c r="J972" s="506"/>
      <c r="K972" s="507"/>
      <c r="L972" s="508"/>
      <c r="M972" s="508"/>
      <c r="N972" s="508"/>
      <c r="O972" s="509"/>
      <c r="P972" s="509"/>
    </row>
    <row r="973" spans="1:16" ht="21.75" customHeight="1" x14ac:dyDescent="0.3">
      <c r="A973" s="504"/>
      <c r="B973" s="504"/>
      <c r="C973" s="504"/>
      <c r="D973" s="504"/>
      <c r="E973" s="506"/>
      <c r="F973" s="506"/>
      <c r="G973" s="506"/>
      <c r="H973" s="506"/>
      <c r="I973" s="506"/>
      <c r="J973" s="506"/>
      <c r="K973" s="507"/>
      <c r="L973" s="508"/>
      <c r="M973" s="508"/>
      <c r="N973" s="508"/>
      <c r="O973" s="509"/>
      <c r="P973" s="509"/>
    </row>
    <row r="974" spans="1:16" ht="21.75" customHeight="1" x14ac:dyDescent="0.3">
      <c r="A974" s="504"/>
      <c r="B974" s="504"/>
      <c r="C974" s="504"/>
      <c r="D974" s="504"/>
      <c r="E974" s="506"/>
      <c r="F974" s="506"/>
      <c r="G974" s="506"/>
      <c r="H974" s="506"/>
      <c r="I974" s="506"/>
      <c r="J974" s="506"/>
      <c r="K974" s="507"/>
      <c r="L974" s="508"/>
      <c r="M974" s="508"/>
      <c r="N974" s="508"/>
      <c r="O974" s="509"/>
      <c r="P974" s="509"/>
    </row>
    <row r="975" spans="1:16" ht="21.75" customHeight="1" x14ac:dyDescent="0.3">
      <c r="A975" s="504"/>
      <c r="B975" s="504"/>
      <c r="C975" s="504"/>
      <c r="D975" s="504"/>
      <c r="E975" s="506"/>
      <c r="F975" s="506"/>
      <c r="G975" s="506"/>
      <c r="H975" s="506"/>
      <c r="I975" s="506"/>
      <c r="J975" s="506"/>
      <c r="K975" s="507"/>
      <c r="L975" s="508"/>
      <c r="M975" s="508"/>
      <c r="N975" s="508"/>
      <c r="O975" s="509"/>
      <c r="P975" s="509"/>
    </row>
    <row r="976" spans="1:16" ht="21.75" customHeight="1" x14ac:dyDescent="0.3">
      <c r="A976" s="504"/>
      <c r="B976" s="504"/>
      <c r="C976" s="504"/>
      <c r="D976" s="504"/>
      <c r="E976" s="506"/>
      <c r="F976" s="506"/>
      <c r="G976" s="506"/>
      <c r="H976" s="506"/>
      <c r="I976" s="506"/>
      <c r="J976" s="506"/>
      <c r="K976" s="507"/>
      <c r="L976" s="508"/>
      <c r="M976" s="508"/>
      <c r="N976" s="508"/>
      <c r="O976" s="509"/>
      <c r="P976" s="509"/>
    </row>
    <row r="977" spans="1:16" ht="21.75" customHeight="1" x14ac:dyDescent="0.3">
      <c r="A977" s="504"/>
      <c r="B977" s="504"/>
      <c r="C977" s="504"/>
      <c r="D977" s="504"/>
      <c r="E977" s="506"/>
      <c r="F977" s="506"/>
      <c r="G977" s="506"/>
      <c r="H977" s="506"/>
      <c r="I977" s="506"/>
      <c r="J977" s="506"/>
      <c r="K977" s="507"/>
      <c r="L977" s="508"/>
      <c r="M977" s="508"/>
      <c r="N977" s="508"/>
      <c r="O977" s="509"/>
      <c r="P977" s="509"/>
    </row>
    <row r="978" spans="1:16" ht="21.75" customHeight="1" x14ac:dyDescent="0.3">
      <c r="A978" s="504"/>
      <c r="B978" s="504"/>
      <c r="C978" s="504"/>
      <c r="D978" s="504"/>
      <c r="E978" s="506"/>
      <c r="F978" s="506"/>
      <c r="G978" s="506"/>
      <c r="H978" s="506"/>
      <c r="I978" s="506"/>
      <c r="J978" s="506"/>
      <c r="K978" s="507"/>
      <c r="L978" s="508"/>
      <c r="M978" s="508"/>
      <c r="N978" s="508"/>
      <c r="O978" s="509"/>
      <c r="P978" s="509"/>
    </row>
    <row r="979" spans="1:16" ht="21.75" customHeight="1" x14ac:dyDescent="0.3">
      <c r="A979" s="504"/>
      <c r="B979" s="504"/>
      <c r="C979" s="504"/>
      <c r="D979" s="504"/>
      <c r="E979" s="506"/>
      <c r="F979" s="506"/>
      <c r="G979" s="506"/>
      <c r="H979" s="506"/>
      <c r="I979" s="506"/>
      <c r="J979" s="506"/>
      <c r="K979" s="507"/>
      <c r="L979" s="508"/>
      <c r="M979" s="508"/>
      <c r="N979" s="508"/>
      <c r="O979" s="509"/>
      <c r="P979" s="509"/>
    </row>
    <row r="980" spans="1:16" ht="21.75" customHeight="1" x14ac:dyDescent="0.3">
      <c r="A980" s="504"/>
      <c r="B980" s="504"/>
      <c r="C980" s="504"/>
      <c r="D980" s="504"/>
      <c r="E980" s="506"/>
      <c r="F980" s="506"/>
      <c r="G980" s="506"/>
      <c r="H980" s="506"/>
      <c r="I980" s="506"/>
      <c r="J980" s="506"/>
      <c r="K980" s="507"/>
      <c r="L980" s="508"/>
      <c r="M980" s="508"/>
      <c r="N980" s="508"/>
      <c r="O980" s="509"/>
      <c r="P980" s="509"/>
    </row>
    <row r="981" spans="1:16" ht="21.75" customHeight="1" x14ac:dyDescent="0.3">
      <c r="A981" s="504"/>
      <c r="B981" s="504"/>
      <c r="C981" s="504"/>
      <c r="D981" s="504"/>
      <c r="E981" s="506"/>
      <c r="F981" s="506"/>
      <c r="G981" s="506"/>
      <c r="H981" s="506"/>
      <c r="I981" s="506"/>
      <c r="J981" s="506"/>
      <c r="K981" s="507"/>
      <c r="L981" s="508"/>
      <c r="M981" s="508"/>
      <c r="N981" s="508"/>
      <c r="O981" s="509"/>
      <c r="P981" s="509"/>
    </row>
    <row r="982" spans="1:16" ht="21.75" customHeight="1" x14ac:dyDescent="0.3">
      <c r="A982" s="504"/>
      <c r="B982" s="504"/>
      <c r="C982" s="504"/>
      <c r="D982" s="504"/>
      <c r="E982" s="506"/>
      <c r="F982" s="506"/>
      <c r="G982" s="506"/>
      <c r="H982" s="506"/>
      <c r="I982" s="506"/>
      <c r="J982" s="506"/>
      <c r="K982" s="507"/>
      <c r="L982" s="508"/>
      <c r="M982" s="508"/>
      <c r="N982" s="508"/>
      <c r="O982" s="509"/>
      <c r="P982" s="509"/>
    </row>
    <row r="983" spans="1:16" ht="21.75" customHeight="1" x14ac:dyDescent="0.3">
      <c r="A983" s="504"/>
      <c r="B983" s="504"/>
      <c r="C983" s="504"/>
      <c r="D983" s="504"/>
      <c r="E983" s="506"/>
      <c r="F983" s="506"/>
      <c r="G983" s="506"/>
      <c r="H983" s="506"/>
      <c r="I983" s="506"/>
      <c r="J983" s="506"/>
      <c r="K983" s="507"/>
      <c r="L983" s="508"/>
      <c r="M983" s="508"/>
      <c r="N983" s="508"/>
      <c r="O983" s="509"/>
      <c r="P983" s="509"/>
    </row>
    <row r="984" spans="1:16" ht="21.75" customHeight="1" x14ac:dyDescent="0.3">
      <c r="A984" s="504"/>
      <c r="B984" s="504"/>
      <c r="C984" s="504"/>
      <c r="D984" s="504"/>
      <c r="E984" s="506"/>
      <c r="F984" s="506"/>
      <c r="G984" s="506"/>
      <c r="H984" s="506"/>
      <c r="I984" s="506"/>
      <c r="J984" s="506"/>
      <c r="K984" s="507"/>
      <c r="L984" s="508"/>
      <c r="M984" s="508"/>
      <c r="N984" s="508"/>
      <c r="O984" s="509"/>
      <c r="P984" s="509"/>
    </row>
    <row r="985" spans="1:16" ht="21.75" customHeight="1" x14ac:dyDescent="0.3">
      <c r="A985" s="504"/>
      <c r="B985" s="504"/>
      <c r="C985" s="504"/>
      <c r="D985" s="504"/>
      <c r="E985" s="506"/>
      <c r="F985" s="506"/>
      <c r="G985" s="506"/>
      <c r="H985" s="506"/>
      <c r="I985" s="506"/>
      <c r="J985" s="506"/>
      <c r="K985" s="507"/>
      <c r="L985" s="508"/>
      <c r="M985" s="508"/>
      <c r="N985" s="508"/>
      <c r="O985" s="509"/>
      <c r="P985" s="509"/>
    </row>
    <row r="986" spans="1:16" ht="21.75" customHeight="1" x14ac:dyDescent="0.3">
      <c r="A986" s="504"/>
      <c r="B986" s="504"/>
      <c r="C986" s="504"/>
      <c r="D986" s="504"/>
      <c r="E986" s="506"/>
      <c r="F986" s="506"/>
      <c r="G986" s="506"/>
      <c r="H986" s="506"/>
      <c r="I986" s="506"/>
      <c r="J986" s="506"/>
      <c r="K986" s="507"/>
      <c r="L986" s="508"/>
      <c r="M986" s="508"/>
      <c r="N986" s="508"/>
      <c r="O986" s="509"/>
      <c r="P986" s="509"/>
    </row>
    <row r="987" spans="1:16" ht="21.75" customHeight="1" x14ac:dyDescent="0.3">
      <c r="A987" s="504"/>
      <c r="B987" s="504"/>
      <c r="C987" s="504"/>
      <c r="D987" s="504"/>
      <c r="E987" s="506"/>
      <c r="F987" s="506"/>
      <c r="G987" s="506"/>
      <c r="H987" s="506"/>
      <c r="I987" s="506"/>
      <c r="J987" s="506"/>
      <c r="K987" s="507"/>
      <c r="L987" s="508"/>
      <c r="M987" s="508"/>
      <c r="N987" s="508"/>
      <c r="O987" s="509"/>
      <c r="P987" s="509"/>
    </row>
    <row r="988" spans="1:16" ht="21.75" customHeight="1" x14ac:dyDescent="0.3">
      <c r="A988" s="504"/>
      <c r="B988" s="504"/>
      <c r="C988" s="504"/>
      <c r="D988" s="504"/>
      <c r="E988" s="506"/>
      <c r="F988" s="506"/>
      <c r="G988" s="506"/>
      <c r="H988" s="506"/>
      <c r="I988" s="506"/>
      <c r="J988" s="506"/>
      <c r="K988" s="507"/>
      <c r="L988" s="508"/>
      <c r="M988" s="508"/>
      <c r="N988" s="508"/>
      <c r="O988" s="509"/>
      <c r="P988" s="509"/>
    </row>
    <row r="989" spans="1:16" ht="21.75" customHeight="1" x14ac:dyDescent="0.3">
      <c r="A989" s="504"/>
      <c r="B989" s="504"/>
      <c r="C989" s="504"/>
      <c r="D989" s="504"/>
      <c r="E989" s="506"/>
      <c r="F989" s="506"/>
      <c r="G989" s="506"/>
      <c r="H989" s="506"/>
      <c r="I989" s="506"/>
      <c r="J989" s="506"/>
      <c r="K989" s="507"/>
      <c r="L989" s="508"/>
      <c r="M989" s="508"/>
      <c r="N989" s="508"/>
      <c r="O989" s="509"/>
      <c r="P989" s="509"/>
    </row>
    <row r="990" spans="1:16" ht="21.75" customHeight="1" x14ac:dyDescent="0.3">
      <c r="A990" s="504"/>
      <c r="B990" s="504"/>
      <c r="C990" s="504"/>
      <c r="D990" s="504"/>
      <c r="E990" s="506"/>
      <c r="F990" s="506"/>
      <c r="G990" s="506"/>
      <c r="H990" s="506"/>
      <c r="I990" s="506"/>
      <c r="J990" s="506"/>
      <c r="K990" s="507"/>
      <c r="L990" s="508"/>
      <c r="M990" s="508"/>
      <c r="N990" s="508"/>
      <c r="O990" s="509"/>
      <c r="P990" s="509"/>
    </row>
    <row r="991" spans="1:16" ht="21.75" customHeight="1" x14ac:dyDescent="0.3">
      <c r="A991" s="504"/>
      <c r="B991" s="504"/>
      <c r="C991" s="504"/>
      <c r="D991" s="504"/>
      <c r="E991" s="506"/>
      <c r="F991" s="506"/>
      <c r="G991" s="506"/>
      <c r="H991" s="506"/>
      <c r="I991" s="506"/>
      <c r="J991" s="506"/>
      <c r="K991" s="507"/>
      <c r="L991" s="508"/>
      <c r="M991" s="508"/>
      <c r="N991" s="508"/>
      <c r="O991" s="509"/>
      <c r="P991" s="509"/>
    </row>
    <row r="992" spans="1:16" ht="21.75" customHeight="1" x14ac:dyDescent="0.3">
      <c r="A992" s="504"/>
      <c r="B992" s="504"/>
      <c r="C992" s="504"/>
      <c r="D992" s="504"/>
      <c r="E992" s="506"/>
      <c r="F992" s="506"/>
      <c r="G992" s="506"/>
      <c r="H992" s="506"/>
      <c r="I992" s="506"/>
      <c r="J992" s="506"/>
      <c r="K992" s="507"/>
      <c r="L992" s="508"/>
      <c r="M992" s="508"/>
      <c r="N992" s="508"/>
      <c r="O992" s="509"/>
      <c r="P992" s="509"/>
    </row>
    <row r="993" spans="1:16" ht="21.75" customHeight="1" x14ac:dyDescent="0.3">
      <c r="A993" s="504"/>
      <c r="B993" s="504"/>
      <c r="C993" s="504"/>
      <c r="D993" s="504"/>
      <c r="E993" s="506"/>
      <c r="F993" s="506"/>
      <c r="G993" s="506"/>
      <c r="H993" s="506"/>
      <c r="I993" s="506"/>
      <c r="J993" s="506"/>
      <c r="K993" s="507"/>
      <c r="L993" s="508"/>
      <c r="M993" s="508"/>
      <c r="N993" s="508"/>
      <c r="O993" s="509"/>
      <c r="P993" s="509"/>
    </row>
    <row r="994" spans="1:16" ht="21.75" customHeight="1" x14ac:dyDescent="0.3">
      <c r="A994" s="504"/>
      <c r="B994" s="504"/>
      <c r="C994" s="504"/>
      <c r="D994" s="504"/>
      <c r="E994" s="506"/>
      <c r="F994" s="506"/>
      <c r="G994" s="506"/>
      <c r="H994" s="506"/>
      <c r="I994" s="506"/>
      <c r="J994" s="506"/>
      <c r="K994" s="507"/>
      <c r="L994" s="508"/>
      <c r="M994" s="508"/>
      <c r="N994" s="508"/>
      <c r="O994" s="509"/>
      <c r="P994" s="509"/>
    </row>
    <row r="995" spans="1:16" ht="21.75" customHeight="1" x14ac:dyDescent="0.3">
      <c r="A995" s="504"/>
      <c r="B995" s="504"/>
      <c r="C995" s="504"/>
      <c r="D995" s="504"/>
      <c r="E995" s="506"/>
      <c r="F995" s="506"/>
      <c r="G995" s="506"/>
      <c r="H995" s="506"/>
      <c r="I995" s="506"/>
      <c r="J995" s="506"/>
      <c r="K995" s="507"/>
      <c r="L995" s="508"/>
      <c r="M995" s="508"/>
      <c r="N995" s="508"/>
      <c r="O995" s="509"/>
      <c r="P995" s="509"/>
    </row>
    <row r="996" spans="1:16" ht="21.75" customHeight="1" x14ac:dyDescent="0.3">
      <c r="A996" s="504"/>
      <c r="B996" s="504"/>
      <c r="C996" s="504"/>
      <c r="D996" s="504"/>
      <c r="E996" s="506"/>
      <c r="F996" s="506"/>
      <c r="G996" s="506"/>
      <c r="H996" s="506"/>
      <c r="I996" s="506"/>
      <c r="J996" s="506"/>
      <c r="K996" s="507"/>
      <c r="L996" s="508"/>
      <c r="M996" s="508"/>
      <c r="N996" s="508"/>
      <c r="O996" s="509"/>
      <c r="P996" s="509"/>
    </row>
    <row r="997" spans="1:16" ht="21.75" customHeight="1" x14ac:dyDescent="0.3">
      <c r="A997" s="504"/>
      <c r="B997" s="504"/>
      <c r="C997" s="504"/>
      <c r="D997" s="504"/>
      <c r="E997" s="506"/>
      <c r="F997" s="506"/>
      <c r="G997" s="506"/>
      <c r="H997" s="506"/>
      <c r="I997" s="506"/>
      <c r="J997" s="506"/>
      <c r="K997" s="507"/>
      <c r="L997" s="508"/>
      <c r="M997" s="508"/>
      <c r="N997" s="508"/>
      <c r="O997" s="509"/>
      <c r="P997" s="509"/>
    </row>
    <row r="998" spans="1:16" ht="21.75" customHeight="1" x14ac:dyDescent="0.3">
      <c r="A998" s="504"/>
      <c r="B998" s="504"/>
      <c r="C998" s="504"/>
      <c r="D998" s="504"/>
      <c r="E998" s="506"/>
      <c r="F998" s="506"/>
      <c r="G998" s="506"/>
      <c r="H998" s="506"/>
      <c r="I998" s="506"/>
      <c r="J998" s="506"/>
      <c r="K998" s="507"/>
      <c r="L998" s="508"/>
      <c r="M998" s="508"/>
      <c r="N998" s="508"/>
      <c r="O998" s="509"/>
      <c r="P998" s="509"/>
    </row>
    <row r="999" spans="1:16" ht="21.75" customHeight="1" x14ac:dyDescent="0.3">
      <c r="A999" s="504"/>
      <c r="B999" s="504"/>
      <c r="C999" s="504"/>
      <c r="D999" s="504"/>
      <c r="E999" s="506"/>
      <c r="F999" s="506"/>
      <c r="G999" s="506"/>
      <c r="H999" s="506"/>
      <c r="I999" s="506"/>
      <c r="J999" s="506"/>
      <c r="K999" s="507"/>
      <c r="L999" s="508"/>
      <c r="M999" s="508"/>
      <c r="N999" s="508"/>
      <c r="O999" s="509"/>
      <c r="P999" s="509"/>
    </row>
    <row r="1000" spans="1:16" ht="21.75" customHeight="1" x14ac:dyDescent="0.3">
      <c r="A1000" s="504"/>
      <c r="B1000" s="504"/>
      <c r="C1000" s="504"/>
      <c r="D1000" s="504"/>
      <c r="E1000" s="506"/>
      <c r="F1000" s="506"/>
      <c r="G1000" s="506"/>
      <c r="H1000" s="506"/>
      <c r="I1000" s="506"/>
      <c r="J1000" s="506"/>
      <c r="K1000" s="507"/>
      <c r="L1000" s="508"/>
      <c r="M1000" s="508"/>
      <c r="N1000" s="508"/>
      <c r="O1000" s="509"/>
      <c r="P1000" s="509"/>
    </row>
    <row r="1001" spans="1:16" ht="21.75" customHeight="1" x14ac:dyDescent="0.3">
      <c r="A1001" s="504"/>
      <c r="B1001" s="504"/>
      <c r="C1001" s="504"/>
      <c r="D1001" s="504"/>
      <c r="E1001" s="506"/>
      <c r="F1001" s="506"/>
      <c r="G1001" s="506"/>
      <c r="H1001" s="506"/>
      <c r="I1001" s="506"/>
      <c r="J1001" s="506"/>
      <c r="K1001" s="507"/>
      <c r="L1001" s="508"/>
      <c r="M1001" s="508"/>
      <c r="N1001" s="508"/>
      <c r="O1001" s="509"/>
      <c r="P1001" s="509"/>
    </row>
    <row r="1002" spans="1:16" ht="21.75" customHeight="1" x14ac:dyDescent="0.3">
      <c r="A1002" s="504"/>
      <c r="B1002" s="504"/>
      <c r="C1002" s="504"/>
      <c r="D1002" s="504"/>
      <c r="E1002" s="506"/>
      <c r="F1002" s="506"/>
      <c r="G1002" s="506"/>
      <c r="H1002" s="506"/>
      <c r="I1002" s="506"/>
      <c r="J1002" s="506"/>
      <c r="K1002" s="507"/>
      <c r="L1002" s="508"/>
      <c r="M1002" s="508"/>
      <c r="N1002" s="508"/>
      <c r="O1002" s="509"/>
      <c r="P1002" s="509"/>
    </row>
    <row r="1003" spans="1:16" ht="21.75" customHeight="1" x14ac:dyDescent="0.3">
      <c r="A1003" s="504"/>
      <c r="B1003" s="504"/>
      <c r="C1003" s="504"/>
      <c r="D1003" s="504"/>
      <c r="E1003" s="506"/>
      <c r="F1003" s="506"/>
      <c r="G1003" s="506"/>
      <c r="H1003" s="506"/>
      <c r="I1003" s="506"/>
      <c r="J1003" s="506"/>
      <c r="K1003" s="507"/>
      <c r="L1003" s="508"/>
      <c r="M1003" s="508"/>
      <c r="N1003" s="508"/>
      <c r="O1003" s="509"/>
      <c r="P1003" s="509"/>
    </row>
    <row r="1004" spans="1:16" ht="21.75" customHeight="1" x14ac:dyDescent="0.3">
      <c r="A1004" s="504"/>
      <c r="B1004" s="504"/>
      <c r="C1004" s="504"/>
      <c r="D1004" s="504"/>
      <c r="E1004" s="506"/>
      <c r="F1004" s="506"/>
      <c r="G1004" s="506"/>
      <c r="H1004" s="506"/>
      <c r="I1004" s="506"/>
      <c r="J1004" s="506"/>
      <c r="K1004" s="507"/>
      <c r="L1004" s="508"/>
      <c r="M1004" s="508"/>
      <c r="N1004" s="508"/>
      <c r="O1004" s="509"/>
      <c r="P1004" s="509"/>
    </row>
    <row r="1005" spans="1:16" ht="21.75" customHeight="1" x14ac:dyDescent="0.3">
      <c r="A1005" s="504"/>
      <c r="B1005" s="504"/>
      <c r="C1005" s="504"/>
      <c r="D1005" s="504"/>
      <c r="E1005" s="506"/>
      <c r="F1005" s="506"/>
      <c r="G1005" s="506"/>
      <c r="H1005" s="506"/>
      <c r="I1005" s="506"/>
      <c r="J1005" s="506"/>
      <c r="K1005" s="507"/>
      <c r="L1005" s="508"/>
      <c r="M1005" s="508"/>
      <c r="N1005" s="508"/>
      <c r="O1005" s="509"/>
      <c r="P1005" s="509"/>
    </row>
    <row r="1006" spans="1:16" ht="21.75" customHeight="1" x14ac:dyDescent="0.3">
      <c r="A1006" s="504"/>
      <c r="B1006" s="504"/>
      <c r="C1006" s="504"/>
      <c r="D1006" s="504"/>
      <c r="E1006" s="506"/>
      <c r="F1006" s="506"/>
      <c r="G1006" s="506"/>
      <c r="H1006" s="506"/>
      <c r="I1006" s="506"/>
      <c r="J1006" s="506"/>
      <c r="K1006" s="507"/>
      <c r="L1006" s="508"/>
      <c r="M1006" s="508"/>
      <c r="N1006" s="508"/>
      <c r="O1006" s="509"/>
      <c r="P1006" s="509"/>
    </row>
    <row r="1007" spans="1:16" ht="21.75" customHeight="1" x14ac:dyDescent="0.3">
      <c r="A1007" s="504"/>
      <c r="B1007" s="504"/>
      <c r="C1007" s="504"/>
      <c r="D1007" s="504"/>
      <c r="E1007" s="506"/>
      <c r="F1007" s="506"/>
      <c r="G1007" s="506"/>
      <c r="H1007" s="506"/>
      <c r="I1007" s="506"/>
      <c r="J1007" s="506"/>
      <c r="K1007" s="507"/>
      <c r="L1007" s="508"/>
      <c r="M1007" s="508"/>
      <c r="N1007" s="508"/>
      <c r="O1007" s="509"/>
      <c r="P1007" s="509"/>
    </row>
    <row r="1008" spans="1:16" ht="21.75" customHeight="1" x14ac:dyDescent="0.3">
      <c r="A1008" s="504"/>
      <c r="B1008" s="504"/>
      <c r="C1008" s="504"/>
      <c r="D1008" s="504"/>
      <c r="E1008" s="506"/>
      <c r="F1008" s="506"/>
      <c r="G1008" s="506"/>
      <c r="H1008" s="506"/>
      <c r="I1008" s="506"/>
      <c r="J1008" s="506"/>
      <c r="K1008" s="507"/>
      <c r="L1008" s="508"/>
      <c r="M1008" s="508"/>
      <c r="N1008" s="508"/>
      <c r="O1008" s="509"/>
      <c r="P1008" s="509"/>
    </row>
    <row r="1009" spans="1:16" ht="21.75" customHeight="1" x14ac:dyDescent="0.3">
      <c r="A1009" s="504"/>
      <c r="B1009" s="504"/>
      <c r="C1009" s="504"/>
      <c r="D1009" s="504"/>
      <c r="E1009" s="506"/>
      <c r="F1009" s="506"/>
      <c r="G1009" s="506"/>
      <c r="H1009" s="506"/>
      <c r="I1009" s="506"/>
      <c r="J1009" s="506"/>
      <c r="K1009" s="507"/>
      <c r="L1009" s="508"/>
      <c r="M1009" s="508"/>
      <c r="N1009" s="508"/>
      <c r="O1009" s="509"/>
      <c r="P1009" s="509"/>
    </row>
    <row r="1010" spans="1:16" ht="21.75" customHeight="1" x14ac:dyDescent="0.3">
      <c r="A1010" s="504"/>
      <c r="B1010" s="504"/>
      <c r="C1010" s="504"/>
      <c r="D1010" s="504"/>
      <c r="E1010" s="506"/>
      <c r="F1010" s="506"/>
      <c r="G1010" s="506"/>
      <c r="H1010" s="506"/>
      <c r="I1010" s="506"/>
      <c r="J1010" s="506"/>
      <c r="K1010" s="507"/>
      <c r="L1010" s="508"/>
      <c r="M1010" s="508"/>
      <c r="N1010" s="508"/>
      <c r="O1010" s="509"/>
      <c r="P1010" s="509"/>
    </row>
    <row r="1011" spans="1:16" ht="21.75" customHeight="1" x14ac:dyDescent="0.3">
      <c r="A1011" s="504"/>
      <c r="B1011" s="504"/>
      <c r="C1011" s="504"/>
      <c r="D1011" s="504"/>
      <c r="E1011" s="506"/>
      <c r="F1011" s="506"/>
      <c r="G1011" s="506"/>
      <c r="H1011" s="506"/>
      <c r="I1011" s="506"/>
      <c r="J1011" s="506"/>
      <c r="K1011" s="507"/>
      <c r="L1011" s="508"/>
      <c r="M1011" s="508"/>
      <c r="N1011" s="508"/>
      <c r="O1011" s="509"/>
      <c r="P1011" s="509"/>
    </row>
    <row r="1012" spans="1:16" ht="21.75" customHeight="1" x14ac:dyDescent="0.3">
      <c r="A1012" s="504"/>
      <c r="B1012" s="504"/>
      <c r="C1012" s="504"/>
      <c r="D1012" s="504"/>
      <c r="E1012" s="506"/>
      <c r="F1012" s="506"/>
      <c r="G1012" s="506"/>
      <c r="H1012" s="506"/>
      <c r="I1012" s="506"/>
      <c r="J1012" s="506"/>
      <c r="K1012" s="507"/>
      <c r="L1012" s="508"/>
      <c r="M1012" s="508"/>
      <c r="N1012" s="508"/>
      <c r="O1012" s="509"/>
      <c r="P1012" s="509"/>
    </row>
    <row r="1013" spans="1:16" ht="21.75" customHeight="1" x14ac:dyDescent="0.3">
      <c r="A1013" s="504"/>
      <c r="B1013" s="504"/>
      <c r="C1013" s="504"/>
      <c r="D1013" s="504"/>
      <c r="E1013" s="506"/>
      <c r="F1013" s="506"/>
      <c r="G1013" s="506"/>
      <c r="H1013" s="506"/>
      <c r="I1013" s="506"/>
      <c r="J1013" s="506"/>
      <c r="K1013" s="507"/>
      <c r="L1013" s="508"/>
      <c r="M1013" s="508"/>
      <c r="N1013" s="508"/>
      <c r="O1013" s="509"/>
      <c r="P1013" s="509"/>
    </row>
    <row r="1014" spans="1:16" ht="21.75" customHeight="1" x14ac:dyDescent="0.3">
      <c r="A1014" s="504"/>
      <c r="B1014" s="504"/>
      <c r="C1014" s="504"/>
      <c r="D1014" s="504"/>
      <c r="E1014" s="506"/>
      <c r="F1014" s="506"/>
      <c r="G1014" s="506"/>
      <c r="H1014" s="506"/>
      <c r="I1014" s="506"/>
      <c r="J1014" s="506"/>
      <c r="K1014" s="507"/>
      <c r="L1014" s="508"/>
      <c r="M1014" s="508"/>
      <c r="N1014" s="508"/>
      <c r="O1014" s="509"/>
      <c r="P1014" s="509"/>
    </row>
    <row r="1015" spans="1:16" ht="21.75" customHeight="1" x14ac:dyDescent="0.3">
      <c r="A1015" s="504"/>
      <c r="B1015" s="504"/>
      <c r="C1015" s="504"/>
      <c r="D1015" s="504"/>
      <c r="E1015" s="506"/>
      <c r="F1015" s="506"/>
      <c r="G1015" s="506"/>
      <c r="H1015" s="506"/>
      <c r="I1015" s="506"/>
      <c r="J1015" s="506"/>
      <c r="K1015" s="507"/>
      <c r="L1015" s="508"/>
      <c r="M1015" s="508"/>
      <c r="N1015" s="508"/>
      <c r="O1015" s="509"/>
      <c r="P1015" s="509"/>
    </row>
    <row r="1016" spans="1:16" ht="21.75" customHeight="1" x14ac:dyDescent="0.3">
      <c r="A1016" s="504"/>
      <c r="B1016" s="504"/>
      <c r="C1016" s="504"/>
      <c r="D1016" s="504"/>
      <c r="E1016" s="506"/>
      <c r="F1016" s="506"/>
      <c r="G1016" s="506"/>
      <c r="H1016" s="506"/>
      <c r="I1016" s="506"/>
      <c r="J1016" s="506"/>
      <c r="K1016" s="507"/>
      <c r="L1016" s="508"/>
      <c r="M1016" s="508"/>
      <c r="N1016" s="508"/>
      <c r="O1016" s="509"/>
      <c r="P1016" s="509"/>
    </row>
    <row r="1017" spans="1:16" ht="21.75" customHeight="1" x14ac:dyDescent="0.3">
      <c r="A1017" s="504"/>
      <c r="B1017" s="504"/>
      <c r="C1017" s="504"/>
      <c r="D1017" s="504"/>
      <c r="E1017" s="506"/>
      <c r="F1017" s="506"/>
      <c r="G1017" s="506"/>
      <c r="H1017" s="506"/>
      <c r="I1017" s="506"/>
      <c r="J1017" s="506"/>
      <c r="K1017" s="507"/>
      <c r="L1017" s="508"/>
      <c r="M1017" s="508"/>
      <c r="N1017" s="508"/>
      <c r="O1017" s="509"/>
      <c r="P1017" s="509"/>
    </row>
    <row r="1018" spans="1:16" ht="21.75" customHeight="1" x14ac:dyDescent="0.3">
      <c r="A1018" s="504"/>
      <c r="B1018" s="504"/>
      <c r="C1018" s="504"/>
      <c r="D1018" s="504"/>
      <c r="E1018" s="506"/>
      <c r="F1018" s="506"/>
      <c r="G1018" s="506"/>
      <c r="H1018" s="506"/>
      <c r="I1018" s="506"/>
      <c r="J1018" s="506"/>
      <c r="K1018" s="507"/>
      <c r="L1018" s="508"/>
      <c r="M1018" s="508"/>
      <c r="N1018" s="508"/>
      <c r="O1018" s="509"/>
      <c r="P1018" s="509"/>
    </row>
    <row r="1019" spans="1:16" ht="21.75" customHeight="1" x14ac:dyDescent="0.3">
      <c r="A1019" s="504"/>
      <c r="B1019" s="504"/>
      <c r="C1019" s="504"/>
      <c r="D1019" s="504"/>
      <c r="E1019" s="506"/>
      <c r="F1019" s="506"/>
      <c r="G1019" s="506"/>
      <c r="H1019" s="506"/>
      <c r="I1019" s="506"/>
      <c r="J1019" s="506"/>
      <c r="K1019" s="507"/>
      <c r="L1019" s="508"/>
      <c r="M1019" s="508"/>
      <c r="N1019" s="508"/>
      <c r="O1019" s="509"/>
      <c r="P1019" s="509"/>
    </row>
    <row r="1020" spans="1:16" ht="21.75" customHeight="1" x14ac:dyDescent="0.3">
      <c r="A1020" s="504"/>
      <c r="B1020" s="504"/>
      <c r="C1020" s="504"/>
      <c r="D1020" s="504"/>
      <c r="E1020" s="506"/>
      <c r="F1020" s="506"/>
      <c r="G1020" s="506"/>
      <c r="H1020" s="506"/>
      <c r="I1020" s="506"/>
      <c r="J1020" s="506"/>
      <c r="K1020" s="507"/>
      <c r="L1020" s="508"/>
      <c r="M1020" s="508"/>
      <c r="N1020" s="508"/>
      <c r="O1020" s="509"/>
      <c r="P1020" s="509"/>
    </row>
    <row r="1021" spans="1:16" ht="21.75" customHeight="1" x14ac:dyDescent="0.3">
      <c r="A1021" s="504"/>
      <c r="B1021" s="504"/>
      <c r="C1021" s="504"/>
      <c r="D1021" s="504"/>
      <c r="E1021" s="506"/>
      <c r="F1021" s="506"/>
      <c r="G1021" s="506"/>
      <c r="H1021" s="506"/>
      <c r="I1021" s="506"/>
      <c r="J1021" s="506"/>
      <c r="K1021" s="507"/>
      <c r="L1021" s="508"/>
      <c r="M1021" s="508"/>
      <c r="N1021" s="508"/>
      <c r="O1021" s="509"/>
      <c r="P1021" s="509"/>
    </row>
    <row r="1022" spans="1:16" ht="21.75" customHeight="1" x14ac:dyDescent="0.3">
      <c r="A1022" s="504"/>
      <c r="B1022" s="504"/>
      <c r="C1022" s="504"/>
      <c r="D1022" s="504"/>
      <c r="E1022" s="506"/>
      <c r="F1022" s="506"/>
      <c r="G1022" s="506"/>
      <c r="H1022" s="506"/>
      <c r="I1022" s="506"/>
      <c r="J1022" s="506"/>
      <c r="K1022" s="507"/>
      <c r="L1022" s="508"/>
      <c r="M1022" s="508"/>
      <c r="N1022" s="508"/>
      <c r="O1022" s="509"/>
      <c r="P1022" s="509"/>
    </row>
    <row r="1023" spans="1:16" ht="21.75" customHeight="1" x14ac:dyDescent="0.3">
      <c r="A1023" s="504"/>
      <c r="B1023" s="504"/>
      <c r="C1023" s="504"/>
      <c r="D1023" s="504"/>
      <c r="E1023" s="506"/>
      <c r="F1023" s="506"/>
      <c r="G1023" s="506"/>
      <c r="H1023" s="506"/>
      <c r="I1023" s="506"/>
      <c r="J1023" s="506"/>
      <c r="K1023" s="507"/>
      <c r="L1023" s="508"/>
      <c r="M1023" s="508"/>
      <c r="N1023" s="508"/>
      <c r="O1023" s="509"/>
      <c r="P1023" s="509"/>
    </row>
    <row r="1024" spans="1:16" ht="21.75" customHeight="1" x14ac:dyDescent="0.3">
      <c r="A1024" s="504"/>
      <c r="B1024" s="504"/>
      <c r="C1024" s="504"/>
      <c r="D1024" s="504"/>
      <c r="E1024" s="506"/>
      <c r="F1024" s="506"/>
      <c r="G1024" s="506"/>
      <c r="H1024" s="506"/>
      <c r="I1024" s="506"/>
      <c r="J1024" s="506"/>
      <c r="K1024" s="507"/>
      <c r="L1024" s="508"/>
      <c r="M1024" s="508"/>
      <c r="N1024" s="508"/>
      <c r="O1024" s="509"/>
      <c r="P1024" s="509"/>
    </row>
    <row r="1025" spans="1:16" ht="21.75" customHeight="1" x14ac:dyDescent="0.3">
      <c r="A1025" s="504"/>
      <c r="B1025" s="504"/>
      <c r="C1025" s="504"/>
      <c r="D1025" s="504"/>
      <c r="E1025" s="506"/>
      <c r="F1025" s="506"/>
      <c r="G1025" s="506"/>
      <c r="H1025" s="506"/>
      <c r="I1025" s="506"/>
      <c r="J1025" s="506"/>
      <c r="K1025" s="507"/>
      <c r="L1025" s="508"/>
      <c r="M1025" s="508"/>
      <c r="N1025" s="508"/>
      <c r="O1025" s="509"/>
      <c r="P1025" s="509"/>
    </row>
    <row r="1026" spans="1:16" ht="21.75" customHeight="1" x14ac:dyDescent="0.3">
      <c r="A1026" s="504"/>
      <c r="B1026" s="504"/>
      <c r="C1026" s="504"/>
      <c r="D1026" s="504"/>
      <c r="E1026" s="506"/>
      <c r="F1026" s="506"/>
      <c r="G1026" s="506"/>
      <c r="H1026" s="506"/>
      <c r="I1026" s="506"/>
      <c r="J1026" s="506"/>
      <c r="K1026" s="507"/>
      <c r="L1026" s="508"/>
      <c r="M1026" s="508"/>
      <c r="N1026" s="508"/>
      <c r="O1026" s="509"/>
      <c r="P1026" s="509"/>
    </row>
    <row r="1027" spans="1:16" ht="21.75" customHeight="1" x14ac:dyDescent="0.3">
      <c r="A1027" s="504"/>
      <c r="B1027" s="504"/>
      <c r="C1027" s="504"/>
      <c r="D1027" s="504"/>
      <c r="E1027" s="506"/>
      <c r="F1027" s="506"/>
      <c r="G1027" s="506"/>
      <c r="H1027" s="506"/>
      <c r="I1027" s="506"/>
      <c r="J1027" s="506"/>
      <c r="K1027" s="507"/>
      <c r="L1027" s="508"/>
      <c r="M1027" s="508"/>
      <c r="N1027" s="508"/>
      <c r="O1027" s="509"/>
      <c r="P1027" s="509"/>
    </row>
    <row r="1028" spans="1:16" ht="21.75" customHeight="1" x14ac:dyDescent="0.3">
      <c r="A1028" s="504"/>
      <c r="B1028" s="504"/>
      <c r="C1028" s="504"/>
      <c r="D1028" s="504"/>
      <c r="E1028" s="506"/>
      <c r="F1028" s="506"/>
      <c r="G1028" s="506"/>
      <c r="H1028" s="506"/>
      <c r="I1028" s="506"/>
      <c r="J1028" s="506"/>
      <c r="K1028" s="507"/>
      <c r="L1028" s="508"/>
      <c r="M1028" s="508"/>
      <c r="N1028" s="508"/>
      <c r="O1028" s="509"/>
      <c r="P1028" s="509"/>
    </row>
    <row r="1029" spans="1:16" ht="21.75" customHeight="1" x14ac:dyDescent="0.3">
      <c r="A1029" s="504"/>
      <c r="B1029" s="504"/>
      <c r="C1029" s="504"/>
      <c r="D1029" s="504"/>
      <c r="E1029" s="506"/>
      <c r="F1029" s="506"/>
      <c r="G1029" s="506"/>
      <c r="H1029" s="506"/>
      <c r="I1029" s="506"/>
      <c r="J1029" s="506"/>
      <c r="K1029" s="507"/>
      <c r="L1029" s="508"/>
      <c r="M1029" s="508"/>
      <c r="N1029" s="508"/>
      <c r="O1029" s="509"/>
      <c r="P1029" s="509"/>
    </row>
    <row r="1030" spans="1:16" ht="21.75" customHeight="1" x14ac:dyDescent="0.3">
      <c r="A1030" s="504"/>
      <c r="B1030" s="504"/>
      <c r="C1030" s="504"/>
      <c r="D1030" s="504"/>
      <c r="E1030" s="506"/>
      <c r="F1030" s="506"/>
      <c r="G1030" s="506"/>
      <c r="H1030" s="506"/>
      <c r="I1030" s="506"/>
      <c r="J1030" s="506"/>
      <c r="K1030" s="507"/>
      <c r="L1030" s="508"/>
      <c r="M1030" s="508"/>
      <c r="N1030" s="508"/>
      <c r="O1030" s="509"/>
      <c r="P1030" s="509"/>
    </row>
    <row r="1031" spans="1:16" ht="21.75" customHeight="1" x14ac:dyDescent="0.3">
      <c r="A1031" s="504"/>
      <c r="B1031" s="504"/>
      <c r="C1031" s="504"/>
      <c r="D1031" s="504"/>
      <c r="E1031" s="506"/>
      <c r="F1031" s="506"/>
      <c r="G1031" s="506"/>
      <c r="H1031" s="506"/>
      <c r="I1031" s="506"/>
      <c r="J1031" s="506"/>
      <c r="K1031" s="507"/>
      <c r="L1031" s="508"/>
      <c r="M1031" s="508"/>
      <c r="N1031" s="508"/>
      <c r="O1031" s="509"/>
      <c r="P1031" s="509"/>
    </row>
    <row r="1032" spans="1:16" ht="21.75" customHeight="1" x14ac:dyDescent="0.3">
      <c r="A1032" s="504"/>
      <c r="B1032" s="504"/>
      <c r="C1032" s="504"/>
      <c r="D1032" s="504"/>
      <c r="E1032" s="506"/>
      <c r="F1032" s="506"/>
      <c r="G1032" s="506"/>
      <c r="H1032" s="506"/>
      <c r="I1032" s="506"/>
      <c r="J1032" s="506"/>
      <c r="K1032" s="507"/>
      <c r="L1032" s="508"/>
      <c r="M1032" s="508"/>
      <c r="N1032" s="508"/>
      <c r="O1032" s="509"/>
      <c r="P1032" s="509"/>
    </row>
    <row r="1033" spans="1:16" ht="21.75" customHeight="1" x14ac:dyDescent="0.3">
      <c r="A1033" s="504"/>
      <c r="B1033" s="504"/>
      <c r="C1033" s="504"/>
      <c r="D1033" s="504"/>
      <c r="E1033" s="506"/>
      <c r="F1033" s="506"/>
      <c r="G1033" s="506"/>
      <c r="H1033" s="506"/>
      <c r="I1033" s="506"/>
      <c r="J1033" s="506"/>
      <c r="K1033" s="507"/>
      <c r="L1033" s="508"/>
      <c r="M1033" s="508"/>
      <c r="N1033" s="508"/>
      <c r="O1033" s="509"/>
      <c r="P1033" s="509"/>
    </row>
    <row r="1034" spans="1:16" ht="21.75" customHeight="1" x14ac:dyDescent="0.3">
      <c r="A1034" s="504"/>
      <c r="B1034" s="504"/>
      <c r="C1034" s="504"/>
      <c r="D1034" s="504"/>
      <c r="E1034" s="506"/>
      <c r="F1034" s="506"/>
      <c r="G1034" s="506"/>
      <c r="H1034" s="506"/>
      <c r="I1034" s="506"/>
      <c r="J1034" s="506"/>
      <c r="K1034" s="507"/>
      <c r="L1034" s="508"/>
      <c r="M1034" s="508"/>
      <c r="N1034" s="508"/>
      <c r="O1034" s="509"/>
      <c r="P1034" s="509"/>
    </row>
    <row r="1035" spans="1:16" ht="21.75" customHeight="1" x14ac:dyDescent="0.3">
      <c r="A1035" s="504"/>
      <c r="B1035" s="504"/>
      <c r="C1035" s="504"/>
      <c r="D1035" s="504"/>
      <c r="E1035" s="506"/>
      <c r="F1035" s="506"/>
      <c r="G1035" s="506"/>
      <c r="H1035" s="506"/>
      <c r="I1035" s="506"/>
      <c r="J1035" s="506"/>
      <c r="K1035" s="507"/>
      <c r="L1035" s="508"/>
      <c r="M1035" s="508"/>
      <c r="N1035" s="508"/>
      <c r="O1035" s="509"/>
      <c r="P1035" s="509"/>
    </row>
    <row r="1036" spans="1:16" ht="21.75" customHeight="1" x14ac:dyDescent="0.3">
      <c r="A1036" s="504"/>
      <c r="B1036" s="504"/>
      <c r="C1036" s="504"/>
      <c r="D1036" s="504"/>
      <c r="E1036" s="506"/>
      <c r="F1036" s="506"/>
      <c r="G1036" s="506"/>
      <c r="H1036" s="506"/>
      <c r="I1036" s="506"/>
      <c r="J1036" s="506"/>
      <c r="K1036" s="507"/>
      <c r="L1036" s="508"/>
      <c r="M1036" s="508"/>
      <c r="N1036" s="508"/>
      <c r="O1036" s="509"/>
      <c r="P1036" s="509"/>
    </row>
    <row r="1037" spans="1:16" ht="21.75" customHeight="1" x14ac:dyDescent="0.3">
      <c r="A1037" s="504"/>
      <c r="B1037" s="504"/>
      <c r="C1037" s="504"/>
      <c r="D1037" s="504"/>
      <c r="E1037" s="506"/>
      <c r="F1037" s="506"/>
      <c r="G1037" s="506"/>
      <c r="H1037" s="506"/>
      <c r="I1037" s="506"/>
      <c r="J1037" s="506"/>
      <c r="K1037" s="507"/>
      <c r="L1037" s="508"/>
      <c r="M1037" s="508"/>
      <c r="N1037" s="508"/>
      <c r="O1037" s="509"/>
      <c r="P1037" s="509"/>
    </row>
    <row r="1038" spans="1:16" ht="21.75" customHeight="1" x14ac:dyDescent="0.3">
      <c r="A1038" s="504"/>
      <c r="B1038" s="504"/>
      <c r="C1038" s="504"/>
      <c r="D1038" s="504"/>
      <c r="E1038" s="506"/>
      <c r="F1038" s="506"/>
      <c r="G1038" s="506"/>
      <c r="H1038" s="506"/>
      <c r="I1038" s="506"/>
      <c r="J1038" s="506"/>
      <c r="K1038" s="507"/>
      <c r="L1038" s="508"/>
      <c r="M1038" s="508"/>
      <c r="N1038" s="508"/>
      <c r="O1038" s="509"/>
      <c r="P1038" s="509"/>
    </row>
    <row r="1039" spans="1:16" ht="21.75" customHeight="1" x14ac:dyDescent="0.3">
      <c r="A1039" s="504"/>
      <c r="B1039" s="504"/>
      <c r="C1039" s="504"/>
      <c r="D1039" s="504"/>
      <c r="E1039" s="506"/>
      <c r="F1039" s="506"/>
      <c r="G1039" s="506"/>
      <c r="H1039" s="506"/>
      <c r="I1039" s="506"/>
      <c r="J1039" s="506"/>
      <c r="K1039" s="507"/>
      <c r="L1039" s="508"/>
      <c r="M1039" s="508"/>
      <c r="N1039" s="508"/>
      <c r="O1039" s="509"/>
      <c r="P1039" s="509"/>
    </row>
    <row r="1040" spans="1:16" ht="21.75" customHeight="1" x14ac:dyDescent="0.3">
      <c r="A1040" s="504"/>
      <c r="B1040" s="504"/>
      <c r="C1040" s="504"/>
      <c r="D1040" s="504"/>
      <c r="E1040" s="506"/>
      <c r="F1040" s="506"/>
      <c r="G1040" s="506"/>
      <c r="H1040" s="506"/>
      <c r="I1040" s="506"/>
      <c r="J1040" s="506"/>
      <c r="K1040" s="507"/>
      <c r="L1040" s="508"/>
      <c r="M1040" s="508"/>
      <c r="N1040" s="508"/>
      <c r="O1040" s="509"/>
      <c r="P1040" s="509"/>
    </row>
    <row r="1041" spans="1:16" ht="21.75" customHeight="1" x14ac:dyDescent="0.3">
      <c r="A1041" s="504"/>
      <c r="B1041" s="504"/>
      <c r="C1041" s="504"/>
      <c r="D1041" s="504"/>
      <c r="E1041" s="506"/>
      <c r="F1041" s="506"/>
      <c r="G1041" s="506"/>
      <c r="H1041" s="506"/>
      <c r="I1041" s="506"/>
      <c r="J1041" s="506"/>
      <c r="K1041" s="507"/>
      <c r="L1041" s="508"/>
      <c r="M1041" s="508"/>
      <c r="N1041" s="508"/>
      <c r="O1041" s="509"/>
      <c r="P1041" s="509"/>
    </row>
    <row r="1042" spans="1:16" ht="21.75" customHeight="1" x14ac:dyDescent="0.3">
      <c r="A1042" s="504"/>
      <c r="B1042" s="504"/>
      <c r="C1042" s="504"/>
      <c r="D1042" s="504"/>
      <c r="E1042" s="506"/>
      <c r="F1042" s="506"/>
      <c r="G1042" s="506"/>
      <c r="H1042" s="506"/>
      <c r="I1042" s="506"/>
      <c r="J1042" s="506"/>
      <c r="K1042" s="507"/>
      <c r="L1042" s="508"/>
      <c r="M1042" s="508"/>
      <c r="N1042" s="508"/>
      <c r="O1042" s="509"/>
      <c r="P1042" s="509"/>
    </row>
    <row r="1043" spans="1:16" ht="21.75" customHeight="1" x14ac:dyDescent="0.3">
      <c r="A1043" s="504"/>
      <c r="B1043" s="504"/>
      <c r="C1043" s="504"/>
      <c r="D1043" s="504"/>
      <c r="E1043" s="506"/>
      <c r="F1043" s="506"/>
      <c r="G1043" s="506"/>
      <c r="H1043" s="506"/>
      <c r="I1043" s="506"/>
      <c r="J1043" s="506"/>
      <c r="K1043" s="507"/>
      <c r="L1043" s="508"/>
      <c r="M1043" s="508"/>
      <c r="N1043" s="508"/>
      <c r="O1043" s="509"/>
      <c r="P1043" s="509"/>
    </row>
    <row r="1044" spans="1:16" ht="21.75" customHeight="1" x14ac:dyDescent="0.3">
      <c r="A1044" s="504"/>
      <c r="B1044" s="504"/>
      <c r="C1044" s="504"/>
      <c r="D1044" s="504"/>
      <c r="E1044" s="506"/>
      <c r="F1044" s="506"/>
      <c r="G1044" s="506"/>
      <c r="H1044" s="506"/>
      <c r="I1044" s="506"/>
      <c r="J1044" s="506"/>
      <c r="K1044" s="507"/>
      <c r="L1044" s="508"/>
      <c r="M1044" s="508"/>
      <c r="N1044" s="508"/>
      <c r="O1044" s="509"/>
      <c r="P1044" s="509"/>
    </row>
    <row r="1045" spans="1:16" ht="21.75" customHeight="1" x14ac:dyDescent="0.3">
      <c r="A1045" s="504"/>
      <c r="B1045" s="504"/>
      <c r="C1045" s="504"/>
      <c r="D1045" s="504"/>
      <c r="E1045" s="506"/>
      <c r="F1045" s="506"/>
      <c r="G1045" s="506"/>
      <c r="H1045" s="506"/>
      <c r="I1045" s="506"/>
      <c r="J1045" s="506"/>
      <c r="K1045" s="507"/>
      <c r="L1045" s="508"/>
      <c r="M1045" s="508"/>
      <c r="N1045" s="508"/>
      <c r="O1045" s="509"/>
      <c r="P1045" s="509"/>
    </row>
    <row r="1046" spans="1:16" ht="21.75" customHeight="1" x14ac:dyDescent="0.3">
      <c r="A1046" s="504"/>
      <c r="B1046" s="504"/>
      <c r="C1046" s="504"/>
      <c r="D1046" s="504"/>
      <c r="E1046" s="506"/>
      <c r="F1046" s="506"/>
      <c r="G1046" s="506"/>
      <c r="H1046" s="506"/>
      <c r="I1046" s="506"/>
      <c r="J1046" s="506"/>
      <c r="K1046" s="507"/>
      <c r="L1046" s="508"/>
      <c r="M1046" s="508"/>
      <c r="N1046" s="508"/>
      <c r="O1046" s="509"/>
      <c r="P1046" s="509"/>
    </row>
    <row r="1047" spans="1:16" ht="21.75" customHeight="1" x14ac:dyDescent="0.3">
      <c r="A1047" s="504"/>
      <c r="B1047" s="504"/>
      <c r="C1047" s="504"/>
      <c r="D1047" s="504"/>
      <c r="E1047" s="506"/>
      <c r="F1047" s="506"/>
      <c r="G1047" s="506"/>
      <c r="H1047" s="506"/>
      <c r="I1047" s="506"/>
      <c r="J1047" s="506"/>
      <c r="K1047" s="507"/>
      <c r="L1047" s="508"/>
      <c r="M1047" s="508"/>
      <c r="N1047" s="508"/>
      <c r="O1047" s="509"/>
      <c r="P1047" s="509"/>
    </row>
    <row r="1048" spans="1:16" ht="21.75" customHeight="1" x14ac:dyDescent="0.3">
      <c r="A1048" s="504"/>
      <c r="B1048" s="504"/>
      <c r="C1048" s="504"/>
      <c r="D1048" s="504"/>
      <c r="E1048" s="506"/>
      <c r="F1048" s="506"/>
      <c r="G1048" s="506"/>
      <c r="H1048" s="506"/>
      <c r="I1048" s="506"/>
      <c r="J1048" s="506"/>
      <c r="K1048" s="507"/>
      <c r="L1048" s="508"/>
      <c r="M1048" s="508"/>
      <c r="N1048" s="508"/>
      <c r="O1048" s="509"/>
      <c r="P1048" s="509"/>
    </row>
    <row r="1049" spans="1:16" ht="21.75" customHeight="1" x14ac:dyDescent="0.3">
      <c r="A1049" s="504"/>
      <c r="B1049" s="504"/>
      <c r="C1049" s="504"/>
      <c r="D1049" s="504"/>
      <c r="E1049" s="506"/>
      <c r="F1049" s="506"/>
      <c r="G1049" s="506"/>
      <c r="H1049" s="506"/>
      <c r="I1049" s="506"/>
      <c r="J1049" s="506"/>
      <c r="K1049" s="507"/>
      <c r="L1049" s="508"/>
      <c r="M1049" s="508"/>
      <c r="N1049" s="508"/>
      <c r="O1049" s="509"/>
      <c r="P1049" s="509"/>
    </row>
    <row r="1050" spans="1:16" ht="21.75" customHeight="1" x14ac:dyDescent="0.3">
      <c r="A1050" s="504"/>
      <c r="B1050" s="504"/>
      <c r="C1050" s="504"/>
      <c r="D1050" s="504"/>
      <c r="E1050" s="506"/>
      <c r="F1050" s="506"/>
      <c r="G1050" s="506"/>
      <c r="H1050" s="506"/>
      <c r="I1050" s="506"/>
      <c r="J1050" s="506"/>
      <c r="K1050" s="507"/>
      <c r="L1050" s="508"/>
      <c r="M1050" s="508"/>
      <c r="N1050" s="508"/>
      <c r="O1050" s="509"/>
      <c r="P1050" s="509"/>
    </row>
    <row r="1051" spans="1:16" ht="21.75" customHeight="1" x14ac:dyDescent="0.3">
      <c r="A1051" s="504"/>
      <c r="B1051" s="504"/>
      <c r="C1051" s="504"/>
      <c r="D1051" s="504"/>
      <c r="E1051" s="506"/>
      <c r="F1051" s="506"/>
      <c r="G1051" s="506"/>
      <c r="H1051" s="506"/>
      <c r="I1051" s="506"/>
      <c r="J1051" s="506"/>
      <c r="K1051" s="507"/>
      <c r="L1051" s="508"/>
      <c r="M1051" s="508"/>
      <c r="N1051" s="508"/>
      <c r="O1051" s="509"/>
      <c r="P1051" s="509"/>
    </row>
    <row r="1052" spans="1:16" ht="21.75" customHeight="1" x14ac:dyDescent="0.3">
      <c r="A1052" s="504"/>
      <c r="B1052" s="504"/>
      <c r="C1052" s="504"/>
      <c r="D1052" s="504"/>
      <c r="E1052" s="506"/>
      <c r="F1052" s="506"/>
      <c r="G1052" s="506"/>
      <c r="H1052" s="506"/>
      <c r="I1052" s="506"/>
      <c r="J1052" s="506"/>
      <c r="K1052" s="507"/>
      <c r="L1052" s="508"/>
      <c r="M1052" s="508"/>
      <c r="N1052" s="508"/>
      <c r="O1052" s="509"/>
      <c r="P1052" s="509"/>
    </row>
    <row r="1053" spans="1:16" ht="21.75" customHeight="1" x14ac:dyDescent="0.3">
      <c r="A1053" s="504"/>
      <c r="B1053" s="504"/>
      <c r="C1053" s="504"/>
      <c r="D1053" s="504"/>
      <c r="E1053" s="506"/>
      <c r="F1053" s="506"/>
      <c r="G1053" s="506"/>
      <c r="H1053" s="506"/>
      <c r="I1053" s="506"/>
      <c r="J1053" s="506"/>
      <c r="K1053" s="507"/>
      <c r="L1053" s="508"/>
      <c r="M1053" s="508"/>
      <c r="N1053" s="508"/>
      <c r="O1053" s="509"/>
      <c r="P1053" s="509"/>
    </row>
    <row r="1054" spans="1:16" ht="21.75" customHeight="1" x14ac:dyDescent="0.3">
      <c r="A1054" s="504"/>
      <c r="B1054" s="504"/>
      <c r="C1054" s="504"/>
      <c r="D1054" s="504"/>
      <c r="E1054" s="506"/>
      <c r="F1054" s="506"/>
      <c r="G1054" s="506"/>
      <c r="H1054" s="506"/>
      <c r="I1054" s="506"/>
      <c r="J1054" s="506"/>
      <c r="K1054" s="507"/>
      <c r="L1054" s="508"/>
      <c r="M1054" s="508"/>
      <c r="N1054" s="508"/>
      <c r="O1054" s="509"/>
      <c r="P1054" s="509"/>
    </row>
    <row r="1055" spans="1:16" ht="21.75" customHeight="1" x14ac:dyDescent="0.3">
      <c r="A1055" s="504"/>
      <c r="B1055" s="504"/>
      <c r="C1055" s="504"/>
      <c r="D1055" s="504"/>
      <c r="E1055" s="506"/>
      <c r="F1055" s="506"/>
      <c r="G1055" s="506"/>
      <c r="H1055" s="506"/>
      <c r="I1055" s="506"/>
      <c r="J1055" s="506"/>
      <c r="K1055" s="507"/>
      <c r="L1055" s="508"/>
      <c r="M1055" s="508"/>
      <c r="N1055" s="508"/>
      <c r="O1055" s="509"/>
      <c r="P1055" s="509"/>
    </row>
    <row r="1056" spans="1:16" ht="21.75" customHeight="1" x14ac:dyDescent="0.3">
      <c r="A1056" s="504"/>
      <c r="B1056" s="504"/>
      <c r="C1056" s="504"/>
      <c r="D1056" s="504"/>
      <c r="E1056" s="506"/>
      <c r="F1056" s="506"/>
      <c r="G1056" s="506"/>
      <c r="H1056" s="506"/>
      <c r="I1056" s="506"/>
      <c r="J1056" s="506"/>
      <c r="K1056" s="507"/>
      <c r="L1056" s="508"/>
      <c r="M1056" s="508"/>
      <c r="N1056" s="508"/>
      <c r="O1056" s="509"/>
      <c r="P1056" s="509"/>
    </row>
    <row r="1057" spans="1:16" ht="21.75" customHeight="1" x14ac:dyDescent="0.3">
      <c r="A1057" s="504"/>
      <c r="B1057" s="504"/>
      <c r="C1057" s="504"/>
      <c r="D1057" s="504"/>
      <c r="E1057" s="506"/>
      <c r="F1057" s="506"/>
      <c r="G1057" s="506"/>
      <c r="H1057" s="506"/>
      <c r="I1057" s="506"/>
      <c r="J1057" s="506"/>
      <c r="K1057" s="507"/>
      <c r="L1057" s="508"/>
      <c r="M1057" s="508"/>
      <c r="N1057" s="508"/>
      <c r="O1057" s="509"/>
      <c r="P1057" s="509"/>
    </row>
    <row r="1058" spans="1:16" ht="21.75" customHeight="1" x14ac:dyDescent="0.3">
      <c r="A1058" s="504"/>
      <c r="B1058" s="504"/>
      <c r="C1058" s="504"/>
      <c r="D1058" s="504"/>
      <c r="E1058" s="506"/>
      <c r="F1058" s="506"/>
      <c r="G1058" s="506"/>
      <c r="H1058" s="506"/>
      <c r="I1058" s="506"/>
      <c r="J1058" s="506"/>
      <c r="K1058" s="507"/>
      <c r="L1058" s="508"/>
      <c r="M1058" s="508"/>
      <c r="N1058" s="508"/>
      <c r="O1058" s="509"/>
      <c r="P1058" s="509"/>
    </row>
    <row r="1059" spans="1:16" ht="21.75" customHeight="1" x14ac:dyDescent="0.3">
      <c r="A1059" s="504"/>
      <c r="B1059" s="504"/>
      <c r="C1059" s="504"/>
      <c r="D1059" s="504"/>
      <c r="E1059" s="506"/>
      <c r="F1059" s="506"/>
      <c r="G1059" s="506"/>
      <c r="H1059" s="506"/>
      <c r="I1059" s="506"/>
      <c r="J1059" s="506"/>
      <c r="K1059" s="507"/>
      <c r="L1059" s="508"/>
      <c r="M1059" s="508"/>
      <c r="N1059" s="508"/>
      <c r="O1059" s="509"/>
      <c r="P1059" s="509"/>
    </row>
    <row r="1060" spans="1:16" ht="21.75" customHeight="1" x14ac:dyDescent="0.3">
      <c r="A1060" s="504"/>
      <c r="B1060" s="504"/>
      <c r="C1060" s="504"/>
      <c r="D1060" s="504"/>
      <c r="E1060" s="506"/>
      <c r="F1060" s="506"/>
      <c r="G1060" s="506"/>
      <c r="H1060" s="506"/>
      <c r="I1060" s="506"/>
      <c r="J1060" s="506"/>
      <c r="K1060" s="507"/>
      <c r="L1060" s="508"/>
      <c r="M1060" s="508"/>
      <c r="N1060" s="508"/>
      <c r="O1060" s="509"/>
      <c r="P1060" s="509"/>
    </row>
    <row r="1061" spans="1:16" ht="21.75" customHeight="1" x14ac:dyDescent="0.3">
      <c r="A1061" s="504"/>
      <c r="B1061" s="504"/>
      <c r="C1061" s="504"/>
      <c r="D1061" s="504"/>
      <c r="E1061" s="506"/>
      <c r="F1061" s="506"/>
      <c r="G1061" s="506"/>
      <c r="H1061" s="506"/>
      <c r="I1061" s="506"/>
      <c r="J1061" s="506"/>
      <c r="K1061" s="507"/>
      <c r="L1061" s="508"/>
      <c r="M1061" s="508"/>
      <c r="N1061" s="508"/>
      <c r="O1061" s="509"/>
      <c r="P1061" s="509"/>
    </row>
    <row r="1062" spans="1:16" ht="21.75" customHeight="1" x14ac:dyDescent="0.3">
      <c r="A1062" s="504"/>
      <c r="B1062" s="504"/>
      <c r="C1062" s="504"/>
      <c r="D1062" s="504"/>
      <c r="E1062" s="506"/>
      <c r="F1062" s="506"/>
      <c r="G1062" s="506"/>
      <c r="H1062" s="506"/>
      <c r="I1062" s="506"/>
      <c r="J1062" s="506"/>
      <c r="K1062" s="507"/>
      <c r="L1062" s="508"/>
      <c r="M1062" s="508"/>
      <c r="N1062" s="508"/>
      <c r="O1062" s="509"/>
      <c r="P1062" s="509"/>
    </row>
    <row r="1063" spans="1:16" ht="21.75" customHeight="1" x14ac:dyDescent="0.3">
      <c r="A1063" s="504"/>
      <c r="B1063" s="504"/>
      <c r="C1063" s="504"/>
      <c r="D1063" s="504"/>
      <c r="E1063" s="506"/>
      <c r="F1063" s="506"/>
      <c r="G1063" s="506"/>
      <c r="H1063" s="506"/>
      <c r="I1063" s="506"/>
      <c r="J1063" s="506"/>
      <c r="K1063" s="507"/>
      <c r="L1063" s="508"/>
      <c r="M1063" s="508"/>
      <c r="N1063" s="508"/>
      <c r="O1063" s="509"/>
      <c r="P1063" s="509"/>
    </row>
    <row r="1064" spans="1:16" ht="21.75" customHeight="1" x14ac:dyDescent="0.3">
      <c r="A1064" s="504"/>
      <c r="B1064" s="504"/>
      <c r="C1064" s="504"/>
      <c r="D1064" s="504"/>
      <c r="E1064" s="506"/>
      <c r="F1064" s="506"/>
      <c r="G1064" s="506"/>
      <c r="H1064" s="506"/>
      <c r="I1064" s="506"/>
      <c r="J1064" s="506"/>
      <c r="K1064" s="507"/>
      <c r="L1064" s="508"/>
      <c r="M1064" s="508"/>
      <c r="N1064" s="508"/>
      <c r="O1064" s="509"/>
      <c r="P1064" s="509"/>
    </row>
    <row r="1065" spans="1:16" ht="21.75" customHeight="1" x14ac:dyDescent="0.3">
      <c r="A1065" s="504"/>
      <c r="B1065" s="504"/>
      <c r="C1065" s="504"/>
      <c r="D1065" s="504"/>
      <c r="E1065" s="506"/>
      <c r="F1065" s="506"/>
      <c r="G1065" s="506"/>
      <c r="H1065" s="506"/>
      <c r="I1065" s="506"/>
      <c r="J1065" s="506"/>
      <c r="K1065" s="507"/>
      <c r="L1065" s="508"/>
      <c r="M1065" s="508"/>
      <c r="N1065" s="508"/>
      <c r="O1065" s="509"/>
      <c r="P1065" s="509"/>
    </row>
    <row r="1066" spans="1:16" ht="21.75" customHeight="1" x14ac:dyDescent="0.3">
      <c r="A1066" s="504"/>
      <c r="B1066" s="504"/>
      <c r="C1066" s="504"/>
      <c r="D1066" s="504"/>
      <c r="E1066" s="506"/>
      <c r="F1066" s="506"/>
      <c r="G1066" s="506"/>
      <c r="H1066" s="506"/>
      <c r="I1066" s="506"/>
      <c r="J1066" s="506"/>
      <c r="K1066" s="507"/>
      <c r="L1066" s="508"/>
      <c r="M1066" s="508"/>
      <c r="N1066" s="508"/>
      <c r="O1066" s="509"/>
      <c r="P1066" s="509"/>
    </row>
    <row r="1067" spans="1:16" ht="21.75" customHeight="1" x14ac:dyDescent="0.3">
      <c r="A1067" s="504"/>
      <c r="B1067" s="504"/>
      <c r="C1067" s="504"/>
      <c r="D1067" s="504"/>
      <c r="E1067" s="506"/>
      <c r="F1067" s="506"/>
      <c r="G1067" s="506"/>
      <c r="H1067" s="506"/>
      <c r="I1067" s="506"/>
      <c r="J1067" s="506"/>
      <c r="K1067" s="507"/>
      <c r="L1067" s="508"/>
      <c r="M1067" s="508"/>
      <c r="N1067" s="508"/>
      <c r="O1067" s="509"/>
      <c r="P1067" s="509"/>
    </row>
    <row r="1068" spans="1:16" ht="21.75" customHeight="1" x14ac:dyDescent="0.3">
      <c r="A1068" s="504"/>
      <c r="B1068" s="504"/>
      <c r="C1068" s="504"/>
      <c r="D1068" s="504"/>
      <c r="E1068" s="506"/>
      <c r="F1068" s="506"/>
      <c r="G1068" s="506"/>
      <c r="H1068" s="506"/>
      <c r="I1068" s="506"/>
      <c r="J1068" s="506"/>
      <c r="K1068" s="507"/>
      <c r="L1068" s="508"/>
      <c r="M1068" s="508"/>
      <c r="N1068" s="508"/>
      <c r="O1068" s="509"/>
      <c r="P1068" s="509"/>
    </row>
    <row r="1069" spans="1:16" ht="21.75" customHeight="1" x14ac:dyDescent="0.3">
      <c r="A1069" s="504"/>
      <c r="B1069" s="504"/>
      <c r="C1069" s="504"/>
      <c r="D1069" s="504"/>
      <c r="E1069" s="506"/>
      <c r="F1069" s="506"/>
      <c r="G1069" s="506"/>
      <c r="H1069" s="506"/>
      <c r="I1069" s="506"/>
      <c r="J1069" s="506"/>
      <c r="K1069" s="507"/>
      <c r="L1069" s="508"/>
      <c r="M1069" s="508"/>
      <c r="N1069" s="508"/>
      <c r="O1069" s="509"/>
      <c r="P1069" s="509"/>
    </row>
    <row r="1070" spans="1:16" ht="21.75" customHeight="1" x14ac:dyDescent="0.3">
      <c r="A1070" s="504"/>
      <c r="B1070" s="504"/>
      <c r="C1070" s="504"/>
      <c r="D1070" s="504"/>
      <c r="E1070" s="506"/>
      <c r="F1070" s="506"/>
      <c r="G1070" s="506"/>
      <c r="H1070" s="506"/>
      <c r="I1070" s="506"/>
      <c r="J1070" s="506"/>
      <c r="K1070" s="507"/>
      <c r="L1070" s="508"/>
      <c r="M1070" s="508"/>
      <c r="N1070" s="508"/>
      <c r="O1070" s="509"/>
      <c r="P1070" s="509"/>
    </row>
    <row r="1071" spans="1:16" ht="21.75" customHeight="1" x14ac:dyDescent="0.3">
      <c r="A1071" s="504"/>
      <c r="B1071" s="504"/>
      <c r="C1071" s="504"/>
      <c r="D1071" s="504"/>
      <c r="E1071" s="506"/>
      <c r="F1071" s="506"/>
      <c r="G1071" s="506"/>
      <c r="H1071" s="506"/>
      <c r="I1071" s="506"/>
      <c r="J1071" s="506"/>
      <c r="K1071" s="507"/>
      <c r="L1071" s="508"/>
      <c r="M1071" s="508"/>
      <c r="N1071" s="508"/>
      <c r="O1071" s="509"/>
      <c r="P1071" s="509"/>
    </row>
    <row r="1072" spans="1:16" ht="21.75" customHeight="1" x14ac:dyDescent="0.3">
      <c r="A1072" s="504"/>
      <c r="B1072" s="504"/>
      <c r="C1072" s="504"/>
      <c r="D1072" s="504"/>
      <c r="E1072" s="506"/>
      <c r="F1072" s="506"/>
      <c r="G1072" s="506"/>
      <c r="H1072" s="506"/>
      <c r="I1072" s="506"/>
      <c r="J1072" s="506"/>
      <c r="K1072" s="507"/>
      <c r="L1072" s="508"/>
      <c r="M1072" s="508"/>
      <c r="N1072" s="508"/>
      <c r="O1072" s="509"/>
      <c r="P1072" s="509"/>
    </row>
    <row r="1073" spans="1:16" ht="21.75" customHeight="1" x14ac:dyDescent="0.3">
      <c r="A1073" s="504"/>
      <c r="B1073" s="504"/>
      <c r="C1073" s="504"/>
      <c r="D1073" s="504"/>
      <c r="E1073" s="506"/>
      <c r="F1073" s="506"/>
      <c r="G1073" s="506"/>
      <c r="H1073" s="506"/>
      <c r="I1073" s="506"/>
      <c r="J1073" s="506"/>
      <c r="K1073" s="507"/>
      <c r="L1073" s="508"/>
      <c r="M1073" s="508"/>
      <c r="N1073" s="508"/>
      <c r="O1073" s="509"/>
      <c r="P1073" s="509"/>
    </row>
    <row r="1074" spans="1:16" ht="21.75" customHeight="1" x14ac:dyDescent="0.3">
      <c r="A1074" s="504"/>
      <c r="B1074" s="504"/>
      <c r="C1074" s="504"/>
      <c r="D1074" s="504"/>
      <c r="E1074" s="506"/>
      <c r="F1074" s="506"/>
      <c r="G1074" s="506"/>
      <c r="H1074" s="506"/>
      <c r="I1074" s="506"/>
      <c r="J1074" s="506"/>
      <c r="K1074" s="507"/>
      <c r="L1074" s="508"/>
      <c r="M1074" s="508"/>
      <c r="N1074" s="508"/>
      <c r="O1074" s="509"/>
      <c r="P1074" s="509"/>
    </row>
    <row r="1075" spans="1:16" ht="21.75" customHeight="1" x14ac:dyDescent="0.3">
      <c r="A1075" s="504"/>
      <c r="B1075" s="504"/>
      <c r="C1075" s="504"/>
      <c r="D1075" s="504"/>
      <c r="E1075" s="506"/>
      <c r="F1075" s="506"/>
      <c r="G1075" s="506"/>
      <c r="H1075" s="506"/>
      <c r="I1075" s="506"/>
      <c r="J1075" s="506"/>
      <c r="K1075" s="507"/>
      <c r="L1075" s="508"/>
      <c r="M1075" s="508"/>
      <c r="N1075" s="508"/>
      <c r="O1075" s="509"/>
      <c r="P1075" s="509"/>
    </row>
    <row r="1076" spans="1:16" ht="21.75" customHeight="1" x14ac:dyDescent="0.3">
      <c r="A1076" s="504"/>
      <c r="B1076" s="504"/>
      <c r="C1076" s="504"/>
      <c r="D1076" s="504"/>
      <c r="E1076" s="506"/>
      <c r="F1076" s="506"/>
      <c r="G1076" s="506"/>
      <c r="H1076" s="506"/>
      <c r="I1076" s="506"/>
      <c r="J1076" s="506"/>
      <c r="K1076" s="507"/>
      <c r="L1076" s="508"/>
      <c r="M1076" s="508"/>
      <c r="N1076" s="508"/>
      <c r="O1076" s="509"/>
      <c r="P1076" s="509"/>
    </row>
    <row r="1077" spans="1:16" ht="21.75" customHeight="1" x14ac:dyDescent="0.3">
      <c r="A1077" s="504"/>
      <c r="B1077" s="504"/>
      <c r="C1077" s="504"/>
      <c r="D1077" s="504"/>
      <c r="E1077" s="506"/>
      <c r="F1077" s="506"/>
      <c r="G1077" s="506"/>
      <c r="H1077" s="506"/>
      <c r="I1077" s="506"/>
      <c r="J1077" s="506"/>
      <c r="K1077" s="507"/>
      <c r="L1077" s="508"/>
      <c r="M1077" s="508"/>
      <c r="N1077" s="508"/>
      <c r="O1077" s="509"/>
      <c r="P1077" s="509"/>
    </row>
    <row r="1078" spans="1:16" ht="21.75" customHeight="1" x14ac:dyDescent="0.3">
      <c r="A1078" s="504"/>
      <c r="B1078" s="504"/>
      <c r="C1078" s="504"/>
      <c r="D1078" s="504"/>
      <c r="E1078" s="506"/>
      <c r="F1078" s="506"/>
      <c r="G1078" s="506"/>
      <c r="H1078" s="506"/>
      <c r="I1078" s="506"/>
      <c r="J1078" s="506"/>
      <c r="K1078" s="507"/>
      <c r="L1078" s="508"/>
      <c r="M1078" s="508"/>
      <c r="N1078" s="508"/>
      <c r="O1078" s="509"/>
      <c r="P1078" s="509"/>
    </row>
    <row r="1079" spans="1:16" ht="21.75" customHeight="1" x14ac:dyDescent="0.3">
      <c r="A1079" s="504"/>
      <c r="B1079" s="504"/>
      <c r="C1079" s="504"/>
      <c r="D1079" s="504"/>
      <c r="E1079" s="506"/>
      <c r="F1079" s="506"/>
      <c r="G1079" s="506"/>
      <c r="H1079" s="506"/>
      <c r="I1079" s="506"/>
      <c r="J1079" s="506"/>
      <c r="K1079" s="507"/>
      <c r="L1079" s="508"/>
      <c r="M1079" s="508"/>
      <c r="N1079" s="508"/>
      <c r="O1079" s="509"/>
      <c r="P1079" s="509"/>
    </row>
    <row r="1080" spans="1:16" ht="21.75" customHeight="1" x14ac:dyDescent="0.3">
      <c r="A1080" s="504"/>
      <c r="B1080" s="504"/>
      <c r="C1080" s="504"/>
      <c r="D1080" s="504"/>
      <c r="E1080" s="506"/>
      <c r="F1080" s="506"/>
      <c r="G1080" s="506"/>
      <c r="H1080" s="506"/>
      <c r="I1080" s="506"/>
      <c r="J1080" s="506"/>
      <c r="K1080" s="507"/>
      <c r="L1080" s="508"/>
      <c r="M1080" s="508"/>
      <c r="N1080" s="508"/>
      <c r="O1080" s="509"/>
      <c r="P1080" s="509"/>
    </row>
    <row r="1081" spans="1:16" ht="21.75" customHeight="1" x14ac:dyDescent="0.3">
      <c r="A1081" s="504"/>
      <c r="B1081" s="504"/>
      <c r="C1081" s="504"/>
      <c r="D1081" s="504"/>
      <c r="E1081" s="506"/>
      <c r="F1081" s="506"/>
      <c r="G1081" s="506"/>
      <c r="H1081" s="506"/>
      <c r="I1081" s="506"/>
      <c r="J1081" s="506"/>
      <c r="K1081" s="507"/>
      <c r="L1081" s="508"/>
      <c r="M1081" s="508"/>
      <c r="N1081" s="508"/>
      <c r="O1081" s="509"/>
      <c r="P1081" s="509"/>
    </row>
    <row r="1082" spans="1:16" ht="21.75" customHeight="1" x14ac:dyDescent="0.3">
      <c r="A1082" s="504"/>
      <c r="B1082" s="504"/>
      <c r="C1082" s="504"/>
      <c r="D1082" s="504"/>
      <c r="E1082" s="506"/>
      <c r="F1082" s="506"/>
      <c r="G1082" s="506"/>
      <c r="H1082" s="506"/>
      <c r="I1082" s="506"/>
      <c r="J1082" s="506"/>
      <c r="K1082" s="507"/>
      <c r="L1082" s="508"/>
      <c r="M1082" s="508"/>
      <c r="N1082" s="508"/>
      <c r="O1082" s="509"/>
      <c r="P1082" s="509"/>
    </row>
    <row r="1083" spans="1:16" ht="21.75" customHeight="1" x14ac:dyDescent="0.3">
      <c r="A1083" s="504"/>
      <c r="B1083" s="504"/>
      <c r="C1083" s="504"/>
      <c r="D1083" s="504"/>
      <c r="E1083" s="506"/>
      <c r="F1083" s="506"/>
      <c r="G1083" s="506"/>
      <c r="H1083" s="506"/>
      <c r="I1083" s="506"/>
      <c r="J1083" s="506"/>
      <c r="K1083" s="507"/>
      <c r="L1083" s="508"/>
      <c r="M1083" s="508"/>
      <c r="N1083" s="508"/>
      <c r="O1083" s="509"/>
      <c r="P1083" s="509"/>
    </row>
    <row r="1084" spans="1:16" ht="21.75" customHeight="1" x14ac:dyDescent="0.3">
      <c r="A1084" s="504"/>
      <c r="B1084" s="504"/>
      <c r="C1084" s="504"/>
      <c r="D1084" s="504"/>
      <c r="E1084" s="506"/>
      <c r="F1084" s="506"/>
      <c r="G1084" s="506"/>
      <c r="H1084" s="506"/>
      <c r="I1084" s="506"/>
      <c r="J1084" s="506"/>
      <c r="K1084" s="507"/>
      <c r="L1084" s="508"/>
      <c r="M1084" s="508"/>
      <c r="N1084" s="508"/>
      <c r="O1084" s="509"/>
      <c r="P1084" s="509"/>
    </row>
    <row r="1085" spans="1:16" ht="21.75" customHeight="1" x14ac:dyDescent="0.3">
      <c r="A1085" s="504"/>
      <c r="B1085" s="504"/>
      <c r="C1085" s="504"/>
      <c r="D1085" s="504"/>
      <c r="E1085" s="506"/>
      <c r="F1085" s="506"/>
      <c r="G1085" s="506"/>
      <c r="H1085" s="506"/>
      <c r="I1085" s="506"/>
      <c r="J1085" s="506"/>
      <c r="K1085" s="507"/>
      <c r="L1085" s="508"/>
      <c r="M1085" s="508"/>
      <c r="N1085" s="508"/>
      <c r="O1085" s="509"/>
      <c r="P1085" s="509"/>
    </row>
    <row r="1086" spans="1:16" ht="21.75" customHeight="1" x14ac:dyDescent="0.3">
      <c r="A1086" s="504"/>
      <c r="B1086" s="504"/>
      <c r="C1086" s="504"/>
      <c r="D1086" s="504"/>
      <c r="E1086" s="506"/>
      <c r="F1086" s="506"/>
      <c r="G1086" s="506"/>
      <c r="H1086" s="506"/>
      <c r="I1086" s="506"/>
      <c r="J1086" s="506"/>
      <c r="K1086" s="507"/>
      <c r="L1086" s="508"/>
      <c r="M1086" s="508"/>
      <c r="N1086" s="508"/>
      <c r="O1086" s="509"/>
      <c r="P1086" s="509"/>
    </row>
    <row r="1087" spans="1:16" ht="21.75" customHeight="1" x14ac:dyDescent="0.3">
      <c r="A1087" s="504"/>
      <c r="B1087" s="504"/>
      <c r="C1087" s="504"/>
      <c r="D1087" s="504"/>
      <c r="E1087" s="506"/>
      <c r="F1087" s="506"/>
      <c r="G1087" s="506"/>
      <c r="H1087" s="506"/>
      <c r="I1087" s="506"/>
      <c r="J1087" s="506"/>
      <c r="K1087" s="507"/>
      <c r="L1087" s="508"/>
      <c r="M1087" s="508"/>
      <c r="N1087" s="508"/>
      <c r="O1087" s="509"/>
      <c r="P1087" s="509"/>
    </row>
    <row r="1088" spans="1:16" ht="21.75" customHeight="1" x14ac:dyDescent="0.3">
      <c r="A1088" s="504"/>
      <c r="B1088" s="504"/>
      <c r="C1088" s="504"/>
      <c r="D1088" s="504"/>
      <c r="E1088" s="506"/>
      <c r="F1088" s="506"/>
      <c r="G1088" s="506"/>
      <c r="H1088" s="506"/>
      <c r="I1088" s="506"/>
      <c r="J1088" s="506"/>
      <c r="K1088" s="507"/>
      <c r="L1088" s="508"/>
      <c r="M1088" s="508"/>
      <c r="N1088" s="508"/>
      <c r="O1088" s="509"/>
      <c r="P1088" s="509"/>
    </row>
    <row r="1089" spans="1:16" ht="21.75" customHeight="1" x14ac:dyDescent="0.3">
      <c r="A1089" s="504"/>
      <c r="B1089" s="504"/>
      <c r="C1089" s="504"/>
      <c r="D1089" s="504"/>
      <c r="E1089" s="506"/>
      <c r="F1089" s="506"/>
      <c r="G1089" s="506"/>
      <c r="H1089" s="506"/>
      <c r="I1089" s="506"/>
      <c r="J1089" s="506"/>
      <c r="K1089" s="507"/>
      <c r="L1089" s="508"/>
      <c r="M1089" s="508"/>
      <c r="N1089" s="508"/>
      <c r="O1089" s="509"/>
      <c r="P1089" s="509"/>
    </row>
    <row r="1090" spans="1:16" ht="21.75" customHeight="1" x14ac:dyDescent="0.3">
      <c r="A1090" s="504"/>
      <c r="B1090" s="504"/>
      <c r="C1090" s="504"/>
      <c r="D1090" s="504"/>
      <c r="E1090" s="506"/>
      <c r="F1090" s="506"/>
      <c r="G1090" s="506"/>
      <c r="H1090" s="506"/>
      <c r="I1090" s="506"/>
      <c r="J1090" s="506"/>
      <c r="K1090" s="507"/>
      <c r="L1090" s="508"/>
      <c r="M1090" s="508"/>
      <c r="N1090" s="508"/>
      <c r="O1090" s="509"/>
      <c r="P1090" s="509"/>
    </row>
    <row r="1091" spans="1:16" ht="21.75" customHeight="1" x14ac:dyDescent="0.3">
      <c r="A1091" s="504"/>
      <c r="B1091" s="504"/>
      <c r="C1091" s="504"/>
      <c r="D1091" s="504"/>
      <c r="E1091" s="506"/>
      <c r="F1091" s="506"/>
      <c r="G1091" s="506"/>
      <c r="H1091" s="506"/>
      <c r="I1091" s="506"/>
      <c r="J1091" s="506"/>
      <c r="K1091" s="507"/>
      <c r="L1091" s="508"/>
      <c r="M1091" s="508"/>
      <c r="N1091" s="508"/>
      <c r="O1091" s="509"/>
      <c r="P1091" s="509"/>
    </row>
    <row r="1092" spans="1:16" ht="21.75" customHeight="1" x14ac:dyDescent="0.3">
      <c r="A1092" s="504"/>
      <c r="B1092" s="504"/>
      <c r="C1092" s="504"/>
      <c r="D1092" s="504"/>
      <c r="E1092" s="506"/>
      <c r="F1092" s="506"/>
      <c r="G1092" s="506"/>
      <c r="H1092" s="506"/>
      <c r="I1092" s="506"/>
      <c r="J1092" s="506"/>
      <c r="K1092" s="507"/>
      <c r="L1092" s="508"/>
      <c r="M1092" s="508"/>
      <c r="N1092" s="508"/>
      <c r="O1092" s="509"/>
      <c r="P1092" s="509"/>
    </row>
    <row r="1093" spans="1:16" ht="21.75" customHeight="1" x14ac:dyDescent="0.3">
      <c r="A1093" s="504"/>
      <c r="B1093" s="504"/>
      <c r="C1093" s="504"/>
      <c r="D1093" s="504"/>
      <c r="E1093" s="506"/>
      <c r="F1093" s="506"/>
      <c r="G1093" s="506"/>
      <c r="H1093" s="506"/>
      <c r="I1093" s="506"/>
      <c r="J1093" s="506"/>
      <c r="K1093" s="507"/>
      <c r="L1093" s="508"/>
      <c r="M1093" s="508"/>
      <c r="N1093" s="508"/>
      <c r="O1093" s="509"/>
      <c r="P1093" s="509"/>
    </row>
    <row r="1094" spans="1:16" ht="21.75" customHeight="1" x14ac:dyDescent="0.3">
      <c r="A1094" s="504"/>
      <c r="B1094" s="504"/>
      <c r="C1094" s="504"/>
      <c r="D1094" s="504"/>
      <c r="E1094" s="506"/>
      <c r="F1094" s="506"/>
      <c r="G1094" s="506"/>
      <c r="H1094" s="506"/>
      <c r="I1094" s="506"/>
      <c r="J1094" s="506"/>
      <c r="K1094" s="507"/>
      <c r="L1094" s="508"/>
      <c r="M1094" s="508"/>
      <c r="N1094" s="508"/>
      <c r="O1094" s="509"/>
      <c r="P1094" s="509"/>
    </row>
    <row r="1095" spans="1:16" ht="21.75" customHeight="1" x14ac:dyDescent="0.3">
      <c r="A1095" s="504"/>
      <c r="B1095" s="504"/>
      <c r="C1095" s="504"/>
      <c r="D1095" s="504"/>
      <c r="E1095" s="506"/>
      <c r="F1095" s="506"/>
      <c r="G1095" s="506"/>
      <c r="H1095" s="506"/>
      <c r="I1095" s="506"/>
      <c r="J1095" s="506"/>
      <c r="K1095" s="507"/>
      <c r="L1095" s="508"/>
      <c r="M1095" s="508"/>
      <c r="N1095" s="508"/>
      <c r="O1095" s="509"/>
      <c r="P1095" s="509"/>
    </row>
    <row r="1096" spans="1:16" ht="21.75" customHeight="1" x14ac:dyDescent="0.3">
      <c r="A1096" s="504"/>
      <c r="B1096" s="504"/>
      <c r="C1096" s="504"/>
      <c r="D1096" s="504"/>
      <c r="E1096" s="506"/>
      <c r="F1096" s="506"/>
      <c r="G1096" s="506"/>
      <c r="H1096" s="506"/>
      <c r="I1096" s="506"/>
      <c r="J1096" s="506"/>
      <c r="K1096" s="507"/>
      <c r="L1096" s="508"/>
      <c r="M1096" s="508"/>
      <c r="N1096" s="508"/>
      <c r="O1096" s="509"/>
      <c r="P1096" s="509"/>
    </row>
    <row r="1097" spans="1:16" ht="21.75" customHeight="1" x14ac:dyDescent="0.3">
      <c r="A1097" s="504"/>
      <c r="B1097" s="504"/>
      <c r="C1097" s="504"/>
      <c r="D1097" s="504"/>
      <c r="E1097" s="506"/>
      <c r="F1097" s="506"/>
      <c r="G1097" s="506"/>
      <c r="H1097" s="506"/>
      <c r="I1097" s="506"/>
      <c r="J1097" s="506"/>
      <c r="K1097" s="507"/>
      <c r="L1097" s="508"/>
      <c r="M1097" s="508"/>
      <c r="N1097" s="508"/>
      <c r="O1097" s="509"/>
      <c r="P1097" s="509"/>
    </row>
    <row r="1098" spans="1:16" ht="21.75" customHeight="1" x14ac:dyDescent="0.3">
      <c r="A1098" s="504"/>
      <c r="B1098" s="504"/>
      <c r="C1098" s="504"/>
      <c r="D1098" s="504"/>
      <c r="E1098" s="506"/>
      <c r="F1098" s="506"/>
      <c r="G1098" s="506"/>
      <c r="H1098" s="506"/>
      <c r="I1098" s="506"/>
      <c r="J1098" s="506"/>
      <c r="K1098" s="507"/>
      <c r="L1098" s="508"/>
      <c r="M1098" s="508"/>
      <c r="N1098" s="508"/>
      <c r="O1098" s="509"/>
      <c r="P1098" s="509"/>
    </row>
    <row r="1099" spans="1:16" ht="21.75" customHeight="1" x14ac:dyDescent="0.3">
      <c r="A1099" s="504"/>
      <c r="B1099" s="504"/>
      <c r="C1099" s="504"/>
      <c r="D1099" s="504"/>
      <c r="E1099" s="506"/>
      <c r="F1099" s="506"/>
      <c r="G1099" s="506"/>
      <c r="H1099" s="506"/>
      <c r="I1099" s="506"/>
      <c r="J1099" s="506"/>
      <c r="K1099" s="507"/>
      <c r="L1099" s="508"/>
      <c r="M1099" s="508"/>
      <c r="N1099" s="508"/>
      <c r="O1099" s="509"/>
      <c r="P1099" s="509"/>
    </row>
    <row r="1100" spans="1:16" ht="21.75" customHeight="1" x14ac:dyDescent="0.3">
      <c r="A1100" s="504"/>
      <c r="B1100" s="504"/>
      <c r="C1100" s="504"/>
      <c r="D1100" s="504"/>
      <c r="E1100" s="506"/>
      <c r="F1100" s="506"/>
      <c r="G1100" s="506"/>
      <c r="H1100" s="506"/>
      <c r="I1100" s="506"/>
      <c r="J1100" s="506"/>
      <c r="K1100" s="507"/>
      <c r="L1100" s="508"/>
      <c r="M1100" s="508"/>
      <c r="N1100" s="508"/>
      <c r="O1100" s="509"/>
      <c r="P1100" s="509"/>
    </row>
    <row r="1101" spans="1:16" ht="21.75" customHeight="1" x14ac:dyDescent="0.3">
      <c r="A1101" s="504"/>
      <c r="B1101" s="504"/>
      <c r="C1101" s="504"/>
      <c r="D1101" s="504"/>
      <c r="E1101" s="506"/>
      <c r="F1101" s="506"/>
      <c r="G1101" s="506"/>
      <c r="H1101" s="506"/>
      <c r="I1101" s="506"/>
      <c r="J1101" s="506"/>
      <c r="K1101" s="507"/>
      <c r="L1101" s="508"/>
      <c r="M1101" s="508"/>
      <c r="N1101" s="508"/>
      <c r="O1101" s="509"/>
      <c r="P1101" s="509"/>
    </row>
    <row r="1102" spans="1:16" ht="21.75" customHeight="1" x14ac:dyDescent="0.3">
      <c r="A1102" s="504"/>
      <c r="B1102" s="504"/>
      <c r="C1102" s="504"/>
      <c r="D1102" s="504"/>
      <c r="E1102" s="506"/>
      <c r="F1102" s="506"/>
      <c r="G1102" s="506"/>
      <c r="H1102" s="506"/>
      <c r="I1102" s="506"/>
      <c r="J1102" s="506"/>
      <c r="K1102" s="507"/>
      <c r="L1102" s="508"/>
      <c r="M1102" s="508"/>
      <c r="N1102" s="508"/>
      <c r="O1102" s="509"/>
      <c r="P1102" s="509"/>
    </row>
    <row r="1103" spans="1:16" ht="21.75" customHeight="1" x14ac:dyDescent="0.3">
      <c r="A1103" s="504"/>
      <c r="B1103" s="504"/>
      <c r="C1103" s="504"/>
      <c r="D1103" s="504"/>
      <c r="E1103" s="506"/>
      <c r="F1103" s="506"/>
      <c r="G1103" s="506"/>
      <c r="H1103" s="506"/>
      <c r="I1103" s="506"/>
      <c r="J1103" s="506"/>
      <c r="K1103" s="507"/>
      <c r="L1103" s="508"/>
      <c r="M1103" s="508"/>
      <c r="N1103" s="508"/>
      <c r="O1103" s="509"/>
      <c r="P1103" s="509"/>
    </row>
    <row r="1104" spans="1:16" ht="21.75" customHeight="1" x14ac:dyDescent="0.3">
      <c r="A1104" s="504"/>
      <c r="B1104" s="504"/>
      <c r="C1104" s="504"/>
      <c r="D1104" s="504"/>
      <c r="E1104" s="506"/>
      <c r="F1104" s="506"/>
      <c r="G1104" s="506"/>
      <c r="H1104" s="506"/>
      <c r="I1104" s="506"/>
      <c r="J1104" s="506"/>
      <c r="K1104" s="507"/>
      <c r="L1104" s="508"/>
      <c r="M1104" s="508"/>
      <c r="N1104" s="508"/>
      <c r="O1104" s="509"/>
      <c r="P1104" s="509"/>
    </row>
    <row r="1105" spans="1:16" ht="21.75" customHeight="1" x14ac:dyDescent="0.3">
      <c r="A1105" s="504"/>
      <c r="B1105" s="504"/>
      <c r="C1105" s="504"/>
      <c r="D1105" s="504"/>
      <c r="E1105" s="506"/>
      <c r="F1105" s="506"/>
      <c r="G1105" s="506"/>
      <c r="H1105" s="506"/>
      <c r="I1105" s="506"/>
      <c r="J1105" s="506"/>
      <c r="K1105" s="507"/>
      <c r="L1105" s="508"/>
      <c r="M1105" s="508"/>
      <c r="N1105" s="508"/>
      <c r="O1105" s="509"/>
      <c r="P1105" s="509"/>
    </row>
    <row r="1106" spans="1:16" ht="21.75" customHeight="1" x14ac:dyDescent="0.3">
      <c r="A1106" s="504"/>
      <c r="B1106" s="504"/>
      <c r="C1106" s="504"/>
      <c r="D1106" s="504"/>
      <c r="E1106" s="506"/>
      <c r="F1106" s="506"/>
      <c r="G1106" s="506"/>
      <c r="H1106" s="506"/>
      <c r="I1106" s="506"/>
      <c r="J1106" s="506"/>
      <c r="K1106" s="507"/>
      <c r="L1106" s="508"/>
      <c r="M1106" s="508"/>
      <c r="N1106" s="508"/>
      <c r="O1106" s="509"/>
      <c r="P1106" s="509"/>
    </row>
    <row r="1107" spans="1:16" ht="21.75" customHeight="1" x14ac:dyDescent="0.3">
      <c r="A1107" s="504"/>
      <c r="B1107" s="504"/>
      <c r="C1107" s="504"/>
      <c r="D1107" s="504"/>
      <c r="E1107" s="506"/>
      <c r="F1107" s="506"/>
      <c r="G1107" s="506"/>
      <c r="H1107" s="506"/>
      <c r="I1107" s="506"/>
      <c r="J1107" s="506"/>
      <c r="K1107" s="507"/>
      <c r="L1107" s="508"/>
      <c r="M1107" s="508"/>
      <c r="N1107" s="508"/>
      <c r="O1107" s="509"/>
      <c r="P1107" s="509"/>
    </row>
    <row r="1108" spans="1:16" ht="21.75" customHeight="1" x14ac:dyDescent="0.3">
      <c r="A1108" s="504"/>
      <c r="B1108" s="504"/>
      <c r="C1108" s="504"/>
      <c r="D1108" s="504"/>
      <c r="E1108" s="506"/>
      <c r="F1108" s="506"/>
      <c r="G1108" s="506"/>
      <c r="H1108" s="506"/>
      <c r="I1108" s="506"/>
      <c r="J1108" s="506"/>
      <c r="K1108" s="507"/>
      <c r="L1108" s="508"/>
      <c r="M1108" s="508"/>
      <c r="N1108" s="508"/>
      <c r="O1108" s="509"/>
      <c r="P1108" s="509"/>
    </row>
    <row r="1109" spans="1:16" ht="21.75" customHeight="1" x14ac:dyDescent="0.3">
      <c r="A1109" s="504"/>
      <c r="B1109" s="504"/>
      <c r="C1109" s="504"/>
      <c r="D1109" s="504"/>
      <c r="E1109" s="506"/>
      <c r="F1109" s="506"/>
      <c r="G1109" s="506"/>
      <c r="H1109" s="506"/>
      <c r="I1109" s="506"/>
      <c r="J1109" s="506"/>
      <c r="K1109" s="507"/>
      <c r="L1109" s="508"/>
      <c r="M1109" s="508"/>
      <c r="N1109" s="508"/>
      <c r="O1109" s="509"/>
      <c r="P1109" s="509"/>
    </row>
    <row r="1110" spans="1:16" ht="21.75" customHeight="1" x14ac:dyDescent="0.3">
      <c r="A1110" s="504"/>
      <c r="B1110" s="504"/>
      <c r="C1110" s="504"/>
      <c r="D1110" s="504"/>
      <c r="E1110" s="506"/>
      <c r="F1110" s="506"/>
      <c r="G1110" s="506"/>
      <c r="H1110" s="506"/>
      <c r="I1110" s="506"/>
      <c r="J1110" s="506"/>
      <c r="K1110" s="507"/>
      <c r="L1110" s="508"/>
      <c r="M1110" s="508"/>
      <c r="N1110" s="508"/>
      <c r="O1110" s="509"/>
      <c r="P1110" s="509"/>
    </row>
    <row r="1111" spans="1:16" ht="21.75" customHeight="1" x14ac:dyDescent="0.3">
      <c r="A1111" s="504"/>
      <c r="B1111" s="504"/>
      <c r="C1111" s="504"/>
      <c r="D1111" s="504"/>
      <c r="E1111" s="506"/>
      <c r="F1111" s="506"/>
      <c r="G1111" s="506"/>
      <c r="H1111" s="506"/>
      <c r="I1111" s="506"/>
      <c r="J1111" s="506"/>
      <c r="K1111" s="507"/>
      <c r="L1111" s="508"/>
      <c r="M1111" s="508"/>
      <c r="N1111" s="508"/>
      <c r="O1111" s="509"/>
      <c r="P1111" s="509"/>
    </row>
    <row r="1112" spans="1:16" ht="21.75" customHeight="1" x14ac:dyDescent="0.3">
      <c r="A1112" s="504"/>
      <c r="B1112" s="504"/>
      <c r="C1112" s="504"/>
      <c r="D1112" s="504"/>
      <c r="E1112" s="506"/>
      <c r="F1112" s="506"/>
      <c r="G1112" s="506"/>
      <c r="H1112" s="506"/>
      <c r="I1112" s="506"/>
      <c r="J1112" s="506"/>
      <c r="K1112" s="507"/>
      <c r="L1112" s="508"/>
      <c r="M1112" s="508"/>
      <c r="N1112" s="508"/>
      <c r="O1112" s="509"/>
      <c r="P1112" s="509"/>
    </row>
    <row r="1113" spans="1:16" ht="21.75" customHeight="1" x14ac:dyDescent="0.3">
      <c r="A1113" s="504"/>
      <c r="B1113" s="504"/>
      <c r="C1113" s="504"/>
      <c r="D1113" s="504"/>
      <c r="E1113" s="506"/>
      <c r="F1113" s="506"/>
      <c r="G1113" s="506"/>
      <c r="H1113" s="506"/>
      <c r="I1113" s="506"/>
      <c r="J1113" s="506"/>
      <c r="K1113" s="507"/>
      <c r="L1113" s="508"/>
      <c r="M1113" s="508"/>
      <c r="N1113" s="508"/>
      <c r="O1113" s="509"/>
      <c r="P1113" s="509"/>
    </row>
    <row r="1114" spans="1:16" ht="21.75" customHeight="1" x14ac:dyDescent="0.3">
      <c r="A1114" s="504"/>
      <c r="B1114" s="504"/>
      <c r="C1114" s="504"/>
      <c r="D1114" s="504"/>
      <c r="E1114" s="506"/>
      <c r="F1114" s="506"/>
      <c r="G1114" s="506"/>
      <c r="H1114" s="506"/>
      <c r="I1114" s="506"/>
      <c r="J1114" s="506"/>
      <c r="K1114" s="507"/>
      <c r="L1114" s="508"/>
      <c r="M1114" s="508"/>
      <c r="N1114" s="508"/>
      <c r="O1114" s="509"/>
      <c r="P1114" s="509"/>
    </row>
    <row r="1115" spans="1:16" ht="21.75" customHeight="1" x14ac:dyDescent="0.3">
      <c r="A1115" s="504"/>
      <c r="B1115" s="504"/>
      <c r="C1115" s="504"/>
      <c r="D1115" s="504"/>
      <c r="E1115" s="506"/>
      <c r="F1115" s="506"/>
      <c r="G1115" s="506"/>
      <c r="H1115" s="506"/>
      <c r="I1115" s="506"/>
      <c r="J1115" s="506"/>
      <c r="K1115" s="507"/>
      <c r="L1115" s="508"/>
      <c r="M1115" s="508"/>
      <c r="N1115" s="508"/>
      <c r="O1115" s="509"/>
      <c r="P1115" s="509"/>
    </row>
    <row r="1116" spans="1:16" ht="21.75" customHeight="1" x14ac:dyDescent="0.3">
      <c r="A1116" s="504"/>
      <c r="B1116" s="504"/>
      <c r="C1116" s="504"/>
      <c r="D1116" s="504"/>
      <c r="E1116" s="506"/>
      <c r="F1116" s="506"/>
      <c r="G1116" s="506"/>
      <c r="H1116" s="506"/>
      <c r="I1116" s="506"/>
      <c r="J1116" s="506"/>
      <c r="K1116" s="507"/>
      <c r="L1116" s="508"/>
      <c r="M1116" s="508"/>
      <c r="N1116" s="508"/>
      <c r="O1116" s="509"/>
      <c r="P1116" s="509"/>
    </row>
    <row r="1117" spans="1:16" ht="21.75" customHeight="1" x14ac:dyDescent="0.3">
      <c r="A1117" s="504"/>
      <c r="B1117" s="504"/>
      <c r="C1117" s="504"/>
      <c r="D1117" s="504"/>
      <c r="E1117" s="506"/>
      <c r="F1117" s="506"/>
      <c r="G1117" s="506"/>
      <c r="H1117" s="506"/>
      <c r="I1117" s="506"/>
      <c r="J1117" s="506"/>
      <c r="K1117" s="507"/>
      <c r="L1117" s="508"/>
      <c r="M1117" s="508"/>
      <c r="N1117" s="508"/>
      <c r="O1117" s="509"/>
      <c r="P1117" s="509"/>
    </row>
    <row r="1118" spans="1:16" ht="21.75" customHeight="1" x14ac:dyDescent="0.3">
      <c r="A1118" s="504"/>
      <c r="B1118" s="504"/>
      <c r="C1118" s="504"/>
      <c r="D1118" s="504"/>
      <c r="E1118" s="506"/>
      <c r="F1118" s="506"/>
      <c r="G1118" s="506"/>
      <c r="H1118" s="506"/>
      <c r="I1118" s="506"/>
      <c r="J1118" s="506"/>
      <c r="K1118" s="507"/>
      <c r="L1118" s="508"/>
      <c r="M1118" s="508"/>
      <c r="N1118" s="508"/>
      <c r="O1118" s="509"/>
      <c r="P1118" s="509"/>
    </row>
    <row r="1119" spans="1:16" ht="21.75" customHeight="1" x14ac:dyDescent="0.3">
      <c r="A1119" s="504"/>
      <c r="B1119" s="504"/>
      <c r="C1119" s="504"/>
      <c r="D1119" s="504"/>
      <c r="E1119" s="506"/>
      <c r="F1119" s="506"/>
      <c r="G1119" s="506"/>
      <c r="H1119" s="506"/>
      <c r="I1119" s="506"/>
      <c r="J1119" s="506"/>
      <c r="K1119" s="507"/>
      <c r="L1119" s="508"/>
      <c r="M1119" s="508"/>
      <c r="N1119" s="508"/>
      <c r="O1119" s="509"/>
      <c r="P1119" s="509"/>
    </row>
    <row r="1120" spans="1:16" ht="21.75" customHeight="1" x14ac:dyDescent="0.3">
      <c r="A1120" s="504"/>
      <c r="B1120" s="504"/>
      <c r="C1120" s="504"/>
      <c r="D1120" s="504"/>
      <c r="E1120" s="506"/>
      <c r="F1120" s="506"/>
      <c r="G1120" s="506"/>
      <c r="H1120" s="506"/>
      <c r="I1120" s="506"/>
      <c r="J1120" s="506"/>
      <c r="K1120" s="507"/>
      <c r="L1120" s="508"/>
      <c r="M1120" s="508"/>
      <c r="N1120" s="508"/>
      <c r="O1120" s="509"/>
      <c r="P1120" s="509"/>
    </row>
    <row r="1121" spans="1:16" ht="21.75" customHeight="1" x14ac:dyDescent="0.3">
      <c r="A1121" s="504"/>
      <c r="B1121" s="504"/>
      <c r="C1121" s="504"/>
      <c r="D1121" s="504"/>
      <c r="E1121" s="506"/>
      <c r="F1121" s="506"/>
      <c r="G1121" s="506"/>
      <c r="H1121" s="506"/>
      <c r="I1121" s="506"/>
      <c r="J1121" s="506"/>
      <c r="K1121" s="507"/>
      <c r="L1121" s="508"/>
      <c r="M1121" s="508"/>
      <c r="N1121" s="508"/>
      <c r="O1121" s="509"/>
      <c r="P1121" s="509"/>
    </row>
    <row r="1122" spans="1:16" ht="21.75" customHeight="1" x14ac:dyDescent="0.3">
      <c r="A1122" s="504"/>
      <c r="B1122" s="504"/>
      <c r="C1122" s="504"/>
      <c r="D1122" s="504"/>
      <c r="E1122" s="506"/>
      <c r="F1122" s="506"/>
      <c r="G1122" s="506"/>
      <c r="H1122" s="506"/>
      <c r="I1122" s="506"/>
      <c r="J1122" s="506"/>
      <c r="K1122" s="507"/>
      <c r="L1122" s="508"/>
      <c r="M1122" s="508"/>
      <c r="N1122" s="508"/>
      <c r="O1122" s="509"/>
      <c r="P1122" s="509"/>
    </row>
    <row r="1123" spans="1:16" ht="21.75" customHeight="1" x14ac:dyDescent="0.3">
      <c r="A1123" s="504"/>
      <c r="B1123" s="504"/>
      <c r="C1123" s="504"/>
      <c r="D1123" s="504"/>
      <c r="E1123" s="506"/>
      <c r="F1123" s="506"/>
      <c r="G1123" s="506"/>
      <c r="H1123" s="506"/>
      <c r="I1123" s="506"/>
      <c r="J1123" s="506"/>
      <c r="K1123" s="507"/>
      <c r="L1123" s="508"/>
      <c r="M1123" s="508"/>
      <c r="N1123" s="508"/>
      <c r="O1123" s="509"/>
      <c r="P1123" s="509"/>
    </row>
    <row r="1124" spans="1:16" ht="21.75" customHeight="1" x14ac:dyDescent="0.3">
      <c r="A1124" s="504"/>
      <c r="B1124" s="504"/>
      <c r="C1124" s="504"/>
      <c r="D1124" s="504"/>
      <c r="E1124" s="506"/>
      <c r="F1124" s="506"/>
      <c r="G1124" s="506"/>
      <c r="H1124" s="506"/>
      <c r="I1124" s="506"/>
      <c r="J1124" s="506"/>
      <c r="K1124" s="507"/>
      <c r="L1124" s="508"/>
      <c r="M1124" s="508"/>
      <c r="N1124" s="508"/>
      <c r="O1124" s="509"/>
      <c r="P1124" s="509"/>
    </row>
    <row r="1125" spans="1:16" ht="21.75" customHeight="1" x14ac:dyDescent="0.3">
      <c r="A1125" s="504"/>
      <c r="B1125" s="504"/>
      <c r="C1125" s="504"/>
      <c r="D1125" s="504"/>
      <c r="E1125" s="506"/>
      <c r="F1125" s="506"/>
      <c r="G1125" s="506"/>
      <c r="H1125" s="506"/>
      <c r="I1125" s="506"/>
      <c r="J1125" s="506"/>
      <c r="K1125" s="507"/>
      <c r="L1125" s="508"/>
      <c r="M1125" s="508"/>
      <c r="N1125" s="508"/>
      <c r="O1125" s="509"/>
      <c r="P1125" s="509"/>
    </row>
    <row r="1126" spans="1:16" ht="21.75" customHeight="1" x14ac:dyDescent="0.3">
      <c r="A1126" s="504"/>
      <c r="B1126" s="504"/>
      <c r="C1126" s="504"/>
      <c r="D1126" s="504"/>
      <c r="E1126" s="506"/>
      <c r="F1126" s="506"/>
      <c r="G1126" s="506"/>
      <c r="H1126" s="506"/>
      <c r="I1126" s="506"/>
      <c r="J1126" s="506"/>
      <c r="K1126" s="507"/>
      <c r="L1126" s="508"/>
      <c r="M1126" s="508"/>
      <c r="N1126" s="508"/>
      <c r="O1126" s="509"/>
      <c r="P1126" s="509"/>
    </row>
    <row r="1127" spans="1:16" ht="21.75" customHeight="1" x14ac:dyDescent="0.3">
      <c r="A1127" s="504"/>
      <c r="B1127" s="504"/>
      <c r="C1127" s="504"/>
      <c r="D1127" s="504"/>
      <c r="E1127" s="506"/>
      <c r="F1127" s="506"/>
      <c r="G1127" s="506"/>
      <c r="H1127" s="506"/>
      <c r="I1127" s="506"/>
      <c r="J1127" s="506"/>
      <c r="K1127" s="507"/>
      <c r="L1127" s="508"/>
      <c r="M1127" s="508"/>
      <c r="N1127" s="508"/>
      <c r="O1127" s="509"/>
      <c r="P1127" s="509"/>
    </row>
    <row r="1128" spans="1:16" ht="21.75" customHeight="1" x14ac:dyDescent="0.3">
      <c r="A1128" s="504"/>
      <c r="B1128" s="504"/>
      <c r="C1128" s="504"/>
      <c r="D1128" s="504"/>
      <c r="E1128" s="506"/>
      <c r="F1128" s="506"/>
      <c r="G1128" s="506"/>
      <c r="H1128" s="506"/>
      <c r="I1128" s="506"/>
      <c r="J1128" s="506"/>
      <c r="K1128" s="507"/>
      <c r="L1128" s="508"/>
      <c r="M1128" s="508"/>
      <c r="N1128" s="508"/>
      <c r="O1128" s="509"/>
      <c r="P1128" s="509"/>
    </row>
    <row r="1129" spans="1:16" ht="21.75" customHeight="1" x14ac:dyDescent="0.3">
      <c r="A1129" s="504"/>
      <c r="B1129" s="504"/>
      <c r="C1129" s="504"/>
      <c r="D1129" s="504"/>
      <c r="E1129" s="506"/>
      <c r="F1129" s="506"/>
      <c r="G1129" s="506"/>
      <c r="H1129" s="506"/>
      <c r="I1129" s="506"/>
      <c r="J1129" s="506"/>
      <c r="K1129" s="507"/>
      <c r="L1129" s="508"/>
      <c r="M1129" s="508"/>
      <c r="N1129" s="508"/>
      <c r="O1129" s="509"/>
      <c r="P1129" s="509"/>
    </row>
    <row r="1130" spans="1:16" ht="21.75" customHeight="1" x14ac:dyDescent="0.3">
      <c r="A1130" s="504"/>
      <c r="B1130" s="504"/>
      <c r="C1130" s="504"/>
      <c r="D1130" s="504"/>
      <c r="E1130" s="506"/>
      <c r="F1130" s="506"/>
      <c r="G1130" s="506"/>
      <c r="H1130" s="506"/>
      <c r="I1130" s="506"/>
      <c r="J1130" s="506"/>
      <c r="K1130" s="507"/>
      <c r="L1130" s="508"/>
      <c r="M1130" s="508"/>
      <c r="N1130" s="508"/>
      <c r="O1130" s="509"/>
      <c r="P1130" s="509"/>
    </row>
    <row r="1131" spans="1:16" ht="21.75" customHeight="1" x14ac:dyDescent="0.3">
      <c r="A1131" s="504"/>
      <c r="B1131" s="504"/>
      <c r="C1131" s="504"/>
      <c r="D1131" s="504"/>
      <c r="E1131" s="506"/>
      <c r="F1131" s="506"/>
      <c r="G1131" s="506"/>
      <c r="H1131" s="506"/>
      <c r="I1131" s="506"/>
      <c r="J1131" s="506"/>
      <c r="K1131" s="507"/>
      <c r="L1131" s="508"/>
      <c r="M1131" s="508"/>
      <c r="N1131" s="508"/>
      <c r="O1131" s="509"/>
      <c r="P1131" s="509"/>
    </row>
    <row r="1132" spans="1:16" ht="21.75" customHeight="1" x14ac:dyDescent="0.3">
      <c r="A1132" s="504"/>
      <c r="B1132" s="504"/>
      <c r="C1132" s="504"/>
      <c r="D1132" s="504"/>
      <c r="E1132" s="506"/>
      <c r="F1132" s="506"/>
      <c r="G1132" s="506"/>
      <c r="H1132" s="506"/>
      <c r="I1132" s="506"/>
      <c r="J1132" s="506"/>
      <c r="K1132" s="507"/>
      <c r="L1132" s="508"/>
      <c r="M1132" s="508"/>
      <c r="N1132" s="508"/>
      <c r="O1132" s="509"/>
      <c r="P1132" s="509"/>
    </row>
    <row r="1133" spans="1:16" ht="21.75" customHeight="1" x14ac:dyDescent="0.3">
      <c r="A1133" s="504"/>
      <c r="B1133" s="504"/>
      <c r="C1133" s="504"/>
      <c r="D1133" s="504"/>
      <c r="E1133" s="506"/>
      <c r="F1133" s="506"/>
      <c r="G1133" s="506"/>
      <c r="H1133" s="506"/>
      <c r="I1133" s="506"/>
      <c r="J1133" s="506"/>
      <c r="K1133" s="507"/>
      <c r="L1133" s="508"/>
      <c r="M1133" s="508"/>
      <c r="N1133" s="508"/>
      <c r="O1133" s="509"/>
      <c r="P1133" s="509"/>
    </row>
    <row r="1134" spans="1:16" ht="21.75" customHeight="1" x14ac:dyDescent="0.3">
      <c r="A1134" s="504"/>
      <c r="B1134" s="504"/>
      <c r="C1134" s="504"/>
      <c r="D1134" s="504"/>
      <c r="E1134" s="506"/>
      <c r="F1134" s="506"/>
      <c r="G1134" s="506"/>
      <c r="H1134" s="506"/>
      <c r="I1134" s="506"/>
      <c r="J1134" s="506"/>
      <c r="K1134" s="507"/>
      <c r="L1134" s="508"/>
      <c r="M1134" s="508"/>
      <c r="N1134" s="508"/>
      <c r="O1134" s="509"/>
      <c r="P1134" s="509"/>
    </row>
    <row r="1135" spans="1:16" ht="21.75" customHeight="1" x14ac:dyDescent="0.3">
      <c r="A1135" s="504"/>
      <c r="B1135" s="504"/>
      <c r="C1135" s="504"/>
      <c r="D1135" s="504"/>
      <c r="E1135" s="506"/>
      <c r="F1135" s="506"/>
      <c r="G1135" s="506"/>
      <c r="H1135" s="506"/>
      <c r="I1135" s="506"/>
      <c r="J1135" s="506"/>
      <c r="K1135" s="507"/>
      <c r="L1135" s="508"/>
      <c r="M1135" s="508"/>
      <c r="N1135" s="508"/>
      <c r="O1135" s="509"/>
      <c r="P1135" s="509"/>
    </row>
    <row r="1136" spans="1:16" ht="21.75" customHeight="1" x14ac:dyDescent="0.3">
      <c r="A1136" s="504"/>
      <c r="B1136" s="504"/>
      <c r="C1136" s="504"/>
      <c r="D1136" s="504"/>
      <c r="E1136" s="506"/>
      <c r="F1136" s="506"/>
      <c r="G1136" s="506"/>
      <c r="H1136" s="506"/>
      <c r="I1136" s="506"/>
      <c r="J1136" s="506"/>
      <c r="K1136" s="507"/>
      <c r="L1136" s="508"/>
      <c r="M1136" s="508"/>
      <c r="N1136" s="508"/>
      <c r="O1136" s="509"/>
      <c r="P1136" s="509"/>
    </row>
    <row r="1137" spans="1:16" ht="21.75" customHeight="1" x14ac:dyDescent="0.3">
      <c r="A1137" s="504"/>
      <c r="B1137" s="504"/>
      <c r="C1137" s="504"/>
      <c r="D1137" s="504"/>
      <c r="E1137" s="506"/>
      <c r="F1137" s="506"/>
      <c r="G1137" s="506"/>
      <c r="H1137" s="506"/>
      <c r="I1137" s="506"/>
      <c r="J1137" s="506"/>
      <c r="K1137" s="507"/>
      <c r="L1137" s="508"/>
      <c r="M1137" s="508"/>
      <c r="N1137" s="508"/>
      <c r="O1137" s="509"/>
      <c r="P1137" s="509"/>
    </row>
    <row r="1138" spans="1:16" ht="21.75" customHeight="1" x14ac:dyDescent="0.3">
      <c r="A1138" s="504"/>
      <c r="B1138" s="504"/>
      <c r="C1138" s="504"/>
      <c r="D1138" s="504"/>
      <c r="E1138" s="506"/>
      <c r="F1138" s="506"/>
      <c r="G1138" s="506"/>
      <c r="H1138" s="506"/>
      <c r="I1138" s="506"/>
      <c r="J1138" s="506"/>
      <c r="K1138" s="507"/>
      <c r="L1138" s="508"/>
      <c r="M1138" s="508"/>
      <c r="N1138" s="508"/>
      <c r="O1138" s="509"/>
      <c r="P1138" s="509"/>
    </row>
    <row r="1139" spans="1:16" ht="21.75" customHeight="1" x14ac:dyDescent="0.3">
      <c r="A1139" s="504"/>
      <c r="B1139" s="504"/>
      <c r="C1139" s="504"/>
      <c r="D1139" s="504"/>
      <c r="E1139" s="506"/>
      <c r="F1139" s="506"/>
      <c r="G1139" s="506"/>
      <c r="H1139" s="506"/>
      <c r="I1139" s="506"/>
      <c r="J1139" s="506"/>
      <c r="K1139" s="507"/>
      <c r="L1139" s="508"/>
      <c r="M1139" s="508"/>
      <c r="N1139" s="508"/>
      <c r="O1139" s="509"/>
      <c r="P1139" s="509"/>
    </row>
    <row r="1140" spans="1:16" ht="21.75" customHeight="1" x14ac:dyDescent="0.3">
      <c r="A1140" s="504"/>
      <c r="B1140" s="504"/>
      <c r="C1140" s="504"/>
      <c r="D1140" s="504"/>
      <c r="E1140" s="506"/>
      <c r="F1140" s="506"/>
      <c r="G1140" s="506"/>
      <c r="H1140" s="506"/>
      <c r="I1140" s="506"/>
      <c r="J1140" s="506"/>
      <c r="K1140" s="507"/>
      <c r="L1140" s="508"/>
      <c r="M1140" s="508"/>
      <c r="N1140" s="508"/>
      <c r="O1140" s="509"/>
      <c r="P1140" s="509"/>
    </row>
    <row r="1141" spans="1:16" ht="21.75" customHeight="1" x14ac:dyDescent="0.3">
      <c r="A1141" s="504"/>
      <c r="B1141" s="504"/>
      <c r="C1141" s="504"/>
      <c r="D1141" s="504"/>
      <c r="E1141" s="506"/>
      <c r="F1141" s="506"/>
      <c r="G1141" s="506"/>
      <c r="H1141" s="506"/>
      <c r="I1141" s="506"/>
      <c r="J1141" s="506"/>
      <c r="K1141" s="507"/>
      <c r="L1141" s="508"/>
      <c r="M1141" s="508"/>
      <c r="N1141" s="508"/>
      <c r="O1141" s="509"/>
      <c r="P1141" s="509"/>
    </row>
    <row r="1142" spans="1:16" ht="21.75" customHeight="1" x14ac:dyDescent="0.3">
      <c r="A1142" s="504"/>
      <c r="B1142" s="504"/>
      <c r="C1142" s="504"/>
      <c r="D1142" s="504"/>
      <c r="E1142" s="506"/>
      <c r="F1142" s="506"/>
      <c r="G1142" s="506"/>
      <c r="H1142" s="506"/>
      <c r="I1142" s="506"/>
      <c r="J1142" s="506"/>
      <c r="K1142" s="507"/>
      <c r="L1142" s="508"/>
      <c r="M1142" s="508"/>
      <c r="N1142" s="508"/>
      <c r="O1142" s="509"/>
      <c r="P1142" s="509"/>
    </row>
    <row r="1143" spans="1:16" ht="21.75" customHeight="1" x14ac:dyDescent="0.3">
      <c r="A1143" s="504"/>
      <c r="B1143" s="504"/>
      <c r="C1143" s="504"/>
      <c r="D1143" s="504"/>
      <c r="E1143" s="506"/>
      <c r="F1143" s="506"/>
      <c r="G1143" s="506"/>
      <c r="H1143" s="506"/>
      <c r="I1143" s="506"/>
      <c r="J1143" s="506"/>
      <c r="K1143" s="507"/>
      <c r="L1143" s="508"/>
      <c r="M1143" s="508"/>
      <c r="N1143" s="508"/>
      <c r="O1143" s="509"/>
      <c r="P1143" s="509"/>
    </row>
  </sheetData>
  <mergeCells count="49">
    <mergeCell ref="D310:G310"/>
    <mergeCell ref="D317:E317"/>
    <mergeCell ref="D329:G329"/>
    <mergeCell ref="D336:E336"/>
    <mergeCell ref="D140:G140"/>
    <mergeCell ref="D147:E147"/>
    <mergeCell ref="D220:G220"/>
    <mergeCell ref="D227:E227"/>
    <mergeCell ref="D250:G250"/>
    <mergeCell ref="D257:E257"/>
    <mergeCell ref="D271:G271"/>
    <mergeCell ref="D118:G118"/>
    <mergeCell ref="D125:E125"/>
    <mergeCell ref="D278:E278"/>
    <mergeCell ref="D290:G290"/>
    <mergeCell ref="D297:E297"/>
    <mergeCell ref="D60:E60"/>
    <mergeCell ref="D66:G66"/>
    <mergeCell ref="D73:E73"/>
    <mergeCell ref="D94:G94"/>
    <mergeCell ref="D101:E101"/>
    <mergeCell ref="D44:F44"/>
    <mergeCell ref="D48:E48"/>
    <mergeCell ref="B52:G52"/>
    <mergeCell ref="D53:G53"/>
    <mergeCell ref="D56:F56"/>
    <mergeCell ref="D31:F31"/>
    <mergeCell ref="D35:E35"/>
    <mergeCell ref="A38:G38"/>
    <mergeCell ref="B39:G39"/>
    <mergeCell ref="D41:G41"/>
    <mergeCell ref="D18:G18"/>
    <mergeCell ref="D21:F21"/>
    <mergeCell ref="D25:E25"/>
    <mergeCell ref="A27:G27"/>
    <mergeCell ref="D28:G28"/>
    <mergeCell ref="A7:G7"/>
    <mergeCell ref="D8:G8"/>
    <mergeCell ref="D11:F11"/>
    <mergeCell ref="D15:E15"/>
    <mergeCell ref="A17:G17"/>
    <mergeCell ref="H5:H6"/>
    <mergeCell ref="I5:K5"/>
    <mergeCell ref="L5:M5"/>
    <mergeCell ref="N5:P5"/>
    <mergeCell ref="A5:G6"/>
    <mergeCell ref="A1:P1"/>
    <mergeCell ref="A2:P2"/>
    <mergeCell ref="A3:P3"/>
  </mergeCells>
  <printOptions horizontalCentered="1"/>
  <pageMargins left="0.23622047244094491" right="0.27559055118110237" top="0.31496062992125984" bottom="0.39370078740157483" header="0" footer="0"/>
  <pageSetup paperSize="9" scale="39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46" max="16383" man="1"/>
    <brk id="326" max="16383" man="1"/>
    <brk id="400" max="16383" man="1"/>
    <brk id="486" max="16383" man="1"/>
    <brk id="563" max="16383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J7" sqref="J7"/>
      <selection pane="bottomLeft" activeCell="A2" sqref="A2:P2"/>
    </sheetView>
  </sheetViews>
  <sheetFormatPr defaultColWidth="12.6640625" defaultRowHeight="15" customHeight="1" x14ac:dyDescent="0.3"/>
  <cols>
    <col min="1" max="3" width="2.75" customWidth="1"/>
    <col min="4" max="6" width="5" customWidth="1"/>
    <col min="7" max="7" width="70.9140625" customWidth="1"/>
    <col min="8" max="8" width="9.5" customWidth="1"/>
    <col min="9" max="10" width="13.9140625" customWidth="1"/>
    <col min="11" max="11" width="10.08203125" bestFit="1" customWidth="1"/>
    <col min="12" max="12" width="17.75" bestFit="1" customWidth="1"/>
    <col min="13" max="13" width="17.6640625" customWidth="1"/>
    <col min="14" max="14" width="19.5" customWidth="1"/>
    <col min="15" max="15" width="16.5" customWidth="1"/>
    <col min="16" max="16" width="18" customWidth="1"/>
  </cols>
  <sheetData>
    <row r="1" spans="1:16" ht="18" customHeight="1" x14ac:dyDescent="0.3">
      <c r="A1" s="512" t="s">
        <v>0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</row>
    <row r="2" spans="1:16" ht="18" customHeight="1" x14ac:dyDescent="0.3">
      <c r="A2" s="512" t="s">
        <v>258</v>
      </c>
      <c r="B2" s="512"/>
      <c r="C2" s="512"/>
      <c r="D2" s="512"/>
      <c r="E2" s="512"/>
      <c r="F2" s="512"/>
      <c r="G2" s="512"/>
      <c r="H2" s="512"/>
      <c r="I2" s="512"/>
      <c r="J2" s="512"/>
      <c r="K2" s="512"/>
      <c r="L2" s="512"/>
      <c r="M2" s="512"/>
      <c r="N2" s="512"/>
      <c r="O2" s="512"/>
      <c r="P2" s="512"/>
    </row>
    <row r="3" spans="1:16" ht="18" customHeight="1" x14ac:dyDescent="0.3">
      <c r="A3" s="512" t="s">
        <v>272</v>
      </c>
      <c r="B3" s="512"/>
      <c r="C3" s="512"/>
      <c r="D3" s="512"/>
      <c r="E3" s="512"/>
      <c r="F3" s="512"/>
      <c r="G3" s="512"/>
      <c r="H3" s="512"/>
      <c r="I3" s="512"/>
      <c r="J3" s="512"/>
      <c r="K3" s="512"/>
      <c r="L3" s="512"/>
      <c r="M3" s="512"/>
      <c r="N3" s="512"/>
      <c r="O3" s="512"/>
      <c r="P3" s="512"/>
    </row>
    <row r="4" spans="1:16" ht="33.75" customHeight="1" x14ac:dyDescent="0.3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3">
      <c r="A5" s="520" t="s">
        <v>2</v>
      </c>
      <c r="B5" s="521"/>
      <c r="C5" s="521"/>
      <c r="D5" s="521"/>
      <c r="E5" s="521"/>
      <c r="F5" s="521"/>
      <c r="G5" s="522"/>
      <c r="H5" s="513" t="s">
        <v>3</v>
      </c>
      <c r="I5" s="515" t="s">
        <v>4</v>
      </c>
      <c r="J5" s="516"/>
      <c r="K5" s="517"/>
      <c r="L5" s="518" t="s">
        <v>5</v>
      </c>
      <c r="M5" s="517"/>
      <c r="N5" s="519" t="s">
        <v>6</v>
      </c>
      <c r="O5" s="516"/>
      <c r="P5" s="517"/>
    </row>
    <row r="6" spans="1:16" ht="21.75" customHeight="1" x14ac:dyDescent="0.3">
      <c r="A6" s="523"/>
      <c r="B6" s="524"/>
      <c r="C6" s="524"/>
      <c r="D6" s="524"/>
      <c r="E6" s="524"/>
      <c r="F6" s="524"/>
      <c r="G6" s="525"/>
      <c r="H6" s="514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45">
      <c r="A7" s="526" t="s">
        <v>15</v>
      </c>
      <c r="B7" s="516"/>
      <c r="C7" s="516"/>
      <c r="D7" s="516"/>
      <c r="E7" s="516"/>
      <c r="F7" s="516"/>
      <c r="G7" s="517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45">
      <c r="A8" s="17"/>
      <c r="B8" s="18"/>
      <c r="C8" s="19" t="s">
        <v>16</v>
      </c>
      <c r="D8" s="527" t="s">
        <v>17</v>
      </c>
      <c r="E8" s="528"/>
      <c r="F8" s="528"/>
      <c r="G8" s="528"/>
      <c r="H8" s="20" t="s">
        <v>12</v>
      </c>
      <c r="I8" s="21"/>
      <c r="J8" s="21"/>
      <c r="K8" s="22"/>
      <c r="L8" s="23">
        <f t="shared" ref="L8:N8" ca="1" si="0">L9+L10</f>
        <v>15140265</v>
      </c>
      <c r="M8" s="23">
        <f t="shared" ca="1" si="0"/>
        <v>11975905</v>
      </c>
      <c r="N8" s="23">
        <f t="shared" ca="1" si="0"/>
        <v>12311422.4</v>
      </c>
      <c r="O8" s="22">
        <f t="shared" ref="O8:O16" ca="1" si="1">IF(L8&gt;0,N8*100/L8,0)</f>
        <v>81.315765609122423</v>
      </c>
      <c r="P8" s="22">
        <f t="shared" ref="P8:P16" ca="1" si="2">IF(M8&gt;0,N8*100/M8,0)</f>
        <v>102.80160372013638</v>
      </c>
    </row>
    <row r="9" spans="1:16" ht="21.75" customHeight="1" x14ac:dyDescent="0.45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45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15140265</v>
      </c>
      <c r="M10" s="30">
        <f t="shared" ca="1" si="4"/>
        <v>11975905</v>
      </c>
      <c r="N10" s="30">
        <f t="shared" ca="1" si="4"/>
        <v>12311422.4</v>
      </c>
      <c r="O10" s="29">
        <f t="shared" ca="1" si="1"/>
        <v>81.315765609122423</v>
      </c>
      <c r="P10" s="29">
        <f t="shared" ca="1" si="2"/>
        <v>102.80160372013638</v>
      </c>
    </row>
    <row r="11" spans="1:16" ht="21.75" customHeight="1" x14ac:dyDescent="0.45">
      <c r="A11" s="31"/>
      <c r="B11" s="32"/>
      <c r="C11" s="33" t="s">
        <v>16</v>
      </c>
      <c r="D11" s="529" t="s">
        <v>20</v>
      </c>
      <c r="E11" s="530"/>
      <c r="F11" s="530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45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4659465</v>
      </c>
      <c r="M12" s="38">
        <f t="shared" ca="1" si="6"/>
        <v>1495105</v>
      </c>
      <c r="N12" s="38">
        <f t="shared" ca="1" si="6"/>
        <v>1830622.4</v>
      </c>
      <c r="O12" s="38">
        <f t="shared" ca="1" si="1"/>
        <v>39.288253050511166</v>
      </c>
      <c r="P12" s="38">
        <f t="shared" ca="1" si="2"/>
        <v>122.44105932359265</v>
      </c>
    </row>
    <row r="13" spans="1:16" ht="21.75" customHeight="1" x14ac:dyDescent="0.45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1871100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45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2788365</v>
      </c>
      <c r="M14" s="38">
        <f t="shared" si="8"/>
        <v>0</v>
      </c>
      <c r="N14" s="38">
        <f t="shared" ca="1" si="8"/>
        <v>557615.4</v>
      </c>
      <c r="O14" s="38">
        <f t="shared" ca="1" si="1"/>
        <v>19.997934273310705</v>
      </c>
      <c r="P14" s="38">
        <f t="shared" si="2"/>
        <v>0</v>
      </c>
    </row>
    <row r="15" spans="1:16" ht="21.75" customHeight="1" x14ac:dyDescent="0.45">
      <c r="A15" s="31"/>
      <c r="B15" s="32"/>
      <c r="C15" s="33" t="s">
        <v>16</v>
      </c>
      <c r="D15" s="529" t="s">
        <v>23</v>
      </c>
      <c r="E15" s="530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45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10480800</v>
      </c>
      <c r="M16" s="38">
        <f t="shared" ca="1" si="10"/>
        <v>10480800</v>
      </c>
      <c r="N16" s="38">
        <f t="shared" ca="1" si="10"/>
        <v>10480800</v>
      </c>
      <c r="O16" s="49">
        <f t="shared" ca="1" si="1"/>
        <v>100</v>
      </c>
      <c r="P16" s="49">
        <f t="shared" ca="1" si="2"/>
        <v>100</v>
      </c>
    </row>
    <row r="17" spans="1:16" ht="21.75" customHeight="1" x14ac:dyDescent="0.45">
      <c r="A17" s="526" t="s">
        <v>24</v>
      </c>
      <c r="B17" s="516"/>
      <c r="C17" s="516"/>
      <c r="D17" s="516"/>
      <c r="E17" s="516"/>
      <c r="F17" s="516"/>
      <c r="G17" s="517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45">
      <c r="A18" s="17"/>
      <c r="B18" s="18"/>
      <c r="C18" s="19" t="s">
        <v>16</v>
      </c>
      <c r="D18" s="527" t="s">
        <v>17</v>
      </c>
      <c r="E18" s="528"/>
      <c r="F18" s="528"/>
      <c r="G18" s="528"/>
      <c r="H18" s="20" t="s">
        <v>12</v>
      </c>
      <c r="I18" s="21"/>
      <c r="J18" s="21"/>
      <c r="K18" s="22"/>
      <c r="L18" s="23">
        <f t="shared" ref="L18:N18" ca="1" si="11">L19+L20</f>
        <v>13281305</v>
      </c>
      <c r="M18" s="23">
        <f t="shared" ca="1" si="11"/>
        <v>11975905</v>
      </c>
      <c r="N18" s="23">
        <f t="shared" ca="1" si="11"/>
        <v>11753807</v>
      </c>
      <c r="O18" s="22">
        <f t="shared" ref="O18:O20" ca="1" si="12">IF(L18&gt;0,N18*100/L18,0)</f>
        <v>88.498886216377088</v>
      </c>
      <c r="P18" s="22">
        <f t="shared" ref="P18:P26" ca="1" si="13">IF(M18&gt;0,N18*100/M18,0)</f>
        <v>98.145459570696332</v>
      </c>
    </row>
    <row r="19" spans="1:16" ht="21.75" customHeight="1" x14ac:dyDescent="0.45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45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13281305</v>
      </c>
      <c r="M20" s="30">
        <f t="shared" ca="1" si="15"/>
        <v>11975905</v>
      </c>
      <c r="N20" s="30">
        <f t="shared" ca="1" si="15"/>
        <v>11753807</v>
      </c>
      <c r="O20" s="29">
        <f t="shared" ca="1" si="12"/>
        <v>88.498886216377088</v>
      </c>
      <c r="P20" s="29">
        <f t="shared" ca="1" si="13"/>
        <v>98.145459570696332</v>
      </c>
    </row>
    <row r="21" spans="1:16" ht="21.75" customHeight="1" x14ac:dyDescent="0.45">
      <c r="A21" s="31"/>
      <c r="B21" s="32"/>
      <c r="C21" s="33" t="s">
        <v>16</v>
      </c>
      <c r="D21" s="529" t="s">
        <v>20</v>
      </c>
      <c r="E21" s="530"/>
      <c r="F21" s="530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45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2800505</v>
      </c>
      <c r="M22" s="41">
        <f t="shared" ca="1" si="18"/>
        <v>1495105</v>
      </c>
      <c r="N22" s="38">
        <f t="shared" ca="1" si="18"/>
        <v>1273007</v>
      </c>
      <c r="O22" s="38">
        <f t="shared" ca="1" si="17"/>
        <v>45.456337339158473</v>
      </c>
      <c r="P22" s="38">
        <f t="shared" ca="1" si="13"/>
        <v>85.144989816768728</v>
      </c>
    </row>
    <row r="23" spans="1:16" ht="21.75" customHeight="1" x14ac:dyDescent="0.45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1871100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45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929405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45">
      <c r="A25" s="31"/>
      <c r="B25" s="32"/>
      <c r="C25" s="33" t="s">
        <v>16</v>
      </c>
      <c r="D25" s="529" t="s">
        <v>23</v>
      </c>
      <c r="E25" s="530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45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10480800</v>
      </c>
      <c r="M26" s="49">
        <f t="shared" ca="1" si="22"/>
        <v>10480800</v>
      </c>
      <c r="N26" s="49">
        <f t="shared" ca="1" si="22"/>
        <v>10480800</v>
      </c>
      <c r="O26" s="49">
        <f t="shared" ca="1" si="17"/>
        <v>100</v>
      </c>
      <c r="P26" s="49">
        <f t="shared" ca="1" si="13"/>
        <v>100</v>
      </c>
    </row>
    <row r="27" spans="1:16" ht="21.75" customHeight="1" x14ac:dyDescent="0.45">
      <c r="A27" s="526" t="s">
        <v>25</v>
      </c>
      <c r="B27" s="516"/>
      <c r="C27" s="516"/>
      <c r="D27" s="516"/>
      <c r="E27" s="516"/>
      <c r="F27" s="516"/>
      <c r="G27" s="517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45">
      <c r="A28" s="17"/>
      <c r="B28" s="18"/>
      <c r="C28" s="19" t="s">
        <v>16</v>
      </c>
      <c r="D28" s="527" t="s">
        <v>17</v>
      </c>
      <c r="E28" s="528"/>
      <c r="F28" s="528"/>
      <c r="G28" s="528"/>
      <c r="H28" s="20" t="s">
        <v>12</v>
      </c>
      <c r="I28" s="21"/>
      <c r="J28" s="21"/>
      <c r="K28" s="22"/>
      <c r="L28" s="23">
        <f t="shared" ref="L28:N28" ca="1" si="23">L29+L30</f>
        <v>1858960</v>
      </c>
      <c r="M28" s="23">
        <f t="shared" si="23"/>
        <v>0</v>
      </c>
      <c r="N28" s="23">
        <f t="shared" ca="1" si="23"/>
        <v>557615.4</v>
      </c>
      <c r="O28" s="22">
        <f t="shared" ref="O28:O30" ca="1" si="24">IF(L28&gt;0,N28*100/L28,0)</f>
        <v>29.996094590523732</v>
      </c>
      <c r="P28" s="22">
        <f t="shared" ref="P28:P37" si="25">IF(M28&gt;0,N28*100/M28,0)</f>
        <v>0</v>
      </c>
    </row>
    <row r="29" spans="1:16" ht="21.75" customHeight="1" x14ac:dyDescent="0.45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45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1858960</v>
      </c>
      <c r="M30" s="30">
        <f t="shared" si="27"/>
        <v>0</v>
      </c>
      <c r="N30" s="30">
        <f t="shared" ca="1" si="27"/>
        <v>557615.4</v>
      </c>
      <c r="O30" s="29">
        <f t="shared" ca="1" si="24"/>
        <v>29.996094590523732</v>
      </c>
      <c r="P30" s="29">
        <f t="shared" si="25"/>
        <v>0</v>
      </c>
    </row>
    <row r="31" spans="1:16" ht="21.75" customHeight="1" x14ac:dyDescent="0.45">
      <c r="A31" s="31"/>
      <c r="B31" s="32"/>
      <c r="C31" s="33" t="s">
        <v>16</v>
      </c>
      <c r="D31" s="529" t="s">
        <v>20</v>
      </c>
      <c r="E31" s="530"/>
      <c r="F31" s="530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45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1858960</v>
      </c>
      <c r="M32" s="38">
        <f t="shared" si="30"/>
        <v>0</v>
      </c>
      <c r="N32" s="38">
        <f t="shared" ca="1" si="30"/>
        <v>557615.4</v>
      </c>
      <c r="O32" s="38">
        <f t="shared" ca="1" si="29"/>
        <v>29.996094590523732</v>
      </c>
      <c r="P32" s="38">
        <f t="shared" si="25"/>
        <v>0</v>
      </c>
    </row>
    <row r="33" spans="1:16" ht="21.75" customHeight="1" x14ac:dyDescent="0.45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45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1858960</v>
      </c>
      <c r="M34" s="38">
        <f t="shared" si="32"/>
        <v>0</v>
      </c>
      <c r="N34" s="38">
        <f t="shared" ca="1" si="32"/>
        <v>557615.4</v>
      </c>
      <c r="O34" s="38">
        <f t="shared" ca="1" si="29"/>
        <v>29.996094590523732</v>
      </c>
      <c r="P34" s="38">
        <f t="shared" si="25"/>
        <v>0</v>
      </c>
    </row>
    <row r="35" spans="1:16" ht="21.75" customHeight="1" x14ac:dyDescent="0.45">
      <c r="A35" s="31"/>
      <c r="B35" s="32"/>
      <c r="C35" s="33" t="s">
        <v>16</v>
      </c>
      <c r="D35" s="529" t="s">
        <v>23</v>
      </c>
      <c r="E35" s="530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45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3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13281305</v>
      </c>
      <c r="M37" s="54">
        <f t="shared" ca="1" si="33"/>
        <v>11975905</v>
      </c>
      <c r="N37" s="54">
        <f t="shared" ca="1" si="33"/>
        <v>11753807</v>
      </c>
      <c r="O37" s="55">
        <f t="shared" ca="1" si="29"/>
        <v>88.498886216377088</v>
      </c>
      <c r="P37" s="55">
        <f t="shared" ca="1" si="25"/>
        <v>98.145459570696332</v>
      </c>
    </row>
    <row r="38" spans="1:16" ht="21.75" customHeight="1" x14ac:dyDescent="0.45">
      <c r="A38" s="531" t="s">
        <v>27</v>
      </c>
      <c r="B38" s="516"/>
      <c r="C38" s="516"/>
      <c r="D38" s="516"/>
      <c r="E38" s="516"/>
      <c r="F38" s="516"/>
      <c r="G38" s="517"/>
      <c r="H38" s="56"/>
      <c r="I38" s="57"/>
      <c r="J38" s="57"/>
      <c r="K38" s="58"/>
      <c r="L38" s="59"/>
      <c r="M38" s="59"/>
      <c r="N38" s="59"/>
      <c r="O38" s="59"/>
      <c r="P38" s="59"/>
    </row>
    <row r="39" spans="1:16" ht="21.75" customHeight="1" x14ac:dyDescent="0.45">
      <c r="A39" s="60"/>
      <c r="B39" s="532" t="s">
        <v>28</v>
      </c>
      <c r="C39" s="528"/>
      <c r="D39" s="528"/>
      <c r="E39" s="528"/>
      <c r="F39" s="528"/>
      <c r="G39" s="528"/>
      <c r="H39" s="61"/>
      <c r="I39" s="62"/>
      <c r="J39" s="62"/>
      <c r="K39" s="63"/>
      <c r="L39" s="64"/>
      <c r="M39" s="64"/>
      <c r="N39" s="64"/>
      <c r="O39" s="63"/>
      <c r="P39" s="63"/>
    </row>
    <row r="40" spans="1:16" ht="21.75" customHeight="1" x14ac:dyDescent="0.45">
      <c r="A40" s="65"/>
      <c r="B40" s="66" t="s">
        <v>29</v>
      </c>
      <c r="C40" s="67"/>
      <c r="D40" s="67"/>
      <c r="E40" s="67"/>
      <c r="F40" s="67"/>
      <c r="G40" s="67"/>
      <c r="H40" s="68"/>
      <c r="I40" s="69"/>
      <c r="J40" s="69"/>
      <c r="K40" s="70"/>
      <c r="L40" s="71"/>
      <c r="M40" s="71"/>
      <c r="N40" s="71"/>
      <c r="O40" s="70"/>
      <c r="P40" s="70"/>
    </row>
    <row r="41" spans="1:16" ht="21.75" customHeight="1" x14ac:dyDescent="0.45">
      <c r="A41" s="72"/>
      <c r="B41" s="73"/>
      <c r="C41" s="74" t="s">
        <v>16</v>
      </c>
      <c r="D41" s="533" t="s">
        <v>17</v>
      </c>
      <c r="E41" s="530"/>
      <c r="F41" s="530"/>
      <c r="G41" s="530"/>
      <c r="H41" s="75" t="s">
        <v>12</v>
      </c>
      <c r="I41" s="76"/>
      <c r="J41" s="76"/>
      <c r="K41" s="77"/>
      <c r="L41" s="78">
        <f t="shared" ref="L41:N41" ca="1" si="34">L42+L43</f>
        <v>7765700</v>
      </c>
      <c r="M41" s="78">
        <f t="shared" ca="1" si="34"/>
        <v>7460400</v>
      </c>
      <c r="N41" s="78">
        <f t="shared" ca="1" si="34"/>
        <v>7428108</v>
      </c>
      <c r="O41" s="77">
        <f t="shared" ref="O41:O43" ca="1" si="35">IF(L41&gt;0,N41*100/L41,0)</f>
        <v>95.652780818213429</v>
      </c>
      <c r="P41" s="77">
        <f t="shared" ref="P41:P43" ca="1" si="36">IF(M41&gt;0,N41*100/M41,0)</f>
        <v>99.567154576162139</v>
      </c>
    </row>
    <row r="42" spans="1:16" ht="21.75" customHeight="1" x14ac:dyDescent="0.45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45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7765700</v>
      </c>
      <c r="M43" s="78">
        <f t="shared" ca="1" si="38"/>
        <v>7460400</v>
      </c>
      <c r="N43" s="78">
        <f t="shared" ca="1" si="38"/>
        <v>7428108</v>
      </c>
      <c r="O43" s="77">
        <f t="shared" ca="1" si="35"/>
        <v>95.652780818213429</v>
      </c>
      <c r="P43" s="77">
        <f t="shared" ca="1" si="36"/>
        <v>99.567154576162139</v>
      </c>
    </row>
    <row r="44" spans="1:16" ht="21.75" customHeight="1" x14ac:dyDescent="0.45">
      <c r="A44" s="79"/>
      <c r="B44" s="80"/>
      <c r="C44" s="81" t="s">
        <v>16</v>
      </c>
      <c r="D44" s="534" t="s">
        <v>20</v>
      </c>
      <c r="E44" s="530"/>
      <c r="F44" s="530"/>
      <c r="G44" s="82" t="s">
        <v>18</v>
      </c>
      <c r="H44" s="83" t="s">
        <v>12</v>
      </c>
      <c r="I44" s="84"/>
      <c r="J44" s="84"/>
      <c r="K44" s="85"/>
      <c r="L44" s="86">
        <v>0</v>
      </c>
      <c r="M44" s="510"/>
      <c r="N44" s="511"/>
      <c r="O44" s="511"/>
      <c r="P44" s="511"/>
    </row>
    <row r="45" spans="1:16" ht="21.75" customHeight="1" x14ac:dyDescent="0.45">
      <c r="A45" s="79"/>
      <c r="B45" s="80"/>
      <c r="C45" s="80"/>
      <c r="D45" s="80"/>
      <c r="E45" s="88"/>
      <c r="F45" s="89"/>
      <c r="G45" s="82" t="s">
        <v>19</v>
      </c>
      <c r="H45" s="83" t="s">
        <v>12</v>
      </c>
      <c r="I45" s="84"/>
      <c r="J45" s="84"/>
      <c r="K45" s="85"/>
      <c r="L45" s="38">
        <f ca="1">L46+L47</f>
        <v>610700</v>
      </c>
      <c r="M45" s="49">
        <f ca="1">IFERROR(__xludf.DUMMYFUNCTION("IMPORTRANGE(""https://docs.google.com/spreadsheets/d/1Yj_ptqi66GCucihVvJfMjLAmec39IyEx_6qawtMGysU/edit?usp=sharing"",""สบก!Q30"")"),305400)</f>
        <v>305400</v>
      </c>
      <c r="N45" s="49">
        <f ca="1">IFERROR(__xludf.DUMMYFUNCTION("IMPORTRANGE(""https://docs.google.com/spreadsheets/d/1Yj_ptqi66GCucihVvJfMjLAmec39IyEx_6qawtMGysU/edit?usp=sharing"",""สบก!R30"")"),273108)</f>
        <v>273108</v>
      </c>
      <c r="O45" s="38">
        <f ca="1">IF(L45&gt;0,N45*100/L45,0)</f>
        <v>44.720484689700342</v>
      </c>
      <c r="P45" s="38">
        <f ca="1">IF(M45&gt;0,N45*100/M45,0)</f>
        <v>89.426326129666009</v>
      </c>
    </row>
    <row r="46" spans="1:16" ht="21.75" customHeight="1" x14ac:dyDescent="0.45">
      <c r="A46" s="79"/>
      <c r="B46" s="80"/>
      <c r="C46" s="80"/>
      <c r="D46" s="80"/>
      <c r="E46" s="88"/>
      <c r="F46" s="88"/>
      <c r="G46" s="82" t="s">
        <v>21</v>
      </c>
      <c r="H46" s="83" t="s">
        <v>12</v>
      </c>
      <c r="I46" s="84"/>
      <c r="J46" s="84"/>
      <c r="K46" s="85"/>
      <c r="L46" s="49">
        <f ca="1">IFERROR(__xludf.DUMMYFUNCTION("IMPORTRANGE(""https://docs.google.com/spreadsheets/d/1Yj_ptqi66GCucihVvJfMjLAmec39IyEx_6qawtMGysU/edit?usp=sharing"",""สบก!M30"")"),610700)</f>
        <v>610700</v>
      </c>
      <c r="M46" s="41"/>
      <c r="N46" s="38"/>
      <c r="O46" s="38"/>
      <c r="P46" s="38"/>
    </row>
    <row r="47" spans="1:16" ht="21.75" customHeight="1" x14ac:dyDescent="0.45">
      <c r="A47" s="79"/>
      <c r="B47" s="80"/>
      <c r="C47" s="80"/>
      <c r="D47" s="80"/>
      <c r="E47" s="88"/>
      <c r="F47" s="88"/>
      <c r="G47" s="82" t="s">
        <v>22</v>
      </c>
      <c r="H47" s="83" t="s">
        <v>12</v>
      </c>
      <c r="I47" s="84"/>
      <c r="J47" s="84"/>
      <c r="K47" s="85"/>
      <c r="L47" s="49">
        <f ca="1">IFERROR(__xludf.DUMMYFUNCTION("IMPORTRANGE(""https://docs.google.com/spreadsheets/d/1Yj_ptqi66GCucihVvJfMjLAmec39IyEx_6qawtMGysU/edit?usp=sharing"",""สบก!N30"")"),0)</f>
        <v>0</v>
      </c>
      <c r="M47" s="41"/>
      <c r="N47" s="38"/>
      <c r="O47" s="38"/>
      <c r="P47" s="38"/>
    </row>
    <row r="48" spans="1:16" ht="21.75" customHeight="1" x14ac:dyDescent="0.45">
      <c r="A48" s="79"/>
      <c r="B48" s="80"/>
      <c r="C48" s="81" t="s">
        <v>16</v>
      </c>
      <c r="D48" s="534" t="s">
        <v>23</v>
      </c>
      <c r="E48" s="530"/>
      <c r="F48" s="88"/>
      <c r="G48" s="82" t="s">
        <v>18</v>
      </c>
      <c r="H48" s="83" t="s">
        <v>12</v>
      </c>
      <c r="I48" s="84"/>
      <c r="J48" s="84"/>
      <c r="K48" s="85"/>
      <c r="L48" s="50">
        <v>0</v>
      </c>
      <c r="M48" s="41"/>
      <c r="N48" s="41"/>
      <c r="O48" s="41"/>
      <c r="P48" s="41"/>
    </row>
    <row r="49" spans="1:16" ht="21.75" customHeight="1" x14ac:dyDescent="0.45">
      <c r="A49" s="90"/>
      <c r="B49" s="91"/>
      <c r="C49" s="91"/>
      <c r="D49" s="91"/>
      <c r="E49" s="92"/>
      <c r="F49" s="92"/>
      <c r="G49" s="93" t="s">
        <v>19</v>
      </c>
      <c r="H49" s="94" t="s">
        <v>12</v>
      </c>
      <c r="I49" s="95"/>
      <c r="J49" s="95"/>
      <c r="K49" s="96"/>
      <c r="L49" s="49">
        <f ca="1">IFERROR(__xludf.DUMMYFUNCTION("IMPORTRANGE(""https://docs.google.com/spreadsheets/d/1Yj_ptqi66GCucihVvJfMjLAmec39IyEx_6qawtMGysU/edit?usp=sharing"",""สบก!O30"")"),7155000)</f>
        <v>7155000</v>
      </c>
      <c r="M49" s="49">
        <f ca="1">L49</f>
        <v>7155000</v>
      </c>
      <c r="N49" s="49">
        <f ca="1">IFERROR(__xludf.DUMMYFUNCTION("IMPORTRANGE(""https://docs.google.com/spreadsheets/d/1Yj_ptqi66GCucihVvJfMjLAmec39IyEx_6qawtMGysU/edit?usp=sharing"",""สบก!S30"")"),7155000)</f>
        <v>7155000</v>
      </c>
      <c r="O49" s="49">
        <f ca="1">IF(L49&gt;0,N49*100/L49,0)</f>
        <v>100</v>
      </c>
      <c r="P49" s="51">
        <f ca="1">IF(M49&gt;0,N49*100/M49,0)</f>
        <v>100</v>
      </c>
    </row>
    <row r="50" spans="1:16" ht="21.75" customHeight="1" x14ac:dyDescent="0.45">
      <c r="A50" s="97" t="s">
        <v>30</v>
      </c>
      <c r="B50" s="98"/>
      <c r="C50" s="98"/>
      <c r="D50" s="98"/>
      <c r="E50" s="98"/>
      <c r="F50" s="98"/>
      <c r="G50" s="98"/>
      <c r="H50" s="99"/>
      <c r="I50" s="100"/>
      <c r="J50" s="100"/>
      <c r="K50" s="101"/>
      <c r="L50" s="102"/>
      <c r="M50" s="102"/>
      <c r="N50" s="102"/>
      <c r="O50" s="101"/>
      <c r="P50" s="101"/>
    </row>
    <row r="51" spans="1:16" ht="21.75" customHeight="1" x14ac:dyDescent="0.45">
      <c r="A51" s="103"/>
      <c r="B51" s="104" t="s">
        <v>31</v>
      </c>
      <c r="C51" s="104"/>
      <c r="D51" s="104"/>
      <c r="E51" s="104"/>
      <c r="F51" s="104"/>
      <c r="G51" s="104"/>
      <c r="H51" s="105"/>
      <c r="I51" s="106"/>
      <c r="J51" s="106"/>
      <c r="K51" s="107"/>
      <c r="L51" s="108"/>
      <c r="M51" s="108"/>
      <c r="N51" s="108"/>
      <c r="O51" s="107"/>
      <c r="P51" s="107"/>
    </row>
    <row r="52" spans="1:16" ht="21.75" customHeight="1" x14ac:dyDescent="0.45">
      <c r="A52" s="109"/>
      <c r="B52" s="535" t="s">
        <v>32</v>
      </c>
      <c r="C52" s="530"/>
      <c r="D52" s="530"/>
      <c r="E52" s="530"/>
      <c r="F52" s="530"/>
      <c r="G52" s="530"/>
      <c r="H52" s="110"/>
      <c r="I52" s="111"/>
      <c r="J52" s="111"/>
      <c r="K52" s="112"/>
      <c r="L52" s="113"/>
      <c r="M52" s="113"/>
      <c r="N52" s="113"/>
      <c r="O52" s="112"/>
      <c r="P52" s="112"/>
    </row>
    <row r="53" spans="1:16" ht="21.75" customHeight="1" x14ac:dyDescent="0.45">
      <c r="A53" s="114"/>
      <c r="B53" s="115"/>
      <c r="C53" s="116" t="s">
        <v>16</v>
      </c>
      <c r="D53" s="536" t="s">
        <v>17</v>
      </c>
      <c r="E53" s="530"/>
      <c r="F53" s="530"/>
      <c r="G53" s="530"/>
      <c r="H53" s="117" t="s">
        <v>12</v>
      </c>
      <c r="I53" s="118"/>
      <c r="J53" s="118"/>
      <c r="K53" s="119"/>
      <c r="L53" s="120">
        <f t="shared" ref="L53:N53" ca="1" si="39">L54+L55</f>
        <v>637200</v>
      </c>
      <c r="M53" s="120">
        <f t="shared" ca="1" si="39"/>
        <v>318600</v>
      </c>
      <c r="N53" s="120">
        <f t="shared" ca="1" si="39"/>
        <v>289400</v>
      </c>
      <c r="O53" s="119">
        <f t="shared" ref="O53:O55" ca="1" si="40">IF(L53&gt;0,N53*100/L53,0)</f>
        <v>45.417451349654741</v>
      </c>
      <c r="P53" s="119">
        <f t="shared" ref="P53:P55" ca="1" si="41">IF(M53&gt;0,N53*100/M53,0)</f>
        <v>90.834902699309481</v>
      </c>
    </row>
    <row r="54" spans="1:16" ht="21.75" customHeight="1" x14ac:dyDescent="0.45">
      <c r="A54" s="114"/>
      <c r="B54" s="115"/>
      <c r="C54" s="115"/>
      <c r="D54" s="115"/>
      <c r="E54" s="115"/>
      <c r="F54" s="115"/>
      <c r="G54" s="116" t="s">
        <v>18</v>
      </c>
      <c r="H54" s="117" t="s">
        <v>12</v>
      </c>
      <c r="I54" s="118"/>
      <c r="J54" s="118"/>
      <c r="K54" s="119"/>
      <c r="L54" s="120">
        <f t="shared" ref="L54:N54" si="42">L56+L60</f>
        <v>0</v>
      </c>
      <c r="M54" s="120">
        <f t="shared" si="42"/>
        <v>0</v>
      </c>
      <c r="N54" s="120">
        <f t="shared" si="42"/>
        <v>0</v>
      </c>
      <c r="O54" s="119">
        <f t="shared" si="40"/>
        <v>0</v>
      </c>
      <c r="P54" s="119">
        <f t="shared" si="41"/>
        <v>0</v>
      </c>
    </row>
    <row r="55" spans="1:16" ht="21.75" customHeight="1" x14ac:dyDescent="0.45">
      <c r="A55" s="114"/>
      <c r="B55" s="115"/>
      <c r="C55" s="115"/>
      <c r="D55" s="115"/>
      <c r="E55" s="115"/>
      <c r="F55" s="115"/>
      <c r="G55" s="116" t="s">
        <v>19</v>
      </c>
      <c r="H55" s="117" t="s">
        <v>12</v>
      </c>
      <c r="I55" s="118"/>
      <c r="J55" s="118"/>
      <c r="K55" s="119"/>
      <c r="L55" s="120">
        <f t="shared" ref="L55:N55" ca="1" si="43">L57+L61</f>
        <v>637200</v>
      </c>
      <c r="M55" s="120">
        <f t="shared" ca="1" si="43"/>
        <v>318600</v>
      </c>
      <c r="N55" s="120">
        <f t="shared" ca="1" si="43"/>
        <v>289400</v>
      </c>
      <c r="O55" s="119">
        <f t="shared" ca="1" si="40"/>
        <v>45.417451349654741</v>
      </c>
      <c r="P55" s="119">
        <f t="shared" ca="1" si="41"/>
        <v>90.834902699309481</v>
      </c>
    </row>
    <row r="56" spans="1:16" ht="21.75" customHeight="1" x14ac:dyDescent="0.45">
      <c r="A56" s="79"/>
      <c r="B56" s="80"/>
      <c r="C56" s="81" t="s">
        <v>16</v>
      </c>
      <c r="D56" s="534" t="s">
        <v>20</v>
      </c>
      <c r="E56" s="530"/>
      <c r="F56" s="530"/>
      <c r="G56" s="82" t="s">
        <v>18</v>
      </c>
      <c r="H56" s="83" t="s">
        <v>12</v>
      </c>
      <c r="I56" s="84"/>
      <c r="J56" s="84"/>
      <c r="K56" s="85"/>
      <c r="L56" s="511">
        <v>0</v>
      </c>
      <c r="M56" s="510"/>
      <c r="N56" s="511"/>
      <c r="O56" s="511"/>
      <c r="P56" s="511"/>
    </row>
    <row r="57" spans="1:16" ht="21.75" customHeight="1" x14ac:dyDescent="0.45">
      <c r="A57" s="79"/>
      <c r="B57" s="80"/>
      <c r="C57" s="80"/>
      <c r="D57" s="80"/>
      <c r="E57" s="88"/>
      <c r="F57" s="89"/>
      <c r="G57" s="82" t="s">
        <v>19</v>
      </c>
      <c r="H57" s="83" t="s">
        <v>12</v>
      </c>
      <c r="I57" s="84"/>
      <c r="J57" s="84"/>
      <c r="K57" s="85"/>
      <c r="L57" s="38">
        <f ca="1">L58+L59</f>
        <v>637200</v>
      </c>
      <c r="M57" s="49">
        <f ca="1">IFERROR(__xludf.DUMMYFUNCTION("IMPORTRANGE(""https://docs.google.com/spreadsheets/d/1Yj_ptqi66GCucihVvJfMjLAmec39IyEx_6qawtMGysU/edit?usp=sharing"",""สบก!Z30"")"),318600)</f>
        <v>318600</v>
      </c>
      <c r="N57" s="49">
        <f ca="1">IFERROR(__xludf.DUMMYFUNCTION("IMPORTRANGE(""https://docs.google.com/spreadsheets/d/1Yj_ptqi66GCucihVvJfMjLAmec39IyEx_6qawtMGysU/edit?usp=sharing"",""สบก!AA30"")"),289400)</f>
        <v>289400</v>
      </c>
      <c r="O57" s="38">
        <f ca="1">IF(L57&gt;0,N57*100/L57,0)</f>
        <v>45.417451349654741</v>
      </c>
      <c r="P57" s="38">
        <f ca="1">IF(M57&gt;0,N57*100/M57,0)</f>
        <v>90.834902699309481</v>
      </c>
    </row>
    <row r="58" spans="1:16" ht="21.75" customHeight="1" x14ac:dyDescent="0.45">
      <c r="A58" s="79"/>
      <c r="B58" s="80"/>
      <c r="C58" s="80"/>
      <c r="D58" s="80"/>
      <c r="E58" s="88"/>
      <c r="F58" s="88"/>
      <c r="G58" s="82" t="s">
        <v>21</v>
      </c>
      <c r="H58" s="83" t="s">
        <v>12</v>
      </c>
      <c r="I58" s="84"/>
      <c r="J58" s="84"/>
      <c r="K58" s="85"/>
      <c r="L58" s="49">
        <f ca="1">IFERROR(__xludf.DUMMYFUNCTION("IMPORTRANGE(""https://docs.google.com/spreadsheets/d/1Yj_ptqi66GCucihVvJfMjLAmec39IyEx_6qawtMGysU/edit?usp=sharing"",""สบก!V30"")"),637200)</f>
        <v>637200</v>
      </c>
      <c r="M58" s="41"/>
      <c r="N58" s="38"/>
      <c r="O58" s="38"/>
      <c r="P58" s="38"/>
    </row>
    <row r="59" spans="1:16" ht="21.75" customHeight="1" x14ac:dyDescent="0.45">
      <c r="A59" s="79"/>
      <c r="B59" s="80"/>
      <c r="C59" s="80"/>
      <c r="D59" s="80"/>
      <c r="E59" s="88"/>
      <c r="F59" s="88"/>
      <c r="G59" s="82" t="s">
        <v>22</v>
      </c>
      <c r="H59" s="83" t="s">
        <v>12</v>
      </c>
      <c r="I59" s="84"/>
      <c r="J59" s="84"/>
      <c r="K59" s="85"/>
      <c r="L59" s="49">
        <f ca="1">IFERROR(__xludf.DUMMYFUNCTION("IMPORTRANGE(""https://docs.google.com/spreadsheets/d/1Yj_ptqi66GCucihVvJfMjLAmec39IyEx_6qawtMGysU/edit?usp=sharing"",""สบก!W30"")"),0)</f>
        <v>0</v>
      </c>
      <c r="M59" s="41"/>
      <c r="N59" s="38"/>
      <c r="O59" s="38"/>
      <c r="P59" s="38"/>
    </row>
    <row r="60" spans="1:16" ht="21.75" customHeight="1" x14ac:dyDescent="0.45">
      <c r="A60" s="79"/>
      <c r="B60" s="80"/>
      <c r="C60" s="81" t="s">
        <v>16</v>
      </c>
      <c r="D60" s="534" t="s">
        <v>23</v>
      </c>
      <c r="E60" s="530"/>
      <c r="F60" s="88"/>
      <c r="G60" s="82" t="s">
        <v>18</v>
      </c>
      <c r="H60" s="83" t="s">
        <v>12</v>
      </c>
      <c r="I60" s="84"/>
      <c r="J60" s="84"/>
      <c r="K60" s="85"/>
      <c r="L60" s="50">
        <v>0</v>
      </c>
      <c r="M60" s="41"/>
      <c r="N60" s="41"/>
      <c r="O60" s="41"/>
      <c r="P60" s="41"/>
    </row>
    <row r="61" spans="1:16" ht="21.75" customHeight="1" x14ac:dyDescent="0.45">
      <c r="A61" s="90"/>
      <c r="B61" s="91"/>
      <c r="C61" s="91"/>
      <c r="D61" s="91"/>
      <c r="E61" s="92"/>
      <c r="F61" s="92"/>
      <c r="G61" s="93" t="s">
        <v>19</v>
      </c>
      <c r="H61" s="94" t="s">
        <v>12</v>
      </c>
      <c r="I61" s="95"/>
      <c r="J61" s="95"/>
      <c r="K61" s="96"/>
      <c r="L61" s="49">
        <f ca="1">IFERROR(__xludf.DUMMYFUNCTION("IMPORTRANGE(""https://docs.google.com/spreadsheets/d/1Yj_ptqi66GCucihVvJfMjLAmec39IyEx_6qawtMGysU/edit?usp=sharing"",""สบก!X30"")"),0)</f>
        <v>0</v>
      </c>
      <c r="M61" s="49"/>
      <c r="N61" s="49">
        <f ca="1">IFERROR(__xludf.DUMMYFUNCTION("IMPORTRANGE(""https://docs.google.com/spreadsheets/d/1Yj_ptqi66GCucihVvJfMjLAmec39IyEx_6qawtMGysU/edit?usp=sharing"",""สบก!AB30"")"),0)</f>
        <v>0</v>
      </c>
      <c r="O61" s="49">
        <f ca="1">IF(L61&gt;0,N61*100/L61,0)</f>
        <v>0</v>
      </c>
      <c r="P61" s="49"/>
    </row>
    <row r="62" spans="1:16" ht="21.75" customHeight="1" x14ac:dyDescent="0.3">
      <c r="A62" s="121" t="s">
        <v>33</v>
      </c>
      <c r="B62" s="122"/>
      <c r="C62" s="122"/>
      <c r="D62" s="122"/>
      <c r="E62" s="123"/>
      <c r="F62" s="123"/>
      <c r="G62" s="123"/>
      <c r="H62" s="124"/>
      <c r="I62" s="125"/>
      <c r="J62" s="125"/>
      <c r="K62" s="126"/>
      <c r="L62" s="127"/>
      <c r="M62" s="127"/>
      <c r="N62" s="127"/>
      <c r="O62" s="127"/>
      <c r="P62" s="127"/>
    </row>
    <row r="63" spans="1:16" ht="21.75" customHeight="1" x14ac:dyDescent="0.3">
      <c r="A63" s="128" t="s">
        <v>34</v>
      </c>
      <c r="B63" s="129"/>
      <c r="C63" s="130"/>
      <c r="D63" s="129"/>
      <c r="E63" s="131"/>
      <c r="F63" s="131"/>
      <c r="G63" s="131"/>
      <c r="H63" s="132"/>
      <c r="I63" s="133"/>
      <c r="J63" s="133"/>
      <c r="K63" s="134"/>
      <c r="L63" s="135"/>
      <c r="M63" s="135"/>
      <c r="N63" s="135"/>
      <c r="O63" s="136"/>
      <c r="P63" s="136"/>
    </row>
    <row r="64" spans="1:16" ht="21.75" customHeight="1" x14ac:dyDescent="0.3">
      <c r="A64" s="137"/>
      <c r="B64" s="138" t="s">
        <v>35</v>
      </c>
      <c r="C64" s="138"/>
      <c r="D64" s="139"/>
      <c r="E64" s="138"/>
      <c r="F64" s="138"/>
      <c r="G64" s="138"/>
      <c r="H64" s="140" t="s">
        <v>36</v>
      </c>
      <c r="I64" s="141">
        <f ca="1">IFERROR(__xludf.DUMMYFUNCTION("IMPORTRANGE(""https://docs.google.com/spreadsheets/d/11923uPwbBZFjjGgGUA6NLw09EwE0CqkOc4q9oUmW1yo/edit?usp=sharing"",""แพร่!I9"")"),0)</f>
        <v>0</v>
      </c>
      <c r="J64" s="141">
        <f ca="1">IFERROR(__xludf.DUMMYFUNCTION("IMPORTRANGE(""https://docs.google.com/spreadsheets/d/11923uPwbBZFjjGgGUA6NLw09EwE0CqkOc4q9oUmW1yo/edit?usp=sharing"",""แพร่!J9"")"),0)</f>
        <v>0</v>
      </c>
      <c r="K64" s="142">
        <f t="shared" ref="K64:K65" ca="1" si="44">IF(I64&gt;0,J64*100/I64,0)</f>
        <v>0</v>
      </c>
      <c r="L64" s="143"/>
      <c r="M64" s="143"/>
      <c r="N64" s="144"/>
      <c r="O64" s="142"/>
      <c r="P64" s="142"/>
    </row>
    <row r="65" spans="1:16" ht="21.75" customHeight="1" x14ac:dyDescent="0.3">
      <c r="A65" s="137"/>
      <c r="B65" s="138"/>
      <c r="C65" s="138"/>
      <c r="D65" s="139"/>
      <c r="E65" s="138"/>
      <c r="F65" s="138"/>
      <c r="G65" s="138"/>
      <c r="H65" s="140" t="s">
        <v>37</v>
      </c>
      <c r="I65" s="141">
        <f ca="1">IFERROR(__xludf.DUMMYFUNCTION("IMPORTRANGE(""https://docs.google.com/spreadsheets/d/11923uPwbBZFjjGgGUA6NLw09EwE0CqkOc4q9oUmW1yo/edit?usp=sharing"",""แพร่!I10"")"),0)</f>
        <v>0</v>
      </c>
      <c r="J65" s="141">
        <f ca="1">IFERROR(__xludf.DUMMYFUNCTION("IMPORTRANGE(""https://docs.google.com/spreadsheets/d/11923uPwbBZFjjGgGUA6NLw09EwE0CqkOc4q9oUmW1yo/edit?usp=sharing"",""แพร่!J10"")"),0)</f>
        <v>0</v>
      </c>
      <c r="K65" s="142">
        <f t="shared" ca="1" si="44"/>
        <v>0</v>
      </c>
      <c r="L65" s="144"/>
      <c r="M65" s="144"/>
      <c r="N65" s="144"/>
      <c r="O65" s="142"/>
      <c r="P65" s="142"/>
    </row>
    <row r="66" spans="1:16" ht="21.75" customHeight="1" x14ac:dyDescent="0.45">
      <c r="A66" s="145"/>
      <c r="B66" s="146"/>
      <c r="C66" s="147" t="s">
        <v>16</v>
      </c>
      <c r="D66" s="537" t="s">
        <v>17</v>
      </c>
      <c r="E66" s="528"/>
      <c r="F66" s="528"/>
      <c r="G66" s="528"/>
      <c r="H66" s="148" t="s">
        <v>12</v>
      </c>
      <c r="I66" s="149"/>
      <c r="J66" s="149"/>
      <c r="K66" s="150"/>
      <c r="L66" s="151">
        <f t="shared" ref="L66:N66" ca="1" si="45">L67+L68</f>
        <v>3131000</v>
      </c>
      <c r="M66" s="151">
        <f t="shared" ca="1" si="45"/>
        <v>3131000</v>
      </c>
      <c r="N66" s="151">
        <f t="shared" ca="1" si="45"/>
        <v>3131000</v>
      </c>
      <c r="O66" s="150">
        <f t="shared" ref="O66:O68" ca="1" si="46">IF(L66&gt;0,N66*100/L66,0)</f>
        <v>100</v>
      </c>
      <c r="P66" s="150">
        <f t="shared" ref="P66:P68" ca="1" si="47">IF(M66&gt;0,N66*100/M66,0)</f>
        <v>100</v>
      </c>
    </row>
    <row r="67" spans="1:16" ht="21.75" customHeight="1" x14ac:dyDescent="0.45">
      <c r="A67" s="152"/>
      <c r="B67" s="32"/>
      <c r="C67" s="32"/>
      <c r="D67" s="32"/>
      <c r="E67" s="32"/>
      <c r="F67" s="32"/>
      <c r="G67" s="33" t="s">
        <v>18</v>
      </c>
      <c r="H67" s="153" t="s">
        <v>12</v>
      </c>
      <c r="I67" s="154"/>
      <c r="J67" s="154"/>
      <c r="K67" s="155"/>
      <c r="L67" s="87">
        <f t="shared" ref="L67:N67" si="48">L69+L73</f>
        <v>0</v>
      </c>
      <c r="M67" s="87">
        <f t="shared" si="48"/>
        <v>0</v>
      </c>
      <c r="N67" s="87">
        <f t="shared" si="48"/>
        <v>0</v>
      </c>
      <c r="O67" s="155">
        <f t="shared" si="46"/>
        <v>0</v>
      </c>
      <c r="P67" s="155">
        <f t="shared" si="47"/>
        <v>0</v>
      </c>
    </row>
    <row r="68" spans="1:16" ht="21.75" customHeight="1" x14ac:dyDescent="0.45">
      <c r="A68" s="152"/>
      <c r="B68" s="32"/>
      <c r="C68" s="32"/>
      <c r="D68" s="32"/>
      <c r="E68" s="32"/>
      <c r="F68" s="32"/>
      <c r="G68" s="33" t="s">
        <v>19</v>
      </c>
      <c r="H68" s="153" t="s">
        <v>12</v>
      </c>
      <c r="I68" s="154"/>
      <c r="J68" s="154"/>
      <c r="K68" s="155"/>
      <c r="L68" s="87">
        <f t="shared" ref="L68:N68" ca="1" si="49">L70+L74</f>
        <v>3131000</v>
      </c>
      <c r="M68" s="87">
        <f t="shared" ca="1" si="49"/>
        <v>3131000</v>
      </c>
      <c r="N68" s="87">
        <f t="shared" ca="1" si="49"/>
        <v>3131000</v>
      </c>
      <c r="O68" s="155">
        <f t="shared" ca="1" si="46"/>
        <v>100</v>
      </c>
      <c r="P68" s="155">
        <f t="shared" ca="1" si="47"/>
        <v>100</v>
      </c>
    </row>
    <row r="69" spans="1:16" ht="21.75" customHeight="1" x14ac:dyDescent="0.3">
      <c r="A69" s="156"/>
      <c r="B69" s="157"/>
      <c r="C69" s="157" t="s">
        <v>16</v>
      </c>
      <c r="D69" s="158" t="s">
        <v>38</v>
      </c>
      <c r="E69" s="159"/>
      <c r="F69" s="159"/>
      <c r="G69" s="160" t="s">
        <v>39</v>
      </c>
      <c r="H69" s="161" t="s">
        <v>12</v>
      </c>
      <c r="I69" s="162" t="s">
        <v>40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3">
      <c r="A70" s="156"/>
      <c r="B70" s="157"/>
      <c r="C70" s="157"/>
      <c r="D70" s="166"/>
      <c r="E70" s="159"/>
      <c r="F70" s="159" t="s">
        <v>40</v>
      </c>
      <c r="G70" s="160" t="s">
        <v>41</v>
      </c>
      <c r="H70" s="161" t="s">
        <v>12</v>
      </c>
      <c r="I70" s="162"/>
      <c r="J70" s="162"/>
      <c r="K70" s="163"/>
      <c r="L70" s="167">
        <f ca="1">L71+L72</f>
        <v>0</v>
      </c>
      <c r="M70" s="167">
        <f ca="1">IFERROR(__xludf.DUMMYFUNCTION("IMPORTRANGE(""https://docs.google.com/spreadsheets/d/1Yj_ptqi66GCucihVvJfMjLAmec39IyEx_6qawtMGysU/edit?usp=sharing"",""สบก!AI30"")"),0)</f>
        <v>0</v>
      </c>
      <c r="N70" s="168">
        <f ca="1">IFERROR(__xludf.DUMMYFUNCTION("IMPORTRANGE(""https://docs.google.com/spreadsheets/d/1Yj_ptqi66GCucihVvJfMjLAmec39IyEx_6qawtMGysU/edit?usp=sharing"",""สบก!AJ30"")"),0)</f>
        <v>0</v>
      </c>
      <c r="O70" s="168">
        <f ca="1">IF(L70&gt;0,N70*100/L70,0)</f>
        <v>0</v>
      </c>
      <c r="P70" s="168">
        <f ca="1">IF(M70&gt;0,N70*100/M70,0)</f>
        <v>0</v>
      </c>
    </row>
    <row r="71" spans="1:16" ht="21.75" customHeight="1" x14ac:dyDescent="0.3">
      <c r="A71" s="156"/>
      <c r="B71" s="157"/>
      <c r="C71" s="157"/>
      <c r="D71" s="166"/>
      <c r="E71" s="159"/>
      <c r="F71" s="159"/>
      <c r="G71" s="169" t="s">
        <v>42</v>
      </c>
      <c r="H71" s="161" t="s">
        <v>12</v>
      </c>
      <c r="I71" s="162"/>
      <c r="J71" s="162"/>
      <c r="K71" s="163"/>
      <c r="L71" s="167">
        <f ca="1">IFERROR(__xludf.DUMMYFUNCTION("IMPORTRANGE(""https://docs.google.com/spreadsheets/d/1Yj_ptqi66GCucihVvJfMjLAmec39IyEx_6qawtMGysU/edit?usp=sharing"",""สบก!AE30"")"),0)</f>
        <v>0</v>
      </c>
      <c r="M71" s="167"/>
      <c r="N71" s="167"/>
      <c r="O71" s="168"/>
      <c r="P71" s="168"/>
    </row>
    <row r="72" spans="1:16" ht="21.75" customHeight="1" x14ac:dyDescent="0.3">
      <c r="A72" s="156"/>
      <c r="B72" s="157"/>
      <c r="C72" s="157"/>
      <c r="D72" s="166"/>
      <c r="E72" s="159"/>
      <c r="F72" s="159"/>
      <c r="G72" s="169" t="s">
        <v>43</v>
      </c>
      <c r="H72" s="161" t="s">
        <v>12</v>
      </c>
      <c r="I72" s="162"/>
      <c r="J72" s="162"/>
      <c r="K72" s="163"/>
      <c r="L72" s="167">
        <f ca="1">IFERROR(__xludf.DUMMYFUNCTION("IMPORTRANGE(""https://docs.google.com/spreadsheets/d/1Yj_ptqi66GCucihVvJfMjLAmec39IyEx_6qawtMGysU/edit?usp=sharing"",""สบก!AF30"")"),0)</f>
        <v>0</v>
      </c>
      <c r="M72" s="167"/>
      <c r="N72" s="167"/>
      <c r="O72" s="168"/>
      <c r="P72" s="168"/>
    </row>
    <row r="73" spans="1:16" ht="21.75" customHeight="1" x14ac:dyDescent="0.45">
      <c r="A73" s="170"/>
      <c r="B73" s="80"/>
      <c r="C73" s="81" t="s">
        <v>16</v>
      </c>
      <c r="D73" s="534" t="s">
        <v>23</v>
      </c>
      <c r="E73" s="530"/>
      <c r="F73" s="88"/>
      <c r="G73" s="82" t="s">
        <v>18</v>
      </c>
      <c r="H73" s="171" t="s">
        <v>12</v>
      </c>
      <c r="I73" s="84"/>
      <c r="J73" s="84"/>
      <c r="K73" s="85"/>
      <c r="L73" s="41">
        <v>0</v>
      </c>
      <c r="M73" s="41"/>
      <c r="N73" s="41"/>
      <c r="O73" s="41"/>
      <c r="P73" s="41"/>
    </row>
    <row r="74" spans="1:16" ht="21.75" customHeight="1" x14ac:dyDescent="0.45">
      <c r="A74" s="172"/>
      <c r="B74" s="91"/>
      <c r="C74" s="91"/>
      <c r="D74" s="173"/>
      <c r="E74" s="92"/>
      <c r="F74" s="92"/>
      <c r="G74" s="93" t="s">
        <v>19</v>
      </c>
      <c r="H74" s="174" t="s">
        <v>12</v>
      </c>
      <c r="I74" s="95"/>
      <c r="J74" s="95"/>
      <c r="K74" s="96"/>
      <c r="L74" s="49">
        <f ca="1">IFERROR(__xludf.DUMMYFUNCTION("IMPORTRANGE(""https://docs.google.com/spreadsheets/d/1Yj_ptqi66GCucihVvJfMjLAmec39IyEx_6qawtMGysU/edit?usp=sharing"",""สบก!AG30"")"),3131000)</f>
        <v>3131000</v>
      </c>
      <c r="M74" s="49">
        <f ca="1">L74</f>
        <v>3131000</v>
      </c>
      <c r="N74" s="49">
        <f ca="1">IFERROR(__xludf.DUMMYFUNCTION("IMPORTRANGE(""https://docs.google.com/spreadsheets/d/1Yj_ptqi66GCucihVvJfMjLAmec39IyEx_6qawtMGysU/edit?usp=sharing"",""สบก!AK30"")"),3131000)</f>
        <v>3131000</v>
      </c>
      <c r="O74" s="49">
        <f ca="1">IF(L74&gt;0,N74*100/L74,0)</f>
        <v>100</v>
      </c>
      <c r="P74" s="49">
        <f ca="1">IF(M74&gt;0,N74*100/M74,0)</f>
        <v>100</v>
      </c>
    </row>
    <row r="75" spans="1:16" ht="21.75" customHeight="1" x14ac:dyDescent="0.3">
      <c r="A75" s="175"/>
      <c r="B75" s="176"/>
      <c r="C75" s="157" t="s">
        <v>16</v>
      </c>
      <c r="D75" s="177" t="s">
        <v>44</v>
      </c>
      <c r="E75" s="178"/>
      <c r="F75" s="178"/>
      <c r="G75" s="179"/>
      <c r="H75" s="180"/>
      <c r="I75" s="162"/>
      <c r="J75" s="162"/>
      <c r="K75" s="163"/>
      <c r="L75" s="181"/>
      <c r="M75" s="181"/>
      <c r="N75" s="181"/>
      <c r="O75" s="181"/>
      <c r="P75" s="181"/>
    </row>
    <row r="76" spans="1:16" ht="21.75" customHeight="1" x14ac:dyDescent="0.3">
      <c r="A76" s="175"/>
      <c r="B76" s="176"/>
      <c r="C76" s="176"/>
      <c r="D76" s="182">
        <v>1</v>
      </c>
      <c r="E76" s="183" t="s">
        <v>45</v>
      </c>
      <c r="F76" s="184"/>
      <c r="G76" s="185"/>
      <c r="H76" s="186"/>
      <c r="I76" s="187"/>
      <c r="J76" s="188">
        <f ca="1">IFERROR(__xludf.DUMMYFUNCTION("IMPORTRANGE(""https://docs.google.com/spreadsheets/d/11923uPwbBZFjjGgGUA6NLw09EwE0CqkOc4q9oUmW1yo/edit?usp=sharing"",""แพร่!J16"")"),0)</f>
        <v>0</v>
      </c>
      <c r="K76" s="163"/>
      <c r="L76" s="181"/>
      <c r="M76" s="181"/>
      <c r="N76" s="181"/>
      <c r="O76" s="181"/>
      <c r="P76" s="181"/>
    </row>
    <row r="77" spans="1:16" ht="21.75" customHeight="1" x14ac:dyDescent="0.3">
      <c r="A77" s="175"/>
      <c r="B77" s="176"/>
      <c r="C77" s="176"/>
      <c r="D77" s="189">
        <v>2</v>
      </c>
      <c r="E77" s="190" t="s">
        <v>46</v>
      </c>
      <c r="F77" s="191"/>
      <c r="G77" s="192"/>
      <c r="H77" s="186"/>
      <c r="I77" s="187"/>
      <c r="J77" s="188">
        <f ca="1">IFERROR(__xludf.DUMMYFUNCTION("IMPORTRANGE(""https://docs.google.com/spreadsheets/d/11923uPwbBZFjjGgGUA6NLw09EwE0CqkOc4q9oUmW1yo/edit?usp=sharing"",""แพร่!J17"")"),0)</f>
        <v>0</v>
      </c>
      <c r="K77" s="163"/>
      <c r="L77" s="181" t="s">
        <v>40</v>
      </c>
      <c r="M77" s="181"/>
      <c r="N77" s="181" t="s">
        <v>40</v>
      </c>
      <c r="O77" s="181"/>
      <c r="P77" s="181"/>
    </row>
    <row r="78" spans="1:16" ht="21.75" customHeight="1" x14ac:dyDescent="0.3">
      <c r="A78" s="175"/>
      <c r="B78" s="176"/>
      <c r="C78" s="176"/>
      <c r="D78" s="193"/>
      <c r="E78" s="194" t="s">
        <v>47</v>
      </c>
      <c r="F78" s="195"/>
      <c r="G78" s="196"/>
      <c r="H78" s="186"/>
      <c r="I78" s="187"/>
      <c r="J78" s="188">
        <f ca="1">IFERROR(__xludf.DUMMYFUNCTION("IMPORTRANGE(""https://docs.google.com/spreadsheets/d/11923uPwbBZFjjGgGUA6NLw09EwE0CqkOc4q9oUmW1yo/edit?usp=sharing"",""แพร่!J18"")"),0)</f>
        <v>0</v>
      </c>
      <c r="K78" s="163"/>
      <c r="L78" s="181"/>
      <c r="M78" s="181"/>
      <c r="N78" s="181"/>
      <c r="O78" s="181"/>
      <c r="P78" s="181"/>
    </row>
    <row r="79" spans="1:16" ht="21.75" customHeight="1" x14ac:dyDescent="0.3">
      <c r="A79" s="175"/>
      <c r="B79" s="176"/>
      <c r="C79" s="176"/>
      <c r="D79" s="193"/>
      <c r="E79" s="194" t="s">
        <v>48</v>
      </c>
      <c r="F79" s="195"/>
      <c r="G79" s="196"/>
      <c r="H79" s="186"/>
      <c r="I79" s="187"/>
      <c r="J79" s="197">
        <f ca="1">IFERROR(__xludf.DUMMYFUNCTION("IMPORTRANGE(""https://docs.google.com/spreadsheets/d/11923uPwbBZFjjGgGUA6NLw09EwE0CqkOc4q9oUmW1yo/edit?usp=sharing"",""แพร่!J19"")"),0)</f>
        <v>0</v>
      </c>
      <c r="K79" s="163"/>
      <c r="L79" s="181"/>
      <c r="M79" s="181"/>
      <c r="N79" s="181"/>
      <c r="O79" s="181"/>
      <c r="P79" s="181"/>
    </row>
    <row r="80" spans="1:16" ht="21.75" customHeight="1" x14ac:dyDescent="0.3">
      <c r="A80" s="175"/>
      <c r="B80" s="176"/>
      <c r="C80" s="176"/>
      <c r="D80" s="193"/>
      <c r="E80" s="198"/>
      <c r="F80" s="194" t="s">
        <v>49</v>
      </c>
      <c r="G80" s="195"/>
      <c r="H80" s="199" t="s">
        <v>36</v>
      </c>
      <c r="I80" s="200">
        <f ca="1">IFERROR(__xludf.DUMMYFUNCTION("IMPORTRANGE(""https://docs.google.com/spreadsheets/d/11923uPwbBZFjjGgGUA6NLw09EwE0CqkOc4q9oUmW1yo/edit?usp=sharing"",""แพร่!I20"")"),0)</f>
        <v>0</v>
      </c>
      <c r="J80" s="200">
        <f ca="1">IFERROR(__xludf.DUMMYFUNCTION("IMPORTRANGE(""https://docs.google.com/spreadsheets/d/11923uPwbBZFjjGgGUA6NLw09EwE0CqkOc4q9oUmW1yo/edit?usp=sharing"",""แพร่!J20"")"),0)</f>
        <v>0</v>
      </c>
      <c r="K80" s="201">
        <f t="shared" ref="K80:K88" ca="1" si="50">IF(I80&gt;0,J80*100/I80,0)</f>
        <v>0</v>
      </c>
      <c r="L80" s="181"/>
      <c r="M80" s="181"/>
      <c r="N80" s="181"/>
      <c r="O80" s="181"/>
      <c r="P80" s="181"/>
    </row>
    <row r="81" spans="1:16" ht="21.75" customHeight="1" x14ac:dyDescent="0.3">
      <c r="A81" s="175"/>
      <c r="B81" s="176"/>
      <c r="C81" s="176"/>
      <c r="D81" s="193"/>
      <c r="E81" s="198"/>
      <c r="F81" s="195"/>
      <c r="G81" s="196"/>
      <c r="H81" s="199" t="s">
        <v>37</v>
      </c>
      <c r="I81" s="200">
        <f ca="1">IFERROR(__xludf.DUMMYFUNCTION("IMPORTRANGE(""https://docs.google.com/spreadsheets/d/11923uPwbBZFjjGgGUA6NLw09EwE0CqkOc4q9oUmW1yo/edit?usp=sharing"",""แพร่!I21"")"),0)</f>
        <v>0</v>
      </c>
      <c r="J81" s="200">
        <f ca="1">IFERROR(__xludf.DUMMYFUNCTION("IMPORTRANGE(""https://docs.google.com/spreadsheets/d/11923uPwbBZFjjGgGUA6NLw09EwE0CqkOc4q9oUmW1yo/edit?usp=sharing"",""แพร่!J21"")"),0)</f>
        <v>0</v>
      </c>
      <c r="K81" s="201">
        <f t="shared" ca="1" si="50"/>
        <v>0</v>
      </c>
      <c r="L81" s="181"/>
      <c r="M81" s="181"/>
      <c r="N81" s="181"/>
      <c r="O81" s="181"/>
      <c r="P81" s="181"/>
    </row>
    <row r="82" spans="1:16" ht="21.75" customHeight="1" x14ac:dyDescent="0.3">
      <c r="A82" s="175"/>
      <c r="B82" s="176"/>
      <c r="C82" s="176"/>
      <c r="D82" s="193"/>
      <c r="E82" s="198"/>
      <c r="F82" s="195"/>
      <c r="G82" s="195" t="s">
        <v>50</v>
      </c>
      <c r="H82" s="180" t="s">
        <v>36</v>
      </c>
      <c r="I82" s="202">
        <f ca="1">IFERROR(__xludf.DUMMYFUNCTION("IMPORTRANGE(""https://docs.google.com/spreadsheets/d/11923uPwbBZFjjGgGUA6NLw09EwE0CqkOc4q9oUmW1yo/edit?usp=sharing"",""แพร่!I22"")"),0)</f>
        <v>0</v>
      </c>
      <c r="J82" s="203">
        <f ca="1">IFERROR(__xludf.DUMMYFUNCTION("IMPORTRANGE(""https://docs.google.com/spreadsheets/d/11923uPwbBZFjjGgGUA6NLw09EwE0CqkOc4q9oUmW1yo/edit?usp=sharing"",""แพร่!J22"")"),0)</f>
        <v>0</v>
      </c>
      <c r="K82" s="163">
        <f t="shared" ca="1" si="50"/>
        <v>0</v>
      </c>
      <c r="L82" s="181"/>
      <c r="M82" s="181"/>
      <c r="N82" s="181"/>
      <c r="O82" s="181"/>
      <c r="P82" s="181"/>
    </row>
    <row r="83" spans="1:16" ht="21.75" customHeight="1" x14ac:dyDescent="0.3">
      <c r="A83" s="175"/>
      <c r="B83" s="176"/>
      <c r="C83" s="176"/>
      <c r="D83" s="193"/>
      <c r="E83" s="198"/>
      <c r="F83" s="195"/>
      <c r="G83" s="196"/>
      <c r="H83" s="180" t="s">
        <v>37</v>
      </c>
      <c r="I83" s="202">
        <f ca="1">IFERROR(__xludf.DUMMYFUNCTION("IMPORTRANGE(""https://docs.google.com/spreadsheets/d/11923uPwbBZFjjGgGUA6NLw09EwE0CqkOc4q9oUmW1yo/edit?usp=sharing"",""แพร่!I23"")"),0)</f>
        <v>0</v>
      </c>
      <c r="J83" s="203">
        <f ca="1">IFERROR(__xludf.DUMMYFUNCTION("IMPORTRANGE(""https://docs.google.com/spreadsheets/d/11923uPwbBZFjjGgGUA6NLw09EwE0CqkOc4q9oUmW1yo/edit?usp=sharing"",""แพร่!J23"")"),0)</f>
        <v>0</v>
      </c>
      <c r="K83" s="163">
        <f t="shared" ca="1" si="50"/>
        <v>0</v>
      </c>
      <c r="L83" s="181"/>
      <c r="M83" s="181"/>
      <c r="N83" s="181"/>
      <c r="O83" s="181"/>
      <c r="P83" s="181"/>
    </row>
    <row r="84" spans="1:16" ht="21.75" customHeight="1" x14ac:dyDescent="0.3">
      <c r="A84" s="175"/>
      <c r="B84" s="176"/>
      <c r="C84" s="176"/>
      <c r="D84" s="193"/>
      <c r="E84" s="198"/>
      <c r="F84" s="195"/>
      <c r="G84" s="195" t="s">
        <v>51</v>
      </c>
      <c r="H84" s="180" t="s">
        <v>36</v>
      </c>
      <c r="I84" s="202">
        <f ca="1">IFERROR(__xludf.DUMMYFUNCTION("IMPORTRANGE(""https://docs.google.com/spreadsheets/d/11923uPwbBZFjjGgGUA6NLw09EwE0CqkOc4q9oUmW1yo/edit?usp=sharing"",""แพร่!I24"")"),0)</f>
        <v>0</v>
      </c>
      <c r="J84" s="188">
        <f ca="1">IFERROR(__xludf.DUMMYFUNCTION("IMPORTRANGE(""https://docs.google.com/spreadsheets/d/11923uPwbBZFjjGgGUA6NLw09EwE0CqkOc4q9oUmW1yo/edit?usp=sharing"",""แพร่!J24"")"),0)</f>
        <v>0</v>
      </c>
      <c r="K84" s="163">
        <f t="shared" ca="1" si="50"/>
        <v>0</v>
      </c>
      <c r="L84" s="181"/>
      <c r="M84" s="181"/>
      <c r="N84" s="181"/>
      <c r="O84" s="181"/>
      <c r="P84" s="181"/>
    </row>
    <row r="85" spans="1:16" ht="21.75" customHeight="1" x14ac:dyDescent="0.3">
      <c r="A85" s="175"/>
      <c r="B85" s="176"/>
      <c r="C85" s="176"/>
      <c r="D85" s="193"/>
      <c r="E85" s="198"/>
      <c r="F85" s="195"/>
      <c r="G85" s="196"/>
      <c r="H85" s="180" t="s">
        <v>37</v>
      </c>
      <c r="I85" s="202">
        <f ca="1">IFERROR(__xludf.DUMMYFUNCTION("IMPORTRANGE(""https://docs.google.com/spreadsheets/d/11923uPwbBZFjjGgGUA6NLw09EwE0CqkOc4q9oUmW1yo/edit?usp=sharing"",""แพร่!I25"")"),0)</f>
        <v>0</v>
      </c>
      <c r="J85" s="188">
        <f ca="1">IFERROR(__xludf.DUMMYFUNCTION("IMPORTRANGE(""https://docs.google.com/spreadsheets/d/11923uPwbBZFjjGgGUA6NLw09EwE0CqkOc4q9oUmW1yo/edit?usp=sharing"",""แพร่!J25"")"),0)</f>
        <v>0</v>
      </c>
      <c r="K85" s="163">
        <f t="shared" ca="1" si="50"/>
        <v>0</v>
      </c>
      <c r="L85" s="181"/>
      <c r="M85" s="181"/>
      <c r="N85" s="181"/>
      <c r="O85" s="181"/>
      <c r="P85" s="181"/>
    </row>
    <row r="86" spans="1:16" ht="21.75" customHeight="1" x14ac:dyDescent="0.3">
      <c r="A86" s="175"/>
      <c r="B86" s="176"/>
      <c r="C86" s="176"/>
      <c r="D86" s="193"/>
      <c r="E86" s="198"/>
      <c r="F86" s="195"/>
      <c r="G86" s="195" t="s">
        <v>52</v>
      </c>
      <c r="H86" s="180" t="s">
        <v>36</v>
      </c>
      <c r="I86" s="202">
        <f ca="1">IFERROR(__xludf.DUMMYFUNCTION("IMPORTRANGE(""https://docs.google.com/spreadsheets/d/11923uPwbBZFjjGgGUA6NLw09EwE0CqkOc4q9oUmW1yo/edit?usp=sharing"",""แพร่!I26"")"),0)</f>
        <v>0</v>
      </c>
      <c r="J86" s="203">
        <f ca="1">IFERROR(__xludf.DUMMYFUNCTION("IMPORTRANGE(""https://docs.google.com/spreadsheets/d/11923uPwbBZFjjGgGUA6NLw09EwE0CqkOc4q9oUmW1yo/edit?usp=sharing"",""แพร่!J26"")"),0)</f>
        <v>0</v>
      </c>
      <c r="K86" s="163">
        <f t="shared" ca="1" si="50"/>
        <v>0</v>
      </c>
      <c r="L86" s="181"/>
      <c r="M86" s="181"/>
      <c r="N86" s="181"/>
      <c r="O86" s="181"/>
      <c r="P86" s="181"/>
    </row>
    <row r="87" spans="1:16" ht="21.75" customHeight="1" x14ac:dyDescent="0.3">
      <c r="A87" s="175"/>
      <c r="B87" s="176"/>
      <c r="C87" s="176"/>
      <c r="D87" s="193"/>
      <c r="E87" s="198"/>
      <c r="F87" s="195"/>
      <c r="G87" s="196"/>
      <c r="H87" s="180" t="s">
        <v>37</v>
      </c>
      <c r="I87" s="202">
        <f ca="1">IFERROR(__xludf.DUMMYFUNCTION("IMPORTRANGE(""https://docs.google.com/spreadsheets/d/11923uPwbBZFjjGgGUA6NLw09EwE0CqkOc4q9oUmW1yo/edit?usp=sharing"",""แพร่!I27"")"),0)</f>
        <v>0</v>
      </c>
      <c r="J87" s="203">
        <f ca="1">IFERROR(__xludf.DUMMYFUNCTION("IMPORTRANGE(""https://docs.google.com/spreadsheets/d/11923uPwbBZFjjGgGUA6NLw09EwE0CqkOc4q9oUmW1yo/edit?usp=sharing"",""แพร่!J27"")"),0)</f>
        <v>0</v>
      </c>
      <c r="K87" s="163">
        <f t="shared" ca="1" si="50"/>
        <v>0</v>
      </c>
      <c r="L87" s="181"/>
      <c r="M87" s="181"/>
      <c r="N87" s="181"/>
      <c r="O87" s="181"/>
      <c r="P87" s="181"/>
    </row>
    <row r="88" spans="1:16" ht="21.75" customHeight="1" x14ac:dyDescent="0.3">
      <c r="A88" s="175"/>
      <c r="B88" s="176"/>
      <c r="C88" s="176"/>
      <c r="D88" s="193"/>
      <c r="E88" s="198"/>
      <c r="F88" s="204" t="s">
        <v>53</v>
      </c>
      <c r="G88" s="195"/>
      <c r="H88" s="180" t="s">
        <v>37</v>
      </c>
      <c r="I88" s="202">
        <f ca="1">IFERROR(__xludf.DUMMYFUNCTION("IMPORTRANGE(""https://docs.google.com/spreadsheets/d/11923uPwbBZFjjGgGUA6NLw09EwE0CqkOc4q9oUmW1yo/edit?usp=sharing"",""แพร่!I28"")"),0)</f>
        <v>0</v>
      </c>
      <c r="J88" s="203">
        <f ca="1">IFERROR(__xludf.DUMMYFUNCTION("IMPORTRANGE(""https://docs.google.com/spreadsheets/d/11923uPwbBZFjjGgGUA6NLw09EwE0CqkOc4q9oUmW1yo/edit?usp=sharing"",""แพร่!J28"")"),0)</f>
        <v>0</v>
      </c>
      <c r="K88" s="163">
        <f t="shared" ca="1" si="50"/>
        <v>0</v>
      </c>
      <c r="L88" s="181"/>
      <c r="M88" s="181"/>
      <c r="N88" s="181"/>
      <c r="O88" s="181"/>
      <c r="P88" s="181"/>
    </row>
    <row r="89" spans="1:16" ht="21.75" customHeight="1" x14ac:dyDescent="0.3">
      <c r="A89" s="175"/>
      <c r="B89" s="176"/>
      <c r="C89" s="176"/>
      <c r="D89" s="193"/>
      <c r="E89" s="194" t="s">
        <v>54</v>
      </c>
      <c r="F89" s="195"/>
      <c r="G89" s="196"/>
      <c r="H89" s="186"/>
      <c r="I89" s="187"/>
      <c r="J89" s="197">
        <f ca="1">IFERROR(__xludf.DUMMYFUNCTION("IMPORTRANGE(""https://docs.google.com/spreadsheets/d/11923uPwbBZFjjGgGUA6NLw09EwE0CqkOc4q9oUmW1yo/edit?usp=sharing"",""แพร่!J29"")"),0)</f>
        <v>0</v>
      </c>
      <c r="K89" s="163"/>
      <c r="L89" s="181"/>
      <c r="M89" s="181"/>
      <c r="N89" s="181"/>
      <c r="O89" s="181"/>
      <c r="P89" s="181"/>
    </row>
    <row r="90" spans="1:16" ht="21.75" customHeight="1" x14ac:dyDescent="0.3">
      <c r="A90" s="175"/>
      <c r="B90" s="176"/>
      <c r="C90" s="176"/>
      <c r="D90" s="205">
        <v>3</v>
      </c>
      <c r="E90" s="206" t="s">
        <v>55</v>
      </c>
      <c r="F90" s="207"/>
      <c r="G90" s="208"/>
      <c r="H90" s="186"/>
      <c r="I90" s="187"/>
      <c r="J90" s="209">
        <f ca="1">IFERROR(__xludf.DUMMYFUNCTION("IMPORTRANGE(""https://docs.google.com/spreadsheets/d/11923uPwbBZFjjGgGUA6NLw09EwE0CqkOc4q9oUmW1yo/edit?usp=sharing"",""แพร่!J30"")"),0)</f>
        <v>0</v>
      </c>
      <c r="K90" s="163"/>
      <c r="L90" s="181"/>
      <c r="M90" s="181"/>
      <c r="N90" s="181"/>
      <c r="O90" s="181"/>
      <c r="P90" s="181"/>
    </row>
    <row r="91" spans="1:16" ht="21.75" customHeight="1" x14ac:dyDescent="0.3">
      <c r="A91" s="210" t="s">
        <v>56</v>
      </c>
      <c r="B91" s="211"/>
      <c r="C91" s="212"/>
      <c r="D91" s="211"/>
      <c r="E91" s="213"/>
      <c r="F91" s="213"/>
      <c r="G91" s="214"/>
      <c r="H91" s="215"/>
      <c r="I91" s="216"/>
      <c r="J91" s="216"/>
      <c r="K91" s="217"/>
      <c r="L91" s="218"/>
      <c r="M91" s="218"/>
      <c r="N91" s="218"/>
      <c r="O91" s="219"/>
      <c r="P91" s="219"/>
    </row>
    <row r="92" spans="1:16" ht="21.75" customHeight="1" x14ac:dyDescent="0.3">
      <c r="A92" s="137"/>
      <c r="B92" s="138" t="s">
        <v>57</v>
      </c>
      <c r="C92" s="138"/>
      <c r="D92" s="139"/>
      <c r="E92" s="138"/>
      <c r="F92" s="138"/>
      <c r="G92" s="220"/>
      <c r="H92" s="140" t="s">
        <v>37</v>
      </c>
      <c r="I92" s="141">
        <f ca="1">IFERROR(__xludf.DUMMYFUNCTION("IMPORTRANGE(""https://docs.google.com/spreadsheets/d/11923uPwbBZFjjGgGUA6NLw09EwE0CqkOc4q9oUmW1yo/edit?usp=sharing"",""แพร่!I32"")"),7)</f>
        <v>7</v>
      </c>
      <c r="J92" s="141">
        <f ca="1">IFERROR(__xludf.DUMMYFUNCTION("IMPORTRANGE(""https://docs.google.com/spreadsheets/d/11923uPwbBZFjjGgGUA6NLw09EwE0CqkOc4q9oUmW1yo/edit?usp=sharing"",""แพร่!J32"")"),0)</f>
        <v>0</v>
      </c>
      <c r="K92" s="142">
        <f t="shared" ref="K92:K93" ca="1" si="51">IF(I92&gt;0,J92*100/I92,0)</f>
        <v>0</v>
      </c>
      <c r="L92" s="221"/>
      <c r="M92" s="221"/>
      <c r="N92" s="222"/>
      <c r="O92" s="142"/>
      <c r="P92" s="142"/>
    </row>
    <row r="93" spans="1:16" ht="21.75" customHeight="1" x14ac:dyDescent="0.3">
      <c r="A93" s="137"/>
      <c r="B93" s="138"/>
      <c r="C93" s="138"/>
      <c r="D93" s="139" t="s">
        <v>58</v>
      </c>
      <c r="E93" s="138"/>
      <c r="F93" s="138"/>
      <c r="G93" s="220"/>
      <c r="H93" s="140" t="s">
        <v>59</v>
      </c>
      <c r="I93" s="141">
        <f ca="1">IFERROR(__xludf.DUMMYFUNCTION("IMPORTRANGE(""https://docs.google.com/spreadsheets/d/11923uPwbBZFjjGgGUA6NLw09EwE0CqkOc4q9oUmW1yo/edit?usp=sharing"",""แพร่!I33"")"),2)</f>
        <v>2</v>
      </c>
      <c r="J93" s="141">
        <f ca="1">IFERROR(__xludf.DUMMYFUNCTION("IMPORTRANGE(""https://docs.google.com/spreadsheets/d/11923uPwbBZFjjGgGUA6NLw09EwE0CqkOc4q9oUmW1yo/edit?usp=sharing"",""แพร่!J33"")"),2)</f>
        <v>2</v>
      </c>
      <c r="K93" s="142">
        <f t="shared" ca="1" si="51"/>
        <v>100</v>
      </c>
      <c r="L93" s="222"/>
      <c r="M93" s="222"/>
      <c r="N93" s="222"/>
      <c r="O93" s="142"/>
      <c r="P93" s="142"/>
    </row>
    <row r="94" spans="1:16" ht="21.75" customHeight="1" x14ac:dyDescent="0.45">
      <c r="A94" s="145"/>
      <c r="B94" s="146"/>
      <c r="C94" s="147" t="s">
        <v>16</v>
      </c>
      <c r="D94" s="537" t="s">
        <v>17</v>
      </c>
      <c r="E94" s="528"/>
      <c r="F94" s="528"/>
      <c r="G94" s="528"/>
      <c r="H94" s="148" t="s">
        <v>12</v>
      </c>
      <c r="I94" s="162"/>
      <c r="J94" s="162"/>
      <c r="K94" s="163"/>
      <c r="L94" s="151">
        <f t="shared" ref="L94:N94" ca="1" si="52">L95+L96</f>
        <v>318960</v>
      </c>
      <c r="M94" s="151">
        <f t="shared" ca="1" si="52"/>
        <v>265590</v>
      </c>
      <c r="N94" s="151">
        <f t="shared" ca="1" si="52"/>
        <v>242525</v>
      </c>
      <c r="O94" s="150">
        <f t="shared" ref="O94:O96" ca="1" si="53">IF(L94&gt;0,N94*100/L94,0)</f>
        <v>76.036180085277152</v>
      </c>
      <c r="P94" s="150">
        <f t="shared" ref="P94:P96" ca="1" si="54">IF(M94&gt;0,N94*100/M94,0)</f>
        <v>91.315561579878761</v>
      </c>
    </row>
    <row r="95" spans="1:16" ht="21.75" customHeight="1" x14ac:dyDescent="0.45">
      <c r="A95" s="152"/>
      <c r="B95" s="32"/>
      <c r="C95" s="32"/>
      <c r="D95" s="32"/>
      <c r="E95" s="32"/>
      <c r="F95" s="32"/>
      <c r="G95" s="33" t="s">
        <v>18</v>
      </c>
      <c r="H95" s="153" t="s">
        <v>12</v>
      </c>
      <c r="I95" s="162"/>
      <c r="J95" s="162"/>
      <c r="K95" s="163"/>
      <c r="L95" s="87">
        <f t="shared" ref="L95:N95" si="55">L97+L101</f>
        <v>0</v>
      </c>
      <c r="M95" s="87">
        <f t="shared" si="55"/>
        <v>0</v>
      </c>
      <c r="N95" s="87">
        <f t="shared" si="55"/>
        <v>0</v>
      </c>
      <c r="O95" s="155">
        <f t="shared" si="53"/>
        <v>0</v>
      </c>
      <c r="P95" s="155">
        <f t="shared" si="54"/>
        <v>0</v>
      </c>
    </row>
    <row r="96" spans="1:16" ht="21.75" customHeight="1" x14ac:dyDescent="0.45">
      <c r="A96" s="152"/>
      <c r="B96" s="32"/>
      <c r="C96" s="32"/>
      <c r="D96" s="32"/>
      <c r="E96" s="32"/>
      <c r="F96" s="32"/>
      <c r="G96" s="33" t="s">
        <v>19</v>
      </c>
      <c r="H96" s="153" t="s">
        <v>12</v>
      </c>
      <c r="I96" s="162"/>
      <c r="J96" s="162"/>
      <c r="K96" s="163"/>
      <c r="L96" s="87">
        <f t="shared" ref="L96:N96" ca="1" si="56">L98+L102</f>
        <v>318960</v>
      </c>
      <c r="M96" s="87">
        <f t="shared" ca="1" si="56"/>
        <v>265590</v>
      </c>
      <c r="N96" s="87">
        <f t="shared" ca="1" si="56"/>
        <v>242525</v>
      </c>
      <c r="O96" s="155">
        <f t="shared" ca="1" si="53"/>
        <v>76.036180085277152</v>
      </c>
      <c r="P96" s="155">
        <f t="shared" ca="1" si="54"/>
        <v>91.315561579878761</v>
      </c>
    </row>
    <row r="97" spans="1:16" ht="21.75" customHeight="1" x14ac:dyDescent="0.3">
      <c r="A97" s="156"/>
      <c r="B97" s="157"/>
      <c r="C97" s="157" t="s">
        <v>16</v>
      </c>
      <c r="D97" s="158" t="s">
        <v>38</v>
      </c>
      <c r="E97" s="159"/>
      <c r="F97" s="159"/>
      <c r="G97" s="160" t="s">
        <v>39</v>
      </c>
      <c r="H97" s="161" t="s">
        <v>12</v>
      </c>
      <c r="I97" s="162" t="s">
        <v>40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3">
      <c r="A98" s="156"/>
      <c r="B98" s="157"/>
      <c r="C98" s="157"/>
      <c r="D98" s="166"/>
      <c r="E98" s="159"/>
      <c r="F98" s="159" t="s">
        <v>40</v>
      </c>
      <c r="G98" s="160" t="s">
        <v>41</v>
      </c>
      <c r="H98" s="161" t="s">
        <v>12</v>
      </c>
      <c r="I98" s="162"/>
      <c r="J98" s="162"/>
      <c r="K98" s="163"/>
      <c r="L98" s="167">
        <f ca="1">L99+L100</f>
        <v>134160</v>
      </c>
      <c r="M98" s="167">
        <f ca="1">IFERROR(__xludf.DUMMYFUNCTION("IMPORTRANGE(""https://docs.google.com/spreadsheets/d/1Yj_ptqi66GCucihVvJfMjLAmec39IyEx_6qawtMGysU/edit?usp=sharing"",""สบก!AR30"")"),80790)</f>
        <v>80790</v>
      </c>
      <c r="N98" s="168">
        <f ca="1">IFERROR(__xludf.DUMMYFUNCTION("IMPORTRANGE(""https://docs.google.com/spreadsheets/d/1Yj_ptqi66GCucihVvJfMjLAmec39IyEx_6qawtMGysU/edit?usp=sharing"",""สบก!AS30"")"),57725)</f>
        <v>57725</v>
      </c>
      <c r="O98" s="168">
        <f ca="1">IF(L98&gt;0,N98*100/L98,0)</f>
        <v>43.026982707215268</v>
      </c>
      <c r="P98" s="168">
        <f ca="1">IF(M98&gt;0,N98*100/M98,0)</f>
        <v>71.450674588439156</v>
      </c>
    </row>
    <row r="99" spans="1:16" ht="21.75" customHeight="1" x14ac:dyDescent="0.3">
      <c r="A99" s="156"/>
      <c r="B99" s="157"/>
      <c r="C99" s="157"/>
      <c r="D99" s="166"/>
      <c r="E99" s="159"/>
      <c r="F99" s="159"/>
      <c r="G99" s="169" t="s">
        <v>42</v>
      </c>
      <c r="H99" s="161" t="s">
        <v>12</v>
      </c>
      <c r="I99" s="162"/>
      <c r="J99" s="162"/>
      <c r="K99" s="163"/>
      <c r="L99" s="167">
        <f ca="1">IFERROR(__xludf.DUMMYFUNCTION("IMPORTRANGE(""https://docs.google.com/spreadsheets/d/1Yj_ptqi66GCucihVvJfMjLAmec39IyEx_6qawtMGysU/edit?usp=sharing"",""สบก!AN30"")"),0)</f>
        <v>0</v>
      </c>
      <c r="M99" s="167"/>
      <c r="N99" s="167"/>
      <c r="O99" s="168"/>
      <c r="P99" s="168"/>
    </row>
    <row r="100" spans="1:16" ht="21.75" customHeight="1" x14ac:dyDescent="0.3">
      <c r="A100" s="156"/>
      <c r="B100" s="157"/>
      <c r="C100" s="157"/>
      <c r="D100" s="166"/>
      <c r="E100" s="159"/>
      <c r="F100" s="159"/>
      <c r="G100" s="169" t="s">
        <v>43</v>
      </c>
      <c r="H100" s="161" t="s">
        <v>12</v>
      </c>
      <c r="I100" s="162"/>
      <c r="J100" s="187"/>
      <c r="K100" s="223"/>
      <c r="L100" s="167">
        <f ca="1">IFERROR(__xludf.DUMMYFUNCTION("IMPORTRANGE(""https://docs.google.com/spreadsheets/d/1Yj_ptqi66GCucihVvJfMjLAmec39IyEx_6qawtMGysU/edit?usp=sharing"",""สบก!AO30"")"),134160)</f>
        <v>134160</v>
      </c>
      <c r="M100" s="167"/>
      <c r="N100" s="167"/>
      <c r="O100" s="168"/>
      <c r="P100" s="168"/>
    </row>
    <row r="101" spans="1:16" ht="21.75" customHeight="1" x14ac:dyDescent="0.45">
      <c r="A101" s="170"/>
      <c r="B101" s="80"/>
      <c r="C101" s="81" t="s">
        <v>16</v>
      </c>
      <c r="D101" s="534" t="s">
        <v>23</v>
      </c>
      <c r="E101" s="530"/>
      <c r="F101" s="88"/>
      <c r="G101" s="82" t="s">
        <v>18</v>
      </c>
      <c r="H101" s="171" t="s">
        <v>12</v>
      </c>
      <c r="I101" s="187"/>
      <c r="J101" s="187"/>
      <c r="K101" s="223"/>
      <c r="L101" s="41">
        <v>0</v>
      </c>
      <c r="M101" s="41"/>
      <c r="N101" s="41"/>
      <c r="O101" s="41"/>
      <c r="P101" s="41"/>
    </row>
    <row r="102" spans="1:16" ht="21.75" customHeight="1" x14ac:dyDescent="0.45">
      <c r="A102" s="172"/>
      <c r="B102" s="91"/>
      <c r="C102" s="91"/>
      <c r="D102" s="173"/>
      <c r="E102" s="92"/>
      <c r="F102" s="92"/>
      <c r="G102" s="93" t="s">
        <v>19</v>
      </c>
      <c r="H102" s="174" t="s">
        <v>12</v>
      </c>
      <c r="I102" s="187"/>
      <c r="J102" s="187"/>
      <c r="K102" s="223"/>
      <c r="L102" s="49">
        <f ca="1">IFERROR(__xludf.DUMMYFUNCTION("IMPORTRANGE(""https://docs.google.com/spreadsheets/d/1Yj_ptqi66GCucihVvJfMjLAmec39IyEx_6qawtMGysU/edit?usp=sharing"",""สบก!AP30"")"),184800)</f>
        <v>184800</v>
      </c>
      <c r="M102" s="49">
        <f ca="1">L102</f>
        <v>184800</v>
      </c>
      <c r="N102" s="49">
        <f ca="1">IFERROR(__xludf.DUMMYFUNCTION("IMPORTRANGE(""https://docs.google.com/spreadsheets/d/1Yj_ptqi66GCucihVvJfMjLAmec39IyEx_6qawtMGysU/edit?usp=sharing"",""สบก!AT30"")"),184800)</f>
        <v>184800</v>
      </c>
      <c r="O102" s="49">
        <f ca="1">IF(L102&gt;0,N102*100/L102,0)</f>
        <v>100</v>
      </c>
      <c r="P102" s="49">
        <f ca="1">IF(M102&gt;0,N102*100/M102,0)</f>
        <v>100</v>
      </c>
    </row>
    <row r="103" spans="1:16" ht="21.75" customHeight="1" x14ac:dyDescent="0.3">
      <c r="A103" s="175"/>
      <c r="B103" s="176"/>
      <c r="C103" s="157" t="s">
        <v>16</v>
      </c>
      <c r="D103" s="177" t="s">
        <v>44</v>
      </c>
      <c r="E103" s="178"/>
      <c r="F103" s="178"/>
      <c r="G103" s="179"/>
      <c r="H103" s="180"/>
      <c r="I103" s="162"/>
      <c r="J103" s="187"/>
      <c r="K103" s="223"/>
      <c r="L103" s="168"/>
      <c r="M103" s="168"/>
      <c r="N103" s="168"/>
      <c r="O103" s="181"/>
      <c r="P103" s="181"/>
    </row>
    <row r="104" spans="1:16" ht="21.75" customHeight="1" x14ac:dyDescent="0.3">
      <c r="A104" s="175"/>
      <c r="B104" s="176"/>
      <c r="C104" s="176"/>
      <c r="D104" s="182">
        <v>1</v>
      </c>
      <c r="E104" s="183" t="s">
        <v>45</v>
      </c>
      <c r="F104" s="184"/>
      <c r="G104" s="185"/>
      <c r="H104" s="186"/>
      <c r="I104" s="187"/>
      <c r="J104" s="187">
        <f ca="1">IFERROR(__xludf.DUMMYFUNCTION("IMPORTRANGE(""https://docs.google.com/spreadsheets/d/11923uPwbBZFjjGgGUA6NLw09EwE0CqkOc4q9oUmW1yo/edit?usp=sharing"",""แพร่!J39"")"),0)</f>
        <v>0</v>
      </c>
      <c r="K104" s="223"/>
      <c r="L104" s="168"/>
      <c r="M104" s="168"/>
      <c r="N104" s="168"/>
      <c r="O104" s="181"/>
      <c r="P104" s="181"/>
    </row>
    <row r="105" spans="1:16" ht="21.75" customHeight="1" x14ac:dyDescent="0.3">
      <c r="A105" s="175"/>
      <c r="B105" s="176"/>
      <c r="C105" s="176"/>
      <c r="D105" s="189">
        <v>2</v>
      </c>
      <c r="E105" s="190" t="s">
        <v>46</v>
      </c>
      <c r="F105" s="191"/>
      <c r="G105" s="192"/>
      <c r="H105" s="186"/>
      <c r="I105" s="187"/>
      <c r="J105" s="187">
        <f ca="1">IFERROR(__xludf.DUMMYFUNCTION("IMPORTRANGE(""https://docs.google.com/spreadsheets/d/11923uPwbBZFjjGgGUA6NLw09EwE0CqkOc4q9oUmW1yo/edit?usp=sharing"",""แพร่!J40"")"),1)</f>
        <v>1</v>
      </c>
      <c r="K105" s="223"/>
      <c r="L105" s="168" t="s">
        <v>40</v>
      </c>
      <c r="M105" s="168"/>
      <c r="N105" s="168" t="s">
        <v>40</v>
      </c>
      <c r="O105" s="181"/>
      <c r="P105" s="181"/>
    </row>
    <row r="106" spans="1:16" ht="21.75" customHeight="1" x14ac:dyDescent="0.3">
      <c r="A106" s="175"/>
      <c r="B106" s="176"/>
      <c r="C106" s="176"/>
      <c r="D106" s="193"/>
      <c r="E106" s="194" t="s">
        <v>47</v>
      </c>
      <c r="F106" s="195"/>
      <c r="G106" s="196"/>
      <c r="H106" s="186"/>
      <c r="I106" s="187"/>
      <c r="J106" s="187">
        <f ca="1">IFERROR(__xludf.DUMMYFUNCTION("IMPORTRANGE(""https://docs.google.com/spreadsheets/d/11923uPwbBZFjjGgGUA6NLw09EwE0CqkOc4q9oUmW1yo/edit?usp=sharing"",""แพร่!J41"")"),1)</f>
        <v>1</v>
      </c>
      <c r="K106" s="223"/>
      <c r="L106" s="168"/>
      <c r="M106" s="168"/>
      <c r="N106" s="168"/>
      <c r="O106" s="181"/>
      <c r="P106" s="181"/>
    </row>
    <row r="107" spans="1:16" ht="21.75" customHeight="1" x14ac:dyDescent="0.3">
      <c r="A107" s="175"/>
      <c r="B107" s="176"/>
      <c r="C107" s="176"/>
      <c r="D107" s="193"/>
      <c r="E107" s="194" t="s">
        <v>48</v>
      </c>
      <c r="F107" s="195"/>
      <c r="G107" s="196"/>
      <c r="H107" s="186"/>
      <c r="I107" s="187"/>
      <c r="J107" s="187">
        <f ca="1">IFERROR(__xludf.DUMMYFUNCTION("IMPORTRANGE(""https://docs.google.com/spreadsheets/d/11923uPwbBZFjjGgGUA6NLw09EwE0CqkOc4q9oUmW1yo/edit?usp=sharing"",""แพร่!J42"")"),1)</f>
        <v>1</v>
      </c>
      <c r="K107" s="223"/>
      <c r="L107" s="168"/>
      <c r="M107" s="168"/>
      <c r="N107" s="168"/>
      <c r="O107" s="181"/>
      <c r="P107" s="181"/>
    </row>
    <row r="108" spans="1:16" ht="21.75" customHeight="1" x14ac:dyDescent="0.3">
      <c r="A108" s="175"/>
      <c r="B108" s="176"/>
      <c r="C108" s="176"/>
      <c r="D108" s="193"/>
      <c r="E108" s="195"/>
      <c r="F108" s="195" t="s">
        <v>60</v>
      </c>
      <c r="G108" s="195"/>
      <c r="H108" s="180" t="s">
        <v>61</v>
      </c>
      <c r="I108" s="202">
        <f ca="1">IFERROR(__xludf.DUMMYFUNCTION("IMPORTRANGE(""https://docs.google.com/spreadsheets/d/11923uPwbBZFjjGgGUA6NLw09EwE0CqkOc4q9oUmW1yo/edit?usp=sharing"",""แพร่!I43"")"),1)</f>
        <v>1</v>
      </c>
      <c r="J108" s="203">
        <f ca="1">IFERROR(__xludf.DUMMYFUNCTION("IMPORTRANGE(""https://docs.google.com/spreadsheets/d/11923uPwbBZFjjGgGUA6NLw09EwE0CqkOc4q9oUmW1yo/edit?usp=sharing"",""แพร่!J43"")"),1)</f>
        <v>1</v>
      </c>
      <c r="K108" s="223">
        <f t="shared" ref="K108:K113" ca="1" si="57">IF(I108&gt;0,J108*100/I108,0)</f>
        <v>100</v>
      </c>
      <c r="L108" s="168"/>
      <c r="M108" s="168"/>
      <c r="N108" s="168"/>
      <c r="O108" s="181"/>
      <c r="P108" s="181"/>
    </row>
    <row r="109" spans="1:16" ht="21.75" customHeight="1" x14ac:dyDescent="0.3">
      <c r="A109" s="175"/>
      <c r="B109" s="176"/>
      <c r="C109" s="176"/>
      <c r="D109" s="193"/>
      <c r="E109" s="198"/>
      <c r="F109" s="194" t="s">
        <v>62</v>
      </c>
      <c r="G109" s="195"/>
      <c r="H109" s="180" t="s">
        <v>37</v>
      </c>
      <c r="I109" s="202">
        <f ca="1">IFERROR(__xludf.DUMMYFUNCTION("IMPORTRANGE(""https://docs.google.com/spreadsheets/d/11923uPwbBZFjjGgGUA6NLw09EwE0CqkOc4q9oUmW1yo/edit?usp=sharing"",""แพร่!I44"")"),7)</f>
        <v>7</v>
      </c>
      <c r="J109" s="203">
        <f ca="1">IFERROR(__xludf.DUMMYFUNCTION("IMPORTRANGE(""https://docs.google.com/spreadsheets/d/11923uPwbBZFjjGgGUA6NLw09EwE0CqkOc4q9oUmW1yo/edit?usp=sharing"",""แพร่!J44"")"),0)</f>
        <v>0</v>
      </c>
      <c r="K109" s="223">
        <f t="shared" ca="1" si="57"/>
        <v>0</v>
      </c>
      <c r="L109" s="168"/>
      <c r="M109" s="168"/>
      <c r="N109" s="168"/>
      <c r="O109" s="181"/>
      <c r="P109" s="181"/>
    </row>
    <row r="110" spans="1:16" ht="21.75" customHeight="1" x14ac:dyDescent="0.3">
      <c r="A110" s="175"/>
      <c r="B110" s="176"/>
      <c r="C110" s="176"/>
      <c r="D110" s="193"/>
      <c r="E110" s="198"/>
      <c r="F110" s="195"/>
      <c r="G110" s="224" t="s">
        <v>63</v>
      </c>
      <c r="H110" s="180" t="s">
        <v>37</v>
      </c>
      <c r="I110" s="202">
        <f ca="1">IFERROR(__xludf.DUMMYFUNCTION("IMPORTRANGE(""https://docs.google.com/spreadsheets/d/11923uPwbBZFjjGgGUA6NLw09EwE0CqkOc4q9oUmW1yo/edit?usp=sharing"",""แพร่!I45"")"),7)</f>
        <v>7</v>
      </c>
      <c r="J110" s="203">
        <f ca="1">IFERROR(__xludf.DUMMYFUNCTION("IMPORTRANGE(""https://docs.google.com/spreadsheets/d/11923uPwbBZFjjGgGUA6NLw09EwE0CqkOc4q9oUmW1yo/edit?usp=sharing"",""แพร่!J45"")"),7)</f>
        <v>7</v>
      </c>
      <c r="K110" s="223">
        <f t="shared" ca="1" si="57"/>
        <v>100</v>
      </c>
      <c r="L110" s="168"/>
      <c r="M110" s="168"/>
      <c r="N110" s="168"/>
      <c r="O110" s="181"/>
      <c r="P110" s="181"/>
    </row>
    <row r="111" spans="1:16" ht="21.75" customHeight="1" x14ac:dyDescent="0.3">
      <c r="A111" s="175"/>
      <c r="B111" s="176"/>
      <c r="C111" s="176"/>
      <c r="D111" s="193"/>
      <c r="E111" s="198"/>
      <c r="F111" s="195"/>
      <c r="G111" s="224" t="s">
        <v>64</v>
      </c>
      <c r="H111" s="180" t="s">
        <v>37</v>
      </c>
      <c r="I111" s="202">
        <f ca="1">IFERROR(__xludf.DUMMYFUNCTION("IMPORTRANGE(""https://docs.google.com/spreadsheets/d/11923uPwbBZFjjGgGUA6NLw09EwE0CqkOc4q9oUmW1yo/edit?usp=sharing"",""แพร่!I46"")"),7)</f>
        <v>7</v>
      </c>
      <c r="J111" s="203">
        <f ca="1">IFERROR(__xludf.DUMMYFUNCTION("IMPORTRANGE(""https://docs.google.com/spreadsheets/d/11923uPwbBZFjjGgGUA6NLw09EwE0CqkOc4q9oUmW1yo/edit?usp=sharing"",""แพร่!J46"")"),0)</f>
        <v>0</v>
      </c>
      <c r="K111" s="223">
        <f t="shared" ca="1" si="57"/>
        <v>0</v>
      </c>
      <c r="L111" s="168"/>
      <c r="M111" s="168"/>
      <c r="N111" s="168"/>
      <c r="O111" s="181"/>
      <c r="P111" s="181"/>
    </row>
    <row r="112" spans="1:16" ht="21.75" customHeight="1" x14ac:dyDescent="0.3">
      <c r="A112" s="175"/>
      <c r="B112" s="176"/>
      <c r="C112" s="176"/>
      <c r="D112" s="193"/>
      <c r="E112" s="198"/>
      <c r="F112" s="195"/>
      <c r="G112" s="225" t="s">
        <v>65</v>
      </c>
      <c r="H112" s="180" t="s">
        <v>37</v>
      </c>
      <c r="I112" s="202">
        <f ca="1">IFERROR(__xludf.DUMMYFUNCTION("IMPORTRANGE(""https://docs.google.com/spreadsheets/d/11923uPwbBZFjjGgGUA6NLw09EwE0CqkOc4q9oUmW1yo/edit?usp=sharing"",""แพร่!I47"")"),7)</f>
        <v>7</v>
      </c>
      <c r="J112" s="203">
        <f ca="1">IFERROR(__xludf.DUMMYFUNCTION("IMPORTRANGE(""https://docs.google.com/spreadsheets/d/11923uPwbBZFjjGgGUA6NLw09EwE0CqkOc4q9oUmW1yo/edit?usp=sharing"",""แพร่!J47"")"),0)</f>
        <v>0</v>
      </c>
      <c r="K112" s="223">
        <f t="shared" ca="1" si="57"/>
        <v>0</v>
      </c>
      <c r="L112" s="168"/>
      <c r="M112" s="168"/>
      <c r="N112" s="168"/>
      <c r="O112" s="181"/>
      <c r="P112" s="181"/>
    </row>
    <row r="113" spans="1:16" ht="21.75" customHeight="1" x14ac:dyDescent="0.3">
      <c r="A113" s="175"/>
      <c r="B113" s="176"/>
      <c r="C113" s="176"/>
      <c r="D113" s="193"/>
      <c r="E113" s="198"/>
      <c r="F113" s="195" t="s">
        <v>66</v>
      </c>
      <c r="G113" s="195"/>
      <c r="H113" s="180" t="s">
        <v>59</v>
      </c>
      <c r="I113" s="202">
        <f ca="1">IFERROR(__xludf.DUMMYFUNCTION("IMPORTRANGE(""https://docs.google.com/spreadsheets/d/11923uPwbBZFjjGgGUA6NLw09EwE0CqkOc4q9oUmW1yo/edit?usp=sharing"",""แพร่!I48"")"),2)</f>
        <v>2</v>
      </c>
      <c r="J113" s="203">
        <f ca="1">IFERROR(__xludf.DUMMYFUNCTION("IMPORTRANGE(""https://docs.google.com/spreadsheets/d/11923uPwbBZFjjGgGUA6NLw09EwE0CqkOc4q9oUmW1yo/edit?usp=sharing"",""แพร่!J48"")"),2)</f>
        <v>2</v>
      </c>
      <c r="K113" s="223">
        <f t="shared" ca="1" si="57"/>
        <v>100</v>
      </c>
      <c r="L113" s="168"/>
      <c r="M113" s="168"/>
      <c r="N113" s="168"/>
      <c r="O113" s="181"/>
      <c r="P113" s="181"/>
    </row>
    <row r="114" spans="1:16" ht="21.75" customHeight="1" x14ac:dyDescent="0.3">
      <c r="A114" s="175"/>
      <c r="B114" s="176"/>
      <c r="C114" s="176"/>
      <c r="D114" s="193"/>
      <c r="E114" s="194" t="s">
        <v>54</v>
      </c>
      <c r="F114" s="195"/>
      <c r="G114" s="196"/>
      <c r="H114" s="186"/>
      <c r="I114" s="187"/>
      <c r="J114" s="187">
        <f ca="1">IFERROR(__xludf.DUMMYFUNCTION("IMPORTRANGE(""https://docs.google.com/spreadsheets/d/11923uPwbBZFjjGgGUA6NLw09EwE0CqkOc4q9oUmW1yo/edit?usp=sharing"",""แพร่!J49"")"),0)</f>
        <v>0</v>
      </c>
      <c r="K114" s="223"/>
      <c r="L114" s="168"/>
      <c r="M114" s="168"/>
      <c r="N114" s="168"/>
      <c r="O114" s="181"/>
      <c r="P114" s="181"/>
    </row>
    <row r="115" spans="1:16" ht="21.75" customHeight="1" x14ac:dyDescent="0.3">
      <c r="A115" s="175"/>
      <c r="B115" s="176"/>
      <c r="C115" s="176"/>
      <c r="D115" s="205">
        <v>3</v>
      </c>
      <c r="E115" s="206" t="s">
        <v>55</v>
      </c>
      <c r="F115" s="207"/>
      <c r="G115" s="208"/>
      <c r="H115" s="186"/>
      <c r="I115" s="187"/>
      <c r="J115" s="226">
        <f ca="1">IFERROR(__xludf.DUMMYFUNCTION("IMPORTRANGE(""https://docs.google.com/spreadsheets/d/11923uPwbBZFjjGgGUA6NLw09EwE0CqkOc4q9oUmW1yo/edit?usp=sharing"",""แพร่!J50"")"),0)</f>
        <v>0</v>
      </c>
      <c r="K115" s="223"/>
      <c r="L115" s="168"/>
      <c r="M115" s="168"/>
      <c r="N115" s="168"/>
      <c r="O115" s="181"/>
      <c r="P115" s="181"/>
    </row>
    <row r="116" spans="1:16" ht="21.75" customHeight="1" x14ac:dyDescent="0.3">
      <c r="A116" s="210" t="s">
        <v>67</v>
      </c>
      <c r="B116" s="227"/>
      <c r="C116" s="228"/>
      <c r="D116" s="227"/>
      <c r="E116" s="229"/>
      <c r="F116" s="229"/>
      <c r="G116" s="230"/>
      <c r="H116" s="215"/>
      <c r="I116" s="216"/>
      <c r="J116" s="216"/>
      <c r="K116" s="217"/>
      <c r="L116" s="218"/>
      <c r="M116" s="218"/>
      <c r="N116" s="218"/>
      <c r="O116" s="219"/>
      <c r="P116" s="219"/>
    </row>
    <row r="117" spans="1:16" ht="21.75" customHeight="1" x14ac:dyDescent="0.3">
      <c r="A117" s="137"/>
      <c r="B117" s="138" t="s">
        <v>68</v>
      </c>
      <c r="C117" s="231"/>
      <c r="D117" s="139"/>
      <c r="E117" s="138"/>
      <c r="F117" s="138"/>
      <c r="G117" s="220"/>
      <c r="H117" s="140" t="s">
        <v>37</v>
      </c>
      <c r="I117" s="141">
        <f ca="1">IFERROR(__xludf.DUMMYFUNCTION("IMPORTRANGE(""https://docs.google.com/spreadsheets/d/11923uPwbBZFjjGgGUA6NLw09EwE0CqkOc4q9oUmW1yo/edit?usp=sharing"",""แพร่!I52"")"),20)</f>
        <v>20</v>
      </c>
      <c r="J117" s="141">
        <f ca="1">IFERROR(__xludf.DUMMYFUNCTION("IMPORTRANGE(""https://docs.google.com/spreadsheets/d/11923uPwbBZFjjGgGUA6NLw09EwE0CqkOc4q9oUmW1yo/edit?usp=sharing"",""แพร่!J52"")"),30)</f>
        <v>30</v>
      </c>
      <c r="K117" s="142">
        <f ca="1">IF(I117&gt;0,J117*100/I117,0)</f>
        <v>150</v>
      </c>
      <c r="L117" s="143"/>
      <c r="M117" s="143"/>
      <c r="N117" s="144"/>
      <c r="O117" s="142"/>
      <c r="P117" s="142"/>
    </row>
    <row r="118" spans="1:16" ht="21.75" customHeight="1" x14ac:dyDescent="0.45">
      <c r="A118" s="145"/>
      <c r="B118" s="146"/>
      <c r="C118" s="147" t="s">
        <v>16</v>
      </c>
      <c r="D118" s="537" t="s">
        <v>17</v>
      </c>
      <c r="E118" s="528"/>
      <c r="F118" s="528"/>
      <c r="G118" s="528"/>
      <c r="H118" s="148" t="s">
        <v>12</v>
      </c>
      <c r="I118" s="162"/>
      <c r="J118" s="162"/>
      <c r="K118" s="163"/>
      <c r="L118" s="151">
        <f t="shared" ref="L118:N118" ca="1" si="58">L119+L120</f>
        <v>82440</v>
      </c>
      <c r="M118" s="151">
        <f t="shared" ca="1" si="58"/>
        <v>66440</v>
      </c>
      <c r="N118" s="151">
        <f t="shared" ca="1" si="58"/>
        <v>66440</v>
      </c>
      <c r="O118" s="150">
        <f t="shared" ref="O118:O120" ca="1" si="59">IF(L118&gt;0,N118*100/L118,0)</f>
        <v>80.591945657447837</v>
      </c>
      <c r="P118" s="150">
        <f t="shared" ref="P118:P120" ca="1" si="60">IF(M118&gt;0,N118*100/M118,0)</f>
        <v>100</v>
      </c>
    </row>
    <row r="119" spans="1:16" ht="21.75" customHeight="1" x14ac:dyDescent="0.45">
      <c r="A119" s="152"/>
      <c r="B119" s="32"/>
      <c r="C119" s="32"/>
      <c r="D119" s="32"/>
      <c r="E119" s="32"/>
      <c r="F119" s="32"/>
      <c r="G119" s="33" t="s">
        <v>18</v>
      </c>
      <c r="H119" s="153" t="s">
        <v>12</v>
      </c>
      <c r="I119" s="162"/>
      <c r="J119" s="162"/>
      <c r="K119" s="163"/>
      <c r="L119" s="87">
        <f t="shared" ref="L119:N119" si="61">L121+L125</f>
        <v>0</v>
      </c>
      <c r="M119" s="87">
        <f t="shared" si="61"/>
        <v>0</v>
      </c>
      <c r="N119" s="87">
        <f t="shared" si="61"/>
        <v>0</v>
      </c>
      <c r="O119" s="155">
        <f t="shared" si="59"/>
        <v>0</v>
      </c>
      <c r="P119" s="155">
        <f t="shared" si="60"/>
        <v>0</v>
      </c>
    </row>
    <row r="120" spans="1:16" ht="21.75" customHeight="1" x14ac:dyDescent="0.45">
      <c r="A120" s="152"/>
      <c r="B120" s="32"/>
      <c r="C120" s="32"/>
      <c r="D120" s="32"/>
      <c r="E120" s="32"/>
      <c r="F120" s="32"/>
      <c r="G120" s="33" t="s">
        <v>19</v>
      </c>
      <c r="H120" s="153" t="s">
        <v>12</v>
      </c>
      <c r="I120" s="162"/>
      <c r="J120" s="162"/>
      <c r="K120" s="163"/>
      <c r="L120" s="87">
        <f t="shared" ref="L120:N120" ca="1" si="62">L122+L126</f>
        <v>82440</v>
      </c>
      <c r="M120" s="87">
        <f t="shared" ca="1" si="62"/>
        <v>66440</v>
      </c>
      <c r="N120" s="87">
        <f t="shared" ca="1" si="62"/>
        <v>66440</v>
      </c>
      <c r="O120" s="155">
        <f t="shared" ca="1" si="59"/>
        <v>80.591945657447837</v>
      </c>
      <c r="P120" s="155">
        <f t="shared" ca="1" si="60"/>
        <v>100</v>
      </c>
    </row>
    <row r="121" spans="1:16" ht="21.75" customHeight="1" x14ac:dyDescent="0.3">
      <c r="A121" s="156"/>
      <c r="B121" s="157"/>
      <c r="C121" s="157" t="s">
        <v>16</v>
      </c>
      <c r="D121" s="158" t="s">
        <v>38</v>
      </c>
      <c r="E121" s="159"/>
      <c r="F121" s="159"/>
      <c r="G121" s="160" t="s">
        <v>39</v>
      </c>
      <c r="H121" s="161" t="s">
        <v>12</v>
      </c>
      <c r="I121" s="162" t="s">
        <v>40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3">
      <c r="A122" s="156"/>
      <c r="B122" s="157"/>
      <c r="C122" s="157"/>
      <c r="D122" s="166"/>
      <c r="E122" s="159"/>
      <c r="F122" s="159" t="s">
        <v>40</v>
      </c>
      <c r="G122" s="160" t="s">
        <v>41</v>
      </c>
      <c r="H122" s="161" t="s">
        <v>12</v>
      </c>
      <c r="I122" s="162"/>
      <c r="J122" s="162"/>
      <c r="K122" s="163"/>
      <c r="L122" s="167">
        <f ca="1">L123+L124</f>
        <v>82440</v>
      </c>
      <c r="M122" s="167">
        <f ca="1">IFERROR(__xludf.DUMMYFUNCTION("IMPORTRANGE(""https://docs.google.com/spreadsheets/d/1Yj_ptqi66GCucihVvJfMjLAmec39IyEx_6qawtMGysU/edit?usp=sharing"",""สบก!BA30"")"),66440)</f>
        <v>66440</v>
      </c>
      <c r="N122" s="168">
        <f ca="1">IFERROR(__xludf.DUMMYFUNCTION("IMPORTRANGE(""https://docs.google.com/spreadsheets/d/1Yj_ptqi66GCucihVvJfMjLAmec39IyEx_6qawtMGysU/edit?usp=sharing"",""สบก!BB30"")"),66440)</f>
        <v>66440</v>
      </c>
      <c r="O122" s="168">
        <f ca="1">IF(L122&gt;0,N122*100/L122,0)</f>
        <v>80.591945657447837</v>
      </c>
      <c r="P122" s="168">
        <f ca="1">IF(M122&gt;0,N122*100/M122,0)</f>
        <v>100</v>
      </c>
    </row>
    <row r="123" spans="1:16" ht="21.75" customHeight="1" x14ac:dyDescent="0.3">
      <c r="A123" s="156"/>
      <c r="B123" s="157"/>
      <c r="C123" s="157"/>
      <c r="D123" s="166"/>
      <c r="E123" s="159"/>
      <c r="F123" s="159"/>
      <c r="G123" s="169" t="s">
        <v>42</v>
      </c>
      <c r="H123" s="161" t="s">
        <v>12</v>
      </c>
      <c r="I123" s="162"/>
      <c r="J123" s="162"/>
      <c r="K123" s="163"/>
      <c r="L123" s="167">
        <f ca="1">IFERROR(__xludf.DUMMYFUNCTION("IMPORTRANGE(""https://docs.google.com/spreadsheets/d/1Yj_ptqi66GCucihVvJfMjLAmec39IyEx_6qawtMGysU/edit?usp=sharing"",""สบก!AW30"")"),0)</f>
        <v>0</v>
      </c>
      <c r="M123" s="167"/>
      <c r="N123" s="167"/>
      <c r="O123" s="168"/>
      <c r="P123" s="168"/>
    </row>
    <row r="124" spans="1:16" ht="21.75" customHeight="1" x14ac:dyDescent="0.3">
      <c r="A124" s="156"/>
      <c r="B124" s="157"/>
      <c r="C124" s="157"/>
      <c r="D124" s="166"/>
      <c r="E124" s="159"/>
      <c r="F124" s="159"/>
      <c r="G124" s="169" t="s">
        <v>43</v>
      </c>
      <c r="H124" s="161" t="s">
        <v>12</v>
      </c>
      <c r="I124" s="162"/>
      <c r="J124" s="187"/>
      <c r="K124" s="223"/>
      <c r="L124" s="167">
        <f ca="1">IFERROR(__xludf.DUMMYFUNCTION("IMPORTRANGE(""https://docs.google.com/spreadsheets/d/1Yj_ptqi66GCucihVvJfMjLAmec39IyEx_6qawtMGysU/edit?usp=sharing"",""สบก!AX30"")"),82440)</f>
        <v>82440</v>
      </c>
      <c r="M124" s="167"/>
      <c r="N124" s="167"/>
      <c r="O124" s="168"/>
      <c r="P124" s="168"/>
    </row>
    <row r="125" spans="1:16" ht="21.75" customHeight="1" x14ac:dyDescent="0.45">
      <c r="A125" s="170"/>
      <c r="B125" s="80"/>
      <c r="C125" s="81" t="s">
        <v>16</v>
      </c>
      <c r="D125" s="534" t="s">
        <v>23</v>
      </c>
      <c r="E125" s="530"/>
      <c r="F125" s="88"/>
      <c r="G125" s="82" t="s">
        <v>18</v>
      </c>
      <c r="H125" s="171" t="s">
        <v>12</v>
      </c>
      <c r="I125" s="187"/>
      <c r="J125" s="187"/>
      <c r="K125" s="223"/>
      <c r="L125" s="41">
        <v>0</v>
      </c>
      <c r="M125" s="41"/>
      <c r="N125" s="41"/>
      <c r="O125" s="41"/>
      <c r="P125" s="41"/>
    </row>
    <row r="126" spans="1:16" ht="21.75" customHeight="1" x14ac:dyDescent="0.45">
      <c r="A126" s="172"/>
      <c r="B126" s="91"/>
      <c r="C126" s="91"/>
      <c r="D126" s="173"/>
      <c r="E126" s="92"/>
      <c r="F126" s="92"/>
      <c r="G126" s="93" t="s">
        <v>19</v>
      </c>
      <c r="H126" s="174" t="s">
        <v>12</v>
      </c>
      <c r="I126" s="187"/>
      <c r="J126" s="187"/>
      <c r="K126" s="223"/>
      <c r="L126" s="49">
        <f ca="1">IFERROR(__xludf.DUMMYFUNCTION("IMPORTRANGE(""https://docs.google.com/spreadsheets/d/1Yj_ptqi66GCucihVvJfMjLAmec39IyEx_6qawtMGysU/edit?usp=sharing"",""สบก!AY30"")"),0)</f>
        <v>0</v>
      </c>
      <c r="M126" s="49"/>
      <c r="N126" s="49">
        <f ca="1">IFERROR(__xludf.DUMMYFUNCTION("IMPORTRANGE(""https://docs.google.com/spreadsheets/d/1Yj_ptqi66GCucihVvJfMjLAmec39IyEx_6qawtMGysU/edit?usp=sharing"",""สบก!BC30"")"),0)</f>
        <v>0</v>
      </c>
      <c r="O126" s="49">
        <f ca="1">IF(L126&gt;0,N126*100/L126,0)</f>
        <v>0</v>
      </c>
      <c r="P126" s="49"/>
    </row>
    <row r="127" spans="1:16" ht="21.75" customHeight="1" x14ac:dyDescent="0.3">
      <c r="A127" s="175"/>
      <c r="B127" s="176"/>
      <c r="C127" s="157" t="s">
        <v>16</v>
      </c>
      <c r="D127" s="232" t="s">
        <v>259</v>
      </c>
      <c r="E127" s="178"/>
      <c r="F127" s="178"/>
      <c r="G127" s="179"/>
      <c r="H127" s="180"/>
      <c r="I127" s="162"/>
      <c r="J127" s="187"/>
      <c r="K127" s="223"/>
      <c r="L127" s="168"/>
      <c r="M127" s="168"/>
      <c r="N127" s="168"/>
      <c r="O127" s="181"/>
      <c r="P127" s="181"/>
    </row>
    <row r="128" spans="1:16" ht="21.75" customHeight="1" x14ac:dyDescent="0.3">
      <c r="A128" s="175"/>
      <c r="B128" s="176"/>
      <c r="C128" s="176"/>
      <c r="D128" s="182">
        <v>1</v>
      </c>
      <c r="E128" s="183" t="s">
        <v>45</v>
      </c>
      <c r="F128" s="184"/>
      <c r="G128" s="185"/>
      <c r="H128" s="186"/>
      <c r="I128" s="187"/>
      <c r="J128" s="203">
        <f ca="1">IFERROR(__xludf.DUMMYFUNCTION("IMPORTRANGE(""https://docs.google.com/spreadsheets/d/11923uPwbBZFjjGgGUA6NLw09EwE0CqkOc4q9oUmW1yo/edit?usp=sharing"",""แพร่!J58"")"),0)</f>
        <v>0</v>
      </c>
      <c r="K128" s="223"/>
      <c r="L128" s="168"/>
      <c r="M128" s="168"/>
      <c r="N128" s="168"/>
      <c r="O128" s="181"/>
      <c r="P128" s="181"/>
    </row>
    <row r="129" spans="1:16" ht="21.75" customHeight="1" x14ac:dyDescent="0.3">
      <c r="A129" s="175"/>
      <c r="B129" s="176"/>
      <c r="C129" s="176"/>
      <c r="D129" s="189">
        <v>2</v>
      </c>
      <c r="E129" s="190" t="s">
        <v>46</v>
      </c>
      <c r="F129" s="191"/>
      <c r="G129" s="192"/>
      <c r="H129" s="186"/>
      <c r="I129" s="187"/>
      <c r="J129" s="187">
        <f ca="1">IFERROR(__xludf.DUMMYFUNCTION("IMPORTRANGE(""https://docs.google.com/spreadsheets/d/11923uPwbBZFjjGgGUA6NLw09EwE0CqkOc4q9oUmW1yo/edit?usp=sharing"",""แพร่!J59"")"),1)</f>
        <v>1</v>
      </c>
      <c r="K129" s="223"/>
      <c r="L129" s="168" t="s">
        <v>40</v>
      </c>
      <c r="M129" s="168"/>
      <c r="N129" s="168" t="s">
        <v>40</v>
      </c>
      <c r="O129" s="181"/>
      <c r="P129" s="181"/>
    </row>
    <row r="130" spans="1:16" ht="21.75" customHeight="1" x14ac:dyDescent="0.3">
      <c r="A130" s="175"/>
      <c r="B130" s="176"/>
      <c r="C130" s="176"/>
      <c r="D130" s="193"/>
      <c r="E130" s="194" t="s">
        <v>47</v>
      </c>
      <c r="F130" s="195"/>
      <c r="G130" s="196"/>
      <c r="H130" s="186"/>
      <c r="I130" s="187"/>
      <c r="J130" s="187">
        <f ca="1">IFERROR(__xludf.DUMMYFUNCTION("IMPORTRANGE(""https://docs.google.com/spreadsheets/d/11923uPwbBZFjjGgGUA6NLw09EwE0CqkOc4q9oUmW1yo/edit?usp=sharing"",""แพร่!J60"")"),1)</f>
        <v>1</v>
      </c>
      <c r="K130" s="223"/>
      <c r="L130" s="168"/>
      <c r="M130" s="168"/>
      <c r="N130" s="168"/>
      <c r="O130" s="181"/>
      <c r="P130" s="181"/>
    </row>
    <row r="131" spans="1:16" ht="21.75" customHeight="1" x14ac:dyDescent="0.3">
      <c r="A131" s="175"/>
      <c r="B131" s="176"/>
      <c r="C131" s="176"/>
      <c r="D131" s="193"/>
      <c r="E131" s="194" t="s">
        <v>48</v>
      </c>
      <c r="F131" s="195"/>
      <c r="G131" s="196"/>
      <c r="H131" s="186"/>
      <c r="I131" s="187"/>
      <c r="J131" s="187">
        <f ca="1">IFERROR(__xludf.DUMMYFUNCTION("IMPORTRANGE(""https://docs.google.com/spreadsheets/d/11923uPwbBZFjjGgGUA6NLw09EwE0CqkOc4q9oUmW1yo/edit?usp=sharing"",""แพร่!J61"")"),1)</f>
        <v>1</v>
      </c>
      <c r="K131" s="223"/>
      <c r="L131" s="168"/>
      <c r="M131" s="168"/>
      <c r="N131" s="168"/>
      <c r="O131" s="181"/>
      <c r="P131" s="181"/>
    </row>
    <row r="132" spans="1:16" ht="21.75" customHeight="1" x14ac:dyDescent="0.3">
      <c r="A132" s="175"/>
      <c r="B132" s="176"/>
      <c r="C132" s="176"/>
      <c r="D132" s="193"/>
      <c r="E132" s="198"/>
      <c r="F132" s="194" t="s">
        <v>70</v>
      </c>
      <c r="G132" s="196"/>
      <c r="H132" s="180" t="s">
        <v>37</v>
      </c>
      <c r="I132" s="187">
        <f ca="1">IFERROR(__xludf.DUMMYFUNCTION("IMPORTRANGE(""https://docs.google.com/spreadsheets/d/11923uPwbBZFjjGgGUA6NLw09EwE0CqkOc4q9oUmW1yo/edit?usp=sharing"",""แพร่!I62"")"),20)</f>
        <v>20</v>
      </c>
      <c r="J132" s="203">
        <f ca="1">IFERROR(__xludf.DUMMYFUNCTION("IMPORTRANGE(""https://docs.google.com/spreadsheets/d/11923uPwbBZFjjGgGUA6NLw09EwE0CqkOc4q9oUmW1yo/edit?usp=sharing"",""แพร่!J62"")"),30)</f>
        <v>30</v>
      </c>
      <c r="K132" s="223">
        <f t="shared" ref="K132:K133" ca="1" si="63">IF(I132&gt;0,J132*100/I132,0)</f>
        <v>150</v>
      </c>
      <c r="L132" s="168"/>
      <c r="M132" s="168"/>
      <c r="N132" s="168"/>
      <c r="O132" s="181"/>
      <c r="P132" s="181"/>
    </row>
    <row r="133" spans="1:16" ht="21.75" customHeight="1" x14ac:dyDescent="0.3">
      <c r="A133" s="175"/>
      <c r="B133" s="176"/>
      <c r="C133" s="176"/>
      <c r="D133" s="193"/>
      <c r="E133" s="198"/>
      <c r="F133" s="194" t="s">
        <v>71</v>
      </c>
      <c r="G133" s="196"/>
      <c r="H133" s="180" t="s">
        <v>37</v>
      </c>
      <c r="I133" s="187">
        <f ca="1">IFERROR(__xludf.DUMMYFUNCTION("IMPORTRANGE(""https://docs.google.com/spreadsheets/d/11923uPwbBZFjjGgGUA6NLw09EwE0CqkOc4q9oUmW1yo/edit?usp=sharing"",""แพร่!I63"")"),20)</f>
        <v>20</v>
      </c>
      <c r="J133" s="203">
        <f ca="1">IFERROR(__xludf.DUMMYFUNCTION("IMPORTRANGE(""https://docs.google.com/spreadsheets/d/11923uPwbBZFjjGgGUA6NLw09EwE0CqkOc4q9oUmW1yo/edit?usp=sharing"",""แพร่!J63"")"),0)</f>
        <v>0</v>
      </c>
      <c r="K133" s="223">
        <f t="shared" ca="1" si="63"/>
        <v>0</v>
      </c>
      <c r="L133" s="168"/>
      <c r="M133" s="168"/>
      <c r="N133" s="168"/>
      <c r="O133" s="181"/>
      <c r="P133" s="181"/>
    </row>
    <row r="134" spans="1:16" ht="21.75" customHeight="1" x14ac:dyDescent="0.3">
      <c r="A134" s="175"/>
      <c r="B134" s="176"/>
      <c r="C134" s="176"/>
      <c r="D134" s="193"/>
      <c r="E134" s="194" t="s">
        <v>54</v>
      </c>
      <c r="F134" s="195"/>
      <c r="G134" s="196"/>
      <c r="H134" s="186"/>
      <c r="I134" s="187"/>
      <c r="J134" s="187">
        <f ca="1">IFERROR(__xludf.DUMMYFUNCTION("IMPORTRANGE(""https://docs.google.com/spreadsheets/d/11923uPwbBZFjjGgGUA6NLw09EwE0CqkOc4q9oUmW1yo/edit?usp=sharing"",""แพร่!J64"")"),0)</f>
        <v>0</v>
      </c>
      <c r="K134" s="223"/>
      <c r="L134" s="168"/>
      <c r="M134" s="168"/>
      <c r="N134" s="168"/>
      <c r="O134" s="181"/>
      <c r="P134" s="181"/>
    </row>
    <row r="135" spans="1:16" ht="21.75" customHeight="1" x14ac:dyDescent="0.3">
      <c r="A135" s="233"/>
      <c r="B135" s="234"/>
      <c r="C135" s="234"/>
      <c r="D135" s="235">
        <v>3</v>
      </c>
      <c r="E135" s="236" t="s">
        <v>55</v>
      </c>
      <c r="F135" s="237"/>
      <c r="G135" s="238"/>
      <c r="H135" s="239"/>
      <c r="I135" s="240"/>
      <c r="J135" s="241">
        <f ca="1">IFERROR(__xludf.DUMMYFUNCTION("IMPORTRANGE(""https://docs.google.com/spreadsheets/d/11923uPwbBZFjjGgGUA6NLw09EwE0CqkOc4q9oUmW1yo/edit?usp=sharing"",""แพร่!J65"")"),0)</f>
        <v>0</v>
      </c>
      <c r="K135" s="242"/>
      <c r="L135" s="243"/>
      <c r="M135" s="243"/>
      <c r="N135" s="243"/>
      <c r="O135" s="244"/>
      <c r="P135" s="244"/>
    </row>
    <row r="136" spans="1:16" ht="21.75" customHeight="1" x14ac:dyDescent="0.3">
      <c r="A136" s="245" t="s">
        <v>72</v>
      </c>
      <c r="B136" s="246"/>
      <c r="C136" s="246"/>
      <c r="D136" s="246"/>
      <c r="E136" s="247"/>
      <c r="F136" s="247"/>
      <c r="G136" s="248"/>
      <c r="H136" s="249"/>
      <c r="I136" s="250"/>
      <c r="J136" s="250"/>
      <c r="K136" s="251"/>
      <c r="L136" s="252"/>
      <c r="M136" s="252"/>
      <c r="N136" s="252"/>
      <c r="O136" s="252"/>
      <c r="P136" s="252"/>
    </row>
    <row r="137" spans="1:16" ht="21.75" customHeight="1" x14ac:dyDescent="0.3">
      <c r="A137" s="253" t="s">
        <v>73</v>
      </c>
      <c r="B137" s="254"/>
      <c r="C137" s="254"/>
      <c r="D137" s="255"/>
      <c r="E137" s="255"/>
      <c r="F137" s="255"/>
      <c r="G137" s="256"/>
      <c r="H137" s="257"/>
      <c r="I137" s="258"/>
      <c r="J137" s="258"/>
      <c r="K137" s="259"/>
      <c r="L137" s="259"/>
      <c r="M137" s="259"/>
      <c r="N137" s="259"/>
      <c r="O137" s="260"/>
      <c r="P137" s="260"/>
    </row>
    <row r="138" spans="1:16" ht="21.75" customHeight="1" x14ac:dyDescent="0.3">
      <c r="A138" s="261"/>
      <c r="B138" s="262" t="s">
        <v>74</v>
      </c>
      <c r="C138" s="263"/>
      <c r="D138" s="262"/>
      <c r="E138" s="262"/>
      <c r="F138" s="262"/>
      <c r="G138" s="264"/>
      <c r="H138" s="265" t="s">
        <v>37</v>
      </c>
      <c r="I138" s="266">
        <f ca="1">IFERROR(__xludf.DUMMYFUNCTION("IMPORTRANGE(""https://docs.google.com/spreadsheets/d/11923uPwbBZFjjGgGUA6NLw09EwE0CqkOc4q9oUmW1yo/edit?usp=sharing"",""แพร่!I68"")"),0)</f>
        <v>0</v>
      </c>
      <c r="J138" s="266">
        <f ca="1">IFERROR(__xludf.DUMMYFUNCTION("IMPORTRANGE(""https://docs.google.com/spreadsheets/d/11923uPwbBZFjjGgGUA6NLw09EwE0CqkOc4q9oUmW1yo/edit?usp=sharing"",""แพร่!J68"")"),0)</f>
        <v>0</v>
      </c>
      <c r="K138" s="267">
        <f ca="1">IF(I138&gt;0,J138*100/I138,0)</f>
        <v>0</v>
      </c>
      <c r="L138" s="268"/>
      <c r="M138" s="268"/>
      <c r="N138" s="268"/>
      <c r="O138" s="267"/>
      <c r="P138" s="267"/>
    </row>
    <row r="139" spans="1:16" ht="21.75" customHeight="1" x14ac:dyDescent="0.3">
      <c r="A139" s="261"/>
      <c r="B139" s="262" t="s">
        <v>75</v>
      </c>
      <c r="C139" s="263"/>
      <c r="D139" s="262"/>
      <c r="E139" s="262"/>
      <c r="F139" s="262"/>
      <c r="G139" s="264"/>
      <c r="H139" s="265"/>
      <c r="I139" s="266"/>
      <c r="J139" s="266"/>
      <c r="K139" s="267"/>
      <c r="L139" s="268"/>
      <c r="M139" s="268"/>
      <c r="N139" s="268"/>
      <c r="O139" s="267"/>
      <c r="P139" s="267"/>
    </row>
    <row r="140" spans="1:16" ht="21.75" customHeight="1" x14ac:dyDescent="0.45">
      <c r="A140" s="145"/>
      <c r="B140" s="146"/>
      <c r="C140" s="147" t="s">
        <v>16</v>
      </c>
      <c r="D140" s="537" t="s">
        <v>17</v>
      </c>
      <c r="E140" s="528"/>
      <c r="F140" s="528"/>
      <c r="G140" s="528"/>
      <c r="H140" s="148" t="s">
        <v>12</v>
      </c>
      <c r="I140" s="162"/>
      <c r="J140" s="162"/>
      <c r="K140" s="163"/>
      <c r="L140" s="151">
        <f t="shared" ref="L140:N140" ca="1" si="64">L141+L142</f>
        <v>69000</v>
      </c>
      <c r="M140" s="151">
        <f t="shared" ca="1" si="64"/>
        <v>53750</v>
      </c>
      <c r="N140" s="151">
        <f t="shared" ca="1" si="64"/>
        <v>480</v>
      </c>
      <c r="O140" s="150">
        <f t="shared" ref="O140:O142" ca="1" si="65">IF(L140&gt;0,N140*100/L140,0)</f>
        <v>0.69565217391304346</v>
      </c>
      <c r="P140" s="150">
        <f t="shared" ref="P140:P142" ca="1" si="66">IF(M140&gt;0,N140*100/M140,0)</f>
        <v>0.89302325581395348</v>
      </c>
    </row>
    <row r="141" spans="1:16" ht="21.75" customHeight="1" x14ac:dyDescent="0.45">
      <c r="A141" s="152"/>
      <c r="B141" s="32"/>
      <c r="C141" s="32"/>
      <c r="D141" s="32"/>
      <c r="E141" s="32"/>
      <c r="F141" s="32"/>
      <c r="G141" s="33" t="s">
        <v>18</v>
      </c>
      <c r="H141" s="153" t="s">
        <v>12</v>
      </c>
      <c r="I141" s="162"/>
      <c r="J141" s="162"/>
      <c r="K141" s="163"/>
      <c r="L141" s="87">
        <f t="shared" ref="L141:N141" si="67">L143+L147</f>
        <v>0</v>
      </c>
      <c r="M141" s="87">
        <f t="shared" si="67"/>
        <v>0</v>
      </c>
      <c r="N141" s="87">
        <f t="shared" si="67"/>
        <v>0</v>
      </c>
      <c r="O141" s="155">
        <f t="shared" si="65"/>
        <v>0</v>
      </c>
      <c r="P141" s="155">
        <f t="shared" si="66"/>
        <v>0</v>
      </c>
    </row>
    <row r="142" spans="1:16" ht="21.75" customHeight="1" x14ac:dyDescent="0.45">
      <c r="A142" s="152"/>
      <c r="B142" s="32"/>
      <c r="C142" s="32"/>
      <c r="D142" s="32"/>
      <c r="E142" s="32"/>
      <c r="F142" s="32"/>
      <c r="G142" s="33" t="s">
        <v>19</v>
      </c>
      <c r="H142" s="153" t="s">
        <v>12</v>
      </c>
      <c r="I142" s="162"/>
      <c r="J142" s="162"/>
      <c r="K142" s="163"/>
      <c r="L142" s="87">
        <f t="shared" ref="L142:N142" ca="1" si="68">L144+L148</f>
        <v>69000</v>
      </c>
      <c r="M142" s="87">
        <f t="shared" ca="1" si="68"/>
        <v>53750</v>
      </c>
      <c r="N142" s="87">
        <f t="shared" ca="1" si="68"/>
        <v>480</v>
      </c>
      <c r="O142" s="155">
        <f t="shared" ca="1" si="65"/>
        <v>0.69565217391304346</v>
      </c>
      <c r="P142" s="155">
        <f t="shared" ca="1" si="66"/>
        <v>0.89302325581395348</v>
      </c>
    </row>
    <row r="143" spans="1:16" ht="21.75" customHeight="1" x14ac:dyDescent="0.3">
      <c r="A143" s="156"/>
      <c r="B143" s="157"/>
      <c r="C143" s="157" t="s">
        <v>16</v>
      </c>
      <c r="D143" s="158" t="s">
        <v>38</v>
      </c>
      <c r="E143" s="159"/>
      <c r="F143" s="159"/>
      <c r="G143" s="160" t="s">
        <v>39</v>
      </c>
      <c r="H143" s="161" t="s">
        <v>12</v>
      </c>
      <c r="I143" s="162" t="s">
        <v>40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3">
      <c r="A144" s="156"/>
      <c r="B144" s="157"/>
      <c r="C144" s="157"/>
      <c r="D144" s="166"/>
      <c r="E144" s="159"/>
      <c r="F144" s="159" t="s">
        <v>40</v>
      </c>
      <c r="G144" s="160" t="s">
        <v>41</v>
      </c>
      <c r="H144" s="161" t="s">
        <v>12</v>
      </c>
      <c r="I144" s="162"/>
      <c r="J144" s="162"/>
      <c r="K144" s="163"/>
      <c r="L144" s="167">
        <f ca="1">L145+L146</f>
        <v>69000</v>
      </c>
      <c r="M144" s="167">
        <f ca="1">IFERROR(__xludf.DUMMYFUNCTION("IMPORTRANGE(""https://docs.google.com/spreadsheets/d/1Yj_ptqi66GCucihVvJfMjLAmec39IyEx_6qawtMGysU/edit?usp=sharing"",""สบก!BJ30"")"),53750)</f>
        <v>53750</v>
      </c>
      <c r="N144" s="168">
        <f ca="1">IFERROR(__xludf.DUMMYFUNCTION("IMPORTRANGE(""https://docs.google.com/spreadsheets/d/1Yj_ptqi66GCucihVvJfMjLAmec39IyEx_6qawtMGysU/edit?usp=sharing"",""สบก!BK30"")"),480)</f>
        <v>480</v>
      </c>
      <c r="O144" s="168">
        <f ca="1">IF(L144&gt;0,N144*100/L144,0)</f>
        <v>0.69565217391304346</v>
      </c>
      <c r="P144" s="168">
        <f ca="1">IF(M144&gt;0,N144*100/M144,0)</f>
        <v>0.89302325581395348</v>
      </c>
    </row>
    <row r="145" spans="1:16" ht="21.75" customHeight="1" x14ac:dyDescent="0.3">
      <c r="A145" s="156"/>
      <c r="B145" s="157"/>
      <c r="C145" s="157"/>
      <c r="D145" s="166"/>
      <c r="E145" s="159"/>
      <c r="F145" s="159"/>
      <c r="G145" s="169" t="s">
        <v>42</v>
      </c>
      <c r="H145" s="161" t="s">
        <v>12</v>
      </c>
      <c r="I145" s="162"/>
      <c r="J145" s="162"/>
      <c r="K145" s="163"/>
      <c r="L145" s="167">
        <f ca="1">IFERROR(__xludf.DUMMYFUNCTION("IMPORTRANGE(""https://docs.google.com/spreadsheets/d/1Yj_ptqi66GCucihVvJfMjLAmec39IyEx_6qawtMGysU/edit?usp=sharing"",""สบก!BF30"")"),0)</f>
        <v>0</v>
      </c>
      <c r="M145" s="167"/>
      <c r="N145" s="167"/>
      <c r="O145" s="168"/>
      <c r="P145" s="168"/>
    </row>
    <row r="146" spans="1:16" ht="21.75" customHeight="1" x14ac:dyDescent="0.3">
      <c r="A146" s="156"/>
      <c r="B146" s="157"/>
      <c r="C146" s="157"/>
      <c r="D146" s="166"/>
      <c r="E146" s="159"/>
      <c r="F146" s="159"/>
      <c r="G146" s="169" t="s">
        <v>43</v>
      </c>
      <c r="H146" s="161" t="s">
        <v>12</v>
      </c>
      <c r="I146" s="162"/>
      <c r="J146" s="162"/>
      <c r="K146" s="163"/>
      <c r="L146" s="167">
        <f ca="1">IFERROR(__xludf.DUMMYFUNCTION("IMPORTRANGE(""https://docs.google.com/spreadsheets/d/1Yj_ptqi66GCucihVvJfMjLAmec39IyEx_6qawtMGysU/edit?usp=sharing"",""สบก!BG30"")"),69000)</f>
        <v>69000</v>
      </c>
      <c r="M146" s="167"/>
      <c r="N146" s="167"/>
      <c r="O146" s="168"/>
      <c r="P146" s="168"/>
    </row>
    <row r="147" spans="1:16" ht="21.75" customHeight="1" x14ac:dyDescent="0.45">
      <c r="A147" s="170"/>
      <c r="B147" s="80"/>
      <c r="C147" s="81" t="s">
        <v>16</v>
      </c>
      <c r="D147" s="534" t="s">
        <v>23</v>
      </c>
      <c r="E147" s="530"/>
      <c r="F147" s="88"/>
      <c r="G147" s="82" t="s">
        <v>18</v>
      </c>
      <c r="H147" s="171" t="s">
        <v>12</v>
      </c>
      <c r="I147" s="187"/>
      <c r="J147" s="187"/>
      <c r="K147" s="223"/>
      <c r="L147" s="41">
        <v>0</v>
      </c>
      <c r="M147" s="41"/>
      <c r="N147" s="41"/>
      <c r="O147" s="41"/>
      <c r="P147" s="41"/>
    </row>
    <row r="148" spans="1:16" ht="21.75" customHeight="1" x14ac:dyDescent="0.45">
      <c r="A148" s="172"/>
      <c r="B148" s="91"/>
      <c r="C148" s="91"/>
      <c r="D148" s="173"/>
      <c r="E148" s="92"/>
      <c r="F148" s="92"/>
      <c r="G148" s="93" t="s">
        <v>19</v>
      </c>
      <c r="H148" s="174" t="s">
        <v>12</v>
      </c>
      <c r="I148" s="187"/>
      <c r="J148" s="187"/>
      <c r="K148" s="223"/>
      <c r="L148" s="49">
        <f ca="1">IFERROR(__xludf.DUMMYFUNCTION("IMPORTRANGE(""https://docs.google.com/spreadsheets/d/1Yj_ptqi66GCucihVvJfMjLAmec39IyEx_6qawtMGysU/edit?usp=sharing"",""สบก!BH30"")"),0)</f>
        <v>0</v>
      </c>
      <c r="M148" s="49"/>
      <c r="N148" s="49">
        <f ca="1">IFERROR(__xludf.DUMMYFUNCTION("IMPORTRANGE(""https://docs.google.com/spreadsheets/d/1Yj_ptqi66GCucihVvJfMjLAmec39IyEx_6qawtMGysU/edit?usp=sharing"",""สบก!BL30"")"),0)</f>
        <v>0</v>
      </c>
      <c r="O148" s="49">
        <f ca="1">IF(L148&gt;0,N148*100/L148,0)</f>
        <v>0</v>
      </c>
      <c r="P148" s="49"/>
    </row>
    <row r="149" spans="1:16" ht="21.75" customHeight="1" x14ac:dyDescent="0.3">
      <c r="A149" s="269"/>
      <c r="B149" s="270"/>
      <c r="C149" s="271" t="s">
        <v>76</v>
      </c>
      <c r="D149" s="271"/>
      <c r="E149" s="271"/>
      <c r="F149" s="271"/>
      <c r="G149" s="272"/>
      <c r="H149" s="273" t="s">
        <v>77</v>
      </c>
      <c r="I149" s="274">
        <f ca="1">IFERROR(__xludf.DUMMYFUNCTION("IMPORTRANGE(""https://docs.google.com/spreadsheets/d/11923uPwbBZFjjGgGUA6NLw09EwE0CqkOc4q9oUmW1yo/edit?usp=sharing"",""แพร่!I74"")"),4)</f>
        <v>4</v>
      </c>
      <c r="J149" s="274">
        <f ca="1">IFERROR(__xludf.DUMMYFUNCTION("IMPORTRANGE(""https://docs.google.com/spreadsheets/d/11923uPwbBZFjjGgGUA6NLw09EwE0CqkOc4q9oUmW1yo/edit?usp=sharing"",""แพร่!J74"")"),1)</f>
        <v>1</v>
      </c>
      <c r="K149" s="275">
        <f ca="1">IF(I149&gt;0,J149*100/I149,0)</f>
        <v>25</v>
      </c>
      <c r="L149" s="276"/>
      <c r="M149" s="276"/>
      <c r="N149" s="276"/>
      <c r="O149" s="276"/>
      <c r="P149" s="276"/>
    </row>
    <row r="150" spans="1:16" ht="21.75" customHeight="1" x14ac:dyDescent="0.3">
      <c r="A150" s="156"/>
      <c r="B150" s="157"/>
      <c r="C150" s="157" t="s">
        <v>16</v>
      </c>
      <c r="D150" s="158" t="s">
        <v>38</v>
      </c>
      <c r="E150" s="159"/>
      <c r="F150" s="159"/>
      <c r="G150" s="160" t="s">
        <v>39</v>
      </c>
      <c r="H150" s="161" t="s">
        <v>12</v>
      </c>
      <c r="I150" s="162" t="s">
        <v>40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3">
      <c r="A151" s="156"/>
      <c r="B151" s="157"/>
      <c r="C151" s="157"/>
      <c r="D151" s="166"/>
      <c r="E151" s="159"/>
      <c r="F151" s="159" t="s">
        <v>40</v>
      </c>
      <c r="G151" s="160" t="s">
        <v>41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3">
      <c r="A152" s="156"/>
      <c r="B152" s="157"/>
      <c r="C152" s="157"/>
      <c r="D152" s="166"/>
      <c r="E152" s="159"/>
      <c r="F152" s="159"/>
      <c r="G152" s="169" t="s">
        <v>43</v>
      </c>
      <c r="H152" s="161" t="s">
        <v>12</v>
      </c>
      <c r="I152" s="162"/>
      <c r="J152" s="162"/>
      <c r="K152" s="163"/>
      <c r="L152" s="168"/>
      <c r="M152" s="168"/>
      <c r="N152" s="167"/>
      <c r="O152" s="168"/>
      <c r="P152" s="168"/>
    </row>
    <row r="153" spans="1:16" ht="21.75" customHeight="1" x14ac:dyDescent="0.3">
      <c r="A153" s="175"/>
      <c r="B153" s="176"/>
      <c r="C153" s="157" t="s">
        <v>16</v>
      </c>
      <c r="D153" s="177" t="s">
        <v>44</v>
      </c>
      <c r="E153" s="178"/>
      <c r="F153" s="178"/>
      <c r="G153" s="179"/>
      <c r="H153" s="180"/>
      <c r="I153" s="162"/>
      <c r="J153" s="162"/>
      <c r="K153" s="163"/>
      <c r="L153" s="181"/>
      <c r="M153" s="181"/>
      <c r="N153" s="181"/>
      <c r="O153" s="181"/>
      <c r="P153" s="181"/>
    </row>
    <row r="154" spans="1:16" ht="21.75" customHeight="1" x14ac:dyDescent="0.3">
      <c r="A154" s="175"/>
      <c r="B154" s="176"/>
      <c r="C154" s="176"/>
      <c r="D154" s="182">
        <v>1</v>
      </c>
      <c r="E154" s="183" t="s">
        <v>45</v>
      </c>
      <c r="F154" s="184"/>
      <c r="G154" s="185"/>
      <c r="H154" s="186"/>
      <c r="I154" s="187"/>
      <c r="J154" s="188">
        <f ca="1">IFERROR(__xludf.DUMMYFUNCTION("IMPORTRANGE(""https://docs.google.com/spreadsheets/d/11923uPwbBZFjjGgGUA6NLw09EwE0CqkOc4q9oUmW1yo/edit?usp=sharing"",""แพร่!J79"")"),0)</f>
        <v>0</v>
      </c>
      <c r="K154" s="163"/>
      <c r="L154" s="181"/>
      <c r="M154" s="181"/>
      <c r="N154" s="181"/>
      <c r="O154" s="181"/>
      <c r="P154" s="181"/>
    </row>
    <row r="155" spans="1:16" ht="21.75" customHeight="1" x14ac:dyDescent="0.3">
      <c r="A155" s="175"/>
      <c r="B155" s="176"/>
      <c r="C155" s="176"/>
      <c r="D155" s="189">
        <v>2</v>
      </c>
      <c r="E155" s="190" t="s">
        <v>46</v>
      </c>
      <c r="F155" s="191"/>
      <c r="G155" s="192"/>
      <c r="H155" s="186"/>
      <c r="I155" s="187"/>
      <c r="J155" s="197">
        <f ca="1">IFERROR(__xludf.DUMMYFUNCTION("IMPORTRANGE(""https://docs.google.com/spreadsheets/d/11923uPwbBZFjjGgGUA6NLw09EwE0CqkOc4q9oUmW1yo/edit?usp=sharing"",""แพร่!J80"")"),1)</f>
        <v>1</v>
      </c>
      <c r="K155" s="163"/>
      <c r="L155" s="181"/>
      <c r="M155" s="181"/>
      <c r="N155" s="181"/>
      <c r="O155" s="181"/>
      <c r="P155" s="181"/>
    </row>
    <row r="156" spans="1:16" ht="21.75" customHeight="1" x14ac:dyDescent="0.3">
      <c r="A156" s="175"/>
      <c r="B156" s="176"/>
      <c r="C156" s="176"/>
      <c r="D156" s="193"/>
      <c r="E156" s="194" t="s">
        <v>47</v>
      </c>
      <c r="F156" s="195"/>
      <c r="G156" s="196"/>
      <c r="H156" s="186"/>
      <c r="I156" s="187"/>
      <c r="J156" s="197">
        <f ca="1">IFERROR(__xludf.DUMMYFUNCTION("IMPORTRANGE(""https://docs.google.com/spreadsheets/d/11923uPwbBZFjjGgGUA6NLw09EwE0CqkOc4q9oUmW1yo/edit?usp=sharing"",""แพร่!J81"")"),1)</f>
        <v>1</v>
      </c>
      <c r="K156" s="163"/>
      <c r="L156" s="181"/>
      <c r="M156" s="181"/>
      <c r="N156" s="181"/>
      <c r="O156" s="181"/>
      <c r="P156" s="181"/>
    </row>
    <row r="157" spans="1:16" ht="21.75" customHeight="1" x14ac:dyDescent="0.3">
      <c r="A157" s="175"/>
      <c r="B157" s="176"/>
      <c r="C157" s="176"/>
      <c r="D157" s="193"/>
      <c r="E157" s="194" t="s">
        <v>48</v>
      </c>
      <c r="F157" s="195"/>
      <c r="G157" s="196"/>
      <c r="H157" s="186"/>
      <c r="I157" s="187"/>
      <c r="J157" s="197">
        <f ca="1">IFERROR(__xludf.DUMMYFUNCTION("IMPORTRANGE(""https://docs.google.com/spreadsheets/d/11923uPwbBZFjjGgGUA6NLw09EwE0CqkOc4q9oUmW1yo/edit?usp=sharing"",""แพร่!J82"")"),1)</f>
        <v>1</v>
      </c>
      <c r="K157" s="163"/>
      <c r="L157" s="181"/>
      <c r="M157" s="181"/>
      <c r="N157" s="181"/>
      <c r="O157" s="181"/>
      <c r="P157" s="181"/>
    </row>
    <row r="158" spans="1:16" ht="21.75" customHeight="1" x14ac:dyDescent="0.3">
      <c r="A158" s="175"/>
      <c r="B158" s="176"/>
      <c r="C158" s="176"/>
      <c r="D158" s="193"/>
      <c r="E158" s="198"/>
      <c r="F158" s="194" t="s">
        <v>78</v>
      </c>
      <c r="G158" s="196"/>
      <c r="H158" s="180" t="s">
        <v>77</v>
      </c>
      <c r="I158" s="187">
        <f ca="1">IFERROR(__xludf.DUMMYFUNCTION("IMPORTRANGE(""https://docs.google.com/spreadsheets/d/11923uPwbBZFjjGgGUA6NLw09EwE0CqkOc4q9oUmW1yo/edit?usp=sharing"",""แพร่!I83"")"),4)</f>
        <v>4</v>
      </c>
      <c r="J158" s="188">
        <f ca="1">IFERROR(__xludf.DUMMYFUNCTION("IMPORTRANGE(""https://docs.google.com/spreadsheets/d/11923uPwbBZFjjGgGUA6NLw09EwE0CqkOc4q9oUmW1yo/edit?usp=sharing"",""แพร่!J83"")"),1)</f>
        <v>1</v>
      </c>
      <c r="K158" s="163">
        <f ca="1">IF(I158&gt;0,J158*100/I158,0)</f>
        <v>25</v>
      </c>
      <c r="L158" s="181"/>
      <c r="M158" s="181"/>
      <c r="N158" s="181"/>
      <c r="O158" s="181"/>
      <c r="P158" s="181"/>
    </row>
    <row r="159" spans="1:16" ht="21.75" customHeight="1" x14ac:dyDescent="0.3">
      <c r="A159" s="175"/>
      <c r="B159" s="176"/>
      <c r="C159" s="176"/>
      <c r="D159" s="193"/>
      <c r="E159" s="195"/>
      <c r="F159" s="277" t="s">
        <v>79</v>
      </c>
      <c r="G159" s="196"/>
      <c r="H159" s="278" t="s">
        <v>37</v>
      </c>
      <c r="I159" s="187"/>
      <c r="J159" s="203">
        <f ca="1">IFERROR(__xludf.DUMMYFUNCTION("IMPORTRANGE(""https://docs.google.com/spreadsheets/d/11923uPwbBZFjjGgGUA6NLw09EwE0CqkOc4q9oUmW1yo/edit?usp=sharing"",""แพร่!J84"")"),52)</f>
        <v>52</v>
      </c>
      <c r="K159" s="163"/>
      <c r="L159" s="181"/>
      <c r="M159" s="181"/>
      <c r="N159" s="181"/>
      <c r="O159" s="181"/>
      <c r="P159" s="181"/>
    </row>
    <row r="160" spans="1:16" ht="21.75" customHeight="1" x14ac:dyDescent="0.45">
      <c r="A160" s="175"/>
      <c r="B160" s="176"/>
      <c r="C160" s="176"/>
      <c r="D160" s="193"/>
      <c r="E160" s="195"/>
      <c r="F160" s="195"/>
      <c r="G160" s="279" t="s">
        <v>80</v>
      </c>
      <c r="H160" s="278" t="s">
        <v>37</v>
      </c>
      <c r="I160" s="187"/>
      <c r="J160" s="280">
        <f ca="1">IFERROR(__xludf.DUMMYFUNCTION("IMPORTRANGE(""https://docs.google.com/spreadsheets/d/11923uPwbBZFjjGgGUA6NLw09EwE0CqkOc4q9oUmW1yo/edit?usp=sharing"",""แพร่!J85"")"),52)</f>
        <v>52</v>
      </c>
      <c r="K160" s="163"/>
      <c r="L160" s="181"/>
      <c r="M160" s="181"/>
      <c r="N160" s="181"/>
      <c r="O160" s="181"/>
      <c r="P160" s="181"/>
    </row>
    <row r="161" spans="1:16" ht="21.75" customHeight="1" x14ac:dyDescent="0.45">
      <c r="A161" s="175"/>
      <c r="B161" s="176"/>
      <c r="C161" s="176"/>
      <c r="D161" s="193"/>
      <c r="E161" s="195"/>
      <c r="F161" s="195"/>
      <c r="G161" s="279" t="s">
        <v>81</v>
      </c>
      <c r="H161" s="278" t="s">
        <v>37</v>
      </c>
      <c r="I161" s="187"/>
      <c r="J161" s="280">
        <f ca="1">IFERROR(__xludf.DUMMYFUNCTION("IMPORTRANGE(""https://docs.google.com/spreadsheets/d/11923uPwbBZFjjGgGUA6NLw09EwE0CqkOc4q9oUmW1yo/edit?usp=sharing"",""แพร่!J86"")"),0)</f>
        <v>0</v>
      </c>
      <c r="K161" s="163"/>
      <c r="L161" s="181"/>
      <c r="M161" s="181"/>
      <c r="N161" s="181"/>
      <c r="O161" s="181"/>
      <c r="P161" s="181"/>
    </row>
    <row r="162" spans="1:16" ht="21.75" customHeight="1" x14ac:dyDescent="0.3">
      <c r="A162" s="175"/>
      <c r="B162" s="176"/>
      <c r="C162" s="176"/>
      <c r="D162" s="193"/>
      <c r="E162" s="194" t="s">
        <v>54</v>
      </c>
      <c r="F162" s="195"/>
      <c r="G162" s="196"/>
      <c r="H162" s="186"/>
      <c r="I162" s="187"/>
      <c r="J162" s="197">
        <f ca="1">IFERROR(__xludf.DUMMYFUNCTION("IMPORTRANGE(""https://docs.google.com/spreadsheets/d/11923uPwbBZFjjGgGUA6NLw09EwE0CqkOc4q9oUmW1yo/edit?usp=sharing"",""แพร่!J87"")"),0)</f>
        <v>0</v>
      </c>
      <c r="K162" s="163"/>
      <c r="L162" s="181"/>
      <c r="M162" s="181"/>
      <c r="N162" s="181"/>
      <c r="O162" s="181"/>
      <c r="P162" s="181"/>
    </row>
    <row r="163" spans="1:16" ht="21.75" customHeight="1" x14ac:dyDescent="0.3">
      <c r="A163" s="175"/>
      <c r="B163" s="176"/>
      <c r="C163" s="176"/>
      <c r="D163" s="205">
        <v>3</v>
      </c>
      <c r="E163" s="206" t="s">
        <v>55</v>
      </c>
      <c r="F163" s="207"/>
      <c r="G163" s="208"/>
      <c r="H163" s="186"/>
      <c r="I163" s="187"/>
      <c r="J163" s="209">
        <f ca="1">IFERROR(__xludf.DUMMYFUNCTION("IMPORTRANGE(""https://docs.google.com/spreadsheets/d/11923uPwbBZFjjGgGUA6NLw09EwE0CqkOc4q9oUmW1yo/edit?usp=sharing"",""แพร่!J88"")"),0)</f>
        <v>0</v>
      </c>
      <c r="K163" s="163"/>
      <c r="L163" s="181"/>
      <c r="M163" s="181"/>
      <c r="N163" s="181"/>
      <c r="O163" s="181"/>
      <c r="P163" s="181"/>
    </row>
    <row r="164" spans="1:16" ht="21.75" customHeight="1" x14ac:dyDescent="0.3">
      <c r="A164" s="269"/>
      <c r="B164" s="270"/>
      <c r="C164" s="271" t="s">
        <v>82</v>
      </c>
      <c r="D164" s="271"/>
      <c r="E164" s="271"/>
      <c r="F164" s="271"/>
      <c r="G164" s="272"/>
      <c r="H164" s="281" t="s">
        <v>83</v>
      </c>
      <c r="I164" s="282">
        <f ca="1">IFERROR(__xludf.DUMMYFUNCTION("IMPORTRANGE(""https://docs.google.com/spreadsheets/d/11923uPwbBZFjjGgGUA6NLw09EwE0CqkOc4q9oUmW1yo/edit?usp=sharing"",""แพร่!I89"")"),3)</f>
        <v>3</v>
      </c>
      <c r="J164" s="282">
        <f ca="1">IFERROR(__xludf.DUMMYFUNCTION("IMPORTRANGE(""https://docs.google.com/spreadsheets/d/11923uPwbBZFjjGgGUA6NLw09EwE0CqkOc4q9oUmW1yo/edit?usp=sharing"",""แพร่!J89"")"),0)</f>
        <v>0</v>
      </c>
      <c r="K164" s="283">
        <f ca="1">IF(I164&gt;0,J164*100/I164,0)</f>
        <v>0</v>
      </c>
      <c r="L164" s="276"/>
      <c r="M164" s="276"/>
      <c r="N164" s="276"/>
      <c r="O164" s="276"/>
      <c r="P164" s="276"/>
    </row>
    <row r="165" spans="1:16" ht="21.75" customHeight="1" x14ac:dyDescent="0.3">
      <c r="A165" s="156"/>
      <c r="B165" s="157"/>
      <c r="C165" s="157" t="s">
        <v>16</v>
      </c>
      <c r="D165" s="158" t="s">
        <v>38</v>
      </c>
      <c r="E165" s="159"/>
      <c r="F165" s="159"/>
      <c r="G165" s="160" t="s">
        <v>39</v>
      </c>
      <c r="H165" s="161" t="s">
        <v>12</v>
      </c>
      <c r="I165" s="162" t="s">
        <v>40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3">
      <c r="A166" s="156"/>
      <c r="B166" s="157"/>
      <c r="C166" s="157"/>
      <c r="D166" s="166"/>
      <c r="E166" s="159"/>
      <c r="F166" s="159" t="s">
        <v>40</v>
      </c>
      <c r="G166" s="160" t="s">
        <v>41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3">
      <c r="A167" s="156"/>
      <c r="B167" s="157"/>
      <c r="C167" s="157"/>
      <c r="D167" s="166"/>
      <c r="E167" s="159"/>
      <c r="F167" s="159"/>
      <c r="G167" s="169" t="s">
        <v>43</v>
      </c>
      <c r="H167" s="161" t="s">
        <v>12</v>
      </c>
      <c r="I167" s="162"/>
      <c r="J167" s="162"/>
      <c r="K167" s="163"/>
      <c r="L167" s="168"/>
      <c r="M167" s="168"/>
      <c r="N167" s="167"/>
      <c r="O167" s="168"/>
      <c r="P167" s="168"/>
    </row>
    <row r="168" spans="1:16" ht="21.75" customHeight="1" x14ac:dyDescent="0.3">
      <c r="A168" s="175"/>
      <c r="B168" s="176"/>
      <c r="C168" s="157" t="s">
        <v>16</v>
      </c>
      <c r="D168" s="177" t="s">
        <v>44</v>
      </c>
      <c r="E168" s="178"/>
      <c r="F168" s="178"/>
      <c r="G168" s="179"/>
      <c r="H168" s="180"/>
      <c r="I168" s="162"/>
      <c r="J168" s="162"/>
      <c r="K168" s="163"/>
      <c r="L168" s="181"/>
      <c r="M168" s="181"/>
      <c r="N168" s="181"/>
      <c r="O168" s="181"/>
      <c r="P168" s="181"/>
    </row>
    <row r="169" spans="1:16" ht="21.75" customHeight="1" x14ac:dyDescent="0.3">
      <c r="A169" s="175"/>
      <c r="B169" s="176"/>
      <c r="C169" s="176"/>
      <c r="D169" s="182">
        <v>1</v>
      </c>
      <c r="E169" s="183" t="s">
        <v>45</v>
      </c>
      <c r="F169" s="184"/>
      <c r="G169" s="185"/>
      <c r="H169" s="186"/>
      <c r="I169" s="187"/>
      <c r="J169" s="188">
        <f ca="1">IFERROR(__xludf.DUMMYFUNCTION("IMPORTRANGE(""https://docs.google.com/spreadsheets/d/11923uPwbBZFjjGgGUA6NLw09EwE0CqkOc4q9oUmW1yo/edit?usp=sharing"",""แพร่!J94"")"),0)</f>
        <v>0</v>
      </c>
      <c r="K169" s="163"/>
      <c r="L169" s="181"/>
      <c r="M169" s="181"/>
      <c r="N169" s="181"/>
      <c r="O169" s="181"/>
      <c r="P169" s="181"/>
    </row>
    <row r="170" spans="1:16" ht="21.75" customHeight="1" x14ac:dyDescent="0.3">
      <c r="A170" s="175"/>
      <c r="B170" s="176"/>
      <c r="C170" s="176"/>
      <c r="D170" s="189">
        <v>2</v>
      </c>
      <c r="E170" s="190" t="s">
        <v>46</v>
      </c>
      <c r="F170" s="191"/>
      <c r="G170" s="192"/>
      <c r="H170" s="186"/>
      <c r="I170" s="187"/>
      <c r="J170" s="197">
        <f ca="1">IFERROR(__xludf.DUMMYFUNCTION("IMPORTRANGE(""https://docs.google.com/spreadsheets/d/11923uPwbBZFjjGgGUA6NLw09EwE0CqkOc4q9oUmW1yo/edit?usp=sharing"",""แพร่!J95"")"),1)</f>
        <v>1</v>
      </c>
      <c r="K170" s="163"/>
      <c r="L170" s="181"/>
      <c r="M170" s="181"/>
      <c r="N170" s="181"/>
      <c r="O170" s="181"/>
      <c r="P170" s="181"/>
    </row>
    <row r="171" spans="1:16" ht="21.75" customHeight="1" x14ac:dyDescent="0.3">
      <c r="A171" s="175"/>
      <c r="B171" s="176"/>
      <c r="C171" s="176"/>
      <c r="D171" s="193"/>
      <c r="E171" s="194" t="s">
        <v>47</v>
      </c>
      <c r="F171" s="195"/>
      <c r="G171" s="196"/>
      <c r="H171" s="186"/>
      <c r="I171" s="187"/>
      <c r="J171" s="197">
        <f ca="1">IFERROR(__xludf.DUMMYFUNCTION("IMPORTRANGE(""https://docs.google.com/spreadsheets/d/11923uPwbBZFjjGgGUA6NLw09EwE0CqkOc4q9oUmW1yo/edit?usp=sharing"",""แพร่!J96"")"),1)</f>
        <v>1</v>
      </c>
      <c r="K171" s="163"/>
      <c r="L171" s="181"/>
      <c r="M171" s="181"/>
      <c r="N171" s="181"/>
      <c r="O171" s="181"/>
      <c r="P171" s="181"/>
    </row>
    <row r="172" spans="1:16" ht="21.75" customHeight="1" x14ac:dyDescent="0.3">
      <c r="A172" s="175"/>
      <c r="B172" s="176"/>
      <c r="C172" s="176"/>
      <c r="D172" s="193"/>
      <c r="E172" s="194" t="s">
        <v>48</v>
      </c>
      <c r="F172" s="195"/>
      <c r="G172" s="196"/>
      <c r="H172" s="186"/>
      <c r="I172" s="187"/>
      <c r="J172" s="197">
        <f ca="1">IFERROR(__xludf.DUMMYFUNCTION("IMPORTRANGE(""https://docs.google.com/spreadsheets/d/11923uPwbBZFjjGgGUA6NLw09EwE0CqkOc4q9oUmW1yo/edit?usp=sharing"",""แพร่!J97"")"),1)</f>
        <v>1</v>
      </c>
      <c r="K172" s="163"/>
      <c r="L172" s="181"/>
      <c r="M172" s="181"/>
      <c r="N172" s="181"/>
      <c r="O172" s="181"/>
      <c r="P172" s="181"/>
    </row>
    <row r="173" spans="1:16" ht="21.75" customHeight="1" x14ac:dyDescent="0.3">
      <c r="A173" s="175"/>
      <c r="B173" s="176"/>
      <c r="C173" s="176"/>
      <c r="D173" s="193"/>
      <c r="E173" s="198"/>
      <c r="F173" s="204" t="s">
        <v>84</v>
      </c>
      <c r="G173" s="196"/>
      <c r="H173" s="180" t="s">
        <v>83</v>
      </c>
      <c r="I173" s="187">
        <f ca="1">IFERROR(__xludf.DUMMYFUNCTION("IMPORTRANGE(""https://docs.google.com/spreadsheets/d/11923uPwbBZFjjGgGUA6NLw09EwE0CqkOc4q9oUmW1yo/edit?usp=sharing"",""แพร่!I98"")"),3)</f>
        <v>3</v>
      </c>
      <c r="J173" s="188">
        <f ca="1">IFERROR(__xludf.DUMMYFUNCTION("IMPORTRANGE(""https://docs.google.com/spreadsheets/d/11923uPwbBZFjjGgGUA6NLw09EwE0CqkOc4q9oUmW1yo/edit?usp=sharing"",""แพร่!J98"")"),0)</f>
        <v>0</v>
      </c>
      <c r="K173" s="163">
        <f ca="1">IF(I173&gt;0,J173*100/I173,0)</f>
        <v>0</v>
      </c>
      <c r="L173" s="168"/>
      <c r="M173" s="168"/>
      <c r="N173" s="167"/>
      <c r="O173" s="168"/>
      <c r="P173" s="168"/>
    </row>
    <row r="174" spans="1:16" ht="21.75" customHeight="1" x14ac:dyDescent="0.3">
      <c r="A174" s="175"/>
      <c r="B174" s="176"/>
      <c r="C174" s="176"/>
      <c r="D174" s="193"/>
      <c r="E174" s="194" t="s">
        <v>54</v>
      </c>
      <c r="F174" s="195"/>
      <c r="G174" s="196"/>
      <c r="H174" s="186"/>
      <c r="I174" s="187"/>
      <c r="J174" s="197">
        <f ca="1">IFERROR(__xludf.DUMMYFUNCTION("IMPORTRANGE(""https://docs.google.com/spreadsheets/d/11923uPwbBZFjjGgGUA6NLw09EwE0CqkOc4q9oUmW1yo/edit?usp=sharing"",""แพร่!J99"")"),0)</f>
        <v>0</v>
      </c>
      <c r="K174" s="163"/>
      <c r="L174" s="181"/>
      <c r="M174" s="181"/>
      <c r="N174" s="181"/>
      <c r="O174" s="181"/>
      <c r="P174" s="181"/>
    </row>
    <row r="175" spans="1:16" ht="21.75" customHeight="1" x14ac:dyDescent="0.3">
      <c r="A175" s="175"/>
      <c r="B175" s="176"/>
      <c r="C175" s="176"/>
      <c r="D175" s="205">
        <v>3</v>
      </c>
      <c r="E175" s="206" t="s">
        <v>55</v>
      </c>
      <c r="F175" s="207"/>
      <c r="G175" s="208"/>
      <c r="H175" s="186"/>
      <c r="I175" s="187"/>
      <c r="J175" s="209">
        <f ca="1">IFERROR(__xludf.DUMMYFUNCTION("IMPORTRANGE(""https://docs.google.com/spreadsheets/d/11923uPwbBZFjjGgGUA6NLw09EwE0CqkOc4q9oUmW1yo/edit?usp=sharing"",""แพร่!J100"")"),0)</f>
        <v>0</v>
      </c>
      <c r="K175" s="163"/>
      <c r="L175" s="181"/>
      <c r="M175" s="181"/>
      <c r="N175" s="181"/>
      <c r="O175" s="181"/>
      <c r="P175" s="181"/>
    </row>
    <row r="176" spans="1:16" ht="21.75" customHeight="1" x14ac:dyDescent="0.3">
      <c r="A176" s="269"/>
      <c r="B176" s="270"/>
      <c r="C176" s="271" t="s">
        <v>85</v>
      </c>
      <c r="D176" s="271"/>
      <c r="E176" s="271"/>
      <c r="F176" s="271"/>
      <c r="G176" s="272"/>
      <c r="H176" s="281" t="s">
        <v>83</v>
      </c>
      <c r="I176" s="282">
        <f ca="1">IFERROR(__xludf.DUMMYFUNCTION("IMPORTRANGE(""https://docs.google.com/spreadsheets/d/11923uPwbBZFjjGgGUA6NLw09EwE0CqkOc4q9oUmW1yo/edit?usp=sharing"",""แพร่!I101"")"),0)</f>
        <v>0</v>
      </c>
      <c r="J176" s="282">
        <f ca="1">IFERROR(__xludf.DUMMYFUNCTION("IMPORTRANGE(""https://docs.google.com/spreadsheets/d/11923uPwbBZFjjGgGUA6NLw09EwE0CqkOc4q9oUmW1yo/edit?usp=sharing"",""แพร่!J101"")"),0)</f>
        <v>0</v>
      </c>
      <c r="K176" s="283">
        <f ca="1">IF(I176&gt;0,J176*100/I176,0)</f>
        <v>0</v>
      </c>
      <c r="L176" s="276"/>
      <c r="M176" s="276"/>
      <c r="N176" s="276"/>
      <c r="O176" s="276"/>
      <c r="P176" s="276"/>
    </row>
    <row r="177" spans="1:16" ht="21.75" customHeight="1" x14ac:dyDescent="0.3">
      <c r="A177" s="156"/>
      <c r="B177" s="157"/>
      <c r="C177" s="157" t="s">
        <v>16</v>
      </c>
      <c r="D177" s="158" t="s">
        <v>38</v>
      </c>
      <c r="E177" s="159"/>
      <c r="F177" s="159"/>
      <c r="G177" s="160" t="s">
        <v>39</v>
      </c>
      <c r="H177" s="161" t="s">
        <v>12</v>
      </c>
      <c r="I177" s="162" t="s">
        <v>40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3">
      <c r="A178" s="156"/>
      <c r="B178" s="157"/>
      <c r="C178" s="157"/>
      <c r="D178" s="166"/>
      <c r="E178" s="159"/>
      <c r="F178" s="159" t="s">
        <v>40</v>
      </c>
      <c r="G178" s="160" t="s">
        <v>41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3">
      <c r="A179" s="156"/>
      <c r="B179" s="157"/>
      <c r="C179" s="157"/>
      <c r="D179" s="166"/>
      <c r="E179" s="159"/>
      <c r="F179" s="159"/>
      <c r="G179" s="169" t="s">
        <v>43</v>
      </c>
      <c r="H179" s="161" t="s">
        <v>12</v>
      </c>
      <c r="I179" s="162"/>
      <c r="J179" s="187"/>
      <c r="K179" s="223"/>
      <c r="L179" s="168"/>
      <c r="M179" s="168"/>
      <c r="N179" s="167"/>
      <c r="O179" s="168"/>
      <c r="P179" s="168"/>
    </row>
    <row r="180" spans="1:16" ht="21.75" customHeight="1" x14ac:dyDescent="0.3">
      <c r="A180" s="175"/>
      <c r="B180" s="176"/>
      <c r="C180" s="157" t="s">
        <v>16</v>
      </c>
      <c r="D180" s="177" t="s">
        <v>44</v>
      </c>
      <c r="E180" s="178"/>
      <c r="F180" s="178"/>
      <c r="G180" s="179"/>
      <c r="H180" s="180"/>
      <c r="I180" s="162"/>
      <c r="J180" s="187"/>
      <c r="K180" s="223"/>
      <c r="L180" s="168"/>
      <c r="M180" s="168"/>
      <c r="N180" s="168"/>
      <c r="O180" s="181"/>
      <c r="P180" s="181"/>
    </row>
    <row r="181" spans="1:16" ht="21.75" customHeight="1" x14ac:dyDescent="0.3">
      <c r="A181" s="175"/>
      <c r="B181" s="176"/>
      <c r="C181" s="176"/>
      <c r="D181" s="182">
        <v>1</v>
      </c>
      <c r="E181" s="183" t="s">
        <v>45</v>
      </c>
      <c r="F181" s="184"/>
      <c r="G181" s="185"/>
      <c r="H181" s="186"/>
      <c r="I181" s="187"/>
      <c r="J181" s="187">
        <f ca="1">IFERROR(__xludf.DUMMYFUNCTION("IMPORTRANGE(""https://docs.google.com/spreadsheets/d/11923uPwbBZFjjGgGUA6NLw09EwE0CqkOc4q9oUmW1yo/edit?usp=sharing"",""แพร่!J106"")"),0)</f>
        <v>0</v>
      </c>
      <c r="K181" s="223"/>
      <c r="L181" s="168"/>
      <c r="M181" s="168"/>
      <c r="N181" s="168"/>
      <c r="O181" s="181"/>
      <c r="P181" s="181"/>
    </row>
    <row r="182" spans="1:16" ht="21.75" customHeight="1" x14ac:dyDescent="0.3">
      <c r="A182" s="175"/>
      <c r="B182" s="176"/>
      <c r="C182" s="176"/>
      <c r="D182" s="189">
        <v>2</v>
      </c>
      <c r="E182" s="190" t="s">
        <v>46</v>
      </c>
      <c r="F182" s="191"/>
      <c r="G182" s="192"/>
      <c r="H182" s="186"/>
      <c r="I182" s="187"/>
      <c r="J182" s="187">
        <f ca="1">IFERROR(__xludf.DUMMYFUNCTION("IMPORTRANGE(""https://docs.google.com/spreadsheets/d/11923uPwbBZFjjGgGUA6NLw09EwE0CqkOc4q9oUmW1yo/edit?usp=sharing"",""แพร่!J107"")"),0)</f>
        <v>0</v>
      </c>
      <c r="K182" s="223"/>
      <c r="L182" s="168"/>
      <c r="M182" s="168"/>
      <c r="N182" s="168"/>
      <c r="O182" s="181"/>
      <c r="P182" s="181"/>
    </row>
    <row r="183" spans="1:16" ht="21.75" customHeight="1" x14ac:dyDescent="0.3">
      <c r="A183" s="175"/>
      <c r="B183" s="176"/>
      <c r="C183" s="176"/>
      <c r="D183" s="193"/>
      <c r="E183" s="194" t="s">
        <v>47</v>
      </c>
      <c r="F183" s="195"/>
      <c r="G183" s="196"/>
      <c r="H183" s="186"/>
      <c r="I183" s="187"/>
      <c r="J183" s="187">
        <f ca="1">IFERROR(__xludf.DUMMYFUNCTION("IMPORTRANGE(""https://docs.google.com/spreadsheets/d/11923uPwbBZFjjGgGUA6NLw09EwE0CqkOc4q9oUmW1yo/edit?usp=sharing"",""แพร่!J108"")"),0)</f>
        <v>0</v>
      </c>
      <c r="K183" s="223"/>
      <c r="L183" s="168"/>
      <c r="M183" s="168"/>
      <c r="N183" s="168"/>
      <c r="O183" s="181"/>
      <c r="P183" s="181"/>
    </row>
    <row r="184" spans="1:16" ht="21.75" customHeight="1" x14ac:dyDescent="0.3">
      <c r="A184" s="175"/>
      <c r="B184" s="176"/>
      <c r="C184" s="176"/>
      <c r="D184" s="193"/>
      <c r="E184" s="194" t="s">
        <v>48</v>
      </c>
      <c r="F184" s="195"/>
      <c r="G184" s="196"/>
      <c r="H184" s="186"/>
      <c r="I184" s="187"/>
      <c r="J184" s="187">
        <f ca="1">IFERROR(__xludf.DUMMYFUNCTION("IMPORTRANGE(""https://docs.google.com/spreadsheets/d/11923uPwbBZFjjGgGUA6NLw09EwE0CqkOc4q9oUmW1yo/edit?usp=sharing"",""แพร่!J109"")"),0)</f>
        <v>0</v>
      </c>
      <c r="K184" s="223"/>
      <c r="L184" s="168"/>
      <c r="M184" s="168"/>
      <c r="N184" s="168"/>
      <c r="O184" s="181"/>
      <c r="P184" s="181"/>
    </row>
    <row r="185" spans="1:16" ht="21.75" customHeight="1" x14ac:dyDescent="0.3">
      <c r="A185" s="175"/>
      <c r="B185" s="176"/>
      <c r="C185" s="176"/>
      <c r="D185" s="193"/>
      <c r="E185" s="198"/>
      <c r="F185" s="194" t="s">
        <v>86</v>
      </c>
      <c r="G185" s="196"/>
      <c r="H185" s="180" t="s">
        <v>83</v>
      </c>
      <c r="I185" s="187">
        <f ca="1">IFERROR(__xludf.DUMMYFUNCTION("IMPORTRANGE(""https://docs.google.com/spreadsheets/d/11923uPwbBZFjjGgGUA6NLw09EwE0CqkOc4q9oUmW1yo/edit?usp=sharing"",""แพร่!I110"")"),0)</f>
        <v>0</v>
      </c>
      <c r="J185" s="203">
        <f ca="1">IFERROR(__xludf.DUMMYFUNCTION("IMPORTRANGE(""https://docs.google.com/spreadsheets/d/11923uPwbBZFjjGgGUA6NLw09EwE0CqkOc4q9oUmW1yo/edit?usp=sharing"",""แพร่!J110"")"),0)</f>
        <v>0</v>
      </c>
      <c r="K185" s="223">
        <f t="shared" ref="K185:K186" ca="1" si="69">IF(I185&gt;0,J185*100/I185,0)</f>
        <v>0</v>
      </c>
      <c r="L185" s="168"/>
      <c r="M185" s="168"/>
      <c r="N185" s="167"/>
      <c r="O185" s="168"/>
      <c r="P185" s="168"/>
    </row>
    <row r="186" spans="1:16" ht="21.75" customHeight="1" x14ac:dyDescent="0.3">
      <c r="A186" s="175"/>
      <c r="B186" s="176"/>
      <c r="C186" s="176"/>
      <c r="D186" s="193"/>
      <c r="E186" s="198"/>
      <c r="F186" s="194" t="s">
        <v>87</v>
      </c>
      <c r="G186" s="196"/>
      <c r="H186" s="180" t="s">
        <v>83</v>
      </c>
      <c r="I186" s="187">
        <f ca="1">IFERROR(__xludf.DUMMYFUNCTION("IMPORTRANGE(""https://docs.google.com/spreadsheets/d/11923uPwbBZFjjGgGUA6NLw09EwE0CqkOc4q9oUmW1yo/edit?usp=sharing"",""แพร่!I111"")"),0)</f>
        <v>0</v>
      </c>
      <c r="J186" s="203">
        <f ca="1">IFERROR(__xludf.DUMMYFUNCTION("IMPORTRANGE(""https://docs.google.com/spreadsheets/d/11923uPwbBZFjjGgGUA6NLw09EwE0CqkOc4q9oUmW1yo/edit?usp=sharing"",""แพร่!J111"")"),0)</f>
        <v>0</v>
      </c>
      <c r="K186" s="223">
        <f t="shared" ca="1" si="69"/>
        <v>0</v>
      </c>
      <c r="L186" s="168"/>
      <c r="M186" s="168"/>
      <c r="N186" s="167"/>
      <c r="O186" s="168"/>
      <c r="P186" s="168"/>
    </row>
    <row r="187" spans="1:16" ht="21.75" customHeight="1" x14ac:dyDescent="0.3">
      <c r="A187" s="175"/>
      <c r="B187" s="176"/>
      <c r="C187" s="176"/>
      <c r="D187" s="193"/>
      <c r="E187" s="194" t="s">
        <v>54</v>
      </c>
      <c r="F187" s="195"/>
      <c r="G187" s="196"/>
      <c r="H187" s="186"/>
      <c r="I187" s="187"/>
      <c r="J187" s="187">
        <f ca="1">IFERROR(__xludf.DUMMYFUNCTION("IMPORTRANGE(""https://docs.google.com/spreadsheets/d/11923uPwbBZFjjGgGUA6NLw09EwE0CqkOc4q9oUmW1yo/edit?usp=sharing"",""แพร่!J112"")"),0)</f>
        <v>0</v>
      </c>
      <c r="K187" s="223"/>
      <c r="L187" s="168"/>
      <c r="M187" s="168"/>
      <c r="N187" s="168"/>
      <c r="O187" s="181"/>
      <c r="P187" s="181"/>
    </row>
    <row r="188" spans="1:16" ht="21.75" customHeight="1" x14ac:dyDescent="0.3">
      <c r="A188" s="175"/>
      <c r="B188" s="176"/>
      <c r="C188" s="176"/>
      <c r="D188" s="205">
        <v>3</v>
      </c>
      <c r="E188" s="206" t="s">
        <v>55</v>
      </c>
      <c r="F188" s="207"/>
      <c r="G188" s="208"/>
      <c r="H188" s="186"/>
      <c r="I188" s="187"/>
      <c r="J188" s="226">
        <f ca="1">IFERROR(__xludf.DUMMYFUNCTION("IMPORTRANGE(""https://docs.google.com/spreadsheets/d/11923uPwbBZFjjGgGUA6NLw09EwE0CqkOc4q9oUmW1yo/edit?usp=sharing"",""แพร่!J113"")"),0)</f>
        <v>0</v>
      </c>
      <c r="K188" s="223"/>
      <c r="L188" s="168"/>
      <c r="M188" s="168"/>
      <c r="N188" s="168"/>
      <c r="O188" s="181"/>
      <c r="P188" s="181"/>
    </row>
    <row r="189" spans="1:16" ht="21.75" customHeight="1" x14ac:dyDescent="0.3">
      <c r="A189" s="269"/>
      <c r="B189" s="270"/>
      <c r="C189" s="271" t="s">
        <v>88</v>
      </c>
      <c r="D189" s="271"/>
      <c r="E189" s="271"/>
      <c r="F189" s="271"/>
      <c r="G189" s="272"/>
      <c r="H189" s="284" t="s">
        <v>89</v>
      </c>
      <c r="I189" s="282">
        <f ca="1">IFERROR(__xludf.DUMMYFUNCTION("IMPORTRANGE(""https://docs.google.com/spreadsheets/d/11923uPwbBZFjjGgGUA6NLw09EwE0CqkOc4q9oUmW1yo/edit?usp=sharing"",""แพร่!I114"")"),50000)</f>
        <v>50000</v>
      </c>
      <c r="J189" s="282">
        <f ca="1">IFERROR(__xludf.DUMMYFUNCTION("IMPORTRANGE(""https://docs.google.com/spreadsheets/d/11923uPwbBZFjjGgGUA6NLw09EwE0CqkOc4q9oUmW1yo/edit?usp=sharing"",""แพร่!J114"")"),0)</f>
        <v>0</v>
      </c>
      <c r="K189" s="283">
        <f ca="1">IF(I189&gt;0,J189*100/I189,0)</f>
        <v>0</v>
      </c>
      <c r="L189" s="276"/>
      <c r="M189" s="276"/>
      <c r="N189" s="276"/>
      <c r="O189" s="276"/>
      <c r="P189" s="276"/>
    </row>
    <row r="190" spans="1:16" ht="21.75" customHeight="1" x14ac:dyDescent="0.3">
      <c r="A190" s="156"/>
      <c r="B190" s="157"/>
      <c r="C190" s="157" t="s">
        <v>16</v>
      </c>
      <c r="D190" s="158" t="s">
        <v>38</v>
      </c>
      <c r="E190" s="159"/>
      <c r="F190" s="159"/>
      <c r="G190" s="160" t="s">
        <v>39</v>
      </c>
      <c r="H190" s="161" t="s">
        <v>12</v>
      </c>
      <c r="I190" s="162" t="s">
        <v>40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3">
      <c r="A191" s="156"/>
      <c r="B191" s="157"/>
      <c r="C191" s="157"/>
      <c r="D191" s="166"/>
      <c r="E191" s="159"/>
      <c r="F191" s="159" t="s">
        <v>40</v>
      </c>
      <c r="G191" s="160" t="s">
        <v>41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3">
      <c r="A192" s="156"/>
      <c r="B192" s="157"/>
      <c r="C192" s="157"/>
      <c r="D192" s="166"/>
      <c r="E192" s="159"/>
      <c r="F192" s="159"/>
      <c r="G192" s="169" t="s">
        <v>43</v>
      </c>
      <c r="H192" s="161" t="s">
        <v>12</v>
      </c>
      <c r="I192" s="162"/>
      <c r="J192" s="162"/>
      <c r="K192" s="163"/>
      <c r="L192" s="168"/>
      <c r="M192" s="168"/>
      <c r="N192" s="167"/>
      <c r="O192" s="168"/>
      <c r="P192" s="168"/>
    </row>
    <row r="193" spans="1:16" ht="21.75" customHeight="1" x14ac:dyDescent="0.3">
      <c r="A193" s="175"/>
      <c r="B193" s="176"/>
      <c r="C193" s="157" t="s">
        <v>16</v>
      </c>
      <c r="D193" s="177" t="s">
        <v>44</v>
      </c>
      <c r="E193" s="178"/>
      <c r="F193" s="178"/>
      <c r="G193" s="179"/>
      <c r="H193" s="180"/>
      <c r="I193" s="162"/>
      <c r="J193" s="162"/>
      <c r="K193" s="163"/>
      <c r="L193" s="181"/>
      <c r="M193" s="181"/>
      <c r="N193" s="181"/>
      <c r="O193" s="181"/>
      <c r="P193" s="181"/>
    </row>
    <row r="194" spans="1:16" ht="21.75" customHeight="1" x14ac:dyDescent="0.3">
      <c r="A194" s="175"/>
      <c r="B194" s="176"/>
      <c r="C194" s="176"/>
      <c r="D194" s="182">
        <v>1</v>
      </c>
      <c r="E194" s="183" t="s">
        <v>45</v>
      </c>
      <c r="F194" s="184"/>
      <c r="G194" s="185"/>
      <c r="H194" s="186"/>
      <c r="I194" s="187"/>
      <c r="J194" s="197">
        <f ca="1">IFERROR(__xludf.DUMMYFUNCTION("IMPORTRANGE(""https://docs.google.com/spreadsheets/d/11923uPwbBZFjjGgGUA6NLw09EwE0CqkOc4q9oUmW1yo/edit?usp=sharing"",""แพร่!J119"")"),1)</f>
        <v>1</v>
      </c>
      <c r="K194" s="163"/>
      <c r="L194" s="181"/>
      <c r="M194" s="181"/>
      <c r="N194" s="181"/>
      <c r="O194" s="181"/>
      <c r="P194" s="181"/>
    </row>
    <row r="195" spans="1:16" ht="21.75" customHeight="1" x14ac:dyDescent="0.3">
      <c r="A195" s="175"/>
      <c r="B195" s="176"/>
      <c r="C195" s="176"/>
      <c r="D195" s="189">
        <v>2</v>
      </c>
      <c r="E195" s="190" t="s">
        <v>46</v>
      </c>
      <c r="F195" s="191"/>
      <c r="G195" s="192"/>
      <c r="H195" s="186"/>
      <c r="I195" s="187"/>
      <c r="J195" s="188">
        <f ca="1">IFERROR(__xludf.DUMMYFUNCTION("IMPORTRANGE(""https://docs.google.com/spreadsheets/d/11923uPwbBZFjjGgGUA6NLw09EwE0CqkOc4q9oUmW1yo/edit?usp=sharing"",""แพร่!J120"")"),0)</f>
        <v>0</v>
      </c>
      <c r="K195" s="163"/>
      <c r="L195" s="181"/>
      <c r="M195" s="181"/>
      <c r="N195" s="181"/>
      <c r="O195" s="181"/>
      <c r="P195" s="181"/>
    </row>
    <row r="196" spans="1:16" ht="21.75" customHeight="1" x14ac:dyDescent="0.3">
      <c r="A196" s="175"/>
      <c r="B196" s="176"/>
      <c r="C196" s="176"/>
      <c r="D196" s="193"/>
      <c r="E196" s="194" t="s">
        <v>47</v>
      </c>
      <c r="F196" s="195"/>
      <c r="G196" s="196"/>
      <c r="H196" s="186"/>
      <c r="I196" s="187"/>
      <c r="J196" s="188">
        <f ca="1">IFERROR(__xludf.DUMMYFUNCTION("IMPORTRANGE(""https://docs.google.com/spreadsheets/d/11923uPwbBZFjjGgGUA6NLw09EwE0CqkOc4q9oUmW1yo/edit?usp=sharing"",""แพร่!J121"")"),0)</f>
        <v>0</v>
      </c>
      <c r="K196" s="163"/>
      <c r="L196" s="181"/>
      <c r="M196" s="181"/>
      <c r="N196" s="181"/>
      <c r="O196" s="181"/>
      <c r="P196" s="181"/>
    </row>
    <row r="197" spans="1:16" ht="21.75" customHeight="1" x14ac:dyDescent="0.3">
      <c r="A197" s="175"/>
      <c r="B197" s="176"/>
      <c r="C197" s="176"/>
      <c r="D197" s="193"/>
      <c r="E197" s="194" t="s">
        <v>48</v>
      </c>
      <c r="F197" s="195"/>
      <c r="G197" s="196"/>
      <c r="H197" s="186"/>
      <c r="I197" s="187"/>
      <c r="J197" s="197">
        <f ca="1">IFERROR(__xludf.DUMMYFUNCTION("IMPORTRANGE(""https://docs.google.com/spreadsheets/d/11923uPwbBZFjjGgGUA6NLw09EwE0CqkOc4q9oUmW1yo/edit?usp=sharing"",""แพร่!J122"")"),0)</f>
        <v>0</v>
      </c>
      <c r="K197" s="163"/>
      <c r="L197" s="181"/>
      <c r="M197" s="181"/>
      <c r="N197" s="181"/>
      <c r="O197" s="181"/>
      <c r="P197" s="181"/>
    </row>
    <row r="198" spans="1:16" ht="21.75" customHeight="1" x14ac:dyDescent="0.3">
      <c r="A198" s="175"/>
      <c r="B198" s="176"/>
      <c r="C198" s="176"/>
      <c r="D198" s="193"/>
      <c r="E198" s="195"/>
      <c r="F198" s="195" t="s">
        <v>90</v>
      </c>
      <c r="G198" s="196"/>
      <c r="H198" s="180"/>
      <c r="I198" s="187"/>
      <c r="J198" s="187"/>
      <c r="K198" s="163"/>
      <c r="L198" s="181"/>
      <c r="M198" s="181"/>
      <c r="N198" s="181"/>
      <c r="O198" s="181"/>
      <c r="P198" s="181"/>
    </row>
    <row r="199" spans="1:16" ht="21.75" customHeight="1" x14ac:dyDescent="0.3">
      <c r="A199" s="175"/>
      <c r="B199" s="176"/>
      <c r="C199" s="176"/>
      <c r="D199" s="193"/>
      <c r="E199" s="198"/>
      <c r="F199" s="195"/>
      <c r="G199" s="194" t="s">
        <v>91</v>
      </c>
      <c r="H199" s="180" t="s">
        <v>89</v>
      </c>
      <c r="I199" s="187">
        <f ca="1">IFERROR(__xludf.DUMMYFUNCTION("IMPORTRANGE(""https://docs.google.com/spreadsheets/d/11923uPwbBZFjjGgGUA6NLw09EwE0CqkOc4q9oUmW1yo/edit?usp=sharing"",""แพร่!I124"")"),50000)</f>
        <v>50000</v>
      </c>
      <c r="J199" s="188">
        <f ca="1">IFERROR(__xludf.DUMMYFUNCTION("IMPORTRANGE(""https://docs.google.com/spreadsheets/d/11923uPwbBZFjjGgGUA6NLw09EwE0CqkOc4q9oUmW1yo/edit?usp=sharing"",""แพร่!J124"")"),0)</f>
        <v>0</v>
      </c>
      <c r="K199" s="163">
        <f t="shared" ref="K199:K201" ca="1" si="70">IF(I199&gt;0,J199*100/I199,0)</f>
        <v>0</v>
      </c>
      <c r="L199" s="181"/>
      <c r="M199" s="181"/>
      <c r="N199" s="181"/>
      <c r="O199" s="181"/>
      <c r="P199" s="181"/>
    </row>
    <row r="200" spans="1:16" ht="21.75" customHeight="1" x14ac:dyDescent="0.3">
      <c r="A200" s="175"/>
      <c r="B200" s="176"/>
      <c r="C200" s="176"/>
      <c r="D200" s="193"/>
      <c r="E200" s="198"/>
      <c r="F200" s="195"/>
      <c r="G200" s="194" t="s">
        <v>92</v>
      </c>
      <c r="H200" s="180" t="s">
        <v>89</v>
      </c>
      <c r="I200" s="187">
        <f ca="1">IFERROR(__xludf.DUMMYFUNCTION("IMPORTRANGE(""https://docs.google.com/spreadsheets/d/11923uPwbBZFjjGgGUA6NLw09EwE0CqkOc4q9oUmW1yo/edit?usp=sharing"",""แพร่!I125"")"),50000)</f>
        <v>50000</v>
      </c>
      <c r="J200" s="188">
        <f ca="1">IFERROR(__xludf.DUMMYFUNCTION("IMPORTRANGE(""https://docs.google.com/spreadsheets/d/11923uPwbBZFjjGgGUA6NLw09EwE0CqkOc4q9oUmW1yo/edit?usp=sharing"",""แพร่!J125"")"),0)</f>
        <v>0</v>
      </c>
      <c r="K200" s="163">
        <f t="shared" ca="1" si="70"/>
        <v>0</v>
      </c>
      <c r="L200" s="168"/>
      <c r="M200" s="168"/>
      <c r="N200" s="167"/>
      <c r="O200" s="168"/>
      <c r="P200" s="168"/>
    </row>
    <row r="201" spans="1:16" ht="21.75" customHeight="1" x14ac:dyDescent="0.3">
      <c r="A201" s="175"/>
      <c r="B201" s="176"/>
      <c r="C201" s="176"/>
      <c r="D201" s="193"/>
      <c r="E201" s="198"/>
      <c r="F201" s="195" t="s">
        <v>93</v>
      </c>
      <c r="G201" s="196"/>
      <c r="H201" s="180" t="s">
        <v>37</v>
      </c>
      <c r="I201" s="187">
        <f ca="1">IFERROR(__xludf.DUMMYFUNCTION("IMPORTRANGE(""https://docs.google.com/spreadsheets/d/11923uPwbBZFjjGgGUA6NLw09EwE0CqkOc4q9oUmW1yo/edit?usp=sharing"",""แพร่!I126"")"),0)</f>
        <v>0</v>
      </c>
      <c r="J201" s="188">
        <f ca="1">IFERROR(__xludf.DUMMYFUNCTION("IMPORTRANGE(""https://docs.google.com/spreadsheets/d/11923uPwbBZFjjGgGUA6NLw09EwE0CqkOc4q9oUmW1yo/edit?usp=sharing"",""แพร่!J126"")"),0)</f>
        <v>0</v>
      </c>
      <c r="K201" s="163">
        <f t="shared" ca="1" si="70"/>
        <v>0</v>
      </c>
      <c r="L201" s="168"/>
      <c r="M201" s="168"/>
      <c r="N201" s="167"/>
      <c r="O201" s="168"/>
      <c r="P201" s="168"/>
    </row>
    <row r="202" spans="1:16" ht="21.75" customHeight="1" x14ac:dyDescent="0.3">
      <c r="A202" s="175"/>
      <c r="B202" s="176"/>
      <c r="C202" s="176"/>
      <c r="D202" s="193"/>
      <c r="E202" s="194" t="s">
        <v>54</v>
      </c>
      <c r="F202" s="195"/>
      <c r="G202" s="196"/>
      <c r="H202" s="186"/>
      <c r="I202" s="187"/>
      <c r="J202" s="197">
        <f ca="1">IFERROR(__xludf.DUMMYFUNCTION("IMPORTRANGE(""https://docs.google.com/spreadsheets/d/11923uPwbBZFjjGgGUA6NLw09EwE0CqkOc4q9oUmW1yo/edit?usp=sharing"",""แพร่!J127"")"),0)</f>
        <v>0</v>
      </c>
      <c r="K202" s="163"/>
      <c r="L202" s="181"/>
      <c r="M202" s="181"/>
      <c r="N202" s="181"/>
      <c r="O202" s="181"/>
      <c r="P202" s="181"/>
    </row>
    <row r="203" spans="1:16" ht="21.75" customHeight="1" x14ac:dyDescent="0.3">
      <c r="A203" s="233"/>
      <c r="B203" s="234"/>
      <c r="C203" s="234"/>
      <c r="D203" s="235">
        <v>3</v>
      </c>
      <c r="E203" s="236" t="s">
        <v>55</v>
      </c>
      <c r="F203" s="237"/>
      <c r="G203" s="238"/>
      <c r="H203" s="239"/>
      <c r="I203" s="240"/>
      <c r="J203" s="285">
        <f ca="1">IFERROR(__xludf.DUMMYFUNCTION("IMPORTRANGE(""https://docs.google.com/spreadsheets/d/11923uPwbBZFjjGgGUA6NLw09EwE0CqkOc4q9oUmW1yo/edit?usp=sharing"",""แพร่!J128"")"),0)</f>
        <v>0</v>
      </c>
      <c r="K203" s="286"/>
      <c r="L203" s="244"/>
      <c r="M203" s="244"/>
      <c r="N203" s="244"/>
      <c r="O203" s="244"/>
      <c r="P203" s="244"/>
    </row>
    <row r="204" spans="1:16" ht="21.75" customHeight="1" x14ac:dyDescent="0.3">
      <c r="A204" s="269"/>
      <c r="B204" s="270"/>
      <c r="C204" s="287" t="s">
        <v>94</v>
      </c>
      <c r="D204" s="271"/>
      <c r="E204" s="271"/>
      <c r="F204" s="271"/>
      <c r="G204" s="272"/>
      <c r="H204" s="284" t="s">
        <v>37</v>
      </c>
      <c r="I204" s="282">
        <f ca="1">IFERROR(__xludf.DUMMYFUNCTION("IMPORTRANGE(""https://docs.google.com/spreadsheets/d/11923uPwbBZFjjGgGUA6NLw09EwE0CqkOc4q9oUmW1yo/edit?usp=sharing"",""แพร่!I129"")"),0)</f>
        <v>0</v>
      </c>
      <c r="J204" s="282">
        <f ca="1">IFERROR(__xludf.DUMMYFUNCTION("IMPORTRANGE(""https://docs.google.com/spreadsheets/d/11923uPwbBZFjjGgGUA6NLw09EwE0CqkOc4q9oUmW1yo/edit?usp=sharing"",""แพร่!J129"")"),0)</f>
        <v>0</v>
      </c>
      <c r="K204" s="283">
        <f ca="1">IF(I204&gt;0,J204*100/I204,0)</f>
        <v>0</v>
      </c>
      <c r="L204" s="276"/>
      <c r="M204" s="276"/>
      <c r="N204" s="276"/>
      <c r="O204" s="276"/>
      <c r="P204" s="276"/>
    </row>
    <row r="205" spans="1:16" ht="21.75" customHeight="1" x14ac:dyDescent="0.3">
      <c r="A205" s="156"/>
      <c r="B205" s="157"/>
      <c r="C205" s="157" t="s">
        <v>16</v>
      </c>
      <c r="D205" s="158" t="s">
        <v>38</v>
      </c>
      <c r="E205" s="159"/>
      <c r="F205" s="159"/>
      <c r="G205" s="160" t="s">
        <v>39</v>
      </c>
      <c r="H205" s="161" t="s">
        <v>12</v>
      </c>
      <c r="I205" s="162" t="s">
        <v>40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3">
      <c r="A206" s="156"/>
      <c r="B206" s="157"/>
      <c r="C206" s="157"/>
      <c r="D206" s="166"/>
      <c r="E206" s="159"/>
      <c r="F206" s="159" t="s">
        <v>40</v>
      </c>
      <c r="G206" s="160" t="s">
        <v>41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3">
      <c r="A207" s="156"/>
      <c r="B207" s="157"/>
      <c r="C207" s="157"/>
      <c r="D207" s="166"/>
      <c r="E207" s="159"/>
      <c r="F207" s="159"/>
      <c r="G207" s="169" t="s">
        <v>43</v>
      </c>
      <c r="H207" s="161" t="s">
        <v>12</v>
      </c>
      <c r="I207" s="162"/>
      <c r="J207" s="187"/>
      <c r="K207" s="223"/>
      <c r="L207" s="168"/>
      <c r="M207" s="168"/>
      <c r="N207" s="167"/>
      <c r="O207" s="168"/>
      <c r="P207" s="168"/>
    </row>
    <row r="208" spans="1:16" ht="21.75" customHeight="1" x14ac:dyDescent="0.3">
      <c r="A208" s="175"/>
      <c r="B208" s="176"/>
      <c r="C208" s="157" t="s">
        <v>16</v>
      </c>
      <c r="D208" s="177" t="s">
        <v>44</v>
      </c>
      <c r="E208" s="178"/>
      <c r="F208" s="178"/>
      <c r="G208" s="179"/>
      <c r="H208" s="180"/>
      <c r="I208" s="162"/>
      <c r="J208" s="187"/>
      <c r="K208" s="223"/>
      <c r="L208" s="168"/>
      <c r="M208" s="168"/>
      <c r="N208" s="168"/>
      <c r="O208" s="181"/>
      <c r="P208" s="181"/>
    </row>
    <row r="209" spans="1:16" ht="21.75" customHeight="1" x14ac:dyDescent="0.3">
      <c r="A209" s="175"/>
      <c r="B209" s="176"/>
      <c r="C209" s="176"/>
      <c r="D209" s="182">
        <v>1</v>
      </c>
      <c r="E209" s="183" t="s">
        <v>45</v>
      </c>
      <c r="F209" s="184"/>
      <c r="G209" s="185"/>
      <c r="H209" s="186"/>
      <c r="I209" s="187"/>
      <c r="J209" s="187">
        <f ca="1">IFERROR(__xludf.DUMMYFUNCTION("IMPORTRANGE(""https://docs.google.com/spreadsheets/d/11923uPwbBZFjjGgGUA6NLw09EwE0CqkOc4q9oUmW1yo/edit?usp=sharing"",""แพร่!J134"")"),0)</f>
        <v>0</v>
      </c>
      <c r="K209" s="223"/>
      <c r="L209" s="168"/>
      <c r="M209" s="168"/>
      <c r="N209" s="168"/>
      <c r="O209" s="181"/>
      <c r="P209" s="181"/>
    </row>
    <row r="210" spans="1:16" ht="21.75" customHeight="1" x14ac:dyDescent="0.3">
      <c r="A210" s="175"/>
      <c r="B210" s="176"/>
      <c r="C210" s="176"/>
      <c r="D210" s="189">
        <v>2</v>
      </c>
      <c r="E210" s="190" t="s">
        <v>46</v>
      </c>
      <c r="F210" s="191"/>
      <c r="G210" s="192"/>
      <c r="H210" s="186"/>
      <c r="I210" s="187"/>
      <c r="J210" s="187">
        <f ca="1">IFERROR(__xludf.DUMMYFUNCTION("IMPORTRANGE(""https://docs.google.com/spreadsheets/d/11923uPwbBZFjjGgGUA6NLw09EwE0CqkOc4q9oUmW1yo/edit?usp=sharing"",""แพร่!J135"")"),0)</f>
        <v>0</v>
      </c>
      <c r="K210" s="223"/>
      <c r="L210" s="168"/>
      <c r="M210" s="168"/>
      <c r="N210" s="168"/>
      <c r="O210" s="181"/>
      <c r="P210" s="181"/>
    </row>
    <row r="211" spans="1:16" ht="21.75" customHeight="1" x14ac:dyDescent="0.3">
      <c r="A211" s="175"/>
      <c r="B211" s="176"/>
      <c r="C211" s="176"/>
      <c r="D211" s="193"/>
      <c r="E211" s="194" t="s">
        <v>47</v>
      </c>
      <c r="F211" s="195"/>
      <c r="G211" s="196"/>
      <c r="H211" s="186"/>
      <c r="I211" s="187"/>
      <c r="J211" s="187">
        <f ca="1">IFERROR(__xludf.DUMMYFUNCTION("IMPORTRANGE(""https://docs.google.com/spreadsheets/d/11923uPwbBZFjjGgGUA6NLw09EwE0CqkOc4q9oUmW1yo/edit?usp=sharing"",""แพร่!J136"")"),0)</f>
        <v>0</v>
      </c>
      <c r="K211" s="223"/>
      <c r="L211" s="168"/>
      <c r="M211" s="168"/>
      <c r="N211" s="168"/>
      <c r="O211" s="181"/>
      <c r="P211" s="181"/>
    </row>
    <row r="212" spans="1:16" ht="21.75" customHeight="1" x14ac:dyDescent="0.3">
      <c r="A212" s="175"/>
      <c r="B212" s="176"/>
      <c r="C212" s="176"/>
      <c r="D212" s="193"/>
      <c r="E212" s="194" t="s">
        <v>48</v>
      </c>
      <c r="F212" s="195"/>
      <c r="G212" s="196"/>
      <c r="H212" s="186"/>
      <c r="I212" s="187"/>
      <c r="J212" s="187">
        <f ca="1">IFERROR(__xludf.DUMMYFUNCTION("IMPORTRANGE(""https://docs.google.com/spreadsheets/d/11923uPwbBZFjjGgGUA6NLw09EwE0CqkOc4q9oUmW1yo/edit?usp=sharing"",""แพร่!J137"")"),0)</f>
        <v>0</v>
      </c>
      <c r="K212" s="223"/>
      <c r="L212" s="168"/>
      <c r="M212" s="168"/>
      <c r="N212" s="168"/>
      <c r="O212" s="181"/>
      <c r="P212" s="181"/>
    </row>
    <row r="213" spans="1:16" ht="21.75" customHeight="1" x14ac:dyDescent="0.3">
      <c r="A213" s="175"/>
      <c r="B213" s="176"/>
      <c r="C213" s="176"/>
      <c r="D213" s="193"/>
      <c r="E213" s="198"/>
      <c r="F213" s="195" t="s">
        <v>95</v>
      </c>
      <c r="G213" s="196"/>
      <c r="H213" s="180" t="s">
        <v>37</v>
      </c>
      <c r="I213" s="187">
        <f ca="1">IFERROR(__xludf.DUMMYFUNCTION("IMPORTRANGE(""https://docs.google.com/spreadsheets/d/11923uPwbBZFjjGgGUA6NLw09EwE0CqkOc4q9oUmW1yo/edit?usp=sharing"",""แพร่!I138"")"),0)</f>
        <v>0</v>
      </c>
      <c r="J213" s="203">
        <f ca="1">IFERROR(__xludf.DUMMYFUNCTION("IMPORTRANGE(""https://docs.google.com/spreadsheets/d/11923uPwbBZFjjGgGUA6NLw09EwE0CqkOc4q9oUmW1yo/edit?usp=sharing"",""แพร่!J138"")"),0)</f>
        <v>0</v>
      </c>
      <c r="K213" s="223">
        <f ca="1">IF(I213&gt;0,J213*100/I213,0)</f>
        <v>0</v>
      </c>
      <c r="L213" s="168"/>
      <c r="M213" s="168"/>
      <c r="N213" s="167"/>
      <c r="O213" s="168"/>
      <c r="P213" s="168"/>
    </row>
    <row r="214" spans="1:16" ht="21.75" customHeight="1" x14ac:dyDescent="0.3">
      <c r="A214" s="175"/>
      <c r="B214" s="176"/>
      <c r="C214" s="176"/>
      <c r="D214" s="193"/>
      <c r="E214" s="198"/>
      <c r="F214" s="194" t="s">
        <v>53</v>
      </c>
      <c r="G214" s="196"/>
      <c r="H214" s="180"/>
      <c r="I214" s="187"/>
      <c r="J214" s="187"/>
      <c r="K214" s="223"/>
      <c r="L214" s="168"/>
      <c r="M214" s="168"/>
      <c r="N214" s="168"/>
      <c r="O214" s="181"/>
      <c r="P214" s="181"/>
    </row>
    <row r="215" spans="1:16" ht="21.75" customHeight="1" x14ac:dyDescent="0.3">
      <c r="A215" s="175"/>
      <c r="B215" s="176"/>
      <c r="C215" s="176"/>
      <c r="D215" s="193"/>
      <c r="E215" s="198"/>
      <c r="F215" s="195"/>
      <c r="G215" s="225" t="s">
        <v>96</v>
      </c>
      <c r="H215" s="180" t="s">
        <v>37</v>
      </c>
      <c r="I215" s="187">
        <f ca="1">IFERROR(__xludf.DUMMYFUNCTION("IMPORTRANGE(""https://docs.google.com/spreadsheets/d/11923uPwbBZFjjGgGUA6NLw09EwE0CqkOc4q9oUmW1yo/edit?usp=sharing"",""แพร่!I140"")"),0)</f>
        <v>0</v>
      </c>
      <c r="J215" s="203">
        <f ca="1">IFERROR(__xludf.DUMMYFUNCTION("IMPORTRANGE(""https://docs.google.com/spreadsheets/d/11923uPwbBZFjjGgGUA6NLw09EwE0CqkOc4q9oUmW1yo/edit?usp=sharing"",""แพร่!J140"")"),0)</f>
        <v>0</v>
      </c>
      <c r="K215" s="223">
        <f t="shared" ref="K215:K216" ca="1" si="71">IF(I215&gt;0,J215*100/I215,0)</f>
        <v>0</v>
      </c>
      <c r="L215" s="168"/>
      <c r="M215" s="168"/>
      <c r="N215" s="167"/>
      <c r="O215" s="168"/>
      <c r="P215" s="168"/>
    </row>
    <row r="216" spans="1:16" ht="21.75" customHeight="1" x14ac:dyDescent="0.3">
      <c r="A216" s="175"/>
      <c r="B216" s="176"/>
      <c r="C216" s="176"/>
      <c r="D216" s="193"/>
      <c r="E216" s="198"/>
      <c r="F216" s="195"/>
      <c r="G216" s="225" t="s">
        <v>97</v>
      </c>
      <c r="H216" s="180" t="s">
        <v>59</v>
      </c>
      <c r="I216" s="187">
        <f ca="1">IFERROR(__xludf.DUMMYFUNCTION("IMPORTRANGE(""https://docs.google.com/spreadsheets/d/11923uPwbBZFjjGgGUA6NLw09EwE0CqkOc4q9oUmW1yo/edit?usp=sharing"",""แพร่!I141"")"),0)</f>
        <v>0</v>
      </c>
      <c r="J216" s="203">
        <f ca="1">IFERROR(__xludf.DUMMYFUNCTION("IMPORTRANGE(""https://docs.google.com/spreadsheets/d/11923uPwbBZFjjGgGUA6NLw09EwE0CqkOc4q9oUmW1yo/edit?usp=sharing"",""แพร่!J141"")"),0)</f>
        <v>0</v>
      </c>
      <c r="K216" s="223">
        <f t="shared" ca="1" si="71"/>
        <v>0</v>
      </c>
      <c r="L216" s="168"/>
      <c r="M216" s="168"/>
      <c r="N216" s="167"/>
      <c r="O216" s="168"/>
      <c r="P216" s="168"/>
    </row>
    <row r="217" spans="1:16" ht="21.75" customHeight="1" x14ac:dyDescent="0.3">
      <c r="A217" s="175"/>
      <c r="B217" s="176"/>
      <c r="C217" s="176"/>
      <c r="D217" s="193"/>
      <c r="E217" s="194" t="s">
        <v>54</v>
      </c>
      <c r="F217" s="195"/>
      <c r="G217" s="196"/>
      <c r="H217" s="186"/>
      <c r="I217" s="187"/>
      <c r="J217" s="187">
        <f ca="1">IFERROR(__xludf.DUMMYFUNCTION("IMPORTRANGE(""https://docs.google.com/spreadsheets/d/11923uPwbBZFjjGgGUA6NLw09EwE0CqkOc4q9oUmW1yo/edit?usp=sharing"",""แพร่!J142"")"),0)</f>
        <v>0</v>
      </c>
      <c r="K217" s="223"/>
      <c r="L217" s="168"/>
      <c r="M217" s="168"/>
      <c r="N217" s="168"/>
      <c r="O217" s="181"/>
      <c r="P217" s="181"/>
    </row>
    <row r="218" spans="1:16" ht="21.75" customHeight="1" x14ac:dyDescent="0.3">
      <c r="A218" s="233"/>
      <c r="B218" s="234"/>
      <c r="C218" s="234"/>
      <c r="D218" s="235">
        <v>3</v>
      </c>
      <c r="E218" s="236" t="s">
        <v>55</v>
      </c>
      <c r="F218" s="237"/>
      <c r="G218" s="238"/>
      <c r="H218" s="239"/>
      <c r="I218" s="240"/>
      <c r="J218" s="241">
        <f ca="1">IFERROR(__xludf.DUMMYFUNCTION("IMPORTRANGE(""https://docs.google.com/spreadsheets/d/11923uPwbBZFjjGgGUA6NLw09EwE0CqkOc4q9oUmW1yo/edit?usp=sharing"",""แพร่!J143"")"),0)</f>
        <v>0</v>
      </c>
      <c r="K218" s="242"/>
      <c r="L218" s="243"/>
      <c r="M218" s="243"/>
      <c r="N218" s="243"/>
      <c r="O218" s="244"/>
      <c r="P218" s="244"/>
    </row>
    <row r="219" spans="1:16" ht="21.75" customHeight="1" x14ac:dyDescent="0.3">
      <c r="A219" s="261"/>
      <c r="B219" s="262" t="s">
        <v>98</v>
      </c>
      <c r="C219" s="263"/>
      <c r="D219" s="262"/>
      <c r="E219" s="262"/>
      <c r="F219" s="262"/>
      <c r="G219" s="264"/>
      <c r="H219" s="265" t="s">
        <v>37</v>
      </c>
      <c r="I219" s="266">
        <f ca="1">IFERROR(__xludf.DUMMYFUNCTION("IMPORTRANGE(""https://docs.google.com/spreadsheets/d/11923uPwbBZFjjGgGUA6NLw09EwE0CqkOc4q9oUmW1yo/edit?usp=sharing"",""แพร่!I144"")"),15)</f>
        <v>15</v>
      </c>
      <c r="J219" s="266">
        <f ca="1">IFERROR(__xludf.DUMMYFUNCTION("IMPORTRANGE(""https://docs.google.com/spreadsheets/d/11923uPwbBZFjjGgGUA6NLw09EwE0CqkOc4q9oUmW1yo/edit?usp=sharing"",""แพร่!J144"")"),15)</f>
        <v>15</v>
      </c>
      <c r="K219" s="267">
        <f ca="1">IF(I219&gt;0,J219*100/I219,0)</f>
        <v>100</v>
      </c>
      <c r="L219" s="268"/>
      <c r="M219" s="268"/>
      <c r="N219" s="268"/>
      <c r="O219" s="267"/>
      <c r="P219" s="267"/>
    </row>
    <row r="220" spans="1:16" ht="21.75" customHeight="1" x14ac:dyDescent="0.45">
      <c r="A220" s="145"/>
      <c r="B220" s="146"/>
      <c r="C220" s="147" t="s">
        <v>16</v>
      </c>
      <c r="D220" s="537" t="s">
        <v>17</v>
      </c>
      <c r="E220" s="528"/>
      <c r="F220" s="528"/>
      <c r="G220" s="528"/>
      <c r="H220" s="148" t="s">
        <v>12</v>
      </c>
      <c r="I220" s="162"/>
      <c r="J220" s="162"/>
      <c r="K220" s="163"/>
      <c r="L220" s="151">
        <f t="shared" ref="L220:N220" ca="1" si="72">L221+L222</f>
        <v>21125</v>
      </c>
      <c r="M220" s="151">
        <f t="shared" ca="1" si="72"/>
        <v>21125</v>
      </c>
      <c r="N220" s="151">
        <f t="shared" ca="1" si="72"/>
        <v>21125</v>
      </c>
      <c r="O220" s="150">
        <f t="shared" ref="O220:O222" ca="1" si="73">IF(L220&gt;0,N220*100/L220,0)</f>
        <v>100</v>
      </c>
      <c r="P220" s="150">
        <f t="shared" ref="P220:P222" ca="1" si="74">IF(M220&gt;0,N220*100/M220,0)</f>
        <v>100</v>
      </c>
    </row>
    <row r="221" spans="1:16" ht="21.75" customHeight="1" x14ac:dyDescent="0.45">
      <c r="A221" s="152"/>
      <c r="B221" s="32"/>
      <c r="C221" s="32"/>
      <c r="D221" s="32"/>
      <c r="E221" s="32"/>
      <c r="F221" s="32"/>
      <c r="G221" s="33" t="s">
        <v>18</v>
      </c>
      <c r="H221" s="153" t="s">
        <v>12</v>
      </c>
      <c r="I221" s="162"/>
      <c r="J221" s="162"/>
      <c r="K221" s="163"/>
      <c r="L221" s="87">
        <f t="shared" ref="L221:N221" si="75">L223+L227</f>
        <v>0</v>
      </c>
      <c r="M221" s="87">
        <f t="shared" si="75"/>
        <v>0</v>
      </c>
      <c r="N221" s="87">
        <f t="shared" si="75"/>
        <v>0</v>
      </c>
      <c r="O221" s="155">
        <f t="shared" si="73"/>
        <v>0</v>
      </c>
      <c r="P221" s="155">
        <f t="shared" si="74"/>
        <v>0</v>
      </c>
    </row>
    <row r="222" spans="1:16" ht="21.75" customHeight="1" x14ac:dyDescent="0.45">
      <c r="A222" s="152"/>
      <c r="B222" s="32"/>
      <c r="C222" s="32"/>
      <c r="D222" s="32"/>
      <c r="E222" s="32"/>
      <c r="F222" s="32"/>
      <c r="G222" s="33" t="s">
        <v>19</v>
      </c>
      <c r="H222" s="153" t="s">
        <v>12</v>
      </c>
      <c r="I222" s="162"/>
      <c r="J222" s="162"/>
      <c r="K222" s="163"/>
      <c r="L222" s="87">
        <f t="shared" ref="L222:N222" ca="1" si="76">L224+L228</f>
        <v>21125</v>
      </c>
      <c r="M222" s="87">
        <f t="shared" ca="1" si="76"/>
        <v>21125</v>
      </c>
      <c r="N222" s="87">
        <f t="shared" ca="1" si="76"/>
        <v>21125</v>
      </c>
      <c r="O222" s="155">
        <f t="shared" ca="1" si="73"/>
        <v>100</v>
      </c>
      <c r="P222" s="155">
        <f t="shared" ca="1" si="74"/>
        <v>100</v>
      </c>
    </row>
    <row r="223" spans="1:16" ht="21.75" customHeight="1" x14ac:dyDescent="0.3">
      <c r="A223" s="156"/>
      <c r="B223" s="157"/>
      <c r="C223" s="157" t="s">
        <v>16</v>
      </c>
      <c r="D223" s="158" t="s">
        <v>38</v>
      </c>
      <c r="E223" s="159"/>
      <c r="F223" s="159"/>
      <c r="G223" s="160" t="s">
        <v>39</v>
      </c>
      <c r="H223" s="161" t="s">
        <v>12</v>
      </c>
      <c r="I223" s="162" t="s">
        <v>40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3">
      <c r="A224" s="156"/>
      <c r="B224" s="157"/>
      <c r="C224" s="157"/>
      <c r="D224" s="166"/>
      <c r="E224" s="159"/>
      <c r="F224" s="159" t="s">
        <v>40</v>
      </c>
      <c r="G224" s="160" t="s">
        <v>41</v>
      </c>
      <c r="H224" s="161" t="s">
        <v>12</v>
      </c>
      <c r="I224" s="162"/>
      <c r="J224" s="162"/>
      <c r="K224" s="163"/>
      <c r="L224" s="167">
        <f ca="1">L225+L226</f>
        <v>21125</v>
      </c>
      <c r="M224" s="167">
        <f ca="1">IFERROR(__xludf.DUMMYFUNCTION("IMPORTRANGE(""https://docs.google.com/spreadsheets/d/1Yj_ptqi66GCucihVvJfMjLAmec39IyEx_6qawtMGysU/edit?usp=sharing"",""สบก!BS30"")"),21125)</f>
        <v>21125</v>
      </c>
      <c r="N224" s="168">
        <f ca="1">IFERROR(__xludf.DUMMYFUNCTION("IMPORTRANGE(""https://docs.google.com/spreadsheets/d/1Yj_ptqi66GCucihVvJfMjLAmec39IyEx_6qawtMGysU/edit?usp=sharing"",""สบก!BT30"")"),21125)</f>
        <v>21125</v>
      </c>
      <c r="O224" s="168">
        <f ca="1">IF(L224&gt;0,N224*100/L224,0)</f>
        <v>100</v>
      </c>
      <c r="P224" s="168">
        <f ca="1">IF(M224&gt;0,N224*100/M224,0)</f>
        <v>100</v>
      </c>
    </row>
    <row r="225" spans="1:16" ht="21.75" customHeight="1" x14ac:dyDescent="0.3">
      <c r="A225" s="156"/>
      <c r="B225" s="157"/>
      <c r="C225" s="157"/>
      <c r="D225" s="166"/>
      <c r="E225" s="159"/>
      <c r="F225" s="159"/>
      <c r="G225" s="169" t="s">
        <v>42</v>
      </c>
      <c r="H225" s="161" t="s">
        <v>12</v>
      </c>
      <c r="I225" s="162"/>
      <c r="J225" s="162"/>
      <c r="K225" s="163"/>
      <c r="L225" s="167">
        <f ca="1">IFERROR(__xludf.DUMMYFUNCTION("IMPORTRANGE(""https://docs.google.com/spreadsheets/d/1Yj_ptqi66GCucihVvJfMjLAmec39IyEx_6qawtMGysU/edit?usp=sharing"",""สบก!BO30"")"),0)</f>
        <v>0</v>
      </c>
      <c r="M225" s="167"/>
      <c r="N225" s="167"/>
      <c r="O225" s="168"/>
      <c r="P225" s="168"/>
    </row>
    <row r="226" spans="1:16" ht="21.75" customHeight="1" x14ac:dyDescent="0.3">
      <c r="A226" s="156"/>
      <c r="B226" s="157"/>
      <c r="C226" s="157"/>
      <c r="D226" s="166"/>
      <c r="E226" s="159"/>
      <c r="F226" s="159"/>
      <c r="G226" s="169" t="s">
        <v>43</v>
      </c>
      <c r="H226" s="161" t="s">
        <v>12</v>
      </c>
      <c r="I226" s="162"/>
      <c r="J226" s="162"/>
      <c r="K226" s="163"/>
      <c r="L226" s="167">
        <f ca="1">IFERROR(__xludf.DUMMYFUNCTION("IMPORTRANGE(""https://docs.google.com/spreadsheets/d/1Yj_ptqi66GCucihVvJfMjLAmec39IyEx_6qawtMGysU/edit?usp=sharing"",""สบก!BP30"")"),21125)</f>
        <v>21125</v>
      </c>
      <c r="M226" s="167"/>
      <c r="N226" s="167"/>
      <c r="O226" s="168"/>
      <c r="P226" s="168"/>
    </row>
    <row r="227" spans="1:16" ht="21.75" customHeight="1" x14ac:dyDescent="0.45">
      <c r="A227" s="170"/>
      <c r="B227" s="80"/>
      <c r="C227" s="81" t="s">
        <v>16</v>
      </c>
      <c r="D227" s="534" t="s">
        <v>23</v>
      </c>
      <c r="E227" s="530"/>
      <c r="F227" s="88"/>
      <c r="G227" s="82" t="s">
        <v>18</v>
      </c>
      <c r="H227" s="171" t="s">
        <v>12</v>
      </c>
      <c r="I227" s="200"/>
      <c r="J227" s="200"/>
      <c r="K227" s="288"/>
      <c r="L227" s="41">
        <v>0</v>
      </c>
      <c r="M227" s="41"/>
      <c r="N227" s="41"/>
      <c r="O227" s="41"/>
      <c r="P227" s="41"/>
    </row>
    <row r="228" spans="1:16" ht="21.75" customHeight="1" x14ac:dyDescent="0.45">
      <c r="A228" s="172"/>
      <c r="B228" s="91"/>
      <c r="C228" s="91"/>
      <c r="D228" s="173"/>
      <c r="E228" s="92"/>
      <c r="F228" s="92"/>
      <c r="G228" s="93" t="s">
        <v>19</v>
      </c>
      <c r="H228" s="174" t="s">
        <v>12</v>
      </c>
      <c r="I228" s="200"/>
      <c r="J228" s="200"/>
      <c r="K228" s="288"/>
      <c r="L228" s="49">
        <f ca="1">IFERROR(__xludf.DUMMYFUNCTION("IMPORTRANGE(""https://docs.google.com/spreadsheets/d/1Yj_ptqi66GCucihVvJfMjLAmec39IyEx_6qawtMGysU/edit?usp=sharing"",""สบก!BQ30"")"),0)</f>
        <v>0</v>
      </c>
      <c r="M228" s="49"/>
      <c r="N228" s="49">
        <f ca="1">IFERROR(__xludf.DUMMYFUNCTION("IMPORTRANGE(""https://docs.google.com/spreadsheets/d/1Yj_ptqi66GCucihVvJfMjLAmec39IyEx_6qawtMGysU/edit?usp=sharing"",""สบก!BU30"")"),0)</f>
        <v>0</v>
      </c>
      <c r="O228" s="49">
        <f ca="1">IF(L228&gt;0,N228*100/L228,0)</f>
        <v>0</v>
      </c>
      <c r="P228" s="49"/>
    </row>
    <row r="229" spans="1:16" ht="21.75" customHeight="1" x14ac:dyDescent="0.3">
      <c r="A229" s="175"/>
      <c r="B229" s="289"/>
      <c r="C229" s="263" t="s">
        <v>99</v>
      </c>
      <c r="D229" s="262"/>
      <c r="E229" s="262"/>
      <c r="F229" s="262"/>
      <c r="G229" s="264"/>
      <c r="H229" s="265" t="s">
        <v>37</v>
      </c>
      <c r="I229" s="266">
        <f ca="1">IFERROR(__xludf.DUMMYFUNCTION("IMPORTRANGE(""https://docs.google.com/spreadsheets/d/11923uPwbBZFjjGgGUA6NLw09EwE0CqkOc4q9oUmW1yo/edit?usp=sharing"",""แพร่!I149"")"),15)</f>
        <v>15</v>
      </c>
      <c r="J229" s="266">
        <f ca="1">IFERROR(__xludf.DUMMYFUNCTION("IMPORTRANGE(""https://docs.google.com/spreadsheets/d/11923uPwbBZFjjGgGUA6NLw09EwE0CqkOc4q9oUmW1yo/edit?usp=sharing"",""แพร่!J149"")"),15)</f>
        <v>15</v>
      </c>
      <c r="K229" s="267">
        <f ca="1">IF(I229&gt;0,J229*100/I229,0)</f>
        <v>100</v>
      </c>
      <c r="L229" s="290"/>
      <c r="M229" s="290"/>
      <c r="N229" s="290"/>
      <c r="O229" s="290"/>
      <c r="P229" s="290"/>
    </row>
    <row r="230" spans="1:16" ht="21.75" customHeight="1" x14ac:dyDescent="0.3">
      <c r="A230" s="175"/>
      <c r="B230" s="176"/>
      <c r="C230" s="157" t="s">
        <v>16</v>
      </c>
      <c r="D230" s="177" t="s">
        <v>44</v>
      </c>
      <c r="E230" s="178"/>
      <c r="F230" s="178"/>
      <c r="G230" s="179"/>
      <c r="H230" s="180"/>
      <c r="I230" s="162"/>
      <c r="J230" s="162"/>
      <c r="K230" s="163"/>
      <c r="L230" s="181"/>
      <c r="M230" s="181"/>
      <c r="N230" s="181"/>
      <c r="O230" s="181"/>
      <c r="P230" s="181"/>
    </row>
    <row r="231" spans="1:16" ht="21.75" customHeight="1" x14ac:dyDescent="0.3">
      <c r="A231" s="175"/>
      <c r="B231" s="176"/>
      <c r="C231" s="176"/>
      <c r="D231" s="182">
        <v>1</v>
      </c>
      <c r="E231" s="183" t="s">
        <v>45</v>
      </c>
      <c r="F231" s="184"/>
      <c r="G231" s="185"/>
      <c r="H231" s="186"/>
      <c r="I231" s="187"/>
      <c r="J231" s="197">
        <f ca="1">IFERROR(__xludf.DUMMYFUNCTION("IMPORTRANGE(""https://docs.google.com/spreadsheets/d/11923uPwbBZFjjGgGUA6NLw09EwE0CqkOc4q9oUmW1yo/edit?usp=sharing"",""แพร่!J151"")"),0)</f>
        <v>0</v>
      </c>
      <c r="K231" s="163"/>
      <c r="L231" s="181"/>
      <c r="M231" s="181"/>
      <c r="N231" s="181"/>
      <c r="O231" s="181"/>
      <c r="P231" s="181"/>
    </row>
    <row r="232" spans="1:16" ht="21.75" customHeight="1" x14ac:dyDescent="0.3">
      <c r="A232" s="175"/>
      <c r="B232" s="176"/>
      <c r="C232" s="176"/>
      <c r="D232" s="189">
        <v>2</v>
      </c>
      <c r="E232" s="190" t="s">
        <v>46</v>
      </c>
      <c r="F232" s="191"/>
      <c r="G232" s="192"/>
      <c r="H232" s="186"/>
      <c r="I232" s="187"/>
      <c r="J232" s="188">
        <f ca="1">IFERROR(__xludf.DUMMYFUNCTION("IMPORTRANGE(""https://docs.google.com/spreadsheets/d/11923uPwbBZFjjGgGUA6NLw09EwE0CqkOc4q9oUmW1yo/edit?usp=sharing"",""แพร่!J152"")"),1)</f>
        <v>1</v>
      </c>
      <c r="K232" s="163"/>
      <c r="L232" s="181" t="s">
        <v>40</v>
      </c>
      <c r="M232" s="181"/>
      <c r="N232" s="181" t="s">
        <v>40</v>
      </c>
      <c r="O232" s="181"/>
      <c r="P232" s="181"/>
    </row>
    <row r="233" spans="1:16" ht="21.75" customHeight="1" x14ac:dyDescent="0.3">
      <c r="A233" s="175"/>
      <c r="B233" s="176"/>
      <c r="C233" s="176"/>
      <c r="D233" s="193"/>
      <c r="E233" s="194" t="s">
        <v>47</v>
      </c>
      <c r="F233" s="195"/>
      <c r="G233" s="196"/>
      <c r="H233" s="186"/>
      <c r="I233" s="187"/>
      <c r="J233" s="188">
        <f ca="1">IFERROR(__xludf.DUMMYFUNCTION("IMPORTRANGE(""https://docs.google.com/spreadsheets/d/11923uPwbBZFjjGgGUA6NLw09EwE0CqkOc4q9oUmW1yo/edit?usp=sharing"",""แพร่!J153"")"),1)</f>
        <v>1</v>
      </c>
      <c r="K233" s="163"/>
      <c r="L233" s="181"/>
      <c r="M233" s="181"/>
      <c r="N233" s="181"/>
      <c r="O233" s="181"/>
      <c r="P233" s="181"/>
    </row>
    <row r="234" spans="1:16" ht="21.75" customHeight="1" x14ac:dyDescent="0.3">
      <c r="A234" s="175"/>
      <c r="B234" s="176"/>
      <c r="C234" s="176"/>
      <c r="D234" s="193"/>
      <c r="E234" s="194" t="s">
        <v>48</v>
      </c>
      <c r="F234" s="195"/>
      <c r="G234" s="196"/>
      <c r="H234" s="186"/>
      <c r="I234" s="187"/>
      <c r="J234" s="197">
        <f ca="1">IFERROR(__xludf.DUMMYFUNCTION("IMPORTRANGE(""https://docs.google.com/spreadsheets/d/11923uPwbBZFjjGgGUA6NLw09EwE0CqkOc4q9oUmW1yo/edit?usp=sharing"",""แพร่!J154"")"),1)</f>
        <v>1</v>
      </c>
      <c r="K234" s="163"/>
      <c r="L234" s="181"/>
      <c r="M234" s="181"/>
      <c r="N234" s="181"/>
      <c r="O234" s="181"/>
      <c r="P234" s="181"/>
    </row>
    <row r="235" spans="1:16" ht="21.75" customHeight="1" x14ac:dyDescent="0.3">
      <c r="A235" s="175"/>
      <c r="B235" s="176"/>
      <c r="C235" s="176"/>
      <c r="D235" s="193"/>
      <c r="E235" s="198"/>
      <c r="F235" s="195"/>
      <c r="G235" s="291" t="s">
        <v>70</v>
      </c>
      <c r="H235" s="186" t="s">
        <v>37</v>
      </c>
      <c r="I235" s="187">
        <f ca="1">IFERROR(__xludf.DUMMYFUNCTION("IMPORTRANGE(""https://docs.google.com/spreadsheets/d/11923uPwbBZFjjGgGUA6NLw09EwE0CqkOc4q9oUmW1yo/edit?usp=sharing"",""แพร่!I155"")"),15)</f>
        <v>15</v>
      </c>
      <c r="J235" s="188">
        <f ca="1">IFERROR(__xludf.DUMMYFUNCTION("IMPORTRANGE(""https://docs.google.com/spreadsheets/d/11923uPwbBZFjjGgGUA6NLw09EwE0CqkOc4q9oUmW1yo/edit?usp=sharing"",""แพร่!J155"")"),15)</f>
        <v>15</v>
      </c>
      <c r="K235" s="163">
        <f ca="1">IF(I235&gt;0,J235*100/I235,0)</f>
        <v>100</v>
      </c>
      <c r="L235" s="181"/>
      <c r="M235" s="181"/>
      <c r="N235" s="181"/>
      <c r="O235" s="181"/>
      <c r="P235" s="181"/>
    </row>
    <row r="236" spans="1:16" ht="21.75" customHeight="1" x14ac:dyDescent="0.3">
      <c r="A236" s="175"/>
      <c r="B236" s="176"/>
      <c r="C236" s="176"/>
      <c r="D236" s="193"/>
      <c r="E236" s="194" t="s">
        <v>54</v>
      </c>
      <c r="F236" s="195"/>
      <c r="G236" s="196"/>
      <c r="H236" s="186"/>
      <c r="I236" s="187"/>
      <c r="J236" s="197">
        <f ca="1">IFERROR(__xludf.DUMMYFUNCTION("IMPORTRANGE(""https://docs.google.com/spreadsheets/d/11923uPwbBZFjjGgGUA6NLw09EwE0CqkOc4q9oUmW1yo/edit?usp=sharing"",""แพร่!J156"")"),0)</f>
        <v>0</v>
      </c>
      <c r="K236" s="163"/>
      <c r="L236" s="181"/>
      <c r="M236" s="181"/>
      <c r="N236" s="181"/>
      <c r="O236" s="181"/>
      <c r="P236" s="181"/>
    </row>
    <row r="237" spans="1:16" ht="21.75" customHeight="1" x14ac:dyDescent="0.3">
      <c r="A237" s="175"/>
      <c r="B237" s="176"/>
      <c r="C237" s="176"/>
      <c r="D237" s="205">
        <v>3</v>
      </c>
      <c r="E237" s="206" t="s">
        <v>55</v>
      </c>
      <c r="F237" s="207"/>
      <c r="G237" s="208"/>
      <c r="H237" s="186"/>
      <c r="I237" s="187"/>
      <c r="J237" s="209">
        <f ca="1">IFERROR(__xludf.DUMMYFUNCTION("IMPORTRANGE(""https://docs.google.com/spreadsheets/d/11923uPwbBZFjjGgGUA6NLw09EwE0CqkOc4q9oUmW1yo/edit?usp=sharing"",""แพร่!J157"")"),0)</f>
        <v>0</v>
      </c>
      <c r="K237" s="163"/>
      <c r="L237" s="181"/>
      <c r="M237" s="181"/>
      <c r="N237" s="181"/>
      <c r="O237" s="181"/>
      <c r="P237" s="181"/>
    </row>
    <row r="238" spans="1:16" ht="21.75" customHeight="1" x14ac:dyDescent="0.3">
      <c r="A238" s="175"/>
      <c r="B238" s="176"/>
      <c r="C238" s="263" t="s">
        <v>100</v>
      </c>
      <c r="D238" s="292"/>
      <c r="E238" s="262"/>
      <c r="F238" s="262"/>
      <c r="G238" s="264"/>
      <c r="H238" s="265" t="s">
        <v>37</v>
      </c>
      <c r="I238" s="266">
        <f ca="1">IFERROR(__xludf.DUMMYFUNCTION("IMPORTRANGE(""https://docs.google.com/spreadsheets/d/11923uPwbBZFjjGgGUA6NLw09EwE0CqkOc4q9oUmW1yo/edit?usp=sharing"",""แพร่!I158"")"),0)</f>
        <v>0</v>
      </c>
      <c r="J238" s="266">
        <f ca="1">IFERROR(__xludf.DUMMYFUNCTION("IMPORTRANGE(""https://docs.google.com/spreadsheets/d/11923uPwbBZFjjGgGUA6NLw09EwE0CqkOc4q9oUmW1yo/edit?usp=sharing"",""แพร่!J158"")"),0)</f>
        <v>0</v>
      </c>
      <c r="K238" s="267">
        <f ca="1">IF(I238&gt;0,J238*100/I238,0)</f>
        <v>0</v>
      </c>
      <c r="L238" s="181"/>
      <c r="M238" s="181"/>
      <c r="N238" s="181"/>
      <c r="O238" s="181"/>
      <c r="P238" s="181"/>
    </row>
    <row r="239" spans="1:16" ht="21.75" customHeight="1" x14ac:dyDescent="0.3">
      <c r="A239" s="175"/>
      <c r="B239" s="176"/>
      <c r="C239" s="157" t="s">
        <v>16</v>
      </c>
      <c r="D239" s="177" t="s">
        <v>44</v>
      </c>
      <c r="E239" s="178"/>
      <c r="F239" s="178"/>
      <c r="G239" s="179"/>
      <c r="H239" s="180"/>
      <c r="I239" s="162"/>
      <c r="J239" s="162"/>
      <c r="K239" s="163"/>
      <c r="L239" s="181"/>
      <c r="M239" s="181"/>
      <c r="N239" s="181"/>
      <c r="O239" s="181"/>
      <c r="P239" s="181"/>
    </row>
    <row r="240" spans="1:16" ht="21.75" customHeight="1" x14ac:dyDescent="0.3">
      <c r="A240" s="175"/>
      <c r="B240" s="176"/>
      <c r="C240" s="176"/>
      <c r="D240" s="182">
        <v>1</v>
      </c>
      <c r="E240" s="183" t="s">
        <v>45</v>
      </c>
      <c r="F240" s="184"/>
      <c r="G240" s="185"/>
      <c r="H240" s="186"/>
      <c r="I240" s="187"/>
      <c r="J240" s="187" t="str">
        <f ca="1">IFERROR(__xludf.DUMMYFUNCTION("IMPORTRANGE(""https://docs.google.com/spreadsheets/d/11923uPwbBZFjjGgGUA6NLw09EwE0CqkOc4q9oUmW1yo/edit?usp=sharing"",""แพร่!J159"")"),"")</f>
        <v/>
      </c>
      <c r="K240" s="163"/>
      <c r="L240" s="181"/>
      <c r="M240" s="181"/>
      <c r="N240" s="181"/>
      <c r="O240" s="181"/>
      <c r="P240" s="181"/>
    </row>
    <row r="241" spans="1:16" ht="21.75" customHeight="1" x14ac:dyDescent="0.3">
      <c r="A241" s="175"/>
      <c r="B241" s="176"/>
      <c r="C241" s="176"/>
      <c r="D241" s="189">
        <v>2</v>
      </c>
      <c r="E241" s="190" t="s">
        <v>46</v>
      </c>
      <c r="F241" s="191"/>
      <c r="G241" s="192"/>
      <c r="H241" s="186"/>
      <c r="I241" s="187"/>
      <c r="J241" s="187">
        <f ca="1">IFERROR(__xludf.DUMMYFUNCTION("IMPORTRANGE(""https://docs.google.com/spreadsheets/d/11923uPwbBZFjjGgGUA6NLw09EwE0CqkOc4q9oUmW1yo/edit?usp=sharing"",""แพร่!J161"")"),0)</f>
        <v>0</v>
      </c>
      <c r="K241" s="163"/>
      <c r="L241" s="181" t="s">
        <v>40</v>
      </c>
      <c r="M241" s="181"/>
      <c r="N241" s="181" t="s">
        <v>40</v>
      </c>
      <c r="O241" s="181"/>
      <c r="P241" s="181"/>
    </row>
    <row r="242" spans="1:16" ht="21.75" customHeight="1" x14ac:dyDescent="0.3">
      <c r="A242" s="175"/>
      <c r="B242" s="176"/>
      <c r="C242" s="176"/>
      <c r="D242" s="193"/>
      <c r="E242" s="194" t="s">
        <v>47</v>
      </c>
      <c r="F242" s="195"/>
      <c r="G242" s="196"/>
      <c r="H242" s="186"/>
      <c r="I242" s="187"/>
      <c r="J242" s="187">
        <f ca="1">IFERROR(__xludf.DUMMYFUNCTION("IMPORTRANGE(""https://docs.google.com/spreadsheets/d/11923uPwbBZFjjGgGUA6NLw09EwE0CqkOc4q9oUmW1yo/edit?usp=sharing"",""แพร่!J162"")"),0)</f>
        <v>0</v>
      </c>
      <c r="K242" s="163"/>
      <c r="L242" s="181"/>
      <c r="M242" s="181"/>
      <c r="N242" s="181"/>
      <c r="O242" s="181"/>
      <c r="P242" s="181"/>
    </row>
    <row r="243" spans="1:16" ht="21.75" customHeight="1" x14ac:dyDescent="0.3">
      <c r="A243" s="175"/>
      <c r="B243" s="176"/>
      <c r="C243" s="176"/>
      <c r="D243" s="193"/>
      <c r="E243" s="194" t="s">
        <v>48</v>
      </c>
      <c r="F243" s="195"/>
      <c r="G243" s="196"/>
      <c r="H243" s="186"/>
      <c r="I243" s="187"/>
      <c r="J243" s="187">
        <f ca="1">IFERROR(__xludf.DUMMYFUNCTION("IMPORTRANGE(""https://docs.google.com/spreadsheets/d/11923uPwbBZFjjGgGUA6NLw09EwE0CqkOc4q9oUmW1yo/edit?usp=sharing"",""แพร่!J163"")"),0)</f>
        <v>0</v>
      </c>
      <c r="K243" s="163"/>
      <c r="L243" s="181"/>
      <c r="M243" s="181"/>
      <c r="N243" s="181"/>
      <c r="O243" s="181"/>
      <c r="P243" s="181"/>
    </row>
    <row r="244" spans="1:16" ht="21.75" customHeight="1" x14ac:dyDescent="0.3">
      <c r="A244" s="175"/>
      <c r="B244" s="176"/>
      <c r="C244" s="176"/>
      <c r="D244" s="193"/>
      <c r="E244" s="195"/>
      <c r="F244" s="194" t="s">
        <v>101</v>
      </c>
      <c r="G244" s="195"/>
      <c r="H244" s="186" t="s">
        <v>37</v>
      </c>
      <c r="I244" s="203">
        <f ca="1">IFERROR(__xludf.DUMMYFUNCTION("IMPORTRANGE(""https://docs.google.com/spreadsheets/d/11923uPwbBZFjjGgGUA6NLw09EwE0CqkOc4q9oUmW1yo/edit?usp=sharing"",""แพร่!I164"")"),0)</f>
        <v>0</v>
      </c>
      <c r="J244" s="187">
        <f ca="1">IFERROR(__xludf.DUMMYFUNCTION("IMPORTRANGE(""https://docs.google.com/spreadsheets/d/11923uPwbBZFjjGgGUA6NLw09EwE0CqkOc4q9oUmW1yo/edit?usp=sharing"",""แพร่!J164"")"),0)</f>
        <v>0</v>
      </c>
      <c r="K244" s="163">
        <f ca="1">IF(I244&gt;0,J244*100/I244,0)</f>
        <v>0</v>
      </c>
      <c r="L244" s="181"/>
      <c r="M244" s="181"/>
      <c r="N244" s="181"/>
      <c r="O244" s="181"/>
      <c r="P244" s="181"/>
    </row>
    <row r="245" spans="1:16" ht="21.75" customHeight="1" x14ac:dyDescent="0.3">
      <c r="A245" s="175"/>
      <c r="B245" s="176"/>
      <c r="C245" s="176"/>
      <c r="D245" s="193"/>
      <c r="E245" s="194" t="s">
        <v>54</v>
      </c>
      <c r="F245" s="195"/>
      <c r="G245" s="196"/>
      <c r="H245" s="186"/>
      <c r="I245" s="187"/>
      <c r="J245" s="187">
        <f ca="1">IFERROR(__xludf.DUMMYFUNCTION("IMPORTRANGE(""https://docs.google.com/spreadsheets/d/11923uPwbBZFjjGgGUA6NLw09EwE0CqkOc4q9oUmW1yo/edit?usp=sharing"",""แพร่!J165"")"),0)</f>
        <v>0</v>
      </c>
      <c r="K245" s="163"/>
      <c r="L245" s="181"/>
      <c r="M245" s="181"/>
      <c r="N245" s="181"/>
      <c r="O245" s="181"/>
      <c r="P245" s="181"/>
    </row>
    <row r="246" spans="1:16" ht="21.75" customHeight="1" x14ac:dyDescent="0.3">
      <c r="A246" s="233"/>
      <c r="B246" s="234"/>
      <c r="C246" s="234"/>
      <c r="D246" s="235">
        <v>3</v>
      </c>
      <c r="E246" s="236" t="s">
        <v>55</v>
      </c>
      <c r="F246" s="237"/>
      <c r="G246" s="238"/>
      <c r="H246" s="239"/>
      <c r="I246" s="240"/>
      <c r="J246" s="241">
        <f ca="1">IFERROR(__xludf.DUMMYFUNCTION("IMPORTRANGE(""https://docs.google.com/spreadsheets/d/11923uPwbBZFjjGgGUA6NLw09EwE0CqkOc4q9oUmW1yo/edit?usp=sharing"",""แพร่!J166"")"),0)</f>
        <v>0</v>
      </c>
      <c r="K246" s="286"/>
      <c r="L246" s="244"/>
      <c r="M246" s="244"/>
      <c r="N246" s="244"/>
      <c r="O246" s="244"/>
      <c r="P246" s="244"/>
    </row>
    <row r="247" spans="1:16" ht="21.75" customHeight="1" x14ac:dyDescent="0.3">
      <c r="A247" s="293" t="s">
        <v>102</v>
      </c>
      <c r="B247" s="294"/>
      <c r="C247" s="294"/>
      <c r="D247" s="294"/>
      <c r="E247" s="295"/>
      <c r="F247" s="295"/>
      <c r="G247" s="296"/>
      <c r="H247" s="297"/>
      <c r="I247" s="298"/>
      <c r="J247" s="298"/>
      <c r="K247" s="299"/>
      <c r="L247" s="300"/>
      <c r="M247" s="300"/>
      <c r="N247" s="300"/>
      <c r="O247" s="301"/>
      <c r="P247" s="301"/>
    </row>
    <row r="248" spans="1:16" ht="21.75" customHeight="1" x14ac:dyDescent="0.3">
      <c r="A248" s="302" t="s">
        <v>103</v>
      </c>
      <c r="B248" s="303"/>
      <c r="C248" s="303"/>
      <c r="D248" s="304"/>
      <c r="E248" s="304"/>
      <c r="F248" s="304"/>
      <c r="G248" s="305"/>
      <c r="H248" s="306"/>
      <c r="I248" s="307"/>
      <c r="J248" s="307"/>
      <c r="K248" s="308"/>
      <c r="L248" s="308"/>
      <c r="M248" s="308"/>
      <c r="N248" s="308"/>
      <c r="O248" s="309"/>
      <c r="P248" s="309"/>
    </row>
    <row r="249" spans="1:16" ht="21.75" customHeight="1" x14ac:dyDescent="0.3">
      <c r="A249" s="310"/>
      <c r="B249" s="311" t="s">
        <v>104</v>
      </c>
      <c r="C249" s="311"/>
      <c r="D249" s="311"/>
      <c r="E249" s="311"/>
      <c r="F249" s="311"/>
      <c r="G249" s="312"/>
      <c r="H249" s="313" t="s">
        <v>37</v>
      </c>
      <c r="I249" s="314">
        <f ca="1">IFERROR(__xludf.DUMMYFUNCTION("IMPORTRANGE(""https://docs.google.com/spreadsheets/d/11923uPwbBZFjjGgGUA6NLw09EwE0CqkOc4q9oUmW1yo/edit?usp=sharing"",""แพร่!I169"")"),30)</f>
        <v>30</v>
      </c>
      <c r="J249" s="314">
        <f ca="1">IFERROR(__xludf.DUMMYFUNCTION("IMPORTRANGE(""https://docs.google.com/spreadsheets/d/11923uPwbBZFjjGgGUA6NLw09EwE0CqkOc4q9oUmW1yo/edit?usp=sharing"",""แพร่!J169"")"),0)</f>
        <v>0</v>
      </c>
      <c r="K249" s="315">
        <f ca="1">IF(I249&gt;0,J249*100/I249,0)</f>
        <v>0</v>
      </c>
      <c r="L249" s="316"/>
      <c r="M249" s="316"/>
      <c r="N249" s="316"/>
      <c r="O249" s="315"/>
      <c r="P249" s="315"/>
    </row>
    <row r="250" spans="1:16" ht="21.75" customHeight="1" x14ac:dyDescent="0.45">
      <c r="A250" s="145"/>
      <c r="B250" s="146"/>
      <c r="C250" s="147" t="s">
        <v>16</v>
      </c>
      <c r="D250" s="537" t="s">
        <v>17</v>
      </c>
      <c r="E250" s="528"/>
      <c r="F250" s="528"/>
      <c r="G250" s="528"/>
      <c r="H250" s="148" t="s">
        <v>12</v>
      </c>
      <c r="I250" s="162"/>
      <c r="J250" s="162"/>
      <c r="K250" s="163"/>
      <c r="L250" s="151">
        <f t="shared" ref="L250:N250" ca="1" si="77">L251+L252</f>
        <v>217000</v>
      </c>
      <c r="M250" s="151">
        <f t="shared" ca="1" si="77"/>
        <v>113000</v>
      </c>
      <c r="N250" s="151">
        <f t="shared" ca="1" si="77"/>
        <v>77300</v>
      </c>
      <c r="O250" s="150">
        <f t="shared" ref="O250:O252" ca="1" si="78">IF(L250&gt;0,N250*100/L250,0)</f>
        <v>35.622119815668199</v>
      </c>
      <c r="P250" s="150">
        <f t="shared" ref="P250:P252" ca="1" si="79">IF(M250&gt;0,N250*100/M250,0)</f>
        <v>68.407079646017692</v>
      </c>
    </row>
    <row r="251" spans="1:16" ht="21.75" customHeight="1" x14ac:dyDescent="0.45">
      <c r="A251" s="152"/>
      <c r="B251" s="32"/>
      <c r="C251" s="32"/>
      <c r="D251" s="32"/>
      <c r="E251" s="32"/>
      <c r="F251" s="32"/>
      <c r="G251" s="33" t="s">
        <v>18</v>
      </c>
      <c r="H251" s="153" t="s">
        <v>12</v>
      </c>
      <c r="I251" s="162"/>
      <c r="J251" s="162"/>
      <c r="K251" s="163"/>
      <c r="L251" s="87">
        <f t="shared" ref="L251:N251" si="80">L253+L257</f>
        <v>0</v>
      </c>
      <c r="M251" s="87">
        <f t="shared" si="80"/>
        <v>0</v>
      </c>
      <c r="N251" s="87">
        <f t="shared" si="80"/>
        <v>0</v>
      </c>
      <c r="O251" s="155">
        <f t="shared" si="78"/>
        <v>0</v>
      </c>
      <c r="P251" s="155">
        <f t="shared" si="79"/>
        <v>0</v>
      </c>
    </row>
    <row r="252" spans="1:16" ht="21.75" customHeight="1" x14ac:dyDescent="0.45">
      <c r="A252" s="152"/>
      <c r="B252" s="32"/>
      <c r="C252" s="32"/>
      <c r="D252" s="32"/>
      <c r="E252" s="32"/>
      <c r="F252" s="32"/>
      <c r="G252" s="33" t="s">
        <v>19</v>
      </c>
      <c r="H252" s="153" t="s">
        <v>12</v>
      </c>
      <c r="I252" s="162"/>
      <c r="J252" s="162"/>
      <c r="K252" s="163"/>
      <c r="L252" s="87">
        <f t="shared" ref="L252:N252" ca="1" si="81">L254+L258</f>
        <v>217000</v>
      </c>
      <c r="M252" s="87">
        <f t="shared" ca="1" si="81"/>
        <v>113000</v>
      </c>
      <c r="N252" s="87">
        <f t="shared" ca="1" si="81"/>
        <v>77300</v>
      </c>
      <c r="O252" s="155">
        <f t="shared" ca="1" si="78"/>
        <v>35.622119815668199</v>
      </c>
      <c r="P252" s="155">
        <f t="shared" ca="1" si="79"/>
        <v>68.407079646017692</v>
      </c>
    </row>
    <row r="253" spans="1:16" ht="21.75" customHeight="1" x14ac:dyDescent="0.3">
      <c r="A253" s="156"/>
      <c r="B253" s="157"/>
      <c r="C253" s="157" t="s">
        <v>16</v>
      </c>
      <c r="D253" s="158" t="s">
        <v>38</v>
      </c>
      <c r="E253" s="159"/>
      <c r="F253" s="159"/>
      <c r="G253" s="160" t="s">
        <v>39</v>
      </c>
      <c r="H253" s="161" t="s">
        <v>12</v>
      </c>
      <c r="I253" s="162" t="s">
        <v>40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3">
      <c r="A254" s="156"/>
      <c r="B254" s="157"/>
      <c r="C254" s="157"/>
      <c r="D254" s="166"/>
      <c r="E254" s="159"/>
      <c r="F254" s="159" t="s">
        <v>40</v>
      </c>
      <c r="G254" s="160" t="s">
        <v>41</v>
      </c>
      <c r="H254" s="161" t="s">
        <v>12</v>
      </c>
      <c r="I254" s="162"/>
      <c r="J254" s="162"/>
      <c r="K254" s="163"/>
      <c r="L254" s="167">
        <f ca="1">L255+L256</f>
        <v>217000</v>
      </c>
      <c r="M254" s="167">
        <f ca="1">IFERROR(__xludf.DUMMYFUNCTION("IMPORTRANGE(""https://docs.google.com/spreadsheets/d/1Yj_ptqi66GCucihVvJfMjLAmec39IyEx_6qawtMGysU/edit?usp=sharing"",""สบก!CB30"")"),113000)</f>
        <v>113000</v>
      </c>
      <c r="N254" s="168">
        <f ca="1">IFERROR(__xludf.DUMMYFUNCTION("IMPORTRANGE(""https://docs.google.com/spreadsheets/d/1Yj_ptqi66GCucihVvJfMjLAmec39IyEx_6qawtMGysU/edit?usp=sharing"",""สบก!CC30"")"),77300)</f>
        <v>77300</v>
      </c>
      <c r="O254" s="168">
        <f ca="1">IF(L254&gt;0,N254*100/L254,0)</f>
        <v>35.622119815668199</v>
      </c>
      <c r="P254" s="168">
        <f ca="1">IF(M254&gt;0,N254*100/M254,0)</f>
        <v>68.407079646017692</v>
      </c>
    </row>
    <row r="255" spans="1:16" ht="21.75" customHeight="1" x14ac:dyDescent="0.3">
      <c r="A255" s="156"/>
      <c r="B255" s="157"/>
      <c r="C255" s="157"/>
      <c r="D255" s="166"/>
      <c r="E255" s="159"/>
      <c r="F255" s="159"/>
      <c r="G255" s="169" t="s">
        <v>42</v>
      </c>
      <c r="H255" s="161" t="s">
        <v>12</v>
      </c>
      <c r="I255" s="162"/>
      <c r="J255" s="162"/>
      <c r="K255" s="163"/>
      <c r="L255" s="167">
        <f ca="1">IFERROR(__xludf.DUMMYFUNCTION("IMPORTRANGE(""https://docs.google.com/spreadsheets/d/1Yj_ptqi66GCucihVvJfMjLAmec39IyEx_6qawtMGysU/edit?usp=sharing"",""สบก!BX30"")"),0)</f>
        <v>0</v>
      </c>
      <c r="M255" s="167"/>
      <c r="N255" s="167"/>
      <c r="O255" s="168"/>
      <c r="P255" s="168"/>
    </row>
    <row r="256" spans="1:16" ht="21.75" customHeight="1" x14ac:dyDescent="0.3">
      <c r="A256" s="156"/>
      <c r="B256" s="157"/>
      <c r="C256" s="157"/>
      <c r="D256" s="166"/>
      <c r="E256" s="159"/>
      <c r="F256" s="159"/>
      <c r="G256" s="169" t="s">
        <v>43</v>
      </c>
      <c r="H256" s="161" t="s">
        <v>12</v>
      </c>
      <c r="I256" s="162"/>
      <c r="J256" s="162"/>
      <c r="K256" s="163"/>
      <c r="L256" s="167">
        <f ca="1">IFERROR(__xludf.DUMMYFUNCTION("IMPORTRANGE(""https://docs.google.com/spreadsheets/d/1Yj_ptqi66GCucihVvJfMjLAmec39IyEx_6qawtMGysU/edit?usp=sharing"",""สบก!BY30"")"),217000)</f>
        <v>217000</v>
      </c>
      <c r="M256" s="167"/>
      <c r="N256" s="167"/>
      <c r="O256" s="168"/>
      <c r="P256" s="168"/>
    </row>
    <row r="257" spans="1:16" ht="21.75" customHeight="1" x14ac:dyDescent="0.45">
      <c r="A257" s="170"/>
      <c r="B257" s="80"/>
      <c r="C257" s="81" t="s">
        <v>16</v>
      </c>
      <c r="D257" s="534" t="s">
        <v>23</v>
      </c>
      <c r="E257" s="530"/>
      <c r="F257" s="88"/>
      <c r="G257" s="82" t="s">
        <v>18</v>
      </c>
      <c r="H257" s="171" t="s">
        <v>12</v>
      </c>
      <c r="I257" s="162"/>
      <c r="J257" s="162"/>
      <c r="K257" s="163"/>
      <c r="L257" s="41">
        <v>0</v>
      </c>
      <c r="M257" s="41"/>
      <c r="N257" s="41"/>
      <c r="O257" s="41"/>
      <c r="P257" s="41"/>
    </row>
    <row r="258" spans="1:16" ht="21.75" customHeight="1" x14ac:dyDescent="0.45">
      <c r="A258" s="172"/>
      <c r="B258" s="91"/>
      <c r="C258" s="91"/>
      <c r="D258" s="173"/>
      <c r="E258" s="92"/>
      <c r="F258" s="92"/>
      <c r="G258" s="93" t="s">
        <v>19</v>
      </c>
      <c r="H258" s="174" t="s">
        <v>12</v>
      </c>
      <c r="I258" s="162"/>
      <c r="J258" s="162"/>
      <c r="K258" s="163"/>
      <c r="L258" s="49">
        <f ca="1">IFERROR(__xludf.DUMMYFUNCTION("IMPORTRANGE(""https://docs.google.com/spreadsheets/d/1Yj_ptqi66GCucihVvJfMjLAmec39IyEx_6qawtMGysU/edit?usp=sharing"",""สบก!BZ30"")"),0)</f>
        <v>0</v>
      </c>
      <c r="M258" s="49"/>
      <c r="N258" s="49">
        <f ca="1">IFERROR(__xludf.DUMMYFUNCTION("IMPORTRANGE(""https://docs.google.com/spreadsheets/d/1Yj_ptqi66GCucihVvJfMjLAmec39IyEx_6qawtMGysU/edit?usp=sharing"",""สบก!CD30"")"),0)</f>
        <v>0</v>
      </c>
      <c r="O258" s="49">
        <f ca="1">IF(L258&gt;0,N258*100/L258,0)</f>
        <v>0</v>
      </c>
      <c r="P258" s="49"/>
    </row>
    <row r="259" spans="1:16" ht="21.75" customHeight="1" x14ac:dyDescent="0.3">
      <c r="A259" s="175"/>
      <c r="B259" s="176"/>
      <c r="C259" s="157" t="s">
        <v>16</v>
      </c>
      <c r="D259" s="177" t="s">
        <v>44</v>
      </c>
      <c r="E259" s="178"/>
      <c r="F259" s="178"/>
      <c r="G259" s="179"/>
      <c r="H259" s="180"/>
      <c r="I259" s="162"/>
      <c r="J259" s="162"/>
      <c r="K259" s="163"/>
      <c r="L259" s="181"/>
      <c r="M259" s="181"/>
      <c r="N259" s="181"/>
      <c r="O259" s="181"/>
      <c r="P259" s="181"/>
    </row>
    <row r="260" spans="1:16" ht="21.75" customHeight="1" x14ac:dyDescent="0.3">
      <c r="A260" s="175"/>
      <c r="B260" s="176"/>
      <c r="C260" s="176"/>
      <c r="D260" s="182">
        <v>1</v>
      </c>
      <c r="E260" s="183" t="s">
        <v>45</v>
      </c>
      <c r="F260" s="184"/>
      <c r="G260" s="185"/>
      <c r="H260" s="186"/>
      <c r="I260" s="187"/>
      <c r="J260" s="188">
        <f ca="1">IFERROR(__xludf.DUMMYFUNCTION("IMPORTRANGE(""https://docs.google.com/spreadsheets/d/11923uPwbBZFjjGgGUA6NLw09EwE0CqkOc4q9oUmW1yo/edit?usp=sharing"",""แพร่!J175"")"),0)</f>
        <v>0</v>
      </c>
      <c r="K260" s="163"/>
      <c r="L260" s="181"/>
      <c r="M260" s="181"/>
      <c r="N260" s="181"/>
      <c r="O260" s="181"/>
      <c r="P260" s="181"/>
    </row>
    <row r="261" spans="1:16" ht="21.75" customHeight="1" x14ac:dyDescent="0.3">
      <c r="A261" s="175"/>
      <c r="B261" s="176"/>
      <c r="C261" s="176"/>
      <c r="D261" s="189">
        <v>2</v>
      </c>
      <c r="E261" s="190" t="s">
        <v>46</v>
      </c>
      <c r="F261" s="191"/>
      <c r="G261" s="192"/>
      <c r="H261" s="186"/>
      <c r="I261" s="187"/>
      <c r="J261" s="197">
        <f ca="1">IFERROR(__xludf.DUMMYFUNCTION("IMPORTRANGE(""https://docs.google.com/spreadsheets/d/11923uPwbBZFjjGgGUA6NLw09EwE0CqkOc4q9oUmW1yo/edit?usp=sharing"",""แพร่!J176"")"),1)</f>
        <v>1</v>
      </c>
      <c r="K261" s="163"/>
      <c r="L261" s="181" t="s">
        <v>40</v>
      </c>
      <c r="M261" s="181"/>
      <c r="N261" s="181" t="s">
        <v>40</v>
      </c>
      <c r="O261" s="181"/>
      <c r="P261" s="181"/>
    </row>
    <row r="262" spans="1:16" ht="21.75" customHeight="1" x14ac:dyDescent="0.3">
      <c r="A262" s="175"/>
      <c r="B262" s="176"/>
      <c r="C262" s="176"/>
      <c r="D262" s="193"/>
      <c r="E262" s="194" t="s">
        <v>47</v>
      </c>
      <c r="F262" s="195"/>
      <c r="G262" s="196"/>
      <c r="H262" s="186"/>
      <c r="I262" s="187"/>
      <c r="J262" s="197">
        <f ca="1">IFERROR(__xludf.DUMMYFUNCTION("IMPORTRANGE(""https://docs.google.com/spreadsheets/d/11923uPwbBZFjjGgGUA6NLw09EwE0CqkOc4q9oUmW1yo/edit?usp=sharing"",""แพร่!J177"")"),1)</f>
        <v>1</v>
      </c>
      <c r="K262" s="163"/>
      <c r="L262" s="181"/>
      <c r="M262" s="181"/>
      <c r="N262" s="181"/>
      <c r="O262" s="181"/>
      <c r="P262" s="181"/>
    </row>
    <row r="263" spans="1:16" ht="21.75" customHeight="1" x14ac:dyDescent="0.3">
      <c r="A263" s="175"/>
      <c r="B263" s="176"/>
      <c r="C263" s="176"/>
      <c r="D263" s="193"/>
      <c r="E263" s="194" t="s">
        <v>48</v>
      </c>
      <c r="F263" s="195"/>
      <c r="G263" s="196"/>
      <c r="H263" s="186"/>
      <c r="I263" s="187"/>
      <c r="J263" s="197">
        <f ca="1">IFERROR(__xludf.DUMMYFUNCTION("IMPORTRANGE(""https://docs.google.com/spreadsheets/d/11923uPwbBZFjjGgGUA6NLw09EwE0CqkOc4q9oUmW1yo/edit?usp=sharing"",""แพร่!J178"")"),1)</f>
        <v>1</v>
      </c>
      <c r="K263" s="163"/>
      <c r="L263" s="181"/>
      <c r="M263" s="181"/>
      <c r="N263" s="181"/>
      <c r="O263" s="181"/>
      <c r="P263" s="181"/>
    </row>
    <row r="264" spans="1:16" ht="21.75" customHeight="1" x14ac:dyDescent="0.3">
      <c r="A264" s="175"/>
      <c r="B264" s="176"/>
      <c r="C264" s="176"/>
      <c r="D264" s="193"/>
      <c r="E264" s="198"/>
      <c r="F264" s="194" t="s">
        <v>105</v>
      </c>
      <c r="G264" s="196"/>
      <c r="H264" s="180" t="s">
        <v>59</v>
      </c>
      <c r="I264" s="187">
        <f ca="1">IFERROR(__xludf.DUMMYFUNCTION("IMPORTRANGE(""https://docs.google.com/spreadsheets/d/11923uPwbBZFjjGgGUA6NLw09EwE0CqkOc4q9oUmW1yo/edit?usp=sharing"",""แพร่!I179"")"),1)</f>
        <v>1</v>
      </c>
      <c r="J264" s="188">
        <f ca="1">IFERROR(__xludf.DUMMYFUNCTION("IMPORTRANGE(""https://docs.google.com/spreadsheets/d/11923uPwbBZFjjGgGUA6NLw09EwE0CqkOc4q9oUmW1yo/edit?usp=sharing"",""แพร่!J179"")"),1)</f>
        <v>1</v>
      </c>
      <c r="K264" s="163">
        <f t="shared" ref="K264:K267" ca="1" si="82">IF(I264&gt;0,J264*100/I264,0)</f>
        <v>100</v>
      </c>
      <c r="L264" s="181"/>
      <c r="M264" s="181"/>
      <c r="N264" s="181"/>
      <c r="O264" s="181"/>
      <c r="P264" s="181"/>
    </row>
    <row r="265" spans="1:16" ht="21.75" customHeight="1" x14ac:dyDescent="0.3">
      <c r="A265" s="175"/>
      <c r="B265" s="176"/>
      <c r="C265" s="176"/>
      <c r="D265" s="193"/>
      <c r="E265" s="198"/>
      <c r="F265" s="194" t="s">
        <v>106</v>
      </c>
      <c r="G265" s="196"/>
      <c r="H265" s="180" t="s">
        <v>37</v>
      </c>
      <c r="I265" s="187">
        <f ca="1">IFERROR(__xludf.DUMMYFUNCTION("IMPORTRANGE(""https://docs.google.com/spreadsheets/d/11923uPwbBZFjjGgGUA6NLw09EwE0CqkOc4q9oUmW1yo/edit?usp=sharing"",""แพร่!I180"")"),30)</f>
        <v>30</v>
      </c>
      <c r="J265" s="188">
        <f ca="1">IFERROR(__xludf.DUMMYFUNCTION("IMPORTRANGE(""https://docs.google.com/spreadsheets/d/11923uPwbBZFjjGgGUA6NLw09EwE0CqkOc4q9oUmW1yo/edit?usp=sharing"",""แพร่!J180"")"),0)</f>
        <v>0</v>
      </c>
      <c r="K265" s="163">
        <f t="shared" ca="1" si="82"/>
        <v>0</v>
      </c>
      <c r="L265" s="181"/>
      <c r="M265" s="181"/>
      <c r="N265" s="181"/>
      <c r="O265" s="181"/>
      <c r="P265" s="181"/>
    </row>
    <row r="266" spans="1:16" ht="21.75" customHeight="1" x14ac:dyDescent="0.3">
      <c r="A266" s="175"/>
      <c r="B266" s="176"/>
      <c r="C266" s="176"/>
      <c r="D266" s="193"/>
      <c r="E266" s="198"/>
      <c r="F266" s="194" t="s">
        <v>107</v>
      </c>
      <c r="G266" s="196"/>
      <c r="H266" s="180" t="s">
        <v>37</v>
      </c>
      <c r="I266" s="187">
        <f ca="1">IFERROR(__xludf.DUMMYFUNCTION("IMPORTRANGE(""https://docs.google.com/spreadsheets/d/11923uPwbBZFjjGgGUA6NLw09EwE0CqkOc4q9oUmW1yo/edit?usp=sharing"",""แพร่!I181"")"),30)</f>
        <v>30</v>
      </c>
      <c r="J266" s="188">
        <f ca="1">IFERROR(__xludf.DUMMYFUNCTION("IMPORTRANGE(""https://docs.google.com/spreadsheets/d/11923uPwbBZFjjGgGUA6NLw09EwE0CqkOc4q9oUmW1yo/edit?usp=sharing"",""แพร่!J181"")"),0)</f>
        <v>0</v>
      </c>
      <c r="K266" s="163">
        <f t="shared" ca="1" si="82"/>
        <v>0</v>
      </c>
      <c r="L266" s="181"/>
      <c r="M266" s="181"/>
      <c r="N266" s="181"/>
      <c r="O266" s="181"/>
      <c r="P266" s="181"/>
    </row>
    <row r="267" spans="1:16" ht="21.75" customHeight="1" x14ac:dyDescent="0.3">
      <c r="A267" s="175"/>
      <c r="B267" s="176"/>
      <c r="C267" s="176"/>
      <c r="D267" s="193"/>
      <c r="E267" s="198"/>
      <c r="F267" s="194" t="s">
        <v>108</v>
      </c>
      <c r="G267" s="196"/>
      <c r="H267" s="180" t="s">
        <v>37</v>
      </c>
      <c r="I267" s="187">
        <f ca="1">IFERROR(__xludf.DUMMYFUNCTION("IMPORTRANGE(""https://docs.google.com/spreadsheets/d/11923uPwbBZFjjGgGUA6NLw09EwE0CqkOc4q9oUmW1yo/edit?usp=sharing"",""แพร่!I182"")"),1)</f>
        <v>1</v>
      </c>
      <c r="J267" s="188">
        <f ca="1">IFERROR(__xludf.DUMMYFUNCTION("IMPORTRANGE(""https://docs.google.com/spreadsheets/d/11923uPwbBZFjjGgGUA6NLw09EwE0CqkOc4q9oUmW1yo/edit?usp=sharing"",""แพร่!J182"")"),1)</f>
        <v>1</v>
      </c>
      <c r="K267" s="163">
        <f t="shared" ca="1" si="82"/>
        <v>100</v>
      </c>
      <c r="L267" s="181"/>
      <c r="M267" s="181"/>
      <c r="N267" s="181"/>
      <c r="O267" s="181"/>
      <c r="P267" s="181"/>
    </row>
    <row r="268" spans="1:16" ht="21.75" customHeight="1" x14ac:dyDescent="0.3">
      <c r="A268" s="175"/>
      <c r="B268" s="176"/>
      <c r="C268" s="176"/>
      <c r="D268" s="193"/>
      <c r="E268" s="194" t="s">
        <v>54</v>
      </c>
      <c r="F268" s="195"/>
      <c r="G268" s="196"/>
      <c r="H268" s="186"/>
      <c r="I268" s="187"/>
      <c r="J268" s="197">
        <f ca="1">IFERROR(__xludf.DUMMYFUNCTION("IMPORTRANGE(""https://docs.google.com/spreadsheets/d/11923uPwbBZFjjGgGUA6NLw09EwE0CqkOc4q9oUmW1yo/edit?usp=sharing"",""แพร่!J183"")"),0)</f>
        <v>0</v>
      </c>
      <c r="K268" s="163"/>
      <c r="L268" s="181"/>
      <c r="M268" s="181"/>
      <c r="N268" s="181"/>
      <c r="O268" s="181"/>
      <c r="P268" s="181"/>
    </row>
    <row r="269" spans="1:16" ht="21.75" customHeight="1" x14ac:dyDescent="0.3">
      <c r="A269" s="233"/>
      <c r="B269" s="234"/>
      <c r="C269" s="234"/>
      <c r="D269" s="235">
        <v>3</v>
      </c>
      <c r="E269" s="236" t="s">
        <v>55</v>
      </c>
      <c r="F269" s="237"/>
      <c r="G269" s="238"/>
      <c r="H269" s="239"/>
      <c r="I269" s="240"/>
      <c r="J269" s="285">
        <f ca="1">IFERROR(__xludf.DUMMYFUNCTION("IMPORTRANGE(""https://docs.google.com/spreadsheets/d/11923uPwbBZFjjGgGUA6NLw09EwE0CqkOc4q9oUmW1yo/edit?usp=sharing"",""แพร่!J184"")"),0)</f>
        <v>0</v>
      </c>
      <c r="K269" s="286"/>
      <c r="L269" s="244"/>
      <c r="M269" s="244"/>
      <c r="N269" s="244"/>
      <c r="O269" s="244"/>
      <c r="P269" s="244"/>
    </row>
    <row r="270" spans="1:16" ht="21.75" customHeight="1" x14ac:dyDescent="0.3">
      <c r="A270" s="310"/>
      <c r="B270" s="311" t="s">
        <v>109</v>
      </c>
      <c r="C270" s="311"/>
      <c r="D270" s="311"/>
      <c r="E270" s="311"/>
      <c r="F270" s="311"/>
      <c r="G270" s="312"/>
      <c r="H270" s="313" t="s">
        <v>37</v>
      </c>
      <c r="I270" s="314">
        <f ca="1">IFERROR(__xludf.DUMMYFUNCTION("IMPORTRANGE(""https://docs.google.com/spreadsheets/d/11923uPwbBZFjjGgGUA6NLw09EwE0CqkOc4q9oUmW1yo/edit?usp=sharing"",""แพร่!I185"")"),20)</f>
        <v>20</v>
      </c>
      <c r="J270" s="314">
        <f ca="1">IFERROR(__xludf.DUMMYFUNCTION("IMPORTRANGE(""https://docs.google.com/spreadsheets/d/11923uPwbBZFjjGgGUA6NLw09EwE0CqkOc4q9oUmW1yo/edit?usp=sharing"",""แพร่!J185"")"),20)</f>
        <v>20</v>
      </c>
      <c r="K270" s="315">
        <f ca="1">IF(I270&gt;0,J270*100/I270,0)</f>
        <v>100</v>
      </c>
      <c r="L270" s="316"/>
      <c r="M270" s="316"/>
      <c r="N270" s="316"/>
      <c r="O270" s="315"/>
      <c r="P270" s="315"/>
    </row>
    <row r="271" spans="1:16" ht="21.75" customHeight="1" x14ac:dyDescent="0.45">
      <c r="A271" s="145"/>
      <c r="B271" s="146"/>
      <c r="C271" s="147" t="s">
        <v>16</v>
      </c>
      <c r="D271" s="537" t="s">
        <v>17</v>
      </c>
      <c r="E271" s="528"/>
      <c r="F271" s="528"/>
      <c r="G271" s="528"/>
      <c r="H271" s="148" t="s">
        <v>12</v>
      </c>
      <c r="I271" s="162"/>
      <c r="J271" s="162"/>
      <c r="K271" s="163"/>
      <c r="L271" s="151">
        <f t="shared" ref="L271:N271" ca="1" si="83">L272+L273</f>
        <v>205700</v>
      </c>
      <c r="M271" s="151">
        <f t="shared" ca="1" si="83"/>
        <v>99000</v>
      </c>
      <c r="N271" s="151">
        <f t="shared" ca="1" si="83"/>
        <v>107150</v>
      </c>
      <c r="O271" s="150">
        <f t="shared" ref="O271:O273" ca="1" si="84">IF(L271&gt;0,N271*100/L271,0)</f>
        <v>52.090422946037918</v>
      </c>
      <c r="P271" s="150">
        <f t="shared" ref="P271:P273" ca="1" si="85">IF(M271&gt;0,N271*100/M271,0)</f>
        <v>108.23232323232324</v>
      </c>
    </row>
    <row r="272" spans="1:16" ht="21.75" customHeight="1" x14ac:dyDescent="0.45">
      <c r="A272" s="152"/>
      <c r="B272" s="32"/>
      <c r="C272" s="32"/>
      <c r="D272" s="32"/>
      <c r="E272" s="32"/>
      <c r="F272" s="32"/>
      <c r="G272" s="33" t="s">
        <v>18</v>
      </c>
      <c r="H272" s="153" t="s">
        <v>12</v>
      </c>
      <c r="I272" s="162"/>
      <c r="J272" s="162"/>
      <c r="K272" s="163"/>
      <c r="L272" s="87">
        <f t="shared" ref="L272:N272" si="86">L274+L278</f>
        <v>0</v>
      </c>
      <c r="M272" s="87">
        <f t="shared" si="86"/>
        <v>0</v>
      </c>
      <c r="N272" s="87">
        <f t="shared" si="86"/>
        <v>0</v>
      </c>
      <c r="O272" s="155">
        <f t="shared" si="84"/>
        <v>0</v>
      </c>
      <c r="P272" s="155">
        <f t="shared" si="85"/>
        <v>0</v>
      </c>
    </row>
    <row r="273" spans="1:16" ht="21.75" customHeight="1" x14ac:dyDescent="0.45">
      <c r="A273" s="152"/>
      <c r="B273" s="32"/>
      <c r="C273" s="32"/>
      <c r="D273" s="32"/>
      <c r="E273" s="32"/>
      <c r="F273" s="32"/>
      <c r="G273" s="33" t="s">
        <v>19</v>
      </c>
      <c r="H273" s="153" t="s">
        <v>12</v>
      </c>
      <c r="I273" s="162"/>
      <c r="J273" s="162"/>
      <c r="K273" s="163"/>
      <c r="L273" s="87">
        <f t="shared" ref="L273:N273" ca="1" si="87">L275+L279</f>
        <v>205700</v>
      </c>
      <c r="M273" s="87">
        <f t="shared" ca="1" si="87"/>
        <v>99000</v>
      </c>
      <c r="N273" s="87">
        <f t="shared" ca="1" si="87"/>
        <v>107150</v>
      </c>
      <c r="O273" s="155">
        <f t="shared" ca="1" si="84"/>
        <v>52.090422946037918</v>
      </c>
      <c r="P273" s="155">
        <f t="shared" ca="1" si="85"/>
        <v>108.23232323232324</v>
      </c>
    </row>
    <row r="274" spans="1:16" ht="21.75" customHeight="1" x14ac:dyDescent="0.3">
      <c r="A274" s="156"/>
      <c r="B274" s="157"/>
      <c r="C274" s="157" t="s">
        <v>16</v>
      </c>
      <c r="D274" s="158" t="s">
        <v>38</v>
      </c>
      <c r="E274" s="159"/>
      <c r="F274" s="159"/>
      <c r="G274" s="160" t="s">
        <v>39</v>
      </c>
      <c r="H274" s="161" t="s">
        <v>12</v>
      </c>
      <c r="I274" s="162" t="s">
        <v>40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3">
      <c r="A275" s="156"/>
      <c r="B275" s="157"/>
      <c r="C275" s="157"/>
      <c r="D275" s="166"/>
      <c r="E275" s="159"/>
      <c r="F275" s="159" t="s">
        <v>40</v>
      </c>
      <c r="G275" s="160" t="s">
        <v>41</v>
      </c>
      <c r="H275" s="161" t="s">
        <v>12</v>
      </c>
      <c r="I275" s="162"/>
      <c r="J275" s="162"/>
      <c r="K275" s="163"/>
      <c r="L275" s="167">
        <f ca="1">L276+L277</f>
        <v>205700</v>
      </c>
      <c r="M275" s="167">
        <f ca="1">IFERROR(__xludf.DUMMYFUNCTION("IMPORTRANGE(""https://docs.google.com/spreadsheets/d/1Yj_ptqi66GCucihVvJfMjLAmec39IyEx_6qawtMGysU/edit?usp=sharing"",""สบก!CK30"")"),99000)</f>
        <v>99000</v>
      </c>
      <c r="N275" s="168">
        <f ca="1">IFERROR(__xludf.DUMMYFUNCTION("IMPORTRANGE(""https://docs.google.com/spreadsheets/d/1Yj_ptqi66GCucihVvJfMjLAmec39IyEx_6qawtMGysU/edit?usp=sharing"",""สบก!CL30"")"),107150)</f>
        <v>107150</v>
      </c>
      <c r="O275" s="168">
        <f ca="1">IF(L275&gt;0,N275*100/L275,0)</f>
        <v>52.090422946037918</v>
      </c>
      <c r="P275" s="168">
        <f ca="1">IF(M275&gt;0,N275*100/M275,0)</f>
        <v>108.23232323232324</v>
      </c>
    </row>
    <row r="276" spans="1:16" ht="21.75" customHeight="1" x14ac:dyDescent="0.3">
      <c r="A276" s="156"/>
      <c r="B276" s="157"/>
      <c r="C276" s="157"/>
      <c r="D276" s="166"/>
      <c r="E276" s="159"/>
      <c r="F276" s="159"/>
      <c r="G276" s="169" t="s">
        <v>42</v>
      </c>
      <c r="H276" s="161" t="s">
        <v>12</v>
      </c>
      <c r="I276" s="162"/>
      <c r="J276" s="162"/>
      <c r="K276" s="163"/>
      <c r="L276" s="167">
        <f ca="1">IFERROR(__xludf.DUMMYFUNCTION("IMPORTRANGE(""https://docs.google.com/spreadsheets/d/1Yj_ptqi66GCucihVvJfMjLAmec39IyEx_6qawtMGysU/edit?usp=sharing"",""สบก!CG30"")"),132000)</f>
        <v>132000</v>
      </c>
      <c r="M276" s="167"/>
      <c r="N276" s="167"/>
      <c r="O276" s="168"/>
      <c r="P276" s="168"/>
    </row>
    <row r="277" spans="1:16" ht="21.75" customHeight="1" x14ac:dyDescent="0.3">
      <c r="A277" s="156"/>
      <c r="B277" s="157"/>
      <c r="C277" s="157"/>
      <c r="D277" s="166"/>
      <c r="E277" s="159"/>
      <c r="F277" s="159"/>
      <c r="G277" s="169" t="s">
        <v>43</v>
      </c>
      <c r="H277" s="161" t="s">
        <v>12</v>
      </c>
      <c r="I277" s="162"/>
      <c r="J277" s="162"/>
      <c r="K277" s="163"/>
      <c r="L277" s="167">
        <f ca="1">IFERROR(__xludf.DUMMYFUNCTION("IMPORTRANGE(""https://docs.google.com/spreadsheets/d/1Yj_ptqi66GCucihVvJfMjLAmec39IyEx_6qawtMGysU/edit?usp=sharing"",""สบก!CH30"")"),73700)</f>
        <v>73700</v>
      </c>
      <c r="M277" s="167"/>
      <c r="N277" s="167"/>
      <c r="O277" s="168"/>
      <c r="P277" s="168"/>
    </row>
    <row r="278" spans="1:16" ht="21.75" customHeight="1" x14ac:dyDescent="0.45">
      <c r="A278" s="170"/>
      <c r="B278" s="80"/>
      <c r="C278" s="81" t="s">
        <v>16</v>
      </c>
      <c r="D278" s="534" t="s">
        <v>23</v>
      </c>
      <c r="E278" s="530"/>
      <c r="F278" s="88"/>
      <c r="G278" s="82" t="s">
        <v>18</v>
      </c>
      <c r="H278" s="171" t="s">
        <v>12</v>
      </c>
      <c r="I278" s="162"/>
      <c r="J278" s="162"/>
      <c r="K278" s="163"/>
      <c r="L278" s="41">
        <v>0</v>
      </c>
      <c r="M278" s="41"/>
      <c r="N278" s="41"/>
      <c r="O278" s="41"/>
      <c r="P278" s="41"/>
    </row>
    <row r="279" spans="1:16" ht="21.75" customHeight="1" x14ac:dyDescent="0.45">
      <c r="A279" s="172"/>
      <c r="B279" s="91"/>
      <c r="C279" s="91"/>
      <c r="D279" s="173"/>
      <c r="E279" s="92"/>
      <c r="F279" s="92"/>
      <c r="G279" s="93" t="s">
        <v>19</v>
      </c>
      <c r="H279" s="174" t="s">
        <v>12</v>
      </c>
      <c r="I279" s="162"/>
      <c r="J279" s="162"/>
      <c r="K279" s="163"/>
      <c r="L279" s="49">
        <f ca="1">IFERROR(__xludf.DUMMYFUNCTION("IMPORTRANGE(""https://docs.google.com/spreadsheets/d/1Yj_ptqi66GCucihVvJfMjLAmec39IyEx_6qawtMGysU/edit?usp=sharing"",""สบก!CI30"")"),0)</f>
        <v>0</v>
      </c>
      <c r="M279" s="49"/>
      <c r="N279" s="49">
        <f ca="1">IFERROR(__xludf.DUMMYFUNCTION("IMPORTRANGE(""https://docs.google.com/spreadsheets/d/1Yj_ptqi66GCucihVvJfMjLAmec39IyEx_6qawtMGysU/edit?usp=sharing"",""สบก!CM30"")"),0)</f>
        <v>0</v>
      </c>
      <c r="O279" s="49">
        <f ca="1">IF(L279&gt;0,N279*100/L279,0)</f>
        <v>0</v>
      </c>
      <c r="P279" s="49"/>
    </row>
    <row r="280" spans="1:16" ht="21.75" customHeight="1" x14ac:dyDescent="0.3">
      <c r="A280" s="175"/>
      <c r="B280" s="176"/>
      <c r="C280" s="157" t="s">
        <v>16</v>
      </c>
      <c r="D280" s="177" t="s">
        <v>44</v>
      </c>
      <c r="E280" s="178"/>
      <c r="F280" s="178"/>
      <c r="G280" s="179"/>
      <c r="H280" s="180"/>
      <c r="I280" s="162"/>
      <c r="J280" s="162"/>
      <c r="K280" s="163"/>
      <c r="L280" s="181"/>
      <c r="M280" s="181"/>
      <c r="N280" s="181"/>
      <c r="O280" s="181"/>
      <c r="P280" s="181"/>
    </row>
    <row r="281" spans="1:16" ht="21.75" customHeight="1" x14ac:dyDescent="0.3">
      <c r="A281" s="175"/>
      <c r="B281" s="176"/>
      <c r="C281" s="176"/>
      <c r="D281" s="182">
        <v>1</v>
      </c>
      <c r="E281" s="183" t="s">
        <v>45</v>
      </c>
      <c r="F281" s="184"/>
      <c r="G281" s="185"/>
      <c r="H281" s="186"/>
      <c r="I281" s="187"/>
      <c r="J281" s="188">
        <f ca="1">IFERROR(__xludf.DUMMYFUNCTION("IMPORTRANGE(""https://docs.google.com/spreadsheets/d/11923uPwbBZFjjGgGUA6NLw09EwE0CqkOc4q9oUmW1yo/edit?usp=sharing"",""แพร่!J191"")"),0)</f>
        <v>0</v>
      </c>
      <c r="K281" s="163"/>
      <c r="L281" s="181"/>
      <c r="M281" s="181"/>
      <c r="N281" s="181"/>
      <c r="O281" s="181"/>
      <c r="P281" s="181"/>
    </row>
    <row r="282" spans="1:16" ht="21.75" customHeight="1" x14ac:dyDescent="0.3">
      <c r="A282" s="175"/>
      <c r="B282" s="176"/>
      <c r="C282" s="176"/>
      <c r="D282" s="189">
        <v>2</v>
      </c>
      <c r="E282" s="190" t="s">
        <v>46</v>
      </c>
      <c r="F282" s="191"/>
      <c r="G282" s="192"/>
      <c r="H282" s="186"/>
      <c r="I282" s="187"/>
      <c r="J282" s="197">
        <f ca="1">IFERROR(__xludf.DUMMYFUNCTION("IMPORTRANGE(""https://docs.google.com/spreadsheets/d/11923uPwbBZFjjGgGUA6NLw09EwE0CqkOc4q9oUmW1yo/edit?usp=sharing"",""แพร่!J192"")"),1)</f>
        <v>1</v>
      </c>
      <c r="K282" s="163"/>
      <c r="L282" s="181"/>
      <c r="M282" s="181"/>
      <c r="N282" s="181"/>
      <c r="O282" s="181"/>
      <c r="P282" s="181"/>
    </row>
    <row r="283" spans="1:16" ht="21.75" customHeight="1" x14ac:dyDescent="0.3">
      <c r="A283" s="175"/>
      <c r="B283" s="176"/>
      <c r="C283" s="176"/>
      <c r="D283" s="193"/>
      <c r="E283" s="194" t="s">
        <v>47</v>
      </c>
      <c r="F283" s="195"/>
      <c r="G283" s="196"/>
      <c r="H283" s="186"/>
      <c r="I283" s="187"/>
      <c r="J283" s="197">
        <f ca="1">IFERROR(__xludf.DUMMYFUNCTION("IMPORTRANGE(""https://docs.google.com/spreadsheets/d/11923uPwbBZFjjGgGUA6NLw09EwE0CqkOc4q9oUmW1yo/edit?usp=sharing"",""แพร่!J193"")"),1)</f>
        <v>1</v>
      </c>
      <c r="K283" s="163"/>
      <c r="L283" s="181"/>
      <c r="M283" s="181"/>
      <c r="N283" s="181"/>
      <c r="O283" s="181"/>
      <c r="P283" s="181"/>
    </row>
    <row r="284" spans="1:16" ht="21.75" customHeight="1" x14ac:dyDescent="0.3">
      <c r="A284" s="175"/>
      <c r="B284" s="176"/>
      <c r="C284" s="176"/>
      <c r="D284" s="193"/>
      <c r="E284" s="194" t="s">
        <v>48</v>
      </c>
      <c r="F284" s="195"/>
      <c r="G284" s="196"/>
      <c r="H284" s="186"/>
      <c r="I284" s="187"/>
      <c r="J284" s="197">
        <f ca="1">IFERROR(__xludf.DUMMYFUNCTION("IMPORTRANGE(""https://docs.google.com/spreadsheets/d/11923uPwbBZFjjGgGUA6NLw09EwE0CqkOc4q9oUmW1yo/edit?usp=sharing"",""แพร่!J194"")"),1)</f>
        <v>1</v>
      </c>
      <c r="K284" s="163"/>
      <c r="L284" s="181"/>
      <c r="M284" s="181"/>
      <c r="N284" s="181"/>
      <c r="O284" s="181"/>
      <c r="P284" s="181"/>
    </row>
    <row r="285" spans="1:16" ht="21.75" customHeight="1" x14ac:dyDescent="0.3">
      <c r="A285" s="175"/>
      <c r="B285" s="176"/>
      <c r="C285" s="176"/>
      <c r="D285" s="193"/>
      <c r="E285" s="195"/>
      <c r="F285" s="194" t="s">
        <v>110</v>
      </c>
      <c r="G285" s="196"/>
      <c r="H285" s="186" t="s">
        <v>37</v>
      </c>
      <c r="I285" s="187">
        <f ca="1">IFERROR(__xludf.DUMMYFUNCTION("IMPORTRANGE(""https://docs.google.com/spreadsheets/d/11923uPwbBZFjjGgGUA6NLw09EwE0CqkOc4q9oUmW1yo/edit?usp=sharing"",""แพร่!I195"")"),20)</f>
        <v>20</v>
      </c>
      <c r="J285" s="188">
        <f ca="1">IFERROR(__xludf.DUMMYFUNCTION("IMPORTRANGE(""https://docs.google.com/spreadsheets/d/11923uPwbBZFjjGgGUA6NLw09EwE0CqkOc4q9oUmW1yo/edit?usp=sharing"",""แพร่!J195"")"),20)</f>
        <v>20</v>
      </c>
      <c r="K285" s="163">
        <f ca="1">IF(I285&gt;0,J285*100/I285,0)</f>
        <v>100</v>
      </c>
      <c r="L285" s="181"/>
      <c r="M285" s="181"/>
      <c r="N285" s="181"/>
      <c r="O285" s="181"/>
      <c r="P285" s="181"/>
    </row>
    <row r="286" spans="1:16" ht="21.75" customHeight="1" x14ac:dyDescent="0.3">
      <c r="A286" s="175"/>
      <c r="B286" s="176"/>
      <c r="C286" s="176"/>
      <c r="D286" s="193"/>
      <c r="E286" s="194" t="s">
        <v>54</v>
      </c>
      <c r="F286" s="195"/>
      <c r="G286" s="196"/>
      <c r="H286" s="186"/>
      <c r="I286" s="187"/>
      <c r="J286" s="197">
        <f ca="1">IFERROR(__xludf.DUMMYFUNCTION("IMPORTRANGE(""https://docs.google.com/spreadsheets/d/11923uPwbBZFjjGgGUA6NLw09EwE0CqkOc4q9oUmW1yo/edit?usp=sharing"",""แพร่!J196"")"),0)</f>
        <v>0</v>
      </c>
      <c r="K286" s="163"/>
      <c r="L286" s="181"/>
      <c r="M286" s="181"/>
      <c r="N286" s="181"/>
      <c r="O286" s="181"/>
      <c r="P286" s="181"/>
    </row>
    <row r="287" spans="1:16" ht="21.75" customHeight="1" x14ac:dyDescent="0.3">
      <c r="A287" s="175"/>
      <c r="B287" s="176"/>
      <c r="C287" s="176"/>
      <c r="D287" s="205">
        <v>3</v>
      </c>
      <c r="E287" s="206" t="s">
        <v>55</v>
      </c>
      <c r="F287" s="207"/>
      <c r="G287" s="208"/>
      <c r="H287" s="186"/>
      <c r="I287" s="187"/>
      <c r="J287" s="209">
        <f ca="1">IFERROR(__xludf.DUMMYFUNCTION("IMPORTRANGE(""https://docs.google.com/spreadsheets/d/11923uPwbBZFjjGgGUA6NLw09EwE0CqkOc4q9oUmW1yo/edit?usp=sharing"",""แพร่!J197"")"),0)</f>
        <v>0</v>
      </c>
      <c r="K287" s="163"/>
      <c r="L287" s="181"/>
      <c r="M287" s="181"/>
      <c r="N287" s="181"/>
      <c r="O287" s="181"/>
      <c r="P287" s="181"/>
    </row>
    <row r="288" spans="1:16" ht="21.75" customHeight="1" x14ac:dyDescent="0.3">
      <c r="A288" s="302" t="s">
        <v>111</v>
      </c>
      <c r="B288" s="303"/>
      <c r="C288" s="303"/>
      <c r="D288" s="304"/>
      <c r="E288" s="303"/>
      <c r="F288" s="303"/>
      <c r="G288" s="317"/>
      <c r="H288" s="318"/>
      <c r="I288" s="319"/>
      <c r="J288" s="319"/>
      <c r="K288" s="320"/>
      <c r="L288" s="320"/>
      <c r="M288" s="320"/>
      <c r="N288" s="320"/>
      <c r="O288" s="309"/>
      <c r="P288" s="309"/>
    </row>
    <row r="289" spans="1:16" ht="21.75" customHeight="1" x14ac:dyDescent="0.3">
      <c r="A289" s="321"/>
      <c r="B289" s="311" t="s">
        <v>112</v>
      </c>
      <c r="C289" s="322"/>
      <c r="D289" s="323"/>
      <c r="E289" s="311"/>
      <c r="F289" s="311"/>
      <c r="G289" s="312"/>
      <c r="H289" s="313" t="s">
        <v>37</v>
      </c>
      <c r="I289" s="314">
        <f ca="1">IFERROR(__xludf.DUMMYFUNCTION("IMPORTRANGE(""https://docs.google.com/spreadsheets/d/11923uPwbBZFjjGgGUA6NLw09EwE0CqkOc4q9oUmW1yo/edit?usp=sharing"",""แพร่!I199"")"),0)</f>
        <v>0</v>
      </c>
      <c r="J289" s="314">
        <f ca="1">IFERROR(__xludf.DUMMYFUNCTION("IMPORTRANGE(""https://docs.google.com/spreadsheets/d/11923uPwbBZFjjGgGUA6NLw09EwE0CqkOc4q9oUmW1yo/edit?usp=sharing"",""แพร่!J199"")"),0)</f>
        <v>0</v>
      </c>
      <c r="K289" s="315">
        <f ca="1">IF(I289&gt;0,J289*100/I289,0)</f>
        <v>0</v>
      </c>
      <c r="L289" s="316"/>
      <c r="M289" s="316"/>
      <c r="N289" s="316"/>
      <c r="O289" s="315"/>
      <c r="P289" s="315"/>
    </row>
    <row r="290" spans="1:16" ht="21.75" customHeight="1" x14ac:dyDescent="0.45">
      <c r="A290" s="145"/>
      <c r="B290" s="146"/>
      <c r="C290" s="147" t="s">
        <v>16</v>
      </c>
      <c r="D290" s="537" t="s">
        <v>17</v>
      </c>
      <c r="E290" s="528"/>
      <c r="F290" s="528"/>
      <c r="G290" s="528"/>
      <c r="H290" s="148" t="s">
        <v>12</v>
      </c>
      <c r="I290" s="187"/>
      <c r="J290" s="187"/>
      <c r="K290" s="223"/>
      <c r="L290" s="151">
        <f t="shared" ref="L290:N290" ca="1" si="88">L291+L292</f>
        <v>0</v>
      </c>
      <c r="M290" s="151">
        <f t="shared" ca="1" si="88"/>
        <v>0</v>
      </c>
      <c r="N290" s="151">
        <f t="shared" ca="1" si="88"/>
        <v>0</v>
      </c>
      <c r="O290" s="150">
        <f t="shared" ref="O290:O292" ca="1" si="89">IF(L290&gt;0,N290*100/L290,0)</f>
        <v>0</v>
      </c>
      <c r="P290" s="150">
        <f t="shared" ref="P290:P292" ca="1" si="90">IF(M290&gt;0,N290*100/M290,0)</f>
        <v>0</v>
      </c>
    </row>
    <row r="291" spans="1:16" ht="21.75" customHeight="1" x14ac:dyDescent="0.45">
      <c r="A291" s="152"/>
      <c r="B291" s="32"/>
      <c r="C291" s="32"/>
      <c r="D291" s="32"/>
      <c r="E291" s="32"/>
      <c r="F291" s="32"/>
      <c r="G291" s="33" t="s">
        <v>18</v>
      </c>
      <c r="H291" s="153" t="s">
        <v>12</v>
      </c>
      <c r="I291" s="187"/>
      <c r="J291" s="187"/>
      <c r="K291" s="223"/>
      <c r="L291" s="87">
        <f t="shared" ref="L291:N291" si="91">L293+L297</f>
        <v>0</v>
      </c>
      <c r="M291" s="87">
        <f t="shared" si="91"/>
        <v>0</v>
      </c>
      <c r="N291" s="87">
        <f t="shared" si="91"/>
        <v>0</v>
      </c>
      <c r="O291" s="155">
        <f t="shared" si="89"/>
        <v>0</v>
      </c>
      <c r="P291" s="155">
        <f t="shared" si="90"/>
        <v>0</v>
      </c>
    </row>
    <row r="292" spans="1:16" ht="21.75" customHeight="1" x14ac:dyDescent="0.45">
      <c r="A292" s="152"/>
      <c r="B292" s="32"/>
      <c r="C292" s="32"/>
      <c r="D292" s="32"/>
      <c r="E292" s="32"/>
      <c r="F292" s="32"/>
      <c r="G292" s="33" t="s">
        <v>19</v>
      </c>
      <c r="H292" s="153" t="s">
        <v>12</v>
      </c>
      <c r="I292" s="187"/>
      <c r="J292" s="187"/>
      <c r="K292" s="223"/>
      <c r="L292" s="87">
        <f t="shared" ref="L292:N292" ca="1" si="92">L294+L298</f>
        <v>0</v>
      </c>
      <c r="M292" s="87">
        <f t="shared" ca="1" si="92"/>
        <v>0</v>
      </c>
      <c r="N292" s="87">
        <f t="shared" ca="1" si="92"/>
        <v>0</v>
      </c>
      <c r="O292" s="155">
        <f t="shared" ca="1" si="89"/>
        <v>0</v>
      </c>
      <c r="P292" s="155">
        <f t="shared" ca="1" si="90"/>
        <v>0</v>
      </c>
    </row>
    <row r="293" spans="1:16" ht="21.75" customHeight="1" x14ac:dyDescent="0.3">
      <c r="A293" s="156"/>
      <c r="B293" s="157"/>
      <c r="C293" s="157" t="s">
        <v>16</v>
      </c>
      <c r="D293" s="158" t="s">
        <v>38</v>
      </c>
      <c r="E293" s="159"/>
      <c r="F293" s="159"/>
      <c r="G293" s="160" t="s">
        <v>39</v>
      </c>
      <c r="H293" s="161" t="s">
        <v>12</v>
      </c>
      <c r="I293" s="187" t="s">
        <v>40</v>
      </c>
      <c r="J293" s="187"/>
      <c r="K293" s="223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3">
      <c r="A294" s="156"/>
      <c r="B294" s="157"/>
      <c r="C294" s="157"/>
      <c r="D294" s="166"/>
      <c r="E294" s="159"/>
      <c r="F294" s="159" t="s">
        <v>40</v>
      </c>
      <c r="G294" s="160" t="s">
        <v>41</v>
      </c>
      <c r="H294" s="161" t="s">
        <v>12</v>
      </c>
      <c r="I294" s="187"/>
      <c r="J294" s="187"/>
      <c r="K294" s="223"/>
      <c r="L294" s="167">
        <f ca="1">L295+L296</f>
        <v>0</v>
      </c>
      <c r="M294" s="167">
        <f ca="1">IFERROR(__xludf.DUMMYFUNCTION("IMPORTRANGE(""https://docs.google.com/spreadsheets/d/1Yj_ptqi66GCucihVvJfMjLAmec39IyEx_6qawtMGysU/edit?usp=sharing"",""สบก!CT30"")"),0)</f>
        <v>0</v>
      </c>
      <c r="N294" s="168">
        <f ca="1">IFERROR(__xludf.DUMMYFUNCTION("IMPORTRANGE(""https://docs.google.com/spreadsheets/d/1Yj_ptqi66GCucihVvJfMjLAmec39IyEx_6qawtMGysU/edit?usp=sharing"",""สบก!CU30"")"),0)</f>
        <v>0</v>
      </c>
      <c r="O294" s="168">
        <f ca="1">IF(L294&gt;0,N294*100/L294,0)</f>
        <v>0</v>
      </c>
      <c r="P294" s="168">
        <f ca="1">IF(M294&gt;0,N294*100/M294,0)</f>
        <v>0</v>
      </c>
    </row>
    <row r="295" spans="1:16" ht="21.75" customHeight="1" x14ac:dyDescent="0.3">
      <c r="A295" s="156"/>
      <c r="B295" s="157"/>
      <c r="C295" s="157"/>
      <c r="D295" s="166"/>
      <c r="E295" s="159"/>
      <c r="F295" s="159"/>
      <c r="G295" s="169" t="s">
        <v>42</v>
      </c>
      <c r="H295" s="161" t="s">
        <v>12</v>
      </c>
      <c r="I295" s="187"/>
      <c r="J295" s="187"/>
      <c r="K295" s="223"/>
      <c r="L295" s="167">
        <f ca="1">IFERROR(__xludf.DUMMYFUNCTION("IMPORTRANGE(""https://docs.google.com/spreadsheets/d/1Yj_ptqi66GCucihVvJfMjLAmec39IyEx_6qawtMGysU/edit?usp=sharing"",""สบก!CP30"")"),0)</f>
        <v>0</v>
      </c>
      <c r="M295" s="167"/>
      <c r="N295" s="167"/>
      <c r="O295" s="168"/>
      <c r="P295" s="168"/>
    </row>
    <row r="296" spans="1:16" ht="21.75" customHeight="1" x14ac:dyDescent="0.3">
      <c r="A296" s="156"/>
      <c r="B296" s="157"/>
      <c r="C296" s="157"/>
      <c r="D296" s="166"/>
      <c r="E296" s="159"/>
      <c r="F296" s="159"/>
      <c r="G296" s="169" t="s">
        <v>43</v>
      </c>
      <c r="H296" s="161" t="s">
        <v>12</v>
      </c>
      <c r="I296" s="187"/>
      <c r="J296" s="187"/>
      <c r="K296" s="223"/>
      <c r="L296" s="167">
        <f ca="1">IFERROR(__xludf.DUMMYFUNCTION("IMPORTRANGE(""https://docs.google.com/spreadsheets/d/1Yj_ptqi66GCucihVvJfMjLAmec39IyEx_6qawtMGysU/edit?usp=sharing"",""สบก!CQ30"")"),0)</f>
        <v>0</v>
      </c>
      <c r="M296" s="167"/>
      <c r="N296" s="167"/>
      <c r="O296" s="168"/>
      <c r="P296" s="168"/>
    </row>
    <row r="297" spans="1:16" ht="21.75" customHeight="1" x14ac:dyDescent="0.45">
      <c r="A297" s="170"/>
      <c r="B297" s="80"/>
      <c r="C297" s="81" t="s">
        <v>16</v>
      </c>
      <c r="D297" s="534" t="s">
        <v>23</v>
      </c>
      <c r="E297" s="530"/>
      <c r="F297" s="88"/>
      <c r="G297" s="82" t="s">
        <v>18</v>
      </c>
      <c r="H297" s="171" t="s">
        <v>12</v>
      </c>
      <c r="I297" s="187"/>
      <c r="J297" s="187"/>
      <c r="K297" s="223"/>
      <c r="L297" s="41">
        <v>0</v>
      </c>
      <c r="M297" s="41"/>
      <c r="N297" s="41"/>
      <c r="O297" s="41"/>
      <c r="P297" s="41"/>
    </row>
    <row r="298" spans="1:16" ht="21.75" customHeight="1" x14ac:dyDescent="0.45">
      <c r="A298" s="172"/>
      <c r="B298" s="91"/>
      <c r="C298" s="91"/>
      <c r="D298" s="173"/>
      <c r="E298" s="92"/>
      <c r="F298" s="92"/>
      <c r="G298" s="93" t="s">
        <v>19</v>
      </c>
      <c r="H298" s="174" t="s">
        <v>12</v>
      </c>
      <c r="I298" s="187"/>
      <c r="J298" s="187"/>
      <c r="K298" s="223"/>
      <c r="L298" s="49">
        <f ca="1">IFERROR(__xludf.DUMMYFUNCTION("IMPORTRANGE(""https://docs.google.com/spreadsheets/d/1Yj_ptqi66GCucihVvJfMjLAmec39IyEx_6qawtMGysU/edit?usp=sharing"",""สบก!CR30"")"),0)</f>
        <v>0</v>
      </c>
      <c r="M298" s="49"/>
      <c r="N298" s="49">
        <f ca="1">IFERROR(__xludf.DUMMYFUNCTION("IMPORTRANGE(""https://docs.google.com/spreadsheets/d/1Yj_ptqi66GCucihVvJfMjLAmec39IyEx_6qawtMGysU/edit?usp=sharing"",""สบก!CV30"")"),0)</f>
        <v>0</v>
      </c>
      <c r="O298" s="49">
        <f ca="1">IF(L298&gt;0,N298*100/L298,0)</f>
        <v>0</v>
      </c>
      <c r="P298" s="49"/>
    </row>
    <row r="299" spans="1:16" ht="21.75" customHeight="1" x14ac:dyDescent="0.3">
      <c r="A299" s="175"/>
      <c r="B299" s="176"/>
      <c r="C299" s="157" t="s">
        <v>16</v>
      </c>
      <c r="D299" s="177" t="s">
        <v>44</v>
      </c>
      <c r="E299" s="178"/>
      <c r="F299" s="178"/>
      <c r="G299" s="179"/>
      <c r="H299" s="180"/>
      <c r="I299" s="187"/>
      <c r="J299" s="187"/>
      <c r="K299" s="223"/>
      <c r="L299" s="168"/>
      <c r="M299" s="168"/>
      <c r="N299" s="168"/>
      <c r="O299" s="181"/>
      <c r="P299" s="181"/>
    </row>
    <row r="300" spans="1:16" ht="21.75" customHeight="1" x14ac:dyDescent="0.3">
      <c r="A300" s="175"/>
      <c r="B300" s="176"/>
      <c r="C300" s="176"/>
      <c r="D300" s="182">
        <v>1</v>
      </c>
      <c r="E300" s="183" t="s">
        <v>45</v>
      </c>
      <c r="F300" s="184"/>
      <c r="G300" s="185"/>
      <c r="H300" s="186"/>
      <c r="I300" s="187"/>
      <c r="J300" s="187">
        <f ca="1">IFERROR(__xludf.DUMMYFUNCTION("IMPORTRANGE(""https://docs.google.com/spreadsheets/d/11923uPwbBZFjjGgGUA6NLw09EwE0CqkOc4q9oUmW1yo/edit?usp=sharing"",""แพร่!J205"")"),0)</f>
        <v>0</v>
      </c>
      <c r="K300" s="223"/>
      <c r="L300" s="168"/>
      <c r="M300" s="168"/>
      <c r="N300" s="168"/>
      <c r="O300" s="181"/>
      <c r="P300" s="181"/>
    </row>
    <row r="301" spans="1:16" ht="21.75" customHeight="1" x14ac:dyDescent="0.3">
      <c r="A301" s="175"/>
      <c r="B301" s="176"/>
      <c r="C301" s="176"/>
      <c r="D301" s="189">
        <v>2</v>
      </c>
      <c r="E301" s="190" t="s">
        <v>46</v>
      </c>
      <c r="F301" s="191"/>
      <c r="G301" s="192"/>
      <c r="H301" s="186"/>
      <c r="I301" s="187"/>
      <c r="J301" s="187">
        <f ca="1">IFERROR(__xludf.DUMMYFUNCTION("IMPORTRANGE(""https://docs.google.com/spreadsheets/d/11923uPwbBZFjjGgGUA6NLw09EwE0CqkOc4q9oUmW1yo/edit?usp=sharing"",""แพร่!J206"")"),0)</f>
        <v>0</v>
      </c>
      <c r="K301" s="223"/>
      <c r="L301" s="168" t="s">
        <v>40</v>
      </c>
      <c r="M301" s="168"/>
      <c r="N301" s="168" t="s">
        <v>40</v>
      </c>
      <c r="O301" s="181"/>
      <c r="P301" s="181"/>
    </row>
    <row r="302" spans="1:16" ht="21.75" customHeight="1" x14ac:dyDescent="0.3">
      <c r="A302" s="175"/>
      <c r="B302" s="176"/>
      <c r="C302" s="176"/>
      <c r="D302" s="193"/>
      <c r="E302" s="194" t="s">
        <v>47</v>
      </c>
      <c r="F302" s="195"/>
      <c r="G302" s="196"/>
      <c r="H302" s="186"/>
      <c r="I302" s="187"/>
      <c r="J302" s="187">
        <f ca="1">IFERROR(__xludf.DUMMYFUNCTION("IMPORTRANGE(""https://docs.google.com/spreadsheets/d/11923uPwbBZFjjGgGUA6NLw09EwE0CqkOc4q9oUmW1yo/edit?usp=sharing"",""แพร่!J207"")"),0)</f>
        <v>0</v>
      </c>
      <c r="K302" s="223"/>
      <c r="L302" s="168"/>
      <c r="M302" s="168"/>
      <c r="N302" s="168"/>
      <c r="O302" s="181"/>
      <c r="P302" s="181"/>
    </row>
    <row r="303" spans="1:16" ht="21.75" customHeight="1" x14ac:dyDescent="0.3">
      <c r="A303" s="175"/>
      <c r="B303" s="176"/>
      <c r="C303" s="176"/>
      <c r="D303" s="193"/>
      <c r="E303" s="194" t="s">
        <v>48</v>
      </c>
      <c r="F303" s="195"/>
      <c r="G303" s="196"/>
      <c r="H303" s="186"/>
      <c r="I303" s="187"/>
      <c r="J303" s="187">
        <f ca="1">IFERROR(__xludf.DUMMYFUNCTION("IMPORTRANGE(""https://docs.google.com/spreadsheets/d/11923uPwbBZFjjGgGUA6NLw09EwE0CqkOc4q9oUmW1yo/edit?usp=sharing"",""แพร่!J208"")"),0)</f>
        <v>0</v>
      </c>
      <c r="K303" s="223"/>
      <c r="L303" s="168"/>
      <c r="M303" s="168"/>
      <c r="N303" s="168"/>
      <c r="O303" s="181"/>
      <c r="P303" s="181"/>
    </row>
    <row r="304" spans="1:16" ht="21.75" customHeight="1" x14ac:dyDescent="0.3">
      <c r="A304" s="175"/>
      <c r="B304" s="176"/>
      <c r="C304" s="176"/>
      <c r="D304" s="193"/>
      <c r="E304" s="198"/>
      <c r="F304" s="194" t="s">
        <v>113</v>
      </c>
      <c r="G304" s="196"/>
      <c r="H304" s="180" t="s">
        <v>37</v>
      </c>
      <c r="I304" s="187">
        <f ca="1">IFERROR(__xludf.DUMMYFUNCTION("IMPORTRANGE(""https://docs.google.com/spreadsheets/d/11923uPwbBZFjjGgGUA6NLw09EwE0CqkOc4q9oUmW1yo/edit?usp=sharing"",""แพร่!I209"")"),0)</f>
        <v>0</v>
      </c>
      <c r="J304" s="203">
        <f ca="1">IFERROR(__xludf.DUMMYFUNCTION("IMPORTRANGE(""https://docs.google.com/spreadsheets/d/11923uPwbBZFjjGgGUA6NLw09EwE0CqkOc4q9oUmW1yo/edit?usp=sharing"",""แพร่!J209"")"),0)</f>
        <v>0</v>
      </c>
      <c r="K304" s="223">
        <f ca="1">IF(I304&gt;0,J304*100/I304,0)</f>
        <v>0</v>
      </c>
      <c r="L304" s="168"/>
      <c r="M304" s="168"/>
      <c r="N304" s="168"/>
      <c r="O304" s="181"/>
      <c r="P304" s="181"/>
    </row>
    <row r="305" spans="1:16" ht="21.75" customHeight="1" x14ac:dyDescent="0.3">
      <c r="A305" s="175"/>
      <c r="B305" s="176"/>
      <c r="C305" s="176"/>
      <c r="D305" s="193"/>
      <c r="E305" s="198"/>
      <c r="F305" s="194" t="s">
        <v>114</v>
      </c>
      <c r="G305" s="196"/>
      <c r="H305" s="180"/>
      <c r="I305" s="187"/>
      <c r="J305" s="187"/>
      <c r="K305" s="223"/>
      <c r="L305" s="168"/>
      <c r="M305" s="168"/>
      <c r="N305" s="168"/>
      <c r="O305" s="181"/>
      <c r="P305" s="181"/>
    </row>
    <row r="306" spans="1:16" ht="21.75" customHeight="1" x14ac:dyDescent="0.3">
      <c r="A306" s="175"/>
      <c r="B306" s="176"/>
      <c r="C306" s="176"/>
      <c r="D306" s="193"/>
      <c r="E306" s="198"/>
      <c r="F306" s="195" t="s">
        <v>53</v>
      </c>
      <c r="G306" s="196"/>
      <c r="H306" s="180" t="s">
        <v>37</v>
      </c>
      <c r="I306" s="187">
        <f ca="1">IFERROR(__xludf.DUMMYFUNCTION("IMPORTRANGE(""https://docs.google.com/spreadsheets/d/11923uPwbBZFjjGgGUA6NLw09EwE0CqkOc4q9oUmW1yo/edit?usp=sharing"",""แพร่!I211"")"),0)</f>
        <v>0</v>
      </c>
      <c r="J306" s="203">
        <f ca="1">IFERROR(__xludf.DUMMYFUNCTION("IMPORTRANGE(""https://docs.google.com/spreadsheets/d/11923uPwbBZFjjGgGUA6NLw09EwE0CqkOc4q9oUmW1yo/edit?usp=sharing"",""แพร่!J211"")"),0)</f>
        <v>0</v>
      </c>
      <c r="K306" s="223">
        <f ca="1">IF(I306&gt;0,J306*100/I306,0)</f>
        <v>0</v>
      </c>
      <c r="L306" s="168"/>
      <c r="M306" s="168"/>
      <c r="N306" s="168"/>
      <c r="O306" s="181"/>
      <c r="P306" s="181"/>
    </row>
    <row r="307" spans="1:16" ht="21.75" customHeight="1" x14ac:dyDescent="0.3">
      <c r="A307" s="175"/>
      <c r="B307" s="176"/>
      <c r="C307" s="176"/>
      <c r="D307" s="193"/>
      <c r="E307" s="194" t="s">
        <v>54</v>
      </c>
      <c r="F307" s="195"/>
      <c r="G307" s="196"/>
      <c r="H307" s="186"/>
      <c r="I307" s="187"/>
      <c r="J307" s="187">
        <f ca="1">IFERROR(__xludf.DUMMYFUNCTION("IMPORTRANGE(""https://docs.google.com/spreadsheets/d/11923uPwbBZFjjGgGUA6NLw09EwE0CqkOc4q9oUmW1yo/edit?usp=sharing"",""แพร่!J212"")"),0)</f>
        <v>0</v>
      </c>
      <c r="K307" s="223"/>
      <c r="L307" s="168"/>
      <c r="M307" s="168"/>
      <c r="N307" s="168"/>
      <c r="O307" s="181"/>
      <c r="P307" s="181"/>
    </row>
    <row r="308" spans="1:16" ht="21.75" customHeight="1" x14ac:dyDescent="0.3">
      <c r="A308" s="175"/>
      <c r="B308" s="176"/>
      <c r="C308" s="176"/>
      <c r="D308" s="205">
        <v>3</v>
      </c>
      <c r="E308" s="206" t="s">
        <v>55</v>
      </c>
      <c r="F308" s="207"/>
      <c r="G308" s="208"/>
      <c r="H308" s="186"/>
      <c r="I308" s="187"/>
      <c r="J308" s="324">
        <f ca="1">IFERROR(__xludf.DUMMYFUNCTION("IMPORTRANGE(""https://docs.google.com/spreadsheets/d/11923uPwbBZFjjGgGUA6NLw09EwE0CqkOc4q9oUmW1yo/edit?usp=sharing"",""แพร่!J213"")"),0)</f>
        <v>0</v>
      </c>
      <c r="K308" s="223"/>
      <c r="L308" s="168"/>
      <c r="M308" s="168"/>
      <c r="N308" s="168"/>
      <c r="O308" s="181"/>
      <c r="P308" s="181"/>
    </row>
    <row r="309" spans="1:16" ht="21.75" customHeight="1" x14ac:dyDescent="0.3">
      <c r="A309" s="325"/>
      <c r="B309" s="326" t="s">
        <v>115</v>
      </c>
      <c r="C309" s="327"/>
      <c r="D309" s="328"/>
      <c r="E309" s="326"/>
      <c r="F309" s="326"/>
      <c r="G309" s="329"/>
      <c r="H309" s="330" t="s">
        <v>116</v>
      </c>
      <c r="I309" s="331">
        <f ca="1">IFERROR(__xludf.DUMMYFUNCTION("IMPORTRANGE(""https://docs.google.com/spreadsheets/d/11923uPwbBZFjjGgGUA6NLw09EwE0CqkOc4q9oUmW1yo/edit?usp=sharing"",""แพร่!I214"")"),0)</f>
        <v>0</v>
      </c>
      <c r="J309" s="331">
        <f ca="1">IFERROR(__xludf.DUMMYFUNCTION("IMPORTRANGE(""https://docs.google.com/spreadsheets/d/11923uPwbBZFjjGgGUA6NLw09EwE0CqkOc4q9oUmW1yo/edit?usp=sharing"",""แพร่!J214"")"),0)</f>
        <v>0</v>
      </c>
      <c r="K309" s="332">
        <f ca="1">IF(I309&gt;0,J309*100/I309,0)</f>
        <v>0</v>
      </c>
      <c r="L309" s="333"/>
      <c r="M309" s="333"/>
      <c r="N309" s="333"/>
      <c r="O309" s="332"/>
      <c r="P309" s="332"/>
    </row>
    <row r="310" spans="1:16" ht="21.75" customHeight="1" x14ac:dyDescent="0.45">
      <c r="A310" s="145"/>
      <c r="B310" s="146"/>
      <c r="C310" s="147" t="s">
        <v>16</v>
      </c>
      <c r="D310" s="537" t="s">
        <v>17</v>
      </c>
      <c r="E310" s="528"/>
      <c r="F310" s="528"/>
      <c r="G310" s="528"/>
      <c r="H310" s="148" t="s">
        <v>12</v>
      </c>
      <c r="I310" s="334"/>
      <c r="J310" s="334"/>
      <c r="K310" s="335"/>
      <c r="L310" s="151">
        <f t="shared" ref="L310:N310" ca="1" si="93">L311+L312</f>
        <v>0</v>
      </c>
      <c r="M310" s="151">
        <f t="shared" ca="1" si="93"/>
        <v>0</v>
      </c>
      <c r="N310" s="151">
        <f t="shared" ca="1" si="93"/>
        <v>0</v>
      </c>
      <c r="O310" s="150">
        <f t="shared" ref="O310:O312" ca="1" si="94">IF(L310&gt;0,N310*100/L310,0)</f>
        <v>0</v>
      </c>
      <c r="P310" s="150">
        <f t="shared" ref="P310:P312" ca="1" si="95">IF(M310&gt;0,N310*100/M310,0)</f>
        <v>0</v>
      </c>
    </row>
    <row r="311" spans="1:16" ht="21.75" customHeight="1" x14ac:dyDescent="0.45">
      <c r="A311" s="152"/>
      <c r="B311" s="32"/>
      <c r="C311" s="32"/>
      <c r="D311" s="32"/>
      <c r="E311" s="32"/>
      <c r="F311" s="32"/>
      <c r="G311" s="33" t="s">
        <v>18</v>
      </c>
      <c r="H311" s="153" t="s">
        <v>12</v>
      </c>
      <c r="I311" s="334"/>
      <c r="J311" s="334"/>
      <c r="K311" s="335"/>
      <c r="L311" s="87">
        <f t="shared" ref="L311:N311" si="96">L313+L317</f>
        <v>0</v>
      </c>
      <c r="M311" s="87">
        <f t="shared" si="96"/>
        <v>0</v>
      </c>
      <c r="N311" s="87">
        <f t="shared" si="96"/>
        <v>0</v>
      </c>
      <c r="O311" s="155">
        <f t="shared" si="94"/>
        <v>0</v>
      </c>
      <c r="P311" s="155">
        <f t="shared" si="95"/>
        <v>0</v>
      </c>
    </row>
    <row r="312" spans="1:16" ht="21.75" customHeight="1" x14ac:dyDescent="0.45">
      <c r="A312" s="152"/>
      <c r="B312" s="32"/>
      <c r="C312" s="32"/>
      <c r="D312" s="32"/>
      <c r="E312" s="32"/>
      <c r="F312" s="32"/>
      <c r="G312" s="33" t="s">
        <v>19</v>
      </c>
      <c r="H312" s="153" t="s">
        <v>12</v>
      </c>
      <c r="I312" s="334"/>
      <c r="J312" s="334"/>
      <c r="K312" s="335"/>
      <c r="L312" s="87">
        <f t="shared" ref="L312:N312" ca="1" si="97">L314+L318</f>
        <v>0</v>
      </c>
      <c r="M312" s="87">
        <f t="shared" ca="1" si="97"/>
        <v>0</v>
      </c>
      <c r="N312" s="87">
        <f t="shared" ca="1" si="97"/>
        <v>0</v>
      </c>
      <c r="O312" s="155">
        <f t="shared" ca="1" si="94"/>
        <v>0</v>
      </c>
      <c r="P312" s="155">
        <f t="shared" ca="1" si="95"/>
        <v>0</v>
      </c>
    </row>
    <row r="313" spans="1:16" ht="21.75" customHeight="1" x14ac:dyDescent="0.3">
      <c r="A313" s="156"/>
      <c r="B313" s="157"/>
      <c r="C313" s="157" t="s">
        <v>16</v>
      </c>
      <c r="D313" s="158" t="s">
        <v>38</v>
      </c>
      <c r="E313" s="159"/>
      <c r="F313" s="159"/>
      <c r="G313" s="160" t="s">
        <v>39</v>
      </c>
      <c r="H313" s="161" t="s">
        <v>12</v>
      </c>
      <c r="I313" s="162" t="s">
        <v>40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3">
      <c r="A314" s="156"/>
      <c r="B314" s="157"/>
      <c r="C314" s="157"/>
      <c r="D314" s="166"/>
      <c r="E314" s="159"/>
      <c r="F314" s="159" t="s">
        <v>40</v>
      </c>
      <c r="G314" s="160" t="s">
        <v>41</v>
      </c>
      <c r="H314" s="161" t="s">
        <v>12</v>
      </c>
      <c r="I314" s="162"/>
      <c r="J314" s="162"/>
      <c r="K314" s="163"/>
      <c r="L314" s="167">
        <f ca="1">L315+L316</f>
        <v>0</v>
      </c>
      <c r="M314" s="167">
        <f ca="1">IFERROR(__xludf.DUMMYFUNCTION("IMPORTRANGE(""https://docs.google.com/spreadsheets/d/1Yj_ptqi66GCucihVvJfMjLAmec39IyEx_6qawtMGysU/edit?usp=sharing"",""สบก!DC30"")"),0)</f>
        <v>0</v>
      </c>
      <c r="N314" s="168">
        <f ca="1">IFERROR(__xludf.DUMMYFUNCTION("IMPORTRANGE(""https://docs.google.com/spreadsheets/d/1Yj_ptqi66GCucihVvJfMjLAmec39IyEx_6qawtMGysU/edit?usp=sharing"",""สบก!DD30"")"),0)</f>
        <v>0</v>
      </c>
      <c r="O314" s="168">
        <f ca="1">IF(L314&gt;0,N314*100/L314,0)</f>
        <v>0</v>
      </c>
      <c r="P314" s="168">
        <f ca="1">IF(M314&gt;0,N314*100/M314,0)</f>
        <v>0</v>
      </c>
    </row>
    <row r="315" spans="1:16" ht="21.75" customHeight="1" x14ac:dyDescent="0.3">
      <c r="A315" s="156"/>
      <c r="B315" s="157"/>
      <c r="C315" s="157"/>
      <c r="D315" s="166"/>
      <c r="E315" s="159"/>
      <c r="F315" s="159"/>
      <c r="G315" s="169" t="s">
        <v>42</v>
      </c>
      <c r="H315" s="161" t="s">
        <v>12</v>
      </c>
      <c r="I315" s="162"/>
      <c r="J315" s="162"/>
      <c r="K315" s="163"/>
      <c r="L315" s="167">
        <f ca="1">IFERROR(__xludf.DUMMYFUNCTION("IMPORTRANGE(""https://docs.google.com/spreadsheets/d/1Yj_ptqi66GCucihVvJfMjLAmec39IyEx_6qawtMGysU/edit?usp=sharing"",""สบก!CY30"")"),0)</f>
        <v>0</v>
      </c>
      <c r="M315" s="167"/>
      <c r="N315" s="167"/>
      <c r="O315" s="168"/>
      <c r="P315" s="168"/>
    </row>
    <row r="316" spans="1:16" ht="21.75" customHeight="1" x14ac:dyDescent="0.3">
      <c r="A316" s="156"/>
      <c r="B316" s="157"/>
      <c r="C316" s="157"/>
      <c r="D316" s="166"/>
      <c r="E316" s="159"/>
      <c r="F316" s="159"/>
      <c r="G316" s="169" t="s">
        <v>43</v>
      </c>
      <c r="H316" s="161" t="s">
        <v>12</v>
      </c>
      <c r="I316" s="162"/>
      <c r="J316" s="187"/>
      <c r="K316" s="223"/>
      <c r="L316" s="167">
        <f ca="1">IFERROR(__xludf.DUMMYFUNCTION("IMPORTRANGE(""https://docs.google.com/spreadsheets/d/1Yj_ptqi66GCucihVvJfMjLAmec39IyEx_6qawtMGysU/edit?usp=sharing"",""สบก!CZ30"")"),0)</f>
        <v>0</v>
      </c>
      <c r="M316" s="167"/>
      <c r="N316" s="167"/>
      <c r="O316" s="168"/>
      <c r="P316" s="168"/>
    </row>
    <row r="317" spans="1:16" ht="21.75" customHeight="1" x14ac:dyDescent="0.45">
      <c r="A317" s="170"/>
      <c r="B317" s="80"/>
      <c r="C317" s="81" t="s">
        <v>16</v>
      </c>
      <c r="D317" s="534" t="s">
        <v>23</v>
      </c>
      <c r="E317" s="530"/>
      <c r="F317" s="88"/>
      <c r="G317" s="82" t="s">
        <v>18</v>
      </c>
      <c r="H317" s="171" t="s">
        <v>12</v>
      </c>
      <c r="I317" s="162"/>
      <c r="J317" s="187"/>
      <c r="K317" s="223"/>
      <c r="L317" s="41">
        <v>0</v>
      </c>
      <c r="M317" s="41"/>
      <c r="N317" s="41"/>
      <c r="O317" s="41"/>
      <c r="P317" s="41"/>
    </row>
    <row r="318" spans="1:16" ht="21.75" customHeight="1" x14ac:dyDescent="0.45">
      <c r="A318" s="172"/>
      <c r="B318" s="91"/>
      <c r="C318" s="91"/>
      <c r="D318" s="173"/>
      <c r="E318" s="92"/>
      <c r="F318" s="92"/>
      <c r="G318" s="93" t="s">
        <v>19</v>
      </c>
      <c r="H318" s="174" t="s">
        <v>12</v>
      </c>
      <c r="I318" s="162"/>
      <c r="J318" s="187"/>
      <c r="K318" s="223"/>
      <c r="L318" s="49">
        <f ca="1">IFERROR(__xludf.DUMMYFUNCTION("IMPORTRANGE(""https://docs.google.com/spreadsheets/d/1Yj_ptqi66GCucihVvJfMjLAmec39IyEx_6qawtMGysU/edit?usp=sharing"",""สบก!DA30"")"),0)</f>
        <v>0</v>
      </c>
      <c r="M318" s="49"/>
      <c r="N318" s="49">
        <f ca="1">IFERROR(__xludf.DUMMYFUNCTION("IMPORTRANGE(""https://docs.google.com/spreadsheets/d/1Yj_ptqi66GCucihVvJfMjLAmec39IyEx_6qawtMGysU/edit?usp=sharing"",""สบก!DE30"")"),0)</f>
        <v>0</v>
      </c>
      <c r="O318" s="49">
        <f ca="1">IF(L318&gt;0,N318*100/L318,0)</f>
        <v>0</v>
      </c>
      <c r="P318" s="49"/>
    </row>
    <row r="319" spans="1:16" ht="21.75" customHeight="1" x14ac:dyDescent="0.3">
      <c r="A319" s="175"/>
      <c r="B319" s="176"/>
      <c r="C319" s="157" t="s">
        <v>16</v>
      </c>
      <c r="D319" s="177" t="s">
        <v>44</v>
      </c>
      <c r="E319" s="178"/>
      <c r="F319" s="178"/>
      <c r="G319" s="179"/>
      <c r="H319" s="180"/>
      <c r="I319" s="162"/>
      <c r="J319" s="187"/>
      <c r="K319" s="223"/>
      <c r="L319" s="168"/>
      <c r="M319" s="168"/>
      <c r="N319" s="168"/>
      <c r="O319" s="181"/>
      <c r="P319" s="181"/>
    </row>
    <row r="320" spans="1:16" ht="21.75" customHeight="1" x14ac:dyDescent="0.3">
      <c r="A320" s="175"/>
      <c r="B320" s="176"/>
      <c r="C320" s="176"/>
      <c r="D320" s="182">
        <v>1</v>
      </c>
      <c r="E320" s="183" t="s">
        <v>45</v>
      </c>
      <c r="F320" s="184"/>
      <c r="G320" s="185"/>
      <c r="H320" s="186"/>
      <c r="I320" s="187"/>
      <c r="J320" s="187">
        <f ca="1">IFERROR(__xludf.DUMMYFUNCTION("IMPORTRANGE(""https://docs.google.com/spreadsheets/d/11923uPwbBZFjjGgGUA6NLw09EwE0CqkOc4q9oUmW1yo/edit?usp=sharing"",""แพร่!J220"")"),0)</f>
        <v>0</v>
      </c>
      <c r="K320" s="223"/>
      <c r="L320" s="168"/>
      <c r="M320" s="168"/>
      <c r="N320" s="168"/>
      <c r="O320" s="181"/>
      <c r="P320" s="181"/>
    </row>
    <row r="321" spans="1:16" ht="21.75" customHeight="1" x14ac:dyDescent="0.3">
      <c r="A321" s="175"/>
      <c r="B321" s="176"/>
      <c r="C321" s="176"/>
      <c r="D321" s="189">
        <v>2</v>
      </c>
      <c r="E321" s="190" t="s">
        <v>46</v>
      </c>
      <c r="F321" s="191"/>
      <c r="G321" s="192"/>
      <c r="H321" s="186"/>
      <c r="I321" s="187"/>
      <c r="J321" s="187">
        <f ca="1">IFERROR(__xludf.DUMMYFUNCTION("IMPORTRANGE(""https://docs.google.com/spreadsheets/d/11923uPwbBZFjjGgGUA6NLw09EwE0CqkOc4q9oUmW1yo/edit?usp=sharing"",""แพร่!J221"")"),0)</f>
        <v>0</v>
      </c>
      <c r="K321" s="223"/>
      <c r="L321" s="168" t="s">
        <v>40</v>
      </c>
      <c r="M321" s="168"/>
      <c r="N321" s="168" t="s">
        <v>40</v>
      </c>
      <c r="O321" s="181"/>
      <c r="P321" s="181"/>
    </row>
    <row r="322" spans="1:16" ht="21.75" customHeight="1" x14ac:dyDescent="0.3">
      <c r="A322" s="175"/>
      <c r="B322" s="176"/>
      <c r="C322" s="176"/>
      <c r="D322" s="193"/>
      <c r="E322" s="194" t="s">
        <v>47</v>
      </c>
      <c r="F322" s="195"/>
      <c r="G322" s="196"/>
      <c r="H322" s="186"/>
      <c r="I322" s="187"/>
      <c r="J322" s="187">
        <f ca="1">IFERROR(__xludf.DUMMYFUNCTION("IMPORTRANGE(""https://docs.google.com/spreadsheets/d/11923uPwbBZFjjGgGUA6NLw09EwE0CqkOc4q9oUmW1yo/edit?usp=sharing"",""แพร่!J222"")"),0)</f>
        <v>0</v>
      </c>
      <c r="K322" s="223"/>
      <c r="L322" s="168"/>
      <c r="M322" s="168"/>
      <c r="N322" s="168"/>
      <c r="O322" s="181"/>
      <c r="P322" s="181"/>
    </row>
    <row r="323" spans="1:16" ht="21.75" customHeight="1" x14ac:dyDescent="0.3">
      <c r="A323" s="175"/>
      <c r="B323" s="176"/>
      <c r="C323" s="176"/>
      <c r="D323" s="193"/>
      <c r="E323" s="194" t="s">
        <v>48</v>
      </c>
      <c r="F323" s="195"/>
      <c r="G323" s="196"/>
      <c r="H323" s="186"/>
      <c r="I323" s="187"/>
      <c r="J323" s="187">
        <f ca="1">IFERROR(__xludf.DUMMYFUNCTION("IMPORTRANGE(""https://docs.google.com/spreadsheets/d/11923uPwbBZFjjGgGUA6NLw09EwE0CqkOc4q9oUmW1yo/edit?usp=sharing"",""แพร่!J223"")"),0)</f>
        <v>0</v>
      </c>
      <c r="K323" s="223"/>
      <c r="L323" s="168"/>
      <c r="M323" s="168"/>
      <c r="N323" s="168"/>
      <c r="O323" s="181"/>
      <c r="P323" s="181"/>
    </row>
    <row r="324" spans="1:16" ht="21.75" customHeight="1" x14ac:dyDescent="0.3">
      <c r="A324" s="175"/>
      <c r="B324" s="176"/>
      <c r="C324" s="176"/>
      <c r="D324" s="193"/>
      <c r="E324" s="198"/>
      <c r="F324" s="194" t="s">
        <v>117</v>
      </c>
      <c r="G324" s="196"/>
      <c r="H324" s="186" t="s">
        <v>116</v>
      </c>
      <c r="I324" s="187">
        <f ca="1">IFERROR(__xludf.DUMMYFUNCTION("IMPORTRANGE(""https://docs.google.com/spreadsheets/d/11923uPwbBZFjjGgGUA6NLw09EwE0CqkOc4q9oUmW1yo/edit?usp=sharing"",""แพร่!I224"")"),0)</f>
        <v>0</v>
      </c>
      <c r="J324" s="203">
        <f ca="1">IFERROR(__xludf.DUMMYFUNCTION("IMPORTRANGE(""https://docs.google.com/spreadsheets/d/11923uPwbBZFjjGgGUA6NLw09EwE0CqkOc4q9oUmW1yo/edit?usp=sharing"",""แพร่!J224"")"),0)</f>
        <v>0</v>
      </c>
      <c r="K324" s="223">
        <f ca="1">IF(I324&gt;0,J324*100/I324,0)</f>
        <v>0</v>
      </c>
      <c r="L324" s="168"/>
      <c r="M324" s="168"/>
      <c r="N324" s="168"/>
      <c r="O324" s="181"/>
      <c r="P324" s="181"/>
    </row>
    <row r="325" spans="1:16" ht="21.75" customHeight="1" x14ac:dyDescent="0.3">
      <c r="A325" s="175"/>
      <c r="B325" s="176"/>
      <c r="C325" s="176"/>
      <c r="D325" s="193"/>
      <c r="E325" s="194" t="s">
        <v>54</v>
      </c>
      <c r="F325" s="195"/>
      <c r="G325" s="196"/>
      <c r="H325" s="186"/>
      <c r="I325" s="187"/>
      <c r="J325" s="187">
        <f ca="1">IFERROR(__xludf.DUMMYFUNCTION("IMPORTRANGE(""https://docs.google.com/spreadsheets/d/11923uPwbBZFjjGgGUA6NLw09EwE0CqkOc4q9oUmW1yo/edit?usp=sharing"",""แพร่!J225"")"),0)</f>
        <v>0</v>
      </c>
      <c r="K325" s="223"/>
      <c r="L325" s="168"/>
      <c r="M325" s="168"/>
      <c r="N325" s="168"/>
      <c r="O325" s="181"/>
      <c r="P325" s="181"/>
    </row>
    <row r="326" spans="1:16" ht="21.75" customHeight="1" x14ac:dyDescent="0.3">
      <c r="A326" s="175"/>
      <c r="B326" s="176"/>
      <c r="C326" s="176"/>
      <c r="D326" s="205">
        <v>3</v>
      </c>
      <c r="E326" s="206" t="s">
        <v>55</v>
      </c>
      <c r="F326" s="207"/>
      <c r="G326" s="208"/>
      <c r="H326" s="186"/>
      <c r="I326" s="187"/>
      <c r="J326" s="226">
        <f ca="1">IFERROR(__xludf.DUMMYFUNCTION("IMPORTRANGE(""https://docs.google.com/spreadsheets/d/11923uPwbBZFjjGgGUA6NLw09EwE0CqkOc4q9oUmW1yo/edit?usp=sharing"",""แพร่!J226"")"),0)</f>
        <v>0</v>
      </c>
      <c r="K326" s="223"/>
      <c r="L326" s="168"/>
      <c r="M326" s="168"/>
      <c r="N326" s="168"/>
      <c r="O326" s="181"/>
      <c r="P326" s="181"/>
    </row>
    <row r="327" spans="1:16" ht="21.75" customHeight="1" x14ac:dyDescent="0.3">
      <c r="A327" s="302" t="s">
        <v>118</v>
      </c>
      <c r="B327" s="303"/>
      <c r="C327" s="303"/>
      <c r="D327" s="304"/>
      <c r="E327" s="303"/>
      <c r="F327" s="303"/>
      <c r="G327" s="317"/>
      <c r="H327" s="306"/>
      <c r="I327" s="307"/>
      <c r="J327" s="307"/>
      <c r="K327" s="308"/>
      <c r="L327" s="308"/>
      <c r="M327" s="308"/>
      <c r="N327" s="308"/>
      <c r="O327" s="309"/>
      <c r="P327" s="309"/>
    </row>
    <row r="328" spans="1:16" ht="21.75" customHeight="1" x14ac:dyDescent="0.3">
      <c r="A328" s="310"/>
      <c r="B328" s="336" t="s">
        <v>119</v>
      </c>
      <c r="C328" s="323"/>
      <c r="D328" s="311"/>
      <c r="E328" s="311"/>
      <c r="F328" s="311"/>
      <c r="G328" s="312"/>
      <c r="H328" s="313" t="s">
        <v>37</v>
      </c>
      <c r="I328" s="337">
        <f ca="1">IFERROR(__xludf.DUMMYFUNCTION("IMPORTRANGE(""https://docs.google.com/spreadsheets/d/11923uPwbBZFjjGgGUA6NLw09EwE0CqkOc4q9oUmW1yo/edit?usp=sharing"",""แพร่!I228"")"),360)</f>
        <v>360</v>
      </c>
      <c r="J328" s="337">
        <f ca="1">IFERROR(__xludf.DUMMYFUNCTION("IMPORTRANGE(""https://docs.google.com/spreadsheets/d/11923uPwbBZFjjGgGUA6NLw09EwE0CqkOc4q9oUmW1yo/edit?usp=sharing"",""แพร่!J228"")"),208)</f>
        <v>208</v>
      </c>
      <c r="K328" s="315">
        <f ca="1">IF(I328&gt;0,J328*100/I328,0)</f>
        <v>57.777777777777779</v>
      </c>
      <c r="L328" s="316"/>
      <c r="M328" s="316"/>
      <c r="N328" s="316"/>
      <c r="O328" s="315"/>
      <c r="P328" s="315"/>
    </row>
    <row r="329" spans="1:16" ht="21.75" customHeight="1" x14ac:dyDescent="0.45">
      <c r="A329" s="145"/>
      <c r="B329" s="146"/>
      <c r="C329" s="147" t="s">
        <v>16</v>
      </c>
      <c r="D329" s="537" t="s">
        <v>17</v>
      </c>
      <c r="E329" s="528"/>
      <c r="F329" s="528"/>
      <c r="G329" s="528"/>
      <c r="H329" s="148" t="s">
        <v>12</v>
      </c>
      <c r="I329" s="162"/>
      <c r="J329" s="162"/>
      <c r="K329" s="163"/>
      <c r="L329" s="151">
        <f t="shared" ref="L329:N329" ca="1" si="98">L330+L331</f>
        <v>833180</v>
      </c>
      <c r="M329" s="151">
        <f t="shared" ca="1" si="98"/>
        <v>447000</v>
      </c>
      <c r="N329" s="151">
        <f t="shared" ca="1" si="98"/>
        <v>390279</v>
      </c>
      <c r="O329" s="150">
        <f t="shared" ref="O329:O331" ca="1" si="99">IF(L329&gt;0,N329*100/L329,0)</f>
        <v>46.8420989462061</v>
      </c>
      <c r="P329" s="150">
        <f t="shared" ref="P329:P331" ca="1" si="100">IF(M329&gt;0,N329*100/M329,0)</f>
        <v>87.310738255033556</v>
      </c>
    </row>
    <row r="330" spans="1:16" ht="21.75" customHeight="1" x14ac:dyDescent="0.45">
      <c r="A330" s="152"/>
      <c r="B330" s="32"/>
      <c r="C330" s="32"/>
      <c r="D330" s="32"/>
      <c r="E330" s="32"/>
      <c r="F330" s="32"/>
      <c r="G330" s="33" t="s">
        <v>18</v>
      </c>
      <c r="H330" s="153" t="s">
        <v>12</v>
      </c>
      <c r="I330" s="162"/>
      <c r="J330" s="162"/>
      <c r="K330" s="163"/>
      <c r="L330" s="87">
        <f t="shared" ref="L330:N330" si="101">L332+L336</f>
        <v>0</v>
      </c>
      <c r="M330" s="87">
        <f t="shared" si="101"/>
        <v>0</v>
      </c>
      <c r="N330" s="87">
        <f t="shared" si="101"/>
        <v>0</v>
      </c>
      <c r="O330" s="155">
        <f t="shared" si="99"/>
        <v>0</v>
      </c>
      <c r="P330" s="155">
        <f t="shared" si="100"/>
        <v>0</v>
      </c>
    </row>
    <row r="331" spans="1:16" ht="21.75" customHeight="1" x14ac:dyDescent="0.45">
      <c r="A331" s="152"/>
      <c r="B331" s="32"/>
      <c r="C331" s="32"/>
      <c r="D331" s="32"/>
      <c r="E331" s="32"/>
      <c r="F331" s="32"/>
      <c r="G331" s="33" t="s">
        <v>19</v>
      </c>
      <c r="H331" s="153" t="s">
        <v>12</v>
      </c>
      <c r="I331" s="162"/>
      <c r="J331" s="162"/>
      <c r="K331" s="163"/>
      <c r="L331" s="87">
        <f t="shared" ref="L331:N331" ca="1" si="102">L333+L337</f>
        <v>833180</v>
      </c>
      <c r="M331" s="87">
        <f t="shared" ca="1" si="102"/>
        <v>447000</v>
      </c>
      <c r="N331" s="87">
        <f t="shared" ca="1" si="102"/>
        <v>390279</v>
      </c>
      <c r="O331" s="155">
        <f t="shared" ca="1" si="99"/>
        <v>46.8420989462061</v>
      </c>
      <c r="P331" s="155">
        <f t="shared" ca="1" si="100"/>
        <v>87.310738255033556</v>
      </c>
    </row>
    <row r="332" spans="1:16" ht="21.75" customHeight="1" x14ac:dyDescent="0.3">
      <c r="A332" s="156"/>
      <c r="B332" s="157"/>
      <c r="C332" s="157" t="s">
        <v>16</v>
      </c>
      <c r="D332" s="158" t="s">
        <v>38</v>
      </c>
      <c r="E332" s="159"/>
      <c r="F332" s="159"/>
      <c r="G332" s="160" t="s">
        <v>39</v>
      </c>
      <c r="H332" s="161" t="s">
        <v>12</v>
      </c>
      <c r="I332" s="162" t="s">
        <v>40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3">
      <c r="A333" s="156"/>
      <c r="B333" s="157"/>
      <c r="C333" s="157"/>
      <c r="D333" s="166"/>
      <c r="E333" s="159"/>
      <c r="F333" s="159" t="s">
        <v>40</v>
      </c>
      <c r="G333" s="160" t="s">
        <v>41</v>
      </c>
      <c r="H333" s="161" t="s">
        <v>12</v>
      </c>
      <c r="I333" s="162"/>
      <c r="J333" s="162"/>
      <c r="K333" s="163"/>
      <c r="L333" s="167">
        <f ca="1">L334+L335</f>
        <v>823180</v>
      </c>
      <c r="M333" s="167">
        <f ca="1">IFERROR(__xludf.DUMMYFUNCTION("IMPORTRANGE(""https://docs.google.com/spreadsheets/d/1Yj_ptqi66GCucihVvJfMjLAmec39IyEx_6qawtMGysU/edit?usp=sharing"",""สบก!DL30"")"),437000)</f>
        <v>437000</v>
      </c>
      <c r="N333" s="168">
        <f ca="1">IFERROR(__xludf.DUMMYFUNCTION("IMPORTRANGE(""https://docs.google.com/spreadsheets/d/1Yj_ptqi66GCucihVvJfMjLAmec39IyEx_6qawtMGysU/edit?usp=sharing"",""สบก!DM30"")"),380279)</f>
        <v>380279</v>
      </c>
      <c r="O333" s="168">
        <f ca="1">IF(L333&gt;0,N333*100/L333,0)</f>
        <v>46.196336159770645</v>
      </c>
      <c r="P333" s="168">
        <f ca="1">IF(M333&gt;0,N333*100/M333,0)</f>
        <v>87.020366132723112</v>
      </c>
    </row>
    <row r="334" spans="1:16" ht="21.75" customHeight="1" x14ac:dyDescent="0.3">
      <c r="A334" s="156"/>
      <c r="B334" s="157"/>
      <c r="C334" s="157"/>
      <c r="D334" s="166"/>
      <c r="E334" s="159"/>
      <c r="F334" s="159"/>
      <c r="G334" s="169" t="s">
        <v>42</v>
      </c>
      <c r="H334" s="161" t="s">
        <v>12</v>
      </c>
      <c r="I334" s="162"/>
      <c r="J334" s="162"/>
      <c r="K334" s="163"/>
      <c r="L334" s="167">
        <f ca="1">IFERROR(__xludf.DUMMYFUNCTION("IMPORTRANGE(""https://docs.google.com/spreadsheets/d/1Yj_ptqi66GCucihVvJfMjLAmec39IyEx_6qawtMGysU/edit?usp=sharing"",""สบก!DH30"")"),491200)</f>
        <v>491200</v>
      </c>
      <c r="M334" s="167"/>
      <c r="N334" s="167"/>
      <c r="O334" s="168"/>
      <c r="P334" s="168"/>
    </row>
    <row r="335" spans="1:16" ht="21.75" customHeight="1" x14ac:dyDescent="0.3">
      <c r="A335" s="156"/>
      <c r="B335" s="157"/>
      <c r="C335" s="157"/>
      <c r="D335" s="166"/>
      <c r="E335" s="159"/>
      <c r="F335" s="159"/>
      <c r="G335" s="169" t="s">
        <v>43</v>
      </c>
      <c r="H335" s="161" t="s">
        <v>12</v>
      </c>
      <c r="I335" s="162"/>
      <c r="J335" s="162"/>
      <c r="K335" s="163"/>
      <c r="L335" s="167">
        <f ca="1">IFERROR(__xludf.DUMMYFUNCTION("IMPORTRANGE(""https://docs.google.com/spreadsheets/d/1Yj_ptqi66GCucihVvJfMjLAmec39IyEx_6qawtMGysU/edit?usp=sharing"",""สบก!DI30"")"),331980)</f>
        <v>331980</v>
      </c>
      <c r="M335" s="167"/>
      <c r="N335" s="167"/>
      <c r="O335" s="168"/>
      <c r="P335" s="168"/>
    </row>
    <row r="336" spans="1:16" ht="21.75" customHeight="1" x14ac:dyDescent="0.45">
      <c r="A336" s="170"/>
      <c r="B336" s="80"/>
      <c r="C336" s="81" t="s">
        <v>16</v>
      </c>
      <c r="D336" s="534" t="s">
        <v>23</v>
      </c>
      <c r="E336" s="530"/>
      <c r="F336" s="88"/>
      <c r="G336" s="82" t="s">
        <v>18</v>
      </c>
      <c r="H336" s="171" t="s">
        <v>12</v>
      </c>
      <c r="I336" s="162"/>
      <c r="J336" s="162"/>
      <c r="K336" s="163"/>
      <c r="L336" s="41">
        <v>0</v>
      </c>
      <c r="M336" s="41"/>
      <c r="N336" s="41"/>
      <c r="O336" s="41"/>
      <c r="P336" s="41"/>
    </row>
    <row r="337" spans="1:16" ht="21.75" customHeight="1" x14ac:dyDescent="0.45">
      <c r="A337" s="172"/>
      <c r="B337" s="91"/>
      <c r="C337" s="91"/>
      <c r="D337" s="173"/>
      <c r="E337" s="92"/>
      <c r="F337" s="92"/>
      <c r="G337" s="93" t="s">
        <v>19</v>
      </c>
      <c r="H337" s="174" t="s">
        <v>12</v>
      </c>
      <c r="I337" s="162"/>
      <c r="J337" s="162"/>
      <c r="K337" s="163"/>
      <c r="L337" s="49">
        <f ca="1">IFERROR(__xludf.DUMMYFUNCTION("IMPORTRANGE(""https://docs.google.com/spreadsheets/d/1Yj_ptqi66GCucihVvJfMjLAmec39IyEx_6qawtMGysU/edit?usp=sharing"",""สบก!DJ30"")"),10000)</f>
        <v>10000</v>
      </c>
      <c r="M337" s="49">
        <f ca="1">L337</f>
        <v>10000</v>
      </c>
      <c r="N337" s="49">
        <f ca="1">IFERROR(__xludf.DUMMYFUNCTION("IMPORTRANGE(""https://docs.google.com/spreadsheets/d/1Yj_ptqi66GCucihVvJfMjLAmec39IyEx_6qawtMGysU/edit?usp=sharing"",""สบก!DN30"")"),10000)</f>
        <v>10000</v>
      </c>
      <c r="O337" s="49">
        <f ca="1">IF(L337&gt;0,N337*100/L337,0)</f>
        <v>100</v>
      </c>
      <c r="P337" s="49">
        <f ca="1">IF(M337&gt;0,N337*100/M337,0)</f>
        <v>100</v>
      </c>
    </row>
    <row r="338" spans="1:16" ht="21.75" customHeight="1" x14ac:dyDescent="0.3">
      <c r="A338" s="175"/>
      <c r="B338" s="289"/>
      <c r="C338" s="338" t="s">
        <v>120</v>
      </c>
      <c r="D338" s="195"/>
      <c r="E338" s="195"/>
      <c r="F338" s="195"/>
      <c r="G338" s="196"/>
      <c r="H338" s="180"/>
      <c r="I338" s="339"/>
      <c r="J338" s="339"/>
      <c r="K338" s="340"/>
      <c r="L338" s="181"/>
      <c r="M338" s="181"/>
      <c r="N338" s="181"/>
      <c r="O338" s="341"/>
      <c r="P338" s="341"/>
    </row>
    <row r="339" spans="1:16" ht="21.75" customHeight="1" x14ac:dyDescent="0.3">
      <c r="A339" s="175"/>
      <c r="B339" s="289"/>
      <c r="C339" s="176"/>
      <c r="D339" s="195"/>
      <c r="E339" s="194" t="s">
        <v>121</v>
      </c>
      <c r="F339" s="195"/>
      <c r="G339" s="196"/>
      <c r="H339" s="342" t="s">
        <v>37</v>
      </c>
      <c r="I339" s="203">
        <f ca="1">IFERROR(__xludf.DUMMYFUNCTION("IMPORTRANGE(""https://docs.google.com/spreadsheets/d/11923uPwbBZFjjGgGUA6NLw09EwE0CqkOc4q9oUmW1yo/edit?usp=sharing"",""แพร่!I234"")"),0)</f>
        <v>0</v>
      </c>
      <c r="J339" s="187">
        <f ca="1">IFERROR(__xludf.DUMMYFUNCTION("IMPORTRANGE(""https://docs.google.com/spreadsheets/d/11923uPwbBZFjjGgGUA6NLw09EwE0CqkOc4q9oUmW1yo/edit?usp=sharing"",""แพร่!J234"")"),95)</f>
        <v>95</v>
      </c>
      <c r="K339" s="340">
        <f t="shared" ref="K339:K346" ca="1" si="103">IF(I339&gt;0,J339*100/I339,0)</f>
        <v>0</v>
      </c>
      <c r="L339" s="181"/>
      <c r="M339" s="181"/>
      <c r="N339" s="181"/>
      <c r="O339" s="341"/>
      <c r="P339" s="341"/>
    </row>
    <row r="340" spans="1:16" ht="21.75" customHeight="1" x14ac:dyDescent="0.3">
      <c r="A340" s="175"/>
      <c r="B340" s="289"/>
      <c r="C340" s="176"/>
      <c r="D340" s="195"/>
      <c r="E340" s="195"/>
      <c r="F340" s="195"/>
      <c r="G340" s="196"/>
      <c r="H340" s="342" t="s">
        <v>122</v>
      </c>
      <c r="I340" s="187">
        <f ca="1">IFERROR(__xludf.DUMMYFUNCTION("IMPORTRANGE(""https://docs.google.com/spreadsheets/d/11923uPwbBZFjjGgGUA6NLw09EwE0CqkOc4q9oUmW1yo/edit?usp=sharing"",""แพร่!I235"")"),1300)</f>
        <v>1300</v>
      </c>
      <c r="J340" s="187">
        <f ca="1">IFERROR(__xludf.DUMMYFUNCTION("IMPORTRANGE(""https://docs.google.com/spreadsheets/d/11923uPwbBZFjjGgGUA6NLw09EwE0CqkOc4q9oUmW1yo/edit?usp=sharing"",""แพร่!J235"")"),704.369999999999)</f>
        <v>704.36999999999898</v>
      </c>
      <c r="K340" s="340">
        <f t="shared" ca="1" si="103"/>
        <v>54.182307692307617</v>
      </c>
      <c r="L340" s="181"/>
      <c r="M340" s="181"/>
      <c r="N340" s="181"/>
      <c r="O340" s="341"/>
      <c r="P340" s="341"/>
    </row>
    <row r="341" spans="1:16" ht="21.75" customHeight="1" x14ac:dyDescent="0.3">
      <c r="A341" s="175"/>
      <c r="B341" s="289"/>
      <c r="C341" s="176"/>
      <c r="D341" s="195"/>
      <c r="E341" s="194" t="s">
        <v>123</v>
      </c>
      <c r="F341" s="195"/>
      <c r="G341" s="196"/>
      <c r="H341" s="180" t="s">
        <v>37</v>
      </c>
      <c r="I341" s="187">
        <f ca="1">IFERROR(__xludf.DUMMYFUNCTION("IMPORTRANGE(""https://docs.google.com/spreadsheets/d/11923uPwbBZFjjGgGUA6NLw09EwE0CqkOc4q9oUmW1yo/edit?usp=sharing"",""แพร่!I236"")"),360)</f>
        <v>360</v>
      </c>
      <c r="J341" s="187">
        <f ca="1">IFERROR(__xludf.DUMMYFUNCTION("IMPORTRANGE(""https://docs.google.com/spreadsheets/d/11923uPwbBZFjjGgGUA6NLw09EwE0CqkOc4q9oUmW1yo/edit?usp=sharing"",""แพร่!J236"")"),255)</f>
        <v>255</v>
      </c>
      <c r="K341" s="340">
        <f t="shared" ca="1" si="103"/>
        <v>70.833333333333329</v>
      </c>
      <c r="L341" s="181"/>
      <c r="M341" s="181"/>
      <c r="N341" s="181"/>
      <c r="O341" s="341"/>
      <c r="P341" s="341"/>
    </row>
    <row r="342" spans="1:16" ht="21.75" customHeight="1" x14ac:dyDescent="0.3">
      <c r="A342" s="175"/>
      <c r="B342" s="289"/>
      <c r="C342" s="176"/>
      <c r="D342" s="195"/>
      <c r="E342" s="195"/>
      <c r="F342" s="195"/>
      <c r="G342" s="196"/>
      <c r="H342" s="180" t="s">
        <v>122</v>
      </c>
      <c r="I342" s="343">
        <f ca="1">IFERROR(__xludf.DUMMYFUNCTION("IMPORTRANGE(""https://docs.google.com/spreadsheets/d/11923uPwbBZFjjGgGUA6NLw09EwE0CqkOc4q9oUmW1yo/edit?usp=sharing"",""แพร่!I237"")"),0)</f>
        <v>0</v>
      </c>
      <c r="J342" s="187">
        <f ca="1">IFERROR(__xludf.DUMMYFUNCTION("IMPORTRANGE(""https://docs.google.com/spreadsheets/d/11923uPwbBZFjjGgGUA6NLw09EwE0CqkOc4q9oUmW1yo/edit?usp=sharing"",""แพร่!J237"")"),2193.04)</f>
        <v>2193.04</v>
      </c>
      <c r="K342" s="340">
        <f t="shared" ca="1" si="103"/>
        <v>0</v>
      </c>
      <c r="L342" s="181"/>
      <c r="M342" s="181"/>
      <c r="N342" s="181"/>
      <c r="O342" s="341"/>
      <c r="P342" s="341"/>
    </row>
    <row r="343" spans="1:16" ht="21.75" customHeight="1" x14ac:dyDescent="0.3">
      <c r="A343" s="175"/>
      <c r="B343" s="289"/>
      <c r="C343" s="176"/>
      <c r="D343" s="195"/>
      <c r="E343" s="194" t="s">
        <v>124</v>
      </c>
      <c r="F343" s="195"/>
      <c r="G343" s="196"/>
      <c r="H343" s="180" t="s">
        <v>37</v>
      </c>
      <c r="I343" s="187">
        <f ca="1">IFERROR(__xludf.DUMMYFUNCTION("IMPORTRANGE(""https://docs.google.com/spreadsheets/d/11923uPwbBZFjjGgGUA6NLw09EwE0CqkOc4q9oUmW1yo/edit?usp=sharing"",""แพร่!I238"")"),360)</f>
        <v>360</v>
      </c>
      <c r="J343" s="187">
        <f ca="1">IFERROR(__xludf.DUMMYFUNCTION("IMPORTRANGE(""https://docs.google.com/spreadsheets/d/11923uPwbBZFjjGgGUA6NLw09EwE0CqkOc4q9oUmW1yo/edit?usp=sharing"",""แพร่!J238"")"),0)</f>
        <v>0</v>
      </c>
      <c r="K343" s="340">
        <f t="shared" ca="1" si="103"/>
        <v>0</v>
      </c>
      <c r="L343" s="181"/>
      <c r="M343" s="181"/>
      <c r="N343" s="181"/>
      <c r="O343" s="341"/>
      <c r="P343" s="341"/>
    </row>
    <row r="344" spans="1:16" ht="21.75" customHeight="1" x14ac:dyDescent="0.3">
      <c r="A344" s="175"/>
      <c r="B344" s="289"/>
      <c r="C344" s="176"/>
      <c r="D344" s="195"/>
      <c r="E344" s="195"/>
      <c r="F344" s="195"/>
      <c r="G344" s="196"/>
      <c r="H344" s="180" t="s">
        <v>122</v>
      </c>
      <c r="I344" s="343">
        <f ca="1">IFERROR(__xludf.DUMMYFUNCTION("IMPORTRANGE(""https://docs.google.com/spreadsheets/d/11923uPwbBZFjjGgGUA6NLw09EwE0CqkOc4q9oUmW1yo/edit?usp=sharing"",""แพร่!I239"")"),0)</f>
        <v>0</v>
      </c>
      <c r="J344" s="187">
        <f ca="1">IFERROR(__xludf.DUMMYFUNCTION("IMPORTRANGE(""https://docs.google.com/spreadsheets/d/11923uPwbBZFjjGgGUA6NLw09EwE0CqkOc4q9oUmW1yo/edit?usp=sharing"",""แพร่!J239"")"),0)</f>
        <v>0</v>
      </c>
      <c r="K344" s="340">
        <f t="shared" ca="1" si="103"/>
        <v>0</v>
      </c>
      <c r="L344" s="181"/>
      <c r="M344" s="181"/>
      <c r="N344" s="181"/>
      <c r="O344" s="341"/>
      <c r="P344" s="341"/>
    </row>
    <row r="345" spans="1:16" ht="21.75" customHeight="1" x14ac:dyDescent="0.3">
      <c r="A345" s="175"/>
      <c r="B345" s="289"/>
      <c r="C345" s="176"/>
      <c r="D345" s="195"/>
      <c r="E345" s="194" t="s">
        <v>125</v>
      </c>
      <c r="F345" s="195"/>
      <c r="G345" s="196"/>
      <c r="H345" s="180" t="s">
        <v>37</v>
      </c>
      <c r="I345" s="187">
        <f ca="1">IFERROR(__xludf.DUMMYFUNCTION("IMPORTRANGE(""https://docs.google.com/spreadsheets/d/11923uPwbBZFjjGgGUA6NLw09EwE0CqkOc4q9oUmW1yo/edit?usp=sharing"",""แพร่!I240"")"),360)</f>
        <v>360</v>
      </c>
      <c r="J345" s="187">
        <f ca="1">IFERROR(__xludf.DUMMYFUNCTION("IMPORTRANGE(""https://docs.google.com/spreadsheets/d/11923uPwbBZFjjGgGUA6NLw09EwE0CqkOc4q9oUmW1yo/edit?usp=sharing"",""แพร่!J240"")"),208)</f>
        <v>208</v>
      </c>
      <c r="K345" s="340">
        <f t="shared" ca="1" si="103"/>
        <v>57.777777777777779</v>
      </c>
      <c r="L345" s="181"/>
      <c r="M345" s="181"/>
      <c r="N345" s="181"/>
      <c r="O345" s="341"/>
      <c r="P345" s="341"/>
    </row>
    <row r="346" spans="1:16" ht="21.75" customHeight="1" x14ac:dyDescent="0.3">
      <c r="A346" s="233"/>
      <c r="B346" s="344"/>
      <c r="C346" s="234"/>
      <c r="D346" s="344"/>
      <c r="E346" s="345"/>
      <c r="F346" s="345"/>
      <c r="G346" s="346"/>
      <c r="H346" s="347" t="s">
        <v>122</v>
      </c>
      <c r="I346" s="348">
        <f ca="1">IFERROR(__xludf.DUMMYFUNCTION("IMPORTRANGE(""https://docs.google.com/spreadsheets/d/11923uPwbBZFjjGgGUA6NLw09EwE0CqkOc4q9oUmW1yo/edit?usp=sharing"",""แพร่!I241"")"),0)</f>
        <v>0</v>
      </c>
      <c r="J346" s="187">
        <f ca="1">IFERROR(__xludf.DUMMYFUNCTION("IMPORTRANGE(""https://docs.google.com/spreadsheets/d/11923uPwbBZFjjGgGUA6NLw09EwE0CqkOc4q9oUmW1yo/edit?usp=sharing"",""แพร่!J241"")"),1859.34)</f>
        <v>1859.34</v>
      </c>
      <c r="K346" s="349">
        <f t="shared" ca="1" si="103"/>
        <v>0</v>
      </c>
      <c r="L346" s="244"/>
      <c r="M346" s="244"/>
      <c r="N346" s="244"/>
      <c r="O346" s="350"/>
      <c r="P346" s="350"/>
    </row>
    <row r="347" spans="1:16" ht="21.75" customHeight="1" x14ac:dyDescent="0.3">
      <c r="A347" s="351" t="s">
        <v>126</v>
      </c>
      <c r="B347" s="352"/>
      <c r="C347" s="352"/>
      <c r="D347" s="352"/>
      <c r="E347" s="352"/>
      <c r="F347" s="352"/>
      <c r="G347" s="353"/>
      <c r="H347" s="354"/>
      <c r="I347" s="355"/>
      <c r="J347" s="355"/>
      <c r="K347" s="356"/>
      <c r="L347" s="356">
        <f ca="1">IFERROR(__xludf.DUMMYFUNCTION("IMPORTRANGE(""https://docs.google.com/spreadsheets/d/11923uPwbBZFjjGgGUA6NLw09EwE0CqkOc4q9oUmW1yo/edit?usp=sharing"",""แพร่!L242"")"),1858960)</f>
        <v>1858960</v>
      </c>
      <c r="M347" s="356"/>
      <c r="N347" s="356">
        <f ca="1">IFERROR(__xludf.DUMMYFUNCTION("IMPORTRANGE(""https://docs.google.com/spreadsheets/d/11923uPwbBZFjjGgGUA6NLw09EwE0CqkOc4q9oUmW1yo/edit?usp=sharing"",""แพร่!M242"")"),557615.4)</f>
        <v>557615.4</v>
      </c>
      <c r="O347" s="356">
        <f ca="1">+IF(L347&gt;0,N347*100/L347,0)</f>
        <v>29.996094590523732</v>
      </c>
      <c r="P347" s="356"/>
    </row>
    <row r="348" spans="1:16" ht="21.75" customHeight="1" x14ac:dyDescent="0.3">
      <c r="A348" s="357" t="s">
        <v>127</v>
      </c>
      <c r="B348" s="358"/>
      <c r="C348" s="358"/>
      <c r="D348" s="358"/>
      <c r="E348" s="358"/>
      <c r="F348" s="358"/>
      <c r="G348" s="359"/>
      <c r="H348" s="360"/>
      <c r="I348" s="361"/>
      <c r="J348" s="361"/>
      <c r="K348" s="362"/>
      <c r="L348" s="362"/>
      <c r="M348" s="362"/>
      <c r="N348" s="362"/>
      <c r="O348" s="363"/>
      <c r="P348" s="363"/>
    </row>
    <row r="349" spans="1:16" ht="21.75" customHeight="1" x14ac:dyDescent="0.3">
      <c r="A349" s="364"/>
      <c r="B349" s="365">
        <v>1</v>
      </c>
      <c r="C349" s="366" t="s">
        <v>128</v>
      </c>
      <c r="D349" s="366"/>
      <c r="E349" s="366"/>
      <c r="F349" s="366"/>
      <c r="G349" s="367"/>
      <c r="H349" s="368" t="s">
        <v>122</v>
      </c>
      <c r="I349" s="369">
        <f ca="1">IFERROR(__xludf.DUMMYFUNCTION("IMPORTRANGE(""https://docs.google.com/spreadsheets/d/11923uPwbBZFjjGgGUA6NLw09EwE0CqkOc4q9oUmW1yo/edit?usp=sharing"",""แพร่!I244"")"),90)</f>
        <v>90</v>
      </c>
      <c r="J349" s="369">
        <f ca="1">IFERROR(__xludf.DUMMYFUNCTION("IMPORTRANGE(""https://docs.google.com/spreadsheets/d/11923uPwbBZFjjGgGUA6NLw09EwE0CqkOc4q9oUmW1yo/edit?usp=sharing"",""แพร่!J244"")"),90)</f>
        <v>90</v>
      </c>
      <c r="K349" s="370">
        <f t="shared" ref="K349:K350" ca="1" si="104">IF(I349&gt;0,J349*100/I349,0)</f>
        <v>100</v>
      </c>
      <c r="L349" s="371">
        <f ca="1">IFERROR(__xludf.DUMMYFUNCTION("IMPORTRANGE(""https://docs.google.com/spreadsheets/d/11923uPwbBZFjjGgGUA6NLw09EwE0CqkOc4q9oUmW1yo/edit?usp=sharing"",""แพร่!L244"")"),348030)</f>
        <v>348030</v>
      </c>
      <c r="M349" s="371"/>
      <c r="N349" s="371">
        <f ca="1">IFERROR(__xludf.DUMMYFUNCTION("IMPORTRANGE(""https://docs.google.com/spreadsheets/d/11923uPwbBZFjjGgGUA6NLw09EwE0CqkOc4q9oUmW1yo/edit?usp=sharing"",""แพร่!M244"")"),202060)</f>
        <v>202060</v>
      </c>
      <c r="O349" s="371">
        <f ca="1">+IF(L349&gt;0,N349*100/L349,0)</f>
        <v>58.058213372410421</v>
      </c>
      <c r="P349" s="371"/>
    </row>
    <row r="350" spans="1:16" ht="21.75" customHeight="1" x14ac:dyDescent="0.3">
      <c r="A350" s="364"/>
      <c r="B350" s="365"/>
      <c r="C350" s="366"/>
      <c r="D350" s="366"/>
      <c r="E350" s="366"/>
      <c r="F350" s="366"/>
      <c r="G350" s="367"/>
      <c r="H350" s="368" t="s">
        <v>37</v>
      </c>
      <c r="I350" s="369">
        <f ca="1">IFERROR(__xludf.DUMMYFUNCTION("IMPORTRANGE(""https://docs.google.com/spreadsheets/d/11923uPwbBZFjjGgGUA6NLw09EwE0CqkOc4q9oUmW1yo/edit?usp=sharing"",""แพร่!I245"")"),55)</f>
        <v>55</v>
      </c>
      <c r="J350" s="369">
        <f ca="1">IFERROR(__xludf.DUMMYFUNCTION("IMPORTRANGE(""https://docs.google.com/spreadsheets/d/11923uPwbBZFjjGgGUA6NLw09EwE0CqkOc4q9oUmW1yo/edit?usp=sharing"",""แพร่!J245"")"),0)</f>
        <v>0</v>
      </c>
      <c r="K350" s="370">
        <f t="shared" ca="1" si="104"/>
        <v>0</v>
      </c>
      <c r="L350" s="371"/>
      <c r="M350" s="371"/>
      <c r="N350" s="371"/>
      <c r="O350" s="371"/>
      <c r="P350" s="371"/>
    </row>
    <row r="351" spans="1:16" ht="21.75" customHeight="1" x14ac:dyDescent="0.3">
      <c r="A351" s="156"/>
      <c r="B351" s="157"/>
      <c r="C351" s="157" t="s">
        <v>16</v>
      </c>
      <c r="D351" s="158" t="s">
        <v>38</v>
      </c>
      <c r="E351" s="159"/>
      <c r="F351" s="159"/>
      <c r="G351" s="160" t="s">
        <v>39</v>
      </c>
      <c r="H351" s="161" t="s">
        <v>12</v>
      </c>
      <c r="I351" s="162" t="s">
        <v>40</v>
      </c>
      <c r="J351" s="162"/>
      <c r="K351" s="163"/>
      <c r="L351" s="164">
        <f ca="1">IFERROR(__xludf.DUMMYFUNCTION("IMPORTRANGE(""https://docs.google.com/spreadsheets/d/11923uPwbBZFjjGgGUA6NLw09EwE0CqkOc4q9oUmW1yo/edit?usp=sharing"",""แพร่!L246"")"),0)</f>
        <v>0</v>
      </c>
      <c r="M351" s="164"/>
      <c r="N351" s="164">
        <f ca="1">IFERROR(__xludf.DUMMYFUNCTION("IMPORTRANGE(""https://docs.google.com/spreadsheets/d/11923uPwbBZFjjGgGUA6NLw09EwE0CqkOc4q9oUmW1yo/edit?usp=sharing"",""แพร่!M246"")"),0)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3">
      <c r="A352" s="156"/>
      <c r="B352" s="157"/>
      <c r="C352" s="157"/>
      <c r="D352" s="166"/>
      <c r="E352" s="159"/>
      <c r="F352" s="159" t="s">
        <v>40</v>
      </c>
      <c r="G352" s="160" t="s">
        <v>41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IFERROR(__xludf.DUMMYFUNCTION("IMPORTRANGE(""https://docs.google.com/spreadsheets/d/11923uPwbBZFjjGgGUA6NLw09EwE0CqkOc4q9oUmW1yo/edit?usp=sharing"",""แพร่!L247"")"),348030)</f>
        <v>348030</v>
      </c>
      <c r="M352" s="165"/>
      <c r="N352" s="164">
        <f ca="1">IFERROR(__xludf.DUMMYFUNCTION("IMPORTRANGE(""https://docs.google.com/spreadsheets/d/11923uPwbBZFjjGgGUA6NLw09EwE0CqkOc4q9oUmW1yo/edit?usp=sharing"",""แพร่!M247"")"),202060)</f>
        <v>202060</v>
      </c>
      <c r="O352" s="165">
        <f t="shared" ca="1" si="105"/>
        <v>58.058213372410421</v>
      </c>
      <c r="P352" s="165"/>
    </row>
    <row r="353" spans="1:16" ht="21.75" customHeight="1" x14ac:dyDescent="0.3">
      <c r="A353" s="156"/>
      <c r="B353" s="157"/>
      <c r="C353" s="157"/>
      <c r="D353" s="166"/>
      <c r="E353" s="159"/>
      <c r="F353" s="159"/>
      <c r="G353" s="372" t="s">
        <v>129</v>
      </c>
      <c r="H353" s="161" t="s">
        <v>12</v>
      </c>
      <c r="I353" s="162"/>
      <c r="J353" s="162"/>
      <c r="K353" s="163"/>
      <c r="L353" s="168">
        <f ca="1">IFERROR(__xludf.DUMMYFUNCTION("IMPORTRANGE(""https://docs.google.com/spreadsheets/d/11923uPwbBZFjjGgGUA6NLw09EwE0CqkOc4q9oUmW1yo/edit?usp=sharing"",""แพร่!L248"")"),0)</f>
        <v>0</v>
      </c>
      <c r="M353" s="168"/>
      <c r="N353" s="168">
        <f ca="1">IFERROR(__xludf.DUMMYFUNCTION("IMPORTRANGE(""https://docs.google.com/spreadsheets/d/11923uPwbBZFjjGgGUA6NLw09EwE0CqkOc4q9oUmW1yo/edit?usp=sharing"",""แพร่!M248"")"),0)</f>
        <v>0</v>
      </c>
      <c r="O353" s="168">
        <f t="shared" ca="1" si="105"/>
        <v>0</v>
      </c>
      <c r="P353" s="168"/>
    </row>
    <row r="354" spans="1:16" ht="21.75" customHeight="1" x14ac:dyDescent="0.3">
      <c r="A354" s="156"/>
      <c r="B354" s="157"/>
      <c r="C354" s="157"/>
      <c r="D354" s="166"/>
      <c r="E354" s="159"/>
      <c r="F354" s="159"/>
      <c r="G354" s="372" t="s">
        <v>130</v>
      </c>
      <c r="H354" s="161" t="s">
        <v>12</v>
      </c>
      <c r="I354" s="162"/>
      <c r="J354" s="162"/>
      <c r="K354" s="163"/>
      <c r="L354" s="168">
        <f ca="1">IFERROR(__xludf.DUMMYFUNCTION("IMPORTRANGE(""https://docs.google.com/spreadsheets/d/11923uPwbBZFjjGgGUA6NLw09EwE0CqkOc4q9oUmW1yo/edit?usp=sharing"",""แพร่!L249"")"),348030)</f>
        <v>348030</v>
      </c>
      <c r="M354" s="168"/>
      <c r="N354" s="167">
        <f ca="1">IFERROR(__xludf.DUMMYFUNCTION("IMPORTRANGE(""https://docs.google.com/spreadsheets/d/11923uPwbBZFjjGgGUA6NLw09EwE0CqkOc4q9oUmW1yo/edit?usp=sharing"",""แพร่!M249"")"),202060)</f>
        <v>202060</v>
      </c>
      <c r="O354" s="168">
        <f t="shared" ca="1" si="105"/>
        <v>58.058213372410421</v>
      </c>
      <c r="P354" s="168"/>
    </row>
    <row r="355" spans="1:16" ht="21.75" customHeight="1" x14ac:dyDescent="0.3">
      <c r="A355" s="373"/>
      <c r="B355" s="374"/>
      <c r="C355" s="157"/>
      <c r="D355" s="375"/>
      <c r="E355" s="159"/>
      <c r="F355" s="159"/>
      <c r="G355" s="376" t="s">
        <v>131</v>
      </c>
      <c r="H355" s="161" t="s">
        <v>12</v>
      </c>
      <c r="I355" s="187"/>
      <c r="J355" s="187"/>
      <c r="K355" s="223"/>
      <c r="L355" s="168"/>
      <c r="M355" s="168"/>
      <c r="N355" s="377">
        <f ca="1">IFERROR(__xludf.DUMMYFUNCTION("IMPORTRANGE(""https://docs.google.com/spreadsheets/d/11923uPwbBZFjjGgGUA6NLw09EwE0CqkOc4q9oUmW1yo/edit?usp=sharing"",""แพร่!M250"")"),51355)</f>
        <v>51355</v>
      </c>
      <c r="O355" s="168"/>
      <c r="P355" s="168"/>
    </row>
    <row r="356" spans="1:16" ht="21.75" customHeight="1" x14ac:dyDescent="0.3">
      <c r="A356" s="373"/>
      <c r="B356" s="374"/>
      <c r="C356" s="157"/>
      <c r="D356" s="375"/>
      <c r="E356" s="159"/>
      <c r="F356" s="159"/>
      <c r="G356" s="376" t="s">
        <v>132</v>
      </c>
      <c r="H356" s="161" t="s">
        <v>12</v>
      </c>
      <c r="I356" s="187"/>
      <c r="J356" s="187"/>
      <c r="K356" s="223"/>
      <c r="L356" s="168"/>
      <c r="M356" s="168"/>
      <c r="N356" s="377">
        <f ca="1">IFERROR(__xludf.DUMMYFUNCTION("IMPORTRANGE(""https://docs.google.com/spreadsheets/d/11923uPwbBZFjjGgGUA6NLw09EwE0CqkOc4q9oUmW1yo/edit?usp=sharing"",""แพร่!M251"")"),100000)</f>
        <v>100000</v>
      </c>
      <c r="O356" s="168"/>
      <c r="P356" s="168"/>
    </row>
    <row r="357" spans="1:16" ht="21.75" customHeight="1" x14ac:dyDescent="0.3">
      <c r="A357" s="373"/>
      <c r="B357" s="374"/>
      <c r="C357" s="157"/>
      <c r="D357" s="375"/>
      <c r="E357" s="159"/>
      <c r="F357" s="159"/>
      <c r="G357" s="376" t="s">
        <v>133</v>
      </c>
      <c r="H357" s="161" t="s">
        <v>12</v>
      </c>
      <c r="I357" s="187"/>
      <c r="J357" s="187"/>
      <c r="K357" s="223"/>
      <c r="L357" s="168"/>
      <c r="M357" s="168"/>
      <c r="N357" s="377">
        <f ca="1">IFERROR(__xludf.DUMMYFUNCTION("IMPORTRANGE(""https://docs.google.com/spreadsheets/d/11923uPwbBZFjjGgGUA6NLw09EwE0CqkOc4q9oUmW1yo/edit?usp=sharing"",""แพร่!M252"")"),44000)</f>
        <v>44000</v>
      </c>
      <c r="O357" s="168"/>
      <c r="P357" s="168"/>
    </row>
    <row r="358" spans="1:16" ht="21.75" customHeight="1" x14ac:dyDescent="0.3">
      <c r="A358" s="373"/>
      <c r="B358" s="374"/>
      <c r="C358" s="157"/>
      <c r="D358" s="375"/>
      <c r="E358" s="159"/>
      <c r="F358" s="159"/>
      <c r="G358" s="376" t="s">
        <v>134</v>
      </c>
      <c r="H358" s="161" t="s">
        <v>12</v>
      </c>
      <c r="I358" s="187"/>
      <c r="J358" s="187"/>
      <c r="K358" s="223"/>
      <c r="L358" s="168"/>
      <c r="M358" s="168"/>
      <c r="N358" s="377">
        <f ca="1">IFERROR(__xludf.DUMMYFUNCTION("IMPORTRANGE(""https://docs.google.com/spreadsheets/d/11923uPwbBZFjjGgGUA6NLw09EwE0CqkOc4q9oUmW1yo/edit?usp=sharing"",""แพร่!M253"")"),6705)</f>
        <v>6705</v>
      </c>
      <c r="O358" s="168"/>
      <c r="P358" s="168"/>
    </row>
    <row r="359" spans="1:16" ht="21.75" customHeight="1" x14ac:dyDescent="0.3">
      <c r="A359" s="175"/>
      <c r="B359" s="176"/>
      <c r="C359" s="157" t="s">
        <v>16</v>
      </c>
      <c r="D359" s="177" t="s">
        <v>44</v>
      </c>
      <c r="E359" s="178"/>
      <c r="F359" s="178"/>
      <c r="G359" s="179"/>
      <c r="H359" s="180"/>
      <c r="I359" s="162"/>
      <c r="J359" s="162"/>
      <c r="K359" s="163"/>
      <c r="L359" s="181"/>
      <c r="M359" s="181"/>
      <c r="N359" s="181"/>
      <c r="O359" s="181"/>
      <c r="P359" s="181"/>
    </row>
    <row r="360" spans="1:16" ht="21.75" customHeight="1" x14ac:dyDescent="0.3">
      <c r="A360" s="175"/>
      <c r="B360" s="176"/>
      <c r="C360" s="176"/>
      <c r="D360" s="182">
        <v>1</v>
      </c>
      <c r="E360" s="183" t="s">
        <v>45</v>
      </c>
      <c r="F360" s="184"/>
      <c r="G360" s="185"/>
      <c r="H360" s="186"/>
      <c r="I360" s="187"/>
      <c r="J360" s="197">
        <f ca="1">IFERROR(__xludf.DUMMYFUNCTION("IMPORTRANGE(""https://docs.google.com/spreadsheets/d/11923uPwbBZFjjGgGUA6NLw09EwE0CqkOc4q9oUmW1yo/edit?usp=sharing"",""แพร่!J255"")"),0)</f>
        <v>0</v>
      </c>
      <c r="K360" s="163"/>
      <c r="L360" s="181"/>
      <c r="M360" s="181"/>
      <c r="N360" s="181"/>
      <c r="O360" s="181"/>
      <c r="P360" s="181"/>
    </row>
    <row r="361" spans="1:16" ht="21.75" customHeight="1" x14ac:dyDescent="0.3">
      <c r="A361" s="175"/>
      <c r="B361" s="176"/>
      <c r="C361" s="176"/>
      <c r="D361" s="189">
        <v>2</v>
      </c>
      <c r="E361" s="190" t="s">
        <v>46</v>
      </c>
      <c r="F361" s="191"/>
      <c r="G361" s="192"/>
      <c r="H361" s="186"/>
      <c r="I361" s="187"/>
      <c r="J361" s="188">
        <f ca="1">IFERROR(__xludf.DUMMYFUNCTION("IMPORTRANGE(""https://docs.google.com/spreadsheets/d/11923uPwbBZFjjGgGUA6NLw09EwE0CqkOc4q9oUmW1yo/edit?usp=sharing"",""แพร่!J256"")"),1)</f>
        <v>1</v>
      </c>
      <c r="K361" s="163"/>
      <c r="L361" s="181" t="s">
        <v>40</v>
      </c>
      <c r="M361" s="181"/>
      <c r="N361" s="181" t="s">
        <v>40</v>
      </c>
      <c r="O361" s="181"/>
      <c r="P361" s="181"/>
    </row>
    <row r="362" spans="1:16" ht="21.75" customHeight="1" x14ac:dyDescent="0.3">
      <c r="A362" s="175"/>
      <c r="B362" s="176"/>
      <c r="C362" s="176"/>
      <c r="D362" s="193"/>
      <c r="E362" s="194" t="s">
        <v>47</v>
      </c>
      <c r="F362" s="195"/>
      <c r="G362" s="196"/>
      <c r="H362" s="186"/>
      <c r="I362" s="187"/>
      <c r="J362" s="188">
        <f ca="1">IFERROR(__xludf.DUMMYFUNCTION("IMPORTRANGE(""https://docs.google.com/spreadsheets/d/11923uPwbBZFjjGgGUA6NLw09EwE0CqkOc4q9oUmW1yo/edit?usp=sharing"",""แพร่!J257"")"),1)</f>
        <v>1</v>
      </c>
      <c r="K362" s="163"/>
      <c r="L362" s="181"/>
      <c r="M362" s="181"/>
      <c r="N362" s="181"/>
      <c r="O362" s="181"/>
      <c r="P362" s="181"/>
    </row>
    <row r="363" spans="1:16" ht="21.75" customHeight="1" x14ac:dyDescent="0.3">
      <c r="A363" s="175"/>
      <c r="B363" s="176"/>
      <c r="C363" s="176"/>
      <c r="D363" s="193"/>
      <c r="E363" s="194" t="s">
        <v>48</v>
      </c>
      <c r="F363" s="195"/>
      <c r="G363" s="196"/>
      <c r="H363" s="186"/>
      <c r="I363" s="187"/>
      <c r="J363" s="197">
        <f ca="1">IFERROR(__xludf.DUMMYFUNCTION("IMPORTRANGE(""https://docs.google.com/spreadsheets/d/11923uPwbBZFjjGgGUA6NLw09EwE0CqkOc4q9oUmW1yo/edit?usp=sharing"",""แพร่!J258"")"),1)</f>
        <v>1</v>
      </c>
      <c r="K363" s="163"/>
      <c r="L363" s="181"/>
      <c r="M363" s="181"/>
      <c r="N363" s="181"/>
      <c r="O363" s="181"/>
      <c r="P363" s="181"/>
    </row>
    <row r="364" spans="1:16" ht="21.75" hidden="1" customHeight="1" x14ac:dyDescent="0.3">
      <c r="A364" s="175"/>
      <c r="B364" s="176"/>
      <c r="C364" s="176"/>
      <c r="D364" s="193"/>
      <c r="E364" s="198"/>
      <c r="F364" s="194" t="s">
        <v>70</v>
      </c>
      <c r="G364" s="196"/>
      <c r="H364" s="180"/>
      <c r="I364" s="187"/>
      <c r="J364" s="187">
        <f ca="1">IFERROR(__xludf.DUMMYFUNCTION("IMPORTRANGE(""https://docs.google.com/spreadsheets/d/11923uPwbBZFjjGgGUA6NLw09EwE0CqkOc4q9oUmW1yo/edit?usp=sharing"",""แพร่!J166"")"),0)</f>
        <v>0</v>
      </c>
      <c r="K364" s="163"/>
      <c r="L364" s="181"/>
      <c r="M364" s="181"/>
      <c r="N364" s="181"/>
      <c r="O364" s="181"/>
      <c r="P364" s="181"/>
    </row>
    <row r="365" spans="1:16" ht="21.75" hidden="1" customHeight="1" x14ac:dyDescent="0.3">
      <c r="A365" s="175"/>
      <c r="B365" s="176"/>
      <c r="C365" s="176"/>
      <c r="D365" s="193"/>
      <c r="E365" s="198"/>
      <c r="F365" s="195"/>
      <c r="G365" s="225" t="s">
        <v>135</v>
      </c>
      <c r="H365" s="180" t="s">
        <v>37</v>
      </c>
      <c r="I365" s="187">
        <f ca="1">IFERROR(__xludf.DUMMYFUNCTION("IMPORTRANGE(""https://docs.google.com/spreadsheets/d/1C3CXT74ZlgGe6_JY_1olB1XN4rF0dxEuIIF-xsYjHgg/edit?usp=sharing"",""งบกองทุน!f63"")"),0)</f>
        <v>0</v>
      </c>
      <c r="J365" s="187">
        <f ca="1">IFERROR(__xludf.DUMMYFUNCTION("IMPORTRANGE(""https://docs.google.com/spreadsheets/d/11923uPwbBZFjjGgGUA6NLw09EwE0CqkOc4q9oUmW1yo/edit?usp=sharing"",""แพร่!J166"")"),0)</f>
        <v>0</v>
      </c>
      <c r="K365" s="163">
        <f ca="1">IF(I365&gt;0,J365*100/I365,0)</f>
        <v>0</v>
      </c>
      <c r="L365" s="181"/>
      <c r="M365" s="181"/>
      <c r="N365" s="181"/>
      <c r="O365" s="181"/>
      <c r="P365" s="181"/>
    </row>
    <row r="366" spans="1:16" ht="21.75" hidden="1" customHeight="1" x14ac:dyDescent="0.3">
      <c r="A366" s="175"/>
      <c r="B366" s="176"/>
      <c r="C366" s="176"/>
      <c r="D366" s="193"/>
      <c r="E366" s="198"/>
      <c r="F366" s="195"/>
      <c r="G366" s="196" t="s">
        <v>136</v>
      </c>
      <c r="H366" s="180"/>
      <c r="I366" s="162"/>
      <c r="J366" s="187">
        <f ca="1">IFERROR(__xludf.DUMMYFUNCTION("IMPORTRANGE(""https://docs.google.com/spreadsheets/d/11923uPwbBZFjjGgGUA6NLw09EwE0CqkOc4q9oUmW1yo/edit?usp=sharing"",""แพร่!J166"")"),0)</f>
        <v>0</v>
      </c>
      <c r="K366" s="163"/>
      <c r="L366" s="181"/>
      <c r="M366" s="181"/>
      <c r="N366" s="181"/>
      <c r="O366" s="181"/>
      <c r="P366" s="181"/>
    </row>
    <row r="367" spans="1:16" ht="21.75" hidden="1" customHeight="1" x14ac:dyDescent="0.3">
      <c r="A367" s="175"/>
      <c r="B367" s="176"/>
      <c r="C367" s="176"/>
      <c r="D367" s="193"/>
      <c r="E367" s="198"/>
      <c r="F367" s="195"/>
      <c r="G367" s="225" t="s">
        <v>137</v>
      </c>
      <c r="H367" s="186" t="s">
        <v>122</v>
      </c>
      <c r="I367" s="187">
        <f ca="1">SUM(I369,I371)</f>
        <v>0</v>
      </c>
      <c r="J367" s="187">
        <f ca="1">IFERROR(__xludf.DUMMYFUNCTION("IMPORTRANGE(""https://docs.google.com/spreadsheets/d/11923uPwbBZFjjGgGUA6NLw09EwE0CqkOc4q9oUmW1yo/edit?usp=sharing"",""แพร่!J166"")"),0)</f>
        <v>0</v>
      </c>
      <c r="K367" s="163">
        <f t="shared" ref="K367:K373" ca="1" si="106">IF(I367&gt;0,J367*100/I367,0)</f>
        <v>0</v>
      </c>
      <c r="L367" s="181"/>
      <c r="M367" s="181"/>
      <c r="N367" s="181"/>
      <c r="O367" s="181"/>
      <c r="P367" s="181"/>
    </row>
    <row r="368" spans="1:16" ht="21.75" customHeight="1" x14ac:dyDescent="0.3">
      <c r="A368" s="175"/>
      <c r="B368" s="176"/>
      <c r="C368" s="176"/>
      <c r="D368" s="193"/>
      <c r="E368" s="198"/>
      <c r="F368" s="378" t="s">
        <v>138</v>
      </c>
      <c r="G368" s="379"/>
      <c r="H368" s="186" t="s">
        <v>37</v>
      </c>
      <c r="I368" s="162">
        <f ca="1">IFERROR(__xludf.DUMMYFUNCTION("IMPORTRANGE(""https://docs.google.com/spreadsheets/d/11923uPwbBZFjjGgGUA6NLw09EwE0CqkOc4q9oUmW1yo/edit?usp=sharing"",""แพร่!I263"")"),55)</f>
        <v>55</v>
      </c>
      <c r="J368" s="187">
        <f ca="1">IFERROR(__xludf.DUMMYFUNCTION("IMPORTRANGE(""https://docs.google.com/spreadsheets/d/11923uPwbBZFjjGgGUA6NLw09EwE0CqkOc4q9oUmW1yo/edit?usp=sharing"",""แพร่!J263"")"),0)</f>
        <v>0</v>
      </c>
      <c r="K368" s="163">
        <f t="shared" ca="1" si="106"/>
        <v>0</v>
      </c>
      <c r="L368" s="181"/>
      <c r="M368" s="181"/>
      <c r="N368" s="181"/>
      <c r="O368" s="181"/>
      <c r="P368" s="181"/>
    </row>
    <row r="369" spans="1:16" ht="21.75" hidden="1" customHeight="1" x14ac:dyDescent="0.3">
      <c r="A369" s="175"/>
      <c r="B369" s="176"/>
      <c r="C369" s="176"/>
      <c r="D369" s="193"/>
      <c r="E369" s="198"/>
      <c r="F369" s="195"/>
      <c r="G369" s="379"/>
      <c r="H369" s="180" t="s">
        <v>122</v>
      </c>
      <c r="I369" s="162">
        <f ca="1">IFERROR(__xludf.DUMMYFUNCTION("IMPORTRANGE(""https://docs.google.com/spreadsheets/d/11923uPwbBZFjjGgGUA6NLw09EwE0CqkOc4q9oUmW1yo/edit?usp=sharing"",""แพร่!I164"")"),0)</f>
        <v>0</v>
      </c>
      <c r="J369" s="203">
        <f ca="1">IFERROR(__xludf.DUMMYFUNCTION("IMPORTRANGE(""https://docs.google.com/spreadsheets/d/11923uPwbBZFjjGgGUA6NLw09EwE0CqkOc4q9oUmW1yo/edit?usp=sharing"",""แพร่!J164"")"),0)</f>
        <v>0</v>
      </c>
      <c r="K369" s="163">
        <f t="shared" ca="1" si="106"/>
        <v>0</v>
      </c>
      <c r="L369" s="181"/>
      <c r="M369" s="181"/>
      <c r="N369" s="181"/>
      <c r="O369" s="181"/>
      <c r="P369" s="181"/>
    </row>
    <row r="370" spans="1:16" ht="21.75" customHeight="1" x14ac:dyDescent="0.3">
      <c r="A370" s="175"/>
      <c r="B370" s="176"/>
      <c r="C370" s="176"/>
      <c r="D370" s="193"/>
      <c r="E370" s="198"/>
      <c r="F370" s="195"/>
      <c r="G370" s="378" t="s">
        <v>139</v>
      </c>
      <c r="H370" s="180" t="s">
        <v>37</v>
      </c>
      <c r="I370" s="162">
        <f ca="1">IFERROR(__xludf.DUMMYFUNCTION("IMPORTRANGE(""https://docs.google.com/spreadsheets/d/11923uPwbBZFjjGgGUA6NLw09EwE0CqkOc4q9oUmW1yo/edit?usp=sharing"",""แพร่!I265"")"),55)</f>
        <v>55</v>
      </c>
      <c r="J370" s="203">
        <f ca="1">IFERROR(__xludf.DUMMYFUNCTION("IMPORTRANGE(""https://docs.google.com/spreadsheets/d/11923uPwbBZFjjGgGUA6NLw09EwE0CqkOc4q9oUmW1yo/edit?usp=sharing"",""แพร่!J265"")"),55)</f>
        <v>55</v>
      </c>
      <c r="K370" s="163">
        <f t="shared" ca="1" si="106"/>
        <v>100</v>
      </c>
      <c r="L370" s="181"/>
      <c r="M370" s="181"/>
      <c r="N370" s="181"/>
      <c r="O370" s="181"/>
      <c r="P370" s="181"/>
    </row>
    <row r="371" spans="1:16" ht="21.75" hidden="1" customHeight="1" x14ac:dyDescent="0.3">
      <c r="A371" s="175"/>
      <c r="B371" s="176"/>
      <c r="C371" s="176"/>
      <c r="D371" s="193"/>
      <c r="E371" s="198"/>
      <c r="F371" s="195"/>
      <c r="G371" s="379"/>
      <c r="H371" s="180" t="s">
        <v>122</v>
      </c>
      <c r="I371" s="162">
        <f ca="1">IFERROR(__xludf.DUMMYFUNCTION("IMPORTRANGE(""https://docs.google.com/spreadsheets/d/11923uPwbBZFjjGgGUA6NLw09EwE0CqkOc4q9oUmW1yo/edit?usp=sharing"",""แพร่!I164"")"),0)</f>
        <v>0</v>
      </c>
      <c r="J371" s="188">
        <f ca="1">IFERROR(__xludf.DUMMYFUNCTION("IMPORTRANGE(""https://docs.google.com/spreadsheets/d/11923uPwbBZFjjGgGUA6NLw09EwE0CqkOc4q9oUmW1yo/edit?usp=sharing"",""แพร่!J164"")"),0)</f>
        <v>0</v>
      </c>
      <c r="K371" s="163">
        <f t="shared" ca="1" si="106"/>
        <v>0</v>
      </c>
      <c r="L371" s="181"/>
      <c r="M371" s="181"/>
      <c r="N371" s="181"/>
      <c r="O371" s="181"/>
      <c r="P371" s="181"/>
    </row>
    <row r="372" spans="1:16" ht="21.75" customHeight="1" x14ac:dyDescent="0.3">
      <c r="A372" s="175"/>
      <c r="B372" s="176"/>
      <c r="C372" s="176"/>
      <c r="D372" s="193"/>
      <c r="E372" s="198"/>
      <c r="F372" s="195"/>
      <c r="G372" s="378" t="s">
        <v>140</v>
      </c>
      <c r="H372" s="180" t="s">
        <v>37</v>
      </c>
      <c r="I372" s="162">
        <f ca="1">IFERROR(__xludf.DUMMYFUNCTION("IMPORTRANGE(""https://docs.google.com/spreadsheets/d/11923uPwbBZFjjGgGUA6NLw09EwE0CqkOc4q9oUmW1yo/edit?usp=sharing"",""แพร่!I267"")"),55)</f>
        <v>55</v>
      </c>
      <c r="J372" s="188">
        <f ca="1">IFERROR(__xludf.DUMMYFUNCTION("IMPORTRANGE(""https://docs.google.com/spreadsheets/d/11923uPwbBZFjjGgGUA6NLw09EwE0CqkOc4q9oUmW1yo/edit?usp=sharing"",""แพร่!J267"")"),0)</f>
        <v>0</v>
      </c>
      <c r="K372" s="163">
        <f t="shared" ca="1" si="106"/>
        <v>0</v>
      </c>
      <c r="L372" s="181"/>
      <c r="M372" s="181"/>
      <c r="N372" s="181"/>
      <c r="O372" s="181"/>
      <c r="P372" s="181"/>
    </row>
    <row r="373" spans="1:16" ht="21.75" hidden="1" customHeight="1" x14ac:dyDescent="0.3">
      <c r="A373" s="175"/>
      <c r="B373" s="176"/>
      <c r="C373" s="176"/>
      <c r="D373" s="193"/>
      <c r="E373" s="198"/>
      <c r="F373" s="195"/>
      <c r="G373" s="225" t="s">
        <v>141</v>
      </c>
      <c r="H373" s="180" t="s">
        <v>37</v>
      </c>
      <c r="I373" s="187">
        <f ca="1">IFERROR(__xludf.DUMMYFUNCTION("IMPORTRANGE(""https://docs.google.com/spreadsheets/d/11923uPwbBZFjjGgGUA6NLw09EwE0CqkOc4q9oUmW1yo/edit?usp=sharing"",""แพร่!I164"")"),0)</f>
        <v>0</v>
      </c>
      <c r="J373" s="203">
        <f ca="1">IFERROR(__xludf.DUMMYFUNCTION("IMPORTRANGE(""https://docs.google.com/spreadsheets/d/11923uPwbBZFjjGgGUA6NLw09EwE0CqkOc4q9oUmW1yo/edit?usp=sharing"",""แพร่!J164"")"),0)</f>
        <v>0</v>
      </c>
      <c r="K373" s="163">
        <f t="shared" ca="1" si="106"/>
        <v>0</v>
      </c>
      <c r="L373" s="181"/>
      <c r="M373" s="181"/>
      <c r="N373" s="181"/>
      <c r="O373" s="181"/>
      <c r="P373" s="181"/>
    </row>
    <row r="374" spans="1:16" ht="21.75" hidden="1" customHeight="1" x14ac:dyDescent="0.3">
      <c r="A374" s="175"/>
      <c r="B374" s="176"/>
      <c r="C374" s="176"/>
      <c r="D374" s="193"/>
      <c r="E374" s="198"/>
      <c r="F374" s="195"/>
      <c r="G374" s="196" t="s">
        <v>142</v>
      </c>
      <c r="H374" s="180"/>
      <c r="I374" s="187">
        <f ca="1">IFERROR(__xludf.DUMMYFUNCTION("IMPORTRANGE(""https://docs.google.com/spreadsheets/d/11923uPwbBZFjjGgGUA6NLw09EwE0CqkOc4q9oUmW1yo/edit?usp=sharing"",""แพร่!I164"")"),0)</f>
        <v>0</v>
      </c>
      <c r="J374" s="187">
        <f ca="1">IFERROR(__xludf.DUMMYFUNCTION("IMPORTRANGE(""https://docs.google.com/spreadsheets/d/11923uPwbBZFjjGgGUA6NLw09EwE0CqkOc4q9oUmW1yo/edit?usp=sharing"",""แพร่!J164"")"),0)</f>
        <v>0</v>
      </c>
      <c r="K374" s="163"/>
      <c r="L374" s="181"/>
      <c r="M374" s="181"/>
      <c r="N374" s="181"/>
      <c r="O374" s="181"/>
      <c r="P374" s="181"/>
    </row>
    <row r="375" spans="1:16" ht="21.75" customHeight="1" x14ac:dyDescent="0.3">
      <c r="A375" s="175"/>
      <c r="B375" s="176"/>
      <c r="C375" s="176"/>
      <c r="D375" s="193"/>
      <c r="E375" s="195"/>
      <c r="F375" s="204" t="s">
        <v>53</v>
      </c>
      <c r="G375" s="196"/>
      <c r="H375" s="278" t="s">
        <v>122</v>
      </c>
      <c r="I375" s="187">
        <f ca="1">IFERROR(__xludf.DUMMYFUNCTION("IMPORTRANGE(""https://docs.google.com/spreadsheets/d/11923uPwbBZFjjGgGUA6NLw09EwE0CqkOc4q9oUmW1yo/edit?usp=sharing"",""แพร่!I270"")"),90)</f>
        <v>90</v>
      </c>
      <c r="J375" s="187">
        <f ca="1">IFERROR(__xludf.DUMMYFUNCTION("IMPORTRANGE(""https://docs.google.com/spreadsheets/d/11923uPwbBZFjjGgGUA6NLw09EwE0CqkOc4q9oUmW1yo/edit?usp=sharing"",""แพร่!J270"")"),90)</f>
        <v>90</v>
      </c>
      <c r="K375" s="163">
        <f t="shared" ref="K375:K377" ca="1" si="107">IF(I375&gt;0,J375*100/I375,0)</f>
        <v>100</v>
      </c>
      <c r="L375" s="181"/>
      <c r="M375" s="181"/>
      <c r="N375" s="181"/>
      <c r="O375" s="181"/>
      <c r="P375" s="181"/>
    </row>
    <row r="376" spans="1:16" ht="21.75" customHeight="1" x14ac:dyDescent="0.3">
      <c r="A376" s="175"/>
      <c r="B376" s="176"/>
      <c r="C376" s="176"/>
      <c r="D376" s="193"/>
      <c r="E376" s="195"/>
      <c r="F376" s="195"/>
      <c r="G376" s="279" t="s">
        <v>143</v>
      </c>
      <c r="H376" s="278" t="s">
        <v>122</v>
      </c>
      <c r="I376" s="187">
        <f ca="1">IFERROR(__xludf.DUMMYFUNCTION("IMPORTRANGE(""https://docs.google.com/spreadsheets/d/11923uPwbBZFjjGgGUA6NLw09EwE0CqkOc4q9oUmW1yo/edit?usp=sharing"",""แพร่!I271"")"),50)</f>
        <v>50</v>
      </c>
      <c r="J376" s="188">
        <f ca="1">IFERROR(__xludf.DUMMYFUNCTION("IMPORTRANGE(""https://docs.google.com/spreadsheets/d/11923uPwbBZFjjGgGUA6NLw09EwE0CqkOc4q9oUmW1yo/edit?usp=sharing"",""แพร่!J271"")"),50)</f>
        <v>50</v>
      </c>
      <c r="K376" s="163">
        <f t="shared" ca="1" si="107"/>
        <v>100</v>
      </c>
      <c r="L376" s="181"/>
      <c r="M376" s="181"/>
      <c r="N376" s="181"/>
      <c r="O376" s="181"/>
      <c r="P376" s="181"/>
    </row>
    <row r="377" spans="1:16" ht="21.75" customHeight="1" x14ac:dyDescent="0.3">
      <c r="A377" s="175"/>
      <c r="B377" s="176"/>
      <c r="C377" s="176"/>
      <c r="D377" s="193"/>
      <c r="E377" s="195"/>
      <c r="F377" s="195"/>
      <c r="G377" s="279" t="s">
        <v>144</v>
      </c>
      <c r="H377" s="278" t="s">
        <v>122</v>
      </c>
      <c r="I377" s="187">
        <f ca="1">IFERROR(__xludf.DUMMYFUNCTION("IMPORTRANGE(""https://docs.google.com/spreadsheets/d/11923uPwbBZFjjGgGUA6NLw09EwE0CqkOc4q9oUmW1yo/edit?usp=sharing"",""แพร่!I272"")"),40)</f>
        <v>40</v>
      </c>
      <c r="J377" s="203">
        <f ca="1">IFERROR(__xludf.DUMMYFUNCTION("IMPORTRANGE(""https://docs.google.com/spreadsheets/d/11923uPwbBZFjjGgGUA6NLw09EwE0CqkOc4q9oUmW1yo/edit?usp=sharing"",""แพร่!J272"")"),40)</f>
        <v>40</v>
      </c>
      <c r="K377" s="163">
        <f t="shared" ca="1" si="107"/>
        <v>100</v>
      </c>
      <c r="L377" s="181"/>
      <c r="M377" s="181"/>
      <c r="N377" s="181"/>
      <c r="O377" s="181"/>
      <c r="P377" s="181"/>
    </row>
    <row r="378" spans="1:16" ht="21.75" customHeight="1" x14ac:dyDescent="0.3">
      <c r="A378" s="175"/>
      <c r="B378" s="176"/>
      <c r="C378" s="176"/>
      <c r="D378" s="193"/>
      <c r="E378" s="194" t="s">
        <v>54</v>
      </c>
      <c r="F378" s="195"/>
      <c r="G378" s="196"/>
      <c r="H378" s="186"/>
      <c r="I378" s="187"/>
      <c r="J378" s="197">
        <f ca="1">IFERROR(__xludf.DUMMYFUNCTION("IMPORTRANGE(""https://docs.google.com/spreadsheets/d/11923uPwbBZFjjGgGUA6NLw09EwE0CqkOc4q9oUmW1yo/edit?usp=sharing"",""แพร่!J273"")"),0)</f>
        <v>0</v>
      </c>
      <c r="K378" s="163"/>
      <c r="L378" s="181"/>
      <c r="M378" s="181"/>
      <c r="N378" s="181"/>
      <c r="O378" s="181"/>
      <c r="P378" s="181"/>
    </row>
    <row r="379" spans="1:16" ht="21.75" customHeight="1" x14ac:dyDescent="0.3">
      <c r="A379" s="175"/>
      <c r="B379" s="176"/>
      <c r="C379" s="176"/>
      <c r="D379" s="205">
        <v>3</v>
      </c>
      <c r="E379" s="206" t="s">
        <v>55</v>
      </c>
      <c r="F379" s="207"/>
      <c r="G379" s="208"/>
      <c r="H379" s="186"/>
      <c r="I379" s="187"/>
      <c r="J379" s="209">
        <f ca="1">IFERROR(__xludf.DUMMYFUNCTION("IMPORTRANGE(""https://docs.google.com/spreadsheets/d/11923uPwbBZFjjGgGUA6NLw09EwE0CqkOc4q9oUmW1yo/edit?usp=sharing"",""แพร่!J274"")"),0)</f>
        <v>0</v>
      </c>
      <c r="K379" s="163"/>
      <c r="L379" s="181"/>
      <c r="M379" s="181"/>
      <c r="N379" s="181"/>
      <c r="O379" s="181"/>
      <c r="P379" s="181"/>
    </row>
    <row r="380" spans="1:16" ht="21.75" customHeight="1" x14ac:dyDescent="0.3">
      <c r="A380" s="364"/>
      <c r="B380" s="365">
        <v>2</v>
      </c>
      <c r="C380" s="366" t="s">
        <v>145</v>
      </c>
      <c r="D380" s="366"/>
      <c r="E380" s="380"/>
      <c r="F380" s="380"/>
      <c r="G380" s="381"/>
      <c r="H380" s="368" t="s">
        <v>122</v>
      </c>
      <c r="I380" s="369">
        <f ca="1">IFERROR(__xludf.DUMMYFUNCTION("IMPORTRANGE(""https://docs.google.com/spreadsheets/d/11923uPwbBZFjjGgGUA6NLw09EwE0CqkOc4q9oUmW1yo/edit?usp=sharing"",""แพร่!I275"")"),1000)</f>
        <v>1000</v>
      </c>
      <c r="J380" s="369">
        <f ca="1">IFERROR(__xludf.DUMMYFUNCTION("IMPORTRANGE(""https://docs.google.com/spreadsheets/d/11923uPwbBZFjjGgGUA6NLw09EwE0CqkOc4q9oUmW1yo/edit?usp=sharing"",""แพร่!J275"")"),0)</f>
        <v>0</v>
      </c>
      <c r="K380" s="370">
        <f t="shared" ref="K380:K381" ca="1" si="108">IF(I380&gt;0,J380*100/I380,0)</f>
        <v>0</v>
      </c>
      <c r="L380" s="371">
        <f ca="1">IFERROR(__xludf.DUMMYFUNCTION("IMPORTRANGE(""https://docs.google.com/spreadsheets/d/11923uPwbBZFjjGgGUA6NLw09EwE0CqkOc4q9oUmW1yo/edit?usp=sharing"",""แพร่!L275"")"),1028520)</f>
        <v>1028520</v>
      </c>
      <c r="M380" s="371"/>
      <c r="N380" s="371">
        <f ca="1">IFERROR(__xludf.DUMMYFUNCTION("IMPORTRANGE(""https://docs.google.com/spreadsheets/d/11923uPwbBZFjjGgGUA6NLw09EwE0CqkOc4q9oUmW1yo/edit?usp=sharing"",""แพร่!M275"")"),191396)</f>
        <v>191396</v>
      </c>
      <c r="O380" s="371">
        <f ca="1">+IF(L380&gt;0,N380*100/L380,0)</f>
        <v>18.608874888188854</v>
      </c>
      <c r="P380" s="371"/>
    </row>
    <row r="381" spans="1:16" ht="21.75" customHeight="1" x14ac:dyDescent="0.3">
      <c r="A381" s="364"/>
      <c r="B381" s="365"/>
      <c r="C381" s="366"/>
      <c r="D381" s="382"/>
      <c r="E381" s="383"/>
      <c r="F381" s="383"/>
      <c r="G381" s="384"/>
      <c r="H381" s="368" t="s">
        <v>37</v>
      </c>
      <c r="I381" s="369">
        <f ca="1">IFERROR(__xludf.DUMMYFUNCTION("IMPORTRANGE(""https://docs.google.com/spreadsheets/d/11923uPwbBZFjjGgGUA6NLw09EwE0CqkOc4q9oUmW1yo/edit?usp=sharing"",""แพร่!I276"")"),100)</f>
        <v>100</v>
      </c>
      <c r="J381" s="369">
        <f ca="1">IFERROR(__xludf.DUMMYFUNCTION("IMPORTRANGE(""https://docs.google.com/spreadsheets/d/11923uPwbBZFjjGgGUA6NLw09EwE0CqkOc4q9oUmW1yo/edit?usp=sharing"",""แพร่!J276"")"),50)</f>
        <v>50</v>
      </c>
      <c r="K381" s="370">
        <f t="shared" ca="1" si="108"/>
        <v>50</v>
      </c>
      <c r="L381" s="371"/>
      <c r="M381" s="371"/>
      <c r="N381" s="371"/>
      <c r="O381" s="371"/>
      <c r="P381" s="371"/>
    </row>
    <row r="382" spans="1:16" ht="21.75" customHeight="1" x14ac:dyDescent="0.3">
      <c r="A382" s="156"/>
      <c r="B382" s="157"/>
      <c r="C382" s="157" t="s">
        <v>16</v>
      </c>
      <c r="D382" s="158" t="s">
        <v>38</v>
      </c>
      <c r="E382" s="159"/>
      <c r="F382" s="159"/>
      <c r="G382" s="160" t="s">
        <v>39</v>
      </c>
      <c r="H382" s="161" t="s">
        <v>12</v>
      </c>
      <c r="I382" s="162" t="s">
        <v>40</v>
      </c>
      <c r="J382" s="162"/>
      <c r="K382" s="163"/>
      <c r="L382" s="164">
        <f ca="1">IFERROR(__xludf.DUMMYFUNCTION("IMPORTRANGE(""https://docs.google.com/spreadsheets/d/11923uPwbBZFjjGgGUA6NLw09EwE0CqkOc4q9oUmW1yo/edit?usp=sharing"",""แพร่!L277"")"),0)</f>
        <v>0</v>
      </c>
      <c r="M382" s="164"/>
      <c r="N382" s="164">
        <f ca="1">IFERROR(__xludf.DUMMYFUNCTION("IMPORTRANGE(""https://docs.google.com/spreadsheets/d/11923uPwbBZFjjGgGUA6NLw09EwE0CqkOc4q9oUmW1yo/edit?usp=sharing"",""แพร่!M277"")"),0)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3">
      <c r="A383" s="156"/>
      <c r="B383" s="157"/>
      <c r="C383" s="157"/>
      <c r="D383" s="166"/>
      <c r="E383" s="159"/>
      <c r="F383" s="159" t="s">
        <v>40</v>
      </c>
      <c r="G383" s="160" t="s">
        <v>41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IFERROR(__xludf.DUMMYFUNCTION("IMPORTRANGE(""https://docs.google.com/spreadsheets/d/11923uPwbBZFjjGgGUA6NLw09EwE0CqkOc4q9oUmW1yo/edit?usp=sharing"",""แพร่!L278"")"),1028520)</f>
        <v>1028520</v>
      </c>
      <c r="M383" s="165"/>
      <c r="N383" s="165">
        <f ca="1">IFERROR(__xludf.DUMMYFUNCTION("IMPORTRANGE(""https://docs.google.com/spreadsheets/d/11923uPwbBZFjjGgGUA6NLw09EwE0CqkOc4q9oUmW1yo/edit?usp=sharing"",""แพร่!M278"")"),191396)</f>
        <v>191396</v>
      </c>
      <c r="O383" s="165">
        <f t="shared" ca="1" si="109"/>
        <v>18.608874888188854</v>
      </c>
      <c r="P383" s="165"/>
    </row>
    <row r="384" spans="1:16" ht="21.75" customHeight="1" x14ac:dyDescent="0.3">
      <c r="A384" s="156"/>
      <c r="B384" s="157"/>
      <c r="C384" s="157"/>
      <c r="D384" s="166"/>
      <c r="E384" s="159"/>
      <c r="F384" s="159"/>
      <c r="G384" s="372" t="s">
        <v>129</v>
      </c>
      <c r="H384" s="161" t="s">
        <v>12</v>
      </c>
      <c r="I384" s="162"/>
      <c r="J384" s="162"/>
      <c r="K384" s="163"/>
      <c r="L384" s="168">
        <f ca="1">IFERROR(__xludf.DUMMYFUNCTION("IMPORTRANGE(""https://docs.google.com/spreadsheets/d/11923uPwbBZFjjGgGUA6NLw09EwE0CqkOc4q9oUmW1yo/edit?usp=sharing"",""แพร่!L279"")"),0)</f>
        <v>0</v>
      </c>
      <c r="M384" s="168"/>
      <c r="N384" s="168">
        <f ca="1">IFERROR(__xludf.DUMMYFUNCTION("IMPORTRANGE(""https://docs.google.com/spreadsheets/d/11923uPwbBZFjjGgGUA6NLw09EwE0CqkOc4q9oUmW1yo/edit?usp=sharing"",""แพร่!M279"")"),0)</f>
        <v>0</v>
      </c>
      <c r="O384" s="168">
        <f t="shared" ca="1" si="109"/>
        <v>0</v>
      </c>
      <c r="P384" s="168"/>
    </row>
    <row r="385" spans="1:16" ht="21.75" customHeight="1" x14ac:dyDescent="0.3">
      <c r="A385" s="156"/>
      <c r="B385" s="157"/>
      <c r="C385" s="157"/>
      <c r="D385" s="166"/>
      <c r="E385" s="159"/>
      <c r="F385" s="159"/>
      <c r="G385" s="372" t="s">
        <v>130</v>
      </c>
      <c r="H385" s="161" t="s">
        <v>12</v>
      </c>
      <c r="I385" s="162"/>
      <c r="J385" s="162"/>
      <c r="K385" s="163"/>
      <c r="L385" s="168">
        <f ca="1">IFERROR(__xludf.DUMMYFUNCTION("IMPORTRANGE(""https://docs.google.com/spreadsheets/d/11923uPwbBZFjjGgGUA6NLw09EwE0CqkOc4q9oUmW1yo/edit?usp=sharing"",""แพร่!L280"")"),1028520)</f>
        <v>1028520</v>
      </c>
      <c r="M385" s="168"/>
      <c r="N385" s="167">
        <f ca="1">IFERROR(__xludf.DUMMYFUNCTION("IMPORTRANGE(""https://docs.google.com/spreadsheets/d/11923uPwbBZFjjGgGUA6NLw09EwE0CqkOc4q9oUmW1yo/edit?usp=sharing"",""แพร่!M280"")"),191396)</f>
        <v>191396</v>
      </c>
      <c r="O385" s="168">
        <f t="shared" ca="1" si="109"/>
        <v>18.608874888188854</v>
      </c>
      <c r="P385" s="168"/>
    </row>
    <row r="386" spans="1:16" ht="21.75" customHeight="1" x14ac:dyDescent="0.3">
      <c r="A386" s="373"/>
      <c r="B386" s="374"/>
      <c r="C386" s="157"/>
      <c r="D386" s="375"/>
      <c r="E386" s="159"/>
      <c r="F386" s="159"/>
      <c r="G386" s="376" t="s">
        <v>131</v>
      </c>
      <c r="H386" s="161" t="s">
        <v>12</v>
      </c>
      <c r="I386" s="187"/>
      <c r="J386" s="187"/>
      <c r="K386" s="223"/>
      <c r="L386" s="168"/>
      <c r="M386" s="168"/>
      <c r="N386" s="377">
        <f ca="1">IFERROR(__xludf.DUMMYFUNCTION("IMPORTRANGE(""https://docs.google.com/spreadsheets/d/11923uPwbBZFjjGgGUA6NLw09EwE0CqkOc4q9oUmW1yo/edit?usp=sharing"",""แพร่!M281"")"),139476)</f>
        <v>139476</v>
      </c>
      <c r="O386" s="168"/>
      <c r="P386" s="168"/>
    </row>
    <row r="387" spans="1:16" ht="21.75" customHeight="1" x14ac:dyDescent="0.3">
      <c r="A387" s="373"/>
      <c r="B387" s="374"/>
      <c r="C387" s="157"/>
      <c r="D387" s="375"/>
      <c r="E387" s="159"/>
      <c r="F387" s="159"/>
      <c r="G387" s="376" t="s">
        <v>132</v>
      </c>
      <c r="H387" s="161" t="s">
        <v>12</v>
      </c>
      <c r="I387" s="187"/>
      <c r="J387" s="187"/>
      <c r="K387" s="223"/>
      <c r="L387" s="168"/>
      <c r="M387" s="168"/>
      <c r="N387" s="377">
        <f ca="1">IFERROR(__xludf.DUMMYFUNCTION("IMPORTRANGE(""https://docs.google.com/spreadsheets/d/11923uPwbBZFjjGgGUA6NLw09EwE0CqkOc4q9oUmW1yo/edit?usp=sharing"",""แพร่!M282"")"),0)</f>
        <v>0</v>
      </c>
      <c r="O387" s="168"/>
      <c r="P387" s="168"/>
    </row>
    <row r="388" spans="1:16" ht="21.75" customHeight="1" x14ac:dyDescent="0.3">
      <c r="A388" s="373"/>
      <c r="B388" s="374"/>
      <c r="C388" s="157"/>
      <c r="D388" s="375"/>
      <c r="E388" s="159"/>
      <c r="F388" s="159"/>
      <c r="G388" s="376" t="s">
        <v>133</v>
      </c>
      <c r="H388" s="161" t="s">
        <v>12</v>
      </c>
      <c r="I388" s="187"/>
      <c r="J388" s="187"/>
      <c r="K388" s="223"/>
      <c r="L388" s="168"/>
      <c r="M388" s="168"/>
      <c r="N388" s="377">
        <f ca="1">IFERROR(__xludf.DUMMYFUNCTION("IMPORTRANGE(""https://docs.google.com/spreadsheets/d/11923uPwbBZFjjGgGUA6NLw09EwE0CqkOc4q9oUmW1yo/edit?usp=sharing"",""แพร่!M283"")"),44000)</f>
        <v>44000</v>
      </c>
      <c r="O388" s="168"/>
      <c r="P388" s="168"/>
    </row>
    <row r="389" spans="1:16" ht="21.75" customHeight="1" x14ac:dyDescent="0.3">
      <c r="A389" s="373"/>
      <c r="B389" s="374"/>
      <c r="C389" s="157"/>
      <c r="D389" s="375"/>
      <c r="E389" s="159"/>
      <c r="F389" s="159"/>
      <c r="G389" s="376" t="s">
        <v>134</v>
      </c>
      <c r="H389" s="161" t="s">
        <v>12</v>
      </c>
      <c r="I389" s="187"/>
      <c r="J389" s="187"/>
      <c r="K389" s="223"/>
      <c r="L389" s="168"/>
      <c r="M389" s="168"/>
      <c r="N389" s="377">
        <f ca="1">IFERROR(__xludf.DUMMYFUNCTION("IMPORTRANGE(""https://docs.google.com/spreadsheets/d/11923uPwbBZFjjGgGUA6NLw09EwE0CqkOc4q9oUmW1yo/edit?usp=sharing"",""แพร่!M284"")"),7920)</f>
        <v>7920</v>
      </c>
      <c r="O389" s="168"/>
      <c r="P389" s="168"/>
    </row>
    <row r="390" spans="1:16" ht="21.75" customHeight="1" x14ac:dyDescent="0.3">
      <c r="A390" s="175"/>
      <c r="B390" s="176"/>
      <c r="C390" s="157" t="s">
        <v>16</v>
      </c>
      <c r="D390" s="177" t="s">
        <v>44</v>
      </c>
      <c r="E390" s="178"/>
      <c r="F390" s="178"/>
      <c r="G390" s="179"/>
      <c r="H390" s="180"/>
      <c r="I390" s="162"/>
      <c r="J390" s="162"/>
      <c r="K390" s="163"/>
      <c r="L390" s="181"/>
      <c r="M390" s="181"/>
      <c r="N390" s="181"/>
      <c r="O390" s="181"/>
      <c r="P390" s="181"/>
    </row>
    <row r="391" spans="1:16" ht="21.75" customHeight="1" x14ac:dyDescent="0.3">
      <c r="A391" s="175"/>
      <c r="B391" s="176"/>
      <c r="C391" s="176"/>
      <c r="D391" s="182">
        <v>1</v>
      </c>
      <c r="E391" s="183" t="s">
        <v>45</v>
      </c>
      <c r="F391" s="184"/>
      <c r="G391" s="185"/>
      <c r="H391" s="186"/>
      <c r="I391" s="187"/>
      <c r="J391" s="197">
        <f ca="1">IFERROR(__xludf.DUMMYFUNCTION("IMPORTRANGE(""https://docs.google.com/spreadsheets/d/11923uPwbBZFjjGgGUA6NLw09EwE0CqkOc4q9oUmW1yo/edit?usp=sharing"",""แพร่!J286"")"),0)</f>
        <v>0</v>
      </c>
      <c r="K391" s="163"/>
      <c r="L391" s="181"/>
      <c r="M391" s="181"/>
      <c r="N391" s="181"/>
      <c r="O391" s="181"/>
      <c r="P391" s="181"/>
    </row>
    <row r="392" spans="1:16" ht="21.75" customHeight="1" x14ac:dyDescent="0.3">
      <c r="A392" s="175"/>
      <c r="B392" s="176"/>
      <c r="C392" s="176"/>
      <c r="D392" s="189">
        <v>2</v>
      </c>
      <c r="E392" s="190" t="s">
        <v>46</v>
      </c>
      <c r="F392" s="191"/>
      <c r="G392" s="192"/>
      <c r="H392" s="186"/>
      <c r="I392" s="187"/>
      <c r="J392" s="188">
        <f ca="1">IFERROR(__xludf.DUMMYFUNCTION("IMPORTRANGE(""https://docs.google.com/spreadsheets/d/11923uPwbBZFjjGgGUA6NLw09EwE0CqkOc4q9oUmW1yo/edit?usp=sharing"",""แพร่!J287"")"),1)</f>
        <v>1</v>
      </c>
      <c r="K392" s="163"/>
      <c r="L392" s="181" t="s">
        <v>40</v>
      </c>
      <c r="M392" s="181"/>
      <c r="N392" s="181" t="s">
        <v>40</v>
      </c>
      <c r="O392" s="181"/>
      <c r="P392" s="181"/>
    </row>
    <row r="393" spans="1:16" ht="21.75" customHeight="1" x14ac:dyDescent="0.3">
      <c r="A393" s="175"/>
      <c r="B393" s="176"/>
      <c r="C393" s="176"/>
      <c r="D393" s="193"/>
      <c r="E393" s="194" t="s">
        <v>47</v>
      </c>
      <c r="F393" s="195"/>
      <c r="G393" s="196"/>
      <c r="H393" s="186"/>
      <c r="I393" s="187"/>
      <c r="J393" s="188">
        <f ca="1">IFERROR(__xludf.DUMMYFUNCTION("IMPORTRANGE(""https://docs.google.com/spreadsheets/d/11923uPwbBZFjjGgGUA6NLw09EwE0CqkOc4q9oUmW1yo/edit?usp=sharing"",""แพร่!J288"")"),1)</f>
        <v>1</v>
      </c>
      <c r="K393" s="163"/>
      <c r="L393" s="181"/>
      <c r="M393" s="181"/>
      <c r="N393" s="181"/>
      <c r="O393" s="181"/>
      <c r="P393" s="181"/>
    </row>
    <row r="394" spans="1:16" ht="21.75" customHeight="1" x14ac:dyDescent="0.3">
      <c r="A394" s="175"/>
      <c r="B394" s="176"/>
      <c r="C394" s="176"/>
      <c r="D394" s="193"/>
      <c r="E394" s="194" t="s">
        <v>48</v>
      </c>
      <c r="F394" s="195"/>
      <c r="G394" s="196"/>
      <c r="H394" s="186"/>
      <c r="I394" s="187"/>
      <c r="J394" s="197">
        <f ca="1">IFERROR(__xludf.DUMMYFUNCTION("IMPORTRANGE(""https://docs.google.com/spreadsheets/d/11923uPwbBZFjjGgGUA6NLw09EwE0CqkOc4q9oUmW1yo/edit?usp=sharing"",""แพร่!J289"")"),1)</f>
        <v>1</v>
      </c>
      <c r="K394" s="163"/>
      <c r="L394" s="181"/>
      <c r="M394" s="181"/>
      <c r="N394" s="181"/>
      <c r="O394" s="181"/>
      <c r="P394" s="181"/>
    </row>
    <row r="395" spans="1:16" ht="21.75" customHeight="1" x14ac:dyDescent="0.3">
      <c r="A395" s="175"/>
      <c r="B395" s="176"/>
      <c r="C395" s="176"/>
      <c r="D395" s="193"/>
      <c r="E395" s="198"/>
      <c r="F395" s="194" t="s">
        <v>146</v>
      </c>
      <c r="G395" s="195"/>
      <c r="H395" s="186"/>
      <c r="I395" s="187"/>
      <c r="J395" s="187"/>
      <c r="K395" s="163"/>
      <c r="L395" s="181"/>
      <c r="M395" s="181"/>
      <c r="N395" s="181"/>
      <c r="O395" s="181"/>
      <c r="P395" s="181"/>
    </row>
    <row r="396" spans="1:16" ht="21.75" customHeight="1" x14ac:dyDescent="0.3">
      <c r="A396" s="175"/>
      <c r="B396" s="176"/>
      <c r="C396" s="176"/>
      <c r="D396" s="193"/>
      <c r="E396" s="198"/>
      <c r="F396" s="195"/>
      <c r="G396" s="291" t="s">
        <v>70</v>
      </c>
      <c r="H396" s="186" t="s">
        <v>37</v>
      </c>
      <c r="I396" s="187">
        <f ca="1">IFERROR(__xludf.DUMMYFUNCTION("IMPORTRANGE(""https://docs.google.com/spreadsheets/d/11923uPwbBZFjjGgGUA6NLw09EwE0CqkOc4q9oUmW1yo/edit?usp=sharing"",""แพร่!I291"")"),100)</f>
        <v>100</v>
      </c>
      <c r="J396" s="197">
        <f ca="1">IFERROR(__xludf.DUMMYFUNCTION("IMPORTRANGE(""https://docs.google.com/spreadsheets/d/11923uPwbBZFjjGgGUA6NLw09EwE0CqkOc4q9oUmW1yo/edit?usp=sharing"",""แพร่!J291"")"),50)</f>
        <v>50</v>
      </c>
      <c r="K396" s="163">
        <f t="shared" ref="K396:K398" ca="1" si="110">IF(I396&gt;0,J396*100/I396,0)</f>
        <v>50</v>
      </c>
      <c r="L396" s="181"/>
      <c r="M396" s="181"/>
      <c r="N396" s="181"/>
      <c r="O396" s="181"/>
      <c r="P396" s="181"/>
    </row>
    <row r="397" spans="1:16" ht="21.75" customHeight="1" x14ac:dyDescent="0.3">
      <c r="A397" s="175"/>
      <c r="B397" s="176"/>
      <c r="C397" s="176"/>
      <c r="D397" s="193"/>
      <c r="E397" s="198"/>
      <c r="F397" s="195"/>
      <c r="G397" s="196" t="s">
        <v>53</v>
      </c>
      <c r="H397" s="186" t="s">
        <v>122</v>
      </c>
      <c r="I397" s="187">
        <f ca="1">IFERROR(__xludf.DUMMYFUNCTION("IMPORTRANGE(""https://docs.google.com/spreadsheets/d/11923uPwbBZFjjGgGUA6NLw09EwE0CqkOc4q9oUmW1yo/edit?usp=sharing"",""แพร่!I292"")"),1000)</f>
        <v>1000</v>
      </c>
      <c r="J397" s="197">
        <f ca="1">IFERROR(__xludf.DUMMYFUNCTION("IMPORTRANGE(""https://docs.google.com/spreadsheets/d/11923uPwbBZFjjGgGUA6NLw09EwE0CqkOc4q9oUmW1yo/edit?usp=sharing"",""แพร่!J292"")"),0)</f>
        <v>0</v>
      </c>
      <c r="K397" s="163">
        <f t="shared" ca="1" si="110"/>
        <v>0</v>
      </c>
      <c r="L397" s="181"/>
      <c r="M397" s="181"/>
      <c r="N397" s="181"/>
      <c r="O397" s="181"/>
      <c r="P397" s="181"/>
    </row>
    <row r="398" spans="1:16" ht="21.75" customHeight="1" x14ac:dyDescent="0.3">
      <c r="A398" s="175"/>
      <c r="B398" s="176"/>
      <c r="C398" s="176"/>
      <c r="D398" s="193"/>
      <c r="E398" s="198"/>
      <c r="F398" s="195"/>
      <c r="G398" s="196"/>
      <c r="H398" s="186" t="s">
        <v>37</v>
      </c>
      <c r="I398" s="187">
        <f ca="1">IFERROR(__xludf.DUMMYFUNCTION("IMPORTRANGE(""https://docs.google.com/spreadsheets/d/11923uPwbBZFjjGgGUA6NLw09EwE0CqkOc4q9oUmW1yo/edit?usp=sharing"",""แพร่!I293"")"),100)</f>
        <v>100</v>
      </c>
      <c r="J398" s="197">
        <f ca="1">IFERROR(__xludf.DUMMYFUNCTION("IMPORTRANGE(""https://docs.google.com/spreadsheets/d/11923uPwbBZFjjGgGUA6NLw09EwE0CqkOc4q9oUmW1yo/edit?usp=sharing"",""แพร่!J293"")"),0)</f>
        <v>0</v>
      </c>
      <c r="K398" s="163">
        <f t="shared" ca="1" si="110"/>
        <v>0</v>
      </c>
      <c r="L398" s="181"/>
      <c r="M398" s="181"/>
      <c r="N398" s="181"/>
      <c r="O398" s="181"/>
      <c r="P398" s="181"/>
    </row>
    <row r="399" spans="1:16" ht="21.75" customHeight="1" x14ac:dyDescent="0.3">
      <c r="A399" s="175"/>
      <c r="B399" s="176"/>
      <c r="C399" s="176"/>
      <c r="D399" s="193"/>
      <c r="E399" s="194" t="s">
        <v>54</v>
      </c>
      <c r="F399" s="195"/>
      <c r="G399" s="196"/>
      <c r="H399" s="186"/>
      <c r="I399" s="187"/>
      <c r="J399" s="197">
        <f ca="1">IFERROR(__xludf.DUMMYFUNCTION("IMPORTRANGE(""https://docs.google.com/spreadsheets/d/11923uPwbBZFjjGgGUA6NLw09EwE0CqkOc4q9oUmW1yo/edit?usp=sharing"",""แพร่!J294"")"),0)</f>
        <v>0</v>
      </c>
      <c r="K399" s="163"/>
      <c r="L399" s="181"/>
      <c r="M399" s="181"/>
      <c r="N399" s="181"/>
      <c r="O399" s="181"/>
      <c r="P399" s="181"/>
    </row>
    <row r="400" spans="1:16" ht="21.75" customHeight="1" x14ac:dyDescent="0.3">
      <c r="A400" s="175"/>
      <c r="B400" s="176"/>
      <c r="C400" s="176"/>
      <c r="D400" s="205">
        <v>3</v>
      </c>
      <c r="E400" s="206" t="s">
        <v>55</v>
      </c>
      <c r="F400" s="207"/>
      <c r="G400" s="208"/>
      <c r="H400" s="186"/>
      <c r="I400" s="187"/>
      <c r="J400" s="209">
        <f ca="1">IFERROR(__xludf.DUMMYFUNCTION("IMPORTRANGE(""https://docs.google.com/spreadsheets/d/11923uPwbBZFjjGgGUA6NLw09EwE0CqkOc4q9oUmW1yo/edit?usp=sharing"",""แพร่!J295"")"),0)</f>
        <v>0</v>
      </c>
      <c r="K400" s="163"/>
      <c r="L400" s="181"/>
      <c r="M400" s="181"/>
      <c r="N400" s="181"/>
      <c r="O400" s="181"/>
      <c r="P400" s="181"/>
    </row>
    <row r="401" spans="1:16" ht="21.75" customHeight="1" x14ac:dyDescent="0.3">
      <c r="A401" s="364"/>
      <c r="B401" s="365">
        <v>3</v>
      </c>
      <c r="C401" s="365" t="s">
        <v>147</v>
      </c>
      <c r="D401" s="366"/>
      <c r="E401" s="366"/>
      <c r="F401" s="366"/>
      <c r="G401" s="367"/>
      <c r="H401" s="368" t="s">
        <v>122</v>
      </c>
      <c r="I401" s="369">
        <f ca="1">IFERROR(__xludf.DUMMYFUNCTION("IMPORTRANGE(""https://docs.google.com/spreadsheets/d/11923uPwbBZFjjGgGUA6NLw09EwE0CqkOc4q9oUmW1yo/edit?usp=sharing"",""แพร่!I296"")"),120)</f>
        <v>120</v>
      </c>
      <c r="J401" s="369">
        <f ca="1">IFERROR(__xludf.DUMMYFUNCTION("IMPORTRANGE(""https://docs.google.com/spreadsheets/d/11923uPwbBZFjjGgGUA6NLw09EwE0CqkOc4q9oUmW1yo/edit?usp=sharing"",""แพร่!J296"")"),0)</f>
        <v>0</v>
      </c>
      <c r="K401" s="370">
        <f t="shared" ref="K401:K402" ca="1" si="111">IF(I401&gt;0,J401*100/I401,0)</f>
        <v>0</v>
      </c>
      <c r="L401" s="371">
        <f ca="1">IFERROR(__xludf.DUMMYFUNCTION("IMPORTRANGE(""https://docs.google.com/spreadsheets/d/11923uPwbBZFjjGgGUA6NLw09EwE0CqkOc4q9oUmW1yo/edit?usp=sharing"",""แพร่!L296"")"),135020)</f>
        <v>135020</v>
      </c>
      <c r="M401" s="371"/>
      <c r="N401" s="371">
        <f ca="1">IFERROR(__xludf.DUMMYFUNCTION("IMPORTRANGE(""https://docs.google.com/spreadsheets/d/11923uPwbBZFjjGgGUA6NLw09EwE0CqkOc4q9oUmW1yo/edit?usp=sharing"",""แพร่!M296"")"),37280)</f>
        <v>37280</v>
      </c>
      <c r="O401" s="371">
        <f ca="1">+IF(L401&gt;0,N401*100/L401,0)</f>
        <v>27.610724337135238</v>
      </c>
      <c r="P401" s="371"/>
    </row>
    <row r="402" spans="1:16" ht="21.75" customHeight="1" x14ac:dyDescent="0.3">
      <c r="A402" s="364"/>
      <c r="B402" s="365"/>
      <c r="C402" s="365"/>
      <c r="D402" s="382"/>
      <c r="E402" s="382"/>
      <c r="F402" s="382"/>
      <c r="G402" s="385"/>
      <c r="H402" s="368" t="s">
        <v>37</v>
      </c>
      <c r="I402" s="369">
        <f ca="1">IFERROR(__xludf.DUMMYFUNCTION("IMPORTRANGE(""https://docs.google.com/spreadsheets/d/11923uPwbBZFjjGgGUA6NLw09EwE0CqkOc4q9oUmW1yo/edit?usp=sharing"",""แพร่!I297"")"),40)</f>
        <v>40</v>
      </c>
      <c r="J402" s="369">
        <f ca="1">IFERROR(__xludf.DUMMYFUNCTION("IMPORTRANGE(""https://docs.google.com/spreadsheets/d/11923uPwbBZFjjGgGUA6NLw09EwE0CqkOc4q9oUmW1yo/edit?usp=sharing"",""แพร่!J297"")"),10)</f>
        <v>10</v>
      </c>
      <c r="K402" s="370">
        <f t="shared" ca="1" si="111"/>
        <v>25</v>
      </c>
      <c r="L402" s="371"/>
      <c r="M402" s="371"/>
      <c r="N402" s="371"/>
      <c r="O402" s="371"/>
      <c r="P402" s="371"/>
    </row>
    <row r="403" spans="1:16" ht="21.75" customHeight="1" x14ac:dyDescent="0.3">
      <c r="A403" s="156"/>
      <c r="B403" s="157"/>
      <c r="C403" s="157" t="s">
        <v>16</v>
      </c>
      <c r="D403" s="158" t="s">
        <v>38</v>
      </c>
      <c r="E403" s="159"/>
      <c r="F403" s="159"/>
      <c r="G403" s="160" t="s">
        <v>39</v>
      </c>
      <c r="H403" s="161" t="s">
        <v>12</v>
      </c>
      <c r="I403" s="162" t="s">
        <v>40</v>
      </c>
      <c r="J403" s="162"/>
      <c r="K403" s="163"/>
      <c r="L403" s="164">
        <f ca="1">IFERROR(__xludf.DUMMYFUNCTION("IMPORTRANGE(""https://docs.google.com/spreadsheets/d/11923uPwbBZFjjGgGUA6NLw09EwE0CqkOc4q9oUmW1yo/edit?usp=sharing"",""แพร่!L298"")"),0)</f>
        <v>0</v>
      </c>
      <c r="M403" s="164"/>
      <c r="N403" s="168">
        <f ca="1">IFERROR(__xludf.DUMMYFUNCTION("IMPORTRANGE(""https://docs.google.com/spreadsheets/d/11923uPwbBZFjjGgGUA6NLw09EwE0CqkOc4q9oUmW1yo/edit?usp=sharing"",""แพร่!M298"")"),0)</f>
        <v>0</v>
      </c>
      <c r="O403" s="168">
        <f t="shared" ref="O403:O406" ca="1" si="112">+IF(L403&gt;0,N403*100/L403,0)</f>
        <v>0</v>
      </c>
      <c r="P403" s="168"/>
    </row>
    <row r="404" spans="1:16" ht="21.75" customHeight="1" x14ac:dyDescent="0.3">
      <c r="A404" s="156"/>
      <c r="B404" s="157"/>
      <c r="C404" s="157"/>
      <c r="D404" s="166"/>
      <c r="E404" s="159"/>
      <c r="F404" s="159" t="s">
        <v>40</v>
      </c>
      <c r="G404" s="160" t="s">
        <v>41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IFERROR(__xludf.DUMMYFUNCTION("IMPORTRANGE(""https://docs.google.com/spreadsheets/d/11923uPwbBZFjjGgGUA6NLw09EwE0CqkOc4q9oUmW1yo/edit?usp=sharing"",""แพร่!L299"")"),135020)</f>
        <v>135020</v>
      </c>
      <c r="M404" s="165"/>
      <c r="N404" s="168">
        <f ca="1">IFERROR(__xludf.DUMMYFUNCTION("IMPORTRANGE(""https://docs.google.com/spreadsheets/d/11923uPwbBZFjjGgGUA6NLw09EwE0CqkOc4q9oUmW1yo/edit?usp=sharing"",""แพร่!M299"")"),37280)</f>
        <v>37280</v>
      </c>
      <c r="O404" s="168">
        <f t="shared" ca="1" si="112"/>
        <v>27.610724337135238</v>
      </c>
      <c r="P404" s="168"/>
    </row>
    <row r="405" spans="1:16" ht="21.75" customHeight="1" x14ac:dyDescent="0.3">
      <c r="A405" s="156"/>
      <c r="B405" s="157"/>
      <c r="C405" s="157"/>
      <c r="D405" s="166"/>
      <c r="E405" s="159"/>
      <c r="F405" s="159"/>
      <c r="G405" s="372" t="s">
        <v>129</v>
      </c>
      <c r="H405" s="161" t="s">
        <v>12</v>
      </c>
      <c r="I405" s="162"/>
      <c r="J405" s="162"/>
      <c r="K405" s="163"/>
      <c r="L405" s="168">
        <f ca="1">IFERROR(__xludf.DUMMYFUNCTION("IMPORTRANGE(""https://docs.google.com/spreadsheets/d/11923uPwbBZFjjGgGUA6NLw09EwE0CqkOc4q9oUmW1yo/edit?usp=sharing"",""แพร่!L300"")"),0)</f>
        <v>0</v>
      </c>
      <c r="M405" s="168"/>
      <c r="N405" s="168">
        <f ca="1">IFERROR(__xludf.DUMMYFUNCTION("IMPORTRANGE(""https://docs.google.com/spreadsheets/d/11923uPwbBZFjjGgGUA6NLw09EwE0CqkOc4q9oUmW1yo/edit?usp=sharing"",""แพร่!M300"")"),0)</f>
        <v>0</v>
      </c>
      <c r="O405" s="168">
        <f t="shared" ca="1" si="112"/>
        <v>0</v>
      </c>
      <c r="P405" s="168"/>
    </row>
    <row r="406" spans="1:16" ht="21.75" customHeight="1" x14ac:dyDescent="0.3">
      <c r="A406" s="156"/>
      <c r="B406" s="157"/>
      <c r="C406" s="157"/>
      <c r="D406" s="166"/>
      <c r="E406" s="159"/>
      <c r="F406" s="159"/>
      <c r="G406" s="372" t="s">
        <v>130</v>
      </c>
      <c r="H406" s="161" t="s">
        <v>12</v>
      </c>
      <c r="I406" s="162"/>
      <c r="J406" s="162"/>
      <c r="K406" s="163"/>
      <c r="L406" s="168">
        <f ca="1">IFERROR(__xludf.DUMMYFUNCTION("IMPORTRANGE(""https://docs.google.com/spreadsheets/d/11923uPwbBZFjjGgGUA6NLw09EwE0CqkOc4q9oUmW1yo/edit?usp=sharing"",""แพร่!L301"")"),135020)</f>
        <v>135020</v>
      </c>
      <c r="M406" s="168"/>
      <c r="N406" s="168">
        <f ca="1">IFERROR(__xludf.DUMMYFUNCTION("IMPORTRANGE(""https://docs.google.com/spreadsheets/d/11923uPwbBZFjjGgGUA6NLw09EwE0CqkOc4q9oUmW1yo/edit?usp=sharing"",""แพร่!M301"")"),37280)</f>
        <v>37280</v>
      </c>
      <c r="O406" s="168">
        <f t="shared" ca="1" si="112"/>
        <v>27.610724337135238</v>
      </c>
      <c r="P406" s="168"/>
    </row>
    <row r="407" spans="1:16" ht="21.75" customHeight="1" x14ac:dyDescent="0.3">
      <c r="A407" s="373"/>
      <c r="B407" s="374"/>
      <c r="C407" s="157"/>
      <c r="D407" s="375"/>
      <c r="E407" s="159"/>
      <c r="F407" s="159"/>
      <c r="G407" s="376" t="s">
        <v>131</v>
      </c>
      <c r="H407" s="161" t="s">
        <v>12</v>
      </c>
      <c r="I407" s="187"/>
      <c r="J407" s="187"/>
      <c r="K407" s="223"/>
      <c r="L407" s="168"/>
      <c r="M407" s="168"/>
      <c r="N407" s="377">
        <f ca="1">IFERROR(__xludf.DUMMYFUNCTION("IMPORTRANGE(""https://docs.google.com/spreadsheets/d/11923uPwbBZFjjGgGUA6NLw09EwE0CqkOc4q9oUmW1yo/edit?usp=sharing"",""แพร่!M302"")"),37280)</f>
        <v>37280</v>
      </c>
      <c r="O407" s="168"/>
      <c r="P407" s="168"/>
    </row>
    <row r="408" spans="1:16" ht="21.75" customHeight="1" x14ac:dyDescent="0.3">
      <c r="A408" s="373"/>
      <c r="B408" s="374"/>
      <c r="C408" s="157"/>
      <c r="D408" s="375"/>
      <c r="E408" s="159"/>
      <c r="F408" s="159"/>
      <c r="G408" s="376" t="s">
        <v>132</v>
      </c>
      <c r="H408" s="161" t="s">
        <v>12</v>
      </c>
      <c r="I408" s="187"/>
      <c r="J408" s="187"/>
      <c r="K408" s="223"/>
      <c r="L408" s="168"/>
      <c r="M408" s="168"/>
      <c r="N408" s="377">
        <f ca="1">IFERROR(__xludf.DUMMYFUNCTION("IMPORTRANGE(""https://docs.google.com/spreadsheets/d/11923uPwbBZFjjGgGUA6NLw09EwE0CqkOc4q9oUmW1yo/edit?usp=sharing"",""แพร่!M303"")"),0)</f>
        <v>0</v>
      </c>
      <c r="O408" s="168"/>
      <c r="P408" s="168"/>
    </row>
    <row r="409" spans="1:16" ht="21.75" customHeight="1" x14ac:dyDescent="0.3">
      <c r="A409" s="373"/>
      <c r="B409" s="374"/>
      <c r="C409" s="157"/>
      <c r="D409" s="375"/>
      <c r="E409" s="159"/>
      <c r="F409" s="159"/>
      <c r="G409" s="376" t="s">
        <v>133</v>
      </c>
      <c r="H409" s="161" t="s">
        <v>12</v>
      </c>
      <c r="I409" s="187"/>
      <c r="J409" s="187"/>
      <c r="K409" s="223"/>
      <c r="L409" s="168"/>
      <c r="M409" s="168"/>
      <c r="N409" s="377">
        <f ca="1">IFERROR(__xludf.DUMMYFUNCTION("IMPORTRANGE(""https://docs.google.com/spreadsheets/d/11923uPwbBZFjjGgGUA6NLw09EwE0CqkOc4q9oUmW1yo/edit?usp=sharing"",""แพร่!M304"")"),0)</f>
        <v>0</v>
      </c>
      <c r="O409" s="168"/>
      <c r="P409" s="168"/>
    </row>
    <row r="410" spans="1:16" ht="21.75" customHeight="1" x14ac:dyDescent="0.3">
      <c r="A410" s="373"/>
      <c r="B410" s="374"/>
      <c r="C410" s="157"/>
      <c r="D410" s="375"/>
      <c r="E410" s="159"/>
      <c r="F410" s="159"/>
      <c r="G410" s="376" t="s">
        <v>134</v>
      </c>
      <c r="H410" s="161" t="s">
        <v>12</v>
      </c>
      <c r="I410" s="187"/>
      <c r="J410" s="187"/>
      <c r="K410" s="223"/>
      <c r="L410" s="168"/>
      <c r="M410" s="168"/>
      <c r="N410" s="377">
        <f ca="1">IFERROR(__xludf.DUMMYFUNCTION("IMPORTRANGE(""https://docs.google.com/spreadsheets/d/11923uPwbBZFjjGgGUA6NLw09EwE0CqkOc4q9oUmW1yo/edit?usp=sharing"",""แพร่!M305"")"),0)</f>
        <v>0</v>
      </c>
      <c r="O410" s="168"/>
      <c r="P410" s="168"/>
    </row>
    <row r="411" spans="1:16" ht="21.75" customHeight="1" x14ac:dyDescent="0.3">
      <c r="A411" s="175"/>
      <c r="B411" s="176"/>
      <c r="C411" s="157" t="s">
        <v>16</v>
      </c>
      <c r="D411" s="177" t="s">
        <v>44</v>
      </c>
      <c r="E411" s="178"/>
      <c r="F411" s="178"/>
      <c r="G411" s="179"/>
      <c r="H411" s="180"/>
      <c r="I411" s="162"/>
      <c r="J411" s="162"/>
      <c r="K411" s="163"/>
      <c r="L411" s="181"/>
      <c r="M411" s="181"/>
      <c r="N411" s="181"/>
      <c r="O411" s="181"/>
      <c r="P411" s="181"/>
    </row>
    <row r="412" spans="1:16" ht="21.75" customHeight="1" x14ac:dyDescent="0.3">
      <c r="A412" s="175"/>
      <c r="B412" s="176"/>
      <c r="C412" s="176"/>
      <c r="D412" s="182">
        <v>1</v>
      </c>
      <c r="E412" s="183" t="s">
        <v>45</v>
      </c>
      <c r="F412" s="184"/>
      <c r="G412" s="185"/>
      <c r="H412" s="186"/>
      <c r="I412" s="187"/>
      <c r="J412" s="197">
        <f ca="1">IFERROR(__xludf.DUMMYFUNCTION("IMPORTRANGE(""https://docs.google.com/spreadsheets/d/11923uPwbBZFjjGgGUA6NLw09EwE0CqkOc4q9oUmW1yo/edit?usp=sharing"",""แพร่!J307"")"),0)</f>
        <v>0</v>
      </c>
      <c r="K412" s="163"/>
      <c r="L412" s="181"/>
      <c r="M412" s="181"/>
      <c r="N412" s="181"/>
      <c r="O412" s="181"/>
      <c r="P412" s="181"/>
    </row>
    <row r="413" spans="1:16" ht="21.75" customHeight="1" x14ac:dyDescent="0.3">
      <c r="A413" s="175"/>
      <c r="B413" s="176"/>
      <c r="C413" s="176"/>
      <c r="D413" s="189">
        <v>2</v>
      </c>
      <c r="E413" s="190" t="s">
        <v>46</v>
      </c>
      <c r="F413" s="191"/>
      <c r="G413" s="192"/>
      <c r="H413" s="186"/>
      <c r="I413" s="187"/>
      <c r="J413" s="188">
        <f ca="1">IFERROR(__xludf.DUMMYFUNCTION("IMPORTRANGE(""https://docs.google.com/spreadsheets/d/11923uPwbBZFjjGgGUA6NLw09EwE0CqkOc4q9oUmW1yo/edit?usp=sharing"",""แพร่!J308"")"),1)</f>
        <v>1</v>
      </c>
      <c r="K413" s="163"/>
      <c r="L413" s="181" t="s">
        <v>40</v>
      </c>
      <c r="M413" s="181"/>
      <c r="N413" s="181" t="s">
        <v>40</v>
      </c>
      <c r="O413" s="181"/>
      <c r="P413" s="181"/>
    </row>
    <row r="414" spans="1:16" ht="21.75" customHeight="1" x14ac:dyDescent="0.3">
      <c r="A414" s="175"/>
      <c r="B414" s="176"/>
      <c r="C414" s="176"/>
      <c r="D414" s="193"/>
      <c r="E414" s="194" t="s">
        <v>47</v>
      </c>
      <c r="F414" s="195"/>
      <c r="G414" s="196"/>
      <c r="H414" s="186"/>
      <c r="I414" s="187"/>
      <c r="J414" s="188">
        <f ca="1">IFERROR(__xludf.DUMMYFUNCTION("IMPORTRANGE(""https://docs.google.com/spreadsheets/d/11923uPwbBZFjjGgGUA6NLw09EwE0CqkOc4q9oUmW1yo/edit?usp=sharing"",""แพร่!J309"")"),1)</f>
        <v>1</v>
      </c>
      <c r="K414" s="163"/>
      <c r="L414" s="181"/>
      <c r="M414" s="181"/>
      <c r="N414" s="181"/>
      <c r="O414" s="181"/>
      <c r="P414" s="181"/>
    </row>
    <row r="415" spans="1:16" ht="21.75" customHeight="1" x14ac:dyDescent="0.3">
      <c r="A415" s="175"/>
      <c r="B415" s="176"/>
      <c r="C415" s="176"/>
      <c r="D415" s="193"/>
      <c r="E415" s="194" t="s">
        <v>48</v>
      </c>
      <c r="F415" s="195"/>
      <c r="G415" s="196"/>
      <c r="H415" s="186"/>
      <c r="I415" s="187"/>
      <c r="J415" s="197">
        <f ca="1">IFERROR(__xludf.DUMMYFUNCTION("IMPORTRANGE(""https://docs.google.com/spreadsheets/d/11923uPwbBZFjjGgGUA6NLw09EwE0CqkOc4q9oUmW1yo/edit?usp=sharing"",""แพร่!J310"")"),1)</f>
        <v>1</v>
      </c>
      <c r="K415" s="163"/>
      <c r="L415" s="181"/>
      <c r="M415" s="181"/>
      <c r="N415" s="181"/>
      <c r="O415" s="181"/>
      <c r="P415" s="181"/>
    </row>
    <row r="416" spans="1:16" ht="21.75" customHeight="1" x14ac:dyDescent="0.3">
      <c r="A416" s="175"/>
      <c r="B416" s="176"/>
      <c r="C416" s="176"/>
      <c r="D416" s="193"/>
      <c r="E416" s="198"/>
      <c r="F416" s="194" t="s">
        <v>70</v>
      </c>
      <c r="G416" s="386"/>
      <c r="H416" s="387" t="s">
        <v>37</v>
      </c>
      <c r="I416" s="200">
        <f ca="1">IFERROR(__xludf.DUMMYFUNCTION("IMPORTRANGE(""https://docs.google.com/spreadsheets/d/11923uPwbBZFjjGgGUA6NLw09EwE0CqkOc4q9oUmW1yo/edit?usp=sharing"",""แพร่!I311"")"),40)</f>
        <v>40</v>
      </c>
      <c r="J416" s="200">
        <f ca="1">IFERROR(__xludf.DUMMYFUNCTION("IMPORTRANGE(""https://docs.google.com/spreadsheets/d/11923uPwbBZFjjGgGUA6NLw09EwE0CqkOc4q9oUmW1yo/edit?usp=sharing"",""แพร่!J311"")"),10)</f>
        <v>10</v>
      </c>
      <c r="K416" s="201">
        <f t="shared" ref="K416:K432" ca="1" si="113">IF(I416&gt;0,J416*100/I416,0)</f>
        <v>25</v>
      </c>
      <c r="L416" s="181"/>
      <c r="M416" s="181"/>
      <c r="N416" s="181"/>
      <c r="O416" s="181"/>
      <c r="P416" s="181"/>
    </row>
    <row r="417" spans="1:16" ht="21.75" customHeight="1" x14ac:dyDescent="0.45">
      <c r="A417" s="175"/>
      <c r="B417" s="176"/>
      <c r="C417" s="176"/>
      <c r="D417" s="193"/>
      <c r="E417" s="198"/>
      <c r="F417" s="388" t="s">
        <v>148</v>
      </c>
      <c r="G417" s="196"/>
      <c r="H417" s="199" t="s">
        <v>37</v>
      </c>
      <c r="I417" s="389">
        <f ca="1">IFERROR(__xludf.DUMMYFUNCTION("IMPORTRANGE(""https://docs.google.com/spreadsheets/d/11923uPwbBZFjjGgGUA6NLw09EwE0CqkOc4q9oUmW1yo/edit?usp=sharing"",""แพร่!I312"")"),10)</f>
        <v>10</v>
      </c>
      <c r="J417" s="390">
        <f ca="1">IFERROR(__xludf.DUMMYFUNCTION("IMPORTRANGE(""https://docs.google.com/spreadsheets/d/11923uPwbBZFjjGgGUA6NLw09EwE0CqkOc4q9oUmW1yo/edit?usp=sharing"",""แพร่!J312"")"),10)</f>
        <v>10</v>
      </c>
      <c r="K417" s="201">
        <f t="shared" ca="1" si="113"/>
        <v>100</v>
      </c>
      <c r="L417" s="181"/>
      <c r="M417" s="181"/>
      <c r="N417" s="181"/>
      <c r="O417" s="181"/>
      <c r="P417" s="181"/>
    </row>
    <row r="418" spans="1:16" ht="21.75" customHeight="1" x14ac:dyDescent="0.45">
      <c r="A418" s="175"/>
      <c r="B418" s="176"/>
      <c r="C418" s="176"/>
      <c r="D418" s="193"/>
      <c r="E418" s="198"/>
      <c r="F418" s="195"/>
      <c r="G418" s="196"/>
      <c r="H418" s="199" t="s">
        <v>122</v>
      </c>
      <c r="I418" s="389">
        <f ca="1">IFERROR(__xludf.DUMMYFUNCTION("IMPORTRANGE(""https://docs.google.com/spreadsheets/d/11923uPwbBZFjjGgGUA6NLw09EwE0CqkOc4q9oUmW1yo/edit?usp=sharing"",""แพร่!I313"")"),30)</f>
        <v>30</v>
      </c>
      <c r="J418" s="391">
        <f ca="1">IFERROR(__xludf.DUMMYFUNCTION("IMPORTRANGE(""https://docs.google.com/spreadsheets/d/11923uPwbBZFjjGgGUA6NLw09EwE0CqkOc4q9oUmW1yo/edit?usp=sharing"",""แพร่!J313"")"),0)</f>
        <v>0</v>
      </c>
      <c r="K418" s="201">
        <f t="shared" ca="1" si="113"/>
        <v>0</v>
      </c>
      <c r="L418" s="181"/>
      <c r="M418" s="181"/>
      <c r="N418" s="181"/>
      <c r="O418" s="181"/>
      <c r="P418" s="181"/>
    </row>
    <row r="419" spans="1:16" ht="21.75" customHeight="1" x14ac:dyDescent="0.45">
      <c r="A419" s="175"/>
      <c r="B419" s="176"/>
      <c r="C419" s="176"/>
      <c r="D419" s="193"/>
      <c r="E419" s="198"/>
      <c r="F419" s="195"/>
      <c r="G419" s="225" t="s">
        <v>149</v>
      </c>
      <c r="H419" s="180" t="s">
        <v>37</v>
      </c>
      <c r="I419" s="339">
        <f ca="1">IFERROR(__xludf.DUMMYFUNCTION("IMPORTRANGE(""https://docs.google.com/spreadsheets/d/11923uPwbBZFjjGgGUA6NLw09EwE0CqkOc4q9oUmW1yo/edit?usp=sharing"",""แพร่!I314"")"),10)</f>
        <v>10</v>
      </c>
      <c r="J419" s="392">
        <f ca="1">IFERROR(__xludf.DUMMYFUNCTION("IMPORTRANGE(""https://docs.google.com/spreadsheets/d/11923uPwbBZFjjGgGUA6NLw09EwE0CqkOc4q9oUmW1yo/edit?usp=sharing"",""แพร่!J314"")"),10)</f>
        <v>10</v>
      </c>
      <c r="K419" s="163">
        <f t="shared" ca="1" si="113"/>
        <v>100</v>
      </c>
      <c r="L419" s="181"/>
      <c r="M419" s="181"/>
      <c r="N419" s="181"/>
      <c r="O419" s="181"/>
      <c r="P419" s="181"/>
    </row>
    <row r="420" spans="1:16" ht="21.75" customHeight="1" x14ac:dyDescent="0.45">
      <c r="A420" s="233"/>
      <c r="B420" s="234"/>
      <c r="C420" s="234"/>
      <c r="D420" s="393"/>
      <c r="E420" s="394"/>
      <c r="F420" s="345"/>
      <c r="G420" s="395" t="s">
        <v>150</v>
      </c>
      <c r="H420" s="347" t="s">
        <v>37</v>
      </c>
      <c r="I420" s="396">
        <f ca="1">IFERROR(__xludf.DUMMYFUNCTION("IMPORTRANGE(""https://docs.google.com/spreadsheets/d/11923uPwbBZFjjGgGUA6NLw09EwE0CqkOc4q9oUmW1yo/edit?usp=sharing"",""แพร่!I315"")"),10)</f>
        <v>10</v>
      </c>
      <c r="J420" s="392">
        <f ca="1">IFERROR(__xludf.DUMMYFUNCTION("IMPORTRANGE(""https://docs.google.com/spreadsheets/d/11923uPwbBZFjjGgGUA6NLw09EwE0CqkOc4q9oUmW1yo/edit?usp=sharing"",""แพร่!J315"")"),10)</f>
        <v>10</v>
      </c>
      <c r="K420" s="286">
        <f t="shared" ca="1" si="113"/>
        <v>100</v>
      </c>
      <c r="L420" s="244"/>
      <c r="M420" s="244"/>
      <c r="N420" s="244"/>
      <c r="O420" s="244"/>
      <c r="P420" s="244"/>
    </row>
    <row r="421" spans="1:16" ht="21.75" customHeight="1" x14ac:dyDescent="0.45">
      <c r="A421" s="175"/>
      <c r="B421" s="176"/>
      <c r="C421" s="176"/>
      <c r="D421" s="193"/>
      <c r="E421" s="198"/>
      <c r="F421" s="388" t="s">
        <v>151</v>
      </c>
      <c r="G421" s="196"/>
      <c r="H421" s="199" t="s">
        <v>37</v>
      </c>
      <c r="I421" s="389">
        <f ca="1">IFERROR(__xludf.DUMMYFUNCTION("IMPORTRANGE(""https://docs.google.com/spreadsheets/d/11923uPwbBZFjjGgGUA6NLw09EwE0CqkOc4q9oUmW1yo/edit?usp=sharing"",""แพร่!I316"")"),14)</f>
        <v>14</v>
      </c>
      <c r="J421" s="390">
        <f ca="1">IFERROR(__xludf.DUMMYFUNCTION("IMPORTRANGE(""https://docs.google.com/spreadsheets/d/11923uPwbBZFjjGgGUA6NLw09EwE0CqkOc4q9oUmW1yo/edit?usp=sharing"",""แพร่!J316"")"),0)</f>
        <v>0</v>
      </c>
      <c r="K421" s="201">
        <f t="shared" ca="1" si="113"/>
        <v>0</v>
      </c>
      <c r="L421" s="181"/>
      <c r="M421" s="181"/>
      <c r="N421" s="181"/>
      <c r="O421" s="181"/>
      <c r="P421" s="181"/>
    </row>
    <row r="422" spans="1:16" ht="21.75" customHeight="1" x14ac:dyDescent="0.45">
      <c r="A422" s="175"/>
      <c r="B422" s="176"/>
      <c r="C422" s="176"/>
      <c r="D422" s="193"/>
      <c r="E422" s="198"/>
      <c r="F422" s="195"/>
      <c r="G422" s="196"/>
      <c r="H422" s="199" t="s">
        <v>122</v>
      </c>
      <c r="I422" s="389">
        <f ca="1">IFERROR(__xludf.DUMMYFUNCTION("IMPORTRANGE(""https://docs.google.com/spreadsheets/d/11923uPwbBZFjjGgGUA6NLw09EwE0CqkOc4q9oUmW1yo/edit?usp=sharing"",""แพร่!I317"")"),42)</f>
        <v>42</v>
      </c>
      <c r="J422" s="391">
        <f ca="1">IFERROR(__xludf.DUMMYFUNCTION("IMPORTRANGE(""https://docs.google.com/spreadsheets/d/11923uPwbBZFjjGgGUA6NLw09EwE0CqkOc4q9oUmW1yo/edit?usp=sharing"",""แพร่!J317"")"),0)</f>
        <v>0</v>
      </c>
      <c r="K422" s="201">
        <f t="shared" ca="1" si="113"/>
        <v>0</v>
      </c>
      <c r="L422" s="181"/>
      <c r="M422" s="181"/>
      <c r="N422" s="181"/>
      <c r="O422" s="181"/>
      <c r="P422" s="181"/>
    </row>
    <row r="423" spans="1:16" ht="21.75" customHeight="1" x14ac:dyDescent="0.45">
      <c r="A423" s="175"/>
      <c r="B423" s="176"/>
      <c r="C423" s="176"/>
      <c r="D423" s="193"/>
      <c r="E423" s="198"/>
      <c r="F423" s="195"/>
      <c r="G423" s="225" t="s">
        <v>152</v>
      </c>
      <c r="H423" s="180" t="s">
        <v>37</v>
      </c>
      <c r="I423" s="339">
        <f ca="1">IFERROR(__xludf.DUMMYFUNCTION("IMPORTRANGE(""https://docs.google.com/spreadsheets/d/11923uPwbBZFjjGgGUA6NLw09EwE0CqkOc4q9oUmW1yo/edit?usp=sharing"",""แพร่!I318"")"),14)</f>
        <v>14</v>
      </c>
      <c r="J423" s="392">
        <f ca="1">IFERROR(__xludf.DUMMYFUNCTION("IMPORTRANGE(""https://docs.google.com/spreadsheets/d/11923uPwbBZFjjGgGUA6NLw09EwE0CqkOc4q9oUmW1yo/edit?usp=sharing"",""แพร่!J318"")"),14)</f>
        <v>14</v>
      </c>
      <c r="K423" s="163">
        <f t="shared" ca="1" si="113"/>
        <v>100</v>
      </c>
      <c r="L423" s="181"/>
      <c r="M423" s="181"/>
      <c r="N423" s="181"/>
      <c r="O423" s="181"/>
      <c r="P423" s="181"/>
    </row>
    <row r="424" spans="1:16" ht="21.75" customHeight="1" x14ac:dyDescent="0.45">
      <c r="A424" s="175"/>
      <c r="B424" s="176"/>
      <c r="C424" s="176"/>
      <c r="D424" s="193"/>
      <c r="E424" s="198"/>
      <c r="F424" s="195"/>
      <c r="G424" s="225" t="s">
        <v>153</v>
      </c>
      <c r="H424" s="180" t="s">
        <v>37</v>
      </c>
      <c r="I424" s="339">
        <f ca="1">IFERROR(__xludf.DUMMYFUNCTION("IMPORTRANGE(""https://docs.google.com/spreadsheets/d/11923uPwbBZFjjGgGUA6NLw09EwE0CqkOc4q9oUmW1yo/edit?usp=sharing"",""แพร่!I319"")"),14)</f>
        <v>14</v>
      </c>
      <c r="J424" s="392">
        <f ca="1">IFERROR(__xludf.DUMMYFUNCTION("IMPORTRANGE(""https://docs.google.com/spreadsheets/d/11923uPwbBZFjjGgGUA6NLw09EwE0CqkOc4q9oUmW1yo/edit?usp=sharing"",""แพร่!J319"")"),0)</f>
        <v>0</v>
      </c>
      <c r="K424" s="163">
        <f t="shared" ca="1" si="113"/>
        <v>0</v>
      </c>
      <c r="L424" s="181"/>
      <c r="M424" s="181"/>
      <c r="N424" s="181"/>
      <c r="O424" s="181"/>
      <c r="P424" s="181"/>
    </row>
    <row r="425" spans="1:16" ht="21.75" customHeight="1" x14ac:dyDescent="0.45">
      <c r="A425" s="175"/>
      <c r="B425" s="176"/>
      <c r="C425" s="176"/>
      <c r="D425" s="193"/>
      <c r="E425" s="198"/>
      <c r="F425" s="195"/>
      <c r="G425" s="225" t="s">
        <v>154</v>
      </c>
      <c r="H425" s="180" t="s">
        <v>37</v>
      </c>
      <c r="I425" s="339">
        <f ca="1">IFERROR(__xludf.DUMMYFUNCTION("IMPORTRANGE(""https://docs.google.com/spreadsheets/d/11923uPwbBZFjjGgGUA6NLw09EwE0CqkOc4q9oUmW1yo/edit?usp=sharing"",""แพร่!I320"")"),14)</f>
        <v>14</v>
      </c>
      <c r="J425" s="392">
        <f ca="1">IFERROR(__xludf.DUMMYFUNCTION("IMPORTRANGE(""https://docs.google.com/spreadsheets/d/11923uPwbBZFjjGgGUA6NLw09EwE0CqkOc4q9oUmW1yo/edit?usp=sharing"",""แพร่!J320"")"),0)</f>
        <v>0</v>
      </c>
      <c r="K425" s="163">
        <f t="shared" ca="1" si="113"/>
        <v>0</v>
      </c>
      <c r="L425" s="181"/>
      <c r="M425" s="181"/>
      <c r="N425" s="181"/>
      <c r="O425" s="181"/>
      <c r="P425" s="181"/>
    </row>
    <row r="426" spans="1:16" ht="21.75" customHeight="1" x14ac:dyDescent="0.45">
      <c r="A426" s="175"/>
      <c r="B426" s="176"/>
      <c r="C426" s="176"/>
      <c r="D426" s="193"/>
      <c r="E426" s="198"/>
      <c r="F426" s="397" t="s">
        <v>155</v>
      </c>
      <c r="G426" s="196"/>
      <c r="H426" s="199" t="s">
        <v>37</v>
      </c>
      <c r="I426" s="389">
        <f ca="1">IFERROR(__xludf.DUMMYFUNCTION("IMPORTRANGE(""https://docs.google.com/spreadsheets/d/11923uPwbBZFjjGgGUA6NLw09EwE0CqkOc4q9oUmW1yo/edit?usp=sharing"",""แพร่!I321"")"),16)</f>
        <v>16</v>
      </c>
      <c r="J426" s="390">
        <f ca="1">IFERROR(__xludf.DUMMYFUNCTION("IMPORTRANGE(""https://docs.google.com/spreadsheets/d/11923uPwbBZFjjGgGUA6NLw09EwE0CqkOc4q9oUmW1yo/edit?usp=sharing"",""แพร่!J321"")"),0)</f>
        <v>0</v>
      </c>
      <c r="K426" s="201">
        <f t="shared" ca="1" si="113"/>
        <v>0</v>
      </c>
      <c r="L426" s="181"/>
      <c r="M426" s="181"/>
      <c r="N426" s="181"/>
      <c r="O426" s="181"/>
      <c r="P426" s="181"/>
    </row>
    <row r="427" spans="1:16" ht="21.75" customHeight="1" x14ac:dyDescent="0.45">
      <c r="A427" s="175"/>
      <c r="B427" s="176"/>
      <c r="C427" s="176"/>
      <c r="D427" s="193"/>
      <c r="E427" s="198"/>
      <c r="F427" s="195"/>
      <c r="G427" s="196"/>
      <c r="H427" s="199" t="s">
        <v>122</v>
      </c>
      <c r="I427" s="389">
        <f ca="1">IFERROR(__xludf.DUMMYFUNCTION("IMPORTRANGE(""https://docs.google.com/spreadsheets/d/11923uPwbBZFjjGgGUA6NLw09EwE0CqkOc4q9oUmW1yo/edit?usp=sharing"",""แพร่!I322"")"),48)</f>
        <v>48</v>
      </c>
      <c r="J427" s="391">
        <f ca="1">IFERROR(__xludf.DUMMYFUNCTION("IMPORTRANGE(""https://docs.google.com/spreadsheets/d/11923uPwbBZFjjGgGUA6NLw09EwE0CqkOc4q9oUmW1yo/edit?usp=sharing"",""แพร่!J322"")"),0)</f>
        <v>0</v>
      </c>
      <c r="K427" s="201">
        <f t="shared" ca="1" si="113"/>
        <v>0</v>
      </c>
      <c r="L427" s="181"/>
      <c r="M427" s="181"/>
      <c r="N427" s="181"/>
      <c r="O427" s="181"/>
      <c r="P427" s="181"/>
    </row>
    <row r="428" spans="1:16" ht="21.75" customHeight="1" x14ac:dyDescent="0.45">
      <c r="A428" s="175"/>
      <c r="B428" s="176"/>
      <c r="C428" s="176"/>
      <c r="D428" s="193"/>
      <c r="E428" s="198"/>
      <c r="F428" s="195"/>
      <c r="G428" s="225" t="s">
        <v>156</v>
      </c>
      <c r="H428" s="180" t="s">
        <v>37</v>
      </c>
      <c r="I428" s="398">
        <f ca="1">IFERROR(__xludf.DUMMYFUNCTION("IMPORTRANGE(""https://docs.google.com/spreadsheets/d/11923uPwbBZFjjGgGUA6NLw09EwE0CqkOc4q9oUmW1yo/edit?usp=sharing"",""แพร่!I323"")"),16)</f>
        <v>16</v>
      </c>
      <c r="J428" s="392">
        <f ca="1">IFERROR(__xludf.DUMMYFUNCTION("IMPORTRANGE(""https://docs.google.com/spreadsheets/d/11923uPwbBZFjjGgGUA6NLw09EwE0CqkOc4q9oUmW1yo/edit?usp=sharing"",""แพร่!J323"")"),0)</f>
        <v>0</v>
      </c>
      <c r="K428" s="163">
        <f t="shared" ca="1" si="113"/>
        <v>0</v>
      </c>
      <c r="L428" s="181"/>
      <c r="M428" s="181"/>
      <c r="N428" s="181"/>
      <c r="O428" s="181"/>
      <c r="P428" s="181"/>
    </row>
    <row r="429" spans="1:16" ht="21.75" customHeight="1" x14ac:dyDescent="0.45">
      <c r="A429" s="175"/>
      <c r="B429" s="176"/>
      <c r="C429" s="176"/>
      <c r="D429" s="193"/>
      <c r="E429" s="198"/>
      <c r="F429" s="195"/>
      <c r="G429" s="225" t="s">
        <v>157</v>
      </c>
      <c r="H429" s="180" t="s">
        <v>37</v>
      </c>
      <c r="I429" s="398">
        <f ca="1">IFERROR(__xludf.DUMMYFUNCTION("IMPORTRANGE(""https://docs.google.com/spreadsheets/d/11923uPwbBZFjjGgGUA6NLw09EwE0CqkOc4q9oUmW1yo/edit?usp=sharing"",""แพร่!I324"")"),16)</f>
        <v>16</v>
      </c>
      <c r="J429" s="392">
        <f ca="1">IFERROR(__xludf.DUMMYFUNCTION("IMPORTRANGE(""https://docs.google.com/spreadsheets/d/11923uPwbBZFjjGgGUA6NLw09EwE0CqkOc4q9oUmW1yo/edit?usp=sharing"",""แพร่!J324"")"),16)</f>
        <v>16</v>
      </c>
      <c r="K429" s="163">
        <f t="shared" ca="1" si="113"/>
        <v>100</v>
      </c>
      <c r="L429" s="181"/>
      <c r="M429" s="181"/>
      <c r="N429" s="181"/>
      <c r="O429" s="181"/>
      <c r="P429" s="181"/>
    </row>
    <row r="430" spans="1:16" ht="21.75" customHeight="1" x14ac:dyDescent="0.45">
      <c r="A430" s="175"/>
      <c r="B430" s="176"/>
      <c r="C430" s="176"/>
      <c r="D430" s="193"/>
      <c r="E430" s="198"/>
      <c r="F430" s="194" t="s">
        <v>53</v>
      </c>
      <c r="G430" s="386"/>
      <c r="H430" s="399" t="s">
        <v>37</v>
      </c>
      <c r="I430" s="200">
        <f ca="1">IFERROR(__xludf.DUMMYFUNCTION("IMPORTRANGE(""https://docs.google.com/spreadsheets/d/11923uPwbBZFjjGgGUA6NLw09EwE0CqkOc4q9oUmW1yo/edit?usp=sharing"",""แพร่!I325"")"),24)</f>
        <v>24</v>
      </c>
      <c r="J430" s="390">
        <f ca="1">IFERROR(__xludf.DUMMYFUNCTION("IMPORTRANGE(""https://docs.google.com/spreadsheets/d/11923uPwbBZFjjGgGUA6NLw09EwE0CqkOc4q9oUmW1yo/edit?usp=sharing"",""แพร่!J325"")"),0)</f>
        <v>0</v>
      </c>
      <c r="K430" s="201">
        <f t="shared" ca="1" si="113"/>
        <v>0</v>
      </c>
      <c r="L430" s="181"/>
      <c r="M430" s="181"/>
      <c r="N430" s="181"/>
      <c r="O430" s="181"/>
      <c r="P430" s="181"/>
    </row>
    <row r="431" spans="1:16" ht="21.75" customHeight="1" x14ac:dyDescent="0.45">
      <c r="A431" s="400"/>
      <c r="B431" s="401"/>
      <c r="C431" s="401"/>
      <c r="D431" s="402"/>
      <c r="E431" s="198"/>
      <c r="F431" s="195"/>
      <c r="G431" s="225" t="s">
        <v>158</v>
      </c>
      <c r="H431" s="180" t="s">
        <v>37</v>
      </c>
      <c r="I431" s="398">
        <f ca="1">IFERROR(__xludf.DUMMYFUNCTION("IMPORTRANGE(""https://docs.google.com/spreadsheets/d/11923uPwbBZFjjGgGUA6NLw09EwE0CqkOc4q9oUmW1yo/edit?usp=sharing"",""แพร่!I326"")"),10)</f>
        <v>10</v>
      </c>
      <c r="J431" s="392">
        <f ca="1">IFERROR(__xludf.DUMMYFUNCTION("IMPORTRANGE(""https://docs.google.com/spreadsheets/d/11923uPwbBZFjjGgGUA6NLw09EwE0CqkOc4q9oUmW1yo/edit?usp=sharing"",""แพร่!J326"")"),0)</f>
        <v>0</v>
      </c>
      <c r="K431" s="163">
        <f t="shared" ca="1" si="113"/>
        <v>0</v>
      </c>
      <c r="L431" s="181"/>
      <c r="M431" s="181"/>
      <c r="N431" s="181"/>
      <c r="O431" s="181"/>
      <c r="P431" s="181"/>
    </row>
    <row r="432" spans="1:16" ht="21.75" customHeight="1" x14ac:dyDescent="0.45">
      <c r="A432" s="400"/>
      <c r="B432" s="401"/>
      <c r="C432" s="401"/>
      <c r="D432" s="402"/>
      <c r="E432" s="198"/>
      <c r="F432" s="195"/>
      <c r="G432" s="225" t="s">
        <v>159</v>
      </c>
      <c r="H432" s="180" t="s">
        <v>37</v>
      </c>
      <c r="I432" s="398">
        <f ca="1">IFERROR(__xludf.DUMMYFUNCTION("IMPORTRANGE(""https://docs.google.com/spreadsheets/d/11923uPwbBZFjjGgGUA6NLw09EwE0CqkOc4q9oUmW1yo/edit?usp=sharing"",""แพร่!I327"")"),14)</f>
        <v>14</v>
      </c>
      <c r="J432" s="392">
        <f ca="1">IFERROR(__xludf.DUMMYFUNCTION("IMPORTRANGE(""https://docs.google.com/spreadsheets/d/11923uPwbBZFjjGgGUA6NLw09EwE0CqkOc4q9oUmW1yo/edit?usp=sharing"",""แพร่!J327"")"),0)</f>
        <v>0</v>
      </c>
      <c r="K432" s="163">
        <f t="shared" ca="1" si="113"/>
        <v>0</v>
      </c>
      <c r="L432" s="181"/>
      <c r="M432" s="181"/>
      <c r="N432" s="181"/>
      <c r="O432" s="181"/>
      <c r="P432" s="181"/>
    </row>
    <row r="433" spans="1:16" ht="21.75" customHeight="1" x14ac:dyDescent="0.3">
      <c r="A433" s="175"/>
      <c r="B433" s="176"/>
      <c r="C433" s="176"/>
      <c r="D433" s="193"/>
      <c r="E433" s="194" t="s">
        <v>54</v>
      </c>
      <c r="F433" s="195"/>
      <c r="G433" s="196"/>
      <c r="H433" s="186"/>
      <c r="I433" s="187"/>
      <c r="J433" s="197">
        <f ca="1">IFERROR(__xludf.DUMMYFUNCTION("IMPORTRANGE(""https://docs.google.com/spreadsheets/d/11923uPwbBZFjjGgGUA6NLw09EwE0CqkOc4q9oUmW1yo/edit?usp=sharing"",""แพร่!J328"")"),0)</f>
        <v>0</v>
      </c>
      <c r="K433" s="163"/>
      <c r="L433" s="181"/>
      <c r="M433" s="181"/>
      <c r="N433" s="181"/>
      <c r="O433" s="181"/>
      <c r="P433" s="181"/>
    </row>
    <row r="434" spans="1:16" ht="21.75" customHeight="1" x14ac:dyDescent="0.3">
      <c r="A434" s="175"/>
      <c r="B434" s="176"/>
      <c r="C434" s="176"/>
      <c r="D434" s="205">
        <v>3</v>
      </c>
      <c r="E434" s="206" t="s">
        <v>55</v>
      </c>
      <c r="F434" s="207"/>
      <c r="G434" s="208"/>
      <c r="H434" s="186"/>
      <c r="I434" s="187"/>
      <c r="J434" s="209">
        <f ca="1">IFERROR(__xludf.DUMMYFUNCTION("IMPORTRANGE(""https://docs.google.com/spreadsheets/d/11923uPwbBZFjjGgGUA6NLw09EwE0CqkOc4q9oUmW1yo/edit?usp=sharing"",""แพร่!J329"")"),0)</f>
        <v>0</v>
      </c>
      <c r="K434" s="163"/>
      <c r="L434" s="181"/>
      <c r="M434" s="181"/>
      <c r="N434" s="181"/>
      <c r="O434" s="181"/>
      <c r="P434" s="181"/>
    </row>
    <row r="435" spans="1:16" ht="21.75" customHeight="1" x14ac:dyDescent="0.3">
      <c r="A435" s="403"/>
      <c r="B435" s="404">
        <v>4</v>
      </c>
      <c r="C435" s="404" t="s">
        <v>160</v>
      </c>
      <c r="D435" s="405"/>
      <c r="E435" s="405"/>
      <c r="F435" s="405"/>
      <c r="G435" s="406"/>
      <c r="H435" s="407" t="s">
        <v>37</v>
      </c>
      <c r="I435" s="408">
        <f ca="1">IFERROR(__xludf.DUMMYFUNCTION("IMPORTRANGE(""https://docs.google.com/spreadsheets/d/11923uPwbBZFjjGgGUA6NLw09EwE0CqkOc4q9oUmW1yo/edit?usp=sharing"",""แพร่!I330"")"),20)</f>
        <v>20</v>
      </c>
      <c r="J435" s="408">
        <f ca="1">IFERROR(__xludf.DUMMYFUNCTION("IMPORTRANGE(""https://docs.google.com/spreadsheets/d/11923uPwbBZFjjGgGUA6NLw09EwE0CqkOc4q9oUmW1yo/edit?usp=sharing"",""แพร่!J330"")"),20)</f>
        <v>20</v>
      </c>
      <c r="K435" s="409">
        <f ca="1">IF(I435&gt;0,J435*100/I435,0)</f>
        <v>100</v>
      </c>
      <c r="L435" s="410">
        <f ca="1">IFERROR(__xludf.DUMMYFUNCTION("IMPORTRANGE(""https://docs.google.com/spreadsheets/d/11923uPwbBZFjjGgGUA6NLw09EwE0CqkOc4q9oUmW1yo/edit?usp=sharing"",""แพร่!L330"")"),95000)</f>
        <v>95000</v>
      </c>
      <c r="M435" s="410"/>
      <c r="N435" s="410">
        <f ca="1">IFERROR(__xludf.DUMMYFUNCTION("IMPORTRANGE(""https://docs.google.com/spreadsheets/d/11923uPwbBZFjjGgGUA6NLw09EwE0CqkOc4q9oUmW1yo/edit?usp=sharing"",""แพร่!M330"")"),62922.4)</f>
        <v>62922.400000000001</v>
      </c>
      <c r="O435" s="410">
        <f t="shared" ref="O435:O439" ca="1" si="114">+IF(L435&gt;0,N435*100/L435,0)</f>
        <v>66.2341052631579</v>
      </c>
      <c r="P435" s="410"/>
    </row>
    <row r="436" spans="1:16" ht="21.75" customHeight="1" x14ac:dyDescent="0.3">
      <c r="A436" s="156"/>
      <c r="B436" s="157"/>
      <c r="C436" s="157" t="s">
        <v>16</v>
      </c>
      <c r="D436" s="158" t="s">
        <v>38</v>
      </c>
      <c r="E436" s="159"/>
      <c r="F436" s="159"/>
      <c r="G436" s="160" t="s">
        <v>39</v>
      </c>
      <c r="H436" s="161" t="s">
        <v>12</v>
      </c>
      <c r="I436" s="162" t="s">
        <v>40</v>
      </c>
      <c r="J436" s="162"/>
      <c r="K436" s="163"/>
      <c r="L436" s="164">
        <f ca="1">IFERROR(__xludf.DUMMYFUNCTION("IMPORTRANGE(""https://docs.google.com/spreadsheets/d/11923uPwbBZFjjGgGUA6NLw09EwE0CqkOc4q9oUmW1yo/edit?usp=sharing"",""แพร่!L331"")"),0)</f>
        <v>0</v>
      </c>
      <c r="M436" s="164"/>
      <c r="N436" s="168">
        <f ca="1">IFERROR(__xludf.DUMMYFUNCTION("IMPORTRANGE(""https://docs.google.com/spreadsheets/d/11923uPwbBZFjjGgGUA6NLw09EwE0CqkOc4q9oUmW1yo/edit?usp=sharing"",""แพร่!M331"")"),0)</f>
        <v>0</v>
      </c>
      <c r="O436" s="168">
        <f t="shared" ca="1" si="114"/>
        <v>0</v>
      </c>
      <c r="P436" s="168"/>
    </row>
    <row r="437" spans="1:16" ht="21.75" customHeight="1" x14ac:dyDescent="0.3">
      <c r="A437" s="156"/>
      <c r="B437" s="157"/>
      <c r="C437" s="157"/>
      <c r="D437" s="166"/>
      <c r="E437" s="159"/>
      <c r="F437" s="159" t="s">
        <v>40</v>
      </c>
      <c r="G437" s="160" t="s">
        <v>41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IFERROR(__xludf.DUMMYFUNCTION("IMPORTRANGE(""https://docs.google.com/spreadsheets/d/11923uPwbBZFjjGgGUA6NLw09EwE0CqkOc4q9oUmW1yo/edit?usp=sharing"",""แพร่!L332"")"),95000)</f>
        <v>95000</v>
      </c>
      <c r="M437" s="165"/>
      <c r="N437" s="168">
        <f ca="1">IFERROR(__xludf.DUMMYFUNCTION("IMPORTRANGE(""https://docs.google.com/spreadsheets/d/11923uPwbBZFjjGgGUA6NLw09EwE0CqkOc4q9oUmW1yo/edit?usp=sharing"",""แพร่!M332"")"),62922.4)</f>
        <v>62922.400000000001</v>
      </c>
      <c r="O437" s="168">
        <f t="shared" ca="1" si="114"/>
        <v>66.2341052631579</v>
      </c>
      <c r="P437" s="168"/>
    </row>
    <row r="438" spans="1:16" ht="21.75" customHeight="1" x14ac:dyDescent="0.3">
      <c r="A438" s="156"/>
      <c r="B438" s="157"/>
      <c r="C438" s="157"/>
      <c r="D438" s="166"/>
      <c r="E438" s="159"/>
      <c r="F438" s="159"/>
      <c r="G438" s="372" t="s">
        <v>129</v>
      </c>
      <c r="H438" s="161" t="s">
        <v>12</v>
      </c>
      <c r="I438" s="162"/>
      <c r="J438" s="162"/>
      <c r="K438" s="163"/>
      <c r="L438" s="168">
        <f ca="1">IFERROR(__xludf.DUMMYFUNCTION("IMPORTRANGE(""https://docs.google.com/spreadsheets/d/11923uPwbBZFjjGgGUA6NLw09EwE0CqkOc4q9oUmW1yo/edit?usp=sharing"",""แพร่!L333"")"),0)</f>
        <v>0</v>
      </c>
      <c r="M438" s="168"/>
      <c r="N438" s="168">
        <f ca="1">IFERROR(__xludf.DUMMYFUNCTION("IMPORTRANGE(""https://docs.google.com/spreadsheets/d/11923uPwbBZFjjGgGUA6NLw09EwE0CqkOc4q9oUmW1yo/edit?usp=sharing"",""แพร่!M333"")"),0)</f>
        <v>0</v>
      </c>
      <c r="O438" s="168">
        <f t="shared" ca="1" si="114"/>
        <v>0</v>
      </c>
      <c r="P438" s="168"/>
    </row>
    <row r="439" spans="1:16" ht="21.75" customHeight="1" x14ac:dyDescent="0.3">
      <c r="A439" s="156"/>
      <c r="B439" s="157"/>
      <c r="C439" s="157"/>
      <c r="D439" s="166"/>
      <c r="E439" s="159"/>
      <c r="F439" s="159"/>
      <c r="G439" s="372" t="s">
        <v>130</v>
      </c>
      <c r="H439" s="161" t="s">
        <v>12</v>
      </c>
      <c r="I439" s="162"/>
      <c r="J439" s="162"/>
      <c r="K439" s="163"/>
      <c r="L439" s="168">
        <f ca="1">IFERROR(__xludf.DUMMYFUNCTION("IMPORTRANGE(""https://docs.google.com/spreadsheets/d/11923uPwbBZFjjGgGUA6NLw09EwE0CqkOc4q9oUmW1yo/edit?usp=sharing"",""แพร่!L334"")"),95000)</f>
        <v>95000</v>
      </c>
      <c r="M439" s="168"/>
      <c r="N439" s="168">
        <f ca="1">IFERROR(__xludf.DUMMYFUNCTION("IMPORTRANGE(""https://docs.google.com/spreadsheets/d/11923uPwbBZFjjGgGUA6NLw09EwE0CqkOc4q9oUmW1yo/edit?usp=sharing"",""แพร่!M334"")"),62922.4)</f>
        <v>62922.400000000001</v>
      </c>
      <c r="O439" s="168">
        <f t="shared" ca="1" si="114"/>
        <v>66.2341052631579</v>
      </c>
      <c r="P439" s="168"/>
    </row>
    <row r="440" spans="1:16" ht="21.75" customHeight="1" x14ac:dyDescent="0.3">
      <c r="A440" s="373"/>
      <c r="B440" s="374"/>
      <c r="C440" s="157"/>
      <c r="D440" s="375"/>
      <c r="E440" s="159"/>
      <c r="F440" s="159"/>
      <c r="G440" s="376" t="s">
        <v>131</v>
      </c>
      <c r="H440" s="161" t="s">
        <v>12</v>
      </c>
      <c r="I440" s="187"/>
      <c r="J440" s="187"/>
      <c r="K440" s="223"/>
      <c r="L440" s="168"/>
      <c r="M440" s="168"/>
      <c r="N440" s="377">
        <f ca="1">IFERROR(__xludf.DUMMYFUNCTION("IMPORTRANGE(""https://docs.google.com/spreadsheets/d/11923uPwbBZFjjGgGUA6NLw09EwE0CqkOc4q9oUmW1yo/edit?usp=sharing"",""แพร่!M335"")"),62922.4)</f>
        <v>62922.400000000001</v>
      </c>
      <c r="O440" s="168"/>
      <c r="P440" s="168"/>
    </row>
    <row r="441" spans="1:16" ht="21.75" customHeight="1" x14ac:dyDescent="0.3">
      <c r="A441" s="373"/>
      <c r="B441" s="374"/>
      <c r="C441" s="157"/>
      <c r="D441" s="375"/>
      <c r="E441" s="159"/>
      <c r="F441" s="159"/>
      <c r="G441" s="376" t="s">
        <v>132</v>
      </c>
      <c r="H441" s="161" t="s">
        <v>12</v>
      </c>
      <c r="I441" s="187"/>
      <c r="J441" s="187"/>
      <c r="K441" s="223"/>
      <c r="L441" s="168"/>
      <c r="M441" s="168"/>
      <c r="N441" s="377">
        <f ca="1">IFERROR(__xludf.DUMMYFUNCTION("IMPORTRANGE(""https://docs.google.com/spreadsheets/d/11923uPwbBZFjjGgGUA6NLw09EwE0CqkOc4q9oUmW1yo/edit?usp=sharing"",""แพร่!M336"")"),0)</f>
        <v>0</v>
      </c>
      <c r="O441" s="168"/>
      <c r="P441" s="168"/>
    </row>
    <row r="442" spans="1:16" ht="21.75" customHeight="1" x14ac:dyDescent="0.3">
      <c r="A442" s="373"/>
      <c r="B442" s="374"/>
      <c r="C442" s="157"/>
      <c r="D442" s="375"/>
      <c r="E442" s="159"/>
      <c r="F442" s="159"/>
      <c r="G442" s="376" t="s">
        <v>133</v>
      </c>
      <c r="H442" s="161" t="s">
        <v>12</v>
      </c>
      <c r="I442" s="187"/>
      <c r="J442" s="187"/>
      <c r="K442" s="223"/>
      <c r="L442" s="168"/>
      <c r="M442" s="168"/>
      <c r="N442" s="377">
        <f ca="1">IFERROR(__xludf.DUMMYFUNCTION("IMPORTRANGE(""https://docs.google.com/spreadsheets/d/11923uPwbBZFjjGgGUA6NLw09EwE0CqkOc4q9oUmW1yo/edit?usp=sharing"",""แพร่!M337"")"),0)</f>
        <v>0</v>
      </c>
      <c r="O442" s="168"/>
      <c r="P442" s="168"/>
    </row>
    <row r="443" spans="1:16" ht="21.75" customHeight="1" x14ac:dyDescent="0.3">
      <c r="A443" s="373"/>
      <c r="B443" s="374"/>
      <c r="C443" s="157"/>
      <c r="D443" s="375"/>
      <c r="E443" s="159"/>
      <c r="F443" s="159"/>
      <c r="G443" s="376" t="s">
        <v>134</v>
      </c>
      <c r="H443" s="161" t="s">
        <v>12</v>
      </c>
      <c r="I443" s="187"/>
      <c r="J443" s="187"/>
      <c r="K443" s="223"/>
      <c r="L443" s="168"/>
      <c r="M443" s="168"/>
      <c r="N443" s="377">
        <f ca="1">IFERROR(__xludf.DUMMYFUNCTION("IMPORTRANGE(""https://docs.google.com/spreadsheets/d/11923uPwbBZFjjGgGUA6NLw09EwE0CqkOc4q9oUmW1yo/edit?usp=sharing"",""แพร่!M338"")"),0)</f>
        <v>0</v>
      </c>
      <c r="O443" s="168"/>
      <c r="P443" s="168"/>
    </row>
    <row r="444" spans="1:16" ht="21.75" customHeight="1" x14ac:dyDescent="0.3">
      <c r="A444" s="175"/>
      <c r="B444" s="176"/>
      <c r="C444" s="157" t="s">
        <v>16</v>
      </c>
      <c r="D444" s="177" t="s">
        <v>44</v>
      </c>
      <c r="E444" s="178"/>
      <c r="F444" s="178"/>
      <c r="G444" s="179"/>
      <c r="H444" s="180"/>
      <c r="I444" s="162"/>
      <c r="J444" s="162"/>
      <c r="K444" s="163"/>
      <c r="L444" s="181"/>
      <c r="M444" s="181"/>
      <c r="N444" s="181"/>
      <c r="O444" s="181"/>
      <c r="P444" s="181"/>
    </row>
    <row r="445" spans="1:16" ht="21.75" customHeight="1" x14ac:dyDescent="0.3">
      <c r="A445" s="175"/>
      <c r="B445" s="176"/>
      <c r="C445" s="176"/>
      <c r="D445" s="182">
        <v>1</v>
      </c>
      <c r="E445" s="183" t="s">
        <v>45</v>
      </c>
      <c r="F445" s="184"/>
      <c r="G445" s="185"/>
      <c r="H445" s="186"/>
      <c r="I445" s="187"/>
      <c r="J445" s="209">
        <f ca="1">IFERROR(__xludf.DUMMYFUNCTION("IMPORTRANGE(""https://docs.google.com/spreadsheets/d/11923uPwbBZFjjGgGUA6NLw09EwE0CqkOc4q9oUmW1yo/edit?usp=sharing"",""แพร่!J340"")"),0)</f>
        <v>0</v>
      </c>
      <c r="K445" s="163"/>
      <c r="L445" s="181"/>
      <c r="M445" s="181"/>
      <c r="N445" s="181"/>
      <c r="O445" s="181"/>
      <c r="P445" s="181"/>
    </row>
    <row r="446" spans="1:16" ht="21.75" customHeight="1" x14ac:dyDescent="0.3">
      <c r="A446" s="175"/>
      <c r="B446" s="176"/>
      <c r="C446" s="176"/>
      <c r="D446" s="189">
        <v>2</v>
      </c>
      <c r="E446" s="190" t="s">
        <v>46</v>
      </c>
      <c r="F446" s="191"/>
      <c r="G446" s="192"/>
      <c r="H446" s="186"/>
      <c r="I446" s="187"/>
      <c r="J446" s="411">
        <f ca="1">IFERROR(__xludf.DUMMYFUNCTION("IMPORTRANGE(""https://docs.google.com/spreadsheets/d/11923uPwbBZFjjGgGUA6NLw09EwE0CqkOc4q9oUmW1yo/edit?usp=sharing"",""แพร่!J341"")"),1)</f>
        <v>1</v>
      </c>
      <c r="K446" s="163"/>
      <c r="L446" s="181" t="s">
        <v>40</v>
      </c>
      <c r="M446" s="181"/>
      <c r="N446" s="181" t="s">
        <v>40</v>
      </c>
      <c r="O446" s="181"/>
      <c r="P446" s="181"/>
    </row>
    <row r="447" spans="1:16" ht="21.75" customHeight="1" x14ac:dyDescent="0.3">
      <c r="A447" s="175"/>
      <c r="B447" s="176"/>
      <c r="C447" s="176"/>
      <c r="D447" s="193"/>
      <c r="E447" s="194" t="s">
        <v>161</v>
      </c>
      <c r="F447" s="195"/>
      <c r="G447" s="196"/>
      <c r="H447" s="186"/>
      <c r="I447" s="187"/>
      <c r="J447" s="188">
        <f ca="1">IFERROR(__xludf.DUMMYFUNCTION("IMPORTRANGE(""https://docs.google.com/spreadsheets/d/11923uPwbBZFjjGgGUA6NLw09EwE0CqkOc4q9oUmW1yo/edit?usp=sharing"",""แพร่!J342"")"),1)</f>
        <v>1</v>
      </c>
      <c r="K447" s="163"/>
      <c r="L447" s="181"/>
      <c r="M447" s="181"/>
      <c r="N447" s="181"/>
      <c r="O447" s="181"/>
      <c r="P447" s="181"/>
    </row>
    <row r="448" spans="1:16" ht="21.75" customHeight="1" x14ac:dyDescent="0.3">
      <c r="A448" s="175"/>
      <c r="B448" s="176"/>
      <c r="C448" s="176"/>
      <c r="D448" s="193"/>
      <c r="E448" s="194" t="s">
        <v>48</v>
      </c>
      <c r="F448" s="195"/>
      <c r="G448" s="196"/>
      <c r="H448" s="186"/>
      <c r="I448" s="187"/>
      <c r="J448" s="188">
        <f ca="1">IFERROR(__xludf.DUMMYFUNCTION("IMPORTRANGE(""https://docs.google.com/spreadsheets/d/11923uPwbBZFjjGgGUA6NLw09EwE0CqkOc4q9oUmW1yo/edit?usp=sharing"",""แพร่!J343"")"),1)</f>
        <v>1</v>
      </c>
      <c r="K448" s="163"/>
      <c r="L448" s="181"/>
      <c r="M448" s="181"/>
      <c r="N448" s="181"/>
      <c r="O448" s="181"/>
      <c r="P448" s="181"/>
    </row>
    <row r="449" spans="1:16" ht="21.75" customHeight="1" x14ac:dyDescent="0.3">
      <c r="A449" s="175"/>
      <c r="B449" s="176"/>
      <c r="C449" s="176"/>
      <c r="D449" s="193"/>
      <c r="E449" s="198"/>
      <c r="F449" s="412" t="s">
        <v>101</v>
      </c>
      <c r="G449" s="196"/>
      <c r="H449" s="186" t="s">
        <v>37</v>
      </c>
      <c r="I449" s="389">
        <f ca="1">IFERROR(__xludf.DUMMYFUNCTION("IMPORTRANGE(""https://docs.google.com/spreadsheets/d/11923uPwbBZFjjGgGUA6NLw09EwE0CqkOc4q9oUmW1yo/edit?usp=sharing"",""แพร่!I344"")"),20)</f>
        <v>20</v>
      </c>
      <c r="J449" s="200">
        <f ca="1">IFERROR(__xludf.DUMMYFUNCTION("IMPORTRANGE(""https://docs.google.com/spreadsheets/d/11923uPwbBZFjjGgGUA6NLw09EwE0CqkOc4q9oUmW1yo/edit?usp=sharing"",""แพร่!J344"")"),20)</f>
        <v>20</v>
      </c>
      <c r="K449" s="163">
        <f t="shared" ref="K449:K452" ca="1" si="115">IF(I449&gt;0,J449*100/I449,0)</f>
        <v>100</v>
      </c>
      <c r="L449" s="181"/>
      <c r="M449" s="181"/>
      <c r="N449" s="181"/>
      <c r="O449" s="181"/>
      <c r="P449" s="181"/>
    </row>
    <row r="450" spans="1:16" ht="21.75" customHeight="1" x14ac:dyDescent="0.3">
      <c r="A450" s="175"/>
      <c r="B450" s="176"/>
      <c r="C450" s="176"/>
      <c r="D450" s="193"/>
      <c r="E450" s="198"/>
      <c r="F450" s="195"/>
      <c r="G450" s="225" t="s">
        <v>162</v>
      </c>
      <c r="H450" s="186" t="s">
        <v>37</v>
      </c>
      <c r="I450" s="339">
        <f ca="1">IFERROR(__xludf.DUMMYFUNCTION("IMPORTRANGE(""https://docs.google.com/spreadsheets/d/11923uPwbBZFjjGgGUA6NLw09EwE0CqkOc4q9oUmW1yo/edit?usp=sharing"",""แพร่!I345"")"),20)</f>
        <v>20</v>
      </c>
      <c r="J450" s="188">
        <f ca="1">IFERROR(__xludf.DUMMYFUNCTION("IMPORTRANGE(""https://docs.google.com/spreadsheets/d/11923uPwbBZFjjGgGUA6NLw09EwE0CqkOc4q9oUmW1yo/edit?usp=sharing"",""แพร่!J345"")"),20)</f>
        <v>20</v>
      </c>
      <c r="K450" s="163">
        <f t="shared" ca="1" si="115"/>
        <v>100</v>
      </c>
      <c r="L450" s="181"/>
      <c r="M450" s="181"/>
      <c r="N450" s="181"/>
      <c r="O450" s="181"/>
      <c r="P450" s="181"/>
    </row>
    <row r="451" spans="1:16" ht="21.75" customHeight="1" x14ac:dyDescent="0.3">
      <c r="A451" s="175"/>
      <c r="B451" s="176"/>
      <c r="C451" s="176"/>
      <c r="D451" s="193"/>
      <c r="E451" s="198"/>
      <c r="F451" s="195"/>
      <c r="G451" s="279" t="s">
        <v>163</v>
      </c>
      <c r="H451" s="186" t="s">
        <v>37</v>
      </c>
      <c r="I451" s="339">
        <f ca="1">IFERROR(__xludf.DUMMYFUNCTION("IMPORTRANGE(""https://docs.google.com/spreadsheets/d/11923uPwbBZFjjGgGUA6NLw09EwE0CqkOc4q9oUmW1yo/edit?usp=sharing"",""แพร่!I346"")"),0)</f>
        <v>0</v>
      </c>
      <c r="J451" s="187">
        <f ca="1">IFERROR(__xludf.DUMMYFUNCTION("IMPORTRANGE(""https://docs.google.com/spreadsheets/d/11923uPwbBZFjjGgGUA6NLw09EwE0CqkOc4q9oUmW1yo/edit?usp=sharing"",""แพร่!J346"")"),0)</f>
        <v>0</v>
      </c>
      <c r="K451" s="163">
        <f t="shared" ca="1" si="115"/>
        <v>0</v>
      </c>
      <c r="L451" s="181"/>
      <c r="M451" s="181"/>
      <c r="N451" s="181"/>
      <c r="O451" s="181"/>
      <c r="P451" s="181"/>
    </row>
    <row r="452" spans="1:16" ht="21.75" customHeight="1" x14ac:dyDescent="0.3">
      <c r="A452" s="175"/>
      <c r="B452" s="176"/>
      <c r="C452" s="176"/>
      <c r="D452" s="193"/>
      <c r="E452" s="198"/>
      <c r="F452" s="195"/>
      <c r="G452" s="196" t="s">
        <v>164</v>
      </c>
      <c r="H452" s="186" t="s">
        <v>37</v>
      </c>
      <c r="I452" s="187">
        <f ca="1">IFERROR(__xludf.DUMMYFUNCTION("IMPORTRANGE(""https://docs.google.com/spreadsheets/d/11923uPwbBZFjjGgGUA6NLw09EwE0CqkOc4q9oUmW1yo/edit?usp=sharing"",""แพร่!I347"")"),0)</f>
        <v>0</v>
      </c>
      <c r="J452" s="187">
        <f ca="1">IFERROR(__xludf.DUMMYFUNCTION("IMPORTRANGE(""https://docs.google.com/spreadsheets/d/11923uPwbBZFjjGgGUA6NLw09EwE0CqkOc4q9oUmW1yo/edit?usp=sharing"",""แพร่!J347"")"),0)</f>
        <v>0</v>
      </c>
      <c r="K452" s="163">
        <f t="shared" ca="1" si="115"/>
        <v>0</v>
      </c>
      <c r="L452" s="181"/>
      <c r="M452" s="181"/>
      <c r="N452" s="181"/>
      <c r="O452" s="181"/>
      <c r="P452" s="181"/>
    </row>
    <row r="453" spans="1:16" ht="21.75" customHeight="1" x14ac:dyDescent="0.3">
      <c r="A453" s="175"/>
      <c r="B453" s="176"/>
      <c r="C453" s="176"/>
      <c r="D453" s="193"/>
      <c r="E453" s="194" t="s">
        <v>54</v>
      </c>
      <c r="F453" s="195"/>
      <c r="G453" s="196"/>
      <c r="H453" s="186"/>
      <c r="I453" s="187"/>
      <c r="J453" s="197">
        <f ca="1">IFERROR(__xludf.DUMMYFUNCTION("IMPORTRANGE(""https://docs.google.com/spreadsheets/d/11923uPwbBZFjjGgGUA6NLw09EwE0CqkOc4q9oUmW1yo/edit?usp=sharing"",""แพร่!J348"")"),0)</f>
        <v>0</v>
      </c>
      <c r="K453" s="163"/>
      <c r="L453" s="181"/>
      <c r="M453" s="181"/>
      <c r="N453" s="181"/>
      <c r="O453" s="181"/>
      <c r="P453" s="181"/>
    </row>
    <row r="454" spans="1:16" ht="21.75" customHeight="1" x14ac:dyDescent="0.3">
      <c r="A454" s="175"/>
      <c r="B454" s="176"/>
      <c r="C454" s="176"/>
      <c r="D454" s="205">
        <v>3</v>
      </c>
      <c r="E454" s="206" t="s">
        <v>55</v>
      </c>
      <c r="F454" s="207"/>
      <c r="G454" s="208"/>
      <c r="H454" s="186"/>
      <c r="I454" s="187"/>
      <c r="J454" s="209">
        <f ca="1">IFERROR(__xludf.DUMMYFUNCTION("IMPORTRANGE(""https://docs.google.com/spreadsheets/d/11923uPwbBZFjjGgGUA6NLw09EwE0CqkOc4q9oUmW1yo/edit?usp=sharing"",""แพร่!J349"")"),0)</f>
        <v>0</v>
      </c>
      <c r="K454" s="163"/>
      <c r="L454" s="181"/>
      <c r="M454" s="181"/>
      <c r="N454" s="181"/>
      <c r="O454" s="181"/>
      <c r="P454" s="181"/>
    </row>
    <row r="455" spans="1:16" ht="21.75" customHeight="1" x14ac:dyDescent="0.3">
      <c r="A455" s="364"/>
      <c r="B455" s="365">
        <v>5</v>
      </c>
      <c r="C455" s="366" t="s">
        <v>165</v>
      </c>
      <c r="D455" s="366"/>
      <c r="E455" s="366"/>
      <c r="F455" s="366"/>
      <c r="G455" s="367"/>
      <c r="H455" s="368" t="s">
        <v>122</v>
      </c>
      <c r="I455" s="369">
        <f ca="1">IFERROR(__xludf.DUMMYFUNCTION("IMPORTRANGE(""https://docs.google.com/spreadsheets/d/11923uPwbBZFjjGgGUA6NLw09EwE0CqkOc4q9oUmW1yo/edit?usp=sharing"",""แพร่!I350"")"),5092)</f>
        <v>5092</v>
      </c>
      <c r="J455" s="369">
        <f ca="1">IFERROR(__xludf.DUMMYFUNCTION("IMPORTRANGE(""https://docs.google.com/spreadsheets/d/11923uPwbBZFjjGgGUA6NLw09EwE0CqkOc4q9oUmW1yo/edit?usp=sharing"",""แพร่!J350"")"),0)</f>
        <v>0</v>
      </c>
      <c r="K455" s="370">
        <f ca="1">IF(I455&gt;0,J455*100/I455,0)</f>
        <v>0</v>
      </c>
      <c r="L455" s="371">
        <f ca="1">IFERROR(__xludf.DUMMYFUNCTION("IMPORTRANGE(""https://docs.google.com/spreadsheets/d/11923uPwbBZFjjGgGUA6NLw09EwE0CqkOc4q9oUmW1yo/edit?usp=sharing"",""แพร่!L350"")"),87020)</f>
        <v>87020</v>
      </c>
      <c r="M455" s="371"/>
      <c r="N455" s="371">
        <f ca="1">IFERROR(__xludf.DUMMYFUNCTION("IMPORTRANGE(""https://docs.google.com/spreadsheets/d/11923uPwbBZFjjGgGUA6NLw09EwE0CqkOc4q9oUmW1yo/edit?usp=sharing"",""แพร่!M350"")"),8100)</f>
        <v>8100</v>
      </c>
      <c r="O455" s="371">
        <f t="shared" ref="O455:O459" ca="1" si="116">+IF(L455&gt;0,N455*100/L455,0)</f>
        <v>9.3082050103424496</v>
      </c>
      <c r="P455" s="371"/>
    </row>
    <row r="456" spans="1:16" ht="21.75" customHeight="1" x14ac:dyDescent="0.3">
      <c r="A456" s="156"/>
      <c r="B456" s="157"/>
      <c r="C456" s="157" t="s">
        <v>16</v>
      </c>
      <c r="D456" s="158" t="s">
        <v>38</v>
      </c>
      <c r="E456" s="159"/>
      <c r="F456" s="159"/>
      <c r="G456" s="160" t="s">
        <v>39</v>
      </c>
      <c r="H456" s="161" t="s">
        <v>12</v>
      </c>
      <c r="I456" s="162" t="s">
        <v>40</v>
      </c>
      <c r="J456" s="162"/>
      <c r="K456" s="163"/>
      <c r="L456" s="164">
        <f ca="1">IFERROR(__xludf.DUMMYFUNCTION("IMPORTRANGE(""https://docs.google.com/spreadsheets/d/11923uPwbBZFjjGgGUA6NLw09EwE0CqkOc4q9oUmW1yo/edit?usp=sharing"",""แพร่!L351"")"),0)</f>
        <v>0</v>
      </c>
      <c r="M456" s="164"/>
      <c r="N456" s="168">
        <f ca="1">IFERROR(__xludf.DUMMYFUNCTION("IMPORTRANGE(""https://docs.google.com/spreadsheets/d/11923uPwbBZFjjGgGUA6NLw09EwE0CqkOc4q9oUmW1yo/edit?usp=sharing"",""แพร่!M351"")"),0)</f>
        <v>0</v>
      </c>
      <c r="O456" s="168">
        <f t="shared" ca="1" si="116"/>
        <v>0</v>
      </c>
      <c r="P456" s="168"/>
    </row>
    <row r="457" spans="1:16" ht="21.75" customHeight="1" x14ac:dyDescent="0.3">
      <c r="A457" s="156"/>
      <c r="B457" s="157"/>
      <c r="C457" s="157"/>
      <c r="D457" s="166"/>
      <c r="E457" s="159"/>
      <c r="F457" s="159" t="s">
        <v>40</v>
      </c>
      <c r="G457" s="160" t="s">
        <v>41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IFERROR(__xludf.DUMMYFUNCTION("IMPORTRANGE(""https://docs.google.com/spreadsheets/d/11923uPwbBZFjjGgGUA6NLw09EwE0CqkOc4q9oUmW1yo/edit?usp=sharing"",""แพร่!L352"")"),87020)</f>
        <v>87020</v>
      </c>
      <c r="M457" s="165"/>
      <c r="N457" s="168">
        <f ca="1">IFERROR(__xludf.DUMMYFUNCTION("IMPORTRANGE(""https://docs.google.com/spreadsheets/d/11923uPwbBZFjjGgGUA6NLw09EwE0CqkOc4q9oUmW1yo/edit?usp=sharing"",""แพร่!M352"")"),8100)</f>
        <v>8100</v>
      </c>
      <c r="O457" s="168">
        <f t="shared" ca="1" si="116"/>
        <v>9.3082050103424496</v>
      </c>
      <c r="P457" s="168"/>
    </row>
    <row r="458" spans="1:16" ht="21.75" customHeight="1" x14ac:dyDescent="0.3">
      <c r="A458" s="156"/>
      <c r="B458" s="157"/>
      <c r="C458" s="157"/>
      <c r="D458" s="166"/>
      <c r="E458" s="159"/>
      <c r="F458" s="159"/>
      <c r="G458" s="372" t="s">
        <v>129</v>
      </c>
      <c r="H458" s="161" t="s">
        <v>12</v>
      </c>
      <c r="I458" s="162"/>
      <c r="J458" s="162"/>
      <c r="K458" s="163"/>
      <c r="L458" s="168">
        <f ca="1">IFERROR(__xludf.DUMMYFUNCTION("IMPORTRANGE(""https://docs.google.com/spreadsheets/d/11923uPwbBZFjjGgGUA6NLw09EwE0CqkOc4q9oUmW1yo/edit?usp=sharing"",""แพร่!L353"")"),0)</f>
        <v>0</v>
      </c>
      <c r="M458" s="168"/>
      <c r="N458" s="168">
        <f ca="1">IFERROR(__xludf.DUMMYFUNCTION("IMPORTRANGE(""https://docs.google.com/spreadsheets/d/11923uPwbBZFjjGgGUA6NLw09EwE0CqkOc4q9oUmW1yo/edit?usp=sharing"",""แพร่!M353"")"),0)</f>
        <v>0</v>
      </c>
      <c r="O458" s="168">
        <f t="shared" ca="1" si="116"/>
        <v>0</v>
      </c>
      <c r="P458" s="168"/>
    </row>
    <row r="459" spans="1:16" ht="21.75" customHeight="1" x14ac:dyDescent="0.3">
      <c r="A459" s="156"/>
      <c r="B459" s="157"/>
      <c r="C459" s="157"/>
      <c r="D459" s="166"/>
      <c r="E459" s="159"/>
      <c r="F459" s="159"/>
      <c r="G459" s="372" t="s">
        <v>130</v>
      </c>
      <c r="H459" s="161" t="s">
        <v>12</v>
      </c>
      <c r="I459" s="162"/>
      <c r="J459" s="162"/>
      <c r="K459" s="163"/>
      <c r="L459" s="168">
        <f ca="1">IFERROR(__xludf.DUMMYFUNCTION("IMPORTRANGE(""https://docs.google.com/spreadsheets/d/11923uPwbBZFjjGgGUA6NLw09EwE0CqkOc4q9oUmW1yo/edit?usp=sharing"",""แพร่!L354"")"),87020)</f>
        <v>87020</v>
      </c>
      <c r="M459" s="168"/>
      <c r="N459" s="168">
        <f ca="1">IFERROR(__xludf.DUMMYFUNCTION("IMPORTRANGE(""https://docs.google.com/spreadsheets/d/11923uPwbBZFjjGgGUA6NLw09EwE0CqkOc4q9oUmW1yo/edit?usp=sharing"",""แพร่!M354"")"),8100)</f>
        <v>8100</v>
      </c>
      <c r="O459" s="168">
        <f t="shared" ca="1" si="116"/>
        <v>9.3082050103424496</v>
      </c>
      <c r="P459" s="168"/>
    </row>
    <row r="460" spans="1:16" ht="21.75" customHeight="1" x14ac:dyDescent="0.3">
      <c r="A460" s="373"/>
      <c r="B460" s="374"/>
      <c r="C460" s="157"/>
      <c r="D460" s="375"/>
      <c r="E460" s="159"/>
      <c r="F460" s="159"/>
      <c r="G460" s="376" t="s">
        <v>131</v>
      </c>
      <c r="H460" s="161" t="s">
        <v>12</v>
      </c>
      <c r="I460" s="187"/>
      <c r="J460" s="187"/>
      <c r="K460" s="223"/>
      <c r="L460" s="168"/>
      <c r="M460" s="168"/>
      <c r="N460" s="167">
        <f ca="1">IFERROR(__xludf.DUMMYFUNCTION("IMPORTRANGE(""https://docs.google.com/spreadsheets/d/11923uPwbBZFjjGgGUA6NLw09EwE0CqkOc4q9oUmW1yo/edit?usp=sharing"",""แพร่!M355"")"),0)</f>
        <v>0</v>
      </c>
      <c r="O460" s="168"/>
      <c r="P460" s="168"/>
    </row>
    <row r="461" spans="1:16" ht="21.75" customHeight="1" x14ac:dyDescent="0.3">
      <c r="A461" s="373"/>
      <c r="B461" s="374"/>
      <c r="C461" s="157"/>
      <c r="D461" s="375"/>
      <c r="E461" s="159"/>
      <c r="F461" s="159"/>
      <c r="G461" s="376" t="s">
        <v>132</v>
      </c>
      <c r="H461" s="161" t="s">
        <v>12</v>
      </c>
      <c r="I461" s="187"/>
      <c r="J461" s="187"/>
      <c r="K461" s="223"/>
      <c r="L461" s="168"/>
      <c r="M461" s="168"/>
      <c r="N461" s="167">
        <f ca="1">IFERROR(__xludf.DUMMYFUNCTION("IMPORTRANGE(""https://docs.google.com/spreadsheets/d/11923uPwbBZFjjGgGUA6NLw09EwE0CqkOc4q9oUmW1yo/edit?usp=sharing"",""แพร่!M356"")"),0)</f>
        <v>0</v>
      </c>
      <c r="O461" s="168"/>
      <c r="P461" s="168"/>
    </row>
    <row r="462" spans="1:16" ht="21.75" customHeight="1" x14ac:dyDescent="0.3">
      <c r="A462" s="373"/>
      <c r="B462" s="374"/>
      <c r="C462" s="157"/>
      <c r="D462" s="375"/>
      <c r="E462" s="159"/>
      <c r="F462" s="159"/>
      <c r="G462" s="376" t="s">
        <v>133</v>
      </c>
      <c r="H462" s="161" t="s">
        <v>12</v>
      </c>
      <c r="I462" s="187"/>
      <c r="J462" s="187"/>
      <c r="K462" s="223"/>
      <c r="L462" s="168"/>
      <c r="M462" s="168"/>
      <c r="N462" s="377">
        <f ca="1">IFERROR(__xludf.DUMMYFUNCTION("IMPORTRANGE(""https://docs.google.com/spreadsheets/d/11923uPwbBZFjjGgGUA6NLw09EwE0CqkOc4q9oUmW1yo/edit?usp=sharing"",""แพร่!M357"")"),0)</f>
        <v>0</v>
      </c>
      <c r="O462" s="168"/>
      <c r="P462" s="168"/>
    </row>
    <row r="463" spans="1:16" ht="21.75" customHeight="1" x14ac:dyDescent="0.3">
      <c r="A463" s="373"/>
      <c r="B463" s="374"/>
      <c r="C463" s="157"/>
      <c r="D463" s="375"/>
      <c r="E463" s="159"/>
      <c r="F463" s="159"/>
      <c r="G463" s="376" t="s">
        <v>134</v>
      </c>
      <c r="H463" s="161" t="s">
        <v>12</v>
      </c>
      <c r="I463" s="187"/>
      <c r="J463" s="187"/>
      <c r="K463" s="223"/>
      <c r="L463" s="168"/>
      <c r="M463" s="168"/>
      <c r="N463" s="377">
        <f ca="1">IFERROR(__xludf.DUMMYFUNCTION("IMPORTRANGE(""https://docs.google.com/spreadsheets/d/11923uPwbBZFjjGgGUA6NLw09EwE0CqkOc4q9oUmW1yo/edit?usp=sharing"",""แพร่!M358"")"),8100)</f>
        <v>8100</v>
      </c>
      <c r="O463" s="168"/>
      <c r="P463" s="168"/>
    </row>
    <row r="464" spans="1:16" ht="21.75" customHeight="1" x14ac:dyDescent="0.3">
      <c r="A464" s="175"/>
      <c r="B464" s="176"/>
      <c r="C464" s="413" t="s">
        <v>166</v>
      </c>
      <c r="D464" s="413"/>
      <c r="E464" s="414"/>
      <c r="F464" s="414"/>
      <c r="G464" s="415"/>
      <c r="H464" s="265" t="s">
        <v>122</v>
      </c>
      <c r="I464" s="266">
        <f ca="1">IFERROR(__xludf.DUMMYFUNCTION("IMPORTRANGE(""https://docs.google.com/spreadsheets/d/11923uPwbBZFjjGgGUA6NLw09EwE0CqkOc4q9oUmW1yo/edit?usp=sharing"",""แพร่!I359"")"),5092)</f>
        <v>5092</v>
      </c>
      <c r="J464" s="266">
        <f ca="1">IFERROR(__xludf.DUMMYFUNCTION("IMPORTRANGE(""https://docs.google.com/spreadsheets/d/11923uPwbBZFjjGgGUA6NLw09EwE0CqkOc4q9oUmW1yo/edit?usp=sharing"",""แพร่!J359"")"),0)</f>
        <v>0</v>
      </c>
      <c r="K464" s="267">
        <f t="shared" ref="K464:K515" ca="1" si="117">IF(I464&gt;0,J464*100/I464,0)</f>
        <v>0</v>
      </c>
      <c r="L464" s="290"/>
      <c r="M464" s="290"/>
      <c r="N464" s="290"/>
      <c r="O464" s="290"/>
      <c r="P464" s="290"/>
    </row>
    <row r="465" spans="1:16" ht="21.75" customHeight="1" x14ac:dyDescent="0.3">
      <c r="A465" s="400"/>
      <c r="B465" s="401"/>
      <c r="C465" s="401"/>
      <c r="D465" s="402"/>
      <c r="E465" s="193" t="s">
        <v>167</v>
      </c>
      <c r="F465" s="195"/>
      <c r="G465" s="196"/>
      <c r="H465" s="416" t="s">
        <v>122</v>
      </c>
      <c r="I465" s="417">
        <f ca="1">IFERROR(__xludf.DUMMYFUNCTION("IMPORTRANGE(""https://docs.google.com/spreadsheets/d/11923uPwbBZFjjGgGUA6NLw09EwE0CqkOc4q9oUmW1yo/edit?usp=sharing"",""แพร่!I360"")"),5092)</f>
        <v>5092</v>
      </c>
      <c r="J465" s="418">
        <f ca="1">IFERROR(__xludf.DUMMYFUNCTION("IMPORTRANGE(""https://docs.google.com/spreadsheets/d/11923uPwbBZFjjGgGUA6NLw09EwE0CqkOc4q9oUmW1yo/edit?usp=sharing"",""แพร่!J360"")"),4187)</f>
        <v>4187</v>
      </c>
      <c r="K465" s="201">
        <f t="shared" ca="1" si="117"/>
        <v>82.227022780832684</v>
      </c>
      <c r="L465" s="181"/>
      <c r="M465" s="181"/>
      <c r="N465" s="181"/>
      <c r="O465" s="181"/>
      <c r="P465" s="181"/>
    </row>
    <row r="466" spans="1:16" ht="21.75" customHeight="1" x14ac:dyDescent="0.3">
      <c r="A466" s="400"/>
      <c r="B466" s="401"/>
      <c r="C466" s="401"/>
      <c r="D466" s="402"/>
      <c r="E466" s="195"/>
      <c r="F466" s="195"/>
      <c r="G466" s="196"/>
      <c r="H466" s="416" t="s">
        <v>36</v>
      </c>
      <c r="I466" s="417">
        <f ca="1">IFERROR(__xludf.DUMMYFUNCTION("IMPORTRANGE(""https://docs.google.com/spreadsheets/d/11923uPwbBZFjjGgGUA6NLw09EwE0CqkOc4q9oUmW1yo/edit?usp=sharing"",""แพร่!I361"")"),1189)</f>
        <v>1189</v>
      </c>
      <c r="J466" s="418">
        <f ca="1">IFERROR(__xludf.DUMMYFUNCTION("IMPORTRANGE(""https://docs.google.com/spreadsheets/d/11923uPwbBZFjjGgGUA6NLw09EwE0CqkOc4q9oUmW1yo/edit?usp=sharing"",""แพร่!J361"")"),960)</f>
        <v>960</v>
      </c>
      <c r="K466" s="201">
        <f t="shared" ca="1" si="117"/>
        <v>80.740117746005041</v>
      </c>
      <c r="L466" s="181"/>
      <c r="M466" s="181"/>
      <c r="N466" s="181"/>
      <c r="O466" s="181"/>
      <c r="P466" s="181"/>
    </row>
    <row r="467" spans="1:16" ht="21.75" customHeight="1" x14ac:dyDescent="0.3">
      <c r="A467" s="400"/>
      <c r="B467" s="401"/>
      <c r="C467" s="401"/>
      <c r="D467" s="402"/>
      <c r="E467" s="195"/>
      <c r="F467" s="388" t="s">
        <v>168</v>
      </c>
      <c r="G467" s="419"/>
      <c r="H467" s="420" t="s">
        <v>122</v>
      </c>
      <c r="I467" s="202">
        <f ca="1">IFERROR(__xludf.DUMMYFUNCTION("IMPORTRANGE(""https://docs.google.com/spreadsheets/d/11923uPwbBZFjjGgGUA6NLw09EwE0CqkOc4q9oUmW1yo/edit?usp=sharing"",""แพร่!I362"")"),0)</f>
        <v>0</v>
      </c>
      <c r="J467" s="188">
        <f ca="1">IFERROR(__xludf.DUMMYFUNCTION("IMPORTRANGE(""https://docs.google.com/spreadsheets/d/11923uPwbBZFjjGgGUA6NLw09EwE0CqkOc4q9oUmW1yo/edit?usp=sharing"",""แพร่!J362"")"),3099)</f>
        <v>3099</v>
      </c>
      <c r="K467" s="163">
        <f t="shared" ca="1" si="117"/>
        <v>0</v>
      </c>
      <c r="L467" s="181"/>
      <c r="M467" s="181"/>
      <c r="N467" s="181"/>
      <c r="O467" s="181"/>
      <c r="P467" s="181"/>
    </row>
    <row r="468" spans="1:16" ht="21.75" customHeight="1" x14ac:dyDescent="0.3">
      <c r="A468" s="400"/>
      <c r="B468" s="401"/>
      <c r="C468" s="401"/>
      <c r="D468" s="402"/>
      <c r="E468" s="195"/>
      <c r="F468" s="195"/>
      <c r="G468" s="419"/>
      <c r="H468" s="420" t="s">
        <v>36</v>
      </c>
      <c r="I468" s="202">
        <f ca="1">IFERROR(__xludf.DUMMYFUNCTION("IMPORTRANGE(""https://docs.google.com/spreadsheets/d/11923uPwbBZFjjGgGUA6NLw09EwE0CqkOc4q9oUmW1yo/edit?usp=sharing"",""แพร่!I363"")"),0)</f>
        <v>0</v>
      </c>
      <c r="J468" s="188">
        <f ca="1">IFERROR(__xludf.DUMMYFUNCTION("IMPORTRANGE(""https://docs.google.com/spreadsheets/d/11923uPwbBZFjjGgGUA6NLw09EwE0CqkOc4q9oUmW1yo/edit?usp=sharing"",""แพร่!J363"")"),704)</f>
        <v>704</v>
      </c>
      <c r="K468" s="163">
        <f t="shared" ca="1" si="117"/>
        <v>0</v>
      </c>
      <c r="L468" s="181"/>
      <c r="M468" s="181"/>
      <c r="N468" s="181"/>
      <c r="O468" s="181"/>
      <c r="P468" s="181"/>
    </row>
    <row r="469" spans="1:16" ht="21.75" customHeight="1" x14ac:dyDescent="0.3">
      <c r="A469" s="400"/>
      <c r="B469" s="401"/>
      <c r="C469" s="401"/>
      <c r="D469" s="402"/>
      <c r="E469" s="195"/>
      <c r="F469" s="388" t="s">
        <v>169</v>
      </c>
      <c r="G469" s="419"/>
      <c r="H469" s="420" t="s">
        <v>122</v>
      </c>
      <c r="I469" s="202">
        <f ca="1">IFERROR(__xludf.DUMMYFUNCTION("IMPORTRANGE(""https://docs.google.com/spreadsheets/d/11923uPwbBZFjjGgGUA6NLw09EwE0CqkOc4q9oUmW1yo/edit?usp=sharing"",""แพร่!I364"")"),0)</f>
        <v>0</v>
      </c>
      <c r="J469" s="188">
        <f ca="1">IFERROR(__xludf.DUMMYFUNCTION("IMPORTRANGE(""https://docs.google.com/spreadsheets/d/11923uPwbBZFjjGgGUA6NLw09EwE0CqkOc4q9oUmW1yo/edit?usp=sharing"",""แพร่!J364"")"),989)</f>
        <v>989</v>
      </c>
      <c r="K469" s="163">
        <f t="shared" ca="1" si="117"/>
        <v>0</v>
      </c>
      <c r="L469" s="181"/>
      <c r="M469" s="181"/>
      <c r="N469" s="181"/>
      <c r="O469" s="181"/>
      <c r="P469" s="181"/>
    </row>
    <row r="470" spans="1:16" ht="21.75" customHeight="1" x14ac:dyDescent="0.3">
      <c r="A470" s="400"/>
      <c r="B470" s="401"/>
      <c r="C470" s="401"/>
      <c r="D470" s="402"/>
      <c r="E470" s="195"/>
      <c r="F470" s="195"/>
      <c r="G470" s="419"/>
      <c r="H470" s="420" t="s">
        <v>36</v>
      </c>
      <c r="I470" s="202">
        <f ca="1">IFERROR(__xludf.DUMMYFUNCTION("IMPORTRANGE(""https://docs.google.com/spreadsheets/d/11923uPwbBZFjjGgGUA6NLw09EwE0CqkOc4q9oUmW1yo/edit?usp=sharing"",""แพร่!I365"")"),0)</f>
        <v>0</v>
      </c>
      <c r="J470" s="188">
        <f ca="1">IFERROR(__xludf.DUMMYFUNCTION("IMPORTRANGE(""https://docs.google.com/spreadsheets/d/11923uPwbBZFjjGgGUA6NLw09EwE0CqkOc4q9oUmW1yo/edit?usp=sharing"",""แพร่!J365"")"),231)</f>
        <v>231</v>
      </c>
      <c r="K470" s="163">
        <f t="shared" ca="1" si="117"/>
        <v>0</v>
      </c>
      <c r="L470" s="181"/>
      <c r="M470" s="181"/>
      <c r="N470" s="181"/>
      <c r="O470" s="181"/>
      <c r="P470" s="181"/>
    </row>
    <row r="471" spans="1:16" ht="21.75" customHeight="1" x14ac:dyDescent="0.3">
      <c r="A471" s="400"/>
      <c r="B471" s="401"/>
      <c r="C471" s="401"/>
      <c r="D471" s="402"/>
      <c r="E471" s="195"/>
      <c r="F471" s="388" t="s">
        <v>170</v>
      </c>
      <c r="G471" s="419"/>
      <c r="H471" s="420" t="s">
        <v>122</v>
      </c>
      <c r="I471" s="202">
        <f ca="1">IFERROR(__xludf.DUMMYFUNCTION("IMPORTRANGE(""https://docs.google.com/spreadsheets/d/11923uPwbBZFjjGgGUA6NLw09EwE0CqkOc4q9oUmW1yo/edit?usp=sharing"",""แพร่!I366"")"),0)</f>
        <v>0</v>
      </c>
      <c r="J471" s="188">
        <f ca="1">IFERROR(__xludf.DUMMYFUNCTION("IMPORTRANGE(""https://docs.google.com/spreadsheets/d/11923uPwbBZFjjGgGUA6NLw09EwE0CqkOc4q9oUmW1yo/edit?usp=sharing"",""แพร่!J366"")"),99)</f>
        <v>99</v>
      </c>
      <c r="K471" s="163">
        <f t="shared" ca="1" si="117"/>
        <v>0</v>
      </c>
      <c r="L471" s="181"/>
      <c r="M471" s="181"/>
      <c r="N471" s="181"/>
      <c r="O471" s="181"/>
      <c r="P471" s="181"/>
    </row>
    <row r="472" spans="1:16" ht="21.75" customHeight="1" x14ac:dyDescent="0.3">
      <c r="A472" s="400"/>
      <c r="B472" s="401"/>
      <c r="C472" s="401"/>
      <c r="D472" s="402"/>
      <c r="E472" s="195"/>
      <c r="F472" s="195"/>
      <c r="G472" s="195"/>
      <c r="H472" s="420" t="s">
        <v>36</v>
      </c>
      <c r="I472" s="202">
        <f ca="1">IFERROR(__xludf.DUMMYFUNCTION("IMPORTRANGE(""https://docs.google.com/spreadsheets/d/11923uPwbBZFjjGgGUA6NLw09EwE0CqkOc4q9oUmW1yo/edit?usp=sharing"",""แพร่!I367"")"),0)</f>
        <v>0</v>
      </c>
      <c r="J472" s="188">
        <f ca="1">IFERROR(__xludf.DUMMYFUNCTION("IMPORTRANGE(""https://docs.google.com/spreadsheets/d/11923uPwbBZFjjGgGUA6NLw09EwE0CqkOc4q9oUmW1yo/edit?usp=sharing"",""แพร่!J367"")"),25)</f>
        <v>25</v>
      </c>
      <c r="K472" s="163">
        <f t="shared" ca="1" si="117"/>
        <v>0</v>
      </c>
      <c r="L472" s="181"/>
      <c r="M472" s="181"/>
      <c r="N472" s="181"/>
      <c r="O472" s="181"/>
      <c r="P472" s="181"/>
    </row>
    <row r="473" spans="1:16" ht="21.75" customHeight="1" x14ac:dyDescent="0.3">
      <c r="A473" s="400"/>
      <c r="B473" s="401"/>
      <c r="C473" s="401"/>
      <c r="D473" s="402"/>
      <c r="E473" s="289" t="s">
        <v>171</v>
      </c>
      <c r="F473" s="195"/>
      <c r="G473" s="196"/>
      <c r="H473" s="416" t="s">
        <v>122</v>
      </c>
      <c r="I473" s="418">
        <f ca="1">IFERROR(__xludf.DUMMYFUNCTION("IMPORTRANGE(""https://docs.google.com/spreadsheets/d/11923uPwbBZFjjGgGUA6NLw09EwE0CqkOc4q9oUmW1yo/edit?usp=sharing"",""แพร่!I368"")"),5092)</f>
        <v>5092</v>
      </c>
      <c r="J473" s="418">
        <f ca="1">IFERROR(__xludf.DUMMYFUNCTION("IMPORTRANGE(""https://docs.google.com/spreadsheets/d/11923uPwbBZFjjGgGUA6NLw09EwE0CqkOc4q9oUmW1yo/edit?usp=sharing"",""แพร่!J368"")"),0)</f>
        <v>0</v>
      </c>
      <c r="K473" s="201">
        <f t="shared" ca="1" si="117"/>
        <v>0</v>
      </c>
      <c r="L473" s="181"/>
      <c r="M473" s="181"/>
      <c r="N473" s="181"/>
      <c r="O473" s="181"/>
      <c r="P473" s="181"/>
    </row>
    <row r="474" spans="1:16" ht="21.75" customHeight="1" x14ac:dyDescent="0.3">
      <c r="A474" s="400"/>
      <c r="B474" s="401"/>
      <c r="C474" s="401"/>
      <c r="D474" s="402"/>
      <c r="E474" s="195"/>
      <c r="F474" s="195"/>
      <c r="G474" s="196"/>
      <c r="H474" s="416" t="s">
        <v>36</v>
      </c>
      <c r="I474" s="417">
        <f ca="1">IFERROR(__xludf.DUMMYFUNCTION("IMPORTRANGE(""https://docs.google.com/spreadsheets/d/11923uPwbBZFjjGgGUA6NLw09EwE0CqkOc4q9oUmW1yo/edit?usp=sharing"",""แพร่!I369"")"),1189)</f>
        <v>1189</v>
      </c>
      <c r="J474" s="418">
        <f ca="1">IFERROR(__xludf.DUMMYFUNCTION("IMPORTRANGE(""https://docs.google.com/spreadsheets/d/11923uPwbBZFjjGgGUA6NLw09EwE0CqkOc4q9oUmW1yo/edit?usp=sharing"",""แพร่!J369"")"),0)</f>
        <v>0</v>
      </c>
      <c r="K474" s="163">
        <f t="shared" ca="1" si="117"/>
        <v>0</v>
      </c>
      <c r="L474" s="181"/>
      <c r="M474" s="181"/>
      <c r="N474" s="181"/>
      <c r="O474" s="181"/>
      <c r="P474" s="181"/>
    </row>
    <row r="475" spans="1:16" ht="21.75" customHeight="1" x14ac:dyDescent="0.3">
      <c r="A475" s="400"/>
      <c r="B475" s="401"/>
      <c r="C475" s="401"/>
      <c r="D475" s="402"/>
      <c r="E475" s="195"/>
      <c r="F475" s="194" t="s">
        <v>172</v>
      </c>
      <c r="G475" s="419"/>
      <c r="H475" s="420" t="s">
        <v>122</v>
      </c>
      <c r="I475" s="202">
        <f ca="1">IFERROR(__xludf.DUMMYFUNCTION("IMPORTRANGE(""https://docs.google.com/spreadsheets/d/11923uPwbBZFjjGgGUA6NLw09EwE0CqkOc4q9oUmW1yo/edit?usp=sharing"",""แพร่!I370"")"),0)</f>
        <v>0</v>
      </c>
      <c r="J475" s="188">
        <f ca="1">IFERROR(__xludf.DUMMYFUNCTION("IMPORTRANGE(""https://docs.google.com/spreadsheets/d/11923uPwbBZFjjGgGUA6NLw09EwE0CqkOc4q9oUmW1yo/edit?usp=sharing"",""แพร่!J370"")"),0)</f>
        <v>0</v>
      </c>
      <c r="K475" s="163">
        <f t="shared" ca="1" si="117"/>
        <v>0</v>
      </c>
      <c r="L475" s="181"/>
      <c r="M475" s="181"/>
      <c r="N475" s="181"/>
      <c r="O475" s="181"/>
      <c r="P475" s="181"/>
    </row>
    <row r="476" spans="1:16" ht="21.75" customHeight="1" x14ac:dyDescent="0.3">
      <c r="A476" s="400"/>
      <c r="B476" s="401"/>
      <c r="C476" s="401"/>
      <c r="D476" s="402"/>
      <c r="E476" s="195"/>
      <c r="F476" s="195"/>
      <c r="G476" s="419"/>
      <c r="H476" s="420" t="s">
        <v>36</v>
      </c>
      <c r="I476" s="202">
        <f ca="1">IFERROR(__xludf.DUMMYFUNCTION("IMPORTRANGE(""https://docs.google.com/spreadsheets/d/11923uPwbBZFjjGgGUA6NLw09EwE0CqkOc4q9oUmW1yo/edit?usp=sharing"",""แพร่!I371"")"),0)</f>
        <v>0</v>
      </c>
      <c r="J476" s="188">
        <f ca="1">IFERROR(__xludf.DUMMYFUNCTION("IMPORTRANGE(""https://docs.google.com/spreadsheets/d/11923uPwbBZFjjGgGUA6NLw09EwE0CqkOc4q9oUmW1yo/edit?usp=sharing"",""แพร่!J371"")"),0)</f>
        <v>0</v>
      </c>
      <c r="K476" s="163">
        <f t="shared" ca="1" si="117"/>
        <v>0</v>
      </c>
      <c r="L476" s="181"/>
      <c r="M476" s="181"/>
      <c r="N476" s="181"/>
      <c r="O476" s="181"/>
      <c r="P476" s="181"/>
    </row>
    <row r="477" spans="1:16" ht="21.75" customHeight="1" x14ac:dyDescent="0.3">
      <c r="A477" s="400"/>
      <c r="B477" s="401"/>
      <c r="C477" s="401"/>
      <c r="D477" s="402"/>
      <c r="E477" s="195"/>
      <c r="F477" s="194" t="s">
        <v>173</v>
      </c>
      <c r="G477" s="419"/>
      <c r="H477" s="420" t="s">
        <v>122</v>
      </c>
      <c r="I477" s="202">
        <f ca="1">IFERROR(__xludf.DUMMYFUNCTION("IMPORTRANGE(""https://docs.google.com/spreadsheets/d/11923uPwbBZFjjGgGUA6NLw09EwE0CqkOc4q9oUmW1yo/edit?usp=sharing"",""แพร่!I372"")"),0)</f>
        <v>0</v>
      </c>
      <c r="J477" s="188">
        <f ca="1">IFERROR(__xludf.DUMMYFUNCTION("IMPORTRANGE(""https://docs.google.com/spreadsheets/d/11923uPwbBZFjjGgGUA6NLw09EwE0CqkOc4q9oUmW1yo/edit?usp=sharing"",""แพร่!J372"")"),0)</f>
        <v>0</v>
      </c>
      <c r="K477" s="163">
        <f t="shared" ca="1" si="117"/>
        <v>0</v>
      </c>
      <c r="L477" s="181"/>
      <c r="M477" s="181"/>
      <c r="N477" s="181"/>
      <c r="O477" s="181"/>
      <c r="P477" s="181"/>
    </row>
    <row r="478" spans="1:16" ht="21.75" customHeight="1" x14ac:dyDescent="0.3">
      <c r="A478" s="400"/>
      <c r="B478" s="401"/>
      <c r="C478" s="401"/>
      <c r="D478" s="402"/>
      <c r="E478" s="195"/>
      <c r="F478" s="195"/>
      <c r="G478" s="419"/>
      <c r="H478" s="420" t="s">
        <v>36</v>
      </c>
      <c r="I478" s="202">
        <f ca="1">IFERROR(__xludf.DUMMYFUNCTION("IMPORTRANGE(""https://docs.google.com/spreadsheets/d/11923uPwbBZFjjGgGUA6NLw09EwE0CqkOc4q9oUmW1yo/edit?usp=sharing"",""แพร่!I373"")"),0)</f>
        <v>0</v>
      </c>
      <c r="J478" s="188">
        <f ca="1">IFERROR(__xludf.DUMMYFUNCTION("IMPORTRANGE(""https://docs.google.com/spreadsheets/d/11923uPwbBZFjjGgGUA6NLw09EwE0CqkOc4q9oUmW1yo/edit?usp=sharing"",""แพร่!J373"")"),0)</f>
        <v>0</v>
      </c>
      <c r="K478" s="163">
        <f t="shared" ca="1" si="117"/>
        <v>0</v>
      </c>
      <c r="L478" s="181"/>
      <c r="M478" s="181"/>
      <c r="N478" s="181"/>
      <c r="O478" s="181"/>
      <c r="P478" s="181"/>
    </row>
    <row r="479" spans="1:16" ht="21.75" customHeight="1" x14ac:dyDescent="0.3">
      <c r="A479" s="400"/>
      <c r="B479" s="401"/>
      <c r="C479" s="401"/>
      <c r="D479" s="402"/>
      <c r="E479" s="195"/>
      <c r="F479" s="194" t="s">
        <v>174</v>
      </c>
      <c r="G479" s="419"/>
      <c r="H479" s="420" t="s">
        <v>122</v>
      </c>
      <c r="I479" s="202">
        <f ca="1">IFERROR(__xludf.DUMMYFUNCTION("IMPORTRANGE(""https://docs.google.com/spreadsheets/d/11923uPwbBZFjjGgGUA6NLw09EwE0CqkOc4q9oUmW1yo/edit?usp=sharing"",""แพร่!I374"")"),0)</f>
        <v>0</v>
      </c>
      <c r="J479" s="188">
        <f ca="1">IFERROR(__xludf.DUMMYFUNCTION("IMPORTRANGE(""https://docs.google.com/spreadsheets/d/11923uPwbBZFjjGgGUA6NLw09EwE0CqkOc4q9oUmW1yo/edit?usp=sharing"",""แพร่!J374"")"),0)</f>
        <v>0</v>
      </c>
      <c r="K479" s="163">
        <f t="shared" ca="1" si="117"/>
        <v>0</v>
      </c>
      <c r="L479" s="181"/>
      <c r="M479" s="181"/>
      <c r="N479" s="181"/>
      <c r="O479" s="181"/>
      <c r="P479" s="181"/>
    </row>
    <row r="480" spans="1:16" ht="21.75" customHeight="1" x14ac:dyDescent="0.3">
      <c r="A480" s="400"/>
      <c r="B480" s="401"/>
      <c r="C480" s="401"/>
      <c r="D480" s="402"/>
      <c r="E480" s="195"/>
      <c r="F480" s="195"/>
      <c r="G480" s="196"/>
      <c r="H480" s="420" t="s">
        <v>36</v>
      </c>
      <c r="I480" s="202">
        <f ca="1">IFERROR(__xludf.DUMMYFUNCTION("IMPORTRANGE(""https://docs.google.com/spreadsheets/d/11923uPwbBZFjjGgGUA6NLw09EwE0CqkOc4q9oUmW1yo/edit?usp=sharing"",""แพร่!I375"")"),0)</f>
        <v>0</v>
      </c>
      <c r="J480" s="188">
        <f ca="1">IFERROR(__xludf.DUMMYFUNCTION("IMPORTRANGE(""https://docs.google.com/spreadsheets/d/11923uPwbBZFjjGgGUA6NLw09EwE0CqkOc4q9oUmW1yo/edit?usp=sharing"",""แพร่!J375"")"),0)</f>
        <v>0</v>
      </c>
      <c r="K480" s="163">
        <f t="shared" ca="1" si="117"/>
        <v>0</v>
      </c>
      <c r="L480" s="181"/>
      <c r="M480" s="181"/>
      <c r="N480" s="181"/>
      <c r="O480" s="181"/>
      <c r="P480" s="181"/>
    </row>
    <row r="481" spans="1:16" ht="21.75" customHeight="1" x14ac:dyDescent="0.3">
      <c r="A481" s="421"/>
      <c r="B481" s="422"/>
      <c r="C481" s="422"/>
      <c r="D481" s="423"/>
      <c r="E481" s="424" t="s">
        <v>175</v>
      </c>
      <c r="F481" s="425"/>
      <c r="G481" s="426"/>
      <c r="H481" s="427" t="s">
        <v>122</v>
      </c>
      <c r="I481" s="418">
        <f ca="1">IFERROR(__xludf.DUMMYFUNCTION("IMPORTRANGE(""https://docs.google.com/spreadsheets/d/11923uPwbBZFjjGgGUA6NLw09EwE0CqkOc4q9oUmW1yo/edit?usp=sharing"",""แพร่!I376"")"),5092)</f>
        <v>5092</v>
      </c>
      <c r="J481" s="418">
        <f ca="1">IFERROR(__xludf.DUMMYFUNCTION("IMPORTRANGE(""https://docs.google.com/spreadsheets/d/11923uPwbBZFjjGgGUA6NLw09EwE0CqkOc4q9oUmW1yo/edit?usp=sharing"",""แพร่!J376"")"),0)</f>
        <v>0</v>
      </c>
      <c r="K481" s="201">
        <f t="shared" ca="1" si="117"/>
        <v>0</v>
      </c>
      <c r="L481" s="428"/>
      <c r="M481" s="428"/>
      <c r="N481" s="428"/>
      <c r="O481" s="428"/>
      <c r="P481" s="428"/>
    </row>
    <row r="482" spans="1:16" ht="21.75" customHeight="1" x14ac:dyDescent="0.3">
      <c r="A482" s="400"/>
      <c r="B482" s="401"/>
      <c r="C482" s="401"/>
      <c r="D482" s="402"/>
      <c r="E482" s="195"/>
      <c r="F482" s="195"/>
      <c r="G482" s="196"/>
      <c r="H482" s="416" t="s">
        <v>36</v>
      </c>
      <c r="I482" s="417">
        <f ca="1">IFERROR(__xludf.DUMMYFUNCTION("IMPORTRANGE(""https://docs.google.com/spreadsheets/d/11923uPwbBZFjjGgGUA6NLw09EwE0CqkOc4q9oUmW1yo/edit?usp=sharing"",""แพร่!I377"")"),1189)</f>
        <v>1189</v>
      </c>
      <c r="J482" s="418">
        <f ca="1">IFERROR(__xludf.DUMMYFUNCTION("IMPORTRANGE(""https://docs.google.com/spreadsheets/d/11923uPwbBZFjjGgGUA6NLw09EwE0CqkOc4q9oUmW1yo/edit?usp=sharing"",""แพร่!J377"")"),0)</f>
        <v>0</v>
      </c>
      <c r="K482" s="163">
        <f t="shared" ca="1" si="117"/>
        <v>0</v>
      </c>
      <c r="L482" s="181"/>
      <c r="M482" s="181"/>
      <c r="N482" s="181"/>
      <c r="O482" s="181"/>
      <c r="P482" s="181"/>
    </row>
    <row r="483" spans="1:16" ht="21.75" customHeight="1" x14ac:dyDescent="0.3">
      <c r="A483" s="400"/>
      <c r="B483" s="401"/>
      <c r="C483" s="401"/>
      <c r="D483" s="402"/>
      <c r="E483" s="195"/>
      <c r="F483" s="194" t="s">
        <v>176</v>
      </c>
      <c r="G483" s="419"/>
      <c r="H483" s="420" t="s">
        <v>122</v>
      </c>
      <c r="I483" s="202">
        <f ca="1">IFERROR(__xludf.DUMMYFUNCTION("IMPORTRANGE(""https://docs.google.com/spreadsheets/d/11923uPwbBZFjjGgGUA6NLw09EwE0CqkOc4q9oUmW1yo/edit?usp=sharing"",""แพร่!I378"")"),0)</f>
        <v>0</v>
      </c>
      <c r="J483" s="188">
        <f ca="1">IFERROR(__xludf.DUMMYFUNCTION("IMPORTRANGE(""https://docs.google.com/spreadsheets/d/11923uPwbBZFjjGgGUA6NLw09EwE0CqkOc4q9oUmW1yo/edit?usp=sharing"",""แพร่!J378"")"),0)</f>
        <v>0</v>
      </c>
      <c r="K483" s="163">
        <f t="shared" ca="1" si="117"/>
        <v>0</v>
      </c>
      <c r="L483" s="181"/>
      <c r="M483" s="181"/>
      <c r="N483" s="181"/>
      <c r="O483" s="181"/>
      <c r="P483" s="181"/>
    </row>
    <row r="484" spans="1:16" ht="21.75" customHeight="1" x14ac:dyDescent="0.3">
      <c r="A484" s="400"/>
      <c r="B484" s="401"/>
      <c r="C484" s="401"/>
      <c r="D484" s="402"/>
      <c r="E484" s="195"/>
      <c r="F484" s="195"/>
      <c r="G484" s="419"/>
      <c r="H484" s="420" t="s">
        <v>36</v>
      </c>
      <c r="I484" s="202">
        <f ca="1">IFERROR(__xludf.DUMMYFUNCTION("IMPORTRANGE(""https://docs.google.com/spreadsheets/d/11923uPwbBZFjjGgGUA6NLw09EwE0CqkOc4q9oUmW1yo/edit?usp=sharing"",""แพร่!I379"")"),0)</f>
        <v>0</v>
      </c>
      <c r="J484" s="188">
        <f ca="1">IFERROR(__xludf.DUMMYFUNCTION("IMPORTRANGE(""https://docs.google.com/spreadsheets/d/11923uPwbBZFjjGgGUA6NLw09EwE0CqkOc4q9oUmW1yo/edit?usp=sharing"",""แพร่!J379"")"),0)</f>
        <v>0</v>
      </c>
      <c r="K484" s="163">
        <f t="shared" ca="1" si="117"/>
        <v>0</v>
      </c>
      <c r="L484" s="181"/>
      <c r="M484" s="181"/>
      <c r="N484" s="181"/>
      <c r="O484" s="181"/>
      <c r="P484" s="181"/>
    </row>
    <row r="485" spans="1:16" ht="21.75" customHeight="1" x14ac:dyDescent="0.3">
      <c r="A485" s="400"/>
      <c r="B485" s="401"/>
      <c r="C485" s="401"/>
      <c r="D485" s="402"/>
      <c r="E485" s="195"/>
      <c r="F485" s="194" t="s">
        <v>177</v>
      </c>
      <c r="G485" s="419"/>
      <c r="H485" s="420" t="s">
        <v>122</v>
      </c>
      <c r="I485" s="202">
        <f ca="1">IFERROR(__xludf.DUMMYFUNCTION("IMPORTRANGE(""https://docs.google.com/spreadsheets/d/11923uPwbBZFjjGgGUA6NLw09EwE0CqkOc4q9oUmW1yo/edit?usp=sharing"",""แพร่!I380"")"),0)</f>
        <v>0</v>
      </c>
      <c r="J485" s="188">
        <f ca="1">IFERROR(__xludf.DUMMYFUNCTION("IMPORTRANGE(""https://docs.google.com/spreadsheets/d/11923uPwbBZFjjGgGUA6NLw09EwE0CqkOc4q9oUmW1yo/edit?usp=sharing"",""แพร่!J380"")"),0)</f>
        <v>0</v>
      </c>
      <c r="K485" s="163">
        <f t="shared" ca="1" si="117"/>
        <v>0</v>
      </c>
      <c r="L485" s="181"/>
      <c r="M485" s="181"/>
      <c r="N485" s="181"/>
      <c r="O485" s="181"/>
      <c r="P485" s="181"/>
    </row>
    <row r="486" spans="1:16" ht="21.75" customHeight="1" x14ac:dyDescent="0.3">
      <c r="A486" s="400"/>
      <c r="B486" s="401"/>
      <c r="C486" s="401"/>
      <c r="D486" s="402"/>
      <c r="E486" s="195"/>
      <c r="F486" s="195"/>
      <c r="G486" s="419"/>
      <c r="H486" s="420" t="s">
        <v>36</v>
      </c>
      <c r="I486" s="202">
        <f ca="1">IFERROR(__xludf.DUMMYFUNCTION("IMPORTRANGE(""https://docs.google.com/spreadsheets/d/11923uPwbBZFjjGgGUA6NLw09EwE0CqkOc4q9oUmW1yo/edit?usp=sharing"",""แพร่!I381"")"),0)</f>
        <v>0</v>
      </c>
      <c r="J486" s="188">
        <f ca="1">IFERROR(__xludf.DUMMYFUNCTION("IMPORTRANGE(""https://docs.google.com/spreadsheets/d/11923uPwbBZFjjGgGUA6NLw09EwE0CqkOc4q9oUmW1yo/edit?usp=sharing"",""แพร่!J381"")"),0)</f>
        <v>0</v>
      </c>
      <c r="K486" s="163">
        <f t="shared" ca="1" si="117"/>
        <v>0</v>
      </c>
      <c r="L486" s="181"/>
      <c r="M486" s="181"/>
      <c r="N486" s="181"/>
      <c r="O486" s="181"/>
      <c r="P486" s="181"/>
    </row>
    <row r="487" spans="1:16" ht="21.75" customHeight="1" x14ac:dyDescent="0.3">
      <c r="A487" s="400"/>
      <c r="B487" s="401"/>
      <c r="C487" s="401"/>
      <c r="D487" s="402"/>
      <c r="E487" s="195"/>
      <c r="F487" s="194" t="s">
        <v>178</v>
      </c>
      <c r="G487" s="419"/>
      <c r="H487" s="420" t="s">
        <v>122</v>
      </c>
      <c r="I487" s="202">
        <f ca="1">IFERROR(__xludf.DUMMYFUNCTION("IMPORTRANGE(""https://docs.google.com/spreadsheets/d/11923uPwbBZFjjGgGUA6NLw09EwE0CqkOc4q9oUmW1yo/edit?usp=sharing"",""แพร่!I382"")"),0)</f>
        <v>0</v>
      </c>
      <c r="J487" s="418">
        <f ca="1">IFERROR(__xludf.DUMMYFUNCTION("IMPORTRANGE(""https://docs.google.com/spreadsheets/d/11923uPwbBZFjjGgGUA6NLw09EwE0CqkOc4q9oUmW1yo/edit?usp=sharing"",""แพร่!J382"")"),0)</f>
        <v>0</v>
      </c>
      <c r="K487" s="163">
        <f t="shared" ca="1" si="117"/>
        <v>0</v>
      </c>
      <c r="L487" s="181"/>
      <c r="M487" s="181"/>
      <c r="N487" s="181"/>
      <c r="O487" s="181"/>
      <c r="P487" s="181"/>
    </row>
    <row r="488" spans="1:16" ht="21.75" customHeight="1" x14ac:dyDescent="0.3">
      <c r="A488" s="400"/>
      <c r="B488" s="401"/>
      <c r="C488" s="401"/>
      <c r="D488" s="402"/>
      <c r="E488" s="195"/>
      <c r="F488" s="195"/>
      <c r="G488" s="195"/>
      <c r="H488" s="420" t="s">
        <v>36</v>
      </c>
      <c r="I488" s="202">
        <f ca="1">IFERROR(__xludf.DUMMYFUNCTION("IMPORTRANGE(""https://docs.google.com/spreadsheets/d/11923uPwbBZFjjGgGUA6NLw09EwE0CqkOc4q9oUmW1yo/edit?usp=sharing"",""แพร่!I383"")"),0)</f>
        <v>0</v>
      </c>
      <c r="J488" s="418">
        <f ca="1">IFERROR(__xludf.DUMMYFUNCTION("IMPORTRANGE(""https://docs.google.com/spreadsheets/d/11923uPwbBZFjjGgGUA6NLw09EwE0CqkOc4q9oUmW1yo/edit?usp=sharing"",""แพร่!J383"")"),0)</f>
        <v>0</v>
      </c>
      <c r="K488" s="163">
        <f t="shared" ca="1" si="117"/>
        <v>0</v>
      </c>
      <c r="L488" s="181"/>
      <c r="M488" s="181"/>
      <c r="N488" s="181"/>
      <c r="O488" s="181"/>
      <c r="P488" s="181"/>
    </row>
    <row r="489" spans="1:16" ht="21.75" customHeight="1" x14ac:dyDescent="0.3">
      <c r="A489" s="400"/>
      <c r="B489" s="401"/>
      <c r="C489" s="401"/>
      <c r="D489" s="402"/>
      <c r="E489" s="195"/>
      <c r="F489" s="195"/>
      <c r="G489" s="194" t="s">
        <v>179</v>
      </c>
      <c r="H489" s="420" t="s">
        <v>122</v>
      </c>
      <c r="I489" s="202">
        <f ca="1">IFERROR(__xludf.DUMMYFUNCTION("IMPORTRANGE(""https://docs.google.com/spreadsheets/d/11923uPwbBZFjjGgGUA6NLw09EwE0CqkOc4q9oUmW1yo/edit?usp=sharing"",""แพร่!I384"")"),0)</f>
        <v>0</v>
      </c>
      <c r="J489" s="188">
        <f ca="1">IFERROR(__xludf.DUMMYFUNCTION("IMPORTRANGE(""https://docs.google.com/spreadsheets/d/11923uPwbBZFjjGgGUA6NLw09EwE0CqkOc4q9oUmW1yo/edit?usp=sharing"",""แพร่!J384"")"),0)</f>
        <v>0</v>
      </c>
      <c r="K489" s="163">
        <f t="shared" ca="1" si="117"/>
        <v>0</v>
      </c>
      <c r="L489" s="181"/>
      <c r="M489" s="181"/>
      <c r="N489" s="181"/>
      <c r="O489" s="181"/>
      <c r="P489" s="181"/>
    </row>
    <row r="490" spans="1:16" ht="21.75" customHeight="1" x14ac:dyDescent="0.3">
      <c r="A490" s="400"/>
      <c r="B490" s="401"/>
      <c r="C490" s="401"/>
      <c r="D490" s="402"/>
      <c r="E490" s="195"/>
      <c r="F490" s="195"/>
      <c r="G490" s="195"/>
      <c r="H490" s="420" t="s">
        <v>36</v>
      </c>
      <c r="I490" s="202">
        <f ca="1">IFERROR(__xludf.DUMMYFUNCTION("IMPORTRANGE(""https://docs.google.com/spreadsheets/d/11923uPwbBZFjjGgGUA6NLw09EwE0CqkOc4q9oUmW1yo/edit?usp=sharing"",""แพร่!I385"")"),0)</f>
        <v>0</v>
      </c>
      <c r="J490" s="188">
        <f ca="1">IFERROR(__xludf.DUMMYFUNCTION("IMPORTRANGE(""https://docs.google.com/spreadsheets/d/11923uPwbBZFjjGgGUA6NLw09EwE0CqkOc4q9oUmW1yo/edit?usp=sharing"",""แพร่!J385"")"),0)</f>
        <v>0</v>
      </c>
      <c r="K490" s="163">
        <f t="shared" ca="1" si="117"/>
        <v>0</v>
      </c>
      <c r="L490" s="181"/>
      <c r="M490" s="181"/>
      <c r="N490" s="181"/>
      <c r="O490" s="181"/>
      <c r="P490" s="181"/>
    </row>
    <row r="491" spans="1:16" ht="21.75" customHeight="1" x14ac:dyDescent="0.3">
      <c r="A491" s="400"/>
      <c r="B491" s="401"/>
      <c r="C491" s="401"/>
      <c r="D491" s="402"/>
      <c r="E491" s="195"/>
      <c r="F491" s="195"/>
      <c r="G491" s="194" t="s">
        <v>180</v>
      </c>
      <c r="H491" s="420" t="s">
        <v>122</v>
      </c>
      <c r="I491" s="202">
        <f ca="1">IFERROR(__xludf.DUMMYFUNCTION("IMPORTRANGE(""https://docs.google.com/spreadsheets/d/11923uPwbBZFjjGgGUA6NLw09EwE0CqkOc4q9oUmW1yo/edit?usp=sharing"",""แพร่!I386"")"),0)</f>
        <v>0</v>
      </c>
      <c r="J491" s="188">
        <f ca="1">IFERROR(__xludf.DUMMYFUNCTION("IMPORTRANGE(""https://docs.google.com/spreadsheets/d/11923uPwbBZFjjGgGUA6NLw09EwE0CqkOc4q9oUmW1yo/edit?usp=sharing"",""แพร่!J386"")"),0)</f>
        <v>0</v>
      </c>
      <c r="K491" s="163">
        <f t="shared" ca="1" si="117"/>
        <v>0</v>
      </c>
      <c r="L491" s="181"/>
      <c r="M491" s="181"/>
      <c r="N491" s="181"/>
      <c r="O491" s="181"/>
      <c r="P491" s="181"/>
    </row>
    <row r="492" spans="1:16" ht="21.75" customHeight="1" x14ac:dyDescent="0.3">
      <c r="A492" s="400"/>
      <c r="B492" s="401"/>
      <c r="C492" s="401"/>
      <c r="D492" s="402"/>
      <c r="E492" s="195"/>
      <c r="F492" s="195"/>
      <c r="G492" s="196"/>
      <c r="H492" s="420" t="s">
        <v>36</v>
      </c>
      <c r="I492" s="202">
        <f ca="1">IFERROR(__xludf.DUMMYFUNCTION("IMPORTRANGE(""https://docs.google.com/spreadsheets/d/11923uPwbBZFjjGgGUA6NLw09EwE0CqkOc4q9oUmW1yo/edit?usp=sharing"",""แพร่!I387"")"),0)</f>
        <v>0</v>
      </c>
      <c r="J492" s="188">
        <f ca="1">IFERROR(__xludf.DUMMYFUNCTION("IMPORTRANGE(""https://docs.google.com/spreadsheets/d/11923uPwbBZFjjGgGUA6NLw09EwE0CqkOc4q9oUmW1yo/edit?usp=sharing"",""แพร่!J387"")"),0)</f>
        <v>0</v>
      </c>
      <c r="K492" s="163">
        <f t="shared" ca="1" si="117"/>
        <v>0</v>
      </c>
      <c r="L492" s="181"/>
      <c r="M492" s="181"/>
      <c r="N492" s="181"/>
      <c r="O492" s="181"/>
      <c r="P492" s="181"/>
    </row>
    <row r="493" spans="1:16" ht="21.75" customHeight="1" x14ac:dyDescent="0.3">
      <c r="A493" s="400"/>
      <c r="B493" s="401"/>
      <c r="C493" s="401"/>
      <c r="D493" s="402"/>
      <c r="E493" s="195"/>
      <c r="F493" s="194" t="s">
        <v>181</v>
      </c>
      <c r="G493" s="419"/>
      <c r="H493" s="420" t="s">
        <v>122</v>
      </c>
      <c r="I493" s="202">
        <f ca="1">IFERROR(__xludf.DUMMYFUNCTION("IMPORTRANGE(""https://docs.google.com/spreadsheets/d/11923uPwbBZFjjGgGUA6NLw09EwE0CqkOc4q9oUmW1yo/edit?usp=sharing"",""แพร่!I388"")"),0)</f>
        <v>0</v>
      </c>
      <c r="J493" s="188">
        <f ca="1">IFERROR(__xludf.DUMMYFUNCTION("IMPORTRANGE(""https://docs.google.com/spreadsheets/d/11923uPwbBZFjjGgGUA6NLw09EwE0CqkOc4q9oUmW1yo/edit?usp=sharing"",""แพร่!J388"")"),0)</f>
        <v>0</v>
      </c>
      <c r="K493" s="163">
        <f t="shared" ca="1" si="117"/>
        <v>0</v>
      </c>
      <c r="L493" s="181"/>
      <c r="M493" s="181"/>
      <c r="N493" s="181"/>
      <c r="O493" s="181"/>
      <c r="P493" s="181"/>
    </row>
    <row r="494" spans="1:16" ht="21.75" customHeight="1" x14ac:dyDescent="0.3">
      <c r="A494" s="429"/>
      <c r="B494" s="430"/>
      <c r="C494" s="430"/>
      <c r="D494" s="431"/>
      <c r="E494" s="345"/>
      <c r="F494" s="345"/>
      <c r="G494" s="345"/>
      <c r="H494" s="432" t="s">
        <v>36</v>
      </c>
      <c r="I494" s="433">
        <f ca="1">IFERROR(__xludf.DUMMYFUNCTION("IMPORTRANGE(""https://docs.google.com/spreadsheets/d/11923uPwbBZFjjGgGUA6NLw09EwE0CqkOc4q9oUmW1yo/edit?usp=sharing"",""แพร่!I389"")"),0)</f>
        <v>0</v>
      </c>
      <c r="J494" s="434">
        <f ca="1">IFERROR(__xludf.DUMMYFUNCTION("IMPORTRANGE(""https://docs.google.com/spreadsheets/d/11923uPwbBZFjjGgGUA6NLw09EwE0CqkOc4q9oUmW1yo/edit?usp=sharing"",""แพร่!J389"")"),0)</f>
        <v>0</v>
      </c>
      <c r="K494" s="286">
        <f t="shared" ca="1" si="117"/>
        <v>0</v>
      </c>
      <c r="L494" s="244"/>
      <c r="M494" s="244"/>
      <c r="N494" s="244"/>
      <c r="O494" s="244"/>
      <c r="P494" s="244"/>
    </row>
    <row r="495" spans="1:16" ht="21.75" customHeight="1" x14ac:dyDescent="0.3">
      <c r="A495" s="400"/>
      <c r="B495" s="401"/>
      <c r="C495" s="401"/>
      <c r="D495" s="402"/>
      <c r="E495" s="195"/>
      <c r="F495" s="195">
        <v>3.5</v>
      </c>
      <c r="G495" s="419" t="s">
        <v>182</v>
      </c>
      <c r="H495" s="420" t="s">
        <v>122</v>
      </c>
      <c r="I495" s="433">
        <f ca="1">IFERROR(__xludf.DUMMYFUNCTION("IMPORTRANGE(""https://docs.google.com/spreadsheets/d/11923uPwbBZFjjGgGUA6NLw09EwE0CqkOc4q9oUmW1yo/edit?usp=sharing"",""แพร่!I390"")"),0)</f>
        <v>0</v>
      </c>
      <c r="J495" s="434">
        <f ca="1">IFERROR(__xludf.DUMMYFUNCTION("IMPORTRANGE(""https://docs.google.com/spreadsheets/d/11923uPwbBZFjjGgGUA6NLw09EwE0CqkOc4q9oUmW1yo/edit?usp=sharing"",""แพร่!J390"")"),0)</f>
        <v>0</v>
      </c>
      <c r="K495" s="163">
        <f t="shared" ca="1" si="117"/>
        <v>0</v>
      </c>
      <c r="L495" s="181"/>
      <c r="M495" s="181"/>
      <c r="N495" s="181"/>
      <c r="O495" s="181"/>
      <c r="P495" s="181"/>
    </row>
    <row r="496" spans="1:16" ht="21.75" customHeight="1" x14ac:dyDescent="0.3">
      <c r="A496" s="429"/>
      <c r="B496" s="430"/>
      <c r="C496" s="430"/>
      <c r="D496" s="431"/>
      <c r="E496" s="345"/>
      <c r="F496" s="345"/>
      <c r="G496" s="345"/>
      <c r="H496" s="432" t="s">
        <v>36</v>
      </c>
      <c r="I496" s="433">
        <f ca="1">IFERROR(__xludf.DUMMYFUNCTION("IMPORTRANGE(""https://docs.google.com/spreadsheets/d/11923uPwbBZFjjGgGUA6NLw09EwE0CqkOc4q9oUmW1yo/edit?usp=sharing"",""แพร่!I391"")"),0)</f>
        <v>0</v>
      </c>
      <c r="J496" s="434">
        <f ca="1">IFERROR(__xludf.DUMMYFUNCTION("IMPORTRANGE(""https://docs.google.com/spreadsheets/d/11923uPwbBZFjjGgGUA6NLw09EwE0CqkOc4q9oUmW1yo/edit?usp=sharing"",""แพร่!J391"")"),0)</f>
        <v>0</v>
      </c>
      <c r="K496" s="286">
        <f t="shared" ca="1" si="117"/>
        <v>0</v>
      </c>
      <c r="L496" s="244"/>
      <c r="M496" s="244"/>
      <c r="N496" s="244"/>
      <c r="O496" s="244"/>
      <c r="P496" s="244"/>
    </row>
    <row r="497" spans="1:16" ht="21.75" customHeight="1" x14ac:dyDescent="0.3">
      <c r="A497" s="435"/>
      <c r="B497" s="436"/>
      <c r="C497" s="437" t="s">
        <v>183</v>
      </c>
      <c r="D497" s="437"/>
      <c r="E497" s="438"/>
      <c r="F497" s="438"/>
      <c r="G497" s="439"/>
      <c r="H497" s="440" t="s">
        <v>122</v>
      </c>
      <c r="I497" s="441">
        <f ca="1">IFERROR(__xludf.DUMMYFUNCTION("IMPORTRANGE(""https://docs.google.com/spreadsheets/d/11923uPwbBZFjjGgGUA6NLw09EwE0CqkOc4q9oUmW1yo/edit?usp=sharing"",""แพร่!I392"")"),139)</f>
        <v>139</v>
      </c>
      <c r="J497" s="441">
        <f ca="1">IFERROR(__xludf.DUMMYFUNCTION("IMPORTRANGE(""https://docs.google.com/spreadsheets/d/11923uPwbBZFjjGgGUA6NLw09EwE0CqkOc4q9oUmW1yo/edit?usp=sharing"",""แพร่!J392"")"),0)</f>
        <v>0</v>
      </c>
      <c r="K497" s="442">
        <f t="shared" ca="1" si="117"/>
        <v>0</v>
      </c>
      <c r="L497" s="443"/>
      <c r="M497" s="443"/>
      <c r="N497" s="443"/>
      <c r="O497" s="443"/>
      <c r="P497" s="443"/>
    </row>
    <row r="498" spans="1:16" ht="21.75" customHeight="1" x14ac:dyDescent="0.3">
      <c r="A498" s="175"/>
      <c r="B498" s="176"/>
      <c r="C498" s="176"/>
      <c r="D498" s="402"/>
      <c r="E498" s="444" t="s">
        <v>184</v>
      </c>
      <c r="F498" s="445"/>
      <c r="G498" s="446"/>
      <c r="H498" s="447" t="s">
        <v>122</v>
      </c>
      <c r="I498" s="418">
        <f ca="1">IFERROR(__xludf.DUMMYFUNCTION("IMPORTRANGE(""https://docs.google.com/spreadsheets/d/11923uPwbBZFjjGgGUA6NLw09EwE0CqkOc4q9oUmW1yo/edit?usp=sharing"",""แพร่!I393"")"),139)</f>
        <v>139</v>
      </c>
      <c r="J498" s="418">
        <f ca="1">IFERROR(__xludf.DUMMYFUNCTION("IMPORTRANGE(""https://docs.google.com/spreadsheets/d/11923uPwbBZFjjGgGUA6NLw09EwE0CqkOc4q9oUmW1yo/edit?usp=sharing"",""แพร่!J393"")"),0)</f>
        <v>0</v>
      </c>
      <c r="K498" s="163">
        <f t="shared" ca="1" si="117"/>
        <v>0</v>
      </c>
      <c r="L498" s="181"/>
      <c r="M498" s="181"/>
      <c r="N498" s="181"/>
      <c r="O498" s="181"/>
      <c r="P498" s="181"/>
    </row>
    <row r="499" spans="1:16" ht="21.75" customHeight="1" x14ac:dyDescent="0.3">
      <c r="A499" s="175"/>
      <c r="B499" s="176"/>
      <c r="C499" s="176"/>
      <c r="D499" s="193"/>
      <c r="E499" s="445"/>
      <c r="F499" s="445"/>
      <c r="G499" s="446"/>
      <c r="H499" s="447" t="s">
        <v>36</v>
      </c>
      <c r="I499" s="418">
        <f ca="1">IFERROR(__xludf.DUMMYFUNCTION("IMPORTRANGE(""https://docs.google.com/spreadsheets/d/11923uPwbBZFjjGgGUA6NLw09EwE0CqkOc4q9oUmW1yo/edit?usp=sharing"",""แพร่!I394"")"),32)</f>
        <v>32</v>
      </c>
      <c r="J499" s="418">
        <f ca="1">IFERROR(__xludf.DUMMYFUNCTION("IMPORTRANGE(""https://docs.google.com/spreadsheets/d/11923uPwbBZFjjGgGUA6NLw09EwE0CqkOc4q9oUmW1yo/edit?usp=sharing"",""แพร่!J394"")"),0)</f>
        <v>0</v>
      </c>
      <c r="K499" s="201">
        <f t="shared" ca="1" si="117"/>
        <v>0</v>
      </c>
      <c r="L499" s="181"/>
      <c r="M499" s="181"/>
      <c r="N499" s="181"/>
      <c r="O499" s="181"/>
      <c r="P499" s="181"/>
    </row>
    <row r="500" spans="1:16" ht="21.75" customHeight="1" x14ac:dyDescent="0.3">
      <c r="A500" s="175"/>
      <c r="B500" s="176"/>
      <c r="C500" s="176"/>
      <c r="D500" s="402"/>
      <c r="E500" s="402" t="s">
        <v>185</v>
      </c>
      <c r="F500" s="195"/>
      <c r="G500" s="196"/>
      <c r="H500" s="420" t="s">
        <v>122</v>
      </c>
      <c r="I500" s="202">
        <f ca="1">IFERROR(__xludf.DUMMYFUNCTION("IMPORTRANGE(""https://docs.google.com/spreadsheets/d/11923uPwbBZFjjGgGUA6NLw09EwE0CqkOc4q9oUmW1yo/edit?usp=sharing"",""แพร่!I395"")"),0)</f>
        <v>0</v>
      </c>
      <c r="J500" s="162">
        <f ca="1">IFERROR(__xludf.DUMMYFUNCTION("IMPORTRANGE(""https://docs.google.com/spreadsheets/d/11923uPwbBZFjjGgGUA6NLw09EwE0CqkOc4q9oUmW1yo/edit?usp=sharing"",""แพร่!J395"")"),0)</f>
        <v>0</v>
      </c>
      <c r="K500" s="163">
        <f t="shared" ca="1" si="117"/>
        <v>0</v>
      </c>
      <c r="L500" s="181"/>
      <c r="M500" s="181"/>
      <c r="N500" s="181"/>
      <c r="O500" s="181"/>
      <c r="P500" s="181"/>
    </row>
    <row r="501" spans="1:16" ht="21.75" customHeight="1" x14ac:dyDescent="0.3">
      <c r="A501" s="175"/>
      <c r="B501" s="176"/>
      <c r="C501" s="176"/>
      <c r="D501" s="193"/>
      <c r="E501" s="195"/>
      <c r="F501" s="195"/>
      <c r="G501" s="196"/>
      <c r="H501" s="420" t="s">
        <v>36</v>
      </c>
      <c r="I501" s="202">
        <f ca="1">IFERROR(__xludf.DUMMYFUNCTION("IMPORTRANGE(""https://docs.google.com/spreadsheets/d/11923uPwbBZFjjGgGUA6NLw09EwE0CqkOc4q9oUmW1yo/edit?usp=sharing"",""แพร่!I396"")"),0)</f>
        <v>0</v>
      </c>
      <c r="J501" s="162">
        <f ca="1">IFERROR(__xludf.DUMMYFUNCTION("IMPORTRANGE(""https://docs.google.com/spreadsheets/d/11923uPwbBZFjjGgGUA6NLw09EwE0CqkOc4q9oUmW1yo/edit?usp=sharing"",""แพร่!J396"")"),0)</f>
        <v>0</v>
      </c>
      <c r="K501" s="163">
        <f t="shared" ca="1" si="117"/>
        <v>0</v>
      </c>
      <c r="L501" s="181"/>
      <c r="M501" s="181"/>
      <c r="N501" s="181"/>
      <c r="O501" s="181"/>
      <c r="P501" s="181"/>
    </row>
    <row r="502" spans="1:16" ht="21.75" customHeight="1" x14ac:dyDescent="0.3">
      <c r="A502" s="175"/>
      <c r="B502" s="176"/>
      <c r="C502" s="176"/>
      <c r="D502" s="193"/>
      <c r="E502" s="195"/>
      <c r="F502" s="397" t="s">
        <v>186</v>
      </c>
      <c r="G502" s="419"/>
      <c r="H502" s="420" t="s">
        <v>122</v>
      </c>
      <c r="I502" s="202">
        <f ca="1">IFERROR(__xludf.DUMMYFUNCTION("IMPORTRANGE(""https://docs.google.com/spreadsheets/d/11923uPwbBZFjjGgGUA6NLw09EwE0CqkOc4q9oUmW1yo/edit?usp=sharing"",""แพร่!I397"")"),0)</f>
        <v>0</v>
      </c>
      <c r="J502" s="188">
        <f ca="1">IFERROR(__xludf.DUMMYFUNCTION("IMPORTRANGE(""https://docs.google.com/spreadsheets/d/11923uPwbBZFjjGgGUA6NLw09EwE0CqkOc4q9oUmW1yo/edit?usp=sharing"",""แพร่!J397"")"),0)</f>
        <v>0</v>
      </c>
      <c r="K502" s="163">
        <f t="shared" ca="1" si="117"/>
        <v>0</v>
      </c>
      <c r="L502" s="181"/>
      <c r="M502" s="181"/>
      <c r="N502" s="181"/>
      <c r="O502" s="181"/>
      <c r="P502" s="181"/>
    </row>
    <row r="503" spans="1:16" ht="21.75" customHeight="1" x14ac:dyDescent="0.3">
      <c r="A503" s="175"/>
      <c r="B503" s="176"/>
      <c r="C503" s="176"/>
      <c r="D503" s="193"/>
      <c r="E503" s="195"/>
      <c r="F503" s="195"/>
      <c r="G503" s="419"/>
      <c r="H503" s="420" t="s">
        <v>36</v>
      </c>
      <c r="I503" s="187">
        <f ca="1">IFERROR(__xludf.DUMMYFUNCTION("IMPORTRANGE(""https://docs.google.com/spreadsheets/d/11923uPwbBZFjjGgGUA6NLw09EwE0CqkOc4q9oUmW1yo/edit?usp=sharing"",""แพร่!I398"")"),0)</f>
        <v>0</v>
      </c>
      <c r="J503" s="197">
        <f ca="1">IFERROR(__xludf.DUMMYFUNCTION("IMPORTRANGE(""https://docs.google.com/spreadsheets/d/11923uPwbBZFjjGgGUA6NLw09EwE0CqkOc4q9oUmW1yo/edit?usp=sharing"",""แพร่!J398"")"),0)</f>
        <v>0</v>
      </c>
      <c r="K503" s="163">
        <f t="shared" ca="1" si="117"/>
        <v>0</v>
      </c>
      <c r="L503" s="181"/>
      <c r="M503" s="181"/>
      <c r="N503" s="181"/>
      <c r="O503" s="181"/>
      <c r="P503" s="181"/>
    </row>
    <row r="504" spans="1:16" ht="21.75" customHeight="1" x14ac:dyDescent="0.3">
      <c r="A504" s="175"/>
      <c r="B504" s="176"/>
      <c r="C504" s="176"/>
      <c r="D504" s="193"/>
      <c r="E504" s="195"/>
      <c r="F504" s="388" t="s">
        <v>187</v>
      </c>
      <c r="G504" s="419"/>
      <c r="H504" s="420" t="s">
        <v>122</v>
      </c>
      <c r="I504" s="203">
        <f ca="1">IFERROR(__xludf.DUMMYFUNCTION("IMPORTRANGE(""https://docs.google.com/spreadsheets/d/11923uPwbBZFjjGgGUA6NLw09EwE0CqkOc4q9oUmW1yo/edit?usp=sharing"",""แพร่!I399"")"),0)</f>
        <v>0</v>
      </c>
      <c r="J504" s="188">
        <f ca="1">IFERROR(__xludf.DUMMYFUNCTION("IMPORTRANGE(""https://docs.google.com/spreadsheets/d/11923uPwbBZFjjGgGUA6NLw09EwE0CqkOc4q9oUmW1yo/edit?usp=sharing"",""แพร่!J399"")"),0)</f>
        <v>0</v>
      </c>
      <c r="K504" s="163">
        <f t="shared" ca="1" si="117"/>
        <v>0</v>
      </c>
      <c r="L504" s="181"/>
      <c r="M504" s="181"/>
      <c r="N504" s="181"/>
      <c r="O504" s="181"/>
      <c r="P504" s="181"/>
    </row>
    <row r="505" spans="1:16" ht="21.75" customHeight="1" x14ac:dyDescent="0.3">
      <c r="A505" s="175"/>
      <c r="B505" s="176"/>
      <c r="C505" s="176"/>
      <c r="D505" s="193"/>
      <c r="E505" s="195"/>
      <c r="F505" s="195"/>
      <c r="G505" s="419"/>
      <c r="H505" s="420" t="s">
        <v>36</v>
      </c>
      <c r="I505" s="187">
        <f ca="1">IFERROR(__xludf.DUMMYFUNCTION("IMPORTRANGE(""https://docs.google.com/spreadsheets/d/11923uPwbBZFjjGgGUA6NLw09EwE0CqkOc4q9oUmW1yo/edit?usp=sharing"",""แพร่!I400"")"),0)</f>
        <v>0</v>
      </c>
      <c r="J505" s="197">
        <f ca="1">IFERROR(__xludf.DUMMYFUNCTION("IMPORTRANGE(""https://docs.google.com/spreadsheets/d/11923uPwbBZFjjGgGUA6NLw09EwE0CqkOc4q9oUmW1yo/edit?usp=sharing"",""แพร่!J400"")"),0)</f>
        <v>0</v>
      </c>
      <c r="K505" s="163">
        <f t="shared" ca="1" si="117"/>
        <v>0</v>
      </c>
      <c r="L505" s="181"/>
      <c r="M505" s="181"/>
      <c r="N505" s="181"/>
      <c r="O505" s="181"/>
      <c r="P505" s="181"/>
    </row>
    <row r="506" spans="1:16" ht="21.75" customHeight="1" x14ac:dyDescent="0.3">
      <c r="A506" s="175"/>
      <c r="B506" s="176"/>
      <c r="C506" s="176"/>
      <c r="D506" s="193"/>
      <c r="E506" s="195"/>
      <c r="F506" s="397" t="s">
        <v>188</v>
      </c>
      <c r="G506" s="419"/>
      <c r="H506" s="420" t="s">
        <v>122</v>
      </c>
      <c r="I506" s="203">
        <f ca="1">IFERROR(__xludf.DUMMYFUNCTION("IMPORTRANGE(""https://docs.google.com/spreadsheets/d/11923uPwbBZFjjGgGUA6NLw09EwE0CqkOc4q9oUmW1yo/edit?usp=sharing"",""แพร่!I401"")"),0)</f>
        <v>0</v>
      </c>
      <c r="J506" s="188">
        <f ca="1">IFERROR(__xludf.DUMMYFUNCTION("IMPORTRANGE(""https://docs.google.com/spreadsheets/d/11923uPwbBZFjjGgGUA6NLw09EwE0CqkOc4q9oUmW1yo/edit?usp=sharing"",""แพร่!J401"")"),0)</f>
        <v>0</v>
      </c>
      <c r="K506" s="163">
        <f t="shared" ca="1" si="117"/>
        <v>0</v>
      </c>
      <c r="L506" s="181"/>
      <c r="M506" s="181"/>
      <c r="N506" s="181"/>
      <c r="O506" s="181"/>
      <c r="P506" s="181"/>
    </row>
    <row r="507" spans="1:16" ht="21.75" customHeight="1" x14ac:dyDescent="0.3">
      <c r="A507" s="175"/>
      <c r="B507" s="176"/>
      <c r="C507" s="176"/>
      <c r="D507" s="193"/>
      <c r="E507" s="195"/>
      <c r="F507" s="195"/>
      <c r="G507" s="195"/>
      <c r="H507" s="420" t="s">
        <v>36</v>
      </c>
      <c r="I507" s="187">
        <f ca="1">IFERROR(__xludf.DUMMYFUNCTION("IMPORTRANGE(""https://docs.google.com/spreadsheets/d/11923uPwbBZFjjGgGUA6NLw09EwE0CqkOc4q9oUmW1yo/edit?usp=sharing"",""แพร่!I402"")"),0)</f>
        <v>0</v>
      </c>
      <c r="J507" s="197">
        <f ca="1">IFERROR(__xludf.DUMMYFUNCTION("IMPORTRANGE(""https://docs.google.com/spreadsheets/d/11923uPwbBZFjjGgGUA6NLw09EwE0CqkOc4q9oUmW1yo/edit?usp=sharing"",""แพร่!J402"")"),0)</f>
        <v>0</v>
      </c>
      <c r="K507" s="163">
        <f t="shared" ca="1" si="117"/>
        <v>0</v>
      </c>
      <c r="L507" s="181"/>
      <c r="M507" s="181"/>
      <c r="N507" s="181"/>
      <c r="O507" s="181"/>
      <c r="P507" s="181"/>
    </row>
    <row r="508" spans="1:16" ht="21.75" customHeight="1" x14ac:dyDescent="0.3">
      <c r="A508" s="175"/>
      <c r="B508" s="176"/>
      <c r="C508" s="176"/>
      <c r="D508" s="193"/>
      <c r="E508" s="194" t="s">
        <v>189</v>
      </c>
      <c r="F508" s="195"/>
      <c r="G508" s="419"/>
      <c r="H508" s="420" t="s">
        <v>122</v>
      </c>
      <c r="I508" s="187">
        <f ca="1">IFERROR(__xludf.DUMMYFUNCTION("IMPORTRANGE(""https://docs.google.com/spreadsheets/d/11923uPwbBZFjjGgGUA6NLw09EwE0CqkOc4q9oUmW1yo/edit?usp=sharing"",""แพร่!I403"")"),0)</f>
        <v>0</v>
      </c>
      <c r="J508" s="162">
        <f ca="1">IFERROR(__xludf.DUMMYFUNCTION("IMPORTRANGE(""https://docs.google.com/spreadsheets/d/11923uPwbBZFjjGgGUA6NLw09EwE0CqkOc4q9oUmW1yo/edit?usp=sharing"",""แพร่!J403"")"),0)</f>
        <v>0</v>
      </c>
      <c r="K508" s="163">
        <f t="shared" ca="1" si="117"/>
        <v>0</v>
      </c>
      <c r="L508" s="181"/>
      <c r="M508" s="181"/>
      <c r="N508" s="181"/>
      <c r="O508" s="181"/>
      <c r="P508" s="181"/>
    </row>
    <row r="509" spans="1:16" ht="21.75" customHeight="1" x14ac:dyDescent="0.3">
      <c r="A509" s="175"/>
      <c r="B509" s="176"/>
      <c r="C509" s="176"/>
      <c r="D509" s="193"/>
      <c r="E509" s="195"/>
      <c r="F509" s="195"/>
      <c r="G509" s="195"/>
      <c r="H509" s="420" t="s">
        <v>36</v>
      </c>
      <c r="I509" s="187">
        <f ca="1">IFERROR(__xludf.DUMMYFUNCTION("IMPORTRANGE(""https://docs.google.com/spreadsheets/d/11923uPwbBZFjjGgGUA6NLw09EwE0CqkOc4q9oUmW1yo/edit?usp=sharing"",""แพร่!I404"")"),0)</f>
        <v>0</v>
      </c>
      <c r="J509" s="162">
        <f ca="1">IFERROR(__xludf.DUMMYFUNCTION("IMPORTRANGE(""https://docs.google.com/spreadsheets/d/11923uPwbBZFjjGgGUA6NLw09EwE0CqkOc4q9oUmW1yo/edit?usp=sharing"",""แพร่!J404"")"),0)</f>
        <v>0</v>
      </c>
      <c r="K509" s="163">
        <f t="shared" ca="1" si="117"/>
        <v>0</v>
      </c>
      <c r="L509" s="181"/>
      <c r="M509" s="181"/>
      <c r="N509" s="181"/>
      <c r="O509" s="181"/>
      <c r="P509" s="181"/>
    </row>
    <row r="510" spans="1:16" ht="21.75" customHeight="1" x14ac:dyDescent="0.3">
      <c r="A510" s="175"/>
      <c r="B510" s="176"/>
      <c r="C510" s="176"/>
      <c r="D510" s="193"/>
      <c r="E510" s="195"/>
      <c r="F510" s="194" t="s">
        <v>190</v>
      </c>
      <c r="G510" s="195"/>
      <c r="H510" s="420" t="s">
        <v>122</v>
      </c>
      <c r="I510" s="187">
        <f ca="1">IFERROR(__xludf.DUMMYFUNCTION("IMPORTRANGE(""https://docs.google.com/spreadsheets/d/11923uPwbBZFjjGgGUA6NLw09EwE0CqkOc4q9oUmW1yo/edit?usp=sharing"",""แพร่!I405"")"),0)</f>
        <v>0</v>
      </c>
      <c r="J510" s="197">
        <f ca="1">IFERROR(__xludf.DUMMYFUNCTION("IMPORTRANGE(""https://docs.google.com/spreadsheets/d/11923uPwbBZFjjGgGUA6NLw09EwE0CqkOc4q9oUmW1yo/edit?usp=sharing"",""แพร่!J405"")"),0)</f>
        <v>0</v>
      </c>
      <c r="K510" s="163">
        <f t="shared" ca="1" si="117"/>
        <v>0</v>
      </c>
      <c r="L510" s="181"/>
      <c r="M510" s="181"/>
      <c r="N510" s="181"/>
      <c r="O510" s="181"/>
      <c r="P510" s="181"/>
    </row>
    <row r="511" spans="1:16" ht="21.75" customHeight="1" x14ac:dyDescent="0.3">
      <c r="A511" s="175"/>
      <c r="B511" s="176"/>
      <c r="C511" s="176"/>
      <c r="D511" s="193"/>
      <c r="E511" s="195"/>
      <c r="F511" s="195"/>
      <c r="G511" s="195"/>
      <c r="H511" s="420" t="s">
        <v>36</v>
      </c>
      <c r="I511" s="187">
        <f ca="1">IFERROR(__xludf.DUMMYFUNCTION("IMPORTRANGE(""https://docs.google.com/spreadsheets/d/11923uPwbBZFjjGgGUA6NLw09EwE0CqkOc4q9oUmW1yo/edit?usp=sharing"",""แพร่!I406"")"),0)</f>
        <v>0</v>
      </c>
      <c r="J511" s="197">
        <f ca="1">IFERROR(__xludf.DUMMYFUNCTION("IMPORTRANGE(""https://docs.google.com/spreadsheets/d/11923uPwbBZFjjGgGUA6NLw09EwE0CqkOc4q9oUmW1yo/edit?usp=sharing"",""แพร่!J406"")"),0)</f>
        <v>0</v>
      </c>
      <c r="K511" s="163">
        <f t="shared" ca="1" si="117"/>
        <v>0</v>
      </c>
      <c r="L511" s="181"/>
      <c r="M511" s="181"/>
      <c r="N511" s="181"/>
      <c r="O511" s="181"/>
      <c r="P511" s="181"/>
    </row>
    <row r="512" spans="1:16" ht="21.75" customHeight="1" x14ac:dyDescent="0.3">
      <c r="A512" s="175"/>
      <c r="B512" s="176"/>
      <c r="C512" s="176"/>
      <c r="D512" s="193"/>
      <c r="E512" s="195"/>
      <c r="F512" s="194" t="s">
        <v>191</v>
      </c>
      <c r="G512" s="195"/>
      <c r="H512" s="420" t="s">
        <v>122</v>
      </c>
      <c r="I512" s="187">
        <f ca="1">IFERROR(__xludf.DUMMYFUNCTION("IMPORTRANGE(""https://docs.google.com/spreadsheets/d/11923uPwbBZFjjGgGUA6NLw09EwE0CqkOc4q9oUmW1yo/edit?usp=sharing"",""แพร่!I407"")"),0)</f>
        <v>0</v>
      </c>
      <c r="J512" s="197">
        <f ca="1">IFERROR(__xludf.DUMMYFUNCTION("IMPORTRANGE(""https://docs.google.com/spreadsheets/d/11923uPwbBZFjjGgGUA6NLw09EwE0CqkOc4q9oUmW1yo/edit?usp=sharing"",""แพร่!J407"")"),0)</f>
        <v>0</v>
      </c>
      <c r="K512" s="163">
        <f t="shared" ca="1" si="117"/>
        <v>0</v>
      </c>
      <c r="L512" s="181"/>
      <c r="M512" s="181"/>
      <c r="N512" s="181"/>
      <c r="O512" s="181"/>
      <c r="P512" s="181"/>
    </row>
    <row r="513" spans="1:16" ht="21.75" customHeight="1" x14ac:dyDescent="0.3">
      <c r="A513" s="175"/>
      <c r="B513" s="176"/>
      <c r="C513" s="176"/>
      <c r="D513" s="193"/>
      <c r="E513" s="195"/>
      <c r="F513" s="195"/>
      <c r="G513" s="196"/>
      <c r="H513" s="420" t="s">
        <v>36</v>
      </c>
      <c r="I513" s="187">
        <f ca="1">IFERROR(__xludf.DUMMYFUNCTION("IMPORTRANGE(""https://docs.google.com/spreadsheets/d/11923uPwbBZFjjGgGUA6NLw09EwE0CqkOc4q9oUmW1yo/edit?usp=sharing"",""แพร่!I408"")"),0)</f>
        <v>0</v>
      </c>
      <c r="J513" s="197">
        <f ca="1">IFERROR(__xludf.DUMMYFUNCTION("IMPORTRANGE(""https://docs.google.com/spreadsheets/d/11923uPwbBZFjjGgGUA6NLw09EwE0CqkOc4q9oUmW1yo/edit?usp=sharing"",""แพร่!J408"")"),0)</f>
        <v>0</v>
      </c>
      <c r="K513" s="163">
        <f t="shared" ca="1" si="117"/>
        <v>0</v>
      </c>
      <c r="L513" s="181"/>
      <c r="M513" s="181"/>
      <c r="N513" s="181"/>
      <c r="O513" s="181"/>
      <c r="P513" s="181"/>
    </row>
    <row r="514" spans="1:16" ht="21.75" customHeight="1" x14ac:dyDescent="0.3">
      <c r="A514" s="175"/>
      <c r="B514" s="176"/>
      <c r="C514" s="176"/>
      <c r="D514" s="402"/>
      <c r="E514" s="448" t="s">
        <v>192</v>
      </c>
      <c r="F514" s="195"/>
      <c r="G514" s="196"/>
      <c r="H514" s="420" t="s">
        <v>122</v>
      </c>
      <c r="I514" s="187">
        <f ca="1">IFERROR(__xludf.DUMMYFUNCTION("IMPORTRANGE(""https://docs.google.com/spreadsheets/d/11923uPwbBZFjjGgGUA6NLw09EwE0CqkOc4q9oUmW1yo/edit?usp=sharing"",""แพร่!I409"")"),0)</f>
        <v>0</v>
      </c>
      <c r="J514" s="197">
        <f ca="1">IFERROR(__xludf.DUMMYFUNCTION("IMPORTRANGE(""https://docs.google.com/spreadsheets/d/11923uPwbBZFjjGgGUA6NLw09EwE0CqkOc4q9oUmW1yo/edit?usp=sharing"",""แพร่!J409"")"),0)</f>
        <v>0</v>
      </c>
      <c r="K514" s="163">
        <f t="shared" ca="1" si="117"/>
        <v>0</v>
      </c>
      <c r="L514" s="181"/>
      <c r="M514" s="181"/>
      <c r="N514" s="181"/>
      <c r="O514" s="181"/>
      <c r="P514" s="181"/>
    </row>
    <row r="515" spans="1:16" ht="21.75" customHeight="1" x14ac:dyDescent="0.3">
      <c r="A515" s="175"/>
      <c r="B515" s="176"/>
      <c r="C515" s="176"/>
      <c r="D515" s="193"/>
      <c r="E515" s="195"/>
      <c r="F515" s="195"/>
      <c r="G515" s="196"/>
      <c r="H515" s="420" t="s">
        <v>36</v>
      </c>
      <c r="I515" s="187">
        <f ca="1">IFERROR(__xludf.DUMMYFUNCTION("IMPORTRANGE(""https://docs.google.com/spreadsheets/d/11923uPwbBZFjjGgGUA6NLw09EwE0CqkOc4q9oUmW1yo/edit?usp=sharing"",""แพร่!I410"")"),0)</f>
        <v>0</v>
      </c>
      <c r="J515" s="197">
        <f ca="1">IFERROR(__xludf.DUMMYFUNCTION("IMPORTRANGE(""https://docs.google.com/spreadsheets/d/11923uPwbBZFjjGgGUA6NLw09EwE0CqkOc4q9oUmW1yo/edit?usp=sharing"",""แพร่!J410"")"),0)</f>
        <v>0</v>
      </c>
      <c r="K515" s="163">
        <f t="shared" ca="1" si="117"/>
        <v>0</v>
      </c>
      <c r="L515" s="181"/>
      <c r="M515" s="181"/>
      <c r="N515" s="181"/>
      <c r="O515" s="181"/>
      <c r="P515" s="181"/>
    </row>
    <row r="516" spans="1:16" ht="21.75" customHeight="1" x14ac:dyDescent="0.3">
      <c r="A516" s="175"/>
      <c r="B516" s="176"/>
      <c r="C516" s="413" t="s">
        <v>193</v>
      </c>
      <c r="D516" s="413"/>
      <c r="E516" s="449"/>
      <c r="F516" s="449"/>
      <c r="G516" s="450"/>
      <c r="H516" s="451" t="s">
        <v>122</v>
      </c>
      <c r="I516" s="266">
        <f ca="1">IFERROR(__xludf.DUMMYFUNCTION("IMPORTRANGE(""https://docs.google.com/spreadsheets/d/11923uPwbBZFjjGgGUA6NLw09EwE0CqkOc4q9oUmW1yo/edit?usp=sharing"",""แพร่!I411"")"),0)</f>
        <v>0</v>
      </c>
      <c r="J516" s="266">
        <f ca="1">IFERROR(__xludf.DUMMYFUNCTION("IMPORTRANGE(""https://docs.google.com/spreadsheets/d/11923uPwbBZFjjGgGUA6NLw09EwE0CqkOc4q9oUmW1yo/edit?usp=sharing"",""แพร่!J411"")"),0)</f>
        <v>0</v>
      </c>
      <c r="K516" s="267">
        <v>0</v>
      </c>
      <c r="L516" s="181"/>
      <c r="M516" s="181"/>
      <c r="N516" s="181"/>
      <c r="O516" s="181"/>
      <c r="P516" s="181"/>
    </row>
    <row r="517" spans="1:16" ht="21.75" customHeight="1" x14ac:dyDescent="0.3">
      <c r="A517" s="175"/>
      <c r="B517" s="176"/>
      <c r="C517" s="452"/>
      <c r="D517" s="452"/>
      <c r="E517" s="452" t="s">
        <v>194</v>
      </c>
      <c r="F517" s="453"/>
      <c r="G517" s="454"/>
      <c r="H517" s="455" t="s">
        <v>122</v>
      </c>
      <c r="I517" s="282">
        <f ca="1">IFERROR(__xludf.DUMMYFUNCTION("IMPORTRANGE(""https://docs.google.com/spreadsheets/d/11923uPwbBZFjjGgGUA6NLw09EwE0CqkOc4q9oUmW1yo/edit?usp=sharing"",""แพร่!I412"")"),0)</f>
        <v>0</v>
      </c>
      <c r="J517" s="282">
        <f ca="1">IFERROR(__xludf.DUMMYFUNCTION("IMPORTRANGE(""https://docs.google.com/spreadsheets/d/11923uPwbBZFjjGgGUA6NLw09EwE0CqkOc4q9oUmW1yo/edit?usp=sharing"",""แพร่!J412"")"),0)</f>
        <v>0</v>
      </c>
      <c r="K517" s="283">
        <v>0</v>
      </c>
      <c r="L517" s="181"/>
      <c r="M517" s="181"/>
      <c r="N517" s="181"/>
      <c r="O517" s="181"/>
      <c r="P517" s="181"/>
    </row>
    <row r="518" spans="1:16" ht="21.75" customHeight="1" x14ac:dyDescent="0.3">
      <c r="A518" s="175"/>
      <c r="B518" s="176"/>
      <c r="C518" s="452"/>
      <c r="D518" s="452"/>
      <c r="E518" s="452" t="s">
        <v>195</v>
      </c>
      <c r="F518" s="453"/>
      <c r="G518" s="454"/>
      <c r="H518" s="455" t="s">
        <v>36</v>
      </c>
      <c r="I518" s="282">
        <f ca="1">IFERROR(__xludf.DUMMYFUNCTION("IMPORTRANGE(""https://docs.google.com/spreadsheets/d/11923uPwbBZFjjGgGUA6NLw09EwE0CqkOc4q9oUmW1yo/edit?usp=sharing"",""แพร่!I413"")"),0)</f>
        <v>0</v>
      </c>
      <c r="J518" s="282">
        <f ca="1">IFERROR(__xludf.DUMMYFUNCTION("IMPORTRANGE(""https://docs.google.com/spreadsheets/d/11923uPwbBZFjjGgGUA6NLw09EwE0CqkOc4q9oUmW1yo/edit?usp=sharing"",""แพร่!J413"")"),0)</f>
        <v>0</v>
      </c>
      <c r="K518" s="283">
        <v>0</v>
      </c>
      <c r="L518" s="181"/>
      <c r="M518" s="181"/>
      <c r="N518" s="181"/>
      <c r="O518" s="181"/>
      <c r="P518" s="181"/>
    </row>
    <row r="519" spans="1:16" ht="21.75" customHeight="1" x14ac:dyDescent="0.3">
      <c r="A519" s="175"/>
      <c r="B519" s="176"/>
      <c r="C519" s="176"/>
      <c r="D519" s="193"/>
      <c r="E519" s="195"/>
      <c r="F519" s="195"/>
      <c r="G519" s="225" t="s">
        <v>196</v>
      </c>
      <c r="H519" s="420" t="s">
        <v>122</v>
      </c>
      <c r="I519" s="187">
        <f ca="1">IFERROR(__xludf.DUMMYFUNCTION("IMPORTRANGE(""https://docs.google.com/spreadsheets/d/11923uPwbBZFjjGgGUA6NLw09EwE0CqkOc4q9oUmW1yo/edit?usp=sharing"",""แพร่!I414"")"),0)</f>
        <v>0</v>
      </c>
      <c r="J519" s="187">
        <f ca="1">IFERROR(__xludf.DUMMYFUNCTION("IMPORTRANGE(""https://docs.google.com/spreadsheets/d/11923uPwbBZFjjGgGUA6NLw09EwE0CqkOc4q9oUmW1yo/edit?usp=sharing"",""แพร่!J414"")"),0)</f>
        <v>0</v>
      </c>
      <c r="K519" s="163">
        <v>0</v>
      </c>
      <c r="L519" s="181"/>
      <c r="M519" s="181"/>
      <c r="N519" s="181"/>
      <c r="O519" s="181"/>
      <c r="P519" s="181"/>
    </row>
    <row r="520" spans="1:16" ht="21.75" customHeight="1" x14ac:dyDescent="0.3">
      <c r="A520" s="175"/>
      <c r="B520" s="176"/>
      <c r="C520" s="176"/>
      <c r="D520" s="193"/>
      <c r="E520" s="195"/>
      <c r="F520" s="195"/>
      <c r="G520" s="196"/>
      <c r="H520" s="420" t="s">
        <v>36</v>
      </c>
      <c r="I520" s="187">
        <f ca="1">IFERROR(__xludf.DUMMYFUNCTION("IMPORTRANGE(""https://docs.google.com/spreadsheets/d/11923uPwbBZFjjGgGUA6NLw09EwE0CqkOc4q9oUmW1yo/edit?usp=sharing"",""แพร่!I415"")"),0)</f>
        <v>0</v>
      </c>
      <c r="J520" s="187">
        <f ca="1">IFERROR(__xludf.DUMMYFUNCTION("IMPORTRANGE(""https://docs.google.com/spreadsheets/d/11923uPwbBZFjjGgGUA6NLw09EwE0CqkOc4q9oUmW1yo/edit?usp=sharing"",""แพร่!J415"")"),0)</f>
        <v>0</v>
      </c>
      <c r="K520" s="163">
        <v>0</v>
      </c>
      <c r="L520" s="181"/>
      <c r="M520" s="181"/>
      <c r="N520" s="181"/>
      <c r="O520" s="181"/>
      <c r="P520" s="181"/>
    </row>
    <row r="521" spans="1:16" ht="21.75" customHeight="1" x14ac:dyDescent="0.3">
      <c r="A521" s="175"/>
      <c r="B521" s="176"/>
      <c r="C521" s="176"/>
      <c r="D521" s="193"/>
      <c r="E521" s="195"/>
      <c r="F521" s="195"/>
      <c r="G521" s="225" t="s">
        <v>197</v>
      </c>
      <c r="H521" s="420" t="s">
        <v>122</v>
      </c>
      <c r="I521" s="187">
        <f ca="1">IFERROR(__xludf.DUMMYFUNCTION("IMPORTRANGE(""https://docs.google.com/spreadsheets/d/11923uPwbBZFjjGgGUA6NLw09EwE0CqkOc4q9oUmW1yo/edit?usp=sharing"",""แพร่!I416"")"),0)</f>
        <v>0</v>
      </c>
      <c r="J521" s="187">
        <f ca="1">IFERROR(__xludf.DUMMYFUNCTION("IMPORTRANGE(""https://docs.google.com/spreadsheets/d/11923uPwbBZFjjGgGUA6NLw09EwE0CqkOc4q9oUmW1yo/edit?usp=sharing"",""แพร่!J416"")"),0)</f>
        <v>0</v>
      </c>
      <c r="K521" s="163">
        <v>0</v>
      </c>
      <c r="L521" s="181"/>
      <c r="M521" s="181"/>
      <c r="N521" s="181"/>
      <c r="O521" s="181"/>
      <c r="P521" s="181"/>
    </row>
    <row r="522" spans="1:16" ht="21.75" customHeight="1" x14ac:dyDescent="0.3">
      <c r="A522" s="175"/>
      <c r="B522" s="176"/>
      <c r="C522" s="176"/>
      <c r="D522" s="193"/>
      <c r="E522" s="195"/>
      <c r="F522" s="195"/>
      <c r="G522" s="196"/>
      <c r="H522" s="420" t="s">
        <v>36</v>
      </c>
      <c r="I522" s="187">
        <f ca="1">IFERROR(__xludf.DUMMYFUNCTION("IMPORTRANGE(""https://docs.google.com/spreadsheets/d/11923uPwbBZFjjGgGUA6NLw09EwE0CqkOc4q9oUmW1yo/edit?usp=sharing"",""แพร่!I417"")"),0)</f>
        <v>0</v>
      </c>
      <c r="J522" s="187">
        <f ca="1">IFERROR(__xludf.DUMMYFUNCTION("IMPORTRANGE(""https://docs.google.com/spreadsheets/d/11923uPwbBZFjjGgGUA6NLw09EwE0CqkOc4q9oUmW1yo/edit?usp=sharing"",""แพร่!J417"")"),0)</f>
        <v>0</v>
      </c>
      <c r="K522" s="163">
        <v>0</v>
      </c>
      <c r="L522" s="181"/>
      <c r="M522" s="181"/>
      <c r="N522" s="181"/>
      <c r="O522" s="181"/>
      <c r="P522" s="181"/>
    </row>
    <row r="523" spans="1:16" ht="21.75" customHeight="1" x14ac:dyDescent="0.3">
      <c r="A523" s="175"/>
      <c r="B523" s="176"/>
      <c r="C523" s="176"/>
      <c r="D523" s="193"/>
      <c r="E523" s="195"/>
      <c r="F523" s="195"/>
      <c r="G523" s="456" t="s">
        <v>198</v>
      </c>
      <c r="H523" s="420" t="s">
        <v>122</v>
      </c>
      <c r="I523" s="187">
        <f ca="1">IFERROR(__xludf.DUMMYFUNCTION("IMPORTRANGE(""https://docs.google.com/spreadsheets/d/11923uPwbBZFjjGgGUA6NLw09EwE0CqkOc4q9oUmW1yo/edit?usp=sharing"",""แพร่!I418"")"),0)</f>
        <v>0</v>
      </c>
      <c r="J523" s="187">
        <f ca="1">IFERROR(__xludf.DUMMYFUNCTION("IMPORTRANGE(""https://docs.google.com/spreadsheets/d/11923uPwbBZFjjGgGUA6NLw09EwE0CqkOc4q9oUmW1yo/edit?usp=sharing"",""แพร่!J418"")"),14)</f>
        <v>14</v>
      </c>
      <c r="K523" s="163">
        <v>0</v>
      </c>
      <c r="L523" s="181"/>
      <c r="M523" s="181"/>
      <c r="N523" s="181"/>
      <c r="O523" s="181"/>
      <c r="P523" s="181"/>
    </row>
    <row r="524" spans="1:16" ht="21.75" customHeight="1" x14ac:dyDescent="0.3">
      <c r="A524" s="175"/>
      <c r="B524" s="176"/>
      <c r="C524" s="176"/>
      <c r="D524" s="193"/>
      <c r="E524" s="195"/>
      <c r="F524" s="195"/>
      <c r="G524" s="196"/>
      <c r="H524" s="420" t="s">
        <v>36</v>
      </c>
      <c r="I524" s="187">
        <f ca="1">IFERROR(__xludf.DUMMYFUNCTION("IMPORTRANGE(""https://docs.google.com/spreadsheets/d/11923uPwbBZFjjGgGUA6NLw09EwE0CqkOc4q9oUmW1yo/edit?usp=sharing"",""แพร่!I419"")"),0)</f>
        <v>0</v>
      </c>
      <c r="J524" s="187">
        <f ca="1">IFERROR(__xludf.DUMMYFUNCTION("IMPORTRANGE(""https://docs.google.com/spreadsheets/d/11923uPwbBZFjjGgGUA6NLw09EwE0CqkOc4q9oUmW1yo/edit?usp=sharing"",""แพร่!J419"")"),5)</f>
        <v>5</v>
      </c>
      <c r="K524" s="163">
        <v>0</v>
      </c>
      <c r="L524" s="181"/>
      <c r="M524" s="181"/>
      <c r="N524" s="181"/>
      <c r="O524" s="181"/>
      <c r="P524" s="181"/>
    </row>
    <row r="525" spans="1:16" ht="21.75" customHeight="1" x14ac:dyDescent="0.3">
      <c r="A525" s="175"/>
      <c r="B525" s="176"/>
      <c r="C525" s="452"/>
      <c r="D525" s="452"/>
      <c r="E525" s="452" t="s">
        <v>199</v>
      </c>
      <c r="F525" s="453"/>
      <c r="G525" s="454"/>
      <c r="H525" s="455" t="s">
        <v>122</v>
      </c>
      <c r="I525" s="282">
        <f ca="1">IFERROR(__xludf.DUMMYFUNCTION("IMPORTRANGE(""https://docs.google.com/spreadsheets/d/11923uPwbBZFjjGgGUA6NLw09EwE0CqkOc4q9oUmW1yo/edit?usp=sharing"",""แพร่!I420"")"),14)</f>
        <v>14</v>
      </c>
      <c r="J525" s="282">
        <f ca="1">IFERROR(__xludf.DUMMYFUNCTION("IMPORTRANGE(""https://docs.google.com/spreadsheets/d/11923uPwbBZFjjGgGUA6NLw09EwE0CqkOc4q9oUmW1yo/edit?usp=sharing"",""แพร่!J420"")"),0)</f>
        <v>0</v>
      </c>
      <c r="K525" s="283">
        <v>0</v>
      </c>
      <c r="L525" s="181"/>
      <c r="M525" s="181"/>
      <c r="N525" s="181"/>
      <c r="O525" s="181"/>
      <c r="P525" s="181"/>
    </row>
    <row r="526" spans="1:16" ht="21.75" customHeight="1" x14ac:dyDescent="0.3">
      <c r="A526" s="175"/>
      <c r="B526" s="176"/>
      <c r="C526" s="452"/>
      <c r="D526" s="452"/>
      <c r="E526" s="452" t="s">
        <v>200</v>
      </c>
      <c r="F526" s="453"/>
      <c r="G526" s="454"/>
      <c r="H526" s="455" t="s">
        <v>36</v>
      </c>
      <c r="I526" s="282">
        <f ca="1">IFERROR(__xludf.DUMMYFUNCTION("IMPORTRANGE(""https://docs.google.com/spreadsheets/d/11923uPwbBZFjjGgGUA6NLw09EwE0CqkOc4q9oUmW1yo/edit?usp=sharing"",""แพร่!I421"")"),5)</f>
        <v>5</v>
      </c>
      <c r="J526" s="282">
        <f ca="1">IFERROR(__xludf.DUMMYFUNCTION("IMPORTRANGE(""https://docs.google.com/spreadsheets/d/11923uPwbBZFjjGgGUA6NLw09EwE0CqkOc4q9oUmW1yo/edit?usp=sharing"",""แพร่!J421"")"),0)</f>
        <v>0</v>
      </c>
      <c r="K526" s="283">
        <v>0</v>
      </c>
      <c r="L526" s="181"/>
      <c r="M526" s="181"/>
      <c r="N526" s="181"/>
      <c r="O526" s="181"/>
      <c r="P526" s="181"/>
    </row>
    <row r="527" spans="1:16" ht="21.75" customHeight="1" x14ac:dyDescent="0.3">
      <c r="A527" s="175"/>
      <c r="B527" s="176"/>
      <c r="C527" s="176"/>
      <c r="D527" s="193"/>
      <c r="E527" s="195"/>
      <c r="F527" s="195"/>
      <c r="G527" s="225" t="s">
        <v>196</v>
      </c>
      <c r="H527" s="420" t="s">
        <v>122</v>
      </c>
      <c r="I527" s="187">
        <f ca="1">IFERROR(__xludf.DUMMYFUNCTION("IMPORTRANGE(""https://docs.google.com/spreadsheets/d/11923uPwbBZFjjGgGUA6NLw09EwE0CqkOc4q9oUmW1yo/edit?usp=sharing"",""แพร่!I422"")"),0)</f>
        <v>0</v>
      </c>
      <c r="J527" s="197">
        <f ca="1">IFERROR(__xludf.DUMMYFUNCTION("IMPORTRANGE(""https://docs.google.com/spreadsheets/d/11923uPwbBZFjjGgGUA6NLw09EwE0CqkOc4q9oUmW1yo/edit?usp=sharing"",""แพร่!J422"")"),0)</f>
        <v>0</v>
      </c>
      <c r="K527" s="163">
        <v>0</v>
      </c>
      <c r="L527" s="181"/>
      <c r="M527" s="181"/>
      <c r="N527" s="181"/>
      <c r="O527" s="181"/>
      <c r="P527" s="181"/>
    </row>
    <row r="528" spans="1:16" ht="21.75" customHeight="1" x14ac:dyDescent="0.3">
      <c r="A528" s="175"/>
      <c r="B528" s="176"/>
      <c r="C528" s="176"/>
      <c r="D528" s="193"/>
      <c r="E528" s="195"/>
      <c r="F528" s="195"/>
      <c r="G528" s="196"/>
      <c r="H528" s="420" t="s">
        <v>36</v>
      </c>
      <c r="I528" s="187">
        <f ca="1">IFERROR(__xludf.DUMMYFUNCTION("IMPORTRANGE(""https://docs.google.com/spreadsheets/d/11923uPwbBZFjjGgGUA6NLw09EwE0CqkOc4q9oUmW1yo/edit?usp=sharing"",""แพร่!I423"")"),0)</f>
        <v>0</v>
      </c>
      <c r="J528" s="197">
        <f ca="1">IFERROR(__xludf.DUMMYFUNCTION("IMPORTRANGE(""https://docs.google.com/spreadsheets/d/11923uPwbBZFjjGgGUA6NLw09EwE0CqkOc4q9oUmW1yo/edit?usp=sharing"",""แพร่!J423"")"),0)</f>
        <v>0</v>
      </c>
      <c r="K528" s="163">
        <v>0</v>
      </c>
      <c r="L528" s="181"/>
      <c r="M528" s="181"/>
      <c r="N528" s="181"/>
      <c r="O528" s="181"/>
      <c r="P528" s="181"/>
    </row>
    <row r="529" spans="1:16" ht="21.75" customHeight="1" x14ac:dyDescent="0.3">
      <c r="A529" s="175"/>
      <c r="B529" s="176"/>
      <c r="C529" s="176"/>
      <c r="D529" s="193"/>
      <c r="E529" s="195"/>
      <c r="F529" s="195"/>
      <c r="G529" s="225" t="s">
        <v>197</v>
      </c>
      <c r="H529" s="420" t="s">
        <v>122</v>
      </c>
      <c r="I529" s="187">
        <f ca="1">IFERROR(__xludf.DUMMYFUNCTION("IMPORTRANGE(""https://docs.google.com/spreadsheets/d/11923uPwbBZFjjGgGUA6NLw09EwE0CqkOc4q9oUmW1yo/edit?usp=sharing"",""แพร่!I424"")"),0)</f>
        <v>0</v>
      </c>
      <c r="J529" s="197">
        <f ca="1">IFERROR(__xludf.DUMMYFUNCTION("IMPORTRANGE(""https://docs.google.com/spreadsheets/d/11923uPwbBZFjjGgGUA6NLw09EwE0CqkOc4q9oUmW1yo/edit?usp=sharing"",""แพร่!J424"")"),0)</f>
        <v>0</v>
      </c>
      <c r="K529" s="163">
        <v>0</v>
      </c>
      <c r="L529" s="181"/>
      <c r="M529" s="181"/>
      <c r="N529" s="181"/>
      <c r="O529" s="181"/>
      <c r="P529" s="181"/>
    </row>
    <row r="530" spans="1:16" ht="21.75" customHeight="1" x14ac:dyDescent="0.3">
      <c r="A530" s="175"/>
      <c r="B530" s="176"/>
      <c r="C530" s="176"/>
      <c r="D530" s="193"/>
      <c r="E530" s="195"/>
      <c r="F530" s="195"/>
      <c r="G530" s="196"/>
      <c r="H530" s="420" t="s">
        <v>36</v>
      </c>
      <c r="I530" s="187">
        <f ca="1">IFERROR(__xludf.DUMMYFUNCTION("IMPORTRANGE(""https://docs.google.com/spreadsheets/d/11923uPwbBZFjjGgGUA6NLw09EwE0CqkOc4q9oUmW1yo/edit?usp=sharing"",""แพร่!I425"")"),0)</f>
        <v>0</v>
      </c>
      <c r="J530" s="197">
        <f ca="1">IFERROR(__xludf.DUMMYFUNCTION("IMPORTRANGE(""https://docs.google.com/spreadsheets/d/11923uPwbBZFjjGgGUA6NLw09EwE0CqkOc4q9oUmW1yo/edit?usp=sharing"",""แพร่!J425"")"),0)</f>
        <v>0</v>
      </c>
      <c r="K530" s="163">
        <v>0</v>
      </c>
      <c r="L530" s="181"/>
      <c r="M530" s="181"/>
      <c r="N530" s="181"/>
      <c r="O530" s="181"/>
      <c r="P530" s="181"/>
    </row>
    <row r="531" spans="1:16" ht="21.75" customHeight="1" x14ac:dyDescent="0.3">
      <c r="A531" s="175"/>
      <c r="B531" s="176"/>
      <c r="C531" s="176"/>
      <c r="D531" s="193"/>
      <c r="E531" s="195"/>
      <c r="F531" s="195"/>
      <c r="G531" s="225" t="s">
        <v>201</v>
      </c>
      <c r="H531" s="420" t="s">
        <v>122</v>
      </c>
      <c r="I531" s="187">
        <f ca="1">IFERROR(__xludf.DUMMYFUNCTION("IMPORTRANGE(""https://docs.google.com/spreadsheets/d/11923uPwbBZFjjGgGUA6NLw09EwE0CqkOc4q9oUmW1yo/edit?usp=sharing"",""แพร่!I426"")"),0)</f>
        <v>0</v>
      </c>
      <c r="J531" s="197">
        <f ca="1">IFERROR(__xludf.DUMMYFUNCTION("IMPORTRANGE(""https://docs.google.com/spreadsheets/d/11923uPwbBZFjjGgGUA6NLw09EwE0CqkOc4q9oUmW1yo/edit?usp=sharing"",""แพร่!J426"")"),0)</f>
        <v>0</v>
      </c>
      <c r="K531" s="163">
        <v>0</v>
      </c>
      <c r="L531" s="181"/>
      <c r="M531" s="181"/>
      <c r="N531" s="181"/>
      <c r="O531" s="181"/>
      <c r="P531" s="181"/>
    </row>
    <row r="532" spans="1:16" ht="21.75" customHeight="1" x14ac:dyDescent="0.3">
      <c r="A532" s="457"/>
      <c r="B532" s="458"/>
      <c r="C532" s="458"/>
      <c r="D532" s="459"/>
      <c r="E532" s="460"/>
      <c r="F532" s="460"/>
      <c r="G532" s="461"/>
      <c r="H532" s="462" t="s">
        <v>36</v>
      </c>
      <c r="I532" s="463">
        <f ca="1">IFERROR(__xludf.DUMMYFUNCTION("IMPORTRANGE(""https://docs.google.com/spreadsheets/d/11923uPwbBZFjjGgGUA6NLw09EwE0CqkOc4q9oUmW1yo/edit?usp=sharing"",""แพร่!I427"")"),0)</f>
        <v>0</v>
      </c>
      <c r="J532" s="464">
        <f ca="1">IFERROR(__xludf.DUMMYFUNCTION("IMPORTRANGE(""https://docs.google.com/spreadsheets/d/11923uPwbBZFjjGgGUA6NLw09EwE0CqkOc4q9oUmW1yo/edit?usp=sharing"",""แพร่!J427"")"),0)</f>
        <v>0</v>
      </c>
      <c r="K532" s="465">
        <v>0</v>
      </c>
      <c r="L532" s="466"/>
      <c r="M532" s="466"/>
      <c r="N532" s="466"/>
      <c r="O532" s="466"/>
      <c r="P532" s="466"/>
    </row>
    <row r="533" spans="1:16" ht="21.75" customHeight="1" x14ac:dyDescent="0.3">
      <c r="A533" s="403"/>
      <c r="B533" s="404">
        <v>6</v>
      </c>
      <c r="C533" s="405" t="s">
        <v>202</v>
      </c>
      <c r="D533" s="405"/>
      <c r="E533" s="405"/>
      <c r="F533" s="405"/>
      <c r="G533" s="406"/>
      <c r="H533" s="407" t="s">
        <v>37</v>
      </c>
      <c r="I533" s="408">
        <f ca="1">IFERROR(__xludf.DUMMYFUNCTION("IMPORTRANGE(""https://docs.google.com/spreadsheets/d/11923uPwbBZFjjGgGUA6NLw09EwE0CqkOc4q9oUmW1yo/edit?usp=sharing"",""แพร่!I428"")"),22)</f>
        <v>22</v>
      </c>
      <c r="J533" s="408">
        <f ca="1">IFERROR(__xludf.DUMMYFUNCTION("IMPORTRANGE(""https://docs.google.com/spreadsheets/d/11923uPwbBZFjjGgGUA6NLw09EwE0CqkOc4q9oUmW1yo/edit?usp=sharing"",""แพร่!J428"")"),22)</f>
        <v>22</v>
      </c>
      <c r="K533" s="409">
        <f ca="1">IF(I533&gt;0,J533*100/I533,0)</f>
        <v>100</v>
      </c>
      <c r="L533" s="410">
        <f ca="1">IFERROR(__xludf.DUMMYFUNCTION("IMPORTRANGE(""https://docs.google.com/spreadsheets/d/11923uPwbBZFjjGgGUA6NLw09EwE0CqkOc4q9oUmW1yo/edit?usp=sharing"",""แพร่!L428"")"),34340)</f>
        <v>34340</v>
      </c>
      <c r="M533" s="410"/>
      <c r="N533" s="410">
        <f ca="1">IFERROR(__xludf.DUMMYFUNCTION("IMPORTRANGE(""https://docs.google.com/spreadsheets/d/11923uPwbBZFjjGgGUA6NLw09EwE0CqkOc4q9oUmW1yo/edit?usp=sharing"",""แพร่!M428"")"),21312)</f>
        <v>21312</v>
      </c>
      <c r="O533" s="410">
        <f t="shared" ref="O533:O537" ca="1" si="118">+IF(L533&gt;0,N533*100/L533,0)</f>
        <v>62.061735585323241</v>
      </c>
      <c r="P533" s="410"/>
    </row>
    <row r="534" spans="1:16" ht="21.75" customHeight="1" x14ac:dyDescent="0.3">
      <c r="A534" s="156"/>
      <c r="B534" s="157"/>
      <c r="C534" s="157" t="s">
        <v>16</v>
      </c>
      <c r="D534" s="158" t="s">
        <v>38</v>
      </c>
      <c r="E534" s="159"/>
      <c r="F534" s="159"/>
      <c r="G534" s="160" t="s">
        <v>39</v>
      </c>
      <c r="H534" s="161" t="s">
        <v>12</v>
      </c>
      <c r="I534" s="162" t="s">
        <v>40</v>
      </c>
      <c r="J534" s="162"/>
      <c r="K534" s="163"/>
      <c r="L534" s="164">
        <f ca="1">IFERROR(__xludf.DUMMYFUNCTION("IMPORTRANGE(""https://docs.google.com/spreadsheets/d/11923uPwbBZFjjGgGUA6NLw09EwE0CqkOc4q9oUmW1yo/edit?usp=sharing"",""แพร่!L429"")"),0)</f>
        <v>0</v>
      </c>
      <c r="M534" s="164"/>
      <c r="N534" s="168">
        <f ca="1">IFERROR(__xludf.DUMMYFUNCTION("IMPORTRANGE(""https://docs.google.com/spreadsheets/d/11923uPwbBZFjjGgGUA6NLw09EwE0CqkOc4q9oUmW1yo/edit?usp=sharing"",""แพร่!M429"")"),0)</f>
        <v>0</v>
      </c>
      <c r="O534" s="168">
        <f t="shared" ca="1" si="118"/>
        <v>0</v>
      </c>
      <c r="P534" s="168"/>
    </row>
    <row r="535" spans="1:16" ht="21.75" customHeight="1" x14ac:dyDescent="0.3">
      <c r="A535" s="156"/>
      <c r="B535" s="157"/>
      <c r="C535" s="157"/>
      <c r="D535" s="166"/>
      <c r="E535" s="159"/>
      <c r="F535" s="159" t="s">
        <v>40</v>
      </c>
      <c r="G535" s="160" t="s">
        <v>41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IFERROR(__xludf.DUMMYFUNCTION("IMPORTRANGE(""https://docs.google.com/spreadsheets/d/11923uPwbBZFjjGgGUA6NLw09EwE0CqkOc4q9oUmW1yo/edit?usp=sharing"",""แพร่!L430"")"),34340)</f>
        <v>34340</v>
      </c>
      <c r="M535" s="165"/>
      <c r="N535" s="168">
        <f ca="1">IFERROR(__xludf.DUMMYFUNCTION("IMPORTRANGE(""https://docs.google.com/spreadsheets/d/11923uPwbBZFjjGgGUA6NLw09EwE0CqkOc4q9oUmW1yo/edit?usp=sharing"",""แพร่!M430"")"),21312)</f>
        <v>21312</v>
      </c>
      <c r="O535" s="168">
        <f t="shared" ca="1" si="118"/>
        <v>62.061735585323241</v>
      </c>
      <c r="P535" s="168"/>
    </row>
    <row r="536" spans="1:16" ht="21.75" customHeight="1" x14ac:dyDescent="0.3">
      <c r="A536" s="156"/>
      <c r="B536" s="157"/>
      <c r="C536" s="157"/>
      <c r="D536" s="166"/>
      <c r="E536" s="159"/>
      <c r="F536" s="159"/>
      <c r="G536" s="372" t="s">
        <v>129</v>
      </c>
      <c r="H536" s="161" t="s">
        <v>12</v>
      </c>
      <c r="I536" s="162"/>
      <c r="J536" s="162"/>
      <c r="K536" s="163"/>
      <c r="L536" s="168">
        <f ca="1">IFERROR(__xludf.DUMMYFUNCTION("IMPORTRANGE(""https://docs.google.com/spreadsheets/d/11923uPwbBZFjjGgGUA6NLw09EwE0CqkOc4q9oUmW1yo/edit?usp=sharing"",""แพร่!L431"")"),0)</f>
        <v>0</v>
      </c>
      <c r="M536" s="168"/>
      <c r="N536" s="168">
        <f ca="1">IFERROR(__xludf.DUMMYFUNCTION("IMPORTRANGE(""https://docs.google.com/spreadsheets/d/11923uPwbBZFjjGgGUA6NLw09EwE0CqkOc4q9oUmW1yo/edit?usp=sharing"",""แพร่!M431"")"),0)</f>
        <v>0</v>
      </c>
      <c r="O536" s="168">
        <f t="shared" ca="1" si="118"/>
        <v>0</v>
      </c>
      <c r="P536" s="168"/>
    </row>
    <row r="537" spans="1:16" ht="21.75" customHeight="1" x14ac:dyDescent="0.3">
      <c r="A537" s="156"/>
      <c r="B537" s="157"/>
      <c r="C537" s="157"/>
      <c r="D537" s="166"/>
      <c r="E537" s="159"/>
      <c r="F537" s="159"/>
      <c r="G537" s="372" t="s">
        <v>130</v>
      </c>
      <c r="H537" s="161" t="s">
        <v>12</v>
      </c>
      <c r="I537" s="162"/>
      <c r="J537" s="162"/>
      <c r="K537" s="163"/>
      <c r="L537" s="168">
        <f ca="1">IFERROR(__xludf.DUMMYFUNCTION("IMPORTRANGE(""https://docs.google.com/spreadsheets/d/11923uPwbBZFjjGgGUA6NLw09EwE0CqkOc4q9oUmW1yo/edit?usp=sharing"",""แพร่!L432"")"),34340)</f>
        <v>34340</v>
      </c>
      <c r="M537" s="168"/>
      <c r="N537" s="168">
        <f ca="1">IFERROR(__xludf.DUMMYFUNCTION("IMPORTRANGE(""https://docs.google.com/spreadsheets/d/11923uPwbBZFjjGgGUA6NLw09EwE0CqkOc4q9oUmW1yo/edit?usp=sharing"",""แพร่!M432"")"),21312)</f>
        <v>21312</v>
      </c>
      <c r="O537" s="168">
        <f t="shared" ca="1" si="118"/>
        <v>62.061735585323241</v>
      </c>
      <c r="P537" s="168"/>
    </row>
    <row r="538" spans="1:16" ht="21.75" customHeight="1" x14ac:dyDescent="0.3">
      <c r="A538" s="373"/>
      <c r="B538" s="374"/>
      <c r="C538" s="157"/>
      <c r="D538" s="375"/>
      <c r="E538" s="159"/>
      <c r="F538" s="159"/>
      <c r="G538" s="376" t="s">
        <v>131</v>
      </c>
      <c r="H538" s="161" t="s">
        <v>12</v>
      </c>
      <c r="I538" s="187"/>
      <c r="J538" s="187"/>
      <c r="K538" s="223"/>
      <c r="L538" s="168"/>
      <c r="M538" s="168"/>
      <c r="N538" s="377">
        <f ca="1">IFERROR(__xludf.DUMMYFUNCTION("IMPORTRANGE(""https://docs.google.com/spreadsheets/d/11923uPwbBZFjjGgGUA6NLw09EwE0CqkOc4q9oUmW1yo/edit?usp=sharing"",""แพร่!M433"")"),17860)</f>
        <v>17860</v>
      </c>
      <c r="O538" s="168"/>
      <c r="P538" s="168"/>
    </row>
    <row r="539" spans="1:16" ht="21.75" customHeight="1" x14ac:dyDescent="0.3">
      <c r="A539" s="373"/>
      <c r="B539" s="374"/>
      <c r="C539" s="157"/>
      <c r="D539" s="375"/>
      <c r="E539" s="159"/>
      <c r="F539" s="159"/>
      <c r="G539" s="376" t="s">
        <v>132</v>
      </c>
      <c r="H539" s="161" t="s">
        <v>12</v>
      </c>
      <c r="I539" s="187"/>
      <c r="J539" s="187"/>
      <c r="K539" s="223"/>
      <c r="L539" s="168"/>
      <c r="M539" s="168"/>
      <c r="N539" s="377">
        <f ca="1">IFERROR(__xludf.DUMMYFUNCTION("IMPORTRANGE(""https://docs.google.com/spreadsheets/d/11923uPwbBZFjjGgGUA6NLw09EwE0CqkOc4q9oUmW1yo/edit?usp=sharing"",""แพร่!M434"")"),0)</f>
        <v>0</v>
      </c>
      <c r="O539" s="168"/>
      <c r="P539" s="168"/>
    </row>
    <row r="540" spans="1:16" ht="21.75" customHeight="1" x14ac:dyDescent="0.3">
      <c r="A540" s="373"/>
      <c r="B540" s="374"/>
      <c r="C540" s="157"/>
      <c r="D540" s="375"/>
      <c r="E540" s="159"/>
      <c r="F540" s="159"/>
      <c r="G540" s="376" t="s">
        <v>133</v>
      </c>
      <c r="H540" s="161" t="s">
        <v>12</v>
      </c>
      <c r="I540" s="187"/>
      <c r="J540" s="187"/>
      <c r="K540" s="223"/>
      <c r="L540" s="168"/>
      <c r="M540" s="168"/>
      <c r="N540" s="377">
        <f ca="1">IFERROR(__xludf.DUMMYFUNCTION("IMPORTRANGE(""https://docs.google.com/spreadsheets/d/11923uPwbBZFjjGgGUA6NLw09EwE0CqkOc4q9oUmW1yo/edit?usp=sharing"",""แพร่!M435"")"),0)</f>
        <v>0</v>
      </c>
      <c r="O540" s="168"/>
      <c r="P540" s="168"/>
    </row>
    <row r="541" spans="1:16" ht="21.75" customHeight="1" x14ac:dyDescent="0.3">
      <c r="A541" s="373"/>
      <c r="B541" s="374"/>
      <c r="C541" s="157"/>
      <c r="D541" s="375"/>
      <c r="E541" s="159"/>
      <c r="F541" s="159"/>
      <c r="G541" s="376" t="s">
        <v>134</v>
      </c>
      <c r="H541" s="161" t="s">
        <v>12</v>
      </c>
      <c r="I541" s="187"/>
      <c r="J541" s="187"/>
      <c r="K541" s="223"/>
      <c r="L541" s="168"/>
      <c r="M541" s="168"/>
      <c r="N541" s="377">
        <f ca="1">IFERROR(__xludf.DUMMYFUNCTION("IMPORTRANGE(""https://docs.google.com/spreadsheets/d/11923uPwbBZFjjGgGUA6NLw09EwE0CqkOc4q9oUmW1yo/edit?usp=sharing"",""แพร่!M436"")"),3452)</f>
        <v>3452</v>
      </c>
      <c r="O541" s="168"/>
      <c r="P541" s="168"/>
    </row>
    <row r="542" spans="1:16" ht="21.75" customHeight="1" x14ac:dyDescent="0.3">
      <c r="A542" s="175"/>
      <c r="B542" s="176"/>
      <c r="C542" s="157" t="s">
        <v>16</v>
      </c>
      <c r="D542" s="177" t="s">
        <v>44</v>
      </c>
      <c r="E542" s="178"/>
      <c r="F542" s="178"/>
      <c r="G542" s="179"/>
      <c r="H542" s="180"/>
      <c r="I542" s="162"/>
      <c r="J542" s="162"/>
      <c r="K542" s="163"/>
      <c r="L542" s="181"/>
      <c r="M542" s="181"/>
      <c r="N542" s="181"/>
      <c r="O542" s="181"/>
      <c r="P542" s="181"/>
    </row>
    <row r="543" spans="1:16" ht="21.75" customHeight="1" x14ac:dyDescent="0.3">
      <c r="A543" s="175"/>
      <c r="B543" s="176"/>
      <c r="C543" s="176"/>
      <c r="D543" s="182">
        <v>1</v>
      </c>
      <c r="E543" s="183" t="s">
        <v>45</v>
      </c>
      <c r="F543" s="184"/>
      <c r="G543" s="185"/>
      <c r="H543" s="186"/>
      <c r="I543" s="187"/>
      <c r="J543" s="197">
        <f ca="1">IFERROR(__xludf.DUMMYFUNCTION("IMPORTRANGE(""https://docs.google.com/spreadsheets/d/11923uPwbBZFjjGgGUA6NLw09EwE0CqkOc4q9oUmW1yo/edit?usp=sharing"",""แพร่!J438"")"),0)</f>
        <v>0</v>
      </c>
      <c r="K543" s="163"/>
      <c r="L543" s="181"/>
      <c r="M543" s="181"/>
      <c r="N543" s="181"/>
      <c r="O543" s="181"/>
      <c r="P543" s="181"/>
    </row>
    <row r="544" spans="1:16" ht="21.75" customHeight="1" x14ac:dyDescent="0.3">
      <c r="A544" s="175"/>
      <c r="B544" s="176"/>
      <c r="C544" s="176"/>
      <c r="D544" s="189">
        <v>2</v>
      </c>
      <c r="E544" s="190" t="s">
        <v>46</v>
      </c>
      <c r="F544" s="191"/>
      <c r="G544" s="192"/>
      <c r="H544" s="186"/>
      <c r="I544" s="187"/>
      <c r="J544" s="188">
        <f ca="1">IFERROR(__xludf.DUMMYFUNCTION("IMPORTRANGE(""https://docs.google.com/spreadsheets/d/11923uPwbBZFjjGgGUA6NLw09EwE0CqkOc4q9oUmW1yo/edit?usp=sharing"",""แพร่!J439"")"),1)</f>
        <v>1</v>
      </c>
      <c r="K544" s="163"/>
      <c r="L544" s="181" t="s">
        <v>40</v>
      </c>
      <c r="M544" s="181"/>
      <c r="N544" s="181" t="s">
        <v>40</v>
      </c>
      <c r="O544" s="181"/>
      <c r="P544" s="181"/>
    </row>
    <row r="545" spans="1:16" ht="21.75" customHeight="1" x14ac:dyDescent="0.3">
      <c r="A545" s="175"/>
      <c r="B545" s="176"/>
      <c r="C545" s="176"/>
      <c r="D545" s="193"/>
      <c r="E545" s="194" t="s">
        <v>47</v>
      </c>
      <c r="F545" s="195"/>
      <c r="G545" s="196"/>
      <c r="H545" s="186"/>
      <c r="I545" s="187"/>
      <c r="J545" s="188">
        <f ca="1">IFERROR(__xludf.DUMMYFUNCTION("IMPORTRANGE(""https://docs.google.com/spreadsheets/d/11923uPwbBZFjjGgGUA6NLw09EwE0CqkOc4q9oUmW1yo/edit?usp=sharing"",""แพร่!J440"")"),1)</f>
        <v>1</v>
      </c>
      <c r="K545" s="163"/>
      <c r="L545" s="181"/>
      <c r="M545" s="181"/>
      <c r="N545" s="181"/>
      <c r="O545" s="181"/>
      <c r="P545" s="181"/>
    </row>
    <row r="546" spans="1:16" ht="21.75" customHeight="1" x14ac:dyDescent="0.3">
      <c r="A546" s="175"/>
      <c r="B546" s="176"/>
      <c r="C546" s="176"/>
      <c r="D546" s="193"/>
      <c r="E546" s="194" t="s">
        <v>48</v>
      </c>
      <c r="F546" s="195"/>
      <c r="G546" s="196"/>
      <c r="H546" s="186"/>
      <c r="I546" s="187"/>
      <c r="J546" s="197">
        <f ca="1">IFERROR(__xludf.DUMMYFUNCTION("IMPORTRANGE(""https://docs.google.com/spreadsheets/d/11923uPwbBZFjjGgGUA6NLw09EwE0CqkOc4q9oUmW1yo/edit?usp=sharing"",""แพร่!J441"")"),1)</f>
        <v>1</v>
      </c>
      <c r="K546" s="163"/>
      <c r="L546" s="181"/>
      <c r="M546" s="181"/>
      <c r="N546" s="181"/>
      <c r="O546" s="181"/>
      <c r="P546" s="181"/>
    </row>
    <row r="547" spans="1:16" ht="21.75" customHeight="1" x14ac:dyDescent="0.3">
      <c r="A547" s="175"/>
      <c r="B547" s="176"/>
      <c r="C547" s="176"/>
      <c r="D547" s="193"/>
      <c r="E547" s="198"/>
      <c r="F547" s="195"/>
      <c r="G547" s="225" t="s">
        <v>203</v>
      </c>
      <c r="H547" s="186" t="s">
        <v>37</v>
      </c>
      <c r="I547" s="203">
        <f ca="1">IFERROR(__xludf.DUMMYFUNCTION("IMPORTRANGE(""https://docs.google.com/spreadsheets/d/11923uPwbBZFjjGgGUA6NLw09EwE0CqkOc4q9oUmW1yo/edit?usp=sharing"",""แพร่!I442"")"),22)</f>
        <v>22</v>
      </c>
      <c r="J547" s="188">
        <f ca="1">IFERROR(__xludf.DUMMYFUNCTION("IMPORTRANGE(""https://docs.google.com/spreadsheets/d/11923uPwbBZFjjGgGUA6NLw09EwE0CqkOc4q9oUmW1yo/edit?usp=sharing"",""แพร่!J442"")"),22)</f>
        <v>22</v>
      </c>
      <c r="K547" s="163">
        <f t="shared" ref="K547:K548" ca="1" si="119">IF(I547&gt;0,J547*100/I547,0)</f>
        <v>100</v>
      </c>
      <c r="L547" s="181"/>
      <c r="M547" s="181"/>
      <c r="N547" s="181"/>
      <c r="O547" s="181"/>
      <c r="P547" s="181"/>
    </row>
    <row r="548" spans="1:16" ht="21.75" hidden="1" customHeight="1" x14ac:dyDescent="0.3">
      <c r="A548" s="175"/>
      <c r="B548" s="176"/>
      <c r="C548" s="176"/>
      <c r="D548" s="193"/>
      <c r="E548" s="198"/>
      <c r="F548" s="195"/>
      <c r="G548" s="225" t="s">
        <v>204</v>
      </c>
      <c r="H548" s="186" t="s">
        <v>37</v>
      </c>
      <c r="I548" s="339">
        <f ca="1">IFERROR(__xludf.DUMMYFUNCTION("IMPORTRANGE(""https://docs.google.com/spreadsheets/d/1C3CXT74ZlgGe6_JY_1olB1XN4rF0dxEuIIF-xsYjHgg/edit?usp=sharing"",""งบกองทุน!dr63"")"),0)</f>
        <v>0</v>
      </c>
      <c r="J548" s="197">
        <f ca="1">IFERROR(__xludf.DUMMYFUNCTION("IMPORTRANGE(""https://docs.google.com/spreadsheets/d/11923uPwbBZFjjGgGUA6NLw09EwE0CqkOc4q9oUmW1yo/edit?usp=sharing"",""แพร่!J166"")"),0)</f>
        <v>0</v>
      </c>
      <c r="K548" s="163">
        <f t="shared" ca="1" si="119"/>
        <v>0</v>
      </c>
      <c r="L548" s="181"/>
      <c r="M548" s="181"/>
      <c r="N548" s="181"/>
      <c r="O548" s="181"/>
      <c r="P548" s="181"/>
    </row>
    <row r="549" spans="1:16" ht="21.75" customHeight="1" x14ac:dyDescent="0.3">
      <c r="A549" s="175"/>
      <c r="B549" s="176"/>
      <c r="C549" s="176"/>
      <c r="D549" s="193"/>
      <c r="E549" s="194" t="s">
        <v>54</v>
      </c>
      <c r="F549" s="195"/>
      <c r="G549" s="196"/>
      <c r="H549" s="186"/>
      <c r="I549" s="187"/>
      <c r="J549" s="197">
        <f ca="1">IFERROR(__xludf.DUMMYFUNCTION("IMPORTRANGE(""https://docs.google.com/spreadsheets/d/11923uPwbBZFjjGgGUA6NLw09EwE0CqkOc4q9oUmW1yo/edit?usp=sharing"",""แพร่!J444"")"),0)</f>
        <v>0</v>
      </c>
      <c r="K549" s="163"/>
      <c r="L549" s="181"/>
      <c r="M549" s="181"/>
      <c r="N549" s="181"/>
      <c r="O549" s="181"/>
      <c r="P549" s="181"/>
    </row>
    <row r="550" spans="1:16" ht="21.75" customHeight="1" x14ac:dyDescent="0.3">
      <c r="A550" s="457"/>
      <c r="B550" s="458"/>
      <c r="C550" s="458"/>
      <c r="D550" s="467">
        <v>3</v>
      </c>
      <c r="E550" s="468" t="s">
        <v>55</v>
      </c>
      <c r="F550" s="469"/>
      <c r="G550" s="470"/>
      <c r="H550" s="471"/>
      <c r="I550" s="463"/>
      <c r="J550" s="472">
        <f ca="1">IFERROR(__xludf.DUMMYFUNCTION("IMPORTRANGE(""https://docs.google.com/spreadsheets/d/11923uPwbBZFjjGgGUA6NLw09EwE0CqkOc4q9oUmW1yo/edit?usp=sharing"",""แพร่!J445"")"),0)</f>
        <v>0</v>
      </c>
      <c r="K550" s="465"/>
      <c r="L550" s="466"/>
      <c r="M550" s="466"/>
      <c r="N550" s="466"/>
      <c r="O550" s="466"/>
      <c r="P550" s="466"/>
    </row>
    <row r="551" spans="1:16" ht="21.75" customHeight="1" x14ac:dyDescent="0.3">
      <c r="A551" s="403"/>
      <c r="B551" s="404">
        <v>7</v>
      </c>
      <c r="C551" s="405" t="s">
        <v>205</v>
      </c>
      <c r="D551" s="405"/>
      <c r="E551" s="405"/>
      <c r="F551" s="405"/>
      <c r="G551" s="406"/>
      <c r="H551" s="407" t="s">
        <v>122</v>
      </c>
      <c r="I551" s="408">
        <f ca="1">IFERROR(__xludf.DUMMYFUNCTION("IMPORTRANGE(""https://docs.google.com/spreadsheets/d/11923uPwbBZFjjGgGUA6NLw09EwE0CqkOc4q9oUmW1yo/edit?usp=sharing"",""แพร่!I446"")"),0)</f>
        <v>0</v>
      </c>
      <c r="J551" s="408">
        <f ca="1">IFERROR(__xludf.DUMMYFUNCTION("IMPORTRANGE(""https://docs.google.com/spreadsheets/d/11923uPwbBZFjjGgGUA6NLw09EwE0CqkOc4q9oUmW1yo/edit?usp=sharing"",""แพร่!J446"")"),0)</f>
        <v>0</v>
      </c>
      <c r="K551" s="409">
        <f ca="1">IF(I551&gt;0,J551*100/I551,0)</f>
        <v>0</v>
      </c>
      <c r="L551" s="410">
        <f ca="1">IFERROR(__xludf.DUMMYFUNCTION("IMPORTRANGE(""https://docs.google.com/spreadsheets/d/11923uPwbBZFjjGgGUA6NLw09EwE0CqkOc4q9oUmW1yo/edit?usp=sharing"",""แพร่!L446"")"),0)</f>
        <v>0</v>
      </c>
      <c r="M551" s="410"/>
      <c r="N551" s="410">
        <f ca="1">IFERROR(__xludf.DUMMYFUNCTION("IMPORTRANGE(""https://docs.google.com/spreadsheets/d/11923uPwbBZFjjGgGUA6NLw09EwE0CqkOc4q9oUmW1yo/edit?usp=sharing"",""แพร่!M446"")"),0)</f>
        <v>0</v>
      </c>
      <c r="O551" s="410">
        <f t="shared" ref="O551:O555" ca="1" si="120">+IF(L551&gt;0,N551*100/L551,0)</f>
        <v>0</v>
      </c>
      <c r="P551" s="410"/>
    </row>
    <row r="552" spans="1:16" ht="21.75" customHeight="1" x14ac:dyDescent="0.3">
      <c r="A552" s="156"/>
      <c r="B552" s="157"/>
      <c r="C552" s="157" t="s">
        <v>16</v>
      </c>
      <c r="D552" s="158" t="s">
        <v>38</v>
      </c>
      <c r="E552" s="159"/>
      <c r="F552" s="159"/>
      <c r="G552" s="160" t="s">
        <v>39</v>
      </c>
      <c r="H552" s="161" t="s">
        <v>12</v>
      </c>
      <c r="I552" s="162" t="s">
        <v>40</v>
      </c>
      <c r="J552" s="162"/>
      <c r="K552" s="163"/>
      <c r="L552" s="164">
        <f ca="1">IFERROR(__xludf.DUMMYFUNCTION("IMPORTRANGE(""https://docs.google.com/spreadsheets/d/11923uPwbBZFjjGgGUA6NLw09EwE0CqkOc4q9oUmW1yo/edit?usp=sharing"",""แพร่!L447"")"),0)</f>
        <v>0</v>
      </c>
      <c r="M552" s="164"/>
      <c r="N552" s="168">
        <f ca="1">IFERROR(__xludf.DUMMYFUNCTION("IMPORTRANGE(""https://docs.google.com/spreadsheets/d/11923uPwbBZFjjGgGUA6NLw09EwE0CqkOc4q9oUmW1yo/edit?usp=sharing"",""แพร่!M447"")"),0)</f>
        <v>0</v>
      </c>
      <c r="O552" s="168">
        <f t="shared" ca="1" si="120"/>
        <v>0</v>
      </c>
      <c r="P552" s="168"/>
    </row>
    <row r="553" spans="1:16" ht="21.75" customHeight="1" x14ac:dyDescent="0.3">
      <c r="A553" s="156"/>
      <c r="B553" s="157"/>
      <c r="C553" s="157"/>
      <c r="D553" s="166"/>
      <c r="E553" s="159"/>
      <c r="F553" s="159" t="s">
        <v>40</v>
      </c>
      <c r="G553" s="160" t="s">
        <v>41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IFERROR(__xludf.DUMMYFUNCTION("IMPORTRANGE(""https://docs.google.com/spreadsheets/d/11923uPwbBZFjjGgGUA6NLw09EwE0CqkOc4q9oUmW1yo/edit?usp=sharing"",""แพร่!L448"")"),0)</f>
        <v>0</v>
      </c>
      <c r="M553" s="165"/>
      <c r="N553" s="168">
        <f ca="1">IFERROR(__xludf.DUMMYFUNCTION("IMPORTRANGE(""https://docs.google.com/spreadsheets/d/11923uPwbBZFjjGgGUA6NLw09EwE0CqkOc4q9oUmW1yo/edit?usp=sharing"",""แพร่!M448"")"),0)</f>
        <v>0</v>
      </c>
      <c r="O553" s="168">
        <f t="shared" ca="1" si="120"/>
        <v>0</v>
      </c>
      <c r="P553" s="168"/>
    </row>
    <row r="554" spans="1:16" ht="21.75" customHeight="1" x14ac:dyDescent="0.3">
      <c r="A554" s="156"/>
      <c r="B554" s="157"/>
      <c r="C554" s="157"/>
      <c r="D554" s="166"/>
      <c r="E554" s="159"/>
      <c r="F554" s="159"/>
      <c r="G554" s="372" t="s">
        <v>129</v>
      </c>
      <c r="H554" s="161" t="s">
        <v>12</v>
      </c>
      <c r="I554" s="162"/>
      <c r="J554" s="162"/>
      <c r="K554" s="163"/>
      <c r="L554" s="168">
        <f ca="1">IFERROR(__xludf.DUMMYFUNCTION("IMPORTRANGE(""https://docs.google.com/spreadsheets/d/11923uPwbBZFjjGgGUA6NLw09EwE0CqkOc4q9oUmW1yo/edit?usp=sharing"",""แพร่!L449"")"),0)</f>
        <v>0</v>
      </c>
      <c r="M554" s="168"/>
      <c r="N554" s="168">
        <f ca="1">IFERROR(__xludf.DUMMYFUNCTION("IMPORTRANGE(""https://docs.google.com/spreadsheets/d/11923uPwbBZFjjGgGUA6NLw09EwE0CqkOc4q9oUmW1yo/edit?usp=sharing"",""แพร่!M449"")"),0)</f>
        <v>0</v>
      </c>
      <c r="O554" s="168">
        <f t="shared" ca="1" si="120"/>
        <v>0</v>
      </c>
      <c r="P554" s="168"/>
    </row>
    <row r="555" spans="1:16" ht="21.75" customHeight="1" x14ac:dyDescent="0.3">
      <c r="A555" s="156"/>
      <c r="B555" s="157"/>
      <c r="C555" s="157"/>
      <c r="D555" s="166"/>
      <c r="E555" s="159"/>
      <c r="F555" s="159"/>
      <c r="G555" s="372" t="s">
        <v>130</v>
      </c>
      <c r="H555" s="161" t="s">
        <v>12</v>
      </c>
      <c r="I555" s="162"/>
      <c r="J555" s="162"/>
      <c r="K555" s="163"/>
      <c r="L555" s="168">
        <f ca="1">IFERROR(__xludf.DUMMYFUNCTION("IMPORTRANGE(""https://docs.google.com/spreadsheets/d/11923uPwbBZFjjGgGUA6NLw09EwE0CqkOc4q9oUmW1yo/edit?usp=sharing"",""แพร่!L450"")"),0)</f>
        <v>0</v>
      </c>
      <c r="M555" s="168"/>
      <c r="N555" s="168">
        <f ca="1">IFERROR(__xludf.DUMMYFUNCTION("IMPORTRANGE(""https://docs.google.com/spreadsheets/d/11923uPwbBZFjjGgGUA6NLw09EwE0CqkOc4q9oUmW1yo/edit?usp=sharing"",""แพร่!M450"")"),0)</f>
        <v>0</v>
      </c>
      <c r="O555" s="168">
        <f t="shared" ca="1" si="120"/>
        <v>0</v>
      </c>
      <c r="P555" s="168"/>
    </row>
    <row r="556" spans="1:16" ht="21.75" customHeight="1" x14ac:dyDescent="0.3">
      <c r="A556" s="373"/>
      <c r="B556" s="374"/>
      <c r="C556" s="157"/>
      <c r="D556" s="375"/>
      <c r="E556" s="159"/>
      <c r="F556" s="159"/>
      <c r="G556" s="376" t="s">
        <v>131</v>
      </c>
      <c r="H556" s="161" t="s">
        <v>12</v>
      </c>
      <c r="I556" s="187"/>
      <c r="J556" s="187"/>
      <c r="K556" s="223"/>
      <c r="L556" s="168"/>
      <c r="M556" s="168"/>
      <c r="N556" s="167">
        <f ca="1">IFERROR(__xludf.DUMMYFUNCTION("IMPORTRANGE(""https://docs.google.com/spreadsheets/d/11923uPwbBZFjjGgGUA6NLw09EwE0CqkOc4q9oUmW1yo/edit?usp=sharing"",""แพร่!M451"")"),0)</f>
        <v>0</v>
      </c>
      <c r="O556" s="168"/>
      <c r="P556" s="168"/>
    </row>
    <row r="557" spans="1:16" ht="21.75" customHeight="1" x14ac:dyDescent="0.3">
      <c r="A557" s="373"/>
      <c r="B557" s="374"/>
      <c r="C557" s="157"/>
      <c r="D557" s="375"/>
      <c r="E557" s="159"/>
      <c r="F557" s="159"/>
      <c r="G557" s="376" t="s">
        <v>132</v>
      </c>
      <c r="H557" s="161" t="s">
        <v>12</v>
      </c>
      <c r="I557" s="187"/>
      <c r="J557" s="187"/>
      <c r="K557" s="223"/>
      <c r="L557" s="168"/>
      <c r="M557" s="168"/>
      <c r="N557" s="167">
        <f ca="1">IFERROR(__xludf.DUMMYFUNCTION("IMPORTRANGE(""https://docs.google.com/spreadsheets/d/11923uPwbBZFjjGgGUA6NLw09EwE0CqkOc4q9oUmW1yo/edit?usp=sharing"",""แพร่!M452"")"),0)</f>
        <v>0</v>
      </c>
      <c r="O557" s="168"/>
      <c r="P557" s="168"/>
    </row>
    <row r="558" spans="1:16" ht="21.75" customHeight="1" x14ac:dyDescent="0.3">
      <c r="A558" s="373"/>
      <c r="B558" s="374"/>
      <c r="C558" s="157"/>
      <c r="D558" s="375"/>
      <c r="E558" s="159"/>
      <c r="F558" s="159"/>
      <c r="G558" s="376" t="s">
        <v>133</v>
      </c>
      <c r="H558" s="161" t="s">
        <v>12</v>
      </c>
      <c r="I558" s="187"/>
      <c r="J558" s="187"/>
      <c r="K558" s="223"/>
      <c r="L558" s="168"/>
      <c r="M558" s="168"/>
      <c r="N558" s="167">
        <f ca="1">IFERROR(__xludf.DUMMYFUNCTION("IMPORTRANGE(""https://docs.google.com/spreadsheets/d/11923uPwbBZFjjGgGUA6NLw09EwE0CqkOc4q9oUmW1yo/edit?usp=sharing"",""แพร่!M453"")"),0)</f>
        <v>0</v>
      </c>
      <c r="O558" s="168"/>
      <c r="P558" s="168"/>
    </row>
    <row r="559" spans="1:16" ht="21.75" customHeight="1" x14ac:dyDescent="0.3">
      <c r="A559" s="373"/>
      <c r="B559" s="374"/>
      <c r="C559" s="157"/>
      <c r="D559" s="375"/>
      <c r="E559" s="159"/>
      <c r="F559" s="159"/>
      <c r="G559" s="376" t="s">
        <v>134</v>
      </c>
      <c r="H559" s="161" t="s">
        <v>12</v>
      </c>
      <c r="I559" s="187"/>
      <c r="J559" s="187"/>
      <c r="K559" s="223"/>
      <c r="L559" s="168"/>
      <c r="M559" s="168"/>
      <c r="N559" s="167">
        <f ca="1">IFERROR(__xludf.DUMMYFUNCTION("IMPORTRANGE(""https://docs.google.com/spreadsheets/d/11923uPwbBZFjjGgGUA6NLw09EwE0CqkOc4q9oUmW1yo/edit?usp=sharing"",""แพร่!M454"")"),0)</f>
        <v>0</v>
      </c>
      <c r="O559" s="168"/>
      <c r="P559" s="168"/>
    </row>
    <row r="560" spans="1:16" ht="21.75" customHeight="1" x14ac:dyDescent="0.3">
      <c r="A560" s="175"/>
      <c r="B560" s="176"/>
      <c r="C560" s="176"/>
      <c r="D560" s="193"/>
      <c r="E560" s="195"/>
      <c r="F560" s="277" t="s">
        <v>206</v>
      </c>
      <c r="G560" s="196"/>
      <c r="H560" s="473" t="s">
        <v>122</v>
      </c>
      <c r="I560" s="162">
        <f ca="1">IFERROR(__xludf.DUMMYFUNCTION("IMPORTRANGE(""https://docs.google.com/spreadsheets/d/11923uPwbBZFjjGgGUA6NLw09EwE0CqkOc4q9oUmW1yo/edit?usp=sharing"",""แพร่!I455"")"),0)</f>
        <v>0</v>
      </c>
      <c r="J560" s="162">
        <f ca="1">IFERROR(__xludf.DUMMYFUNCTION("IMPORTRANGE(""https://docs.google.com/spreadsheets/d/11923uPwbBZFjjGgGUA6NLw09EwE0CqkOc4q9oUmW1yo/edit?usp=sharing"",""แพร่!J455"")"),0)</f>
        <v>0</v>
      </c>
      <c r="K560" s="223">
        <f t="shared" ref="K560:K564" ca="1" si="121">IF(I560&gt;0,J560*100/I560,0)</f>
        <v>0</v>
      </c>
      <c r="L560" s="168"/>
      <c r="M560" s="168"/>
      <c r="N560" s="168"/>
      <c r="O560" s="181"/>
      <c r="P560" s="181"/>
    </row>
    <row r="561" spans="1:16" ht="21.75" customHeight="1" x14ac:dyDescent="0.3">
      <c r="A561" s="175"/>
      <c r="B561" s="176"/>
      <c r="C561" s="176"/>
      <c r="D561" s="193"/>
      <c r="E561" s="195"/>
      <c r="F561" s="195"/>
      <c r="G561" s="196"/>
      <c r="H561" s="473" t="s">
        <v>36</v>
      </c>
      <c r="I561" s="162">
        <f ca="1">IFERROR(__xludf.DUMMYFUNCTION("IMPORTRANGE(""https://docs.google.com/spreadsheets/d/11923uPwbBZFjjGgGUA6NLw09EwE0CqkOc4q9oUmW1yo/edit?usp=sharing"",""แพร่!I456"")"),0)</f>
        <v>0</v>
      </c>
      <c r="J561" s="203">
        <f ca="1">IFERROR(__xludf.DUMMYFUNCTION("IMPORTRANGE(""https://docs.google.com/spreadsheets/d/11923uPwbBZFjjGgGUA6NLw09EwE0CqkOc4q9oUmW1yo/edit?usp=sharing"",""แพร่!J456"")"),0)</f>
        <v>0</v>
      </c>
      <c r="K561" s="223">
        <f t="shared" ca="1" si="121"/>
        <v>0</v>
      </c>
      <c r="L561" s="168"/>
      <c r="M561" s="168"/>
      <c r="N561" s="168"/>
      <c r="O561" s="181"/>
      <c r="P561" s="181"/>
    </row>
    <row r="562" spans="1:16" ht="21.75" customHeight="1" x14ac:dyDescent="0.3">
      <c r="A562" s="175"/>
      <c r="B562" s="176"/>
      <c r="C562" s="176"/>
      <c r="D562" s="193"/>
      <c r="E562" s="195"/>
      <c r="F562" s="195" t="s">
        <v>207</v>
      </c>
      <c r="G562" s="196"/>
      <c r="H562" s="473" t="s">
        <v>122</v>
      </c>
      <c r="I562" s="162">
        <v>0</v>
      </c>
      <c r="J562" s="203" t="str">
        <f ca="1">IFERROR(__xludf.DUMMYFUNCTION("IMPORTRANGE(""https://docs.google.com/spreadsheets/d/11923uPwbBZFjjGgGUA6NLw09EwE0CqkOc4q9oUmW1yo/edit?usp=sharing"",""แพร่!J457"")"),"")</f>
        <v/>
      </c>
      <c r="K562" s="163">
        <f t="shared" si="121"/>
        <v>0</v>
      </c>
      <c r="L562" s="181"/>
      <c r="M562" s="181"/>
      <c r="N562" s="181"/>
      <c r="O562" s="181"/>
      <c r="P562" s="181"/>
    </row>
    <row r="563" spans="1:16" ht="21.75" customHeight="1" x14ac:dyDescent="0.3">
      <c r="A563" s="175"/>
      <c r="B563" s="176"/>
      <c r="C563" s="176"/>
      <c r="D563" s="193"/>
      <c r="E563" s="195"/>
      <c r="F563" s="195"/>
      <c r="G563" s="196"/>
      <c r="H563" s="473" t="s">
        <v>36</v>
      </c>
      <c r="I563" s="162">
        <v>0</v>
      </c>
      <c r="J563" s="187" t="str">
        <f ca="1">IFERROR(__xludf.DUMMYFUNCTION("IMPORTRANGE(""https://docs.google.com/spreadsheets/d/11923uPwbBZFjjGgGUA6NLw09EwE0CqkOc4q9oUmW1yo/edit?usp=sharing"",""แพร่!J458"")"),"")</f>
        <v/>
      </c>
      <c r="K563" s="163">
        <f t="shared" si="121"/>
        <v>0</v>
      </c>
      <c r="L563" s="181"/>
      <c r="M563" s="181"/>
      <c r="N563" s="181"/>
      <c r="O563" s="181"/>
      <c r="P563" s="181"/>
    </row>
    <row r="564" spans="1:16" ht="21.75" customHeight="1" x14ac:dyDescent="0.3">
      <c r="A564" s="364"/>
      <c r="B564" s="365">
        <v>8</v>
      </c>
      <c r="C564" s="366" t="s">
        <v>208</v>
      </c>
      <c r="D564" s="366"/>
      <c r="E564" s="366"/>
      <c r="F564" s="366"/>
      <c r="G564" s="367"/>
      <c r="H564" s="368" t="s">
        <v>37</v>
      </c>
      <c r="I564" s="369">
        <f ca="1">IFERROR(__xludf.DUMMYFUNCTION("IMPORTRANGE(""https://docs.google.com/spreadsheets/d/11923uPwbBZFjjGgGUA6NLw09EwE0CqkOc4q9oUmW1yo/edit?usp=sharing"",""แพร่!I459"")"),1200)</f>
        <v>1200</v>
      </c>
      <c r="J564" s="369">
        <f ca="1">IFERROR(__xludf.DUMMYFUNCTION("IMPORTRANGE(""https://docs.google.com/spreadsheets/d/11923uPwbBZFjjGgGUA6NLw09EwE0CqkOc4q9oUmW1yo/edit?usp=sharing"",""แพร่!J459"")"),1384)</f>
        <v>1384</v>
      </c>
      <c r="K564" s="370">
        <f t="shared" ca="1" si="121"/>
        <v>115.33333333333333</v>
      </c>
      <c r="L564" s="371">
        <f ca="1">IFERROR(__xludf.DUMMYFUNCTION("IMPORTRANGE(""https://docs.google.com/spreadsheets/d/11923uPwbBZFjjGgGUA6NLw09EwE0CqkOc4q9oUmW1yo/edit?usp=sharing"",""แพร่!L459"")"),126480)</f>
        <v>126480</v>
      </c>
      <c r="M564" s="371"/>
      <c r="N564" s="371">
        <f ca="1">IFERROR(__xludf.DUMMYFUNCTION("IMPORTRANGE(""https://docs.google.com/spreadsheets/d/11923uPwbBZFjjGgGUA6NLw09EwE0CqkOc4q9oUmW1yo/edit?usp=sharing"",""แพร่!M459"")"),34113)</f>
        <v>34113</v>
      </c>
      <c r="O564" s="371">
        <f t="shared" ref="O564:O568" ca="1" si="122">+IF(L564&gt;0,N564*100/L564,0)</f>
        <v>26.971062618595827</v>
      </c>
      <c r="P564" s="371"/>
    </row>
    <row r="565" spans="1:16" ht="21.75" customHeight="1" x14ac:dyDescent="0.3">
      <c r="A565" s="156"/>
      <c r="B565" s="157"/>
      <c r="C565" s="157" t="s">
        <v>16</v>
      </c>
      <c r="D565" s="158" t="s">
        <v>38</v>
      </c>
      <c r="E565" s="159"/>
      <c r="F565" s="159"/>
      <c r="G565" s="160" t="s">
        <v>39</v>
      </c>
      <c r="H565" s="161" t="s">
        <v>12</v>
      </c>
      <c r="I565" s="162" t="s">
        <v>40</v>
      </c>
      <c r="J565" s="162"/>
      <c r="K565" s="163"/>
      <c r="L565" s="164">
        <f ca="1">IFERROR(__xludf.DUMMYFUNCTION("IMPORTRANGE(""https://docs.google.com/spreadsheets/d/11923uPwbBZFjjGgGUA6NLw09EwE0CqkOc4q9oUmW1yo/edit?usp=sharing"",""แพร่!L460"")"),0)</f>
        <v>0</v>
      </c>
      <c r="M565" s="164"/>
      <c r="N565" s="168">
        <f ca="1">IFERROR(__xludf.DUMMYFUNCTION("IMPORTRANGE(""https://docs.google.com/spreadsheets/d/11923uPwbBZFjjGgGUA6NLw09EwE0CqkOc4q9oUmW1yo/edit?usp=sharing"",""แพร่!M460"")"),0)</f>
        <v>0</v>
      </c>
      <c r="O565" s="168">
        <f t="shared" ca="1" si="122"/>
        <v>0</v>
      </c>
      <c r="P565" s="168"/>
    </row>
    <row r="566" spans="1:16" ht="21.75" customHeight="1" x14ac:dyDescent="0.3">
      <c r="A566" s="156"/>
      <c r="B566" s="157"/>
      <c r="C566" s="157"/>
      <c r="D566" s="166"/>
      <c r="E566" s="159"/>
      <c r="F566" s="159" t="s">
        <v>40</v>
      </c>
      <c r="G566" s="160" t="s">
        <v>41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IFERROR(__xludf.DUMMYFUNCTION("IMPORTRANGE(""https://docs.google.com/spreadsheets/d/11923uPwbBZFjjGgGUA6NLw09EwE0CqkOc4q9oUmW1yo/edit?usp=sharing"",""แพร่!L461"")"),126480)</f>
        <v>126480</v>
      </c>
      <c r="M566" s="165"/>
      <c r="N566" s="168">
        <f ca="1">IFERROR(__xludf.DUMMYFUNCTION("IMPORTRANGE(""https://docs.google.com/spreadsheets/d/11923uPwbBZFjjGgGUA6NLw09EwE0CqkOc4q9oUmW1yo/edit?usp=sharing"",""แพร่!M461"")"),34113)</f>
        <v>34113</v>
      </c>
      <c r="O566" s="168">
        <f t="shared" ca="1" si="122"/>
        <v>26.971062618595827</v>
      </c>
      <c r="P566" s="168"/>
    </row>
    <row r="567" spans="1:16" ht="21.75" customHeight="1" x14ac:dyDescent="0.3">
      <c r="A567" s="156"/>
      <c r="B567" s="157"/>
      <c r="C567" s="157"/>
      <c r="D567" s="166"/>
      <c r="E567" s="159"/>
      <c r="F567" s="159"/>
      <c r="G567" s="372" t="s">
        <v>129</v>
      </c>
      <c r="H567" s="161" t="s">
        <v>12</v>
      </c>
      <c r="I567" s="162"/>
      <c r="J567" s="162"/>
      <c r="K567" s="163"/>
      <c r="L567" s="168">
        <f ca="1">IFERROR(__xludf.DUMMYFUNCTION("IMPORTRANGE(""https://docs.google.com/spreadsheets/d/11923uPwbBZFjjGgGUA6NLw09EwE0CqkOc4q9oUmW1yo/edit?usp=sharing"",""แพร่!L462"")"),0)</f>
        <v>0</v>
      </c>
      <c r="M567" s="168"/>
      <c r="N567" s="168">
        <f ca="1">IFERROR(__xludf.DUMMYFUNCTION("IMPORTRANGE(""https://docs.google.com/spreadsheets/d/11923uPwbBZFjjGgGUA6NLw09EwE0CqkOc4q9oUmW1yo/edit?usp=sharing"",""แพร่!M462"")"),0)</f>
        <v>0</v>
      </c>
      <c r="O567" s="168">
        <f t="shared" ca="1" si="122"/>
        <v>0</v>
      </c>
      <c r="P567" s="168"/>
    </row>
    <row r="568" spans="1:16" ht="21.75" customHeight="1" x14ac:dyDescent="0.3">
      <c r="A568" s="156"/>
      <c r="B568" s="157"/>
      <c r="C568" s="157"/>
      <c r="D568" s="166"/>
      <c r="E568" s="159"/>
      <c r="F568" s="159"/>
      <c r="G568" s="372" t="s">
        <v>130</v>
      </c>
      <c r="H568" s="161" t="s">
        <v>12</v>
      </c>
      <c r="I568" s="162"/>
      <c r="J568" s="162"/>
      <c r="K568" s="163"/>
      <c r="L568" s="168">
        <f ca="1">IFERROR(__xludf.DUMMYFUNCTION("IMPORTRANGE(""https://docs.google.com/spreadsheets/d/11923uPwbBZFjjGgGUA6NLw09EwE0CqkOc4q9oUmW1yo/edit?usp=sharing"",""แพร่!L463"")"),126480)</f>
        <v>126480</v>
      </c>
      <c r="M568" s="168"/>
      <c r="N568" s="168">
        <f ca="1">IFERROR(__xludf.DUMMYFUNCTION("IMPORTRANGE(""https://docs.google.com/spreadsheets/d/11923uPwbBZFjjGgGUA6NLw09EwE0CqkOc4q9oUmW1yo/edit?usp=sharing"",""แพร่!M463"")"),34113)</f>
        <v>34113</v>
      </c>
      <c r="O568" s="168">
        <f t="shared" ca="1" si="122"/>
        <v>26.971062618595827</v>
      </c>
      <c r="P568" s="168"/>
    </row>
    <row r="569" spans="1:16" ht="21.75" customHeight="1" x14ac:dyDescent="0.3">
      <c r="A569" s="373"/>
      <c r="B569" s="374"/>
      <c r="C569" s="157"/>
      <c r="D569" s="375"/>
      <c r="E569" s="159"/>
      <c r="F569" s="159"/>
      <c r="G569" s="376" t="s">
        <v>131</v>
      </c>
      <c r="H569" s="161" t="s">
        <v>12</v>
      </c>
      <c r="I569" s="187"/>
      <c r="J569" s="187"/>
      <c r="K569" s="223"/>
      <c r="L569" s="168"/>
      <c r="M569" s="168"/>
      <c r="N569" s="167">
        <f ca="1">IFERROR(__xludf.DUMMYFUNCTION("IMPORTRANGE(""https://docs.google.com/spreadsheets/d/11923uPwbBZFjjGgGUA6NLw09EwE0CqkOc4q9oUmW1yo/edit?usp=sharing"",""แพร่!M464"")"),0)</f>
        <v>0</v>
      </c>
      <c r="O569" s="168"/>
      <c r="P569" s="168"/>
    </row>
    <row r="570" spans="1:16" ht="21.75" customHeight="1" x14ac:dyDescent="0.3">
      <c r="A570" s="373"/>
      <c r="B570" s="374"/>
      <c r="C570" s="157"/>
      <c r="D570" s="375"/>
      <c r="E570" s="159"/>
      <c r="F570" s="159"/>
      <c r="G570" s="376" t="s">
        <v>132</v>
      </c>
      <c r="H570" s="161" t="s">
        <v>12</v>
      </c>
      <c r="I570" s="187"/>
      <c r="J570" s="187"/>
      <c r="K570" s="223"/>
      <c r="L570" s="168"/>
      <c r="M570" s="168"/>
      <c r="N570" s="167">
        <f ca="1">IFERROR(__xludf.DUMMYFUNCTION("IMPORTRANGE(""https://docs.google.com/spreadsheets/d/11923uPwbBZFjjGgGUA6NLw09EwE0CqkOc4q9oUmW1yo/edit?usp=sharing"",""แพร่!M465"")"),0)</f>
        <v>0</v>
      </c>
      <c r="O570" s="168"/>
      <c r="P570" s="168"/>
    </row>
    <row r="571" spans="1:16" ht="21.75" customHeight="1" x14ac:dyDescent="0.3">
      <c r="A571" s="373"/>
      <c r="B571" s="374"/>
      <c r="C571" s="157"/>
      <c r="D571" s="375"/>
      <c r="E571" s="159"/>
      <c r="F571" s="159"/>
      <c r="G571" s="376" t="s">
        <v>133</v>
      </c>
      <c r="H571" s="161" t="s">
        <v>12</v>
      </c>
      <c r="I571" s="187"/>
      <c r="J571" s="187"/>
      <c r="K571" s="223"/>
      <c r="L571" s="168"/>
      <c r="M571" s="168"/>
      <c r="N571" s="377">
        <f ca="1">IFERROR(__xludf.DUMMYFUNCTION("IMPORTRANGE(""https://docs.google.com/spreadsheets/d/11923uPwbBZFjjGgGUA6NLw09EwE0CqkOc4q9oUmW1yo/edit?usp=sharing"",""แพร่!M466"")"),20899)</f>
        <v>20899</v>
      </c>
      <c r="O571" s="168"/>
      <c r="P571" s="168"/>
    </row>
    <row r="572" spans="1:16" ht="21.75" customHeight="1" x14ac:dyDescent="0.3">
      <c r="A572" s="373"/>
      <c r="B572" s="374"/>
      <c r="C572" s="157"/>
      <c r="D572" s="375"/>
      <c r="E572" s="159"/>
      <c r="F572" s="159"/>
      <c r="G572" s="376" t="s">
        <v>134</v>
      </c>
      <c r="H572" s="161" t="s">
        <v>12</v>
      </c>
      <c r="I572" s="187"/>
      <c r="J572" s="187"/>
      <c r="K572" s="223"/>
      <c r="L572" s="168"/>
      <c r="M572" s="168"/>
      <c r="N572" s="377">
        <f ca="1">IFERROR(__xludf.DUMMYFUNCTION("IMPORTRANGE(""https://docs.google.com/spreadsheets/d/11923uPwbBZFjjGgGUA6NLw09EwE0CqkOc4q9oUmW1yo/edit?usp=sharing"",""แพร่!M467"")"),13214)</f>
        <v>13214</v>
      </c>
      <c r="O572" s="168"/>
      <c r="P572" s="168"/>
    </row>
    <row r="573" spans="1:16" ht="21.75" customHeight="1" x14ac:dyDescent="0.3">
      <c r="A573" s="175"/>
      <c r="B573" s="176"/>
      <c r="C573" s="176"/>
      <c r="D573" s="195"/>
      <c r="E573" s="194" t="s">
        <v>40</v>
      </c>
      <c r="F573" s="412" t="s">
        <v>209</v>
      </c>
      <c r="G573" s="386"/>
      <c r="H573" s="474" t="s">
        <v>37</v>
      </c>
      <c r="I573" s="418">
        <f ca="1">IFERROR(__xludf.DUMMYFUNCTION("IMPORTRANGE(""https://docs.google.com/spreadsheets/d/11923uPwbBZFjjGgGUA6NLw09EwE0CqkOc4q9oUmW1yo/edit?usp=sharing"",""แพร่!I468"")"),1200)</f>
        <v>1200</v>
      </c>
      <c r="J573" s="418">
        <f ca="1">IFERROR(__xludf.DUMMYFUNCTION("IMPORTRANGE(""https://docs.google.com/spreadsheets/d/11923uPwbBZFjjGgGUA6NLw09EwE0CqkOc4q9oUmW1yo/edit?usp=sharing"",""แพร่!J468"")"),1384)</f>
        <v>1384</v>
      </c>
      <c r="K573" s="201">
        <f ca="1">IF(I573&gt;0,J573*100/I573,0)</f>
        <v>115.33333333333333</v>
      </c>
      <c r="L573" s="181"/>
      <c r="M573" s="181"/>
      <c r="N573" s="181"/>
      <c r="O573" s="181"/>
      <c r="P573" s="181"/>
    </row>
    <row r="574" spans="1:16" ht="21.75" customHeight="1" x14ac:dyDescent="0.3">
      <c r="A574" s="175"/>
      <c r="B574" s="176"/>
      <c r="C574" s="176"/>
      <c r="D574" s="195"/>
      <c r="E574" s="195"/>
      <c r="F574" s="194" t="s">
        <v>210</v>
      </c>
      <c r="G574" s="196"/>
      <c r="H574" s="473"/>
      <c r="I574" s="162"/>
      <c r="J574" s="162"/>
      <c r="K574" s="163"/>
      <c r="L574" s="181"/>
      <c r="M574" s="181"/>
      <c r="N574" s="181"/>
      <c r="O574" s="181"/>
      <c r="P574" s="181"/>
    </row>
    <row r="575" spans="1:16" ht="21.75" customHeight="1" x14ac:dyDescent="0.3">
      <c r="A575" s="175"/>
      <c r="B575" s="176"/>
      <c r="C575" s="176"/>
      <c r="D575" s="195"/>
      <c r="E575" s="194" t="s">
        <v>40</v>
      </c>
      <c r="F575" s="194" t="s">
        <v>211</v>
      </c>
      <c r="G575" s="196"/>
      <c r="H575" s="473" t="s">
        <v>77</v>
      </c>
      <c r="I575" s="202">
        <f ca="1">IFERROR(__xludf.DUMMYFUNCTION("IMPORTRANGE(""https://docs.google.com/spreadsheets/d/11923uPwbBZFjjGgGUA6NLw09EwE0CqkOc4q9oUmW1yo/edit?usp=sharing"",""แพร่!I470"")"),0)</f>
        <v>0</v>
      </c>
      <c r="J575" s="197">
        <f ca="1">IFERROR(__xludf.DUMMYFUNCTION("IMPORTRANGE(""https://docs.google.com/spreadsheets/d/11923uPwbBZFjjGgGUA6NLw09EwE0CqkOc4q9oUmW1yo/edit?usp=sharing"",""แพร่!J470"")"),5)</f>
        <v>5</v>
      </c>
      <c r="K575" s="163">
        <f t="shared" ref="K575:K579" ca="1" si="123">IF(I575&gt;0,J575*100/I575,0)</f>
        <v>0</v>
      </c>
      <c r="L575" s="181"/>
      <c r="M575" s="181"/>
      <c r="N575" s="181"/>
      <c r="O575" s="181"/>
      <c r="P575" s="181"/>
    </row>
    <row r="576" spans="1:16" ht="21.75" customHeight="1" x14ac:dyDescent="0.3">
      <c r="A576" s="175"/>
      <c r="B576" s="176"/>
      <c r="C576" s="176"/>
      <c r="D576" s="195"/>
      <c r="E576" s="195"/>
      <c r="F576" s="194" t="s">
        <v>212</v>
      </c>
      <c r="G576" s="196"/>
      <c r="H576" s="473" t="s">
        <v>37</v>
      </c>
      <c r="I576" s="202">
        <f ca="1">IFERROR(__xludf.DUMMYFUNCTION("IMPORTRANGE(""https://docs.google.com/spreadsheets/d/11923uPwbBZFjjGgGUA6NLw09EwE0CqkOc4q9oUmW1yo/edit?usp=sharing"",""แพร่!I471"")"),0)</f>
        <v>0</v>
      </c>
      <c r="J576" s="197">
        <f ca="1">IFERROR(__xludf.DUMMYFUNCTION("IMPORTRANGE(""https://docs.google.com/spreadsheets/d/11923uPwbBZFjjGgGUA6NLw09EwE0CqkOc4q9oUmW1yo/edit?usp=sharing"",""แพร่!J471"")"),263)</f>
        <v>263</v>
      </c>
      <c r="K576" s="163">
        <f t="shared" ca="1" si="123"/>
        <v>0</v>
      </c>
      <c r="L576" s="181"/>
      <c r="M576" s="181"/>
      <c r="N576" s="181"/>
      <c r="O576" s="181"/>
      <c r="P576" s="181"/>
    </row>
    <row r="577" spans="1:16" ht="21.75" customHeight="1" x14ac:dyDescent="0.3">
      <c r="A577" s="175"/>
      <c r="B577" s="176"/>
      <c r="C577" s="176"/>
      <c r="D577" s="195"/>
      <c r="E577" s="195"/>
      <c r="F577" s="194" t="s">
        <v>213</v>
      </c>
      <c r="G577" s="196"/>
      <c r="H577" s="473" t="s">
        <v>37</v>
      </c>
      <c r="I577" s="202">
        <f ca="1">IFERROR(__xludf.DUMMYFUNCTION("IMPORTRANGE(""https://docs.google.com/spreadsheets/d/11923uPwbBZFjjGgGUA6NLw09EwE0CqkOc4q9oUmW1yo/edit?usp=sharing"",""แพร่!I472"")"),0)</f>
        <v>0</v>
      </c>
      <c r="J577" s="188">
        <f ca="1">IFERROR(__xludf.DUMMYFUNCTION("IMPORTRANGE(""https://docs.google.com/spreadsheets/d/11923uPwbBZFjjGgGUA6NLw09EwE0CqkOc4q9oUmW1yo/edit?usp=sharing"",""แพร่!J472"")"),1121)</f>
        <v>1121</v>
      </c>
      <c r="K577" s="163">
        <f t="shared" ca="1" si="123"/>
        <v>0</v>
      </c>
      <c r="L577" s="181"/>
      <c r="M577" s="181"/>
      <c r="N577" s="181"/>
      <c r="O577" s="181"/>
      <c r="P577" s="181"/>
    </row>
    <row r="578" spans="1:16" ht="21.75" customHeight="1" x14ac:dyDescent="0.3">
      <c r="A578" s="175"/>
      <c r="B578" s="176"/>
      <c r="C578" s="176"/>
      <c r="D578" s="195"/>
      <c r="E578" s="195"/>
      <c r="F578" s="194" t="s">
        <v>214</v>
      </c>
      <c r="G578" s="419"/>
      <c r="H578" s="473" t="s">
        <v>37</v>
      </c>
      <c r="I578" s="202">
        <f ca="1">IFERROR(__xludf.DUMMYFUNCTION("IMPORTRANGE(""https://docs.google.com/spreadsheets/d/11923uPwbBZFjjGgGUA6NLw09EwE0CqkOc4q9oUmW1yo/edit?usp=sharing"",""แพร่!I473"")"),0)</f>
        <v>0</v>
      </c>
      <c r="J578" s="197">
        <f ca="1">IFERROR(__xludf.DUMMYFUNCTION("IMPORTRANGE(""https://docs.google.com/spreadsheets/d/11923uPwbBZFjjGgGUA6NLw09EwE0CqkOc4q9oUmW1yo/edit?usp=sharing"",""แพร่!J473"")"),0)</f>
        <v>0</v>
      </c>
      <c r="K578" s="163">
        <f t="shared" ca="1" si="123"/>
        <v>0</v>
      </c>
      <c r="L578" s="181"/>
      <c r="M578" s="181"/>
      <c r="N578" s="181"/>
      <c r="O578" s="181"/>
      <c r="P578" s="181"/>
    </row>
    <row r="579" spans="1:16" ht="21.75" customHeight="1" x14ac:dyDescent="0.3">
      <c r="A579" s="175"/>
      <c r="B579" s="176"/>
      <c r="C579" s="176"/>
      <c r="D579" s="195"/>
      <c r="E579" s="195"/>
      <c r="F579" s="194" t="s">
        <v>215</v>
      </c>
      <c r="G579" s="419"/>
      <c r="H579" s="473" t="s">
        <v>37</v>
      </c>
      <c r="I579" s="202">
        <f ca="1">IFERROR(__xludf.DUMMYFUNCTION("IMPORTRANGE(""https://docs.google.com/spreadsheets/d/11923uPwbBZFjjGgGUA6NLw09EwE0CqkOc4q9oUmW1yo/edit?usp=sharing"",""แพร่!I474"")"),0)</f>
        <v>0</v>
      </c>
      <c r="J579" s="197">
        <f ca="1">IFERROR(__xludf.DUMMYFUNCTION("IMPORTRANGE(""https://docs.google.com/spreadsheets/d/11923uPwbBZFjjGgGUA6NLw09EwE0CqkOc4q9oUmW1yo/edit?usp=sharing"",""แพร่!J474"")"),0)</f>
        <v>0</v>
      </c>
      <c r="K579" s="163">
        <f t="shared" ca="1" si="123"/>
        <v>0</v>
      </c>
      <c r="L579" s="181"/>
      <c r="M579" s="181"/>
      <c r="N579" s="181"/>
      <c r="O579" s="181"/>
      <c r="P579" s="181"/>
    </row>
    <row r="580" spans="1:16" ht="21.75" customHeight="1" x14ac:dyDescent="0.3">
      <c r="A580" s="364"/>
      <c r="B580" s="365">
        <v>9</v>
      </c>
      <c r="C580" s="475" t="s">
        <v>216</v>
      </c>
      <c r="D580" s="366"/>
      <c r="E580" s="366"/>
      <c r="F580" s="366"/>
      <c r="G580" s="367"/>
      <c r="H580" s="368" t="s">
        <v>37</v>
      </c>
      <c r="I580" s="369">
        <f ca="1">IFERROR(__xludf.DUMMYFUNCTION("IMPORTRANGE(""https://docs.google.com/spreadsheets/d/11923uPwbBZFjjGgGUA6NLw09EwE0CqkOc4q9oUmW1yo/edit?usp=sharing"",""แพร่!I475"")"),0)</f>
        <v>0</v>
      </c>
      <c r="J580" s="369">
        <f ca="1">IFERROR(__xludf.DUMMYFUNCTION("IMPORTRANGE(""https://docs.google.com/spreadsheets/d/11923uPwbBZFjjGgGUA6NLw09EwE0CqkOc4q9oUmW1yo/edit?usp=sharing"",""แพร่!J475"")"),2)</f>
        <v>2</v>
      </c>
      <c r="K580" s="370">
        <f ca="1">IF(I580&gt;0,J580*100/I580,0)</f>
        <v>0</v>
      </c>
      <c r="L580" s="371">
        <f ca="1">IFERROR(__xludf.DUMMYFUNCTION("IMPORTRANGE(""https://docs.google.com/spreadsheets/d/11923uPwbBZFjjGgGUA6NLw09EwE0CqkOc4q9oUmW1yo/edit?usp=sharing"",""แพร่!L475"")"),0)</f>
        <v>0</v>
      </c>
      <c r="M580" s="371"/>
      <c r="N580" s="371">
        <f ca="1">IFERROR(__xludf.DUMMYFUNCTION("IMPORTRANGE(""https://docs.google.com/spreadsheets/d/11923uPwbBZFjjGgGUA6NLw09EwE0CqkOc4q9oUmW1yo/edit?usp=sharing"",""แพร่!M475"")"),0)</f>
        <v>0</v>
      </c>
      <c r="O580" s="371">
        <f t="shared" ref="O580:O584" ca="1" si="124">+IF(L580&gt;0,N580*100/L580,0)</f>
        <v>0</v>
      </c>
      <c r="P580" s="371"/>
    </row>
    <row r="581" spans="1:16" ht="21.75" customHeight="1" x14ac:dyDescent="0.3">
      <c r="A581" s="156"/>
      <c r="B581" s="157"/>
      <c r="C581" s="157" t="s">
        <v>16</v>
      </c>
      <c r="D581" s="158" t="s">
        <v>38</v>
      </c>
      <c r="E581" s="159"/>
      <c r="F581" s="159"/>
      <c r="G581" s="160" t="s">
        <v>39</v>
      </c>
      <c r="H581" s="161" t="s">
        <v>12</v>
      </c>
      <c r="I581" s="162" t="s">
        <v>40</v>
      </c>
      <c r="J581" s="162"/>
      <c r="K581" s="163"/>
      <c r="L581" s="164">
        <f ca="1">IFERROR(__xludf.DUMMYFUNCTION("IMPORTRANGE(""https://docs.google.com/spreadsheets/d/11923uPwbBZFjjGgGUA6NLw09EwE0CqkOc4q9oUmW1yo/edit?usp=sharing"",""แพร่!L476"")"),0)</f>
        <v>0</v>
      </c>
      <c r="M581" s="164"/>
      <c r="N581" s="168">
        <f ca="1">IFERROR(__xludf.DUMMYFUNCTION("IMPORTRANGE(""https://docs.google.com/spreadsheets/d/11923uPwbBZFjjGgGUA6NLw09EwE0CqkOc4q9oUmW1yo/edit?usp=sharing"",""แพร่!M476"")"),0)</f>
        <v>0</v>
      </c>
      <c r="O581" s="168">
        <f t="shared" ca="1" si="124"/>
        <v>0</v>
      </c>
      <c r="P581" s="168"/>
    </row>
    <row r="582" spans="1:16" ht="21.75" customHeight="1" x14ac:dyDescent="0.3">
      <c r="A582" s="156"/>
      <c r="B582" s="157"/>
      <c r="C582" s="157"/>
      <c r="D582" s="166"/>
      <c r="E582" s="159"/>
      <c r="F582" s="159" t="s">
        <v>40</v>
      </c>
      <c r="G582" s="160" t="s">
        <v>41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IFERROR(__xludf.DUMMYFUNCTION("IMPORTRANGE(""https://docs.google.com/spreadsheets/d/11923uPwbBZFjjGgGUA6NLw09EwE0CqkOc4q9oUmW1yo/edit?usp=sharing"",""แพร่!L477"")"),0)</f>
        <v>0</v>
      </c>
      <c r="M582" s="165"/>
      <c r="N582" s="168">
        <f ca="1">IFERROR(__xludf.DUMMYFUNCTION("IMPORTRANGE(""https://docs.google.com/spreadsheets/d/11923uPwbBZFjjGgGUA6NLw09EwE0CqkOc4q9oUmW1yo/edit?usp=sharing"",""แพร่!M477"")"),0)</f>
        <v>0</v>
      </c>
      <c r="O582" s="168">
        <f t="shared" ca="1" si="124"/>
        <v>0</v>
      </c>
      <c r="P582" s="168"/>
    </row>
    <row r="583" spans="1:16" ht="21.75" customHeight="1" x14ac:dyDescent="0.3">
      <c r="A583" s="156"/>
      <c r="B583" s="157"/>
      <c r="C583" s="157"/>
      <c r="D583" s="166"/>
      <c r="E583" s="159"/>
      <c r="F583" s="159"/>
      <c r="G583" s="372" t="s">
        <v>129</v>
      </c>
      <c r="H583" s="161" t="s">
        <v>12</v>
      </c>
      <c r="I583" s="162"/>
      <c r="J583" s="162"/>
      <c r="K583" s="163"/>
      <c r="L583" s="168">
        <f ca="1">IFERROR(__xludf.DUMMYFUNCTION("IMPORTRANGE(""https://docs.google.com/spreadsheets/d/11923uPwbBZFjjGgGUA6NLw09EwE0CqkOc4q9oUmW1yo/edit?usp=sharing"",""แพร่!L478"")"),0)</f>
        <v>0</v>
      </c>
      <c r="M583" s="168"/>
      <c r="N583" s="168">
        <f ca="1">IFERROR(__xludf.DUMMYFUNCTION("IMPORTRANGE(""https://docs.google.com/spreadsheets/d/11923uPwbBZFjjGgGUA6NLw09EwE0CqkOc4q9oUmW1yo/edit?usp=sharing"",""แพร่!M478"")"),0)</f>
        <v>0</v>
      </c>
      <c r="O583" s="168">
        <f t="shared" ca="1" si="124"/>
        <v>0</v>
      </c>
      <c r="P583" s="168"/>
    </row>
    <row r="584" spans="1:16" ht="21.75" customHeight="1" x14ac:dyDescent="0.3">
      <c r="A584" s="156"/>
      <c r="B584" s="157"/>
      <c r="C584" s="157"/>
      <c r="D584" s="166"/>
      <c r="E584" s="159"/>
      <c r="F584" s="159"/>
      <c r="G584" s="372" t="s">
        <v>130</v>
      </c>
      <c r="H584" s="161" t="s">
        <v>12</v>
      </c>
      <c r="I584" s="162"/>
      <c r="J584" s="162"/>
      <c r="K584" s="163"/>
      <c r="L584" s="168">
        <f ca="1">IFERROR(__xludf.DUMMYFUNCTION("IMPORTRANGE(""https://docs.google.com/spreadsheets/d/11923uPwbBZFjjGgGUA6NLw09EwE0CqkOc4q9oUmW1yo/edit?usp=sharing"",""แพร่!L479"")"),0)</f>
        <v>0</v>
      </c>
      <c r="M584" s="168"/>
      <c r="N584" s="168">
        <f ca="1">IFERROR(__xludf.DUMMYFUNCTION("IMPORTRANGE(""https://docs.google.com/spreadsheets/d/11923uPwbBZFjjGgGUA6NLw09EwE0CqkOc4q9oUmW1yo/edit?usp=sharing"",""แพร่!M479"")"),0)</f>
        <v>0</v>
      </c>
      <c r="O584" s="168">
        <f t="shared" ca="1" si="124"/>
        <v>0</v>
      </c>
      <c r="P584" s="168"/>
    </row>
    <row r="585" spans="1:16" ht="21.75" customHeight="1" x14ac:dyDescent="0.3">
      <c r="A585" s="373"/>
      <c r="B585" s="374"/>
      <c r="C585" s="157"/>
      <c r="D585" s="375"/>
      <c r="E585" s="159"/>
      <c r="F585" s="159"/>
      <c r="G585" s="376" t="s">
        <v>131</v>
      </c>
      <c r="H585" s="161" t="s">
        <v>12</v>
      </c>
      <c r="I585" s="187"/>
      <c r="J585" s="187"/>
      <c r="K585" s="223"/>
      <c r="L585" s="168"/>
      <c r="M585" s="168"/>
      <c r="N585" s="167">
        <f ca="1">IFERROR(__xludf.DUMMYFUNCTION("IMPORTRANGE(""https://docs.google.com/spreadsheets/d/11923uPwbBZFjjGgGUA6NLw09EwE0CqkOc4q9oUmW1yo/edit?usp=sharing"",""แพร่!M480"")"),0)</f>
        <v>0</v>
      </c>
      <c r="O585" s="168"/>
      <c r="P585" s="168"/>
    </row>
    <row r="586" spans="1:16" ht="21.75" customHeight="1" x14ac:dyDescent="0.3">
      <c r="A586" s="373"/>
      <c r="B586" s="374"/>
      <c r="C586" s="157"/>
      <c r="D586" s="375"/>
      <c r="E586" s="159"/>
      <c r="F586" s="159"/>
      <c r="G586" s="376" t="s">
        <v>132</v>
      </c>
      <c r="H586" s="161" t="s">
        <v>12</v>
      </c>
      <c r="I586" s="187"/>
      <c r="J586" s="187"/>
      <c r="K586" s="223"/>
      <c r="L586" s="168"/>
      <c r="M586" s="168"/>
      <c r="N586" s="167">
        <f ca="1">IFERROR(__xludf.DUMMYFUNCTION("IMPORTRANGE(""https://docs.google.com/spreadsheets/d/11923uPwbBZFjjGgGUA6NLw09EwE0CqkOc4q9oUmW1yo/edit?usp=sharing"",""แพร่!M481"")"),0)</f>
        <v>0</v>
      </c>
      <c r="O586" s="168"/>
      <c r="P586" s="168"/>
    </row>
    <row r="587" spans="1:16" ht="21.75" customHeight="1" x14ac:dyDescent="0.3">
      <c r="A587" s="373"/>
      <c r="B587" s="374"/>
      <c r="C587" s="157"/>
      <c r="D587" s="375"/>
      <c r="E587" s="159"/>
      <c r="F587" s="159"/>
      <c r="G587" s="376" t="s">
        <v>133</v>
      </c>
      <c r="H587" s="161" t="s">
        <v>12</v>
      </c>
      <c r="I587" s="187"/>
      <c r="J587" s="187"/>
      <c r="K587" s="223"/>
      <c r="L587" s="168"/>
      <c r="M587" s="168"/>
      <c r="N587" s="167">
        <f ca="1">IFERROR(__xludf.DUMMYFUNCTION("IMPORTRANGE(""https://docs.google.com/spreadsheets/d/11923uPwbBZFjjGgGUA6NLw09EwE0CqkOc4q9oUmW1yo/edit?usp=sharing"",""แพร่!M482"")"),0)</f>
        <v>0</v>
      </c>
      <c r="O587" s="168"/>
      <c r="P587" s="168"/>
    </row>
    <row r="588" spans="1:16" ht="21.75" customHeight="1" x14ac:dyDescent="0.3">
      <c r="A588" s="373"/>
      <c r="B588" s="374"/>
      <c r="C588" s="157"/>
      <c r="D588" s="375"/>
      <c r="E588" s="159"/>
      <c r="F588" s="159"/>
      <c r="G588" s="376" t="s">
        <v>134</v>
      </c>
      <c r="H588" s="161" t="s">
        <v>12</v>
      </c>
      <c r="I588" s="187"/>
      <c r="J588" s="187"/>
      <c r="K588" s="223"/>
      <c r="L588" s="168"/>
      <c r="M588" s="168"/>
      <c r="N588" s="167">
        <f ca="1">IFERROR(__xludf.DUMMYFUNCTION("IMPORTRANGE(""https://docs.google.com/spreadsheets/d/11923uPwbBZFjjGgGUA6NLw09EwE0CqkOc4q9oUmW1yo/edit?usp=sharing"",""แพร่!M483"")"),0)</f>
        <v>0</v>
      </c>
      <c r="O588" s="168"/>
      <c r="P588" s="168"/>
    </row>
    <row r="589" spans="1:16" ht="21.75" customHeight="1" x14ac:dyDescent="0.3">
      <c r="A589" s="476"/>
      <c r="B589" s="166"/>
      <c r="C589" s="157"/>
      <c r="D589" s="289"/>
      <c r="E589" s="194" t="s">
        <v>217</v>
      </c>
      <c r="F589" s="195"/>
      <c r="G589" s="196"/>
      <c r="H589" s="180" t="s">
        <v>36</v>
      </c>
      <c r="I589" s="339">
        <f ca="1">IFERROR(__xludf.DUMMYFUNCTION("IMPORTRANGE(""https://docs.google.com/spreadsheets/d/11923uPwbBZFjjGgGUA6NLw09EwE0CqkOc4q9oUmW1yo/edit?usp=sharing"",""แพร่!I484"")"),0)</f>
        <v>0</v>
      </c>
      <c r="J589" s="187">
        <f ca="1">IFERROR(__xludf.DUMMYFUNCTION("IMPORTRANGE(""https://docs.google.com/spreadsheets/d/11923uPwbBZFjjGgGUA6NLw09EwE0CqkOc4q9oUmW1yo/edit?usp=sharing"",""แพร่!J484"")"),2)</f>
        <v>2</v>
      </c>
      <c r="K589" s="163">
        <f t="shared" ref="K589:K596" ca="1" si="125">IF(I589&gt;0,J589*100/I589,0)</f>
        <v>0</v>
      </c>
      <c r="L589" s="181"/>
      <c r="M589" s="181"/>
      <c r="N589" s="168"/>
      <c r="O589" s="181"/>
      <c r="P589" s="181"/>
    </row>
    <row r="590" spans="1:16" ht="21.75" customHeight="1" x14ac:dyDescent="0.3">
      <c r="A590" s="476"/>
      <c r="B590" s="166"/>
      <c r="C590" s="157"/>
      <c r="D590" s="289"/>
      <c r="E590" s="195"/>
      <c r="F590" s="195"/>
      <c r="G590" s="196"/>
      <c r="H590" s="180" t="s">
        <v>122</v>
      </c>
      <c r="I590" s="343">
        <f ca="1">IFERROR(__xludf.DUMMYFUNCTION("IMPORTRANGE(""https://docs.google.com/spreadsheets/d/11923uPwbBZFjjGgGUA6NLw09EwE0CqkOc4q9oUmW1yo/edit?usp=sharing"",""แพร่!I485"")"),0)</f>
        <v>0</v>
      </c>
      <c r="J590" s="187">
        <f ca="1">IFERROR(__xludf.DUMMYFUNCTION("IMPORTRANGE(""https://docs.google.com/spreadsheets/d/11923uPwbBZFjjGgGUA6NLw09EwE0CqkOc4q9oUmW1yo/edit?usp=sharing"",""แพร่!J485"")"),1.65)</f>
        <v>1.65</v>
      </c>
      <c r="K590" s="477">
        <f t="shared" ca="1" si="125"/>
        <v>0</v>
      </c>
      <c r="L590" s="181"/>
      <c r="M590" s="181"/>
      <c r="N590" s="168"/>
      <c r="O590" s="181"/>
      <c r="P590" s="181"/>
    </row>
    <row r="591" spans="1:16" ht="21.75" customHeight="1" x14ac:dyDescent="0.3">
      <c r="A591" s="476"/>
      <c r="B591" s="166"/>
      <c r="C591" s="157"/>
      <c r="D591" s="289"/>
      <c r="E591" s="194" t="s">
        <v>123</v>
      </c>
      <c r="F591" s="195"/>
      <c r="G591" s="196"/>
      <c r="H591" s="180" t="s">
        <v>37</v>
      </c>
      <c r="I591" s="339">
        <f ca="1">IFERROR(__xludf.DUMMYFUNCTION("IMPORTRANGE(""https://docs.google.com/spreadsheets/d/11923uPwbBZFjjGgGUA6NLw09EwE0CqkOc4q9oUmW1yo/edit?usp=sharing"",""แพร่!I486"")"),0)</f>
        <v>0</v>
      </c>
      <c r="J591" s="187">
        <f ca="1">IFERROR(__xludf.DUMMYFUNCTION("IMPORTRANGE(""https://docs.google.com/spreadsheets/d/11923uPwbBZFjjGgGUA6NLw09EwE0CqkOc4q9oUmW1yo/edit?usp=sharing"",""แพร่!J486"")"),2)</f>
        <v>2</v>
      </c>
      <c r="K591" s="163">
        <f t="shared" ca="1" si="125"/>
        <v>0</v>
      </c>
      <c r="L591" s="181"/>
      <c r="M591" s="181"/>
      <c r="N591" s="181"/>
      <c r="O591" s="181"/>
      <c r="P591" s="181"/>
    </row>
    <row r="592" spans="1:16" ht="21.75" customHeight="1" x14ac:dyDescent="0.3">
      <c r="A592" s="476"/>
      <c r="B592" s="166"/>
      <c r="C592" s="157"/>
      <c r="D592" s="289"/>
      <c r="E592" s="195"/>
      <c r="F592" s="195"/>
      <c r="G592" s="196"/>
      <c r="H592" s="180" t="s">
        <v>122</v>
      </c>
      <c r="I592" s="343">
        <f ca="1">IFERROR(__xludf.DUMMYFUNCTION("IMPORTRANGE(""https://docs.google.com/spreadsheets/d/11923uPwbBZFjjGgGUA6NLw09EwE0CqkOc4q9oUmW1yo/edit?usp=sharing"",""แพร่!I487"")"),0)</f>
        <v>0</v>
      </c>
      <c r="J592" s="187">
        <f ca="1">IFERROR(__xludf.DUMMYFUNCTION("IMPORTRANGE(""https://docs.google.com/spreadsheets/d/11923uPwbBZFjjGgGUA6NLw09EwE0CqkOc4q9oUmW1yo/edit?usp=sharing"",""แพร่!J487"")"),1.65)</f>
        <v>1.65</v>
      </c>
      <c r="K592" s="340">
        <f t="shared" ca="1" si="125"/>
        <v>0</v>
      </c>
      <c r="L592" s="181"/>
      <c r="M592" s="181"/>
      <c r="N592" s="181"/>
      <c r="O592" s="181"/>
      <c r="P592" s="181"/>
    </row>
    <row r="593" spans="1:16" ht="21.75" customHeight="1" x14ac:dyDescent="0.3">
      <c r="A593" s="476"/>
      <c r="B593" s="166"/>
      <c r="C593" s="157"/>
      <c r="D593" s="289"/>
      <c r="E593" s="194" t="s">
        <v>124</v>
      </c>
      <c r="F593" s="195"/>
      <c r="G593" s="196"/>
      <c r="H593" s="180" t="s">
        <v>37</v>
      </c>
      <c r="I593" s="339">
        <f ca="1">IFERROR(__xludf.DUMMYFUNCTION("IMPORTRANGE(""https://docs.google.com/spreadsheets/d/11923uPwbBZFjjGgGUA6NLw09EwE0CqkOc4q9oUmW1yo/edit?usp=sharing"",""แพร่!I488"")"),0)</f>
        <v>0</v>
      </c>
      <c r="J593" s="187">
        <f ca="1">IFERROR(__xludf.DUMMYFUNCTION("IMPORTRANGE(""https://docs.google.com/spreadsheets/d/11923uPwbBZFjjGgGUA6NLw09EwE0CqkOc4q9oUmW1yo/edit?usp=sharing"",""แพร่!J488"")"),0)</f>
        <v>0</v>
      </c>
      <c r="K593" s="163">
        <f t="shared" ca="1" si="125"/>
        <v>0</v>
      </c>
      <c r="L593" s="181"/>
      <c r="M593" s="181"/>
      <c r="N593" s="181"/>
      <c r="O593" s="181"/>
      <c r="P593" s="181"/>
    </row>
    <row r="594" spans="1:16" ht="21.75" customHeight="1" x14ac:dyDescent="0.3">
      <c r="A594" s="476"/>
      <c r="B594" s="166"/>
      <c r="C594" s="157"/>
      <c r="D594" s="289"/>
      <c r="E594" s="195"/>
      <c r="F594" s="195"/>
      <c r="G594" s="196"/>
      <c r="H594" s="180" t="s">
        <v>122</v>
      </c>
      <c r="I594" s="343">
        <f ca="1">IFERROR(__xludf.DUMMYFUNCTION("IMPORTRANGE(""https://docs.google.com/spreadsheets/d/11923uPwbBZFjjGgGUA6NLw09EwE0CqkOc4q9oUmW1yo/edit?usp=sharing"",""แพร่!I489"")"),0)</f>
        <v>0</v>
      </c>
      <c r="J594" s="187">
        <f ca="1">IFERROR(__xludf.DUMMYFUNCTION("IMPORTRANGE(""https://docs.google.com/spreadsheets/d/11923uPwbBZFjjGgGUA6NLw09EwE0CqkOc4q9oUmW1yo/edit?usp=sharing"",""แพร่!J489"")"),0)</f>
        <v>0</v>
      </c>
      <c r="K594" s="340">
        <f t="shared" ca="1" si="125"/>
        <v>0</v>
      </c>
      <c r="L594" s="181"/>
      <c r="M594" s="181"/>
      <c r="N594" s="181"/>
      <c r="O594" s="181"/>
      <c r="P594" s="181"/>
    </row>
    <row r="595" spans="1:16" ht="21.75" customHeight="1" x14ac:dyDescent="0.3">
      <c r="A595" s="476"/>
      <c r="B595" s="166"/>
      <c r="C595" s="157"/>
      <c r="D595" s="289"/>
      <c r="E595" s="194" t="s">
        <v>125</v>
      </c>
      <c r="F595" s="195"/>
      <c r="G595" s="196"/>
      <c r="H595" s="180" t="s">
        <v>37</v>
      </c>
      <c r="I595" s="339">
        <f ca="1">IFERROR(__xludf.DUMMYFUNCTION("IMPORTRANGE(""https://docs.google.com/spreadsheets/d/11923uPwbBZFjjGgGUA6NLw09EwE0CqkOc4q9oUmW1yo/edit?usp=sharing"",""แพร่!I490"")"),0)</f>
        <v>0</v>
      </c>
      <c r="J595" s="187">
        <f ca="1">IFERROR(__xludf.DUMMYFUNCTION("IMPORTRANGE(""https://docs.google.com/spreadsheets/d/11923uPwbBZFjjGgGUA6NLw09EwE0CqkOc4q9oUmW1yo/edit?usp=sharing"",""แพร่!J490"")"),2)</f>
        <v>2</v>
      </c>
      <c r="K595" s="163">
        <f t="shared" ca="1" si="125"/>
        <v>0</v>
      </c>
      <c r="L595" s="181"/>
      <c r="M595" s="181"/>
      <c r="N595" s="181"/>
      <c r="O595" s="181"/>
      <c r="P595" s="181"/>
    </row>
    <row r="596" spans="1:16" ht="21.75" customHeight="1" x14ac:dyDescent="0.3">
      <c r="A596" s="478"/>
      <c r="B596" s="479"/>
      <c r="C596" s="480"/>
      <c r="D596" s="481"/>
      <c r="E596" s="460"/>
      <c r="F596" s="460"/>
      <c r="G596" s="461"/>
      <c r="H596" s="482" t="s">
        <v>122</v>
      </c>
      <c r="I596" s="483">
        <f ca="1">IFERROR(__xludf.DUMMYFUNCTION("IMPORTRANGE(""https://docs.google.com/spreadsheets/d/11923uPwbBZFjjGgGUA6NLw09EwE0CqkOc4q9oUmW1yo/edit?usp=sharing"",""แพร่!I491"")"),0)</f>
        <v>0</v>
      </c>
      <c r="J596" s="240">
        <f ca="1">IFERROR(__xludf.DUMMYFUNCTION("IMPORTRANGE(""https://docs.google.com/spreadsheets/d/11923uPwbBZFjjGgGUA6NLw09EwE0CqkOc4q9oUmW1yo/edit?usp=sharing"",""แพร่!J491"")"),1.65)</f>
        <v>1.65</v>
      </c>
      <c r="K596" s="484">
        <f t="shared" ca="1" si="125"/>
        <v>0</v>
      </c>
      <c r="L596" s="466"/>
      <c r="M596" s="466"/>
      <c r="N596" s="466"/>
      <c r="O596" s="466"/>
      <c r="P596" s="466"/>
    </row>
    <row r="597" spans="1:16" ht="21.75" customHeight="1" x14ac:dyDescent="0.3">
      <c r="A597" s="403"/>
      <c r="B597" s="404">
        <v>10</v>
      </c>
      <c r="C597" s="405" t="s">
        <v>218</v>
      </c>
      <c r="D597" s="405"/>
      <c r="E597" s="405"/>
      <c r="F597" s="405"/>
      <c r="G597" s="406"/>
      <c r="H597" s="407" t="s">
        <v>122</v>
      </c>
      <c r="I597" s="408">
        <f ca="1">IFERROR(__xludf.DUMMYFUNCTION("IMPORTRANGE(""https://docs.google.com/spreadsheets/d/11923uPwbBZFjjGgGUA6NLw09EwE0CqkOc4q9oUmW1yo/edit?usp=sharing"",""แพร่!I492"")"),50)</f>
        <v>50</v>
      </c>
      <c r="J597" s="485">
        <f ca="1">IFERROR(__xludf.DUMMYFUNCTION("IMPORTRANGE(""https://docs.google.com/spreadsheets/d/11923uPwbBZFjjGgGUA6NLw09EwE0CqkOc4q9oUmW1yo/edit?usp=sharing"",""แพร่!J492"")"),0)</f>
        <v>0</v>
      </c>
      <c r="K597" s="409">
        <f ca="1">IF(I597&gt;0,J597*100/I597,0)</f>
        <v>0</v>
      </c>
      <c r="L597" s="410">
        <f ca="1">IFERROR(__xludf.DUMMYFUNCTION("IMPORTRANGE(""https://docs.google.com/spreadsheets/d/11923uPwbBZFjjGgGUA6NLw09EwE0CqkOc4q9oUmW1yo/edit?usp=sharing"",""แพร่!L492"")"),4550)</f>
        <v>4550</v>
      </c>
      <c r="M597" s="410"/>
      <c r="N597" s="410">
        <f ca="1">IFERROR(__xludf.DUMMYFUNCTION("IMPORTRANGE(""https://docs.google.com/spreadsheets/d/11923uPwbBZFjjGgGUA6NLw09EwE0CqkOc4q9oUmW1yo/edit?usp=sharing"",""แพร่!M492"")"),432)</f>
        <v>432</v>
      </c>
      <c r="O597" s="410">
        <f t="shared" ref="O597:O601" ca="1" si="126">+IF(L597&gt;0,N597*100/L597,0)</f>
        <v>9.4945054945054945</v>
      </c>
      <c r="P597" s="410"/>
    </row>
    <row r="598" spans="1:16" ht="21.75" customHeight="1" x14ac:dyDescent="0.3">
      <c r="A598" s="156"/>
      <c r="B598" s="157"/>
      <c r="C598" s="157" t="s">
        <v>16</v>
      </c>
      <c r="D598" s="158" t="s">
        <v>38</v>
      </c>
      <c r="E598" s="159"/>
      <c r="F598" s="159"/>
      <c r="G598" s="160" t="s">
        <v>39</v>
      </c>
      <c r="H598" s="161" t="s">
        <v>12</v>
      </c>
      <c r="I598" s="162" t="s">
        <v>40</v>
      </c>
      <c r="J598" s="162"/>
      <c r="K598" s="163"/>
      <c r="L598" s="164">
        <f ca="1">IFERROR(__xludf.DUMMYFUNCTION("IMPORTRANGE(""https://docs.google.com/spreadsheets/d/11923uPwbBZFjjGgGUA6NLw09EwE0CqkOc4q9oUmW1yo/edit?usp=sharing"",""แพร่!L493"")"),0)</f>
        <v>0</v>
      </c>
      <c r="M598" s="164"/>
      <c r="N598" s="168">
        <f ca="1">IFERROR(__xludf.DUMMYFUNCTION("IMPORTRANGE(""https://docs.google.com/spreadsheets/d/11923uPwbBZFjjGgGUA6NLw09EwE0CqkOc4q9oUmW1yo/edit?usp=sharing"",""แพร่!M493"")"),0)</f>
        <v>0</v>
      </c>
      <c r="O598" s="168">
        <f t="shared" ca="1" si="126"/>
        <v>0</v>
      </c>
      <c r="P598" s="168"/>
    </row>
    <row r="599" spans="1:16" ht="21.75" customHeight="1" x14ac:dyDescent="0.3">
      <c r="A599" s="156"/>
      <c r="B599" s="157"/>
      <c r="C599" s="157"/>
      <c r="D599" s="166"/>
      <c r="E599" s="159"/>
      <c r="F599" s="159" t="s">
        <v>40</v>
      </c>
      <c r="G599" s="160" t="s">
        <v>41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IFERROR(__xludf.DUMMYFUNCTION("IMPORTRANGE(""https://docs.google.com/spreadsheets/d/11923uPwbBZFjjGgGUA6NLw09EwE0CqkOc4q9oUmW1yo/edit?usp=sharing"",""แพร่!L494"")"),4550)</f>
        <v>4550</v>
      </c>
      <c r="M599" s="165"/>
      <c r="N599" s="168">
        <f ca="1">IFERROR(__xludf.DUMMYFUNCTION("IMPORTRANGE(""https://docs.google.com/spreadsheets/d/11923uPwbBZFjjGgGUA6NLw09EwE0CqkOc4q9oUmW1yo/edit?usp=sharing"",""แพร่!M494"")"),432)</f>
        <v>432</v>
      </c>
      <c r="O599" s="168">
        <f t="shared" ca="1" si="126"/>
        <v>9.4945054945054945</v>
      </c>
      <c r="P599" s="168"/>
    </row>
    <row r="600" spans="1:16" ht="21.75" customHeight="1" x14ac:dyDescent="0.3">
      <c r="A600" s="156"/>
      <c r="B600" s="157"/>
      <c r="C600" s="157"/>
      <c r="D600" s="166"/>
      <c r="E600" s="159"/>
      <c r="F600" s="159"/>
      <c r="G600" s="372" t="s">
        <v>129</v>
      </c>
      <c r="H600" s="161" t="s">
        <v>12</v>
      </c>
      <c r="I600" s="162"/>
      <c r="J600" s="162"/>
      <c r="K600" s="163"/>
      <c r="L600" s="168">
        <f ca="1">IFERROR(__xludf.DUMMYFUNCTION("IMPORTRANGE(""https://docs.google.com/spreadsheets/d/11923uPwbBZFjjGgGUA6NLw09EwE0CqkOc4q9oUmW1yo/edit?usp=sharing"",""แพร่!L495"")"),0)</f>
        <v>0</v>
      </c>
      <c r="M600" s="168"/>
      <c r="N600" s="168">
        <f ca="1">IFERROR(__xludf.DUMMYFUNCTION("IMPORTRANGE(""https://docs.google.com/spreadsheets/d/11923uPwbBZFjjGgGUA6NLw09EwE0CqkOc4q9oUmW1yo/edit?usp=sharing"",""แพร่!M495"")"),0)</f>
        <v>0</v>
      </c>
      <c r="O600" s="168">
        <f t="shared" ca="1" si="126"/>
        <v>0</v>
      </c>
      <c r="P600" s="168"/>
    </row>
    <row r="601" spans="1:16" ht="21.75" customHeight="1" x14ac:dyDescent="0.3">
      <c r="A601" s="156"/>
      <c r="B601" s="157"/>
      <c r="C601" s="157"/>
      <c r="D601" s="166"/>
      <c r="E601" s="159"/>
      <c r="F601" s="159"/>
      <c r="G601" s="372" t="s">
        <v>130</v>
      </c>
      <c r="H601" s="161" t="s">
        <v>12</v>
      </c>
      <c r="I601" s="162"/>
      <c r="J601" s="162"/>
      <c r="K601" s="163"/>
      <c r="L601" s="168">
        <f ca="1">IFERROR(__xludf.DUMMYFUNCTION("IMPORTRANGE(""https://docs.google.com/spreadsheets/d/11923uPwbBZFjjGgGUA6NLw09EwE0CqkOc4q9oUmW1yo/edit?usp=sharing"",""แพร่!L496"")"),4550)</f>
        <v>4550</v>
      </c>
      <c r="M601" s="168"/>
      <c r="N601" s="168">
        <f ca="1">IFERROR(__xludf.DUMMYFUNCTION("IMPORTRANGE(""https://docs.google.com/spreadsheets/d/11923uPwbBZFjjGgGUA6NLw09EwE0CqkOc4q9oUmW1yo/edit?usp=sharing"",""แพร่!M496"")"),432)</f>
        <v>432</v>
      </c>
      <c r="O601" s="168">
        <f t="shared" ca="1" si="126"/>
        <v>9.4945054945054945</v>
      </c>
      <c r="P601" s="168"/>
    </row>
    <row r="602" spans="1:16" ht="21.75" customHeight="1" x14ac:dyDescent="0.3">
      <c r="A602" s="373"/>
      <c r="B602" s="374"/>
      <c r="C602" s="157"/>
      <c r="D602" s="375"/>
      <c r="E602" s="159"/>
      <c r="F602" s="159"/>
      <c r="G602" s="376" t="s">
        <v>131</v>
      </c>
      <c r="H602" s="161" t="s">
        <v>12</v>
      </c>
      <c r="I602" s="187"/>
      <c r="J602" s="187"/>
      <c r="K602" s="223"/>
      <c r="L602" s="168"/>
      <c r="M602" s="168"/>
      <c r="N602" s="167">
        <f ca="1">IFERROR(__xludf.DUMMYFUNCTION("IMPORTRANGE(""https://docs.google.com/spreadsheets/d/11923uPwbBZFjjGgGUA6NLw09EwE0CqkOc4q9oUmW1yo/edit?usp=sharing"",""แพร่!M497"")"),0)</f>
        <v>0</v>
      </c>
      <c r="O602" s="168"/>
      <c r="P602" s="168"/>
    </row>
    <row r="603" spans="1:16" ht="21.75" customHeight="1" x14ac:dyDescent="0.3">
      <c r="A603" s="373"/>
      <c r="B603" s="374"/>
      <c r="C603" s="157"/>
      <c r="D603" s="375"/>
      <c r="E603" s="159"/>
      <c r="F603" s="159"/>
      <c r="G603" s="376" t="s">
        <v>132</v>
      </c>
      <c r="H603" s="161" t="s">
        <v>12</v>
      </c>
      <c r="I603" s="187"/>
      <c r="J603" s="187"/>
      <c r="K603" s="223"/>
      <c r="L603" s="168"/>
      <c r="M603" s="168"/>
      <c r="N603" s="167">
        <f ca="1">IFERROR(__xludf.DUMMYFUNCTION("IMPORTRANGE(""https://docs.google.com/spreadsheets/d/11923uPwbBZFjjGgGUA6NLw09EwE0CqkOc4q9oUmW1yo/edit?usp=sharing"",""แพร่!M498"")"),0)</f>
        <v>0</v>
      </c>
      <c r="O603" s="168"/>
      <c r="P603" s="168"/>
    </row>
    <row r="604" spans="1:16" ht="21.75" customHeight="1" x14ac:dyDescent="0.3">
      <c r="A604" s="373"/>
      <c r="B604" s="374"/>
      <c r="C604" s="157"/>
      <c r="D604" s="375"/>
      <c r="E604" s="159"/>
      <c r="F604" s="159"/>
      <c r="G604" s="376" t="s">
        <v>133</v>
      </c>
      <c r="H604" s="161" t="s">
        <v>12</v>
      </c>
      <c r="I604" s="187"/>
      <c r="J604" s="187"/>
      <c r="K604" s="223"/>
      <c r="L604" s="168"/>
      <c r="M604" s="168"/>
      <c r="N604" s="377">
        <f ca="1">IFERROR(__xludf.DUMMYFUNCTION("IMPORTRANGE(""https://docs.google.com/spreadsheets/d/11923uPwbBZFjjGgGUA6NLw09EwE0CqkOc4q9oUmW1yo/edit?usp=sharing"",""แพร่!M499"")"),0)</f>
        <v>0</v>
      </c>
      <c r="O604" s="168"/>
      <c r="P604" s="168"/>
    </row>
    <row r="605" spans="1:16" ht="21.75" customHeight="1" x14ac:dyDescent="0.3">
      <c r="A605" s="373"/>
      <c r="B605" s="374"/>
      <c r="C605" s="157"/>
      <c r="D605" s="375"/>
      <c r="E605" s="159"/>
      <c r="F605" s="159"/>
      <c r="G605" s="376" t="s">
        <v>134</v>
      </c>
      <c r="H605" s="161" t="s">
        <v>12</v>
      </c>
      <c r="I605" s="187"/>
      <c r="J605" s="187"/>
      <c r="K605" s="223"/>
      <c r="L605" s="168"/>
      <c r="M605" s="168"/>
      <c r="N605" s="377">
        <f ca="1">IFERROR(__xludf.DUMMYFUNCTION("IMPORTRANGE(""https://docs.google.com/spreadsheets/d/11923uPwbBZFjjGgGUA6NLw09EwE0CqkOc4q9oUmW1yo/edit?usp=sharing"",""แพร่!M500"")"),432)</f>
        <v>432</v>
      </c>
      <c r="O605" s="168"/>
      <c r="P605" s="168"/>
    </row>
    <row r="606" spans="1:16" ht="21.75" customHeight="1" x14ac:dyDescent="0.3">
      <c r="A606" s="175"/>
      <c r="B606" s="176"/>
      <c r="C606" s="157" t="s">
        <v>16</v>
      </c>
      <c r="D606" s="177" t="s">
        <v>44</v>
      </c>
      <c r="E606" s="178"/>
      <c r="F606" s="178"/>
      <c r="G606" s="179"/>
      <c r="H606" s="180"/>
      <c r="I606" s="162"/>
      <c r="J606" s="162"/>
      <c r="K606" s="163"/>
      <c r="L606" s="181"/>
      <c r="M606" s="181"/>
      <c r="N606" s="181"/>
      <c r="O606" s="181"/>
      <c r="P606" s="181"/>
    </row>
    <row r="607" spans="1:16" ht="21.75" customHeight="1" x14ac:dyDescent="0.3">
      <c r="A607" s="175"/>
      <c r="B607" s="176"/>
      <c r="C607" s="176"/>
      <c r="D607" s="182">
        <v>1</v>
      </c>
      <c r="E607" s="183" t="s">
        <v>45</v>
      </c>
      <c r="F607" s="184"/>
      <c r="G607" s="185"/>
      <c r="H607" s="186"/>
      <c r="I607" s="187"/>
      <c r="J607" s="197">
        <f ca="1">IFERROR(__xludf.DUMMYFUNCTION("IMPORTRANGE(""https://docs.google.com/spreadsheets/d/11923uPwbBZFjjGgGUA6NLw09EwE0CqkOc4q9oUmW1yo/edit?usp=sharing"",""แพร่!J502"")"),0)</f>
        <v>0</v>
      </c>
      <c r="K607" s="163"/>
      <c r="L607" s="181"/>
      <c r="M607" s="181"/>
      <c r="N607" s="181"/>
      <c r="O607" s="181"/>
      <c r="P607" s="181"/>
    </row>
    <row r="608" spans="1:16" ht="21.75" customHeight="1" x14ac:dyDescent="0.3">
      <c r="A608" s="175"/>
      <c r="B608" s="176"/>
      <c r="C608" s="176"/>
      <c r="D608" s="189">
        <v>2</v>
      </c>
      <c r="E608" s="190" t="s">
        <v>46</v>
      </c>
      <c r="F608" s="191"/>
      <c r="G608" s="192"/>
      <c r="H608" s="186"/>
      <c r="I608" s="187"/>
      <c r="J608" s="197">
        <f ca="1">IFERROR(__xludf.DUMMYFUNCTION("IMPORTRANGE(""https://docs.google.com/spreadsheets/d/11923uPwbBZFjjGgGUA6NLw09EwE0CqkOc4q9oUmW1yo/edit?usp=sharing"",""แพร่!J503"")"),1)</f>
        <v>1</v>
      </c>
      <c r="K608" s="163"/>
      <c r="L608" s="181" t="s">
        <v>40</v>
      </c>
      <c r="M608" s="181"/>
      <c r="N608" s="181" t="s">
        <v>40</v>
      </c>
      <c r="O608" s="181"/>
      <c r="P608" s="181"/>
    </row>
    <row r="609" spans="1:16" ht="21.75" hidden="1" customHeight="1" x14ac:dyDescent="0.3">
      <c r="A609" s="373"/>
      <c r="B609" s="374"/>
      <c r="C609" s="374"/>
      <c r="D609" s="486"/>
      <c r="E609" s="487" t="s">
        <v>47</v>
      </c>
      <c r="F609" s="488"/>
      <c r="G609" s="379"/>
      <c r="H609" s="186"/>
      <c r="I609" s="187"/>
      <c r="J609" s="187">
        <f ca="1">IFERROR(__xludf.DUMMYFUNCTION("IMPORTRANGE(""https://docs.google.com/spreadsheets/d/11923uPwbBZFjjGgGUA6NLw09EwE0CqkOc4q9oUmW1yo/edit?usp=sharing"",""แพร่!J166"")"),0)</f>
        <v>0</v>
      </c>
      <c r="K609" s="223"/>
      <c r="L609" s="168"/>
      <c r="M609" s="168"/>
      <c r="N609" s="168"/>
      <c r="O609" s="168"/>
      <c r="P609" s="168"/>
    </row>
    <row r="610" spans="1:16" ht="21.75" hidden="1" customHeight="1" x14ac:dyDescent="0.3">
      <c r="A610" s="373"/>
      <c r="B610" s="374"/>
      <c r="C610" s="374"/>
      <c r="D610" s="486"/>
      <c r="E610" s="487" t="s">
        <v>48</v>
      </c>
      <c r="F610" s="488"/>
      <c r="G610" s="379"/>
      <c r="H610" s="186"/>
      <c r="I610" s="187"/>
      <c r="J610" s="187">
        <f ca="1">IFERROR(__xludf.DUMMYFUNCTION("IMPORTRANGE(""https://docs.google.com/spreadsheets/d/11923uPwbBZFjjGgGUA6NLw09EwE0CqkOc4q9oUmW1yo/edit?usp=sharing"",""แพร่!J166"")"),0)</f>
        <v>0</v>
      </c>
      <c r="K610" s="223"/>
      <c r="L610" s="168"/>
      <c r="M610" s="168"/>
      <c r="N610" s="168"/>
      <c r="O610" s="168"/>
      <c r="P610" s="168"/>
    </row>
    <row r="611" spans="1:16" ht="21.75" customHeight="1" x14ac:dyDescent="0.3">
      <c r="A611" s="175"/>
      <c r="B611" s="176"/>
      <c r="C611" s="176"/>
      <c r="D611" s="193"/>
      <c r="E611" s="195"/>
      <c r="F611" s="195" t="s">
        <v>219</v>
      </c>
      <c r="G611" s="196"/>
      <c r="H611" s="180" t="s">
        <v>122</v>
      </c>
      <c r="I611" s="187">
        <f ca="1">IFERROR(__xludf.DUMMYFUNCTION("IMPORTRANGE(""https://docs.google.com/spreadsheets/d/11923uPwbBZFjjGgGUA6NLw09EwE0CqkOc4q9oUmW1yo/edit?usp=sharing"",""แพร่!I506"")"),50)</f>
        <v>50</v>
      </c>
      <c r="J611" s="162">
        <f ca="1">IFERROR(__xludf.DUMMYFUNCTION("IMPORTRANGE(""https://docs.google.com/spreadsheets/d/11923uPwbBZFjjGgGUA6NLw09EwE0CqkOc4q9oUmW1yo/edit?usp=sharing"",""แพร่!J506"")"),0)</f>
        <v>0</v>
      </c>
      <c r="K611" s="163">
        <f t="shared" ref="K611:K619" ca="1" si="127">IF(I$611&gt;0,J611*100/I$611,0)</f>
        <v>0</v>
      </c>
      <c r="L611" s="181"/>
      <c r="M611" s="181"/>
      <c r="N611" s="181"/>
      <c r="O611" s="181"/>
      <c r="P611" s="181"/>
    </row>
    <row r="612" spans="1:16" ht="21.75" customHeight="1" x14ac:dyDescent="0.3">
      <c r="A612" s="175"/>
      <c r="B612" s="176"/>
      <c r="C612" s="176"/>
      <c r="D612" s="193"/>
      <c r="E612" s="198"/>
      <c r="F612" s="195"/>
      <c r="G612" s="225" t="s">
        <v>220</v>
      </c>
      <c r="H612" s="180" t="s">
        <v>122</v>
      </c>
      <c r="I612" s="203">
        <f ca="1">IFERROR(__xludf.DUMMYFUNCTION("IMPORTRANGE(""https://docs.google.com/spreadsheets/d/11923uPwbBZFjjGgGUA6NLw09EwE0CqkOc4q9oUmW1yo/edit?usp=sharing"",""แพร่!I507"")"),0)</f>
        <v>0</v>
      </c>
      <c r="J612" s="197">
        <f ca="1">IFERROR(__xludf.DUMMYFUNCTION("IMPORTRANGE(""https://docs.google.com/spreadsheets/d/11923uPwbBZFjjGgGUA6NLw09EwE0CqkOc4q9oUmW1yo/edit?usp=sharing"",""แพร่!J507"")"),0)</f>
        <v>0</v>
      </c>
      <c r="K612" s="163">
        <f t="shared" ca="1" si="127"/>
        <v>0</v>
      </c>
      <c r="L612" s="181"/>
      <c r="M612" s="181"/>
      <c r="N612" s="181"/>
      <c r="O612" s="181"/>
      <c r="P612" s="181"/>
    </row>
    <row r="613" spans="1:16" ht="21.75" customHeight="1" x14ac:dyDescent="0.3">
      <c r="A613" s="175"/>
      <c r="B613" s="176"/>
      <c r="C613" s="176"/>
      <c r="D613" s="193"/>
      <c r="E613" s="198"/>
      <c r="F613" s="195"/>
      <c r="G613" s="225" t="s">
        <v>221</v>
      </c>
      <c r="H613" s="180" t="s">
        <v>122</v>
      </c>
      <c r="I613" s="203">
        <f ca="1">IFERROR(__xludf.DUMMYFUNCTION("IMPORTRANGE(""https://docs.google.com/spreadsheets/d/11923uPwbBZFjjGgGUA6NLw09EwE0CqkOc4q9oUmW1yo/edit?usp=sharing"",""แพร่!I508"")"),0)</f>
        <v>0</v>
      </c>
      <c r="J613" s="197">
        <f ca="1">IFERROR(__xludf.DUMMYFUNCTION("IMPORTRANGE(""https://docs.google.com/spreadsheets/d/11923uPwbBZFjjGgGUA6NLw09EwE0CqkOc4q9oUmW1yo/edit?usp=sharing"",""แพร่!J508"")"),0)</f>
        <v>0</v>
      </c>
      <c r="K613" s="163">
        <f t="shared" ca="1" si="127"/>
        <v>0</v>
      </c>
      <c r="L613" s="181"/>
      <c r="M613" s="181"/>
      <c r="N613" s="181"/>
      <c r="O613" s="181"/>
      <c r="P613" s="181"/>
    </row>
    <row r="614" spans="1:16" ht="21.75" customHeight="1" x14ac:dyDescent="0.3">
      <c r="A614" s="175"/>
      <c r="B614" s="176"/>
      <c r="C614" s="176"/>
      <c r="D614" s="193"/>
      <c r="E614" s="198"/>
      <c r="F614" s="195"/>
      <c r="G614" s="225" t="s">
        <v>222</v>
      </c>
      <c r="H614" s="180" t="s">
        <v>122</v>
      </c>
      <c r="I614" s="203">
        <f ca="1">IFERROR(__xludf.DUMMYFUNCTION("IMPORTRANGE(""https://docs.google.com/spreadsheets/d/11923uPwbBZFjjGgGUA6NLw09EwE0CqkOc4q9oUmW1yo/edit?usp=sharing"",""แพร่!I509"")"),0)</f>
        <v>0</v>
      </c>
      <c r="J614" s="197">
        <f ca="1">IFERROR(__xludf.DUMMYFUNCTION("IMPORTRANGE(""https://docs.google.com/spreadsheets/d/11923uPwbBZFjjGgGUA6NLw09EwE0CqkOc4q9oUmW1yo/edit?usp=sharing"",""แพร่!J509"")"),0)</f>
        <v>0</v>
      </c>
      <c r="K614" s="163">
        <f t="shared" ca="1" si="127"/>
        <v>0</v>
      </c>
      <c r="L614" s="181"/>
      <c r="M614" s="181"/>
      <c r="N614" s="181"/>
      <c r="O614" s="181"/>
      <c r="P614" s="181"/>
    </row>
    <row r="615" spans="1:16" ht="21.75" customHeight="1" x14ac:dyDescent="0.3">
      <c r="A615" s="175"/>
      <c r="B615" s="176"/>
      <c r="C615" s="176"/>
      <c r="D615" s="193"/>
      <c r="E615" s="198"/>
      <c r="F615" s="195"/>
      <c r="G615" s="225" t="s">
        <v>223</v>
      </c>
      <c r="H615" s="180" t="s">
        <v>122</v>
      </c>
      <c r="I615" s="203">
        <f ca="1">IFERROR(__xludf.DUMMYFUNCTION("IMPORTRANGE(""https://docs.google.com/spreadsheets/d/11923uPwbBZFjjGgGUA6NLw09EwE0CqkOc4q9oUmW1yo/edit?usp=sharing"",""แพร่!I510"")"),0)</f>
        <v>0</v>
      </c>
      <c r="J615" s="197">
        <f ca="1">IFERROR(__xludf.DUMMYFUNCTION("IMPORTRANGE(""https://docs.google.com/spreadsheets/d/11923uPwbBZFjjGgGUA6NLw09EwE0CqkOc4q9oUmW1yo/edit?usp=sharing"",""แพร่!J510"")"),0)</f>
        <v>0</v>
      </c>
      <c r="K615" s="163">
        <f t="shared" ca="1" si="127"/>
        <v>0</v>
      </c>
      <c r="L615" s="181"/>
      <c r="M615" s="181"/>
      <c r="N615" s="181"/>
      <c r="O615" s="181"/>
      <c r="P615" s="181"/>
    </row>
    <row r="616" spans="1:16" ht="21.75" customHeight="1" x14ac:dyDescent="0.3">
      <c r="A616" s="175"/>
      <c r="B616" s="176"/>
      <c r="C616" s="176"/>
      <c r="D616" s="193"/>
      <c r="E616" s="198"/>
      <c r="F616" s="195"/>
      <c r="G616" s="194" t="s">
        <v>224</v>
      </c>
      <c r="H616" s="180" t="s">
        <v>122</v>
      </c>
      <c r="I616" s="203">
        <f ca="1">IFERROR(__xludf.DUMMYFUNCTION("IMPORTRANGE(""https://docs.google.com/spreadsheets/d/11923uPwbBZFjjGgGUA6NLw09EwE0CqkOc4q9oUmW1yo/edit?usp=sharing"",""แพร่!I511"")"),0)</f>
        <v>0</v>
      </c>
      <c r="J616" s="197">
        <f ca="1">IFERROR(__xludf.DUMMYFUNCTION("IMPORTRANGE(""https://docs.google.com/spreadsheets/d/11923uPwbBZFjjGgGUA6NLw09EwE0CqkOc4q9oUmW1yo/edit?usp=sharing"",""แพร่!J511"")"),0)</f>
        <v>0</v>
      </c>
      <c r="K616" s="163">
        <f t="shared" ca="1" si="127"/>
        <v>0</v>
      </c>
      <c r="L616" s="181"/>
      <c r="M616" s="181"/>
      <c r="N616" s="181"/>
      <c r="O616" s="181"/>
      <c r="P616" s="181"/>
    </row>
    <row r="617" spans="1:16" ht="21.75" customHeight="1" x14ac:dyDescent="0.3">
      <c r="A617" s="175"/>
      <c r="B617" s="176"/>
      <c r="C617" s="176"/>
      <c r="D617" s="193"/>
      <c r="E617" s="198"/>
      <c r="F617" s="195"/>
      <c r="G617" s="194" t="s">
        <v>225</v>
      </c>
      <c r="H617" s="180" t="s">
        <v>122</v>
      </c>
      <c r="I617" s="187">
        <f ca="1">IFERROR(__xludf.DUMMYFUNCTION("IMPORTRANGE(""https://docs.google.com/spreadsheets/d/11923uPwbBZFjjGgGUA6NLw09EwE0CqkOc4q9oUmW1yo/edit?usp=sharing"",""แพร่!I512"")"),0)</f>
        <v>0</v>
      </c>
      <c r="J617" s="187">
        <f ca="1">IFERROR(__xludf.DUMMYFUNCTION("IMPORTRANGE(""https://docs.google.com/spreadsheets/d/11923uPwbBZFjjGgGUA6NLw09EwE0CqkOc4q9oUmW1yo/edit?usp=sharing"",""แพร่!J512"")"),0)</f>
        <v>0</v>
      </c>
      <c r="K617" s="163">
        <f t="shared" ca="1" si="127"/>
        <v>0</v>
      </c>
      <c r="L617" s="181"/>
      <c r="M617" s="181"/>
      <c r="N617" s="181"/>
      <c r="O617" s="181"/>
      <c r="P617" s="181"/>
    </row>
    <row r="618" spans="1:16" ht="21.75" customHeight="1" x14ac:dyDescent="0.3">
      <c r="A618" s="175"/>
      <c r="B618" s="176"/>
      <c r="C618" s="176"/>
      <c r="D618" s="193"/>
      <c r="E618" s="198"/>
      <c r="F618" s="195"/>
      <c r="G618" s="489" t="s">
        <v>226</v>
      </c>
      <c r="H618" s="180" t="s">
        <v>122</v>
      </c>
      <c r="I618" s="203">
        <f ca="1">IFERROR(__xludf.DUMMYFUNCTION("IMPORTRANGE(""https://docs.google.com/spreadsheets/d/11923uPwbBZFjjGgGUA6NLw09EwE0CqkOc4q9oUmW1yo/edit?usp=sharing"",""แพร่!I513"")"),0)</f>
        <v>0</v>
      </c>
      <c r="J618" s="188">
        <f ca="1">IFERROR(__xludf.DUMMYFUNCTION("IMPORTRANGE(""https://docs.google.com/spreadsheets/d/11923uPwbBZFjjGgGUA6NLw09EwE0CqkOc4q9oUmW1yo/edit?usp=sharing"",""แพร่!J513"")"),0)</f>
        <v>0</v>
      </c>
      <c r="K618" s="163">
        <f t="shared" ca="1" si="127"/>
        <v>0</v>
      </c>
      <c r="L618" s="181"/>
      <c r="M618" s="181"/>
      <c r="N618" s="181"/>
      <c r="O618" s="181"/>
      <c r="P618" s="181"/>
    </row>
    <row r="619" spans="1:16" ht="21.75" customHeight="1" x14ac:dyDescent="0.3">
      <c r="A619" s="175"/>
      <c r="B619" s="176"/>
      <c r="C619" s="176"/>
      <c r="D619" s="193"/>
      <c r="E619" s="198"/>
      <c r="F619" s="195"/>
      <c r="G619" s="489" t="s">
        <v>227</v>
      </c>
      <c r="H619" s="180" t="s">
        <v>122</v>
      </c>
      <c r="I619" s="203">
        <f ca="1">IFERROR(__xludf.DUMMYFUNCTION("IMPORTRANGE(""https://docs.google.com/spreadsheets/d/11923uPwbBZFjjGgGUA6NLw09EwE0CqkOc4q9oUmW1yo/edit?usp=sharing"",""แพร่!I514"")"),0)</f>
        <v>0</v>
      </c>
      <c r="J619" s="188">
        <f ca="1">IFERROR(__xludf.DUMMYFUNCTION("IMPORTRANGE(""https://docs.google.com/spreadsheets/d/11923uPwbBZFjjGgGUA6NLw09EwE0CqkOc4q9oUmW1yo/edit?usp=sharing"",""แพร่!J514"")"),0)</f>
        <v>0</v>
      </c>
      <c r="K619" s="163">
        <f t="shared" ca="1" si="127"/>
        <v>0</v>
      </c>
      <c r="L619" s="181"/>
      <c r="M619" s="181"/>
      <c r="N619" s="181"/>
      <c r="O619" s="181"/>
      <c r="P619" s="181"/>
    </row>
    <row r="620" spans="1:16" ht="21.75" customHeight="1" x14ac:dyDescent="0.3">
      <c r="A620" s="175"/>
      <c r="B620" s="176"/>
      <c r="C620" s="176"/>
      <c r="D620" s="193"/>
      <c r="E620" s="195"/>
      <c r="F620" s="194" t="s">
        <v>228</v>
      </c>
      <c r="G620" s="196"/>
      <c r="H620" s="180" t="s">
        <v>122</v>
      </c>
      <c r="I620" s="187">
        <f ca="1">IFERROR(__xludf.DUMMYFUNCTION("IMPORTRANGE(""https://docs.google.com/spreadsheets/d/11923uPwbBZFjjGgGUA6NLw09EwE0CqkOc4q9oUmW1yo/edit?usp=sharing"",""แพร่!I515"")"),0)</f>
        <v>0</v>
      </c>
      <c r="J620" s="202">
        <f ca="1">IFERROR(__xludf.DUMMYFUNCTION("IMPORTRANGE(""https://docs.google.com/spreadsheets/d/11923uPwbBZFjjGgGUA6NLw09EwE0CqkOc4q9oUmW1yo/edit?usp=sharing"",""แพร่!J515"")"),0)</f>
        <v>0</v>
      </c>
      <c r="K620" s="163">
        <f t="shared" ref="K620:K626" ca="1" si="128">IF(I$620&gt;0,J620*100/I$620,0)</f>
        <v>0</v>
      </c>
      <c r="L620" s="181"/>
      <c r="M620" s="181"/>
      <c r="N620" s="181"/>
      <c r="O620" s="181"/>
      <c r="P620" s="181"/>
    </row>
    <row r="621" spans="1:16" ht="21.75" customHeight="1" x14ac:dyDescent="0.3">
      <c r="A621" s="175"/>
      <c r="B621" s="176"/>
      <c r="C621" s="176"/>
      <c r="D621" s="193"/>
      <c r="E621" s="198"/>
      <c r="F621" s="195"/>
      <c r="G621" s="225" t="s">
        <v>225</v>
      </c>
      <c r="H621" s="180" t="s">
        <v>122</v>
      </c>
      <c r="I621" s="202">
        <f ca="1">IFERROR(__xludf.DUMMYFUNCTION("IMPORTRANGE(""https://docs.google.com/spreadsheets/d/11923uPwbBZFjjGgGUA6NLw09EwE0CqkOc4q9oUmW1yo/edit?usp=sharing"",""แพร่!I516"")"),0)</f>
        <v>0</v>
      </c>
      <c r="J621" s="202">
        <f ca="1">IFERROR(__xludf.DUMMYFUNCTION("IMPORTRANGE(""https://docs.google.com/spreadsheets/d/11923uPwbBZFjjGgGUA6NLw09EwE0CqkOc4q9oUmW1yo/edit?usp=sharing"",""แพร่!J516"")"),0)</f>
        <v>0</v>
      </c>
      <c r="K621" s="163">
        <f t="shared" ca="1" si="128"/>
        <v>0</v>
      </c>
      <c r="L621" s="181"/>
      <c r="M621" s="181"/>
      <c r="N621" s="181"/>
      <c r="O621" s="181"/>
      <c r="P621" s="181"/>
    </row>
    <row r="622" spans="1:16" ht="21.75" customHeight="1" x14ac:dyDescent="0.3">
      <c r="A622" s="175"/>
      <c r="B622" s="176"/>
      <c r="C622" s="176"/>
      <c r="D622" s="193"/>
      <c r="E622" s="198"/>
      <c r="F622" s="195"/>
      <c r="G622" s="489" t="s">
        <v>226</v>
      </c>
      <c r="H622" s="180" t="s">
        <v>122</v>
      </c>
      <c r="I622" s="203">
        <f ca="1">IFERROR(__xludf.DUMMYFUNCTION("IMPORTRANGE(""https://docs.google.com/spreadsheets/d/11923uPwbBZFjjGgGUA6NLw09EwE0CqkOc4q9oUmW1yo/edit?usp=sharing"",""แพร่!I517"")"),0)</f>
        <v>0</v>
      </c>
      <c r="J622" s="188">
        <f ca="1">IFERROR(__xludf.DUMMYFUNCTION("IMPORTRANGE(""https://docs.google.com/spreadsheets/d/11923uPwbBZFjjGgGUA6NLw09EwE0CqkOc4q9oUmW1yo/edit?usp=sharing"",""แพร่!J517"")"),0)</f>
        <v>0</v>
      </c>
      <c r="K622" s="163">
        <f t="shared" ca="1" si="128"/>
        <v>0</v>
      </c>
      <c r="L622" s="181"/>
      <c r="M622" s="181"/>
      <c r="N622" s="181"/>
      <c r="O622" s="181"/>
      <c r="P622" s="181"/>
    </row>
    <row r="623" spans="1:16" ht="21.75" customHeight="1" x14ac:dyDescent="0.3">
      <c r="A623" s="175"/>
      <c r="B623" s="176"/>
      <c r="C623" s="176"/>
      <c r="D623" s="193"/>
      <c r="E623" s="198"/>
      <c r="F623" s="195"/>
      <c r="G623" s="489" t="s">
        <v>227</v>
      </c>
      <c r="H623" s="180" t="s">
        <v>122</v>
      </c>
      <c r="I623" s="203">
        <f ca="1">IFERROR(__xludf.DUMMYFUNCTION("IMPORTRANGE(""https://docs.google.com/spreadsheets/d/11923uPwbBZFjjGgGUA6NLw09EwE0CqkOc4q9oUmW1yo/edit?usp=sharing"",""แพร่!I518"")"),0)</f>
        <v>0</v>
      </c>
      <c r="J623" s="188">
        <f ca="1">IFERROR(__xludf.DUMMYFUNCTION("IMPORTRANGE(""https://docs.google.com/spreadsheets/d/11923uPwbBZFjjGgGUA6NLw09EwE0CqkOc4q9oUmW1yo/edit?usp=sharing"",""แพร่!J518"")"),0)</f>
        <v>0</v>
      </c>
      <c r="K623" s="163">
        <f t="shared" ca="1" si="128"/>
        <v>0</v>
      </c>
      <c r="L623" s="181"/>
      <c r="M623" s="181"/>
      <c r="N623" s="181"/>
      <c r="O623" s="181"/>
      <c r="P623" s="181"/>
    </row>
    <row r="624" spans="1:16" ht="21.75" customHeight="1" x14ac:dyDescent="0.3">
      <c r="A624" s="175"/>
      <c r="B624" s="176"/>
      <c r="C624" s="176"/>
      <c r="D624" s="193"/>
      <c r="E624" s="198"/>
      <c r="F624" s="195"/>
      <c r="G624" s="225" t="s">
        <v>229</v>
      </c>
      <c r="H624" s="180" t="s">
        <v>122</v>
      </c>
      <c r="I624" s="187">
        <f ca="1">IFERROR(__xludf.DUMMYFUNCTION("IMPORTRANGE(""https://docs.google.com/spreadsheets/d/11923uPwbBZFjjGgGUA6NLw09EwE0CqkOc4q9oUmW1yo/edit?usp=sharing"",""แพร่!I519"")"),0)</f>
        <v>0</v>
      </c>
      <c r="J624" s="187">
        <f ca="1">IFERROR(__xludf.DUMMYFUNCTION("IMPORTRANGE(""https://docs.google.com/spreadsheets/d/11923uPwbBZFjjGgGUA6NLw09EwE0CqkOc4q9oUmW1yo/edit?usp=sharing"",""แพร่!J519"")"),0)</f>
        <v>0</v>
      </c>
      <c r="K624" s="163">
        <f t="shared" ca="1" si="128"/>
        <v>0</v>
      </c>
      <c r="L624" s="181"/>
      <c r="M624" s="181"/>
      <c r="N624" s="181"/>
      <c r="O624" s="181"/>
      <c r="P624" s="181"/>
    </row>
    <row r="625" spans="1:16" ht="21.75" customHeight="1" x14ac:dyDescent="0.3">
      <c r="A625" s="175"/>
      <c r="B625" s="176"/>
      <c r="C625" s="176"/>
      <c r="D625" s="193"/>
      <c r="E625" s="198"/>
      <c r="F625" s="195"/>
      <c r="G625" s="489" t="s">
        <v>230</v>
      </c>
      <c r="H625" s="180" t="s">
        <v>122</v>
      </c>
      <c r="I625" s="203">
        <f ca="1">IFERROR(__xludf.DUMMYFUNCTION("IMPORTRANGE(""https://docs.google.com/spreadsheets/d/11923uPwbBZFjjGgGUA6NLw09EwE0CqkOc4q9oUmW1yo/edit?usp=sharing"",""แพร่!I520"")"),0)</f>
        <v>0</v>
      </c>
      <c r="J625" s="188">
        <f ca="1">IFERROR(__xludf.DUMMYFUNCTION("IMPORTRANGE(""https://docs.google.com/spreadsheets/d/11923uPwbBZFjjGgGUA6NLw09EwE0CqkOc4q9oUmW1yo/edit?usp=sharing"",""แพร่!J520"")"),0)</f>
        <v>0</v>
      </c>
      <c r="K625" s="163">
        <f t="shared" ca="1" si="128"/>
        <v>0</v>
      </c>
      <c r="L625" s="181"/>
      <c r="M625" s="181"/>
      <c r="N625" s="181"/>
      <c r="O625" s="181"/>
      <c r="P625" s="181"/>
    </row>
    <row r="626" spans="1:16" ht="21.75" customHeight="1" x14ac:dyDescent="0.3">
      <c r="A626" s="175"/>
      <c r="B626" s="176"/>
      <c r="C626" s="176"/>
      <c r="D626" s="193"/>
      <c r="E626" s="198"/>
      <c r="F626" s="195"/>
      <c r="G626" s="489" t="s">
        <v>231</v>
      </c>
      <c r="H626" s="180" t="s">
        <v>122</v>
      </c>
      <c r="I626" s="203">
        <f ca="1">IFERROR(__xludf.DUMMYFUNCTION("IMPORTRANGE(""https://docs.google.com/spreadsheets/d/11923uPwbBZFjjGgGUA6NLw09EwE0CqkOc4q9oUmW1yo/edit?usp=sharing"",""แพร่!I521"")"),0)</f>
        <v>0</v>
      </c>
      <c r="J626" s="188">
        <f ca="1">IFERROR(__xludf.DUMMYFUNCTION("IMPORTRANGE(""https://docs.google.com/spreadsheets/d/11923uPwbBZFjjGgGUA6NLw09EwE0CqkOc4q9oUmW1yo/edit?usp=sharing"",""แพร่!J521"")"),0)</f>
        <v>0</v>
      </c>
      <c r="K626" s="163">
        <f t="shared" ca="1" si="128"/>
        <v>0</v>
      </c>
      <c r="L626" s="181"/>
      <c r="M626" s="181"/>
      <c r="N626" s="181"/>
      <c r="O626" s="181"/>
      <c r="P626" s="181"/>
    </row>
    <row r="627" spans="1:16" ht="21.75" customHeight="1" x14ac:dyDescent="0.3">
      <c r="A627" s="490" t="s">
        <v>232</v>
      </c>
      <c r="B627" s="491"/>
      <c r="C627" s="491"/>
      <c r="D627" s="491"/>
      <c r="E627" s="491"/>
      <c r="F627" s="491"/>
      <c r="G627" s="492"/>
      <c r="H627" s="493"/>
      <c r="I627" s="494"/>
      <c r="J627" s="494"/>
      <c r="K627" s="495"/>
      <c r="L627" s="495"/>
      <c r="M627" s="495"/>
      <c r="N627" s="495"/>
      <c r="O627" s="496"/>
      <c r="P627" s="496"/>
    </row>
    <row r="628" spans="1:16" ht="21.75" customHeight="1" x14ac:dyDescent="0.3">
      <c r="A628" s="476"/>
      <c r="B628" s="497" t="s">
        <v>233</v>
      </c>
      <c r="C628" s="157"/>
      <c r="D628" s="166"/>
      <c r="E628" s="159"/>
      <c r="F628" s="159"/>
      <c r="G628" s="160"/>
      <c r="H628" s="498" t="s">
        <v>12</v>
      </c>
      <c r="I628" s="339">
        <f ca="1">IFERROR(__xludf.DUMMYFUNCTION("IMPORTRANGE(""https://docs.google.com/spreadsheets/d/11923uPwbBZFjjGgGUA6NLw09EwE0CqkOc4q9oUmW1yo/edit?usp=sharing"",""แพร่!I523"")"),3480000)</f>
        <v>3480000</v>
      </c>
      <c r="J628" s="339">
        <f ca="1">IFERROR(__xludf.DUMMYFUNCTION("IMPORTRANGE(""https://docs.google.com/spreadsheets/d/11923uPwbBZFjjGgGUA6NLw09EwE0CqkOc4q9oUmW1yo/edit?usp=sharing"",""แพร่!J523"")"),1095000)</f>
        <v>1095000</v>
      </c>
      <c r="K628" s="340">
        <f t="shared" ref="K628:K635" ca="1" si="129">IF(I628&gt;0,J628*100/I628,0)</f>
        <v>31.46551724137931</v>
      </c>
      <c r="L628" s="340"/>
      <c r="M628" s="340"/>
      <c r="N628" s="340"/>
      <c r="O628" s="168"/>
      <c r="P628" s="168"/>
    </row>
    <row r="629" spans="1:16" ht="21.75" customHeight="1" x14ac:dyDescent="0.3">
      <c r="A629" s="476"/>
      <c r="B629" s="157"/>
      <c r="C629" s="157"/>
      <c r="D629" s="166"/>
      <c r="E629" s="159"/>
      <c r="F629" s="159"/>
      <c r="G629" s="160"/>
      <c r="H629" s="498" t="s">
        <v>37</v>
      </c>
      <c r="I629" s="339">
        <f ca="1">IFERROR(__xludf.DUMMYFUNCTION("IMPORTRANGE(""https://docs.google.com/spreadsheets/d/11923uPwbBZFjjGgGUA6NLw09EwE0CqkOc4q9oUmW1yo/edit?usp=sharing"",""แพร่!I524"")"),160)</f>
        <v>160</v>
      </c>
      <c r="J629" s="339">
        <f ca="1">IFERROR(__xludf.DUMMYFUNCTION("IMPORTRANGE(""https://docs.google.com/spreadsheets/d/11923uPwbBZFjjGgGUA6NLw09EwE0CqkOc4q9oUmW1yo/edit?usp=sharing"",""แพร่!J524"")"),50)</f>
        <v>50</v>
      </c>
      <c r="K629" s="340">
        <f t="shared" ca="1" si="129"/>
        <v>31.25</v>
      </c>
      <c r="L629" s="340"/>
      <c r="M629" s="340"/>
      <c r="N629" s="340"/>
      <c r="O629" s="168"/>
      <c r="P629" s="168"/>
    </row>
    <row r="630" spans="1:16" ht="21.75" customHeight="1" x14ac:dyDescent="0.3">
      <c r="A630" s="476"/>
      <c r="B630" s="497" t="s">
        <v>234</v>
      </c>
      <c r="C630" s="157"/>
      <c r="D630" s="166"/>
      <c r="E630" s="159"/>
      <c r="F630" s="159"/>
      <c r="G630" s="160"/>
      <c r="H630" s="498" t="s">
        <v>12</v>
      </c>
      <c r="I630" s="339">
        <f ca="1">IFERROR(__xludf.DUMMYFUNCTION("IMPORTRANGE(""https://docs.google.com/spreadsheets/d/11923uPwbBZFjjGgGUA6NLw09EwE0CqkOc4q9oUmW1yo/edit?usp=sharing"",""แพร่!I525"")"),664125.88)</f>
        <v>664125.88</v>
      </c>
      <c r="J630" s="339">
        <f ca="1">IFERROR(__xludf.DUMMYFUNCTION("IMPORTRANGE(""https://docs.google.com/spreadsheets/d/11923uPwbBZFjjGgGUA6NLw09EwE0CqkOc4q9oUmW1yo/edit?usp=sharing"",""แพร่!J525"")"),53175.57)</f>
        <v>53175.57</v>
      </c>
      <c r="K630" s="340">
        <f t="shared" ca="1" si="129"/>
        <v>8.0068510505869757</v>
      </c>
      <c r="L630" s="340"/>
      <c r="M630" s="340"/>
      <c r="N630" s="340"/>
      <c r="O630" s="168"/>
      <c r="P630" s="168"/>
    </row>
    <row r="631" spans="1:16" ht="21.75" customHeight="1" x14ac:dyDescent="0.3">
      <c r="A631" s="476"/>
      <c r="B631" s="157"/>
      <c r="C631" s="157"/>
      <c r="D631" s="166"/>
      <c r="E631" s="159"/>
      <c r="F631" s="159"/>
      <c r="G631" s="160"/>
      <c r="H631" s="498" t="s">
        <v>37</v>
      </c>
      <c r="I631" s="339">
        <f ca="1">IFERROR(__xludf.DUMMYFUNCTION("IMPORTRANGE(""https://docs.google.com/spreadsheets/d/11923uPwbBZFjjGgGUA6NLw09EwE0CqkOc4q9oUmW1yo/edit?usp=sharing"",""แพร่!I526"")"),54)</f>
        <v>54</v>
      </c>
      <c r="J631" s="339">
        <f ca="1">IFERROR(__xludf.DUMMYFUNCTION("IMPORTRANGE(""https://docs.google.com/spreadsheets/d/11923uPwbBZFjjGgGUA6NLw09EwE0CqkOc4q9oUmW1yo/edit?usp=sharing"",""แพร่!J526"")"),43)</f>
        <v>43</v>
      </c>
      <c r="K631" s="340">
        <f t="shared" ca="1" si="129"/>
        <v>79.629629629629633</v>
      </c>
      <c r="L631" s="340"/>
      <c r="M631" s="340"/>
      <c r="N631" s="340"/>
      <c r="O631" s="168"/>
      <c r="P631" s="168"/>
    </row>
    <row r="632" spans="1:16" ht="21.75" customHeight="1" x14ac:dyDescent="0.3">
      <c r="A632" s="476"/>
      <c r="B632" s="497" t="s">
        <v>235</v>
      </c>
      <c r="C632" s="157"/>
      <c r="D632" s="166"/>
      <c r="E632" s="159"/>
      <c r="F632" s="159"/>
      <c r="G632" s="160"/>
      <c r="H632" s="498" t="s">
        <v>12</v>
      </c>
      <c r="I632" s="339">
        <f ca="1">IFERROR(__xludf.DUMMYFUNCTION("IMPORTRANGE(""https://docs.google.com/spreadsheets/d/11923uPwbBZFjjGgGUA6NLw09EwE0CqkOc4q9oUmW1yo/edit?usp=sharing"",""แพร่!I527"")"),0)</f>
        <v>0</v>
      </c>
      <c r="J632" s="339">
        <f ca="1">IFERROR(__xludf.DUMMYFUNCTION("IMPORTRANGE(""https://docs.google.com/spreadsheets/d/11923uPwbBZFjjGgGUA6NLw09EwE0CqkOc4q9oUmW1yo/edit?usp=sharing"",""แพร่!J527"")"),0)</f>
        <v>0</v>
      </c>
      <c r="K632" s="340">
        <f t="shared" ca="1" si="129"/>
        <v>0</v>
      </c>
      <c r="L632" s="340"/>
      <c r="M632" s="340"/>
      <c r="N632" s="340"/>
      <c r="O632" s="168"/>
      <c r="P632" s="168"/>
    </row>
    <row r="633" spans="1:16" ht="21.75" customHeight="1" x14ac:dyDescent="0.3">
      <c r="A633" s="476"/>
      <c r="B633" s="497"/>
      <c r="C633" s="157"/>
      <c r="D633" s="166"/>
      <c r="E633" s="159"/>
      <c r="F633" s="159"/>
      <c r="G633" s="160"/>
      <c r="H633" s="498" t="s">
        <v>37</v>
      </c>
      <c r="I633" s="339">
        <f ca="1">IFERROR(__xludf.DUMMYFUNCTION("IMPORTRANGE(""https://docs.google.com/spreadsheets/d/11923uPwbBZFjjGgGUA6NLw09EwE0CqkOc4q9oUmW1yo/edit?usp=sharing"",""แพร่!I528"")"),0)</f>
        <v>0</v>
      </c>
      <c r="J633" s="339">
        <f ca="1">IFERROR(__xludf.DUMMYFUNCTION("IMPORTRANGE(""https://docs.google.com/spreadsheets/d/11923uPwbBZFjjGgGUA6NLw09EwE0CqkOc4q9oUmW1yo/edit?usp=sharing"",""แพร่!J528"")"),0)</f>
        <v>0</v>
      </c>
      <c r="K633" s="340">
        <f t="shared" ca="1" si="129"/>
        <v>0</v>
      </c>
      <c r="L633" s="340"/>
      <c r="M633" s="340"/>
      <c r="N633" s="340"/>
      <c r="O633" s="168"/>
      <c r="P633" s="168"/>
    </row>
    <row r="634" spans="1:16" ht="21.75" customHeight="1" x14ac:dyDescent="0.3">
      <c r="A634" s="476"/>
      <c r="B634" s="497" t="s">
        <v>236</v>
      </c>
      <c r="C634" s="157"/>
      <c r="D634" s="166"/>
      <c r="E634" s="159"/>
      <c r="F634" s="159"/>
      <c r="G634" s="160"/>
      <c r="H634" s="498" t="s">
        <v>12</v>
      </c>
      <c r="I634" s="339">
        <f ca="1">IFERROR(__xludf.DUMMYFUNCTION("IMPORTRANGE(""https://docs.google.com/spreadsheets/d/11923uPwbBZFjjGgGUA6NLw09EwE0CqkOc4q9oUmW1yo/edit?usp=sharing"",""แพร่!I529"")"),3500000)</f>
        <v>3500000</v>
      </c>
      <c r="J634" s="339">
        <f ca="1">IFERROR(__xludf.DUMMYFUNCTION("IMPORTRANGE(""https://docs.google.com/spreadsheets/d/11923uPwbBZFjjGgGUA6NLw09EwE0CqkOc4q9oUmW1yo/edit?usp=sharing"",""แพร่!J529"")"),425000)</f>
        <v>425000</v>
      </c>
      <c r="K634" s="340">
        <f t="shared" ca="1" si="129"/>
        <v>12.142857142857142</v>
      </c>
      <c r="L634" s="340"/>
      <c r="M634" s="340"/>
      <c r="N634" s="340"/>
      <c r="O634" s="168"/>
      <c r="P634" s="168"/>
    </row>
    <row r="635" spans="1:16" ht="21.75" customHeight="1" x14ac:dyDescent="0.3">
      <c r="A635" s="478"/>
      <c r="B635" s="480"/>
      <c r="C635" s="480"/>
      <c r="D635" s="479"/>
      <c r="E635" s="499"/>
      <c r="F635" s="499"/>
      <c r="G635" s="500"/>
      <c r="H635" s="501" t="s">
        <v>37</v>
      </c>
      <c r="I635" s="502">
        <f ca="1">IFERROR(__xludf.DUMMYFUNCTION("IMPORTRANGE(""https://docs.google.com/spreadsheets/d/11923uPwbBZFjjGgGUA6NLw09EwE0CqkOc4q9oUmW1yo/edit?usp=sharing"",""แพร่!I530"")"),140)</f>
        <v>140</v>
      </c>
      <c r="J635" s="502">
        <f ca="1">IFERROR(__xludf.DUMMYFUNCTION("IMPORTRANGE(""https://docs.google.com/spreadsheets/d/11923uPwbBZFjjGgGUA6NLw09EwE0CqkOc4q9oUmW1yo/edit?usp=sharing"",""แพร่!J530"")"),19)</f>
        <v>19</v>
      </c>
      <c r="K635" s="484">
        <f t="shared" ca="1" si="129"/>
        <v>13.571428571428571</v>
      </c>
      <c r="L635" s="484"/>
      <c r="M635" s="484"/>
      <c r="N635" s="484"/>
      <c r="O635" s="503"/>
      <c r="P635" s="503"/>
    </row>
    <row r="636" spans="1:16" ht="21.75" customHeight="1" x14ac:dyDescent="0.3">
      <c r="A636" s="504"/>
      <c r="B636" s="504"/>
      <c r="C636" s="504"/>
      <c r="D636" s="504"/>
      <c r="E636" s="505" t="s">
        <v>237</v>
      </c>
      <c r="F636" s="505"/>
      <c r="G636" s="505"/>
      <c r="H636" s="506"/>
      <c r="I636" s="506"/>
      <c r="J636" s="506"/>
      <c r="K636" s="507"/>
      <c r="L636" s="508"/>
      <c r="M636" s="508"/>
      <c r="N636" s="508"/>
      <c r="O636" s="509"/>
      <c r="P636" s="509"/>
    </row>
    <row r="637" spans="1:16" ht="21.75" customHeight="1" x14ac:dyDescent="0.3">
      <c r="A637" s="504"/>
      <c r="B637" s="504"/>
      <c r="C637" s="504"/>
      <c r="D637" s="504"/>
      <c r="E637" s="506"/>
      <c r="F637" s="506"/>
      <c r="G637" s="506"/>
      <c r="H637" s="506"/>
      <c r="I637" s="506"/>
      <c r="J637" s="506"/>
      <c r="K637" s="507"/>
      <c r="L637" s="508"/>
      <c r="M637" s="508"/>
      <c r="N637" s="508"/>
      <c r="O637" s="509"/>
      <c r="P637" s="509"/>
    </row>
    <row r="638" spans="1:16" ht="21.75" customHeight="1" x14ac:dyDescent="0.3">
      <c r="A638" s="504"/>
      <c r="B638" s="504"/>
      <c r="C638" s="504"/>
      <c r="D638" s="504"/>
      <c r="E638" s="506"/>
      <c r="F638" s="506"/>
      <c r="G638" s="506"/>
      <c r="H638" s="506"/>
      <c r="I638" s="506"/>
      <c r="J638" s="506"/>
      <c r="K638" s="507"/>
      <c r="L638" s="508"/>
      <c r="M638" s="508"/>
      <c r="N638" s="508"/>
      <c r="O638" s="509"/>
      <c r="P638" s="509"/>
    </row>
    <row r="639" spans="1:16" ht="21.75" customHeight="1" x14ac:dyDescent="0.3">
      <c r="A639" s="504"/>
      <c r="B639" s="504"/>
      <c r="C639" s="504"/>
      <c r="D639" s="504"/>
      <c r="E639" s="506"/>
      <c r="F639" s="506"/>
      <c r="G639" s="506"/>
      <c r="H639" s="506"/>
      <c r="I639" s="506"/>
      <c r="J639" s="506"/>
      <c r="K639" s="507"/>
      <c r="L639" s="508"/>
      <c r="M639" s="508"/>
      <c r="N639" s="508"/>
      <c r="O639" s="509"/>
      <c r="P639" s="509"/>
    </row>
    <row r="640" spans="1:16" ht="21.75" customHeight="1" x14ac:dyDescent="0.3">
      <c r="A640" s="504"/>
      <c r="B640" s="504"/>
      <c r="C640" s="504"/>
      <c r="D640" s="504"/>
      <c r="E640" s="506"/>
      <c r="F640" s="506"/>
      <c r="G640" s="506"/>
      <c r="H640" s="506"/>
      <c r="I640" s="506"/>
      <c r="J640" s="506"/>
      <c r="K640" s="507"/>
      <c r="L640" s="508"/>
      <c r="M640" s="508"/>
      <c r="N640" s="508"/>
      <c r="O640" s="509"/>
      <c r="P640" s="509"/>
    </row>
    <row r="641" spans="1:16" ht="21.75" customHeight="1" x14ac:dyDescent="0.3">
      <c r="A641" s="504"/>
      <c r="B641" s="504"/>
      <c r="C641" s="504"/>
      <c r="D641" s="504"/>
      <c r="E641" s="506"/>
      <c r="F641" s="506"/>
      <c r="G641" s="506"/>
      <c r="H641" s="506"/>
      <c r="I641" s="506"/>
      <c r="J641" s="506"/>
      <c r="K641" s="507"/>
      <c r="L641" s="508"/>
      <c r="M641" s="508"/>
      <c r="N641" s="508"/>
      <c r="O641" s="509"/>
      <c r="P641" s="509"/>
    </row>
    <row r="642" spans="1:16" ht="21.75" customHeight="1" x14ac:dyDescent="0.3">
      <c r="A642" s="504"/>
      <c r="B642" s="504"/>
      <c r="C642" s="504"/>
      <c r="D642" s="504"/>
      <c r="E642" s="506"/>
      <c r="F642" s="506"/>
      <c r="G642" s="506"/>
      <c r="H642" s="506"/>
      <c r="I642" s="506"/>
      <c r="J642" s="506"/>
      <c r="K642" s="507"/>
      <c r="L642" s="508"/>
      <c r="M642" s="508"/>
      <c r="N642" s="508"/>
      <c r="O642" s="509"/>
      <c r="P642" s="509"/>
    </row>
    <row r="643" spans="1:16" ht="21.75" customHeight="1" x14ac:dyDescent="0.3">
      <c r="A643" s="504"/>
      <c r="B643" s="504"/>
      <c r="C643" s="504"/>
      <c r="D643" s="504"/>
      <c r="E643" s="506"/>
      <c r="F643" s="506"/>
      <c r="G643" s="506"/>
      <c r="H643" s="506"/>
      <c r="I643" s="506"/>
      <c r="J643" s="506"/>
      <c r="K643" s="507"/>
      <c r="L643" s="508"/>
      <c r="M643" s="508"/>
      <c r="N643" s="508"/>
      <c r="O643" s="509"/>
      <c r="P643" s="509"/>
    </row>
    <row r="644" spans="1:16" ht="21.75" customHeight="1" x14ac:dyDescent="0.3">
      <c r="A644" s="504"/>
      <c r="B644" s="504"/>
      <c r="C644" s="504"/>
      <c r="D644" s="504"/>
      <c r="E644" s="506"/>
      <c r="F644" s="506"/>
      <c r="G644" s="506"/>
      <c r="H644" s="506"/>
      <c r="I644" s="506"/>
      <c r="J644" s="506"/>
      <c r="K644" s="507"/>
      <c r="L644" s="508"/>
      <c r="M644" s="508"/>
      <c r="N644" s="508"/>
      <c r="O644" s="509"/>
      <c r="P644" s="509"/>
    </row>
    <row r="645" spans="1:16" ht="21.75" customHeight="1" x14ac:dyDescent="0.3">
      <c r="A645" s="504"/>
      <c r="B645" s="504"/>
      <c r="C645" s="504"/>
      <c r="D645" s="504"/>
      <c r="E645" s="506"/>
      <c r="F645" s="506"/>
      <c r="G645" s="506"/>
      <c r="H645" s="506"/>
      <c r="I645" s="506"/>
      <c r="J645" s="506"/>
      <c r="K645" s="507"/>
      <c r="L645" s="508"/>
      <c r="M645" s="508"/>
      <c r="N645" s="508"/>
      <c r="O645" s="509"/>
      <c r="P645" s="509"/>
    </row>
    <row r="646" spans="1:16" ht="21.75" customHeight="1" x14ac:dyDescent="0.3">
      <c r="A646" s="504"/>
      <c r="B646" s="504"/>
      <c r="C646" s="504"/>
      <c r="D646" s="504"/>
      <c r="E646" s="506"/>
      <c r="F646" s="506"/>
      <c r="G646" s="506"/>
      <c r="H646" s="506"/>
      <c r="I646" s="506"/>
      <c r="J646" s="506"/>
      <c r="K646" s="507"/>
      <c r="L646" s="508"/>
      <c r="M646" s="508"/>
      <c r="N646" s="508"/>
      <c r="O646" s="509"/>
      <c r="P646" s="509"/>
    </row>
    <row r="647" spans="1:16" ht="21.75" customHeight="1" x14ac:dyDescent="0.3">
      <c r="A647" s="504"/>
      <c r="B647" s="504"/>
      <c r="C647" s="504"/>
      <c r="D647" s="504"/>
      <c r="E647" s="506"/>
      <c r="F647" s="506"/>
      <c r="G647" s="506"/>
      <c r="H647" s="506"/>
      <c r="I647" s="506"/>
      <c r="J647" s="506"/>
      <c r="K647" s="507"/>
      <c r="L647" s="508"/>
      <c r="M647" s="508"/>
      <c r="N647" s="508"/>
      <c r="O647" s="509"/>
      <c r="P647" s="509"/>
    </row>
    <row r="648" spans="1:16" ht="21.75" customHeight="1" x14ac:dyDescent="0.3">
      <c r="A648" s="504"/>
      <c r="B648" s="504"/>
      <c r="C648" s="504"/>
      <c r="D648" s="504"/>
      <c r="E648" s="506"/>
      <c r="F648" s="506"/>
      <c r="G648" s="506"/>
      <c r="H648" s="506"/>
      <c r="I648" s="506"/>
      <c r="J648" s="506"/>
      <c r="K648" s="507"/>
      <c r="L648" s="508"/>
      <c r="M648" s="508"/>
      <c r="N648" s="508"/>
      <c r="O648" s="509"/>
      <c r="P648" s="509"/>
    </row>
    <row r="649" spans="1:16" ht="21.75" customHeight="1" x14ac:dyDescent="0.3">
      <c r="A649" s="504"/>
      <c r="B649" s="504"/>
      <c r="C649" s="504"/>
      <c r="D649" s="504"/>
      <c r="E649" s="506"/>
      <c r="F649" s="506"/>
      <c r="G649" s="506"/>
      <c r="H649" s="506"/>
      <c r="I649" s="506"/>
      <c r="J649" s="506"/>
      <c r="K649" s="507"/>
      <c r="L649" s="508"/>
      <c r="M649" s="508"/>
      <c r="N649" s="508"/>
      <c r="O649" s="509"/>
      <c r="P649" s="509"/>
    </row>
    <row r="650" spans="1:16" ht="21.75" customHeight="1" x14ac:dyDescent="0.3">
      <c r="A650" s="504"/>
      <c r="B650" s="504"/>
      <c r="C650" s="504"/>
      <c r="D650" s="504"/>
      <c r="E650" s="506"/>
      <c r="F650" s="506"/>
      <c r="G650" s="506"/>
      <c r="H650" s="506"/>
      <c r="I650" s="506"/>
      <c r="J650" s="506"/>
      <c r="K650" s="507"/>
      <c r="L650" s="508"/>
      <c r="M650" s="508"/>
      <c r="N650" s="508"/>
      <c r="O650" s="509"/>
      <c r="P650" s="509"/>
    </row>
    <row r="651" spans="1:16" ht="21.75" customHeight="1" x14ac:dyDescent="0.3">
      <c r="A651" s="504"/>
      <c r="B651" s="504"/>
      <c r="C651" s="504"/>
      <c r="D651" s="504"/>
      <c r="E651" s="506"/>
      <c r="F651" s="506"/>
      <c r="G651" s="506"/>
      <c r="H651" s="506"/>
      <c r="I651" s="506"/>
      <c r="J651" s="506"/>
      <c r="K651" s="507"/>
      <c r="L651" s="508"/>
      <c r="M651" s="508"/>
      <c r="N651" s="508"/>
      <c r="O651" s="509"/>
      <c r="P651" s="509"/>
    </row>
    <row r="652" spans="1:16" ht="21.75" customHeight="1" x14ac:dyDescent="0.3">
      <c r="A652" s="504"/>
      <c r="B652" s="504"/>
      <c r="C652" s="504"/>
      <c r="D652" s="504"/>
      <c r="E652" s="506"/>
      <c r="F652" s="506"/>
      <c r="G652" s="506"/>
      <c r="H652" s="506"/>
      <c r="I652" s="506"/>
      <c r="J652" s="506"/>
      <c r="K652" s="507"/>
      <c r="L652" s="508"/>
      <c r="M652" s="508"/>
      <c r="N652" s="508"/>
      <c r="O652" s="509"/>
      <c r="P652" s="509"/>
    </row>
    <row r="653" spans="1:16" ht="21.75" customHeight="1" x14ac:dyDescent="0.3">
      <c r="A653" s="504"/>
      <c r="B653" s="504"/>
      <c r="C653" s="504"/>
      <c r="D653" s="504"/>
      <c r="E653" s="506"/>
      <c r="F653" s="506"/>
      <c r="G653" s="506"/>
      <c r="H653" s="506"/>
      <c r="I653" s="506"/>
      <c r="J653" s="506"/>
      <c r="K653" s="507"/>
      <c r="L653" s="508"/>
      <c r="M653" s="508"/>
      <c r="N653" s="508"/>
      <c r="O653" s="509"/>
      <c r="P653" s="509"/>
    </row>
    <row r="654" spans="1:16" ht="21.75" customHeight="1" x14ac:dyDescent="0.3">
      <c r="A654" s="504"/>
      <c r="B654" s="504"/>
      <c r="C654" s="504"/>
      <c r="D654" s="504"/>
      <c r="E654" s="506"/>
      <c r="F654" s="506"/>
      <c r="G654" s="506"/>
      <c r="H654" s="506"/>
      <c r="I654" s="506"/>
      <c r="J654" s="506"/>
      <c r="K654" s="507"/>
      <c r="L654" s="508"/>
      <c r="M654" s="508"/>
      <c r="N654" s="508"/>
      <c r="O654" s="509"/>
      <c r="P654" s="509"/>
    </row>
    <row r="655" spans="1:16" ht="21.75" customHeight="1" x14ac:dyDescent="0.3">
      <c r="A655" s="504"/>
      <c r="B655" s="504"/>
      <c r="C655" s="504"/>
      <c r="D655" s="504"/>
      <c r="E655" s="506"/>
      <c r="F655" s="506"/>
      <c r="G655" s="506"/>
      <c r="H655" s="506"/>
      <c r="I655" s="506"/>
      <c r="J655" s="506"/>
      <c r="K655" s="507"/>
      <c r="L655" s="508"/>
      <c r="M655" s="508"/>
      <c r="N655" s="508"/>
      <c r="O655" s="509"/>
      <c r="P655" s="509"/>
    </row>
    <row r="656" spans="1:16" ht="21.75" customHeight="1" x14ac:dyDescent="0.3">
      <c r="A656" s="504"/>
      <c r="B656" s="504"/>
      <c r="C656" s="504"/>
      <c r="D656" s="504"/>
      <c r="E656" s="506"/>
      <c r="F656" s="506"/>
      <c r="G656" s="506"/>
      <c r="H656" s="506"/>
      <c r="I656" s="506"/>
      <c r="J656" s="506"/>
      <c r="K656" s="507"/>
      <c r="L656" s="508"/>
      <c r="M656" s="508"/>
      <c r="N656" s="508"/>
      <c r="O656" s="509"/>
      <c r="P656" s="509"/>
    </row>
    <row r="657" spans="1:16" ht="21.75" customHeight="1" x14ac:dyDescent="0.3">
      <c r="A657" s="504"/>
      <c r="B657" s="504"/>
      <c r="C657" s="504"/>
      <c r="D657" s="504"/>
      <c r="E657" s="506"/>
      <c r="F657" s="506"/>
      <c r="G657" s="506"/>
      <c r="H657" s="506"/>
      <c r="I657" s="506"/>
      <c r="J657" s="506"/>
      <c r="K657" s="507"/>
      <c r="L657" s="508"/>
      <c r="M657" s="508"/>
      <c r="N657" s="508"/>
      <c r="O657" s="509"/>
      <c r="P657" s="509"/>
    </row>
    <row r="658" spans="1:16" ht="21.75" customHeight="1" x14ac:dyDescent="0.3">
      <c r="A658" s="504"/>
      <c r="B658" s="504"/>
      <c r="C658" s="504"/>
      <c r="D658" s="504"/>
      <c r="E658" s="506"/>
      <c r="F658" s="506"/>
      <c r="G658" s="506"/>
      <c r="H658" s="506"/>
      <c r="I658" s="506"/>
      <c r="J658" s="506"/>
      <c r="K658" s="507"/>
      <c r="L658" s="508"/>
      <c r="M658" s="508"/>
      <c r="N658" s="508"/>
      <c r="O658" s="509"/>
      <c r="P658" s="509"/>
    </row>
    <row r="659" spans="1:16" ht="21.75" customHeight="1" x14ac:dyDescent="0.3">
      <c r="A659" s="504"/>
      <c r="B659" s="504"/>
      <c r="C659" s="504"/>
      <c r="D659" s="504"/>
      <c r="E659" s="506"/>
      <c r="F659" s="506"/>
      <c r="G659" s="506"/>
      <c r="H659" s="506"/>
      <c r="I659" s="506"/>
      <c r="J659" s="506"/>
      <c r="K659" s="507"/>
      <c r="L659" s="508"/>
      <c r="M659" s="508"/>
      <c r="N659" s="508"/>
      <c r="O659" s="509"/>
      <c r="P659" s="509"/>
    </row>
    <row r="660" spans="1:16" ht="21.75" customHeight="1" x14ac:dyDescent="0.3">
      <c r="A660" s="504"/>
      <c r="B660" s="504"/>
      <c r="C660" s="504"/>
      <c r="D660" s="504"/>
      <c r="E660" s="506"/>
      <c r="F660" s="506"/>
      <c r="G660" s="506"/>
      <c r="H660" s="506"/>
      <c r="I660" s="506"/>
      <c r="J660" s="506"/>
      <c r="K660" s="507"/>
      <c r="L660" s="508"/>
      <c r="M660" s="508"/>
      <c r="N660" s="508"/>
      <c r="O660" s="509"/>
      <c r="P660" s="509"/>
    </row>
    <row r="661" spans="1:16" ht="21.75" customHeight="1" x14ac:dyDescent="0.3">
      <c r="A661" s="504"/>
      <c r="B661" s="504"/>
      <c r="C661" s="504"/>
      <c r="D661" s="504"/>
      <c r="E661" s="506"/>
      <c r="F661" s="506"/>
      <c r="G661" s="506"/>
      <c r="H661" s="506"/>
      <c r="I661" s="506"/>
      <c r="J661" s="506"/>
      <c r="K661" s="507"/>
      <c r="L661" s="508"/>
      <c r="M661" s="508"/>
      <c r="N661" s="508"/>
      <c r="O661" s="509"/>
      <c r="P661" s="509"/>
    </row>
    <row r="662" spans="1:16" ht="21.75" customHeight="1" x14ac:dyDescent="0.3">
      <c r="A662" s="504"/>
      <c r="B662" s="504"/>
      <c r="C662" s="504"/>
      <c r="D662" s="504"/>
      <c r="E662" s="506"/>
      <c r="F662" s="506"/>
      <c r="G662" s="506"/>
      <c r="H662" s="506"/>
      <c r="I662" s="506"/>
      <c r="J662" s="506"/>
      <c r="K662" s="507"/>
      <c r="L662" s="508"/>
      <c r="M662" s="508"/>
      <c r="N662" s="508"/>
      <c r="O662" s="509"/>
      <c r="P662" s="509"/>
    </row>
    <row r="663" spans="1:16" ht="21.75" customHeight="1" x14ac:dyDescent="0.3">
      <c r="A663" s="504"/>
      <c r="B663" s="504"/>
      <c r="C663" s="504"/>
      <c r="D663" s="504"/>
      <c r="E663" s="506"/>
      <c r="F663" s="506"/>
      <c r="G663" s="506"/>
      <c r="H663" s="506"/>
      <c r="I663" s="506"/>
      <c r="J663" s="506"/>
      <c r="K663" s="507"/>
      <c r="L663" s="508"/>
      <c r="M663" s="508"/>
      <c r="N663" s="508"/>
      <c r="O663" s="509"/>
      <c r="P663" s="509"/>
    </row>
    <row r="664" spans="1:16" ht="21.75" customHeight="1" x14ac:dyDescent="0.3">
      <c r="A664" s="504"/>
      <c r="B664" s="504"/>
      <c r="C664" s="504"/>
      <c r="D664" s="504"/>
      <c r="E664" s="506"/>
      <c r="F664" s="506"/>
      <c r="G664" s="506"/>
      <c r="H664" s="506"/>
      <c r="I664" s="506"/>
      <c r="J664" s="506"/>
      <c r="K664" s="507"/>
      <c r="L664" s="508"/>
      <c r="M664" s="508"/>
      <c r="N664" s="508"/>
      <c r="O664" s="509"/>
      <c r="P664" s="509"/>
    </row>
    <row r="665" spans="1:16" ht="21.75" customHeight="1" x14ac:dyDescent="0.3">
      <c r="A665" s="504"/>
      <c r="B665" s="504"/>
      <c r="C665" s="504"/>
      <c r="D665" s="504"/>
      <c r="E665" s="506"/>
      <c r="F665" s="506"/>
      <c r="G665" s="506"/>
      <c r="H665" s="506"/>
      <c r="I665" s="506"/>
      <c r="J665" s="506"/>
      <c r="K665" s="507"/>
      <c r="L665" s="508"/>
      <c r="M665" s="508"/>
      <c r="N665" s="508"/>
      <c r="O665" s="509"/>
      <c r="P665" s="509"/>
    </row>
    <row r="666" spans="1:16" ht="21.75" customHeight="1" x14ac:dyDescent="0.3">
      <c r="A666" s="504"/>
      <c r="B666" s="504"/>
      <c r="C666" s="504"/>
      <c r="D666" s="504"/>
      <c r="E666" s="506"/>
      <c r="F666" s="506"/>
      <c r="G666" s="506"/>
      <c r="H666" s="506"/>
      <c r="I666" s="506"/>
      <c r="J666" s="506"/>
      <c r="K666" s="507"/>
      <c r="L666" s="508"/>
      <c r="M666" s="508"/>
      <c r="N666" s="508"/>
      <c r="O666" s="509"/>
      <c r="P666" s="509"/>
    </row>
    <row r="667" spans="1:16" ht="21.75" customHeight="1" x14ac:dyDescent="0.3">
      <c r="A667" s="504"/>
      <c r="B667" s="504"/>
      <c r="C667" s="504"/>
      <c r="D667" s="504"/>
      <c r="E667" s="506"/>
      <c r="F667" s="506"/>
      <c r="G667" s="506"/>
      <c r="H667" s="506"/>
      <c r="I667" s="506"/>
      <c r="J667" s="506"/>
      <c r="K667" s="507"/>
      <c r="L667" s="508"/>
      <c r="M667" s="508"/>
      <c r="N667" s="508"/>
      <c r="O667" s="509"/>
      <c r="P667" s="509"/>
    </row>
    <row r="668" spans="1:16" ht="21.75" customHeight="1" x14ac:dyDescent="0.3">
      <c r="A668" s="504"/>
      <c r="B668" s="504"/>
      <c r="C668" s="504"/>
      <c r="D668" s="504"/>
      <c r="E668" s="506"/>
      <c r="F668" s="506"/>
      <c r="G668" s="506"/>
      <c r="H668" s="506"/>
      <c r="I668" s="506"/>
      <c r="J668" s="506"/>
      <c r="K668" s="507"/>
      <c r="L668" s="508"/>
      <c r="M668" s="508"/>
      <c r="N668" s="508"/>
      <c r="O668" s="509"/>
      <c r="P668" s="509"/>
    </row>
    <row r="669" spans="1:16" ht="21.75" customHeight="1" x14ac:dyDescent="0.3">
      <c r="A669" s="504"/>
      <c r="B669" s="504"/>
      <c r="C669" s="504"/>
      <c r="D669" s="504"/>
      <c r="E669" s="506"/>
      <c r="F669" s="506"/>
      <c r="G669" s="506"/>
      <c r="H669" s="506"/>
      <c r="I669" s="506"/>
      <c r="J669" s="506"/>
      <c r="K669" s="507"/>
      <c r="L669" s="508"/>
      <c r="M669" s="508"/>
      <c r="N669" s="508"/>
      <c r="O669" s="509"/>
      <c r="P669" s="509"/>
    </row>
    <row r="670" spans="1:16" ht="21.75" customHeight="1" x14ac:dyDescent="0.3">
      <c r="A670" s="504"/>
      <c r="B670" s="504"/>
      <c r="C670" s="504"/>
      <c r="D670" s="504"/>
      <c r="E670" s="506"/>
      <c r="F670" s="506"/>
      <c r="G670" s="506"/>
      <c r="H670" s="506"/>
      <c r="I670" s="506"/>
      <c r="J670" s="506"/>
      <c r="K670" s="507"/>
      <c r="L670" s="508"/>
      <c r="M670" s="508"/>
      <c r="N670" s="508"/>
      <c r="O670" s="509"/>
      <c r="P670" s="509"/>
    </row>
    <row r="671" spans="1:16" ht="21.75" customHeight="1" x14ac:dyDescent="0.3">
      <c r="A671" s="504"/>
      <c r="B671" s="504"/>
      <c r="C671" s="504"/>
      <c r="D671" s="504"/>
      <c r="E671" s="506"/>
      <c r="F671" s="506"/>
      <c r="G671" s="506"/>
      <c r="H671" s="506"/>
      <c r="I671" s="506"/>
      <c r="J671" s="506"/>
      <c r="K671" s="507"/>
      <c r="L671" s="508"/>
      <c r="M671" s="508"/>
      <c r="N671" s="508"/>
      <c r="O671" s="509"/>
      <c r="P671" s="509"/>
    </row>
    <row r="672" spans="1:16" ht="21.75" customHeight="1" x14ac:dyDescent="0.3">
      <c r="A672" s="504"/>
      <c r="B672" s="504"/>
      <c r="C672" s="504"/>
      <c r="D672" s="504"/>
      <c r="E672" s="506"/>
      <c r="F672" s="506"/>
      <c r="G672" s="506"/>
      <c r="H672" s="506"/>
      <c r="I672" s="506"/>
      <c r="J672" s="506"/>
      <c r="K672" s="507"/>
      <c r="L672" s="508"/>
      <c r="M672" s="508"/>
      <c r="N672" s="508"/>
      <c r="O672" s="509"/>
      <c r="P672" s="509"/>
    </row>
    <row r="673" spans="1:16" ht="21.75" customHeight="1" x14ac:dyDescent="0.3">
      <c r="A673" s="504"/>
      <c r="B673" s="504"/>
      <c r="C673" s="504"/>
      <c r="D673" s="504"/>
      <c r="E673" s="506"/>
      <c r="F673" s="506"/>
      <c r="G673" s="506"/>
      <c r="H673" s="506"/>
      <c r="I673" s="506"/>
      <c r="J673" s="506"/>
      <c r="K673" s="507"/>
      <c r="L673" s="508"/>
      <c r="M673" s="508"/>
      <c r="N673" s="508"/>
      <c r="O673" s="509"/>
      <c r="P673" s="509"/>
    </row>
    <row r="674" spans="1:16" ht="21.75" customHeight="1" x14ac:dyDescent="0.3">
      <c r="A674" s="504"/>
      <c r="B674" s="504"/>
      <c r="C674" s="504"/>
      <c r="D674" s="504"/>
      <c r="E674" s="506"/>
      <c r="F674" s="506"/>
      <c r="G674" s="506"/>
      <c r="H674" s="506"/>
      <c r="I674" s="506"/>
      <c r="J674" s="506"/>
      <c r="K674" s="507"/>
      <c r="L674" s="508"/>
      <c r="M674" s="508"/>
      <c r="N674" s="508"/>
      <c r="O674" s="509"/>
      <c r="P674" s="509"/>
    </row>
    <row r="675" spans="1:16" ht="21.75" customHeight="1" x14ac:dyDescent="0.3">
      <c r="A675" s="504"/>
      <c r="B675" s="504"/>
      <c r="C675" s="504"/>
      <c r="D675" s="504"/>
      <c r="E675" s="506"/>
      <c r="F675" s="506"/>
      <c r="G675" s="506"/>
      <c r="H675" s="506"/>
      <c r="I675" s="506"/>
      <c r="J675" s="506"/>
      <c r="K675" s="507"/>
      <c r="L675" s="508"/>
      <c r="M675" s="508"/>
      <c r="N675" s="508"/>
      <c r="O675" s="509"/>
      <c r="P675" s="509"/>
    </row>
    <row r="676" spans="1:16" ht="21.75" customHeight="1" x14ac:dyDescent="0.3">
      <c r="A676" s="504"/>
      <c r="B676" s="504"/>
      <c r="C676" s="504"/>
      <c r="D676" s="504"/>
      <c r="E676" s="506"/>
      <c r="F676" s="506"/>
      <c r="G676" s="506"/>
      <c r="H676" s="506"/>
      <c r="I676" s="506"/>
      <c r="J676" s="506"/>
      <c r="K676" s="507"/>
      <c r="L676" s="508"/>
      <c r="M676" s="508"/>
      <c r="N676" s="508"/>
      <c r="O676" s="509"/>
      <c r="P676" s="509"/>
    </row>
    <row r="677" spans="1:16" ht="21.75" customHeight="1" x14ac:dyDescent="0.3">
      <c r="A677" s="504"/>
      <c r="B677" s="504"/>
      <c r="C677" s="504"/>
      <c r="D677" s="504"/>
      <c r="E677" s="506"/>
      <c r="F677" s="506"/>
      <c r="G677" s="506"/>
      <c r="H677" s="506"/>
      <c r="I677" s="506"/>
      <c r="J677" s="506"/>
      <c r="K677" s="507"/>
      <c r="L677" s="508"/>
      <c r="M677" s="508"/>
      <c r="N677" s="508"/>
      <c r="O677" s="509"/>
      <c r="P677" s="509"/>
    </row>
    <row r="678" spans="1:16" ht="21.75" customHeight="1" x14ac:dyDescent="0.3">
      <c r="A678" s="504"/>
      <c r="B678" s="504"/>
      <c r="C678" s="504"/>
      <c r="D678" s="504"/>
      <c r="E678" s="506"/>
      <c r="F678" s="506"/>
      <c r="G678" s="506"/>
      <c r="H678" s="506"/>
      <c r="I678" s="506"/>
      <c r="J678" s="506"/>
      <c r="K678" s="507"/>
      <c r="L678" s="508"/>
      <c r="M678" s="508"/>
      <c r="N678" s="508"/>
      <c r="O678" s="509"/>
      <c r="P678" s="509"/>
    </row>
    <row r="679" spans="1:16" ht="21.75" customHeight="1" x14ac:dyDescent="0.3">
      <c r="A679" s="504"/>
      <c r="B679" s="504"/>
      <c r="C679" s="504"/>
      <c r="D679" s="504"/>
      <c r="E679" s="506"/>
      <c r="F679" s="506"/>
      <c r="G679" s="506"/>
      <c r="H679" s="506"/>
      <c r="I679" s="506"/>
      <c r="J679" s="506"/>
      <c r="K679" s="507"/>
      <c r="L679" s="508"/>
      <c r="M679" s="508"/>
      <c r="N679" s="508"/>
      <c r="O679" s="509"/>
      <c r="P679" s="509"/>
    </row>
    <row r="680" spans="1:16" ht="21.75" customHeight="1" x14ac:dyDescent="0.3">
      <c r="A680" s="504"/>
      <c r="B680" s="504"/>
      <c r="C680" s="504"/>
      <c r="D680" s="504"/>
      <c r="E680" s="506"/>
      <c r="F680" s="506"/>
      <c r="G680" s="506"/>
      <c r="H680" s="506"/>
      <c r="I680" s="506"/>
      <c r="J680" s="506"/>
      <c r="K680" s="507"/>
      <c r="L680" s="508"/>
      <c r="M680" s="508"/>
      <c r="N680" s="508"/>
      <c r="O680" s="509"/>
      <c r="P680" s="509"/>
    </row>
    <row r="681" spans="1:16" ht="21.75" customHeight="1" x14ac:dyDescent="0.3">
      <c r="A681" s="504"/>
      <c r="B681" s="504"/>
      <c r="C681" s="504"/>
      <c r="D681" s="504"/>
      <c r="E681" s="506"/>
      <c r="F681" s="506"/>
      <c r="G681" s="506"/>
      <c r="H681" s="506"/>
      <c r="I681" s="506"/>
      <c r="J681" s="506"/>
      <c r="K681" s="507"/>
      <c r="L681" s="508"/>
      <c r="M681" s="508"/>
      <c r="N681" s="508"/>
      <c r="O681" s="509"/>
      <c r="P681" s="509"/>
    </row>
    <row r="682" spans="1:16" ht="21.75" customHeight="1" x14ac:dyDescent="0.3">
      <c r="A682" s="504"/>
      <c r="B682" s="504"/>
      <c r="C682" s="504"/>
      <c r="D682" s="504"/>
      <c r="E682" s="506"/>
      <c r="F682" s="506"/>
      <c r="G682" s="506"/>
      <c r="H682" s="506"/>
      <c r="I682" s="506"/>
      <c r="J682" s="506"/>
      <c r="K682" s="507"/>
      <c r="L682" s="508"/>
      <c r="M682" s="508"/>
      <c r="N682" s="508"/>
      <c r="O682" s="509"/>
      <c r="P682" s="509"/>
    </row>
    <row r="683" spans="1:16" ht="21.75" customHeight="1" x14ac:dyDescent="0.3">
      <c r="A683" s="504"/>
      <c r="B683" s="504"/>
      <c r="C683" s="504"/>
      <c r="D683" s="504"/>
      <c r="E683" s="506"/>
      <c r="F683" s="506"/>
      <c r="G683" s="506"/>
      <c r="H683" s="506"/>
      <c r="I683" s="506"/>
      <c r="J683" s="506"/>
      <c r="K683" s="507"/>
      <c r="L683" s="508"/>
      <c r="M683" s="508"/>
      <c r="N683" s="508"/>
      <c r="O683" s="509"/>
      <c r="P683" s="509"/>
    </row>
    <row r="684" spans="1:16" ht="21.75" customHeight="1" x14ac:dyDescent="0.3">
      <c r="A684" s="504"/>
      <c r="B684" s="504"/>
      <c r="C684" s="504"/>
      <c r="D684" s="504"/>
      <c r="E684" s="506"/>
      <c r="F684" s="506"/>
      <c r="G684" s="506"/>
      <c r="H684" s="506"/>
      <c r="I684" s="506"/>
      <c r="J684" s="506"/>
      <c r="K684" s="507"/>
      <c r="L684" s="508"/>
      <c r="M684" s="508"/>
      <c r="N684" s="508"/>
      <c r="O684" s="509"/>
      <c r="P684" s="509"/>
    </row>
    <row r="685" spans="1:16" ht="21.75" customHeight="1" x14ac:dyDescent="0.3">
      <c r="A685" s="504"/>
      <c r="B685" s="504"/>
      <c r="C685" s="504"/>
      <c r="D685" s="504"/>
      <c r="E685" s="506"/>
      <c r="F685" s="506"/>
      <c r="G685" s="506"/>
      <c r="H685" s="506"/>
      <c r="I685" s="506"/>
      <c r="J685" s="506"/>
      <c r="K685" s="507"/>
      <c r="L685" s="508"/>
      <c r="M685" s="508"/>
      <c r="N685" s="508"/>
      <c r="O685" s="509"/>
      <c r="P685" s="509"/>
    </row>
    <row r="686" spans="1:16" ht="21.75" customHeight="1" x14ac:dyDescent="0.3">
      <c r="A686" s="504"/>
      <c r="B686" s="504"/>
      <c r="C686" s="504"/>
      <c r="D686" s="504"/>
      <c r="E686" s="506"/>
      <c r="F686" s="506"/>
      <c r="G686" s="506"/>
      <c r="H686" s="506"/>
      <c r="I686" s="506"/>
      <c r="J686" s="506"/>
      <c r="K686" s="507"/>
      <c r="L686" s="508"/>
      <c r="M686" s="508"/>
      <c r="N686" s="508"/>
      <c r="O686" s="509"/>
      <c r="P686" s="509"/>
    </row>
    <row r="687" spans="1:16" ht="21.75" customHeight="1" x14ac:dyDescent="0.3">
      <c r="A687" s="504"/>
      <c r="B687" s="504"/>
      <c r="C687" s="504"/>
      <c r="D687" s="504"/>
      <c r="E687" s="506"/>
      <c r="F687" s="506"/>
      <c r="G687" s="506"/>
      <c r="H687" s="506"/>
      <c r="I687" s="506"/>
      <c r="J687" s="506"/>
      <c r="K687" s="507"/>
      <c r="L687" s="508"/>
      <c r="M687" s="508"/>
      <c r="N687" s="508"/>
      <c r="O687" s="509"/>
      <c r="P687" s="509"/>
    </row>
    <row r="688" spans="1:16" ht="21.75" customHeight="1" x14ac:dyDescent="0.3">
      <c r="A688" s="504"/>
      <c r="B688" s="504"/>
      <c r="C688" s="504"/>
      <c r="D688" s="504"/>
      <c r="E688" s="506"/>
      <c r="F688" s="506"/>
      <c r="G688" s="506"/>
      <c r="H688" s="506"/>
      <c r="I688" s="506"/>
      <c r="J688" s="506"/>
      <c r="K688" s="507"/>
      <c r="L688" s="508"/>
      <c r="M688" s="508"/>
      <c r="N688" s="508"/>
      <c r="O688" s="509"/>
      <c r="P688" s="509"/>
    </row>
    <row r="689" spans="1:16" ht="21.75" customHeight="1" x14ac:dyDescent="0.3">
      <c r="A689" s="504"/>
      <c r="B689" s="504"/>
      <c r="C689" s="504"/>
      <c r="D689" s="504"/>
      <c r="E689" s="506"/>
      <c r="F689" s="506"/>
      <c r="G689" s="506"/>
      <c r="H689" s="506"/>
      <c r="I689" s="506"/>
      <c r="J689" s="506"/>
      <c r="K689" s="507"/>
      <c r="L689" s="508"/>
      <c r="M689" s="508"/>
      <c r="N689" s="508"/>
      <c r="O689" s="509"/>
      <c r="P689" s="509"/>
    </row>
    <row r="690" spans="1:16" ht="21.75" customHeight="1" x14ac:dyDescent="0.3">
      <c r="A690" s="504"/>
      <c r="B690" s="504"/>
      <c r="C690" s="504"/>
      <c r="D690" s="504"/>
      <c r="E690" s="506"/>
      <c r="F690" s="506"/>
      <c r="G690" s="506"/>
      <c r="H690" s="506"/>
      <c r="I690" s="506"/>
      <c r="J690" s="506"/>
      <c r="K690" s="507"/>
      <c r="L690" s="508"/>
      <c r="M690" s="508"/>
      <c r="N690" s="508"/>
      <c r="O690" s="509"/>
      <c r="P690" s="509"/>
    </row>
    <row r="691" spans="1:16" ht="21.75" customHeight="1" x14ac:dyDescent="0.3">
      <c r="A691" s="504"/>
      <c r="B691" s="504"/>
      <c r="C691" s="504"/>
      <c r="D691" s="504"/>
      <c r="E691" s="506"/>
      <c r="F691" s="506"/>
      <c r="G691" s="506"/>
      <c r="H691" s="506"/>
      <c r="I691" s="506"/>
      <c r="J691" s="506"/>
      <c r="K691" s="507"/>
      <c r="L691" s="508"/>
      <c r="M691" s="508"/>
      <c r="N691" s="508"/>
      <c r="O691" s="509"/>
      <c r="P691" s="509"/>
    </row>
    <row r="692" spans="1:16" ht="21.75" customHeight="1" x14ac:dyDescent="0.3">
      <c r="A692" s="504"/>
      <c r="B692" s="504"/>
      <c r="C692" s="504"/>
      <c r="D692" s="504"/>
      <c r="E692" s="506"/>
      <c r="F692" s="506"/>
      <c r="G692" s="506"/>
      <c r="H692" s="506"/>
      <c r="I692" s="506"/>
      <c r="J692" s="506"/>
      <c r="K692" s="507"/>
      <c r="L692" s="508"/>
      <c r="M692" s="508"/>
      <c r="N692" s="508"/>
      <c r="O692" s="509"/>
      <c r="P692" s="509"/>
    </row>
    <row r="693" spans="1:16" ht="21.75" customHeight="1" x14ac:dyDescent="0.3">
      <c r="A693" s="504"/>
      <c r="B693" s="504"/>
      <c r="C693" s="504"/>
      <c r="D693" s="504"/>
      <c r="E693" s="506"/>
      <c r="F693" s="506"/>
      <c r="G693" s="506"/>
      <c r="H693" s="506"/>
      <c r="I693" s="506"/>
      <c r="J693" s="506"/>
      <c r="K693" s="507"/>
      <c r="L693" s="508"/>
      <c r="M693" s="508"/>
      <c r="N693" s="508"/>
      <c r="O693" s="509"/>
      <c r="P693" s="509"/>
    </row>
    <row r="694" spans="1:16" ht="21.75" customHeight="1" x14ac:dyDescent="0.3">
      <c r="A694" s="504"/>
      <c r="B694" s="504"/>
      <c r="C694" s="504"/>
      <c r="D694" s="504"/>
      <c r="E694" s="506"/>
      <c r="F694" s="506"/>
      <c r="G694" s="506"/>
      <c r="H694" s="506"/>
      <c r="I694" s="506"/>
      <c r="J694" s="506"/>
      <c r="K694" s="507"/>
      <c r="L694" s="508"/>
      <c r="M694" s="508"/>
      <c r="N694" s="508"/>
      <c r="O694" s="509"/>
      <c r="P694" s="509"/>
    </row>
    <row r="695" spans="1:16" ht="21.75" customHeight="1" x14ac:dyDescent="0.3">
      <c r="A695" s="504"/>
      <c r="B695" s="504"/>
      <c r="C695" s="504"/>
      <c r="D695" s="504"/>
      <c r="E695" s="506"/>
      <c r="F695" s="506"/>
      <c r="G695" s="506"/>
      <c r="H695" s="506"/>
      <c r="I695" s="506"/>
      <c r="J695" s="506"/>
      <c r="K695" s="507"/>
      <c r="L695" s="508"/>
      <c r="M695" s="508"/>
      <c r="N695" s="508"/>
      <c r="O695" s="509"/>
      <c r="P695" s="509"/>
    </row>
    <row r="696" spans="1:16" ht="21.75" customHeight="1" x14ac:dyDescent="0.3">
      <c r="A696" s="504"/>
      <c r="B696" s="504"/>
      <c r="C696" s="504"/>
      <c r="D696" s="504"/>
      <c r="E696" s="506"/>
      <c r="F696" s="506"/>
      <c r="G696" s="506"/>
      <c r="H696" s="506"/>
      <c r="I696" s="506"/>
      <c r="J696" s="506"/>
      <c r="K696" s="507"/>
      <c r="L696" s="508"/>
      <c r="M696" s="508"/>
      <c r="N696" s="508"/>
      <c r="O696" s="509"/>
      <c r="P696" s="509"/>
    </row>
    <row r="697" spans="1:16" ht="21.75" customHeight="1" x14ac:dyDescent="0.3">
      <c r="A697" s="504"/>
      <c r="B697" s="504"/>
      <c r="C697" s="504"/>
      <c r="D697" s="504"/>
      <c r="E697" s="506"/>
      <c r="F697" s="506"/>
      <c r="G697" s="506"/>
      <c r="H697" s="506"/>
      <c r="I697" s="506"/>
      <c r="J697" s="506"/>
      <c r="K697" s="507"/>
      <c r="L697" s="508"/>
      <c r="M697" s="508"/>
      <c r="N697" s="508"/>
      <c r="O697" s="509"/>
      <c r="P697" s="509"/>
    </row>
    <row r="698" spans="1:16" ht="21.75" customHeight="1" x14ac:dyDescent="0.3">
      <c r="A698" s="504"/>
      <c r="B698" s="504"/>
      <c r="C698" s="504"/>
      <c r="D698" s="504"/>
      <c r="E698" s="506"/>
      <c r="F698" s="506"/>
      <c r="G698" s="506"/>
      <c r="H698" s="506"/>
      <c r="I698" s="506"/>
      <c r="J698" s="506"/>
      <c r="K698" s="507"/>
      <c r="L698" s="508"/>
      <c r="M698" s="508"/>
      <c r="N698" s="508"/>
      <c r="O698" s="509"/>
      <c r="P698" s="509"/>
    </row>
    <row r="699" spans="1:16" ht="21.75" customHeight="1" x14ac:dyDescent="0.3">
      <c r="A699" s="504"/>
      <c r="B699" s="504"/>
      <c r="C699" s="504"/>
      <c r="D699" s="504"/>
      <c r="E699" s="506"/>
      <c r="F699" s="506"/>
      <c r="G699" s="506"/>
      <c r="H699" s="506"/>
      <c r="I699" s="506"/>
      <c r="J699" s="506"/>
      <c r="K699" s="507"/>
      <c r="L699" s="508"/>
      <c r="M699" s="508"/>
      <c r="N699" s="508"/>
      <c r="O699" s="509"/>
      <c r="P699" s="509"/>
    </row>
    <row r="700" spans="1:16" ht="21.75" customHeight="1" x14ac:dyDescent="0.3">
      <c r="A700" s="504"/>
      <c r="B700" s="504"/>
      <c r="C700" s="504"/>
      <c r="D700" s="504"/>
      <c r="E700" s="506"/>
      <c r="F700" s="506"/>
      <c r="G700" s="506"/>
      <c r="H700" s="506"/>
      <c r="I700" s="506"/>
      <c r="J700" s="506"/>
      <c r="K700" s="507"/>
      <c r="L700" s="508"/>
      <c r="M700" s="508"/>
      <c r="N700" s="508"/>
      <c r="O700" s="509"/>
      <c r="P700" s="509"/>
    </row>
    <row r="701" spans="1:16" ht="21.75" customHeight="1" x14ac:dyDescent="0.3">
      <c r="A701" s="504"/>
      <c r="B701" s="504"/>
      <c r="C701" s="504"/>
      <c r="D701" s="504"/>
      <c r="E701" s="506"/>
      <c r="F701" s="506"/>
      <c r="G701" s="506"/>
      <c r="H701" s="506"/>
      <c r="I701" s="506"/>
      <c r="J701" s="506"/>
      <c r="K701" s="507"/>
      <c r="L701" s="508"/>
      <c r="M701" s="508"/>
      <c r="N701" s="508"/>
      <c r="O701" s="509"/>
      <c r="P701" s="509"/>
    </row>
    <row r="702" spans="1:16" ht="21.75" customHeight="1" x14ac:dyDescent="0.3">
      <c r="A702" s="504"/>
      <c r="B702" s="504"/>
      <c r="C702" s="504"/>
      <c r="D702" s="504"/>
      <c r="E702" s="506"/>
      <c r="F702" s="506"/>
      <c r="G702" s="506"/>
      <c r="H702" s="506"/>
      <c r="I702" s="506"/>
      <c r="J702" s="506"/>
      <c r="K702" s="507"/>
      <c r="L702" s="508"/>
      <c r="M702" s="508"/>
      <c r="N702" s="508"/>
      <c r="O702" s="509"/>
      <c r="P702" s="509"/>
    </row>
    <row r="703" spans="1:16" ht="21.75" customHeight="1" x14ac:dyDescent="0.3">
      <c r="A703" s="504"/>
      <c r="B703" s="504"/>
      <c r="C703" s="504"/>
      <c r="D703" s="504"/>
      <c r="E703" s="506"/>
      <c r="F703" s="506"/>
      <c r="G703" s="506"/>
      <c r="H703" s="506"/>
      <c r="I703" s="506"/>
      <c r="J703" s="506"/>
      <c r="K703" s="507"/>
      <c r="L703" s="508"/>
      <c r="M703" s="508"/>
      <c r="N703" s="508"/>
      <c r="O703" s="509"/>
      <c r="P703" s="509"/>
    </row>
    <row r="704" spans="1:16" ht="21.75" customHeight="1" x14ac:dyDescent="0.3">
      <c r="A704" s="504"/>
      <c r="B704" s="504"/>
      <c r="C704" s="504"/>
      <c r="D704" s="504"/>
      <c r="E704" s="506"/>
      <c r="F704" s="506"/>
      <c r="G704" s="506"/>
      <c r="H704" s="506"/>
      <c r="I704" s="506"/>
      <c r="J704" s="506"/>
      <c r="K704" s="507"/>
      <c r="L704" s="508"/>
      <c r="M704" s="508"/>
      <c r="N704" s="508"/>
      <c r="O704" s="509"/>
      <c r="P704" s="509"/>
    </row>
    <row r="705" spans="1:16" ht="21.75" customHeight="1" x14ac:dyDescent="0.3">
      <c r="A705" s="504"/>
      <c r="B705" s="504"/>
      <c r="C705" s="504"/>
      <c r="D705" s="504"/>
      <c r="E705" s="506"/>
      <c r="F705" s="506"/>
      <c r="G705" s="506"/>
      <c r="H705" s="506"/>
      <c r="I705" s="506"/>
      <c r="J705" s="506"/>
      <c r="K705" s="507"/>
      <c r="L705" s="508"/>
      <c r="M705" s="508"/>
      <c r="N705" s="508"/>
      <c r="O705" s="509"/>
      <c r="P705" s="509"/>
    </row>
    <row r="706" spans="1:16" ht="21.75" customHeight="1" x14ac:dyDescent="0.3">
      <c r="A706" s="504"/>
      <c r="B706" s="504"/>
      <c r="C706" s="504"/>
      <c r="D706" s="504"/>
      <c r="E706" s="506"/>
      <c r="F706" s="506"/>
      <c r="G706" s="506"/>
      <c r="H706" s="506"/>
      <c r="I706" s="506"/>
      <c r="J706" s="506"/>
      <c r="K706" s="507"/>
      <c r="L706" s="508"/>
      <c r="M706" s="508"/>
      <c r="N706" s="508"/>
      <c r="O706" s="509"/>
      <c r="P706" s="509"/>
    </row>
    <row r="707" spans="1:16" ht="21.75" customHeight="1" x14ac:dyDescent="0.3">
      <c r="A707" s="504"/>
      <c r="B707" s="504"/>
      <c r="C707" s="504"/>
      <c r="D707" s="504"/>
      <c r="E707" s="506"/>
      <c r="F707" s="506"/>
      <c r="G707" s="506"/>
      <c r="H707" s="506"/>
      <c r="I707" s="506"/>
      <c r="J707" s="506"/>
      <c r="K707" s="507"/>
      <c r="L707" s="508"/>
      <c r="M707" s="508"/>
      <c r="N707" s="508"/>
      <c r="O707" s="509"/>
      <c r="P707" s="509"/>
    </row>
    <row r="708" spans="1:16" ht="21.75" customHeight="1" x14ac:dyDescent="0.3">
      <c r="A708" s="504"/>
      <c r="B708" s="504"/>
      <c r="C708" s="504"/>
      <c r="D708" s="504"/>
      <c r="E708" s="506"/>
      <c r="F708" s="506"/>
      <c r="G708" s="506"/>
      <c r="H708" s="506"/>
      <c r="I708" s="506"/>
      <c r="J708" s="506"/>
      <c r="K708" s="507"/>
      <c r="L708" s="508"/>
      <c r="M708" s="508"/>
      <c r="N708" s="508"/>
      <c r="O708" s="509"/>
      <c r="P708" s="509"/>
    </row>
    <row r="709" spans="1:16" ht="21.75" customHeight="1" x14ac:dyDescent="0.3">
      <c r="A709" s="504"/>
      <c r="B709" s="504"/>
      <c r="C709" s="504"/>
      <c r="D709" s="504"/>
      <c r="E709" s="506"/>
      <c r="F709" s="506"/>
      <c r="G709" s="506"/>
      <c r="H709" s="506"/>
      <c r="I709" s="506"/>
      <c r="J709" s="506"/>
      <c r="K709" s="507"/>
      <c r="L709" s="508"/>
      <c r="M709" s="508"/>
      <c r="N709" s="508"/>
      <c r="O709" s="509"/>
      <c r="P709" s="509"/>
    </row>
    <row r="710" spans="1:16" ht="21.75" customHeight="1" x14ac:dyDescent="0.3">
      <c r="A710" s="504"/>
      <c r="B710" s="504"/>
      <c r="C710" s="504"/>
      <c r="D710" s="504"/>
      <c r="E710" s="506"/>
      <c r="F710" s="506"/>
      <c r="G710" s="506"/>
      <c r="H710" s="506"/>
      <c r="I710" s="506"/>
      <c r="J710" s="506"/>
      <c r="K710" s="507"/>
      <c r="L710" s="508"/>
      <c r="M710" s="508"/>
      <c r="N710" s="508"/>
      <c r="O710" s="509"/>
      <c r="P710" s="509"/>
    </row>
    <row r="711" spans="1:16" ht="21.75" customHeight="1" x14ac:dyDescent="0.3">
      <c r="A711" s="504"/>
      <c r="B711" s="504"/>
      <c r="C711" s="504"/>
      <c r="D711" s="504"/>
      <c r="E711" s="506"/>
      <c r="F711" s="506"/>
      <c r="G711" s="506"/>
      <c r="H711" s="506"/>
      <c r="I711" s="506"/>
      <c r="J711" s="506"/>
      <c r="K711" s="507"/>
      <c r="L711" s="508"/>
      <c r="M711" s="508"/>
      <c r="N711" s="508"/>
      <c r="O711" s="509"/>
      <c r="P711" s="509"/>
    </row>
    <row r="712" spans="1:16" ht="21.75" customHeight="1" x14ac:dyDescent="0.3">
      <c r="A712" s="504"/>
      <c r="B712" s="504"/>
      <c r="C712" s="504"/>
      <c r="D712" s="504"/>
      <c r="E712" s="506"/>
      <c r="F712" s="506"/>
      <c r="G712" s="506"/>
      <c r="H712" s="506"/>
      <c r="I712" s="506"/>
      <c r="J712" s="506"/>
      <c r="K712" s="507"/>
      <c r="L712" s="508"/>
      <c r="M712" s="508"/>
      <c r="N712" s="508"/>
      <c r="O712" s="509"/>
      <c r="P712" s="509"/>
    </row>
    <row r="713" spans="1:16" ht="21.75" customHeight="1" x14ac:dyDescent="0.3">
      <c r="A713" s="504"/>
      <c r="B713" s="504"/>
      <c r="C713" s="504"/>
      <c r="D713" s="504"/>
      <c r="E713" s="506"/>
      <c r="F713" s="506"/>
      <c r="G713" s="506"/>
      <c r="H713" s="506"/>
      <c r="I713" s="506"/>
      <c r="J713" s="506"/>
      <c r="K713" s="507"/>
      <c r="L713" s="508"/>
      <c r="M713" s="508"/>
      <c r="N713" s="508"/>
      <c r="O713" s="509"/>
      <c r="P713" s="509"/>
    </row>
    <row r="714" spans="1:16" ht="21.75" customHeight="1" x14ac:dyDescent="0.3">
      <c r="A714" s="504"/>
      <c r="B714" s="504"/>
      <c r="C714" s="504"/>
      <c r="D714" s="504"/>
      <c r="E714" s="506"/>
      <c r="F714" s="506"/>
      <c r="G714" s="506"/>
      <c r="H714" s="506"/>
      <c r="I714" s="506"/>
      <c r="J714" s="506"/>
      <c r="K714" s="507"/>
      <c r="L714" s="508"/>
      <c r="M714" s="508"/>
      <c r="N714" s="508"/>
      <c r="O714" s="509"/>
      <c r="P714" s="509"/>
    </row>
    <row r="715" spans="1:16" ht="21.75" customHeight="1" x14ac:dyDescent="0.3">
      <c r="A715" s="504"/>
      <c r="B715" s="504"/>
      <c r="C715" s="504"/>
      <c r="D715" s="504"/>
      <c r="E715" s="506"/>
      <c r="F715" s="506"/>
      <c r="G715" s="506"/>
      <c r="H715" s="506"/>
      <c r="I715" s="506"/>
      <c r="J715" s="506"/>
      <c r="K715" s="507"/>
      <c r="L715" s="508"/>
      <c r="M715" s="508"/>
      <c r="N715" s="508"/>
      <c r="O715" s="509"/>
      <c r="P715" s="509"/>
    </row>
    <row r="716" spans="1:16" ht="21.75" customHeight="1" x14ac:dyDescent="0.3">
      <c r="A716" s="504"/>
      <c r="B716" s="504"/>
      <c r="C716" s="504"/>
      <c r="D716" s="504"/>
      <c r="E716" s="506"/>
      <c r="F716" s="506"/>
      <c r="G716" s="506"/>
      <c r="H716" s="506"/>
      <c r="I716" s="506"/>
      <c r="J716" s="506"/>
      <c r="K716" s="507"/>
      <c r="L716" s="508"/>
      <c r="M716" s="508"/>
      <c r="N716" s="508"/>
      <c r="O716" s="509"/>
      <c r="P716" s="509"/>
    </row>
    <row r="717" spans="1:16" ht="21.75" customHeight="1" x14ac:dyDescent="0.3">
      <c r="A717" s="504"/>
      <c r="B717" s="504"/>
      <c r="C717" s="504"/>
      <c r="D717" s="504"/>
      <c r="E717" s="506"/>
      <c r="F717" s="506"/>
      <c r="G717" s="506"/>
      <c r="H717" s="506"/>
      <c r="I717" s="506"/>
      <c r="J717" s="506"/>
      <c r="K717" s="507"/>
      <c r="L717" s="508"/>
      <c r="M717" s="508"/>
      <c r="N717" s="508"/>
      <c r="O717" s="509"/>
      <c r="P717" s="509"/>
    </row>
    <row r="718" spans="1:16" ht="21.75" customHeight="1" x14ac:dyDescent="0.3">
      <c r="A718" s="504"/>
      <c r="B718" s="504"/>
      <c r="C718" s="504"/>
      <c r="D718" s="504"/>
      <c r="E718" s="506"/>
      <c r="F718" s="506"/>
      <c r="G718" s="506"/>
      <c r="H718" s="506"/>
      <c r="I718" s="506"/>
      <c r="J718" s="506"/>
      <c r="K718" s="507"/>
      <c r="L718" s="508"/>
      <c r="M718" s="508"/>
      <c r="N718" s="508"/>
      <c r="O718" s="509"/>
      <c r="P718" s="509"/>
    </row>
    <row r="719" spans="1:16" ht="21.75" customHeight="1" x14ac:dyDescent="0.3">
      <c r="A719" s="504"/>
      <c r="B719" s="504"/>
      <c r="C719" s="504"/>
      <c r="D719" s="504"/>
      <c r="E719" s="506"/>
      <c r="F719" s="506"/>
      <c r="G719" s="506"/>
      <c r="H719" s="506"/>
      <c r="I719" s="506"/>
      <c r="J719" s="506"/>
      <c r="K719" s="507"/>
      <c r="L719" s="508"/>
      <c r="M719" s="508"/>
      <c r="N719" s="508"/>
      <c r="O719" s="509"/>
      <c r="P719" s="509"/>
    </row>
    <row r="720" spans="1:16" ht="21.75" customHeight="1" x14ac:dyDescent="0.3">
      <c r="A720" s="504"/>
      <c r="B720" s="504"/>
      <c r="C720" s="504"/>
      <c r="D720" s="504"/>
      <c r="E720" s="506"/>
      <c r="F720" s="506"/>
      <c r="G720" s="506"/>
      <c r="H720" s="506"/>
      <c r="I720" s="506"/>
      <c r="J720" s="506"/>
      <c r="K720" s="507"/>
      <c r="L720" s="508"/>
      <c r="M720" s="508"/>
      <c r="N720" s="508"/>
      <c r="O720" s="509"/>
      <c r="P720" s="509"/>
    </row>
    <row r="721" spans="1:16" ht="21.75" customHeight="1" x14ac:dyDescent="0.3">
      <c r="A721" s="504"/>
      <c r="B721" s="504"/>
      <c r="C721" s="504"/>
      <c r="D721" s="504"/>
      <c r="E721" s="506"/>
      <c r="F721" s="506"/>
      <c r="G721" s="506"/>
      <c r="H721" s="506"/>
      <c r="I721" s="506"/>
      <c r="J721" s="506"/>
      <c r="K721" s="507"/>
      <c r="L721" s="508"/>
      <c r="M721" s="508"/>
      <c r="N721" s="508"/>
      <c r="O721" s="509"/>
      <c r="P721" s="509"/>
    </row>
    <row r="722" spans="1:16" ht="21.75" customHeight="1" x14ac:dyDescent="0.3">
      <c r="A722" s="504"/>
      <c r="B722" s="504"/>
      <c r="C722" s="504"/>
      <c r="D722" s="504"/>
      <c r="E722" s="506"/>
      <c r="F722" s="506"/>
      <c r="G722" s="506"/>
      <c r="H722" s="506"/>
      <c r="I722" s="506"/>
      <c r="J722" s="506"/>
      <c r="K722" s="507"/>
      <c r="L722" s="508"/>
      <c r="M722" s="508"/>
      <c r="N722" s="508"/>
      <c r="O722" s="509"/>
      <c r="P722" s="509"/>
    </row>
    <row r="723" spans="1:16" ht="21.75" customHeight="1" x14ac:dyDescent="0.3">
      <c r="A723" s="504"/>
      <c r="B723" s="504"/>
      <c r="C723" s="504"/>
      <c r="D723" s="504"/>
      <c r="E723" s="506"/>
      <c r="F723" s="506"/>
      <c r="G723" s="506"/>
      <c r="H723" s="506"/>
      <c r="I723" s="506"/>
      <c r="J723" s="506"/>
      <c r="K723" s="507"/>
      <c r="L723" s="508"/>
      <c r="M723" s="508"/>
      <c r="N723" s="508"/>
      <c r="O723" s="509"/>
      <c r="P723" s="509"/>
    </row>
    <row r="724" spans="1:16" ht="21.75" customHeight="1" x14ac:dyDescent="0.3">
      <c r="A724" s="504"/>
      <c r="B724" s="504"/>
      <c r="C724" s="504"/>
      <c r="D724" s="504"/>
      <c r="E724" s="506"/>
      <c r="F724" s="506"/>
      <c r="G724" s="506"/>
      <c r="H724" s="506"/>
      <c r="I724" s="506"/>
      <c r="J724" s="506"/>
      <c r="K724" s="507"/>
      <c r="L724" s="508"/>
      <c r="M724" s="508"/>
      <c r="N724" s="508"/>
      <c r="O724" s="509"/>
      <c r="P724" s="509"/>
    </row>
    <row r="725" spans="1:16" ht="21.75" customHeight="1" x14ac:dyDescent="0.3">
      <c r="A725" s="504"/>
      <c r="B725" s="504"/>
      <c r="C725" s="504"/>
      <c r="D725" s="504"/>
      <c r="E725" s="506"/>
      <c r="F725" s="506"/>
      <c r="G725" s="506"/>
      <c r="H725" s="506"/>
      <c r="I725" s="506"/>
      <c r="J725" s="506"/>
      <c r="K725" s="507"/>
      <c r="L725" s="508"/>
      <c r="M725" s="508"/>
      <c r="N725" s="508"/>
      <c r="O725" s="509"/>
      <c r="P725" s="509"/>
    </row>
    <row r="726" spans="1:16" ht="21.75" customHeight="1" x14ac:dyDescent="0.3">
      <c r="A726" s="504"/>
      <c r="B726" s="504"/>
      <c r="C726" s="504"/>
      <c r="D726" s="504"/>
      <c r="E726" s="506"/>
      <c r="F726" s="506"/>
      <c r="G726" s="506"/>
      <c r="H726" s="506"/>
      <c r="I726" s="506"/>
      <c r="J726" s="506"/>
      <c r="K726" s="507"/>
      <c r="L726" s="508"/>
      <c r="M726" s="508"/>
      <c r="N726" s="508"/>
      <c r="O726" s="509"/>
      <c r="P726" s="509"/>
    </row>
    <row r="727" spans="1:16" ht="21.75" customHeight="1" x14ac:dyDescent="0.3">
      <c r="A727" s="504"/>
      <c r="B727" s="504"/>
      <c r="C727" s="504"/>
      <c r="D727" s="504"/>
      <c r="E727" s="506"/>
      <c r="F727" s="506"/>
      <c r="G727" s="506"/>
      <c r="H727" s="506"/>
      <c r="I727" s="506"/>
      <c r="J727" s="506"/>
      <c r="K727" s="507"/>
      <c r="L727" s="508"/>
      <c r="M727" s="508"/>
      <c r="N727" s="508"/>
      <c r="O727" s="509"/>
      <c r="P727" s="509"/>
    </row>
    <row r="728" spans="1:16" ht="21.75" customHeight="1" x14ac:dyDescent="0.3">
      <c r="A728" s="504"/>
      <c r="B728" s="504"/>
      <c r="C728" s="504"/>
      <c r="D728" s="504"/>
      <c r="E728" s="506"/>
      <c r="F728" s="506"/>
      <c r="G728" s="506"/>
      <c r="H728" s="506"/>
      <c r="I728" s="506"/>
      <c r="J728" s="506"/>
      <c r="K728" s="507"/>
      <c r="L728" s="508"/>
      <c r="M728" s="508"/>
      <c r="N728" s="508"/>
      <c r="O728" s="509"/>
      <c r="P728" s="509"/>
    </row>
    <row r="729" spans="1:16" ht="21.75" customHeight="1" x14ac:dyDescent="0.3">
      <c r="A729" s="504"/>
      <c r="B729" s="504"/>
      <c r="C729" s="504"/>
      <c r="D729" s="504"/>
      <c r="E729" s="506"/>
      <c r="F729" s="506"/>
      <c r="G729" s="506"/>
      <c r="H729" s="506"/>
      <c r="I729" s="506"/>
      <c r="J729" s="506"/>
      <c r="K729" s="507"/>
      <c r="L729" s="508"/>
      <c r="M729" s="508"/>
      <c r="N729" s="508"/>
      <c r="O729" s="509"/>
      <c r="P729" s="509"/>
    </row>
    <row r="730" spans="1:16" ht="21.75" customHeight="1" x14ac:dyDescent="0.3">
      <c r="A730" s="504"/>
      <c r="B730" s="504"/>
      <c r="C730" s="504"/>
      <c r="D730" s="504"/>
      <c r="E730" s="506"/>
      <c r="F730" s="506"/>
      <c r="G730" s="506"/>
      <c r="H730" s="506"/>
      <c r="I730" s="506"/>
      <c r="J730" s="506"/>
      <c r="K730" s="507"/>
      <c r="L730" s="508"/>
      <c r="M730" s="508"/>
      <c r="N730" s="508"/>
      <c r="O730" s="509"/>
      <c r="P730" s="509"/>
    </row>
    <row r="731" spans="1:16" ht="21.75" customHeight="1" x14ac:dyDescent="0.3">
      <c r="A731" s="504"/>
      <c r="B731" s="504"/>
      <c r="C731" s="504"/>
      <c r="D731" s="504"/>
      <c r="E731" s="506"/>
      <c r="F731" s="506"/>
      <c r="G731" s="506"/>
      <c r="H731" s="506"/>
      <c r="I731" s="506"/>
      <c r="J731" s="506"/>
      <c r="K731" s="507"/>
      <c r="L731" s="508"/>
      <c r="M731" s="508"/>
      <c r="N731" s="508"/>
      <c r="O731" s="509"/>
      <c r="P731" s="509"/>
    </row>
    <row r="732" spans="1:16" ht="21.75" customHeight="1" x14ac:dyDescent="0.3">
      <c r="A732" s="504"/>
      <c r="B732" s="504"/>
      <c r="C732" s="504"/>
      <c r="D732" s="504"/>
      <c r="E732" s="506"/>
      <c r="F732" s="506"/>
      <c r="G732" s="506"/>
      <c r="H732" s="506"/>
      <c r="I732" s="506"/>
      <c r="J732" s="506"/>
      <c r="K732" s="507"/>
      <c r="L732" s="508"/>
      <c r="M732" s="508"/>
      <c r="N732" s="508"/>
      <c r="O732" s="509"/>
      <c r="P732" s="509"/>
    </row>
    <row r="733" spans="1:16" ht="21.75" customHeight="1" x14ac:dyDescent="0.3">
      <c r="A733" s="504"/>
      <c r="B733" s="504"/>
      <c r="C733" s="504"/>
      <c r="D733" s="504"/>
      <c r="E733" s="506"/>
      <c r="F733" s="506"/>
      <c r="G733" s="506"/>
      <c r="H733" s="506"/>
      <c r="I733" s="506"/>
      <c r="J733" s="506"/>
      <c r="K733" s="507"/>
      <c r="L733" s="508"/>
      <c r="M733" s="508"/>
      <c r="N733" s="508"/>
      <c r="O733" s="509"/>
      <c r="P733" s="509"/>
    </row>
    <row r="734" spans="1:16" ht="21.75" customHeight="1" x14ac:dyDescent="0.3">
      <c r="A734" s="504"/>
      <c r="B734" s="504"/>
      <c r="C734" s="504"/>
      <c r="D734" s="504"/>
      <c r="E734" s="506"/>
      <c r="F734" s="506"/>
      <c r="G734" s="506"/>
      <c r="H734" s="506"/>
      <c r="I734" s="506"/>
      <c r="J734" s="506"/>
      <c r="K734" s="507"/>
      <c r="L734" s="508"/>
      <c r="M734" s="508"/>
      <c r="N734" s="508"/>
      <c r="O734" s="509"/>
      <c r="P734" s="509"/>
    </row>
    <row r="735" spans="1:16" ht="21.75" customHeight="1" x14ac:dyDescent="0.3">
      <c r="A735" s="504"/>
      <c r="B735" s="504"/>
      <c r="C735" s="504"/>
      <c r="D735" s="504"/>
      <c r="E735" s="506"/>
      <c r="F735" s="506"/>
      <c r="G735" s="506"/>
      <c r="H735" s="506"/>
      <c r="I735" s="506"/>
      <c r="J735" s="506"/>
      <c r="K735" s="507"/>
      <c r="L735" s="508"/>
      <c r="M735" s="508"/>
      <c r="N735" s="508"/>
      <c r="O735" s="509"/>
      <c r="P735" s="509"/>
    </row>
    <row r="736" spans="1:16" ht="21.75" customHeight="1" x14ac:dyDescent="0.3">
      <c r="A736" s="504"/>
      <c r="B736" s="504"/>
      <c r="C736" s="504"/>
      <c r="D736" s="504"/>
      <c r="E736" s="506"/>
      <c r="F736" s="506"/>
      <c r="G736" s="506"/>
      <c r="H736" s="506"/>
      <c r="I736" s="506"/>
      <c r="J736" s="506"/>
      <c r="K736" s="507"/>
      <c r="L736" s="508"/>
      <c r="M736" s="508"/>
      <c r="N736" s="508"/>
      <c r="O736" s="509"/>
      <c r="P736" s="509"/>
    </row>
    <row r="737" spans="1:16" ht="21.75" customHeight="1" x14ac:dyDescent="0.3">
      <c r="A737" s="504"/>
      <c r="B737" s="504"/>
      <c r="C737" s="504"/>
      <c r="D737" s="504"/>
      <c r="E737" s="506"/>
      <c r="F737" s="506"/>
      <c r="G737" s="506"/>
      <c r="H737" s="506"/>
      <c r="I737" s="506"/>
      <c r="J737" s="506"/>
      <c r="K737" s="507"/>
      <c r="L737" s="508"/>
      <c r="M737" s="508"/>
      <c r="N737" s="508"/>
      <c r="O737" s="509"/>
      <c r="P737" s="509"/>
    </row>
    <row r="738" spans="1:16" ht="21.75" customHeight="1" x14ac:dyDescent="0.3">
      <c r="A738" s="504"/>
      <c r="B738" s="504"/>
      <c r="C738" s="504"/>
      <c r="D738" s="504"/>
      <c r="E738" s="506"/>
      <c r="F738" s="506"/>
      <c r="G738" s="506"/>
      <c r="H738" s="506"/>
      <c r="I738" s="506"/>
      <c r="J738" s="506"/>
      <c r="K738" s="507"/>
      <c r="L738" s="508"/>
      <c r="M738" s="508"/>
      <c r="N738" s="508"/>
      <c r="O738" s="509"/>
      <c r="P738" s="509"/>
    </row>
    <row r="739" spans="1:16" ht="21.75" customHeight="1" x14ac:dyDescent="0.3">
      <c r="A739" s="504"/>
      <c r="B739" s="504"/>
      <c r="C739" s="504"/>
      <c r="D739" s="504"/>
      <c r="E739" s="506"/>
      <c r="F739" s="506"/>
      <c r="G739" s="506"/>
      <c r="H739" s="506"/>
      <c r="I739" s="506"/>
      <c r="J739" s="506"/>
      <c r="K739" s="507"/>
      <c r="L739" s="508"/>
      <c r="M739" s="508"/>
      <c r="N739" s="508"/>
      <c r="O739" s="509"/>
      <c r="P739" s="509"/>
    </row>
    <row r="740" spans="1:16" ht="21.75" customHeight="1" x14ac:dyDescent="0.3">
      <c r="A740" s="504"/>
      <c r="B740" s="504"/>
      <c r="C740" s="504"/>
      <c r="D740" s="504"/>
      <c r="E740" s="506"/>
      <c r="F740" s="506"/>
      <c r="G740" s="506"/>
      <c r="H740" s="506"/>
      <c r="I740" s="506"/>
      <c r="J740" s="506"/>
      <c r="K740" s="507"/>
      <c r="L740" s="508"/>
      <c r="M740" s="508"/>
      <c r="N740" s="508"/>
      <c r="O740" s="509"/>
      <c r="P740" s="509"/>
    </row>
    <row r="741" spans="1:16" ht="21.75" customHeight="1" x14ac:dyDescent="0.3">
      <c r="A741" s="504"/>
      <c r="B741" s="504"/>
      <c r="C741" s="504"/>
      <c r="D741" s="504"/>
      <c r="E741" s="506"/>
      <c r="F741" s="506"/>
      <c r="G741" s="506"/>
      <c r="H741" s="506"/>
      <c r="I741" s="506"/>
      <c r="J741" s="506"/>
      <c r="K741" s="507"/>
      <c r="L741" s="508"/>
      <c r="M741" s="508"/>
      <c r="N741" s="508"/>
      <c r="O741" s="509"/>
      <c r="P741" s="509"/>
    </row>
    <row r="742" spans="1:16" ht="21.75" customHeight="1" x14ac:dyDescent="0.3">
      <c r="A742" s="504"/>
      <c r="B742" s="504"/>
      <c r="C742" s="504"/>
      <c r="D742" s="504"/>
      <c r="E742" s="506"/>
      <c r="F742" s="506"/>
      <c r="G742" s="506"/>
      <c r="H742" s="506"/>
      <c r="I742" s="506"/>
      <c r="J742" s="506"/>
      <c r="K742" s="507"/>
      <c r="L742" s="508"/>
      <c r="M742" s="508"/>
      <c r="N742" s="508"/>
      <c r="O742" s="509"/>
      <c r="P742" s="509"/>
    </row>
    <row r="743" spans="1:16" ht="21.75" customHeight="1" x14ac:dyDescent="0.3">
      <c r="A743" s="504"/>
      <c r="B743" s="504"/>
      <c r="C743" s="504"/>
      <c r="D743" s="504"/>
      <c r="E743" s="506"/>
      <c r="F743" s="506"/>
      <c r="G743" s="506"/>
      <c r="H743" s="506"/>
      <c r="I743" s="506"/>
      <c r="J743" s="506"/>
      <c r="K743" s="507"/>
      <c r="L743" s="508"/>
      <c r="M743" s="508"/>
      <c r="N743" s="508"/>
      <c r="O743" s="509"/>
      <c r="P743" s="509"/>
    </row>
    <row r="744" spans="1:16" ht="21.75" customHeight="1" x14ac:dyDescent="0.3">
      <c r="A744" s="504"/>
      <c r="B744" s="504"/>
      <c r="C744" s="504"/>
      <c r="D744" s="504"/>
      <c r="E744" s="506"/>
      <c r="F744" s="506"/>
      <c r="G744" s="506"/>
      <c r="H744" s="506"/>
      <c r="I744" s="506"/>
      <c r="J744" s="506"/>
      <c r="K744" s="507"/>
      <c r="L744" s="508"/>
      <c r="M744" s="508"/>
      <c r="N744" s="508"/>
      <c r="O744" s="509"/>
      <c r="P744" s="509"/>
    </row>
    <row r="745" spans="1:16" ht="21.75" customHeight="1" x14ac:dyDescent="0.3">
      <c r="A745" s="504"/>
      <c r="B745" s="504"/>
      <c r="C745" s="504"/>
      <c r="D745" s="504"/>
      <c r="E745" s="506"/>
      <c r="F745" s="506"/>
      <c r="G745" s="506"/>
      <c r="H745" s="506"/>
      <c r="I745" s="506"/>
      <c r="J745" s="506"/>
      <c r="K745" s="507"/>
      <c r="L745" s="508"/>
      <c r="M745" s="508"/>
      <c r="N745" s="508"/>
      <c r="O745" s="509"/>
      <c r="P745" s="509"/>
    </row>
    <row r="746" spans="1:16" ht="21.75" customHeight="1" x14ac:dyDescent="0.3">
      <c r="A746" s="504"/>
      <c r="B746" s="504"/>
      <c r="C746" s="504"/>
      <c r="D746" s="504"/>
      <c r="E746" s="506"/>
      <c r="F746" s="506"/>
      <c r="G746" s="506"/>
      <c r="H746" s="506"/>
      <c r="I746" s="506"/>
      <c r="J746" s="506"/>
      <c r="K746" s="507"/>
      <c r="L746" s="508"/>
      <c r="M746" s="508"/>
      <c r="N746" s="508"/>
      <c r="O746" s="509"/>
      <c r="P746" s="509"/>
    </row>
    <row r="747" spans="1:16" ht="21.75" customHeight="1" x14ac:dyDescent="0.3">
      <c r="A747" s="504"/>
      <c r="B747" s="504"/>
      <c r="C747" s="504"/>
      <c r="D747" s="504"/>
      <c r="E747" s="506"/>
      <c r="F747" s="506"/>
      <c r="G747" s="506"/>
      <c r="H747" s="506"/>
      <c r="I747" s="506"/>
      <c r="J747" s="506"/>
      <c r="K747" s="507"/>
      <c r="L747" s="508"/>
      <c r="M747" s="508"/>
      <c r="N747" s="508"/>
      <c r="O747" s="509"/>
      <c r="P747" s="509"/>
    </row>
    <row r="748" spans="1:16" ht="21.75" customHeight="1" x14ac:dyDescent="0.3">
      <c r="A748" s="504"/>
      <c r="B748" s="504"/>
      <c r="C748" s="504"/>
      <c r="D748" s="504"/>
      <c r="E748" s="506"/>
      <c r="F748" s="506"/>
      <c r="G748" s="506"/>
      <c r="H748" s="506"/>
      <c r="I748" s="506"/>
      <c r="J748" s="506"/>
      <c r="K748" s="507"/>
      <c r="L748" s="508"/>
      <c r="M748" s="508"/>
      <c r="N748" s="508"/>
      <c r="O748" s="509"/>
      <c r="P748" s="509"/>
    </row>
    <row r="749" spans="1:16" ht="21.75" customHeight="1" x14ac:dyDescent="0.3">
      <c r="A749" s="504"/>
      <c r="B749" s="504"/>
      <c r="C749" s="504"/>
      <c r="D749" s="504"/>
      <c r="E749" s="506"/>
      <c r="F749" s="506"/>
      <c r="G749" s="506"/>
      <c r="H749" s="506"/>
      <c r="I749" s="506"/>
      <c r="J749" s="506"/>
      <c r="K749" s="507"/>
      <c r="L749" s="508"/>
      <c r="M749" s="508"/>
      <c r="N749" s="508"/>
      <c r="O749" s="509"/>
      <c r="P749" s="509"/>
    </row>
    <row r="750" spans="1:16" ht="21.75" customHeight="1" x14ac:dyDescent="0.3">
      <c r="A750" s="504"/>
      <c r="B750" s="504"/>
      <c r="C750" s="504"/>
      <c r="D750" s="504"/>
      <c r="E750" s="506"/>
      <c r="F750" s="506"/>
      <c r="G750" s="506"/>
      <c r="H750" s="506"/>
      <c r="I750" s="506"/>
      <c r="J750" s="506"/>
      <c r="K750" s="507"/>
      <c r="L750" s="508"/>
      <c r="M750" s="508"/>
      <c r="N750" s="508"/>
      <c r="O750" s="509"/>
      <c r="P750" s="509"/>
    </row>
    <row r="751" spans="1:16" ht="21.75" customHeight="1" x14ac:dyDescent="0.3">
      <c r="A751" s="504"/>
      <c r="B751" s="504"/>
      <c r="C751" s="504"/>
      <c r="D751" s="504"/>
      <c r="E751" s="506"/>
      <c r="F751" s="506"/>
      <c r="G751" s="506"/>
      <c r="H751" s="506"/>
      <c r="I751" s="506"/>
      <c r="J751" s="506"/>
      <c r="K751" s="507"/>
      <c r="L751" s="508"/>
      <c r="M751" s="508"/>
      <c r="N751" s="508"/>
      <c r="O751" s="509"/>
      <c r="P751" s="509"/>
    </row>
    <row r="752" spans="1:16" ht="21.75" customHeight="1" x14ac:dyDescent="0.3">
      <c r="A752" s="504"/>
      <c r="B752" s="504"/>
      <c r="C752" s="504"/>
      <c r="D752" s="504"/>
      <c r="E752" s="506"/>
      <c r="F752" s="506"/>
      <c r="G752" s="506"/>
      <c r="H752" s="506"/>
      <c r="I752" s="506"/>
      <c r="J752" s="506"/>
      <c r="K752" s="507"/>
      <c r="L752" s="508"/>
      <c r="M752" s="508"/>
      <c r="N752" s="508"/>
      <c r="O752" s="509"/>
      <c r="P752" s="509"/>
    </row>
    <row r="753" spans="1:16" ht="21.75" customHeight="1" x14ac:dyDescent="0.3">
      <c r="A753" s="504"/>
      <c r="B753" s="504"/>
      <c r="C753" s="504"/>
      <c r="D753" s="504"/>
      <c r="E753" s="506"/>
      <c r="F753" s="506"/>
      <c r="G753" s="506"/>
      <c r="H753" s="506"/>
      <c r="I753" s="506"/>
      <c r="J753" s="506"/>
      <c r="K753" s="507"/>
      <c r="L753" s="508"/>
      <c r="M753" s="508"/>
      <c r="N753" s="508"/>
      <c r="O753" s="509"/>
      <c r="P753" s="509"/>
    </row>
    <row r="754" spans="1:16" ht="21.75" customHeight="1" x14ac:dyDescent="0.3">
      <c r="A754" s="504"/>
      <c r="B754" s="504"/>
      <c r="C754" s="504"/>
      <c r="D754" s="504"/>
      <c r="E754" s="506"/>
      <c r="F754" s="506"/>
      <c r="G754" s="506"/>
      <c r="H754" s="506"/>
      <c r="I754" s="506"/>
      <c r="J754" s="506"/>
      <c r="K754" s="507"/>
      <c r="L754" s="508"/>
      <c r="M754" s="508"/>
      <c r="N754" s="508"/>
      <c r="O754" s="509"/>
      <c r="P754" s="509"/>
    </row>
    <row r="755" spans="1:16" ht="21.75" customHeight="1" x14ac:dyDescent="0.3">
      <c r="A755" s="504"/>
      <c r="B755" s="504"/>
      <c r="C755" s="504"/>
      <c r="D755" s="504"/>
      <c r="E755" s="506"/>
      <c r="F755" s="506"/>
      <c r="G755" s="506"/>
      <c r="H755" s="506"/>
      <c r="I755" s="506"/>
      <c r="J755" s="506"/>
      <c r="K755" s="507"/>
      <c r="L755" s="508"/>
      <c r="M755" s="508"/>
      <c r="N755" s="508"/>
      <c r="O755" s="509"/>
      <c r="P755" s="509"/>
    </row>
    <row r="756" spans="1:16" ht="21.75" customHeight="1" x14ac:dyDescent="0.3">
      <c r="A756" s="504"/>
      <c r="B756" s="504"/>
      <c r="C756" s="504"/>
      <c r="D756" s="504"/>
      <c r="E756" s="506"/>
      <c r="F756" s="506"/>
      <c r="G756" s="506"/>
      <c r="H756" s="506"/>
      <c r="I756" s="506"/>
      <c r="J756" s="506"/>
      <c r="K756" s="507"/>
      <c r="L756" s="508"/>
      <c r="M756" s="508"/>
      <c r="N756" s="508"/>
      <c r="O756" s="509"/>
      <c r="P756" s="509"/>
    </row>
    <row r="757" spans="1:16" ht="21.75" customHeight="1" x14ac:dyDescent="0.3">
      <c r="A757" s="504"/>
      <c r="B757" s="504"/>
      <c r="C757" s="504"/>
      <c r="D757" s="504"/>
      <c r="E757" s="506"/>
      <c r="F757" s="506"/>
      <c r="G757" s="506"/>
      <c r="H757" s="506"/>
      <c r="I757" s="506"/>
      <c r="J757" s="506"/>
      <c r="K757" s="507"/>
      <c r="L757" s="508"/>
      <c r="M757" s="508"/>
      <c r="N757" s="508"/>
      <c r="O757" s="509"/>
      <c r="P757" s="509"/>
    </row>
    <row r="758" spans="1:16" ht="21.75" customHeight="1" x14ac:dyDescent="0.3">
      <c r="A758" s="504"/>
      <c r="B758" s="504"/>
      <c r="C758" s="504"/>
      <c r="D758" s="504"/>
      <c r="E758" s="506"/>
      <c r="F758" s="506"/>
      <c r="G758" s="506"/>
      <c r="H758" s="506"/>
      <c r="I758" s="506"/>
      <c r="J758" s="506"/>
      <c r="K758" s="507"/>
      <c r="L758" s="508"/>
      <c r="M758" s="508"/>
      <c r="N758" s="508"/>
      <c r="O758" s="509"/>
      <c r="P758" s="509"/>
    </row>
    <row r="759" spans="1:16" ht="21.75" customHeight="1" x14ac:dyDescent="0.3">
      <c r="A759" s="504"/>
      <c r="B759" s="504"/>
      <c r="C759" s="504"/>
      <c r="D759" s="504"/>
      <c r="E759" s="506"/>
      <c r="F759" s="506"/>
      <c r="G759" s="506"/>
      <c r="H759" s="506"/>
      <c r="I759" s="506"/>
      <c r="J759" s="506"/>
      <c r="K759" s="507"/>
      <c r="L759" s="508"/>
      <c r="M759" s="508"/>
      <c r="N759" s="508"/>
      <c r="O759" s="509"/>
      <c r="P759" s="509"/>
    </row>
    <row r="760" spans="1:16" ht="21.75" customHeight="1" x14ac:dyDescent="0.3">
      <c r="A760" s="504"/>
      <c r="B760" s="504"/>
      <c r="C760" s="504"/>
      <c r="D760" s="504"/>
      <c r="E760" s="506"/>
      <c r="F760" s="506"/>
      <c r="G760" s="506"/>
      <c r="H760" s="506"/>
      <c r="I760" s="506"/>
      <c r="J760" s="506"/>
      <c r="K760" s="507"/>
      <c r="L760" s="508"/>
      <c r="M760" s="508"/>
      <c r="N760" s="508"/>
      <c r="O760" s="509"/>
      <c r="P760" s="509"/>
    </row>
    <row r="761" spans="1:16" ht="21.75" customHeight="1" x14ac:dyDescent="0.3">
      <c r="A761" s="504"/>
      <c r="B761" s="504"/>
      <c r="C761" s="504"/>
      <c r="D761" s="504"/>
      <c r="E761" s="506"/>
      <c r="F761" s="506"/>
      <c r="G761" s="506"/>
      <c r="H761" s="506"/>
      <c r="I761" s="506"/>
      <c r="J761" s="506"/>
      <c r="K761" s="507"/>
      <c r="L761" s="508"/>
      <c r="M761" s="508"/>
      <c r="N761" s="508"/>
      <c r="O761" s="509"/>
      <c r="P761" s="509"/>
    </row>
    <row r="762" spans="1:16" ht="21.75" customHeight="1" x14ac:dyDescent="0.3">
      <c r="A762" s="504"/>
      <c r="B762" s="504"/>
      <c r="C762" s="504"/>
      <c r="D762" s="504"/>
      <c r="E762" s="506"/>
      <c r="F762" s="506"/>
      <c r="G762" s="506"/>
      <c r="H762" s="506"/>
      <c r="I762" s="506"/>
      <c r="J762" s="506"/>
      <c r="K762" s="507"/>
      <c r="L762" s="508"/>
      <c r="M762" s="508"/>
      <c r="N762" s="508"/>
      <c r="O762" s="509"/>
      <c r="P762" s="509"/>
    </row>
    <row r="763" spans="1:16" ht="21.75" customHeight="1" x14ac:dyDescent="0.3">
      <c r="A763" s="504"/>
      <c r="B763" s="504"/>
      <c r="C763" s="504"/>
      <c r="D763" s="504"/>
      <c r="E763" s="506"/>
      <c r="F763" s="506"/>
      <c r="G763" s="506"/>
      <c r="H763" s="506"/>
      <c r="I763" s="506"/>
      <c r="J763" s="506"/>
      <c r="K763" s="507"/>
      <c r="L763" s="508"/>
      <c r="M763" s="508"/>
      <c r="N763" s="508"/>
      <c r="O763" s="509"/>
      <c r="P763" s="509"/>
    </row>
    <row r="764" spans="1:16" ht="21.75" customHeight="1" x14ac:dyDescent="0.3">
      <c r="A764" s="504"/>
      <c r="B764" s="504"/>
      <c r="C764" s="504"/>
      <c r="D764" s="504"/>
      <c r="E764" s="506"/>
      <c r="F764" s="506"/>
      <c r="G764" s="506"/>
      <c r="H764" s="506"/>
      <c r="I764" s="506"/>
      <c r="J764" s="506"/>
      <c r="K764" s="507"/>
      <c r="L764" s="508"/>
      <c r="M764" s="508"/>
      <c r="N764" s="508"/>
      <c r="O764" s="509"/>
      <c r="P764" s="509"/>
    </row>
    <row r="765" spans="1:16" ht="21.75" customHeight="1" x14ac:dyDescent="0.3">
      <c r="A765" s="504"/>
      <c r="B765" s="504"/>
      <c r="C765" s="504"/>
      <c r="D765" s="504"/>
      <c r="E765" s="506"/>
      <c r="F765" s="506"/>
      <c r="G765" s="506"/>
      <c r="H765" s="506"/>
      <c r="I765" s="506"/>
      <c r="J765" s="506"/>
      <c r="K765" s="507"/>
      <c r="L765" s="508"/>
      <c r="M765" s="508"/>
      <c r="N765" s="508"/>
      <c r="O765" s="509"/>
      <c r="P765" s="509"/>
    </row>
    <row r="766" spans="1:16" ht="21.75" customHeight="1" x14ac:dyDescent="0.3">
      <c r="A766" s="504"/>
      <c r="B766" s="504"/>
      <c r="C766" s="504"/>
      <c r="D766" s="504"/>
      <c r="E766" s="506"/>
      <c r="F766" s="506"/>
      <c r="G766" s="506"/>
      <c r="H766" s="506"/>
      <c r="I766" s="506"/>
      <c r="J766" s="506"/>
      <c r="K766" s="507"/>
      <c r="L766" s="508"/>
      <c r="M766" s="508"/>
      <c r="N766" s="508"/>
      <c r="O766" s="509"/>
      <c r="P766" s="509"/>
    </row>
    <row r="767" spans="1:16" ht="21.75" customHeight="1" x14ac:dyDescent="0.3">
      <c r="A767" s="504"/>
      <c r="B767" s="504"/>
      <c r="C767" s="504"/>
      <c r="D767" s="504"/>
      <c r="E767" s="506"/>
      <c r="F767" s="506"/>
      <c r="G767" s="506"/>
      <c r="H767" s="506"/>
      <c r="I767" s="506"/>
      <c r="J767" s="506"/>
      <c r="K767" s="507"/>
      <c r="L767" s="508"/>
      <c r="M767" s="508"/>
      <c r="N767" s="508"/>
      <c r="O767" s="509"/>
      <c r="P767" s="509"/>
    </row>
    <row r="768" spans="1:16" ht="21.75" customHeight="1" x14ac:dyDescent="0.3">
      <c r="A768" s="504"/>
      <c r="B768" s="504"/>
      <c r="C768" s="504"/>
      <c r="D768" s="504"/>
      <c r="E768" s="506"/>
      <c r="F768" s="506"/>
      <c r="G768" s="506"/>
      <c r="H768" s="506"/>
      <c r="I768" s="506"/>
      <c r="J768" s="506"/>
      <c r="K768" s="507"/>
      <c r="L768" s="508"/>
      <c r="M768" s="508"/>
      <c r="N768" s="508"/>
      <c r="O768" s="509"/>
      <c r="P768" s="509"/>
    </row>
    <row r="769" spans="1:16" ht="21.75" customHeight="1" x14ac:dyDescent="0.3">
      <c r="A769" s="504"/>
      <c r="B769" s="504"/>
      <c r="C769" s="504"/>
      <c r="D769" s="504"/>
      <c r="E769" s="506"/>
      <c r="F769" s="506"/>
      <c r="G769" s="506"/>
      <c r="H769" s="506"/>
      <c r="I769" s="506"/>
      <c r="J769" s="506"/>
      <c r="K769" s="507"/>
      <c r="L769" s="508"/>
      <c r="M769" s="508"/>
      <c r="N769" s="508"/>
      <c r="O769" s="509"/>
      <c r="P769" s="509"/>
    </row>
    <row r="770" spans="1:16" ht="21.75" customHeight="1" x14ac:dyDescent="0.3">
      <c r="A770" s="504"/>
      <c r="B770" s="504"/>
      <c r="C770" s="504"/>
      <c r="D770" s="504"/>
      <c r="E770" s="506"/>
      <c r="F770" s="506"/>
      <c r="G770" s="506"/>
      <c r="H770" s="506"/>
      <c r="I770" s="506"/>
      <c r="J770" s="506"/>
      <c r="K770" s="507"/>
      <c r="L770" s="508"/>
      <c r="M770" s="508"/>
      <c r="N770" s="508"/>
      <c r="O770" s="509"/>
      <c r="P770" s="509"/>
    </row>
    <row r="771" spans="1:16" ht="21.75" customHeight="1" x14ac:dyDescent="0.3">
      <c r="A771" s="504"/>
      <c r="B771" s="504"/>
      <c r="C771" s="504"/>
      <c r="D771" s="504"/>
      <c r="E771" s="506"/>
      <c r="F771" s="506"/>
      <c r="G771" s="506"/>
      <c r="H771" s="506"/>
      <c r="I771" s="506"/>
      <c r="J771" s="506"/>
      <c r="K771" s="507"/>
      <c r="L771" s="508"/>
      <c r="M771" s="508"/>
      <c r="N771" s="508"/>
      <c r="O771" s="509"/>
      <c r="P771" s="509"/>
    </row>
    <row r="772" spans="1:16" ht="21.75" customHeight="1" x14ac:dyDescent="0.3">
      <c r="A772" s="504"/>
      <c r="B772" s="504"/>
      <c r="C772" s="504"/>
      <c r="D772" s="504"/>
      <c r="E772" s="506"/>
      <c r="F772" s="506"/>
      <c r="G772" s="506"/>
      <c r="H772" s="506"/>
      <c r="I772" s="506"/>
      <c r="J772" s="506"/>
      <c r="K772" s="507"/>
      <c r="L772" s="508"/>
      <c r="M772" s="508"/>
      <c r="N772" s="508"/>
      <c r="O772" s="509"/>
      <c r="P772" s="509"/>
    </row>
    <row r="773" spans="1:16" ht="21.75" customHeight="1" x14ac:dyDescent="0.3">
      <c r="A773" s="504"/>
      <c r="B773" s="504"/>
      <c r="C773" s="504"/>
      <c r="D773" s="504"/>
      <c r="E773" s="506"/>
      <c r="F773" s="506"/>
      <c r="G773" s="506"/>
      <c r="H773" s="506"/>
      <c r="I773" s="506"/>
      <c r="J773" s="506"/>
      <c r="K773" s="507"/>
      <c r="L773" s="508"/>
      <c r="M773" s="508"/>
      <c r="N773" s="508"/>
      <c r="O773" s="509"/>
      <c r="P773" s="509"/>
    </row>
    <row r="774" spans="1:16" ht="21.75" customHeight="1" x14ac:dyDescent="0.3">
      <c r="A774" s="504"/>
      <c r="B774" s="504"/>
      <c r="C774" s="504"/>
      <c r="D774" s="504"/>
      <c r="E774" s="506"/>
      <c r="F774" s="506"/>
      <c r="G774" s="506"/>
      <c r="H774" s="506"/>
      <c r="I774" s="506"/>
      <c r="J774" s="506"/>
      <c r="K774" s="507"/>
      <c r="L774" s="508"/>
      <c r="M774" s="508"/>
      <c r="N774" s="508"/>
      <c r="O774" s="509"/>
      <c r="P774" s="509"/>
    </row>
    <row r="775" spans="1:16" ht="21.75" customHeight="1" x14ac:dyDescent="0.3">
      <c r="A775" s="504"/>
      <c r="B775" s="504"/>
      <c r="C775" s="504"/>
      <c r="D775" s="504"/>
      <c r="E775" s="506"/>
      <c r="F775" s="506"/>
      <c r="G775" s="506"/>
      <c r="H775" s="506"/>
      <c r="I775" s="506"/>
      <c r="J775" s="506"/>
      <c r="K775" s="507"/>
      <c r="L775" s="508"/>
      <c r="M775" s="508"/>
      <c r="N775" s="508"/>
      <c r="O775" s="509"/>
      <c r="P775" s="509"/>
    </row>
    <row r="776" spans="1:16" ht="21.75" customHeight="1" x14ac:dyDescent="0.3">
      <c r="A776" s="504"/>
      <c r="B776" s="504"/>
      <c r="C776" s="504"/>
      <c r="D776" s="504"/>
      <c r="E776" s="506"/>
      <c r="F776" s="506"/>
      <c r="G776" s="506"/>
      <c r="H776" s="506"/>
      <c r="I776" s="506"/>
      <c r="J776" s="506"/>
      <c r="K776" s="507"/>
      <c r="L776" s="508"/>
      <c r="M776" s="508"/>
      <c r="N776" s="508"/>
      <c r="O776" s="509"/>
      <c r="P776" s="509"/>
    </row>
    <row r="777" spans="1:16" ht="21.75" customHeight="1" x14ac:dyDescent="0.3">
      <c r="A777" s="504"/>
      <c r="B777" s="504"/>
      <c r="C777" s="504"/>
      <c r="D777" s="504"/>
      <c r="E777" s="506"/>
      <c r="F777" s="506"/>
      <c r="G777" s="506"/>
      <c r="H777" s="506"/>
      <c r="I777" s="506"/>
      <c r="J777" s="506"/>
      <c r="K777" s="507"/>
      <c r="L777" s="508"/>
      <c r="M777" s="508"/>
      <c r="N777" s="508"/>
      <c r="O777" s="509"/>
      <c r="P777" s="509"/>
    </row>
    <row r="778" spans="1:16" ht="21.75" customHeight="1" x14ac:dyDescent="0.3">
      <c r="A778" s="504"/>
      <c r="B778" s="504"/>
      <c r="C778" s="504"/>
      <c r="D778" s="504"/>
      <c r="E778" s="506"/>
      <c r="F778" s="506"/>
      <c r="G778" s="506"/>
      <c r="H778" s="506"/>
      <c r="I778" s="506"/>
      <c r="J778" s="506"/>
      <c r="K778" s="507"/>
      <c r="L778" s="508"/>
      <c r="M778" s="508"/>
      <c r="N778" s="508"/>
      <c r="O778" s="509"/>
      <c r="P778" s="509"/>
    </row>
    <row r="779" spans="1:16" ht="21.75" customHeight="1" x14ac:dyDescent="0.3">
      <c r="A779" s="504"/>
      <c r="B779" s="504"/>
      <c r="C779" s="504"/>
      <c r="D779" s="504"/>
      <c r="E779" s="506"/>
      <c r="F779" s="506"/>
      <c r="G779" s="506"/>
      <c r="H779" s="506"/>
      <c r="I779" s="506"/>
      <c r="J779" s="506"/>
      <c r="K779" s="507"/>
      <c r="L779" s="508"/>
      <c r="M779" s="508"/>
      <c r="N779" s="508"/>
      <c r="O779" s="509"/>
      <c r="P779" s="509"/>
    </row>
    <row r="780" spans="1:16" ht="21.75" customHeight="1" x14ac:dyDescent="0.3">
      <c r="A780" s="504"/>
      <c r="B780" s="504"/>
      <c r="C780" s="504"/>
      <c r="D780" s="504"/>
      <c r="E780" s="506"/>
      <c r="F780" s="506"/>
      <c r="G780" s="506"/>
      <c r="H780" s="506"/>
      <c r="I780" s="506"/>
      <c r="J780" s="506"/>
      <c r="K780" s="507"/>
      <c r="L780" s="508"/>
      <c r="M780" s="508"/>
      <c r="N780" s="508"/>
      <c r="O780" s="509"/>
      <c r="P780" s="509"/>
    </row>
    <row r="781" spans="1:16" ht="21.75" customHeight="1" x14ac:dyDescent="0.3">
      <c r="A781" s="504"/>
      <c r="B781" s="504"/>
      <c r="C781" s="504"/>
      <c r="D781" s="504"/>
      <c r="E781" s="506"/>
      <c r="F781" s="506"/>
      <c r="G781" s="506"/>
      <c r="H781" s="506"/>
      <c r="I781" s="506"/>
      <c r="J781" s="506"/>
      <c r="K781" s="507"/>
      <c r="L781" s="508"/>
      <c r="M781" s="508"/>
      <c r="N781" s="508"/>
      <c r="O781" s="509"/>
      <c r="P781" s="509"/>
    </row>
    <row r="782" spans="1:16" ht="21.75" customHeight="1" x14ac:dyDescent="0.3">
      <c r="A782" s="504"/>
      <c r="B782" s="504"/>
      <c r="C782" s="504"/>
      <c r="D782" s="504"/>
      <c r="E782" s="506"/>
      <c r="F782" s="506"/>
      <c r="G782" s="506"/>
      <c r="H782" s="506"/>
      <c r="I782" s="506"/>
      <c r="J782" s="506"/>
      <c r="K782" s="507"/>
      <c r="L782" s="508"/>
      <c r="M782" s="508"/>
      <c r="N782" s="508"/>
      <c r="O782" s="509"/>
      <c r="P782" s="509"/>
    </row>
    <row r="783" spans="1:16" ht="21.75" customHeight="1" x14ac:dyDescent="0.3">
      <c r="A783" s="504"/>
      <c r="B783" s="504"/>
      <c r="C783" s="504"/>
      <c r="D783" s="504"/>
      <c r="E783" s="506"/>
      <c r="F783" s="506"/>
      <c r="G783" s="506"/>
      <c r="H783" s="506"/>
      <c r="I783" s="506"/>
      <c r="J783" s="506"/>
      <c r="K783" s="507"/>
      <c r="L783" s="508"/>
      <c r="M783" s="508"/>
      <c r="N783" s="508"/>
      <c r="O783" s="509"/>
      <c r="P783" s="509"/>
    </row>
    <row r="784" spans="1:16" ht="21.75" customHeight="1" x14ac:dyDescent="0.3">
      <c r="A784" s="504"/>
      <c r="B784" s="504"/>
      <c r="C784" s="504"/>
      <c r="D784" s="504"/>
      <c r="E784" s="506"/>
      <c r="F784" s="506"/>
      <c r="G784" s="506"/>
      <c r="H784" s="506"/>
      <c r="I784" s="506"/>
      <c r="J784" s="506"/>
      <c r="K784" s="507"/>
      <c r="L784" s="508"/>
      <c r="M784" s="508"/>
      <c r="N784" s="508"/>
      <c r="O784" s="509"/>
      <c r="P784" s="509"/>
    </row>
    <row r="785" spans="1:16" ht="21.75" customHeight="1" x14ac:dyDescent="0.3">
      <c r="A785" s="504"/>
      <c r="B785" s="504"/>
      <c r="C785" s="504"/>
      <c r="D785" s="504"/>
      <c r="E785" s="506"/>
      <c r="F785" s="506"/>
      <c r="G785" s="506"/>
      <c r="H785" s="506"/>
      <c r="I785" s="506"/>
      <c r="J785" s="506"/>
      <c r="K785" s="507"/>
      <c r="L785" s="508"/>
      <c r="M785" s="508"/>
      <c r="N785" s="508"/>
      <c r="O785" s="509"/>
      <c r="P785" s="509"/>
    </row>
    <row r="786" spans="1:16" ht="21.75" customHeight="1" x14ac:dyDescent="0.3">
      <c r="A786" s="504"/>
      <c r="B786" s="504"/>
      <c r="C786" s="504"/>
      <c r="D786" s="504"/>
      <c r="E786" s="506"/>
      <c r="F786" s="506"/>
      <c r="G786" s="506"/>
      <c r="H786" s="506"/>
      <c r="I786" s="506"/>
      <c r="J786" s="506"/>
      <c r="K786" s="507"/>
      <c r="L786" s="508"/>
      <c r="M786" s="508"/>
      <c r="N786" s="508"/>
      <c r="O786" s="509"/>
      <c r="P786" s="509"/>
    </row>
    <row r="787" spans="1:16" ht="21.75" customHeight="1" x14ac:dyDescent="0.3">
      <c r="A787" s="504"/>
      <c r="B787" s="504"/>
      <c r="C787" s="504"/>
      <c r="D787" s="504"/>
      <c r="E787" s="506"/>
      <c r="F787" s="506"/>
      <c r="G787" s="506"/>
      <c r="H787" s="506"/>
      <c r="I787" s="506"/>
      <c r="J787" s="506"/>
      <c r="K787" s="507"/>
      <c r="L787" s="508"/>
      <c r="M787" s="508"/>
      <c r="N787" s="508"/>
      <c r="O787" s="509"/>
      <c r="P787" s="509"/>
    </row>
    <row r="788" spans="1:16" ht="21.75" customHeight="1" x14ac:dyDescent="0.3">
      <c r="A788" s="504"/>
      <c r="B788" s="504"/>
      <c r="C788" s="504"/>
      <c r="D788" s="504"/>
      <c r="E788" s="506"/>
      <c r="F788" s="506"/>
      <c r="G788" s="506"/>
      <c r="H788" s="506"/>
      <c r="I788" s="506"/>
      <c r="J788" s="506"/>
      <c r="K788" s="507"/>
      <c r="L788" s="508"/>
      <c r="M788" s="508"/>
      <c r="N788" s="508"/>
      <c r="O788" s="509"/>
      <c r="P788" s="509"/>
    </row>
    <row r="789" spans="1:16" ht="21.75" customHeight="1" x14ac:dyDescent="0.3">
      <c r="A789" s="504"/>
      <c r="B789" s="504"/>
      <c r="C789" s="504"/>
      <c r="D789" s="504"/>
      <c r="E789" s="506"/>
      <c r="F789" s="506"/>
      <c r="G789" s="506"/>
      <c r="H789" s="506"/>
      <c r="I789" s="506"/>
      <c r="J789" s="506"/>
      <c r="K789" s="507"/>
      <c r="L789" s="508"/>
      <c r="M789" s="508"/>
      <c r="N789" s="508"/>
      <c r="O789" s="509"/>
      <c r="P789" s="509"/>
    </row>
    <row r="790" spans="1:16" ht="21.75" customHeight="1" x14ac:dyDescent="0.3">
      <c r="A790" s="504"/>
      <c r="B790" s="504"/>
      <c r="C790" s="504"/>
      <c r="D790" s="504"/>
      <c r="E790" s="506"/>
      <c r="F790" s="506"/>
      <c r="G790" s="506"/>
      <c r="H790" s="506"/>
      <c r="I790" s="506"/>
      <c r="J790" s="506"/>
      <c r="K790" s="507"/>
      <c r="L790" s="508"/>
      <c r="M790" s="508"/>
      <c r="N790" s="508"/>
      <c r="O790" s="509"/>
      <c r="P790" s="509"/>
    </row>
    <row r="791" spans="1:16" ht="21.75" customHeight="1" x14ac:dyDescent="0.3">
      <c r="A791" s="504"/>
      <c r="B791" s="504"/>
      <c r="C791" s="504"/>
      <c r="D791" s="504"/>
      <c r="E791" s="506"/>
      <c r="F791" s="506"/>
      <c r="G791" s="506"/>
      <c r="H791" s="506"/>
      <c r="I791" s="506"/>
      <c r="J791" s="506"/>
      <c r="K791" s="507"/>
      <c r="L791" s="508"/>
      <c r="M791" s="508"/>
      <c r="N791" s="508"/>
      <c r="O791" s="509"/>
      <c r="P791" s="509"/>
    </row>
    <row r="792" spans="1:16" ht="21.75" customHeight="1" x14ac:dyDescent="0.3">
      <c r="A792" s="504"/>
      <c r="B792" s="504"/>
      <c r="C792" s="504"/>
      <c r="D792" s="504"/>
      <c r="E792" s="506"/>
      <c r="F792" s="506"/>
      <c r="G792" s="506"/>
      <c r="H792" s="506"/>
      <c r="I792" s="506"/>
      <c r="J792" s="506"/>
      <c r="K792" s="507"/>
      <c r="L792" s="508"/>
      <c r="M792" s="508"/>
      <c r="N792" s="508"/>
      <c r="O792" s="509"/>
      <c r="P792" s="509"/>
    </row>
    <row r="793" spans="1:16" ht="21.75" customHeight="1" x14ac:dyDescent="0.3">
      <c r="A793" s="504"/>
      <c r="B793" s="504"/>
      <c r="C793" s="504"/>
      <c r="D793" s="504"/>
      <c r="E793" s="506"/>
      <c r="F793" s="506"/>
      <c r="G793" s="506"/>
      <c r="H793" s="506"/>
      <c r="I793" s="506"/>
      <c r="J793" s="506"/>
      <c r="K793" s="507"/>
      <c r="L793" s="508"/>
      <c r="M793" s="508"/>
      <c r="N793" s="508"/>
      <c r="O793" s="509"/>
      <c r="P793" s="509"/>
    </row>
    <row r="794" spans="1:16" ht="21.75" customHeight="1" x14ac:dyDescent="0.3">
      <c r="A794" s="504"/>
      <c r="B794" s="504"/>
      <c r="C794" s="504"/>
      <c r="D794" s="504"/>
      <c r="E794" s="506"/>
      <c r="F794" s="506"/>
      <c r="G794" s="506"/>
      <c r="H794" s="506"/>
      <c r="I794" s="506"/>
      <c r="J794" s="506"/>
      <c r="K794" s="507"/>
      <c r="L794" s="508"/>
      <c r="M794" s="508"/>
      <c r="N794" s="508"/>
      <c r="O794" s="509"/>
      <c r="P794" s="509"/>
    </row>
    <row r="795" spans="1:16" ht="21.75" customHeight="1" x14ac:dyDescent="0.3">
      <c r="A795" s="504"/>
      <c r="B795" s="504"/>
      <c r="C795" s="504"/>
      <c r="D795" s="504"/>
      <c r="E795" s="506"/>
      <c r="F795" s="506"/>
      <c r="G795" s="506"/>
      <c r="H795" s="506"/>
      <c r="I795" s="506"/>
      <c r="J795" s="506"/>
      <c r="K795" s="507"/>
      <c r="L795" s="508"/>
      <c r="M795" s="508"/>
      <c r="N795" s="508"/>
      <c r="O795" s="509"/>
      <c r="P795" s="509"/>
    </row>
    <row r="796" spans="1:16" ht="21.75" customHeight="1" x14ac:dyDescent="0.3">
      <c r="A796" s="504"/>
      <c r="B796" s="504"/>
      <c r="C796" s="504"/>
      <c r="D796" s="504"/>
      <c r="E796" s="506"/>
      <c r="F796" s="506"/>
      <c r="G796" s="506"/>
      <c r="H796" s="506"/>
      <c r="I796" s="506"/>
      <c r="J796" s="506"/>
      <c r="K796" s="507"/>
      <c r="L796" s="508"/>
      <c r="M796" s="508"/>
      <c r="N796" s="508"/>
      <c r="O796" s="509"/>
      <c r="P796" s="509"/>
    </row>
    <row r="797" spans="1:16" ht="21.75" customHeight="1" x14ac:dyDescent="0.3">
      <c r="A797" s="504"/>
      <c r="B797" s="504"/>
      <c r="C797" s="504"/>
      <c r="D797" s="504"/>
      <c r="E797" s="506"/>
      <c r="F797" s="506"/>
      <c r="G797" s="506"/>
      <c r="H797" s="506"/>
      <c r="I797" s="506"/>
      <c r="J797" s="506"/>
      <c r="K797" s="507"/>
      <c r="L797" s="508"/>
      <c r="M797" s="508"/>
      <c r="N797" s="508"/>
      <c r="O797" s="509"/>
      <c r="P797" s="509"/>
    </row>
    <row r="798" spans="1:16" ht="21.75" customHeight="1" x14ac:dyDescent="0.3">
      <c r="A798" s="504"/>
      <c r="B798" s="504"/>
      <c r="C798" s="504"/>
      <c r="D798" s="504"/>
      <c r="E798" s="506"/>
      <c r="F798" s="506"/>
      <c r="G798" s="506"/>
      <c r="H798" s="506"/>
      <c r="I798" s="506"/>
      <c r="J798" s="506"/>
      <c r="K798" s="507"/>
      <c r="L798" s="508"/>
      <c r="M798" s="508"/>
      <c r="N798" s="508"/>
      <c r="O798" s="509"/>
      <c r="P798" s="509"/>
    </row>
    <row r="799" spans="1:16" ht="21.75" customHeight="1" x14ac:dyDescent="0.3">
      <c r="A799" s="504"/>
      <c r="B799" s="504"/>
      <c r="C799" s="504"/>
      <c r="D799" s="504"/>
      <c r="E799" s="506"/>
      <c r="F799" s="506"/>
      <c r="G799" s="506"/>
      <c r="H799" s="506"/>
      <c r="I799" s="506"/>
      <c r="J799" s="506"/>
      <c r="K799" s="507"/>
      <c r="L799" s="508"/>
      <c r="M799" s="508"/>
      <c r="N799" s="508"/>
      <c r="O799" s="509"/>
      <c r="P799" s="509"/>
    </row>
    <row r="800" spans="1:16" ht="21.75" customHeight="1" x14ac:dyDescent="0.3">
      <c r="A800" s="504"/>
      <c r="B800" s="504"/>
      <c r="C800" s="504"/>
      <c r="D800" s="504"/>
      <c r="E800" s="506"/>
      <c r="F800" s="506"/>
      <c r="G800" s="506"/>
      <c r="H800" s="506"/>
      <c r="I800" s="506"/>
      <c r="J800" s="506"/>
      <c r="K800" s="507"/>
      <c r="L800" s="508"/>
      <c r="M800" s="508"/>
      <c r="N800" s="508"/>
      <c r="O800" s="509"/>
      <c r="P800" s="509"/>
    </row>
    <row r="801" spans="1:16" ht="21.75" customHeight="1" x14ac:dyDescent="0.3">
      <c r="A801" s="504"/>
      <c r="B801" s="504"/>
      <c r="C801" s="504"/>
      <c r="D801" s="504"/>
      <c r="E801" s="506"/>
      <c r="F801" s="506"/>
      <c r="G801" s="506"/>
      <c r="H801" s="506"/>
      <c r="I801" s="506"/>
      <c r="J801" s="506"/>
      <c r="K801" s="507"/>
      <c r="L801" s="508"/>
      <c r="M801" s="508"/>
      <c r="N801" s="508"/>
      <c r="O801" s="509"/>
      <c r="P801" s="509"/>
    </row>
    <row r="802" spans="1:16" ht="21.75" customHeight="1" x14ac:dyDescent="0.3">
      <c r="A802" s="504"/>
      <c r="B802" s="504"/>
      <c r="C802" s="504"/>
      <c r="D802" s="504"/>
      <c r="E802" s="506"/>
      <c r="F802" s="506"/>
      <c r="G802" s="506"/>
      <c r="H802" s="506"/>
      <c r="I802" s="506"/>
      <c r="J802" s="506"/>
      <c r="K802" s="507"/>
      <c r="L802" s="508"/>
      <c r="M802" s="508"/>
      <c r="N802" s="508"/>
      <c r="O802" s="509"/>
      <c r="P802" s="509"/>
    </row>
    <row r="803" spans="1:16" ht="21.75" customHeight="1" x14ac:dyDescent="0.3">
      <c r="A803" s="504"/>
      <c r="B803" s="504"/>
      <c r="C803" s="504"/>
      <c r="D803" s="504"/>
      <c r="E803" s="506"/>
      <c r="F803" s="506"/>
      <c r="G803" s="506"/>
      <c r="H803" s="506"/>
      <c r="I803" s="506"/>
      <c r="J803" s="506"/>
      <c r="K803" s="507"/>
      <c r="L803" s="508"/>
      <c r="M803" s="508"/>
      <c r="N803" s="508"/>
      <c r="O803" s="509"/>
      <c r="P803" s="509"/>
    </row>
    <row r="804" spans="1:16" ht="21.75" customHeight="1" x14ac:dyDescent="0.3">
      <c r="A804" s="504"/>
      <c r="B804" s="504"/>
      <c r="C804" s="504"/>
      <c r="D804" s="504"/>
      <c r="E804" s="506"/>
      <c r="F804" s="506"/>
      <c r="G804" s="506"/>
      <c r="H804" s="506"/>
      <c r="I804" s="506"/>
      <c r="J804" s="506"/>
      <c r="K804" s="507"/>
      <c r="L804" s="508"/>
      <c r="M804" s="508"/>
      <c r="N804" s="508"/>
      <c r="O804" s="509"/>
      <c r="P804" s="509"/>
    </row>
    <row r="805" spans="1:16" ht="21.75" customHeight="1" x14ac:dyDescent="0.3">
      <c r="A805" s="504"/>
      <c r="B805" s="504"/>
      <c r="C805" s="504"/>
      <c r="D805" s="504"/>
      <c r="E805" s="506"/>
      <c r="F805" s="506"/>
      <c r="G805" s="506"/>
      <c r="H805" s="506"/>
      <c r="I805" s="506"/>
      <c r="J805" s="506"/>
      <c r="K805" s="507"/>
      <c r="L805" s="508"/>
      <c r="M805" s="508"/>
      <c r="N805" s="508"/>
      <c r="O805" s="509"/>
      <c r="P805" s="509"/>
    </row>
    <row r="806" spans="1:16" ht="21.75" customHeight="1" x14ac:dyDescent="0.3">
      <c r="A806" s="504"/>
      <c r="B806" s="504"/>
      <c r="C806" s="504"/>
      <c r="D806" s="504"/>
      <c r="E806" s="506"/>
      <c r="F806" s="506"/>
      <c r="G806" s="506"/>
      <c r="H806" s="506"/>
      <c r="I806" s="506"/>
      <c r="J806" s="506"/>
      <c r="K806" s="507"/>
      <c r="L806" s="508"/>
      <c r="M806" s="508"/>
      <c r="N806" s="508"/>
      <c r="O806" s="509"/>
      <c r="P806" s="509"/>
    </row>
    <row r="807" spans="1:16" ht="21.75" customHeight="1" x14ac:dyDescent="0.3">
      <c r="A807" s="504"/>
      <c r="B807" s="504"/>
      <c r="C807" s="504"/>
      <c r="D807" s="504"/>
      <c r="E807" s="506"/>
      <c r="F807" s="506"/>
      <c r="G807" s="506"/>
      <c r="H807" s="506"/>
      <c r="I807" s="506"/>
      <c r="J807" s="506"/>
      <c r="K807" s="507"/>
      <c r="L807" s="508"/>
      <c r="M807" s="508"/>
      <c r="N807" s="508"/>
      <c r="O807" s="509"/>
      <c r="P807" s="509"/>
    </row>
    <row r="808" spans="1:16" ht="21.75" customHeight="1" x14ac:dyDescent="0.3">
      <c r="A808" s="504"/>
      <c r="B808" s="504"/>
      <c r="C808" s="504"/>
      <c r="D808" s="504"/>
      <c r="E808" s="506"/>
      <c r="F808" s="506"/>
      <c r="G808" s="506"/>
      <c r="H808" s="506"/>
      <c r="I808" s="506"/>
      <c r="J808" s="506"/>
      <c r="K808" s="507"/>
      <c r="L808" s="508"/>
      <c r="M808" s="508"/>
      <c r="N808" s="508"/>
      <c r="O808" s="509"/>
      <c r="P808" s="509"/>
    </row>
    <row r="809" spans="1:16" ht="21.75" customHeight="1" x14ac:dyDescent="0.3">
      <c r="A809" s="504"/>
      <c r="B809" s="504"/>
      <c r="C809" s="504"/>
      <c r="D809" s="504"/>
      <c r="E809" s="506"/>
      <c r="F809" s="506"/>
      <c r="G809" s="506"/>
      <c r="H809" s="506"/>
      <c r="I809" s="506"/>
      <c r="J809" s="506"/>
      <c r="K809" s="507"/>
      <c r="L809" s="508"/>
      <c r="M809" s="508"/>
      <c r="N809" s="508"/>
      <c r="O809" s="509"/>
      <c r="P809" s="509"/>
    </row>
    <row r="810" spans="1:16" ht="21.75" customHeight="1" x14ac:dyDescent="0.3">
      <c r="A810" s="504"/>
      <c r="B810" s="504"/>
      <c r="C810" s="504"/>
      <c r="D810" s="504"/>
      <c r="E810" s="506"/>
      <c r="F810" s="506"/>
      <c r="G810" s="506"/>
      <c r="H810" s="506"/>
      <c r="I810" s="506"/>
      <c r="J810" s="506"/>
      <c r="K810" s="507"/>
      <c r="L810" s="508"/>
      <c r="M810" s="508"/>
      <c r="N810" s="508"/>
      <c r="O810" s="509"/>
      <c r="P810" s="509"/>
    </row>
    <row r="811" spans="1:16" ht="21.75" customHeight="1" x14ac:dyDescent="0.3">
      <c r="A811" s="504"/>
      <c r="B811" s="504"/>
      <c r="C811" s="504"/>
      <c r="D811" s="504"/>
      <c r="E811" s="506"/>
      <c r="F811" s="506"/>
      <c r="G811" s="506"/>
      <c r="H811" s="506"/>
      <c r="I811" s="506"/>
      <c r="J811" s="506"/>
      <c r="K811" s="507"/>
      <c r="L811" s="508"/>
      <c r="M811" s="508"/>
      <c r="N811" s="508"/>
      <c r="O811" s="509"/>
      <c r="P811" s="509"/>
    </row>
    <row r="812" spans="1:16" ht="21.75" customHeight="1" x14ac:dyDescent="0.3">
      <c r="A812" s="504"/>
      <c r="B812" s="504"/>
      <c r="C812" s="504"/>
      <c r="D812" s="504"/>
      <c r="E812" s="506"/>
      <c r="F812" s="506"/>
      <c r="G812" s="506"/>
      <c r="H812" s="506"/>
      <c r="I812" s="506"/>
      <c r="J812" s="506"/>
      <c r="K812" s="507"/>
      <c r="L812" s="508"/>
      <c r="M812" s="508"/>
      <c r="N812" s="508"/>
      <c r="O812" s="509"/>
      <c r="P812" s="509"/>
    </row>
    <row r="813" spans="1:16" ht="21.75" customHeight="1" x14ac:dyDescent="0.3">
      <c r="A813" s="504"/>
      <c r="B813" s="504"/>
      <c r="C813" s="504"/>
      <c r="D813" s="504"/>
      <c r="E813" s="506"/>
      <c r="F813" s="506"/>
      <c r="G813" s="506"/>
      <c r="H813" s="506"/>
      <c r="I813" s="506"/>
      <c r="J813" s="506"/>
      <c r="K813" s="507"/>
      <c r="L813" s="508"/>
      <c r="M813" s="508"/>
      <c r="N813" s="508"/>
      <c r="O813" s="509"/>
      <c r="P813" s="509"/>
    </row>
    <row r="814" spans="1:16" ht="21.75" customHeight="1" x14ac:dyDescent="0.3">
      <c r="A814" s="504"/>
      <c r="B814" s="504"/>
      <c r="C814" s="504"/>
      <c r="D814" s="504"/>
      <c r="E814" s="506"/>
      <c r="F814" s="506"/>
      <c r="G814" s="506"/>
      <c r="H814" s="506"/>
      <c r="I814" s="506"/>
      <c r="J814" s="506"/>
      <c r="K814" s="507"/>
      <c r="L814" s="508"/>
      <c r="M814" s="508"/>
      <c r="N814" s="508"/>
      <c r="O814" s="509"/>
      <c r="P814" s="509"/>
    </row>
    <row r="815" spans="1:16" ht="21.75" customHeight="1" x14ac:dyDescent="0.3">
      <c r="A815" s="504"/>
      <c r="B815" s="504"/>
      <c r="C815" s="504"/>
      <c r="D815" s="504"/>
      <c r="E815" s="506"/>
      <c r="F815" s="506"/>
      <c r="G815" s="506"/>
      <c r="H815" s="506"/>
      <c r="I815" s="506"/>
      <c r="J815" s="506"/>
      <c r="K815" s="507"/>
      <c r="L815" s="508"/>
      <c r="M815" s="508"/>
      <c r="N815" s="508"/>
      <c r="O815" s="509"/>
      <c r="P815" s="509"/>
    </row>
    <row r="816" spans="1:16" ht="21.75" customHeight="1" x14ac:dyDescent="0.3">
      <c r="A816" s="504"/>
      <c r="B816" s="504"/>
      <c r="C816" s="504"/>
      <c r="D816" s="504"/>
      <c r="E816" s="506"/>
      <c r="F816" s="506"/>
      <c r="G816" s="506"/>
      <c r="H816" s="506"/>
      <c r="I816" s="506"/>
      <c r="J816" s="506"/>
      <c r="K816" s="507"/>
      <c r="L816" s="508"/>
      <c r="M816" s="508"/>
      <c r="N816" s="508"/>
      <c r="O816" s="509"/>
      <c r="P816" s="509"/>
    </row>
    <row r="817" spans="1:16" ht="21.75" customHeight="1" x14ac:dyDescent="0.3">
      <c r="A817" s="504"/>
      <c r="B817" s="504"/>
      <c r="C817" s="504"/>
      <c r="D817" s="504"/>
      <c r="E817" s="506"/>
      <c r="F817" s="506"/>
      <c r="G817" s="506"/>
      <c r="H817" s="506"/>
      <c r="I817" s="506"/>
      <c r="J817" s="506"/>
      <c r="K817" s="507"/>
      <c r="L817" s="508"/>
      <c r="M817" s="508"/>
      <c r="N817" s="508"/>
      <c r="O817" s="509"/>
      <c r="P817" s="509"/>
    </row>
    <row r="818" spans="1:16" ht="21.75" customHeight="1" x14ac:dyDescent="0.3">
      <c r="A818" s="504"/>
      <c r="B818" s="504"/>
      <c r="C818" s="504"/>
      <c r="D818" s="504"/>
      <c r="E818" s="506"/>
      <c r="F818" s="506"/>
      <c r="G818" s="506"/>
      <c r="H818" s="506"/>
      <c r="I818" s="506"/>
      <c r="J818" s="506"/>
      <c r="K818" s="507"/>
      <c r="L818" s="508"/>
      <c r="M818" s="508"/>
      <c r="N818" s="508"/>
      <c r="O818" s="509"/>
      <c r="P818" s="509"/>
    </row>
    <row r="819" spans="1:16" ht="21.75" customHeight="1" x14ac:dyDescent="0.3">
      <c r="A819" s="504"/>
      <c r="B819" s="504"/>
      <c r="C819" s="504"/>
      <c r="D819" s="504"/>
      <c r="E819" s="506"/>
      <c r="F819" s="506"/>
      <c r="G819" s="506"/>
      <c r="H819" s="506"/>
      <c r="I819" s="506"/>
      <c r="J819" s="506"/>
      <c r="K819" s="507"/>
      <c r="L819" s="508"/>
      <c r="M819" s="508"/>
      <c r="N819" s="508"/>
      <c r="O819" s="509"/>
      <c r="P819" s="509"/>
    </row>
    <row r="820" spans="1:16" ht="21.75" customHeight="1" x14ac:dyDescent="0.3">
      <c r="A820" s="504"/>
      <c r="B820" s="504"/>
      <c r="C820" s="504"/>
      <c r="D820" s="504"/>
      <c r="E820" s="506"/>
      <c r="F820" s="506"/>
      <c r="G820" s="506"/>
      <c r="H820" s="506"/>
      <c r="I820" s="506"/>
      <c r="J820" s="506"/>
      <c r="K820" s="507"/>
      <c r="L820" s="508"/>
      <c r="M820" s="508"/>
      <c r="N820" s="508"/>
      <c r="O820" s="509"/>
      <c r="P820" s="509"/>
    </row>
    <row r="821" spans="1:16" ht="21.75" customHeight="1" x14ac:dyDescent="0.3">
      <c r="A821" s="504"/>
      <c r="B821" s="504"/>
      <c r="C821" s="504"/>
      <c r="D821" s="504"/>
      <c r="E821" s="506"/>
      <c r="F821" s="506"/>
      <c r="G821" s="506"/>
      <c r="H821" s="506"/>
      <c r="I821" s="506"/>
      <c r="J821" s="506"/>
      <c r="K821" s="507"/>
      <c r="L821" s="508"/>
      <c r="M821" s="508"/>
      <c r="N821" s="508"/>
      <c r="O821" s="509"/>
      <c r="P821" s="509"/>
    </row>
    <row r="822" spans="1:16" ht="21.75" customHeight="1" x14ac:dyDescent="0.3">
      <c r="A822" s="504"/>
      <c r="B822" s="504"/>
      <c r="C822" s="504"/>
      <c r="D822" s="504"/>
      <c r="E822" s="506"/>
      <c r="F822" s="506"/>
      <c r="G822" s="506"/>
      <c r="H822" s="506"/>
      <c r="I822" s="506"/>
      <c r="J822" s="506"/>
      <c r="K822" s="507"/>
      <c r="L822" s="508"/>
      <c r="M822" s="508"/>
      <c r="N822" s="508"/>
      <c r="O822" s="509"/>
      <c r="P822" s="509"/>
    </row>
    <row r="823" spans="1:16" ht="21.75" customHeight="1" x14ac:dyDescent="0.3">
      <c r="A823" s="504"/>
      <c r="B823" s="504"/>
      <c r="C823" s="504"/>
      <c r="D823" s="504"/>
      <c r="E823" s="506"/>
      <c r="F823" s="506"/>
      <c r="G823" s="506"/>
      <c r="H823" s="506"/>
      <c r="I823" s="506"/>
      <c r="J823" s="506"/>
      <c r="K823" s="507"/>
      <c r="L823" s="508"/>
      <c r="M823" s="508"/>
      <c r="N823" s="508"/>
      <c r="O823" s="509"/>
      <c r="P823" s="509"/>
    </row>
    <row r="824" spans="1:16" ht="21.75" customHeight="1" x14ac:dyDescent="0.3">
      <c r="A824" s="504"/>
      <c r="B824" s="504"/>
      <c r="C824" s="504"/>
      <c r="D824" s="504"/>
      <c r="E824" s="506"/>
      <c r="F824" s="506"/>
      <c r="G824" s="506"/>
      <c r="H824" s="506"/>
      <c r="I824" s="506"/>
      <c r="J824" s="506"/>
      <c r="K824" s="507"/>
      <c r="L824" s="508"/>
      <c r="M824" s="508"/>
      <c r="N824" s="508"/>
      <c r="O824" s="509"/>
      <c r="P824" s="509"/>
    </row>
    <row r="825" spans="1:16" ht="21.75" customHeight="1" x14ac:dyDescent="0.3">
      <c r="A825" s="504"/>
      <c r="B825" s="504"/>
      <c r="C825" s="504"/>
      <c r="D825" s="504"/>
      <c r="E825" s="506"/>
      <c r="F825" s="506"/>
      <c r="G825" s="506"/>
      <c r="H825" s="506"/>
      <c r="I825" s="506"/>
      <c r="J825" s="506"/>
      <c r="K825" s="507"/>
      <c r="L825" s="508"/>
      <c r="M825" s="508"/>
      <c r="N825" s="508"/>
      <c r="O825" s="509"/>
      <c r="P825" s="509"/>
    </row>
    <row r="826" spans="1:16" ht="21.75" customHeight="1" x14ac:dyDescent="0.3">
      <c r="A826" s="504"/>
      <c r="B826" s="504"/>
      <c r="C826" s="504"/>
      <c r="D826" s="504"/>
      <c r="E826" s="506"/>
      <c r="F826" s="506"/>
      <c r="G826" s="506"/>
      <c r="H826" s="506"/>
      <c r="I826" s="506"/>
      <c r="J826" s="506"/>
      <c r="K826" s="507"/>
      <c r="L826" s="508"/>
      <c r="M826" s="508"/>
      <c r="N826" s="508"/>
      <c r="O826" s="509"/>
      <c r="P826" s="509"/>
    </row>
    <row r="827" spans="1:16" ht="21.75" customHeight="1" x14ac:dyDescent="0.3">
      <c r="A827" s="504"/>
      <c r="B827" s="504"/>
      <c r="C827" s="504"/>
      <c r="D827" s="504"/>
      <c r="E827" s="506"/>
      <c r="F827" s="506"/>
      <c r="G827" s="506"/>
      <c r="H827" s="506"/>
      <c r="I827" s="506"/>
      <c r="J827" s="506"/>
      <c r="K827" s="507"/>
      <c r="L827" s="508"/>
      <c r="M827" s="508"/>
      <c r="N827" s="508"/>
      <c r="O827" s="509"/>
      <c r="P827" s="509"/>
    </row>
    <row r="828" spans="1:16" ht="21.75" customHeight="1" x14ac:dyDescent="0.3">
      <c r="A828" s="504"/>
      <c r="B828" s="504"/>
      <c r="C828" s="504"/>
      <c r="D828" s="504"/>
      <c r="E828" s="506"/>
      <c r="F828" s="506"/>
      <c r="G828" s="506"/>
      <c r="H828" s="506"/>
      <c r="I828" s="506"/>
      <c r="J828" s="506"/>
      <c r="K828" s="507"/>
      <c r="L828" s="508"/>
      <c r="M828" s="508"/>
      <c r="N828" s="508"/>
      <c r="O828" s="509"/>
      <c r="P828" s="509"/>
    </row>
    <row r="829" spans="1:16" ht="21.75" customHeight="1" x14ac:dyDescent="0.3">
      <c r="A829" s="504"/>
      <c r="B829" s="504"/>
      <c r="C829" s="504"/>
      <c r="D829" s="504"/>
      <c r="E829" s="506"/>
      <c r="F829" s="506"/>
      <c r="G829" s="506"/>
      <c r="H829" s="506"/>
      <c r="I829" s="506"/>
      <c r="J829" s="506"/>
      <c r="K829" s="507"/>
      <c r="L829" s="508"/>
      <c r="M829" s="508"/>
      <c r="N829" s="508"/>
      <c r="O829" s="509"/>
      <c r="P829" s="509"/>
    </row>
    <row r="830" spans="1:16" ht="21.75" customHeight="1" x14ac:dyDescent="0.3">
      <c r="A830" s="504"/>
      <c r="B830" s="504"/>
      <c r="C830" s="504"/>
      <c r="D830" s="504"/>
      <c r="E830" s="506"/>
      <c r="F830" s="506"/>
      <c r="G830" s="506"/>
      <c r="H830" s="506"/>
      <c r="I830" s="506"/>
      <c r="J830" s="506"/>
      <c r="K830" s="507"/>
      <c r="L830" s="508"/>
      <c r="M830" s="508"/>
      <c r="N830" s="508"/>
      <c r="O830" s="509"/>
      <c r="P830" s="509"/>
    </row>
    <row r="831" spans="1:16" ht="21.75" customHeight="1" x14ac:dyDescent="0.3">
      <c r="A831" s="504"/>
      <c r="B831" s="504"/>
      <c r="C831" s="504"/>
      <c r="D831" s="504"/>
      <c r="E831" s="506"/>
      <c r="F831" s="506"/>
      <c r="G831" s="506"/>
      <c r="H831" s="506"/>
      <c r="I831" s="506"/>
      <c r="J831" s="506"/>
      <c r="K831" s="507"/>
      <c r="L831" s="508"/>
      <c r="M831" s="508"/>
      <c r="N831" s="508"/>
      <c r="O831" s="509"/>
      <c r="P831" s="509"/>
    </row>
    <row r="832" spans="1:16" ht="21.75" customHeight="1" x14ac:dyDescent="0.3">
      <c r="A832" s="504"/>
      <c r="B832" s="504"/>
      <c r="C832" s="504"/>
      <c r="D832" s="504"/>
      <c r="E832" s="506"/>
      <c r="F832" s="506"/>
      <c r="G832" s="506"/>
      <c r="H832" s="506"/>
      <c r="I832" s="506"/>
      <c r="J832" s="506"/>
      <c r="K832" s="507"/>
      <c r="L832" s="508"/>
      <c r="M832" s="508"/>
      <c r="N832" s="508"/>
      <c r="O832" s="509"/>
      <c r="P832" s="509"/>
    </row>
    <row r="833" spans="1:16" ht="21.75" customHeight="1" x14ac:dyDescent="0.3">
      <c r="A833" s="504"/>
      <c r="B833" s="504"/>
      <c r="C833" s="504"/>
      <c r="D833" s="504"/>
      <c r="E833" s="506"/>
      <c r="F833" s="506"/>
      <c r="G833" s="506"/>
      <c r="H833" s="506"/>
      <c r="I833" s="506"/>
      <c r="J833" s="506"/>
      <c r="K833" s="507"/>
      <c r="L833" s="508"/>
      <c r="M833" s="508"/>
      <c r="N833" s="508"/>
      <c r="O833" s="509"/>
      <c r="P833" s="509"/>
    </row>
    <row r="834" spans="1:16" ht="21.75" customHeight="1" x14ac:dyDescent="0.3">
      <c r="A834" s="504"/>
      <c r="B834" s="504"/>
      <c r="C834" s="504"/>
      <c r="D834" s="504"/>
      <c r="E834" s="506"/>
      <c r="F834" s="506"/>
      <c r="G834" s="506"/>
      <c r="H834" s="506"/>
      <c r="I834" s="506"/>
      <c r="J834" s="506"/>
      <c r="K834" s="507"/>
      <c r="L834" s="508"/>
      <c r="M834" s="508"/>
      <c r="N834" s="508"/>
      <c r="O834" s="509"/>
      <c r="P834" s="509"/>
    </row>
    <row r="835" spans="1:16" ht="21.75" customHeight="1" x14ac:dyDescent="0.3">
      <c r="A835" s="504"/>
      <c r="B835" s="504"/>
      <c r="C835" s="504"/>
      <c r="D835" s="504"/>
      <c r="E835" s="506"/>
      <c r="F835" s="506"/>
      <c r="G835" s="506"/>
      <c r="H835" s="506"/>
      <c r="I835" s="506"/>
      <c r="J835" s="506"/>
      <c r="K835" s="507"/>
      <c r="L835" s="508"/>
      <c r="M835" s="508"/>
      <c r="N835" s="508"/>
      <c r="O835" s="509"/>
      <c r="P835" s="509"/>
    </row>
    <row r="836" spans="1:16" ht="21.75" customHeight="1" x14ac:dyDescent="0.3">
      <c r="A836" s="504"/>
      <c r="B836" s="504"/>
      <c r="C836" s="504"/>
      <c r="D836" s="504"/>
      <c r="E836" s="506"/>
      <c r="F836" s="506"/>
      <c r="G836" s="506"/>
      <c r="H836" s="506"/>
      <c r="I836" s="506"/>
      <c r="J836" s="506"/>
      <c r="K836" s="507"/>
      <c r="L836" s="508"/>
      <c r="M836" s="508"/>
      <c r="N836" s="508"/>
      <c r="O836" s="509"/>
      <c r="P836" s="509"/>
    </row>
    <row r="837" spans="1:16" ht="21.75" customHeight="1" x14ac:dyDescent="0.3">
      <c r="A837" s="504"/>
      <c r="B837" s="504"/>
      <c r="C837" s="504"/>
      <c r="D837" s="504"/>
      <c r="E837" s="506"/>
      <c r="F837" s="506"/>
      <c r="G837" s="506"/>
      <c r="H837" s="506"/>
      <c r="I837" s="506"/>
      <c r="J837" s="506"/>
      <c r="K837" s="507"/>
      <c r="L837" s="508"/>
      <c r="M837" s="508"/>
      <c r="N837" s="508"/>
      <c r="O837" s="509"/>
      <c r="P837" s="509"/>
    </row>
    <row r="838" spans="1:16" ht="21.75" customHeight="1" x14ac:dyDescent="0.3">
      <c r="A838" s="504"/>
      <c r="B838" s="504"/>
      <c r="C838" s="504"/>
      <c r="D838" s="504"/>
      <c r="E838" s="506"/>
      <c r="F838" s="506"/>
      <c r="G838" s="506"/>
      <c r="H838" s="506"/>
      <c r="I838" s="506"/>
      <c r="J838" s="506"/>
      <c r="K838" s="507"/>
      <c r="L838" s="508"/>
      <c r="M838" s="508"/>
      <c r="N838" s="508"/>
      <c r="O838" s="509"/>
      <c r="P838" s="509"/>
    </row>
    <row r="839" spans="1:16" ht="21.75" customHeight="1" x14ac:dyDescent="0.3">
      <c r="A839" s="504"/>
      <c r="B839" s="504"/>
      <c r="C839" s="504"/>
      <c r="D839" s="504"/>
      <c r="E839" s="506"/>
      <c r="F839" s="506"/>
      <c r="G839" s="506"/>
      <c r="H839" s="506"/>
      <c r="I839" s="506"/>
      <c r="J839" s="506"/>
      <c r="K839" s="507"/>
      <c r="L839" s="508"/>
      <c r="M839" s="508"/>
      <c r="N839" s="508"/>
      <c r="O839" s="509"/>
      <c r="P839" s="509"/>
    </row>
    <row r="840" spans="1:16" ht="21.75" customHeight="1" x14ac:dyDescent="0.3">
      <c r="A840" s="504"/>
      <c r="B840" s="504"/>
      <c r="C840" s="504"/>
      <c r="D840" s="504"/>
      <c r="E840" s="506"/>
      <c r="F840" s="506"/>
      <c r="G840" s="506"/>
      <c r="H840" s="506"/>
      <c r="I840" s="506"/>
      <c r="J840" s="506"/>
      <c r="K840" s="507"/>
      <c r="L840" s="508"/>
      <c r="M840" s="508"/>
      <c r="N840" s="508"/>
      <c r="O840" s="509"/>
      <c r="P840" s="509"/>
    </row>
    <row r="841" spans="1:16" ht="21.75" customHeight="1" x14ac:dyDescent="0.3">
      <c r="A841" s="504"/>
      <c r="B841" s="504"/>
      <c r="C841" s="504"/>
      <c r="D841" s="504"/>
      <c r="E841" s="506"/>
      <c r="F841" s="506"/>
      <c r="G841" s="506"/>
      <c r="H841" s="506"/>
      <c r="I841" s="506"/>
      <c r="J841" s="506"/>
      <c r="K841" s="507"/>
      <c r="L841" s="508"/>
      <c r="M841" s="508"/>
      <c r="N841" s="508"/>
      <c r="O841" s="509"/>
      <c r="P841" s="509"/>
    </row>
    <row r="842" spans="1:16" ht="21.75" customHeight="1" x14ac:dyDescent="0.3">
      <c r="A842" s="504"/>
      <c r="B842" s="504"/>
      <c r="C842" s="504"/>
      <c r="D842" s="504"/>
      <c r="E842" s="506"/>
      <c r="F842" s="506"/>
      <c r="G842" s="506"/>
      <c r="H842" s="506"/>
      <c r="I842" s="506"/>
      <c r="J842" s="506"/>
      <c r="K842" s="507"/>
      <c r="L842" s="508"/>
      <c r="M842" s="508"/>
      <c r="N842" s="508"/>
      <c r="O842" s="509"/>
      <c r="P842" s="509"/>
    </row>
    <row r="843" spans="1:16" ht="21.75" customHeight="1" x14ac:dyDescent="0.3">
      <c r="A843" s="504"/>
      <c r="B843" s="504"/>
      <c r="C843" s="504"/>
      <c r="D843" s="504"/>
      <c r="E843" s="506"/>
      <c r="F843" s="506"/>
      <c r="G843" s="506"/>
      <c r="H843" s="506"/>
      <c r="I843" s="506"/>
      <c r="J843" s="506"/>
      <c r="K843" s="507"/>
      <c r="L843" s="508"/>
      <c r="M843" s="508"/>
      <c r="N843" s="508"/>
      <c r="O843" s="509"/>
      <c r="P843" s="509"/>
    </row>
    <row r="844" spans="1:16" ht="21.75" customHeight="1" x14ac:dyDescent="0.3">
      <c r="A844" s="504"/>
      <c r="B844" s="504"/>
      <c r="C844" s="504"/>
      <c r="D844" s="504"/>
      <c r="E844" s="506"/>
      <c r="F844" s="506"/>
      <c r="G844" s="506"/>
      <c r="H844" s="506"/>
      <c r="I844" s="506"/>
      <c r="J844" s="506"/>
      <c r="K844" s="507"/>
      <c r="L844" s="508"/>
      <c r="M844" s="508"/>
      <c r="N844" s="508"/>
      <c r="O844" s="509"/>
      <c r="P844" s="509"/>
    </row>
    <row r="845" spans="1:16" ht="21.75" customHeight="1" x14ac:dyDescent="0.3">
      <c r="A845" s="504"/>
      <c r="B845" s="504"/>
      <c r="C845" s="504"/>
      <c r="D845" s="504"/>
      <c r="E845" s="506"/>
      <c r="F845" s="506"/>
      <c r="G845" s="506"/>
      <c r="H845" s="506"/>
      <c r="I845" s="506"/>
      <c r="J845" s="506"/>
      <c r="K845" s="507"/>
      <c r="L845" s="508"/>
      <c r="M845" s="508"/>
      <c r="N845" s="508"/>
      <c r="O845" s="509"/>
      <c r="P845" s="509"/>
    </row>
    <row r="846" spans="1:16" ht="21.75" customHeight="1" x14ac:dyDescent="0.3">
      <c r="A846" s="504"/>
      <c r="B846" s="504"/>
      <c r="C846" s="504"/>
      <c r="D846" s="504"/>
      <c r="E846" s="506"/>
      <c r="F846" s="506"/>
      <c r="G846" s="506"/>
      <c r="H846" s="506"/>
      <c r="I846" s="506"/>
      <c r="J846" s="506"/>
      <c r="K846" s="507"/>
      <c r="L846" s="508"/>
      <c r="M846" s="508"/>
      <c r="N846" s="508"/>
      <c r="O846" s="509"/>
      <c r="P846" s="509"/>
    </row>
    <row r="847" spans="1:16" ht="21.75" customHeight="1" x14ac:dyDescent="0.3">
      <c r="A847" s="504"/>
      <c r="B847" s="504"/>
      <c r="C847" s="504"/>
      <c r="D847" s="504"/>
      <c r="E847" s="506"/>
      <c r="F847" s="506"/>
      <c r="G847" s="506"/>
      <c r="H847" s="506"/>
      <c r="I847" s="506"/>
      <c r="J847" s="506"/>
      <c r="K847" s="507"/>
      <c r="L847" s="508"/>
      <c r="M847" s="508"/>
      <c r="N847" s="508"/>
      <c r="O847" s="509"/>
      <c r="P847" s="509"/>
    </row>
    <row r="848" spans="1:16" ht="21.75" customHeight="1" x14ac:dyDescent="0.3">
      <c r="A848" s="504"/>
      <c r="B848" s="504"/>
      <c r="C848" s="504"/>
      <c r="D848" s="504"/>
      <c r="E848" s="506"/>
      <c r="F848" s="506"/>
      <c r="G848" s="506"/>
      <c r="H848" s="506"/>
      <c r="I848" s="506"/>
      <c r="J848" s="506"/>
      <c r="K848" s="507"/>
      <c r="L848" s="508"/>
      <c r="M848" s="508"/>
      <c r="N848" s="508"/>
      <c r="O848" s="509"/>
      <c r="P848" s="509"/>
    </row>
    <row r="849" spans="1:16" ht="21.75" customHeight="1" x14ac:dyDescent="0.3">
      <c r="A849" s="504"/>
      <c r="B849" s="504"/>
      <c r="C849" s="504"/>
      <c r="D849" s="504"/>
      <c r="E849" s="506"/>
      <c r="F849" s="506"/>
      <c r="G849" s="506"/>
      <c r="H849" s="506"/>
      <c r="I849" s="506"/>
      <c r="J849" s="506"/>
      <c r="K849" s="507"/>
      <c r="L849" s="508"/>
      <c r="M849" s="508"/>
      <c r="N849" s="508"/>
      <c r="O849" s="509"/>
      <c r="P849" s="509"/>
    </row>
    <row r="850" spans="1:16" ht="21.75" customHeight="1" x14ac:dyDescent="0.3">
      <c r="A850" s="504"/>
      <c r="B850" s="504"/>
      <c r="C850" s="504"/>
      <c r="D850" s="504"/>
      <c r="E850" s="506"/>
      <c r="F850" s="506"/>
      <c r="G850" s="506"/>
      <c r="H850" s="506"/>
      <c r="I850" s="506"/>
      <c r="J850" s="506"/>
      <c r="K850" s="507"/>
      <c r="L850" s="508"/>
      <c r="M850" s="508"/>
      <c r="N850" s="508"/>
      <c r="O850" s="509"/>
      <c r="P850" s="509"/>
    </row>
    <row r="851" spans="1:16" ht="21.75" customHeight="1" x14ac:dyDescent="0.3">
      <c r="A851" s="504"/>
      <c r="B851" s="504"/>
      <c r="C851" s="504"/>
      <c r="D851" s="504"/>
      <c r="E851" s="506"/>
      <c r="F851" s="506"/>
      <c r="G851" s="506"/>
      <c r="H851" s="506"/>
      <c r="I851" s="506"/>
      <c r="J851" s="506"/>
      <c r="K851" s="507"/>
      <c r="L851" s="508"/>
      <c r="M851" s="508"/>
      <c r="N851" s="508"/>
      <c r="O851" s="509"/>
      <c r="P851" s="509"/>
    </row>
    <row r="852" spans="1:16" ht="21.75" customHeight="1" x14ac:dyDescent="0.3">
      <c r="A852" s="504"/>
      <c r="B852" s="504"/>
      <c r="C852" s="504"/>
      <c r="D852" s="504"/>
      <c r="E852" s="506"/>
      <c r="F852" s="506"/>
      <c r="G852" s="506"/>
      <c r="H852" s="506"/>
      <c r="I852" s="506"/>
      <c r="J852" s="506"/>
      <c r="K852" s="507"/>
      <c r="L852" s="508"/>
      <c r="M852" s="508"/>
      <c r="N852" s="508"/>
      <c r="O852" s="509"/>
      <c r="P852" s="509"/>
    </row>
    <row r="853" spans="1:16" ht="21.75" customHeight="1" x14ac:dyDescent="0.3">
      <c r="A853" s="504"/>
      <c r="B853" s="504"/>
      <c r="C853" s="504"/>
      <c r="D853" s="504"/>
      <c r="E853" s="506"/>
      <c r="F853" s="506"/>
      <c r="G853" s="506"/>
      <c r="H853" s="506"/>
      <c r="I853" s="506"/>
      <c r="J853" s="506"/>
      <c r="K853" s="507"/>
      <c r="L853" s="508"/>
      <c r="M853" s="508"/>
      <c r="N853" s="508"/>
      <c r="O853" s="509"/>
      <c r="P853" s="509"/>
    </row>
    <row r="854" spans="1:16" ht="21.75" customHeight="1" x14ac:dyDescent="0.3">
      <c r="A854" s="504"/>
      <c r="B854" s="504"/>
      <c r="C854" s="504"/>
      <c r="D854" s="504"/>
      <c r="E854" s="506"/>
      <c r="F854" s="506"/>
      <c r="G854" s="506"/>
      <c r="H854" s="506"/>
      <c r="I854" s="506"/>
      <c r="J854" s="506"/>
      <c r="K854" s="507"/>
      <c r="L854" s="508"/>
      <c r="M854" s="508"/>
      <c r="N854" s="508"/>
      <c r="O854" s="509"/>
      <c r="P854" s="509"/>
    </row>
    <row r="855" spans="1:16" ht="21.75" customHeight="1" x14ac:dyDescent="0.3">
      <c r="A855" s="504"/>
      <c r="B855" s="504"/>
      <c r="C855" s="504"/>
      <c r="D855" s="504"/>
      <c r="E855" s="506"/>
      <c r="F855" s="506"/>
      <c r="G855" s="506"/>
      <c r="H855" s="506"/>
      <c r="I855" s="506"/>
      <c r="J855" s="506"/>
      <c r="K855" s="507"/>
      <c r="L855" s="508"/>
      <c r="M855" s="508"/>
      <c r="N855" s="508"/>
      <c r="O855" s="509"/>
      <c r="P855" s="509"/>
    </row>
    <row r="856" spans="1:16" ht="21.75" customHeight="1" x14ac:dyDescent="0.3">
      <c r="A856" s="504"/>
      <c r="B856" s="504"/>
      <c r="C856" s="504"/>
      <c r="D856" s="504"/>
      <c r="E856" s="506"/>
      <c r="F856" s="506"/>
      <c r="G856" s="506"/>
      <c r="H856" s="506"/>
      <c r="I856" s="506"/>
      <c r="J856" s="506"/>
      <c r="K856" s="507"/>
      <c r="L856" s="508"/>
      <c r="M856" s="508"/>
      <c r="N856" s="508"/>
      <c r="O856" s="509"/>
      <c r="P856" s="509"/>
    </row>
    <row r="857" spans="1:16" ht="21.75" customHeight="1" x14ac:dyDescent="0.3">
      <c r="A857" s="504"/>
      <c r="B857" s="504"/>
      <c r="C857" s="504"/>
      <c r="D857" s="504"/>
      <c r="E857" s="506"/>
      <c r="F857" s="506"/>
      <c r="G857" s="506"/>
      <c r="H857" s="506"/>
      <c r="I857" s="506"/>
      <c r="J857" s="506"/>
      <c r="K857" s="507"/>
      <c r="L857" s="508"/>
      <c r="M857" s="508"/>
      <c r="N857" s="508"/>
      <c r="O857" s="509"/>
      <c r="P857" s="509"/>
    </row>
    <row r="858" spans="1:16" ht="21.75" customHeight="1" x14ac:dyDescent="0.3">
      <c r="A858" s="504"/>
      <c r="B858" s="504"/>
      <c r="C858" s="504"/>
      <c r="D858" s="504"/>
      <c r="E858" s="506"/>
      <c r="F858" s="506"/>
      <c r="G858" s="506"/>
      <c r="H858" s="506"/>
      <c r="I858" s="506"/>
      <c r="J858" s="506"/>
      <c r="K858" s="507"/>
      <c r="L858" s="508"/>
      <c r="M858" s="508"/>
      <c r="N858" s="508"/>
      <c r="O858" s="509"/>
      <c r="P858" s="509"/>
    </row>
    <row r="859" spans="1:16" ht="21.75" customHeight="1" x14ac:dyDescent="0.3">
      <c r="A859" s="504"/>
      <c r="B859" s="504"/>
      <c r="C859" s="504"/>
      <c r="D859" s="504"/>
      <c r="E859" s="506"/>
      <c r="F859" s="506"/>
      <c r="G859" s="506"/>
      <c r="H859" s="506"/>
      <c r="I859" s="506"/>
      <c r="J859" s="506"/>
      <c r="K859" s="507"/>
      <c r="L859" s="508"/>
      <c r="M859" s="508"/>
      <c r="N859" s="508"/>
      <c r="O859" s="509"/>
      <c r="P859" s="509"/>
    </row>
    <row r="860" spans="1:16" ht="21.75" customHeight="1" x14ac:dyDescent="0.3">
      <c r="A860" s="504"/>
      <c r="B860" s="504"/>
      <c r="C860" s="504"/>
      <c r="D860" s="504"/>
      <c r="E860" s="506"/>
      <c r="F860" s="506"/>
      <c r="G860" s="506"/>
      <c r="H860" s="506"/>
      <c r="I860" s="506"/>
      <c r="J860" s="506"/>
      <c r="K860" s="507"/>
      <c r="L860" s="508"/>
      <c r="M860" s="508"/>
      <c r="N860" s="508"/>
      <c r="O860" s="509"/>
      <c r="P860" s="509"/>
    </row>
    <row r="861" spans="1:16" ht="21.75" customHeight="1" x14ac:dyDescent="0.3">
      <c r="A861" s="504"/>
      <c r="B861" s="504"/>
      <c r="C861" s="504"/>
      <c r="D861" s="504"/>
      <c r="E861" s="506"/>
      <c r="F861" s="506"/>
      <c r="G861" s="506"/>
      <c r="H861" s="506"/>
      <c r="I861" s="506"/>
      <c r="J861" s="506"/>
      <c r="K861" s="507"/>
      <c r="L861" s="508"/>
      <c r="M861" s="508"/>
      <c r="N861" s="508"/>
      <c r="O861" s="509"/>
      <c r="P861" s="509"/>
    </row>
    <row r="862" spans="1:16" ht="21.75" customHeight="1" x14ac:dyDescent="0.3">
      <c r="A862" s="504"/>
      <c r="B862" s="504"/>
      <c r="C862" s="504"/>
      <c r="D862" s="504"/>
      <c r="E862" s="506"/>
      <c r="F862" s="506"/>
      <c r="G862" s="506"/>
      <c r="H862" s="506"/>
      <c r="I862" s="506"/>
      <c r="J862" s="506"/>
      <c r="K862" s="507"/>
      <c r="L862" s="508"/>
      <c r="M862" s="508"/>
      <c r="N862" s="508"/>
      <c r="O862" s="509"/>
      <c r="P862" s="509"/>
    </row>
    <row r="863" spans="1:16" ht="21.75" customHeight="1" x14ac:dyDescent="0.3">
      <c r="A863" s="504"/>
      <c r="B863" s="504"/>
      <c r="C863" s="504"/>
      <c r="D863" s="504"/>
      <c r="E863" s="506"/>
      <c r="F863" s="506"/>
      <c r="G863" s="506"/>
      <c r="H863" s="506"/>
      <c r="I863" s="506"/>
      <c r="J863" s="506"/>
      <c r="K863" s="507"/>
      <c r="L863" s="508"/>
      <c r="M863" s="508"/>
      <c r="N863" s="508"/>
      <c r="O863" s="509"/>
      <c r="P863" s="509"/>
    </row>
    <row r="864" spans="1:16" ht="21.75" customHeight="1" x14ac:dyDescent="0.3">
      <c r="A864" s="504"/>
      <c r="B864" s="504"/>
      <c r="C864" s="504"/>
      <c r="D864" s="504"/>
      <c r="E864" s="506"/>
      <c r="F864" s="506"/>
      <c r="G864" s="506"/>
      <c r="H864" s="506"/>
      <c r="I864" s="506"/>
      <c r="J864" s="506"/>
      <c r="K864" s="507"/>
      <c r="L864" s="508"/>
      <c r="M864" s="508"/>
      <c r="N864" s="508"/>
      <c r="O864" s="509"/>
      <c r="P864" s="509"/>
    </row>
    <row r="865" spans="1:16" ht="21.75" customHeight="1" x14ac:dyDescent="0.3">
      <c r="A865" s="504"/>
      <c r="B865" s="504"/>
      <c r="C865" s="504"/>
      <c r="D865" s="504"/>
      <c r="E865" s="506"/>
      <c r="F865" s="506"/>
      <c r="G865" s="506"/>
      <c r="H865" s="506"/>
      <c r="I865" s="506"/>
      <c r="J865" s="506"/>
      <c r="K865" s="507"/>
      <c r="L865" s="508"/>
      <c r="M865" s="508"/>
      <c r="N865" s="508"/>
      <c r="O865" s="509"/>
      <c r="P865" s="509"/>
    </row>
    <row r="866" spans="1:16" ht="21.75" customHeight="1" x14ac:dyDescent="0.3">
      <c r="A866" s="504"/>
      <c r="B866" s="504"/>
      <c r="C866" s="504"/>
      <c r="D866" s="504"/>
      <c r="E866" s="506"/>
      <c r="F866" s="506"/>
      <c r="G866" s="506"/>
      <c r="H866" s="506"/>
      <c r="I866" s="506"/>
      <c r="J866" s="506"/>
      <c r="K866" s="507"/>
      <c r="L866" s="508"/>
      <c r="M866" s="508"/>
      <c r="N866" s="508"/>
      <c r="O866" s="509"/>
      <c r="P866" s="509"/>
    </row>
    <row r="867" spans="1:16" ht="21.75" customHeight="1" x14ac:dyDescent="0.3">
      <c r="A867" s="504"/>
      <c r="B867" s="504"/>
      <c r="C867" s="504"/>
      <c r="D867" s="504"/>
      <c r="E867" s="506"/>
      <c r="F867" s="506"/>
      <c r="G867" s="506"/>
      <c r="H867" s="506"/>
      <c r="I867" s="506"/>
      <c r="J867" s="506"/>
      <c r="K867" s="507"/>
      <c r="L867" s="508"/>
      <c r="M867" s="508"/>
      <c r="N867" s="508"/>
      <c r="O867" s="509"/>
      <c r="P867" s="509"/>
    </row>
    <row r="868" spans="1:16" ht="21.75" customHeight="1" x14ac:dyDescent="0.3">
      <c r="A868" s="504"/>
      <c r="B868" s="504"/>
      <c r="C868" s="504"/>
      <c r="D868" s="504"/>
      <c r="E868" s="506"/>
      <c r="F868" s="506"/>
      <c r="G868" s="506"/>
      <c r="H868" s="506"/>
      <c r="I868" s="506"/>
      <c r="J868" s="506"/>
      <c r="K868" s="507"/>
      <c r="L868" s="508"/>
      <c r="M868" s="508"/>
      <c r="N868" s="508"/>
      <c r="O868" s="509"/>
      <c r="P868" s="509"/>
    </row>
    <row r="869" spans="1:16" ht="21.75" customHeight="1" x14ac:dyDescent="0.3">
      <c r="A869" s="504"/>
      <c r="B869" s="504"/>
      <c r="C869" s="504"/>
      <c r="D869" s="504"/>
      <c r="E869" s="506"/>
      <c r="F869" s="506"/>
      <c r="G869" s="506"/>
      <c r="H869" s="506"/>
      <c r="I869" s="506"/>
      <c r="J869" s="506"/>
      <c r="K869" s="507"/>
      <c r="L869" s="508"/>
      <c r="M869" s="508"/>
      <c r="N869" s="508"/>
      <c r="O869" s="509"/>
      <c r="P869" s="509"/>
    </row>
    <row r="870" spans="1:16" ht="21.75" customHeight="1" x14ac:dyDescent="0.3">
      <c r="A870" s="504"/>
      <c r="B870" s="504"/>
      <c r="C870" s="504"/>
      <c r="D870" s="504"/>
      <c r="E870" s="506"/>
      <c r="F870" s="506"/>
      <c r="G870" s="506"/>
      <c r="H870" s="506"/>
      <c r="I870" s="506"/>
      <c r="J870" s="506"/>
      <c r="K870" s="507"/>
      <c r="L870" s="508"/>
      <c r="M870" s="508"/>
      <c r="N870" s="508"/>
      <c r="O870" s="509"/>
      <c r="P870" s="509"/>
    </row>
    <row r="871" spans="1:16" ht="21.75" customHeight="1" x14ac:dyDescent="0.3">
      <c r="A871" s="504"/>
      <c r="B871" s="504"/>
      <c r="C871" s="504"/>
      <c r="D871" s="504"/>
      <c r="E871" s="506"/>
      <c r="F871" s="506"/>
      <c r="G871" s="506"/>
      <c r="H871" s="506"/>
      <c r="I871" s="506"/>
      <c r="J871" s="506"/>
      <c r="K871" s="507"/>
      <c r="L871" s="508"/>
      <c r="M871" s="508"/>
      <c r="N871" s="508"/>
      <c r="O871" s="509"/>
      <c r="P871" s="509"/>
    </row>
    <row r="872" spans="1:16" ht="21.75" customHeight="1" x14ac:dyDescent="0.3">
      <c r="A872" s="504"/>
      <c r="B872" s="504"/>
      <c r="C872" s="504"/>
      <c r="D872" s="504"/>
      <c r="E872" s="506"/>
      <c r="F872" s="506"/>
      <c r="G872" s="506"/>
      <c r="H872" s="506"/>
      <c r="I872" s="506"/>
      <c r="J872" s="506"/>
      <c r="K872" s="507"/>
      <c r="L872" s="508"/>
      <c r="M872" s="508"/>
      <c r="N872" s="508"/>
      <c r="O872" s="509"/>
      <c r="P872" s="509"/>
    </row>
    <row r="873" spans="1:16" ht="21.75" customHeight="1" x14ac:dyDescent="0.3">
      <c r="A873" s="504"/>
      <c r="B873" s="504"/>
      <c r="C873" s="504"/>
      <c r="D873" s="504"/>
      <c r="E873" s="506"/>
      <c r="F873" s="506"/>
      <c r="G873" s="506"/>
      <c r="H873" s="506"/>
      <c r="I873" s="506"/>
      <c r="J873" s="506"/>
      <c r="K873" s="507"/>
      <c r="L873" s="508"/>
      <c r="M873" s="508"/>
      <c r="N873" s="508"/>
      <c r="O873" s="509"/>
      <c r="P873" s="509"/>
    </row>
    <row r="874" spans="1:16" ht="21.75" customHeight="1" x14ac:dyDescent="0.3">
      <c r="A874" s="504"/>
      <c r="B874" s="504"/>
      <c r="C874" s="504"/>
      <c r="D874" s="504"/>
      <c r="E874" s="506"/>
      <c r="F874" s="506"/>
      <c r="G874" s="506"/>
      <c r="H874" s="506"/>
      <c r="I874" s="506"/>
      <c r="J874" s="506"/>
      <c r="K874" s="507"/>
      <c r="L874" s="508"/>
      <c r="M874" s="508"/>
      <c r="N874" s="508"/>
      <c r="O874" s="509"/>
      <c r="P874" s="509"/>
    </row>
    <row r="875" spans="1:16" ht="21.75" customHeight="1" x14ac:dyDescent="0.3">
      <c r="A875" s="504"/>
      <c r="B875" s="504"/>
      <c r="C875" s="504"/>
      <c r="D875" s="504"/>
      <c r="E875" s="506"/>
      <c r="F875" s="506"/>
      <c r="G875" s="506"/>
      <c r="H875" s="506"/>
      <c r="I875" s="506"/>
      <c r="J875" s="506"/>
      <c r="K875" s="507"/>
      <c r="L875" s="508"/>
      <c r="M875" s="508"/>
      <c r="N875" s="508"/>
      <c r="O875" s="509"/>
      <c r="P875" s="509"/>
    </row>
    <row r="876" spans="1:16" ht="21.75" customHeight="1" x14ac:dyDescent="0.3">
      <c r="A876" s="504"/>
      <c r="B876" s="504"/>
      <c r="C876" s="504"/>
      <c r="D876" s="504"/>
      <c r="E876" s="506"/>
      <c r="F876" s="506"/>
      <c r="G876" s="506"/>
      <c r="H876" s="506"/>
      <c r="I876" s="506"/>
      <c r="J876" s="506"/>
      <c r="K876" s="507"/>
      <c r="L876" s="508"/>
      <c r="M876" s="508"/>
      <c r="N876" s="508"/>
      <c r="O876" s="509"/>
      <c r="P876" s="509"/>
    </row>
    <row r="877" spans="1:16" ht="21.75" customHeight="1" x14ac:dyDescent="0.3">
      <c r="A877" s="504"/>
      <c r="B877" s="504"/>
      <c r="C877" s="504"/>
      <c r="D877" s="504"/>
      <c r="E877" s="506"/>
      <c r="F877" s="506"/>
      <c r="G877" s="506"/>
      <c r="H877" s="506"/>
      <c r="I877" s="506"/>
      <c r="J877" s="506"/>
      <c r="K877" s="507"/>
      <c r="L877" s="508"/>
      <c r="M877" s="508"/>
      <c r="N877" s="508"/>
      <c r="O877" s="509"/>
      <c r="P877" s="509"/>
    </row>
    <row r="878" spans="1:16" ht="21.75" customHeight="1" x14ac:dyDescent="0.3">
      <c r="A878" s="504"/>
      <c r="B878" s="504"/>
      <c r="C878" s="504"/>
      <c r="D878" s="504"/>
      <c r="E878" s="506"/>
      <c r="F878" s="506"/>
      <c r="G878" s="506"/>
      <c r="H878" s="506"/>
      <c r="I878" s="506"/>
      <c r="J878" s="506"/>
      <c r="K878" s="507"/>
      <c r="L878" s="508"/>
      <c r="M878" s="508"/>
      <c r="N878" s="508"/>
      <c r="O878" s="509"/>
      <c r="P878" s="509"/>
    </row>
    <row r="879" spans="1:16" ht="21.75" customHeight="1" x14ac:dyDescent="0.3">
      <c r="A879" s="504"/>
      <c r="B879" s="504"/>
      <c r="C879" s="504"/>
      <c r="D879" s="504"/>
      <c r="E879" s="506"/>
      <c r="F879" s="506"/>
      <c r="G879" s="506"/>
      <c r="H879" s="506"/>
      <c r="I879" s="506"/>
      <c r="J879" s="506"/>
      <c r="K879" s="507"/>
      <c r="L879" s="508"/>
      <c r="M879" s="508"/>
      <c r="N879" s="508"/>
      <c r="O879" s="509"/>
      <c r="P879" s="509"/>
    </row>
    <row r="880" spans="1:16" ht="21.75" customHeight="1" x14ac:dyDescent="0.3">
      <c r="A880" s="504"/>
      <c r="B880" s="504"/>
      <c r="C880" s="504"/>
      <c r="D880" s="504"/>
      <c r="E880" s="506"/>
      <c r="F880" s="506"/>
      <c r="G880" s="506"/>
      <c r="H880" s="506"/>
      <c r="I880" s="506"/>
      <c r="J880" s="506"/>
      <c r="K880" s="507"/>
      <c r="L880" s="508"/>
      <c r="M880" s="508"/>
      <c r="N880" s="508"/>
      <c r="O880" s="509"/>
      <c r="P880" s="509"/>
    </row>
    <row r="881" spans="1:16" ht="21.75" customHeight="1" x14ac:dyDescent="0.3">
      <c r="A881" s="504"/>
      <c r="B881" s="504"/>
      <c r="C881" s="504"/>
      <c r="D881" s="504"/>
      <c r="E881" s="506"/>
      <c r="F881" s="506"/>
      <c r="G881" s="506"/>
      <c r="H881" s="506"/>
      <c r="I881" s="506"/>
      <c r="J881" s="506"/>
      <c r="K881" s="507"/>
      <c r="L881" s="508"/>
      <c r="M881" s="508"/>
      <c r="N881" s="508"/>
      <c r="O881" s="509"/>
      <c r="P881" s="509"/>
    </row>
    <row r="882" spans="1:16" ht="21.75" customHeight="1" x14ac:dyDescent="0.3">
      <c r="A882" s="504"/>
      <c r="B882" s="504"/>
      <c r="C882" s="504"/>
      <c r="D882" s="504"/>
      <c r="E882" s="506"/>
      <c r="F882" s="506"/>
      <c r="G882" s="506"/>
      <c r="H882" s="506"/>
      <c r="I882" s="506"/>
      <c r="J882" s="506"/>
      <c r="K882" s="507"/>
      <c r="L882" s="508"/>
      <c r="M882" s="508"/>
      <c r="N882" s="508"/>
      <c r="O882" s="509"/>
      <c r="P882" s="509"/>
    </row>
    <row r="883" spans="1:16" ht="21.75" customHeight="1" x14ac:dyDescent="0.3">
      <c r="A883" s="504"/>
      <c r="B883" s="504"/>
      <c r="C883" s="504"/>
      <c r="D883" s="504"/>
      <c r="E883" s="506"/>
      <c r="F883" s="506"/>
      <c r="G883" s="506"/>
      <c r="H883" s="506"/>
      <c r="I883" s="506"/>
      <c r="J883" s="506"/>
      <c r="K883" s="507"/>
      <c r="L883" s="508"/>
      <c r="M883" s="508"/>
      <c r="N883" s="508"/>
      <c r="O883" s="509"/>
      <c r="P883" s="509"/>
    </row>
    <row r="884" spans="1:16" ht="21.75" customHeight="1" x14ac:dyDescent="0.3">
      <c r="A884" s="504"/>
      <c r="B884" s="504"/>
      <c r="C884" s="504"/>
      <c r="D884" s="504"/>
      <c r="E884" s="506"/>
      <c r="F884" s="506"/>
      <c r="G884" s="506"/>
      <c r="H884" s="506"/>
      <c r="I884" s="506"/>
      <c r="J884" s="506"/>
      <c r="K884" s="507"/>
      <c r="L884" s="508"/>
      <c r="M884" s="508"/>
      <c r="N884" s="508"/>
      <c r="O884" s="509"/>
      <c r="P884" s="509"/>
    </row>
    <row r="885" spans="1:16" ht="21.75" customHeight="1" x14ac:dyDescent="0.3">
      <c r="A885" s="504"/>
      <c r="B885" s="504"/>
      <c r="C885" s="504"/>
      <c r="D885" s="504"/>
      <c r="E885" s="506"/>
      <c r="F885" s="506"/>
      <c r="G885" s="506"/>
      <c r="H885" s="506"/>
      <c r="I885" s="506"/>
      <c r="J885" s="506"/>
      <c r="K885" s="507"/>
      <c r="L885" s="508"/>
      <c r="M885" s="508"/>
      <c r="N885" s="508"/>
      <c r="O885" s="509"/>
      <c r="P885" s="509"/>
    </row>
    <row r="886" spans="1:16" ht="21.75" customHeight="1" x14ac:dyDescent="0.3">
      <c r="A886" s="504"/>
      <c r="B886" s="504"/>
      <c r="C886" s="504"/>
      <c r="D886" s="504"/>
      <c r="E886" s="506"/>
      <c r="F886" s="506"/>
      <c r="G886" s="506"/>
      <c r="H886" s="506"/>
      <c r="I886" s="506"/>
      <c r="J886" s="506"/>
      <c r="K886" s="507"/>
      <c r="L886" s="508"/>
      <c r="M886" s="508"/>
      <c r="N886" s="508"/>
      <c r="O886" s="509"/>
      <c r="P886" s="509"/>
    </row>
    <row r="887" spans="1:16" ht="21.75" customHeight="1" x14ac:dyDescent="0.3">
      <c r="A887" s="504"/>
      <c r="B887" s="504"/>
      <c r="C887" s="504"/>
      <c r="D887" s="504"/>
      <c r="E887" s="506"/>
      <c r="F887" s="506"/>
      <c r="G887" s="506"/>
      <c r="H887" s="506"/>
      <c r="I887" s="506"/>
      <c r="J887" s="506"/>
      <c r="K887" s="507"/>
      <c r="L887" s="508"/>
      <c r="M887" s="508"/>
      <c r="N887" s="508"/>
      <c r="O887" s="509"/>
      <c r="P887" s="509"/>
    </row>
    <row r="888" spans="1:16" ht="21.75" customHeight="1" x14ac:dyDescent="0.3">
      <c r="A888" s="504"/>
      <c r="B888" s="504"/>
      <c r="C888" s="504"/>
      <c r="D888" s="504"/>
      <c r="E888" s="506"/>
      <c r="F888" s="506"/>
      <c r="G888" s="506"/>
      <c r="H888" s="506"/>
      <c r="I888" s="506"/>
      <c r="J888" s="506"/>
      <c r="K888" s="507"/>
      <c r="L888" s="508"/>
      <c r="M888" s="508"/>
      <c r="N888" s="508"/>
      <c r="O888" s="509"/>
      <c r="P888" s="509"/>
    </row>
    <row r="889" spans="1:16" ht="21.75" customHeight="1" x14ac:dyDescent="0.3">
      <c r="A889" s="504"/>
      <c r="B889" s="504"/>
      <c r="C889" s="504"/>
      <c r="D889" s="504"/>
      <c r="E889" s="506"/>
      <c r="F889" s="506"/>
      <c r="G889" s="506"/>
      <c r="H889" s="506"/>
      <c r="I889" s="506"/>
      <c r="J889" s="506"/>
      <c r="K889" s="507"/>
      <c r="L889" s="508"/>
      <c r="M889" s="508"/>
      <c r="N889" s="508"/>
      <c r="O889" s="509"/>
      <c r="P889" s="509"/>
    </row>
    <row r="890" spans="1:16" ht="21.75" customHeight="1" x14ac:dyDescent="0.3">
      <c r="A890" s="504"/>
      <c r="B890" s="504"/>
      <c r="C890" s="504"/>
      <c r="D890" s="504"/>
      <c r="E890" s="506"/>
      <c r="F890" s="506"/>
      <c r="G890" s="506"/>
      <c r="H890" s="506"/>
      <c r="I890" s="506"/>
      <c r="J890" s="506"/>
      <c r="K890" s="507"/>
      <c r="L890" s="508"/>
      <c r="M890" s="508"/>
      <c r="N890" s="508"/>
      <c r="O890" s="509"/>
      <c r="P890" s="509"/>
    </row>
    <row r="891" spans="1:16" ht="21.75" customHeight="1" x14ac:dyDescent="0.3">
      <c r="A891" s="504"/>
      <c r="B891" s="504"/>
      <c r="C891" s="504"/>
      <c r="D891" s="504"/>
      <c r="E891" s="506"/>
      <c r="F891" s="506"/>
      <c r="G891" s="506"/>
      <c r="H891" s="506"/>
      <c r="I891" s="506"/>
      <c r="J891" s="506"/>
      <c r="K891" s="507"/>
      <c r="L891" s="508"/>
      <c r="M891" s="508"/>
      <c r="N891" s="508"/>
      <c r="O891" s="509"/>
      <c r="P891" s="509"/>
    </row>
    <row r="892" spans="1:16" ht="21.75" customHeight="1" x14ac:dyDescent="0.3">
      <c r="A892" s="504"/>
      <c r="B892" s="504"/>
      <c r="C892" s="504"/>
      <c r="D892" s="504"/>
      <c r="E892" s="506"/>
      <c r="F892" s="506"/>
      <c r="G892" s="506"/>
      <c r="H892" s="506"/>
      <c r="I892" s="506"/>
      <c r="J892" s="506"/>
      <c r="K892" s="507"/>
      <c r="L892" s="508"/>
      <c r="M892" s="508"/>
      <c r="N892" s="508"/>
      <c r="O892" s="509"/>
      <c r="P892" s="509"/>
    </row>
    <row r="893" spans="1:16" ht="21.75" customHeight="1" x14ac:dyDescent="0.3">
      <c r="A893" s="504"/>
      <c r="B893" s="504"/>
      <c r="C893" s="504"/>
      <c r="D893" s="504"/>
      <c r="E893" s="506"/>
      <c r="F893" s="506"/>
      <c r="G893" s="506"/>
      <c r="H893" s="506"/>
      <c r="I893" s="506"/>
      <c r="J893" s="506"/>
      <c r="K893" s="507"/>
      <c r="L893" s="508"/>
      <c r="M893" s="508"/>
      <c r="N893" s="508"/>
      <c r="O893" s="509"/>
      <c r="P893" s="509"/>
    </row>
    <row r="894" spans="1:16" ht="21.75" customHeight="1" x14ac:dyDescent="0.3">
      <c r="A894" s="504"/>
      <c r="B894" s="504"/>
      <c r="C894" s="504"/>
      <c r="D894" s="504"/>
      <c r="E894" s="506"/>
      <c r="F894" s="506"/>
      <c r="G894" s="506"/>
      <c r="H894" s="506"/>
      <c r="I894" s="506"/>
      <c r="J894" s="506"/>
      <c r="K894" s="507"/>
      <c r="L894" s="508"/>
      <c r="M894" s="508"/>
      <c r="N894" s="508"/>
      <c r="O894" s="509"/>
      <c r="P894" s="509"/>
    </row>
    <row r="895" spans="1:16" ht="21.75" customHeight="1" x14ac:dyDescent="0.3">
      <c r="A895" s="504"/>
      <c r="B895" s="504"/>
      <c r="C895" s="504"/>
      <c r="D895" s="504"/>
      <c r="E895" s="506"/>
      <c r="F895" s="506"/>
      <c r="G895" s="506"/>
      <c r="H895" s="506"/>
      <c r="I895" s="506"/>
      <c r="J895" s="506"/>
      <c r="K895" s="507"/>
      <c r="L895" s="508"/>
      <c r="M895" s="508"/>
      <c r="N895" s="508"/>
      <c r="O895" s="509"/>
      <c r="P895" s="509"/>
    </row>
    <row r="896" spans="1:16" ht="21.75" customHeight="1" x14ac:dyDescent="0.3">
      <c r="A896" s="504"/>
      <c r="B896" s="504"/>
      <c r="C896" s="504"/>
      <c r="D896" s="504"/>
      <c r="E896" s="506"/>
      <c r="F896" s="506"/>
      <c r="G896" s="506"/>
      <c r="H896" s="506"/>
      <c r="I896" s="506"/>
      <c r="J896" s="506"/>
      <c r="K896" s="507"/>
      <c r="L896" s="508"/>
      <c r="M896" s="508"/>
      <c r="N896" s="508"/>
      <c r="O896" s="509"/>
      <c r="P896" s="509"/>
    </row>
    <row r="897" spans="1:16" ht="21.75" customHeight="1" x14ac:dyDescent="0.3">
      <c r="A897" s="504"/>
      <c r="B897" s="504"/>
      <c r="C897" s="504"/>
      <c r="D897" s="504"/>
      <c r="E897" s="506"/>
      <c r="F897" s="506"/>
      <c r="G897" s="506"/>
      <c r="H897" s="506"/>
      <c r="I897" s="506"/>
      <c r="J897" s="506"/>
      <c r="K897" s="507"/>
      <c r="L897" s="508"/>
      <c r="M897" s="508"/>
      <c r="N897" s="508"/>
      <c r="O897" s="509"/>
      <c r="P897" s="509"/>
    </row>
    <row r="898" spans="1:16" ht="21.75" customHeight="1" x14ac:dyDescent="0.3">
      <c r="A898" s="504"/>
      <c r="B898" s="504"/>
      <c r="C898" s="504"/>
      <c r="D898" s="504"/>
      <c r="E898" s="506"/>
      <c r="F898" s="506"/>
      <c r="G898" s="506"/>
      <c r="H898" s="506"/>
      <c r="I898" s="506"/>
      <c r="J898" s="506"/>
      <c r="K898" s="507"/>
      <c r="L898" s="508"/>
      <c r="M898" s="508"/>
      <c r="N898" s="508"/>
      <c r="O898" s="509"/>
      <c r="P898" s="509"/>
    </row>
    <row r="899" spans="1:16" ht="21.75" customHeight="1" x14ac:dyDescent="0.3">
      <c r="A899" s="504"/>
      <c r="B899" s="504"/>
      <c r="C899" s="504"/>
      <c r="D899" s="504"/>
      <c r="E899" s="506"/>
      <c r="F899" s="506"/>
      <c r="G899" s="506"/>
      <c r="H899" s="506"/>
      <c r="I899" s="506"/>
      <c r="J899" s="506"/>
      <c r="K899" s="507"/>
      <c r="L899" s="508"/>
      <c r="M899" s="508"/>
      <c r="N899" s="508"/>
      <c r="O899" s="509"/>
      <c r="P899" s="509"/>
    </row>
    <row r="900" spans="1:16" ht="21.75" customHeight="1" x14ac:dyDescent="0.3">
      <c r="A900" s="504"/>
      <c r="B900" s="504"/>
      <c r="C900" s="504"/>
      <c r="D900" s="504"/>
      <c r="E900" s="506"/>
      <c r="F900" s="506"/>
      <c r="G900" s="506"/>
      <c r="H900" s="506"/>
      <c r="I900" s="506"/>
      <c r="J900" s="506"/>
      <c r="K900" s="507"/>
      <c r="L900" s="508"/>
      <c r="M900" s="508"/>
      <c r="N900" s="508"/>
      <c r="O900" s="509"/>
      <c r="P900" s="509"/>
    </row>
    <row r="901" spans="1:16" ht="21.75" customHeight="1" x14ac:dyDescent="0.3">
      <c r="A901" s="504"/>
      <c r="B901" s="504"/>
      <c r="C901" s="504"/>
      <c r="D901" s="504"/>
      <c r="E901" s="506"/>
      <c r="F901" s="506"/>
      <c r="G901" s="506"/>
      <c r="H901" s="506"/>
      <c r="I901" s="506"/>
      <c r="J901" s="506"/>
      <c r="K901" s="507"/>
      <c r="L901" s="508"/>
      <c r="M901" s="508"/>
      <c r="N901" s="508"/>
      <c r="O901" s="509"/>
      <c r="P901" s="509"/>
    </row>
    <row r="902" spans="1:16" ht="21.75" customHeight="1" x14ac:dyDescent="0.3">
      <c r="A902" s="504"/>
      <c r="B902" s="504"/>
      <c r="C902" s="504"/>
      <c r="D902" s="504"/>
      <c r="E902" s="506"/>
      <c r="F902" s="506"/>
      <c r="G902" s="506"/>
      <c r="H902" s="506"/>
      <c r="I902" s="506"/>
      <c r="J902" s="506"/>
      <c r="K902" s="507"/>
      <c r="L902" s="508"/>
      <c r="M902" s="508"/>
      <c r="N902" s="508"/>
      <c r="O902" s="509"/>
      <c r="P902" s="509"/>
    </row>
    <row r="903" spans="1:16" ht="21.75" customHeight="1" x14ac:dyDescent="0.3">
      <c r="A903" s="504"/>
      <c r="B903" s="504"/>
      <c r="C903" s="504"/>
      <c r="D903" s="504"/>
      <c r="E903" s="506"/>
      <c r="F903" s="506"/>
      <c r="G903" s="506"/>
      <c r="H903" s="506"/>
      <c r="I903" s="506"/>
      <c r="J903" s="506"/>
      <c r="K903" s="507"/>
      <c r="L903" s="508"/>
      <c r="M903" s="508"/>
      <c r="N903" s="508"/>
      <c r="O903" s="509"/>
      <c r="P903" s="509"/>
    </row>
    <row r="904" spans="1:16" ht="21.75" customHeight="1" x14ac:dyDescent="0.3">
      <c r="A904" s="504"/>
      <c r="B904" s="504"/>
      <c r="C904" s="504"/>
      <c r="D904" s="504"/>
      <c r="E904" s="506"/>
      <c r="F904" s="506"/>
      <c r="G904" s="506"/>
      <c r="H904" s="506"/>
      <c r="I904" s="506"/>
      <c r="J904" s="506"/>
      <c r="K904" s="507"/>
      <c r="L904" s="508"/>
      <c r="M904" s="508"/>
      <c r="N904" s="508"/>
      <c r="O904" s="509"/>
      <c r="P904" s="509"/>
    </row>
    <row r="905" spans="1:16" ht="21.75" customHeight="1" x14ac:dyDescent="0.3">
      <c r="A905" s="504"/>
      <c r="B905" s="504"/>
      <c r="C905" s="504"/>
      <c r="D905" s="504"/>
      <c r="E905" s="506"/>
      <c r="F905" s="506"/>
      <c r="G905" s="506"/>
      <c r="H905" s="506"/>
      <c r="I905" s="506"/>
      <c r="J905" s="506"/>
      <c r="K905" s="507"/>
      <c r="L905" s="508"/>
      <c r="M905" s="508"/>
      <c r="N905" s="508"/>
      <c r="O905" s="509"/>
      <c r="P905" s="509"/>
    </row>
    <row r="906" spans="1:16" ht="21.75" customHeight="1" x14ac:dyDescent="0.3">
      <c r="A906" s="504"/>
      <c r="B906" s="504"/>
      <c r="C906" s="504"/>
      <c r="D906" s="504"/>
      <c r="E906" s="506"/>
      <c r="F906" s="506"/>
      <c r="G906" s="506"/>
      <c r="H906" s="506"/>
      <c r="I906" s="506"/>
      <c r="J906" s="506"/>
      <c r="K906" s="507"/>
      <c r="L906" s="508"/>
      <c r="M906" s="508"/>
      <c r="N906" s="508"/>
      <c r="O906" s="509"/>
      <c r="P906" s="509"/>
    </row>
    <row r="907" spans="1:16" ht="21.75" customHeight="1" x14ac:dyDescent="0.3">
      <c r="A907" s="504"/>
      <c r="B907" s="504"/>
      <c r="C907" s="504"/>
      <c r="D907" s="504"/>
      <c r="E907" s="506"/>
      <c r="F907" s="506"/>
      <c r="G907" s="506"/>
      <c r="H907" s="506"/>
      <c r="I907" s="506"/>
      <c r="J907" s="506"/>
      <c r="K907" s="507"/>
      <c r="L907" s="508"/>
      <c r="M907" s="508"/>
      <c r="N907" s="508"/>
      <c r="O907" s="509"/>
      <c r="P907" s="509"/>
    </row>
    <row r="908" spans="1:16" ht="21.75" customHeight="1" x14ac:dyDescent="0.3">
      <c r="A908" s="504"/>
      <c r="B908" s="504"/>
      <c r="C908" s="504"/>
      <c r="D908" s="504"/>
      <c r="E908" s="506"/>
      <c r="F908" s="506"/>
      <c r="G908" s="506"/>
      <c r="H908" s="506"/>
      <c r="I908" s="506"/>
      <c r="J908" s="506"/>
      <c r="K908" s="507"/>
      <c r="L908" s="508"/>
      <c r="M908" s="508"/>
      <c r="N908" s="508"/>
      <c r="O908" s="509"/>
      <c r="P908" s="509"/>
    </row>
    <row r="909" spans="1:16" ht="21.75" customHeight="1" x14ac:dyDescent="0.3">
      <c r="A909" s="504"/>
      <c r="B909" s="504"/>
      <c r="C909" s="504"/>
      <c r="D909" s="504"/>
      <c r="E909" s="506"/>
      <c r="F909" s="506"/>
      <c r="G909" s="506"/>
      <c r="H909" s="506"/>
      <c r="I909" s="506"/>
      <c r="J909" s="506"/>
      <c r="K909" s="507"/>
      <c r="L909" s="508"/>
      <c r="M909" s="508"/>
      <c r="N909" s="508"/>
      <c r="O909" s="509"/>
      <c r="P909" s="509"/>
    </row>
    <row r="910" spans="1:16" ht="21.75" customHeight="1" x14ac:dyDescent="0.3">
      <c r="A910" s="504"/>
      <c r="B910" s="504"/>
      <c r="C910" s="504"/>
      <c r="D910" s="504"/>
      <c r="E910" s="506"/>
      <c r="F910" s="506"/>
      <c r="G910" s="506"/>
      <c r="H910" s="506"/>
      <c r="I910" s="506"/>
      <c r="J910" s="506"/>
      <c r="K910" s="507"/>
      <c r="L910" s="508"/>
      <c r="M910" s="508"/>
      <c r="N910" s="508"/>
      <c r="O910" s="509"/>
      <c r="P910" s="509"/>
    </row>
    <row r="911" spans="1:16" ht="21.75" customHeight="1" x14ac:dyDescent="0.3">
      <c r="A911" s="504"/>
      <c r="B911" s="504"/>
      <c r="C911" s="504"/>
      <c r="D911" s="504"/>
      <c r="E911" s="506"/>
      <c r="F911" s="506"/>
      <c r="G911" s="506"/>
      <c r="H911" s="506"/>
      <c r="I911" s="506"/>
      <c r="J911" s="506"/>
      <c r="K911" s="507"/>
      <c r="L911" s="508"/>
      <c r="M911" s="508"/>
      <c r="N911" s="508"/>
      <c r="O911" s="509"/>
      <c r="P911" s="509"/>
    </row>
    <row r="912" spans="1:16" ht="21.75" customHeight="1" x14ac:dyDescent="0.3">
      <c r="A912" s="504"/>
      <c r="B912" s="504"/>
      <c r="C912" s="504"/>
      <c r="D912" s="504"/>
      <c r="E912" s="506"/>
      <c r="F912" s="506"/>
      <c r="G912" s="506"/>
      <c r="H912" s="506"/>
      <c r="I912" s="506"/>
      <c r="J912" s="506"/>
      <c r="K912" s="507"/>
      <c r="L912" s="508"/>
      <c r="M912" s="508"/>
      <c r="N912" s="508"/>
      <c r="O912" s="509"/>
      <c r="P912" s="509"/>
    </row>
    <row r="913" spans="1:16" ht="21.75" customHeight="1" x14ac:dyDescent="0.3">
      <c r="A913" s="504"/>
      <c r="B913" s="504"/>
      <c r="C913" s="504"/>
      <c r="D913" s="504"/>
      <c r="E913" s="506"/>
      <c r="F913" s="506"/>
      <c r="G913" s="506"/>
      <c r="H913" s="506"/>
      <c r="I913" s="506"/>
      <c r="J913" s="506"/>
      <c r="K913" s="507"/>
      <c r="L913" s="508"/>
      <c r="M913" s="508"/>
      <c r="N913" s="508"/>
      <c r="O913" s="509"/>
      <c r="P913" s="509"/>
    </row>
    <row r="914" spans="1:16" ht="21.75" customHeight="1" x14ac:dyDescent="0.3">
      <c r="A914" s="504"/>
      <c r="B914" s="504"/>
      <c r="C914" s="504"/>
      <c r="D914" s="504"/>
      <c r="E914" s="506"/>
      <c r="F914" s="506"/>
      <c r="G914" s="506"/>
      <c r="H914" s="506"/>
      <c r="I914" s="506"/>
      <c r="J914" s="506"/>
      <c r="K914" s="507"/>
      <c r="L914" s="508"/>
      <c r="M914" s="508"/>
      <c r="N914" s="508"/>
      <c r="O914" s="509"/>
      <c r="P914" s="509"/>
    </row>
    <row r="915" spans="1:16" ht="21.75" customHeight="1" x14ac:dyDescent="0.3">
      <c r="A915" s="504"/>
      <c r="B915" s="504"/>
      <c r="C915" s="504"/>
      <c r="D915" s="504"/>
      <c r="E915" s="506"/>
      <c r="F915" s="506"/>
      <c r="G915" s="506"/>
      <c r="H915" s="506"/>
      <c r="I915" s="506"/>
      <c r="J915" s="506"/>
      <c r="K915" s="507"/>
      <c r="L915" s="508"/>
      <c r="M915" s="508"/>
      <c r="N915" s="508"/>
      <c r="O915" s="509"/>
      <c r="P915" s="509"/>
    </row>
    <row r="916" spans="1:16" ht="21.75" customHeight="1" x14ac:dyDescent="0.3">
      <c r="A916" s="504"/>
      <c r="B916" s="504"/>
      <c r="C916" s="504"/>
      <c r="D916" s="504"/>
      <c r="E916" s="506"/>
      <c r="F916" s="506"/>
      <c r="G916" s="506"/>
      <c r="H916" s="506"/>
      <c r="I916" s="506"/>
      <c r="J916" s="506"/>
      <c r="K916" s="507"/>
      <c r="L916" s="508"/>
      <c r="M916" s="508"/>
      <c r="N916" s="508"/>
      <c r="O916" s="509"/>
      <c r="P916" s="509"/>
    </row>
    <row r="917" spans="1:16" ht="21.75" customHeight="1" x14ac:dyDescent="0.3">
      <c r="A917" s="504"/>
      <c r="B917" s="504"/>
      <c r="C917" s="504"/>
      <c r="D917" s="504"/>
      <c r="E917" s="506"/>
      <c r="F917" s="506"/>
      <c r="G917" s="506"/>
      <c r="H917" s="506"/>
      <c r="I917" s="506"/>
      <c r="J917" s="506"/>
      <c r="K917" s="507"/>
      <c r="L917" s="508"/>
      <c r="M917" s="508"/>
      <c r="N917" s="508"/>
      <c r="O917" s="509"/>
      <c r="P917" s="509"/>
    </row>
    <row r="918" spans="1:16" ht="21.75" customHeight="1" x14ac:dyDescent="0.3">
      <c r="A918" s="504"/>
      <c r="B918" s="504"/>
      <c r="C918" s="504"/>
      <c r="D918" s="504"/>
      <c r="E918" s="506"/>
      <c r="F918" s="506"/>
      <c r="G918" s="506"/>
      <c r="H918" s="506"/>
      <c r="I918" s="506"/>
      <c r="J918" s="506"/>
      <c r="K918" s="507"/>
      <c r="L918" s="508"/>
      <c r="M918" s="508"/>
      <c r="N918" s="508"/>
      <c r="O918" s="509"/>
      <c r="P918" s="509"/>
    </row>
    <row r="919" spans="1:16" ht="21.75" customHeight="1" x14ac:dyDescent="0.3">
      <c r="A919" s="504"/>
      <c r="B919" s="504"/>
      <c r="C919" s="504"/>
      <c r="D919" s="504"/>
      <c r="E919" s="506"/>
      <c r="F919" s="506"/>
      <c r="G919" s="506"/>
      <c r="H919" s="506"/>
      <c r="I919" s="506"/>
      <c r="J919" s="506"/>
      <c r="K919" s="507"/>
      <c r="L919" s="508"/>
      <c r="M919" s="508"/>
      <c r="N919" s="508"/>
      <c r="O919" s="509"/>
      <c r="P919" s="509"/>
    </row>
    <row r="920" spans="1:16" ht="21.75" customHeight="1" x14ac:dyDescent="0.3">
      <c r="A920" s="504"/>
      <c r="B920" s="504"/>
      <c r="C920" s="504"/>
      <c r="D920" s="504"/>
      <c r="E920" s="506"/>
      <c r="F920" s="506"/>
      <c r="G920" s="506"/>
      <c r="H920" s="506"/>
      <c r="I920" s="506"/>
      <c r="J920" s="506"/>
      <c r="K920" s="507"/>
      <c r="L920" s="508"/>
      <c r="M920" s="508"/>
      <c r="N920" s="508"/>
      <c r="O920" s="509"/>
      <c r="P920" s="509"/>
    </row>
    <row r="921" spans="1:16" ht="21.75" customHeight="1" x14ac:dyDescent="0.3">
      <c r="A921" s="504"/>
      <c r="B921" s="504"/>
      <c r="C921" s="504"/>
      <c r="D921" s="504"/>
      <c r="E921" s="506"/>
      <c r="F921" s="506"/>
      <c r="G921" s="506"/>
      <c r="H921" s="506"/>
      <c r="I921" s="506"/>
      <c r="J921" s="506"/>
      <c r="K921" s="507"/>
      <c r="L921" s="508"/>
      <c r="M921" s="508"/>
      <c r="N921" s="508"/>
      <c r="O921" s="509"/>
      <c r="P921" s="509"/>
    </row>
    <row r="922" spans="1:16" ht="21.75" customHeight="1" x14ac:dyDescent="0.3">
      <c r="A922" s="504"/>
      <c r="B922" s="504"/>
      <c r="C922" s="504"/>
      <c r="D922" s="504"/>
      <c r="E922" s="506"/>
      <c r="F922" s="506"/>
      <c r="G922" s="506"/>
      <c r="H922" s="506"/>
      <c r="I922" s="506"/>
      <c r="J922" s="506"/>
      <c r="K922" s="507"/>
      <c r="L922" s="508"/>
      <c r="M922" s="508"/>
      <c r="N922" s="508"/>
      <c r="O922" s="509"/>
      <c r="P922" s="509"/>
    </row>
    <row r="923" spans="1:16" ht="21.75" customHeight="1" x14ac:dyDescent="0.3">
      <c r="A923" s="504"/>
      <c r="B923" s="504"/>
      <c r="C923" s="504"/>
      <c r="D923" s="504"/>
      <c r="E923" s="506"/>
      <c r="F923" s="506"/>
      <c r="G923" s="506"/>
      <c r="H923" s="506"/>
      <c r="I923" s="506"/>
      <c r="J923" s="506"/>
      <c r="K923" s="507"/>
      <c r="L923" s="508"/>
      <c r="M923" s="508"/>
      <c r="N923" s="508"/>
      <c r="O923" s="509"/>
      <c r="P923" s="509"/>
    </row>
    <row r="924" spans="1:16" ht="21.75" customHeight="1" x14ac:dyDescent="0.3">
      <c r="A924" s="504"/>
      <c r="B924" s="504"/>
      <c r="C924" s="504"/>
      <c r="D924" s="504"/>
      <c r="E924" s="506"/>
      <c r="F924" s="506"/>
      <c r="G924" s="506"/>
      <c r="H924" s="506"/>
      <c r="I924" s="506"/>
      <c r="J924" s="506"/>
      <c r="K924" s="507"/>
      <c r="L924" s="508"/>
      <c r="M924" s="508"/>
      <c r="N924" s="508"/>
      <c r="O924" s="509"/>
      <c r="P924" s="509"/>
    </row>
    <row r="925" spans="1:16" ht="21.75" customHeight="1" x14ac:dyDescent="0.3">
      <c r="A925" s="504"/>
      <c r="B925" s="504"/>
      <c r="C925" s="504"/>
      <c r="D925" s="504"/>
      <c r="E925" s="506"/>
      <c r="F925" s="506"/>
      <c r="G925" s="506"/>
      <c r="H925" s="506"/>
      <c r="I925" s="506"/>
      <c r="J925" s="506"/>
      <c r="K925" s="507"/>
      <c r="L925" s="508"/>
      <c r="M925" s="508"/>
      <c r="N925" s="508"/>
      <c r="O925" s="509"/>
      <c r="P925" s="509"/>
    </row>
    <row r="926" spans="1:16" ht="21.75" customHeight="1" x14ac:dyDescent="0.3">
      <c r="A926" s="504"/>
      <c r="B926" s="504"/>
      <c r="C926" s="504"/>
      <c r="D926" s="504"/>
      <c r="E926" s="506"/>
      <c r="F926" s="506"/>
      <c r="G926" s="506"/>
      <c r="H926" s="506"/>
      <c r="I926" s="506"/>
      <c r="J926" s="506"/>
      <c r="K926" s="507"/>
      <c r="L926" s="508"/>
      <c r="M926" s="508"/>
      <c r="N926" s="508"/>
      <c r="O926" s="509"/>
      <c r="P926" s="509"/>
    </row>
    <row r="927" spans="1:16" ht="21.75" customHeight="1" x14ac:dyDescent="0.3">
      <c r="A927" s="504"/>
      <c r="B927" s="504"/>
      <c r="C927" s="504"/>
      <c r="D927" s="504"/>
      <c r="E927" s="506"/>
      <c r="F927" s="506"/>
      <c r="G927" s="506"/>
      <c r="H927" s="506"/>
      <c r="I927" s="506"/>
      <c r="J927" s="506"/>
      <c r="K927" s="507"/>
      <c r="L927" s="508"/>
      <c r="M927" s="508"/>
      <c r="N927" s="508"/>
      <c r="O927" s="509"/>
      <c r="P927" s="509"/>
    </row>
    <row r="928" spans="1:16" ht="21.75" customHeight="1" x14ac:dyDescent="0.3">
      <c r="A928" s="504"/>
      <c r="B928" s="504"/>
      <c r="C928" s="504"/>
      <c r="D928" s="504"/>
      <c r="E928" s="506"/>
      <c r="F928" s="506"/>
      <c r="G928" s="506"/>
      <c r="H928" s="506"/>
      <c r="I928" s="506"/>
      <c r="J928" s="506"/>
      <c r="K928" s="507"/>
      <c r="L928" s="508"/>
      <c r="M928" s="508"/>
      <c r="N928" s="508"/>
      <c r="O928" s="509"/>
      <c r="P928" s="509"/>
    </row>
    <row r="929" spans="1:16" ht="21.75" customHeight="1" x14ac:dyDescent="0.3">
      <c r="A929" s="504"/>
      <c r="B929" s="504"/>
      <c r="C929" s="504"/>
      <c r="D929" s="504"/>
      <c r="E929" s="506"/>
      <c r="F929" s="506"/>
      <c r="G929" s="506"/>
      <c r="H929" s="506"/>
      <c r="I929" s="506"/>
      <c r="J929" s="506"/>
      <c r="K929" s="507"/>
      <c r="L929" s="508"/>
      <c r="M929" s="508"/>
      <c r="N929" s="508"/>
      <c r="O929" s="509"/>
      <c r="P929" s="509"/>
    </row>
    <row r="930" spans="1:16" ht="21.75" customHeight="1" x14ac:dyDescent="0.3">
      <c r="A930" s="504"/>
      <c r="B930" s="504"/>
      <c r="C930" s="504"/>
      <c r="D930" s="504"/>
      <c r="E930" s="506"/>
      <c r="F930" s="506"/>
      <c r="G930" s="506"/>
      <c r="H930" s="506"/>
      <c r="I930" s="506"/>
      <c r="J930" s="506"/>
      <c r="K930" s="507"/>
      <c r="L930" s="508"/>
      <c r="M930" s="508"/>
      <c r="N930" s="508"/>
      <c r="O930" s="509"/>
      <c r="P930" s="509"/>
    </row>
    <row r="931" spans="1:16" ht="21.75" customHeight="1" x14ac:dyDescent="0.3">
      <c r="A931" s="504"/>
      <c r="B931" s="504"/>
      <c r="C931" s="504"/>
      <c r="D931" s="504"/>
      <c r="E931" s="506"/>
      <c r="F931" s="506"/>
      <c r="G931" s="506"/>
      <c r="H931" s="506"/>
      <c r="I931" s="506"/>
      <c r="J931" s="506"/>
      <c r="K931" s="507"/>
      <c r="L931" s="508"/>
      <c r="M931" s="508"/>
      <c r="N931" s="508"/>
      <c r="O931" s="509"/>
      <c r="P931" s="509"/>
    </row>
    <row r="932" spans="1:16" ht="21.75" customHeight="1" x14ac:dyDescent="0.3">
      <c r="A932" s="504"/>
      <c r="B932" s="504"/>
      <c r="C932" s="504"/>
      <c r="D932" s="504"/>
      <c r="E932" s="506"/>
      <c r="F932" s="506"/>
      <c r="G932" s="506"/>
      <c r="H932" s="506"/>
      <c r="I932" s="506"/>
      <c r="J932" s="506"/>
      <c r="K932" s="507"/>
      <c r="L932" s="508"/>
      <c r="M932" s="508"/>
      <c r="N932" s="508"/>
      <c r="O932" s="509"/>
      <c r="P932" s="509"/>
    </row>
    <row r="933" spans="1:16" ht="21.75" customHeight="1" x14ac:dyDescent="0.3">
      <c r="A933" s="504"/>
      <c r="B933" s="504"/>
      <c r="C933" s="504"/>
      <c r="D933" s="504"/>
      <c r="E933" s="506"/>
      <c r="F933" s="506"/>
      <c r="G933" s="506"/>
      <c r="H933" s="506"/>
      <c r="I933" s="506"/>
      <c r="J933" s="506"/>
      <c r="K933" s="507"/>
      <c r="L933" s="508"/>
      <c r="M933" s="508"/>
      <c r="N933" s="508"/>
      <c r="O933" s="509"/>
      <c r="P933" s="509"/>
    </row>
    <row r="934" spans="1:16" ht="21.75" customHeight="1" x14ac:dyDescent="0.3">
      <c r="A934" s="504"/>
      <c r="B934" s="504"/>
      <c r="C934" s="504"/>
      <c r="D934" s="504"/>
      <c r="E934" s="506"/>
      <c r="F934" s="506"/>
      <c r="G934" s="506"/>
      <c r="H934" s="506"/>
      <c r="I934" s="506"/>
      <c r="J934" s="506"/>
      <c r="K934" s="507"/>
      <c r="L934" s="508"/>
      <c r="M934" s="508"/>
      <c r="N934" s="508"/>
      <c r="O934" s="509"/>
      <c r="P934" s="509"/>
    </row>
    <row r="935" spans="1:16" ht="21.75" customHeight="1" x14ac:dyDescent="0.3">
      <c r="A935" s="504"/>
      <c r="B935" s="504"/>
      <c r="C935" s="504"/>
      <c r="D935" s="504"/>
      <c r="E935" s="506"/>
      <c r="F935" s="506"/>
      <c r="G935" s="506"/>
      <c r="H935" s="506"/>
      <c r="I935" s="506"/>
      <c r="J935" s="506"/>
      <c r="K935" s="507"/>
      <c r="L935" s="508"/>
      <c r="M935" s="508"/>
      <c r="N935" s="508"/>
      <c r="O935" s="509"/>
      <c r="P935" s="509"/>
    </row>
    <row r="936" spans="1:16" ht="21.75" customHeight="1" x14ac:dyDescent="0.3">
      <c r="A936" s="504"/>
      <c r="B936" s="504"/>
      <c r="C936" s="504"/>
      <c r="D936" s="504"/>
      <c r="E936" s="506"/>
      <c r="F936" s="506"/>
      <c r="G936" s="506"/>
      <c r="H936" s="506"/>
      <c r="I936" s="506"/>
      <c r="J936" s="506"/>
      <c r="K936" s="507"/>
      <c r="L936" s="508"/>
      <c r="M936" s="508"/>
      <c r="N936" s="508"/>
      <c r="O936" s="509"/>
      <c r="P936" s="509"/>
    </row>
    <row r="937" spans="1:16" ht="21.75" customHeight="1" x14ac:dyDescent="0.3">
      <c r="A937" s="504"/>
      <c r="B937" s="504"/>
      <c r="C937" s="504"/>
      <c r="D937" s="504"/>
      <c r="E937" s="506"/>
      <c r="F937" s="506"/>
      <c r="G937" s="506"/>
      <c r="H937" s="506"/>
      <c r="I937" s="506"/>
      <c r="J937" s="506"/>
      <c r="K937" s="507"/>
      <c r="L937" s="508"/>
      <c r="M937" s="508"/>
      <c r="N937" s="508"/>
      <c r="O937" s="509"/>
      <c r="P937" s="509"/>
    </row>
    <row r="938" spans="1:16" ht="21.75" customHeight="1" x14ac:dyDescent="0.3">
      <c r="A938" s="504"/>
      <c r="B938" s="504"/>
      <c r="C938" s="504"/>
      <c r="D938" s="504"/>
      <c r="E938" s="506"/>
      <c r="F938" s="506"/>
      <c r="G938" s="506"/>
      <c r="H938" s="506"/>
      <c r="I938" s="506"/>
      <c r="J938" s="506"/>
      <c r="K938" s="507"/>
      <c r="L938" s="508"/>
      <c r="M938" s="508"/>
      <c r="N938" s="508"/>
      <c r="O938" s="509"/>
      <c r="P938" s="509"/>
    </row>
    <row r="939" spans="1:16" ht="21.75" customHeight="1" x14ac:dyDescent="0.3">
      <c r="A939" s="504"/>
      <c r="B939" s="504"/>
      <c r="C939" s="504"/>
      <c r="D939" s="504"/>
      <c r="E939" s="506"/>
      <c r="F939" s="506"/>
      <c r="G939" s="506"/>
      <c r="H939" s="506"/>
      <c r="I939" s="506"/>
      <c r="J939" s="506"/>
      <c r="K939" s="507"/>
      <c r="L939" s="508"/>
      <c r="M939" s="508"/>
      <c r="N939" s="508"/>
      <c r="O939" s="509"/>
      <c r="P939" s="509"/>
    </row>
    <row r="940" spans="1:16" ht="21.75" customHeight="1" x14ac:dyDescent="0.3">
      <c r="A940" s="504"/>
      <c r="B940" s="504"/>
      <c r="C940" s="504"/>
      <c r="D940" s="504"/>
      <c r="E940" s="506"/>
      <c r="F940" s="506"/>
      <c r="G940" s="506"/>
      <c r="H940" s="506"/>
      <c r="I940" s="506"/>
      <c r="J940" s="506"/>
      <c r="K940" s="507"/>
      <c r="L940" s="508"/>
      <c r="M940" s="508"/>
      <c r="N940" s="508"/>
      <c r="O940" s="509"/>
      <c r="P940" s="509"/>
    </row>
    <row r="941" spans="1:16" ht="21.75" customHeight="1" x14ac:dyDescent="0.3">
      <c r="A941" s="504"/>
      <c r="B941" s="504"/>
      <c r="C941" s="504"/>
      <c r="D941" s="504"/>
      <c r="E941" s="506"/>
      <c r="F941" s="506"/>
      <c r="G941" s="506"/>
      <c r="H941" s="506"/>
      <c r="I941" s="506"/>
      <c r="J941" s="506"/>
      <c r="K941" s="507"/>
      <c r="L941" s="508"/>
      <c r="M941" s="508"/>
      <c r="N941" s="508"/>
      <c r="O941" s="509"/>
      <c r="P941" s="509"/>
    </row>
    <row r="942" spans="1:16" ht="21.75" customHeight="1" x14ac:dyDescent="0.3">
      <c r="A942" s="504"/>
      <c r="B942" s="504"/>
      <c r="C942" s="504"/>
      <c r="D942" s="504"/>
      <c r="E942" s="506"/>
      <c r="F942" s="506"/>
      <c r="G942" s="506"/>
      <c r="H942" s="506"/>
      <c r="I942" s="506"/>
      <c r="J942" s="506"/>
      <c r="K942" s="507"/>
      <c r="L942" s="508"/>
      <c r="M942" s="508"/>
      <c r="N942" s="508"/>
      <c r="O942" s="509"/>
      <c r="P942" s="509"/>
    </row>
    <row r="943" spans="1:16" ht="21.75" customHeight="1" x14ac:dyDescent="0.3">
      <c r="A943" s="504"/>
      <c r="B943" s="504"/>
      <c r="C943" s="504"/>
      <c r="D943" s="504"/>
      <c r="E943" s="506"/>
      <c r="F943" s="506"/>
      <c r="G943" s="506"/>
      <c r="H943" s="506"/>
      <c r="I943" s="506"/>
      <c r="J943" s="506"/>
      <c r="K943" s="507"/>
      <c r="L943" s="508"/>
      <c r="M943" s="508"/>
      <c r="N943" s="508"/>
      <c r="O943" s="509"/>
      <c r="P943" s="509"/>
    </row>
    <row r="944" spans="1:16" ht="21.75" customHeight="1" x14ac:dyDescent="0.3">
      <c r="A944" s="504"/>
      <c r="B944" s="504"/>
      <c r="C944" s="504"/>
      <c r="D944" s="504"/>
      <c r="E944" s="506"/>
      <c r="F944" s="506"/>
      <c r="G944" s="506"/>
      <c r="H944" s="506"/>
      <c r="I944" s="506"/>
      <c r="J944" s="506"/>
      <c r="K944" s="507"/>
      <c r="L944" s="508"/>
      <c r="M944" s="508"/>
      <c r="N944" s="508"/>
      <c r="O944" s="509"/>
      <c r="P944" s="509"/>
    </row>
    <row r="945" spans="1:16" ht="21.75" customHeight="1" x14ac:dyDescent="0.3">
      <c r="A945" s="504"/>
      <c r="B945" s="504"/>
      <c r="C945" s="504"/>
      <c r="D945" s="504"/>
      <c r="E945" s="506"/>
      <c r="F945" s="506"/>
      <c r="G945" s="506"/>
      <c r="H945" s="506"/>
      <c r="I945" s="506"/>
      <c r="J945" s="506"/>
      <c r="K945" s="507"/>
      <c r="L945" s="508"/>
      <c r="M945" s="508"/>
      <c r="N945" s="508"/>
      <c r="O945" s="509"/>
      <c r="P945" s="509"/>
    </row>
    <row r="946" spans="1:16" ht="21.75" customHeight="1" x14ac:dyDescent="0.3">
      <c r="A946" s="504"/>
      <c r="B946" s="504"/>
      <c r="C946" s="504"/>
      <c r="D946" s="504"/>
      <c r="E946" s="506"/>
      <c r="F946" s="506"/>
      <c r="G946" s="506"/>
      <c r="H946" s="506"/>
      <c r="I946" s="506"/>
      <c r="J946" s="506"/>
      <c r="K946" s="507"/>
      <c r="L946" s="508"/>
      <c r="M946" s="508"/>
      <c r="N946" s="508"/>
      <c r="O946" s="509"/>
      <c r="P946" s="509"/>
    </row>
    <row r="947" spans="1:16" ht="21.75" customHeight="1" x14ac:dyDescent="0.3">
      <c r="A947" s="504"/>
      <c r="B947" s="504"/>
      <c r="C947" s="504"/>
      <c r="D947" s="504"/>
      <c r="E947" s="506"/>
      <c r="F947" s="506"/>
      <c r="G947" s="506"/>
      <c r="H947" s="506"/>
      <c r="I947" s="506"/>
      <c r="J947" s="506"/>
      <c r="K947" s="507"/>
      <c r="L947" s="508"/>
      <c r="M947" s="508"/>
      <c r="N947" s="508"/>
      <c r="O947" s="509"/>
      <c r="P947" s="509"/>
    </row>
    <row r="948" spans="1:16" ht="21.75" customHeight="1" x14ac:dyDescent="0.3">
      <c r="A948" s="504"/>
      <c r="B948" s="504"/>
      <c r="C948" s="504"/>
      <c r="D948" s="504"/>
      <c r="E948" s="506"/>
      <c r="F948" s="506"/>
      <c r="G948" s="506"/>
      <c r="H948" s="506"/>
      <c r="I948" s="506"/>
      <c r="J948" s="506"/>
      <c r="K948" s="507"/>
      <c r="L948" s="508"/>
      <c r="M948" s="508"/>
      <c r="N948" s="508"/>
      <c r="O948" s="509"/>
      <c r="P948" s="509"/>
    </row>
    <row r="949" spans="1:16" ht="21.75" customHeight="1" x14ac:dyDescent="0.3">
      <c r="A949" s="504"/>
      <c r="B949" s="504"/>
      <c r="C949" s="504"/>
      <c r="D949" s="504"/>
      <c r="E949" s="506"/>
      <c r="F949" s="506"/>
      <c r="G949" s="506"/>
      <c r="H949" s="506"/>
      <c r="I949" s="506"/>
      <c r="J949" s="506"/>
      <c r="K949" s="507"/>
      <c r="L949" s="508"/>
      <c r="M949" s="508"/>
      <c r="N949" s="508"/>
      <c r="O949" s="509"/>
      <c r="P949" s="509"/>
    </row>
    <row r="950" spans="1:16" ht="21.75" customHeight="1" x14ac:dyDescent="0.3">
      <c r="A950" s="504"/>
      <c r="B950" s="504"/>
      <c r="C950" s="504"/>
      <c r="D950" s="504"/>
      <c r="E950" s="506"/>
      <c r="F950" s="506"/>
      <c r="G950" s="506"/>
      <c r="H950" s="506"/>
      <c r="I950" s="506"/>
      <c r="J950" s="506"/>
      <c r="K950" s="507"/>
      <c r="L950" s="508"/>
      <c r="M950" s="508"/>
      <c r="N950" s="508"/>
      <c r="O950" s="509"/>
      <c r="P950" s="509"/>
    </row>
    <row r="951" spans="1:16" ht="21.75" customHeight="1" x14ac:dyDescent="0.3">
      <c r="A951" s="504"/>
      <c r="B951" s="504"/>
      <c r="C951" s="504"/>
      <c r="D951" s="504"/>
      <c r="E951" s="506"/>
      <c r="F951" s="506"/>
      <c r="G951" s="506"/>
      <c r="H951" s="506"/>
      <c r="I951" s="506"/>
      <c r="J951" s="506"/>
      <c r="K951" s="507"/>
      <c r="L951" s="508"/>
      <c r="M951" s="508"/>
      <c r="N951" s="508"/>
      <c r="O951" s="509"/>
      <c r="P951" s="509"/>
    </row>
    <row r="952" spans="1:16" ht="21.75" customHeight="1" x14ac:dyDescent="0.3">
      <c r="A952" s="504"/>
      <c r="B952" s="504"/>
      <c r="C952" s="504"/>
      <c r="D952" s="504"/>
      <c r="E952" s="506"/>
      <c r="F952" s="506"/>
      <c r="G952" s="506"/>
      <c r="H952" s="506"/>
      <c r="I952" s="506"/>
      <c r="J952" s="506"/>
      <c r="K952" s="507"/>
      <c r="L952" s="508"/>
      <c r="M952" s="508"/>
      <c r="N952" s="508"/>
      <c r="O952" s="509"/>
      <c r="P952" s="509"/>
    </row>
    <row r="953" spans="1:16" ht="21.75" customHeight="1" x14ac:dyDescent="0.3">
      <c r="A953" s="504"/>
      <c r="B953" s="504"/>
      <c r="C953" s="504"/>
      <c r="D953" s="504"/>
      <c r="E953" s="506"/>
      <c r="F953" s="506"/>
      <c r="G953" s="506"/>
      <c r="H953" s="506"/>
      <c r="I953" s="506"/>
      <c r="J953" s="506"/>
      <c r="K953" s="507"/>
      <c r="L953" s="508"/>
      <c r="M953" s="508"/>
      <c r="N953" s="508"/>
      <c r="O953" s="509"/>
      <c r="P953" s="509"/>
    </row>
    <row r="954" spans="1:16" ht="21.75" customHeight="1" x14ac:dyDescent="0.3">
      <c r="A954" s="504"/>
      <c r="B954" s="504"/>
      <c r="C954" s="504"/>
      <c r="D954" s="504"/>
      <c r="E954" s="506"/>
      <c r="F954" s="506"/>
      <c r="G954" s="506"/>
      <c r="H954" s="506"/>
      <c r="I954" s="506"/>
      <c r="J954" s="506"/>
      <c r="K954" s="507"/>
      <c r="L954" s="508"/>
      <c r="M954" s="508"/>
      <c r="N954" s="508"/>
      <c r="O954" s="509"/>
      <c r="P954" s="509"/>
    </row>
    <row r="955" spans="1:16" ht="21.75" customHeight="1" x14ac:dyDescent="0.3">
      <c r="A955" s="504"/>
      <c r="B955" s="504"/>
      <c r="C955" s="504"/>
      <c r="D955" s="504"/>
      <c r="E955" s="506"/>
      <c r="F955" s="506"/>
      <c r="G955" s="506"/>
      <c r="H955" s="506"/>
      <c r="I955" s="506"/>
      <c r="J955" s="506"/>
      <c r="K955" s="507"/>
      <c r="L955" s="508"/>
      <c r="M955" s="508"/>
      <c r="N955" s="508"/>
      <c r="O955" s="509"/>
      <c r="P955" s="509"/>
    </row>
    <row r="956" spans="1:16" ht="21.75" customHeight="1" x14ac:dyDescent="0.3">
      <c r="A956" s="504"/>
      <c r="B956" s="504"/>
      <c r="C956" s="504"/>
      <c r="D956" s="504"/>
      <c r="E956" s="506"/>
      <c r="F956" s="506"/>
      <c r="G956" s="506"/>
      <c r="H956" s="506"/>
      <c r="I956" s="506"/>
      <c r="J956" s="506"/>
      <c r="K956" s="507"/>
      <c r="L956" s="508"/>
      <c r="M956" s="508"/>
      <c r="N956" s="508"/>
      <c r="O956" s="509"/>
      <c r="P956" s="509"/>
    </row>
    <row r="957" spans="1:16" ht="21.75" customHeight="1" x14ac:dyDescent="0.3">
      <c r="A957" s="504"/>
      <c r="B957" s="504"/>
      <c r="C957" s="504"/>
      <c r="D957" s="504"/>
      <c r="E957" s="506"/>
      <c r="F957" s="506"/>
      <c r="G957" s="506"/>
      <c r="H957" s="506"/>
      <c r="I957" s="506"/>
      <c r="J957" s="506"/>
      <c r="K957" s="507"/>
      <c r="L957" s="508"/>
      <c r="M957" s="508"/>
      <c r="N957" s="508"/>
      <c r="O957" s="509"/>
      <c r="P957" s="509"/>
    </row>
    <row r="958" spans="1:16" ht="21.75" customHeight="1" x14ac:dyDescent="0.3">
      <c r="A958" s="504"/>
      <c r="B958" s="504"/>
      <c r="C958" s="504"/>
      <c r="D958" s="504"/>
      <c r="E958" s="506"/>
      <c r="F958" s="506"/>
      <c r="G958" s="506"/>
      <c r="H958" s="506"/>
      <c r="I958" s="506"/>
      <c r="J958" s="506"/>
      <c r="K958" s="507"/>
      <c r="L958" s="508"/>
      <c r="M958" s="508"/>
      <c r="N958" s="508"/>
      <c r="O958" s="509"/>
      <c r="P958" s="509"/>
    </row>
    <row r="959" spans="1:16" ht="21.75" customHeight="1" x14ac:dyDescent="0.3">
      <c r="A959" s="504"/>
      <c r="B959" s="504"/>
      <c r="C959" s="504"/>
      <c r="D959" s="504"/>
      <c r="E959" s="506"/>
      <c r="F959" s="506"/>
      <c r="G959" s="506"/>
      <c r="H959" s="506"/>
      <c r="I959" s="506"/>
      <c r="J959" s="506"/>
      <c r="K959" s="507"/>
      <c r="L959" s="508"/>
      <c r="M959" s="508"/>
      <c r="N959" s="508"/>
      <c r="O959" s="509"/>
      <c r="P959" s="509"/>
    </row>
    <row r="960" spans="1:16" ht="21.75" customHeight="1" x14ac:dyDescent="0.3">
      <c r="A960" s="504"/>
      <c r="B960" s="504"/>
      <c r="C960" s="504"/>
      <c r="D960" s="504"/>
      <c r="E960" s="506"/>
      <c r="F960" s="506"/>
      <c r="G960" s="506"/>
      <c r="H960" s="506"/>
      <c r="I960" s="506"/>
      <c r="J960" s="506"/>
      <c r="K960" s="507"/>
      <c r="L960" s="508"/>
      <c r="M960" s="508"/>
      <c r="N960" s="508"/>
      <c r="O960" s="509"/>
      <c r="P960" s="509"/>
    </row>
    <row r="961" spans="1:16" ht="21.75" customHeight="1" x14ac:dyDescent="0.3">
      <c r="A961" s="504"/>
      <c r="B961" s="504"/>
      <c r="C961" s="504"/>
      <c r="D961" s="504"/>
      <c r="E961" s="506"/>
      <c r="F961" s="506"/>
      <c r="G961" s="506"/>
      <c r="H961" s="506"/>
      <c r="I961" s="506"/>
      <c r="J961" s="506"/>
      <c r="K961" s="507"/>
      <c r="L961" s="508"/>
      <c r="M961" s="508"/>
      <c r="N961" s="508"/>
      <c r="O961" s="509"/>
      <c r="P961" s="509"/>
    </row>
    <row r="962" spans="1:16" ht="21.75" customHeight="1" x14ac:dyDescent="0.3">
      <c r="A962" s="504"/>
      <c r="B962" s="504"/>
      <c r="C962" s="504"/>
      <c r="D962" s="504"/>
      <c r="E962" s="506"/>
      <c r="F962" s="506"/>
      <c r="G962" s="506"/>
      <c r="H962" s="506"/>
      <c r="I962" s="506"/>
      <c r="J962" s="506"/>
      <c r="K962" s="507"/>
      <c r="L962" s="508"/>
      <c r="M962" s="508"/>
      <c r="N962" s="508"/>
      <c r="O962" s="509"/>
      <c r="P962" s="509"/>
    </row>
    <row r="963" spans="1:16" ht="21.75" customHeight="1" x14ac:dyDescent="0.3">
      <c r="A963" s="504"/>
      <c r="B963" s="504"/>
      <c r="C963" s="504"/>
      <c r="D963" s="504"/>
      <c r="E963" s="506"/>
      <c r="F963" s="506"/>
      <c r="G963" s="506"/>
      <c r="H963" s="506"/>
      <c r="I963" s="506"/>
      <c r="J963" s="506"/>
      <c r="K963" s="507"/>
      <c r="L963" s="508"/>
      <c r="M963" s="508"/>
      <c r="N963" s="508"/>
      <c r="O963" s="509"/>
      <c r="P963" s="509"/>
    </row>
    <row r="964" spans="1:16" ht="21.75" customHeight="1" x14ac:dyDescent="0.3">
      <c r="A964" s="504"/>
      <c r="B964" s="504"/>
      <c r="C964" s="504"/>
      <c r="D964" s="504"/>
      <c r="E964" s="506"/>
      <c r="F964" s="506"/>
      <c r="G964" s="506"/>
      <c r="H964" s="506"/>
      <c r="I964" s="506"/>
      <c r="J964" s="506"/>
      <c r="K964" s="507"/>
      <c r="L964" s="508"/>
      <c r="M964" s="508"/>
      <c r="N964" s="508"/>
      <c r="O964" s="509"/>
      <c r="P964" s="509"/>
    </row>
    <row r="965" spans="1:16" ht="21.75" customHeight="1" x14ac:dyDescent="0.3">
      <c r="A965" s="504"/>
      <c r="B965" s="504"/>
      <c r="C965" s="504"/>
      <c r="D965" s="504"/>
      <c r="E965" s="506"/>
      <c r="F965" s="506"/>
      <c r="G965" s="506"/>
      <c r="H965" s="506"/>
      <c r="I965" s="506"/>
      <c r="J965" s="506"/>
      <c r="K965" s="507"/>
      <c r="L965" s="508"/>
      <c r="M965" s="508"/>
      <c r="N965" s="508"/>
      <c r="O965" s="509"/>
      <c r="P965" s="509"/>
    </row>
    <row r="966" spans="1:16" ht="21.75" customHeight="1" x14ac:dyDescent="0.3">
      <c r="A966" s="504"/>
      <c r="B966" s="504"/>
      <c r="C966" s="504"/>
      <c r="D966" s="504"/>
      <c r="E966" s="506"/>
      <c r="F966" s="506"/>
      <c r="G966" s="506"/>
      <c r="H966" s="506"/>
      <c r="I966" s="506"/>
      <c r="J966" s="506"/>
      <c r="K966" s="507"/>
      <c r="L966" s="508"/>
      <c r="M966" s="508"/>
      <c r="N966" s="508"/>
      <c r="O966" s="509"/>
      <c r="P966" s="509"/>
    </row>
    <row r="967" spans="1:16" ht="21.75" customHeight="1" x14ac:dyDescent="0.3">
      <c r="A967" s="504"/>
      <c r="B967" s="504"/>
      <c r="C967" s="504"/>
      <c r="D967" s="504"/>
      <c r="E967" s="506"/>
      <c r="F967" s="506"/>
      <c r="G967" s="506"/>
      <c r="H967" s="506"/>
      <c r="I967" s="506"/>
      <c r="J967" s="506"/>
      <c r="K967" s="507"/>
      <c r="L967" s="508"/>
      <c r="M967" s="508"/>
      <c r="N967" s="508"/>
      <c r="O967" s="509"/>
      <c r="P967" s="509"/>
    </row>
    <row r="968" spans="1:16" ht="21.75" customHeight="1" x14ac:dyDescent="0.3">
      <c r="A968" s="504"/>
      <c r="B968" s="504"/>
      <c r="C968" s="504"/>
      <c r="D968" s="504"/>
      <c r="E968" s="506"/>
      <c r="F968" s="506"/>
      <c r="G968" s="506"/>
      <c r="H968" s="506"/>
      <c r="I968" s="506"/>
      <c r="J968" s="506"/>
      <c r="K968" s="507"/>
      <c r="L968" s="508"/>
      <c r="M968" s="508"/>
      <c r="N968" s="508"/>
      <c r="O968" s="509"/>
      <c r="P968" s="509"/>
    </row>
    <row r="969" spans="1:16" ht="21.75" customHeight="1" x14ac:dyDescent="0.3">
      <c r="A969" s="504"/>
      <c r="B969" s="504"/>
      <c r="C969" s="504"/>
      <c r="D969" s="504"/>
      <c r="E969" s="506"/>
      <c r="F969" s="506"/>
      <c r="G969" s="506"/>
      <c r="H969" s="506"/>
      <c r="I969" s="506"/>
      <c r="J969" s="506"/>
      <c r="K969" s="507"/>
      <c r="L969" s="508"/>
      <c r="M969" s="508"/>
      <c r="N969" s="508"/>
      <c r="O969" s="509"/>
      <c r="P969" s="509"/>
    </row>
    <row r="970" spans="1:16" ht="21.75" customHeight="1" x14ac:dyDescent="0.3">
      <c r="A970" s="504"/>
      <c r="B970" s="504"/>
      <c r="C970" s="504"/>
      <c r="D970" s="504"/>
      <c r="E970" s="506"/>
      <c r="F970" s="506"/>
      <c r="G970" s="506"/>
      <c r="H970" s="506"/>
      <c r="I970" s="506"/>
      <c r="J970" s="506"/>
      <c r="K970" s="507"/>
      <c r="L970" s="508"/>
      <c r="M970" s="508"/>
      <c r="N970" s="508"/>
      <c r="O970" s="509"/>
      <c r="P970" s="509"/>
    </row>
    <row r="971" spans="1:16" ht="21.75" customHeight="1" x14ac:dyDescent="0.3">
      <c r="A971" s="504"/>
      <c r="B971" s="504"/>
      <c r="C971" s="504"/>
      <c r="D971" s="504"/>
      <c r="E971" s="506"/>
      <c r="F971" s="506"/>
      <c r="G971" s="506"/>
      <c r="H971" s="506"/>
      <c r="I971" s="506"/>
      <c r="J971" s="506"/>
      <c r="K971" s="507"/>
      <c r="L971" s="508"/>
      <c r="M971" s="508"/>
      <c r="N971" s="508"/>
      <c r="O971" s="509"/>
      <c r="P971" s="509"/>
    </row>
    <row r="972" spans="1:16" ht="21.75" customHeight="1" x14ac:dyDescent="0.3">
      <c r="A972" s="504"/>
      <c r="B972" s="504"/>
      <c r="C972" s="504"/>
      <c r="D972" s="504"/>
      <c r="E972" s="506"/>
      <c r="F972" s="506"/>
      <c r="G972" s="506"/>
      <c r="H972" s="506"/>
      <c r="I972" s="506"/>
      <c r="J972" s="506"/>
      <c r="K972" s="507"/>
      <c r="L972" s="508"/>
      <c r="M972" s="508"/>
      <c r="N972" s="508"/>
      <c r="O972" s="509"/>
      <c r="P972" s="509"/>
    </row>
    <row r="973" spans="1:16" ht="21.75" customHeight="1" x14ac:dyDescent="0.3">
      <c r="A973" s="504"/>
      <c r="B973" s="504"/>
      <c r="C973" s="504"/>
      <c r="D973" s="504"/>
      <c r="E973" s="506"/>
      <c r="F973" s="506"/>
      <c r="G973" s="506"/>
      <c r="H973" s="506"/>
      <c r="I973" s="506"/>
      <c r="J973" s="506"/>
      <c r="K973" s="507"/>
      <c r="L973" s="508"/>
      <c r="M973" s="508"/>
      <c r="N973" s="508"/>
      <c r="O973" s="509"/>
      <c r="P973" s="509"/>
    </row>
    <row r="974" spans="1:16" ht="21.75" customHeight="1" x14ac:dyDescent="0.3">
      <c r="A974" s="504"/>
      <c r="B974" s="504"/>
      <c r="C974" s="504"/>
      <c r="D974" s="504"/>
      <c r="E974" s="506"/>
      <c r="F974" s="506"/>
      <c r="G974" s="506"/>
      <c r="H974" s="506"/>
      <c r="I974" s="506"/>
      <c r="J974" s="506"/>
      <c r="K974" s="507"/>
      <c r="L974" s="508"/>
      <c r="M974" s="508"/>
      <c r="N974" s="508"/>
      <c r="O974" s="509"/>
      <c r="P974" s="509"/>
    </row>
    <row r="975" spans="1:16" ht="21.75" customHeight="1" x14ac:dyDescent="0.3">
      <c r="A975" s="504"/>
      <c r="B975" s="504"/>
      <c r="C975" s="504"/>
      <c r="D975" s="504"/>
      <c r="E975" s="506"/>
      <c r="F975" s="506"/>
      <c r="G975" s="506"/>
      <c r="H975" s="506"/>
      <c r="I975" s="506"/>
      <c r="J975" s="506"/>
      <c r="K975" s="507"/>
      <c r="L975" s="508"/>
      <c r="M975" s="508"/>
      <c r="N975" s="508"/>
      <c r="O975" s="509"/>
      <c r="P975" s="509"/>
    </row>
    <row r="976" spans="1:16" ht="21.75" customHeight="1" x14ac:dyDescent="0.3">
      <c r="A976" s="504"/>
      <c r="B976" s="504"/>
      <c r="C976" s="504"/>
      <c r="D976" s="504"/>
      <c r="E976" s="506"/>
      <c r="F976" s="506"/>
      <c r="G976" s="506"/>
      <c r="H976" s="506"/>
      <c r="I976" s="506"/>
      <c r="J976" s="506"/>
      <c r="K976" s="507"/>
      <c r="L976" s="508"/>
      <c r="M976" s="508"/>
      <c r="N976" s="508"/>
      <c r="O976" s="509"/>
      <c r="P976" s="509"/>
    </row>
    <row r="977" spans="1:16" ht="21.75" customHeight="1" x14ac:dyDescent="0.3">
      <c r="A977" s="504"/>
      <c r="B977" s="504"/>
      <c r="C977" s="504"/>
      <c r="D977" s="504"/>
      <c r="E977" s="506"/>
      <c r="F977" s="506"/>
      <c r="G977" s="506"/>
      <c r="H977" s="506"/>
      <c r="I977" s="506"/>
      <c r="J977" s="506"/>
      <c r="K977" s="507"/>
      <c r="L977" s="508"/>
      <c r="M977" s="508"/>
      <c r="N977" s="508"/>
      <c r="O977" s="509"/>
      <c r="P977" s="509"/>
    </row>
    <row r="978" spans="1:16" ht="21.75" customHeight="1" x14ac:dyDescent="0.3">
      <c r="A978" s="504"/>
      <c r="B978" s="504"/>
      <c r="C978" s="504"/>
      <c r="D978" s="504"/>
      <c r="E978" s="506"/>
      <c r="F978" s="506"/>
      <c r="G978" s="506"/>
      <c r="H978" s="506"/>
      <c r="I978" s="506"/>
      <c r="J978" s="506"/>
      <c r="K978" s="507"/>
      <c r="L978" s="508"/>
      <c r="M978" s="508"/>
      <c r="N978" s="508"/>
      <c r="O978" s="509"/>
      <c r="P978" s="509"/>
    </row>
    <row r="979" spans="1:16" ht="21.75" customHeight="1" x14ac:dyDescent="0.3">
      <c r="A979" s="504"/>
      <c r="B979" s="504"/>
      <c r="C979" s="504"/>
      <c r="D979" s="504"/>
      <c r="E979" s="506"/>
      <c r="F979" s="506"/>
      <c r="G979" s="506"/>
      <c r="H979" s="506"/>
      <c r="I979" s="506"/>
      <c r="J979" s="506"/>
      <c r="K979" s="507"/>
      <c r="L979" s="508"/>
      <c r="M979" s="508"/>
      <c r="N979" s="508"/>
      <c r="O979" s="509"/>
      <c r="P979" s="509"/>
    </row>
    <row r="980" spans="1:16" ht="21.75" customHeight="1" x14ac:dyDescent="0.3">
      <c r="A980" s="504"/>
      <c r="B980" s="504"/>
      <c r="C980" s="504"/>
      <c r="D980" s="504"/>
      <c r="E980" s="506"/>
      <c r="F980" s="506"/>
      <c r="G980" s="506"/>
      <c r="H980" s="506"/>
      <c r="I980" s="506"/>
      <c r="J980" s="506"/>
      <c r="K980" s="507"/>
      <c r="L980" s="508"/>
      <c r="M980" s="508"/>
      <c r="N980" s="508"/>
      <c r="O980" s="509"/>
      <c r="P980" s="509"/>
    </row>
    <row r="981" spans="1:16" ht="21.75" customHeight="1" x14ac:dyDescent="0.3">
      <c r="A981" s="504"/>
      <c r="B981" s="504"/>
      <c r="C981" s="504"/>
      <c r="D981" s="504"/>
      <c r="E981" s="506"/>
      <c r="F981" s="506"/>
      <c r="G981" s="506"/>
      <c r="H981" s="506"/>
      <c r="I981" s="506"/>
      <c r="J981" s="506"/>
      <c r="K981" s="507"/>
      <c r="L981" s="508"/>
      <c r="M981" s="508"/>
      <c r="N981" s="508"/>
      <c r="O981" s="509"/>
      <c r="P981" s="509"/>
    </row>
    <row r="982" spans="1:16" ht="21.75" customHeight="1" x14ac:dyDescent="0.3">
      <c r="A982" s="504"/>
      <c r="B982" s="504"/>
      <c r="C982" s="504"/>
      <c r="D982" s="504"/>
      <c r="E982" s="506"/>
      <c r="F982" s="506"/>
      <c r="G982" s="506"/>
      <c r="H982" s="506"/>
      <c r="I982" s="506"/>
      <c r="J982" s="506"/>
      <c r="K982" s="507"/>
      <c r="L982" s="508"/>
      <c r="M982" s="508"/>
      <c r="N982" s="508"/>
      <c r="O982" s="509"/>
      <c r="P982" s="509"/>
    </row>
    <row r="983" spans="1:16" ht="21.75" customHeight="1" x14ac:dyDescent="0.3">
      <c r="A983" s="504"/>
      <c r="B983" s="504"/>
      <c r="C983" s="504"/>
      <c r="D983" s="504"/>
      <c r="E983" s="506"/>
      <c r="F983" s="506"/>
      <c r="G983" s="506"/>
      <c r="H983" s="506"/>
      <c r="I983" s="506"/>
      <c r="J983" s="506"/>
      <c r="K983" s="507"/>
      <c r="L983" s="508"/>
      <c r="M983" s="508"/>
      <c r="N983" s="508"/>
      <c r="O983" s="509"/>
      <c r="P983" s="509"/>
    </row>
    <row r="984" spans="1:16" ht="21.75" customHeight="1" x14ac:dyDescent="0.3">
      <c r="A984" s="504"/>
      <c r="B984" s="504"/>
      <c r="C984" s="504"/>
      <c r="D984" s="504"/>
      <c r="E984" s="506"/>
      <c r="F984" s="506"/>
      <c r="G984" s="506"/>
      <c r="H984" s="506"/>
      <c r="I984" s="506"/>
      <c r="J984" s="506"/>
      <c r="K984" s="507"/>
      <c r="L984" s="508"/>
      <c r="M984" s="508"/>
      <c r="N984" s="508"/>
      <c r="O984" s="509"/>
      <c r="P984" s="509"/>
    </row>
    <row r="985" spans="1:16" ht="21.75" customHeight="1" x14ac:dyDescent="0.3">
      <c r="A985" s="504"/>
      <c r="B985" s="504"/>
      <c r="C985" s="504"/>
      <c r="D985" s="504"/>
      <c r="E985" s="506"/>
      <c r="F985" s="506"/>
      <c r="G985" s="506"/>
      <c r="H985" s="506"/>
      <c r="I985" s="506"/>
      <c r="J985" s="506"/>
      <c r="K985" s="507"/>
      <c r="L985" s="508"/>
      <c r="M985" s="508"/>
      <c r="N985" s="508"/>
      <c r="O985" s="509"/>
      <c r="P985" s="509"/>
    </row>
    <row r="986" spans="1:16" ht="21.75" customHeight="1" x14ac:dyDescent="0.3">
      <c r="A986" s="504"/>
      <c r="B986" s="504"/>
      <c r="C986" s="504"/>
      <c r="D986" s="504"/>
      <c r="E986" s="506"/>
      <c r="F986" s="506"/>
      <c r="G986" s="506"/>
      <c r="H986" s="506"/>
      <c r="I986" s="506"/>
      <c r="J986" s="506"/>
      <c r="K986" s="507"/>
      <c r="L986" s="508"/>
      <c r="M986" s="508"/>
      <c r="N986" s="508"/>
      <c r="O986" s="509"/>
      <c r="P986" s="509"/>
    </row>
    <row r="987" spans="1:16" ht="21.75" customHeight="1" x14ac:dyDescent="0.3">
      <c r="A987" s="504"/>
      <c r="B987" s="504"/>
      <c r="C987" s="504"/>
      <c r="D987" s="504"/>
      <c r="E987" s="506"/>
      <c r="F987" s="506"/>
      <c r="G987" s="506"/>
      <c r="H987" s="506"/>
      <c r="I987" s="506"/>
      <c r="J987" s="506"/>
      <c r="K987" s="507"/>
      <c r="L987" s="508"/>
      <c r="M987" s="508"/>
      <c r="N987" s="508"/>
      <c r="O987" s="509"/>
      <c r="P987" s="509"/>
    </row>
    <row r="988" spans="1:16" ht="21.75" customHeight="1" x14ac:dyDescent="0.3">
      <c r="A988" s="504"/>
      <c r="B988" s="504"/>
      <c r="C988" s="504"/>
      <c r="D988" s="504"/>
      <c r="E988" s="506"/>
      <c r="F988" s="506"/>
      <c r="G988" s="506"/>
      <c r="H988" s="506"/>
      <c r="I988" s="506"/>
      <c r="J988" s="506"/>
      <c r="K988" s="507"/>
      <c r="L988" s="508"/>
      <c r="M988" s="508"/>
      <c r="N988" s="508"/>
      <c r="O988" s="509"/>
      <c r="P988" s="509"/>
    </row>
    <row r="989" spans="1:16" ht="21.75" customHeight="1" x14ac:dyDescent="0.3">
      <c r="A989" s="504"/>
      <c r="B989" s="504"/>
      <c r="C989" s="504"/>
      <c r="D989" s="504"/>
      <c r="E989" s="506"/>
      <c r="F989" s="506"/>
      <c r="G989" s="506"/>
      <c r="H989" s="506"/>
      <c r="I989" s="506"/>
      <c r="J989" s="506"/>
      <c r="K989" s="507"/>
      <c r="L989" s="508"/>
      <c r="M989" s="508"/>
      <c r="N989" s="508"/>
      <c r="O989" s="509"/>
      <c r="P989" s="509"/>
    </row>
    <row r="990" spans="1:16" ht="21.75" customHeight="1" x14ac:dyDescent="0.3">
      <c r="A990" s="504"/>
      <c r="B990" s="504"/>
      <c r="C990" s="504"/>
      <c r="D990" s="504"/>
      <c r="E990" s="506"/>
      <c r="F990" s="506"/>
      <c r="G990" s="506"/>
      <c r="H990" s="506"/>
      <c r="I990" s="506"/>
      <c r="J990" s="506"/>
      <c r="K990" s="507"/>
      <c r="L990" s="508"/>
      <c r="M990" s="508"/>
      <c r="N990" s="508"/>
      <c r="O990" s="509"/>
      <c r="P990" s="509"/>
    </row>
    <row r="991" spans="1:16" ht="21.75" customHeight="1" x14ac:dyDescent="0.3">
      <c r="A991" s="504"/>
      <c r="B991" s="504"/>
      <c r="C991" s="504"/>
      <c r="D991" s="504"/>
      <c r="E991" s="506"/>
      <c r="F991" s="506"/>
      <c r="G991" s="506"/>
      <c r="H991" s="506"/>
      <c r="I991" s="506"/>
      <c r="J991" s="506"/>
      <c r="K991" s="507"/>
      <c r="L991" s="508"/>
      <c r="M991" s="508"/>
      <c r="N991" s="508"/>
      <c r="O991" s="509"/>
      <c r="P991" s="509"/>
    </row>
    <row r="992" spans="1:16" ht="21.75" customHeight="1" x14ac:dyDescent="0.3">
      <c r="A992" s="504"/>
      <c r="B992" s="504"/>
      <c r="C992" s="504"/>
      <c r="D992" s="504"/>
      <c r="E992" s="506"/>
      <c r="F992" s="506"/>
      <c r="G992" s="506"/>
      <c r="H992" s="506"/>
      <c r="I992" s="506"/>
      <c r="J992" s="506"/>
      <c r="K992" s="507"/>
      <c r="L992" s="508"/>
      <c r="M992" s="508"/>
      <c r="N992" s="508"/>
      <c r="O992" s="509"/>
      <c r="P992" s="509"/>
    </row>
    <row r="993" spans="1:16" ht="21.75" customHeight="1" x14ac:dyDescent="0.3">
      <c r="A993" s="504"/>
      <c r="B993" s="504"/>
      <c r="C993" s="504"/>
      <c r="D993" s="504"/>
      <c r="E993" s="506"/>
      <c r="F993" s="506"/>
      <c r="G993" s="506"/>
      <c r="H993" s="506"/>
      <c r="I993" s="506"/>
      <c r="J993" s="506"/>
      <c r="K993" s="507"/>
      <c r="L993" s="508"/>
      <c r="M993" s="508"/>
      <c r="N993" s="508"/>
      <c r="O993" s="509"/>
      <c r="P993" s="509"/>
    </row>
    <row r="994" spans="1:16" ht="21.75" customHeight="1" x14ac:dyDescent="0.3">
      <c r="A994" s="504"/>
      <c r="B994" s="504"/>
      <c r="C994" s="504"/>
      <c r="D994" s="504"/>
      <c r="E994" s="506"/>
      <c r="F994" s="506"/>
      <c r="G994" s="506"/>
      <c r="H994" s="506"/>
      <c r="I994" s="506"/>
      <c r="J994" s="506"/>
      <c r="K994" s="507"/>
      <c r="L994" s="508"/>
      <c r="M994" s="508"/>
      <c r="N994" s="508"/>
      <c r="O994" s="509"/>
      <c r="P994" s="509"/>
    </row>
    <row r="995" spans="1:16" ht="21.75" customHeight="1" x14ac:dyDescent="0.3">
      <c r="A995" s="504"/>
      <c r="B995" s="504"/>
      <c r="C995" s="504"/>
      <c r="D995" s="504"/>
      <c r="E995" s="506"/>
      <c r="F995" s="506"/>
      <c r="G995" s="506"/>
      <c r="H995" s="506"/>
      <c r="I995" s="506"/>
      <c r="J995" s="506"/>
      <c r="K995" s="507"/>
      <c r="L995" s="508"/>
      <c r="M995" s="508"/>
      <c r="N995" s="508"/>
      <c r="O995" s="509"/>
      <c r="P995" s="509"/>
    </row>
    <row r="996" spans="1:16" ht="21.75" customHeight="1" x14ac:dyDescent="0.3">
      <c r="A996" s="504"/>
      <c r="B996" s="504"/>
      <c r="C996" s="504"/>
      <c r="D996" s="504"/>
      <c r="E996" s="506"/>
      <c r="F996" s="506"/>
      <c r="G996" s="506"/>
      <c r="H996" s="506"/>
      <c r="I996" s="506"/>
      <c r="J996" s="506"/>
      <c r="K996" s="507"/>
      <c r="L996" s="508"/>
      <c r="M996" s="508"/>
      <c r="N996" s="508"/>
      <c r="O996" s="509"/>
      <c r="P996" s="509"/>
    </row>
    <row r="997" spans="1:16" ht="21.75" customHeight="1" x14ac:dyDescent="0.3">
      <c r="A997" s="504"/>
      <c r="B997" s="504"/>
      <c r="C997" s="504"/>
      <c r="D997" s="504"/>
      <c r="E997" s="506"/>
      <c r="F997" s="506"/>
      <c r="G997" s="506"/>
      <c r="H997" s="506"/>
      <c r="I997" s="506"/>
      <c r="J997" s="506"/>
      <c r="K997" s="507"/>
      <c r="L997" s="508"/>
      <c r="M997" s="508"/>
      <c r="N997" s="508"/>
      <c r="O997" s="509"/>
      <c r="P997" s="509"/>
    </row>
    <row r="998" spans="1:16" ht="21.75" customHeight="1" x14ac:dyDescent="0.3">
      <c r="A998" s="504"/>
      <c r="B998" s="504"/>
      <c r="C998" s="504"/>
      <c r="D998" s="504"/>
      <c r="E998" s="506"/>
      <c r="F998" s="506"/>
      <c r="G998" s="506"/>
      <c r="H998" s="506"/>
      <c r="I998" s="506"/>
      <c r="J998" s="506"/>
      <c r="K998" s="507"/>
      <c r="L998" s="508"/>
      <c r="M998" s="508"/>
      <c r="N998" s="508"/>
      <c r="O998" s="509"/>
      <c r="P998" s="509"/>
    </row>
    <row r="999" spans="1:16" ht="21.75" customHeight="1" x14ac:dyDescent="0.3">
      <c r="A999" s="504"/>
      <c r="B999" s="504"/>
      <c r="C999" s="504"/>
      <c r="D999" s="504"/>
      <c r="E999" s="506"/>
      <c r="F999" s="506"/>
      <c r="G999" s="506"/>
      <c r="H999" s="506"/>
      <c r="I999" s="506"/>
      <c r="J999" s="506"/>
      <c r="K999" s="507"/>
      <c r="L999" s="508"/>
      <c r="M999" s="508"/>
      <c r="N999" s="508"/>
      <c r="O999" s="509"/>
      <c r="P999" s="509"/>
    </row>
    <row r="1000" spans="1:16" ht="21.75" customHeight="1" x14ac:dyDescent="0.3">
      <c r="A1000" s="504"/>
      <c r="B1000" s="504"/>
      <c r="C1000" s="504"/>
      <c r="D1000" s="504"/>
      <c r="E1000" s="506"/>
      <c r="F1000" s="506"/>
      <c r="G1000" s="506"/>
      <c r="H1000" s="506"/>
      <c r="I1000" s="506"/>
      <c r="J1000" s="506"/>
      <c r="K1000" s="507"/>
      <c r="L1000" s="508"/>
      <c r="M1000" s="508"/>
      <c r="N1000" s="508"/>
      <c r="O1000" s="509"/>
      <c r="P1000" s="509"/>
    </row>
    <row r="1001" spans="1:16" ht="21.75" customHeight="1" x14ac:dyDescent="0.3">
      <c r="A1001" s="504"/>
      <c r="B1001" s="504"/>
      <c r="C1001" s="504"/>
      <c r="D1001" s="504"/>
      <c r="E1001" s="506"/>
      <c r="F1001" s="506"/>
      <c r="G1001" s="506"/>
      <c r="H1001" s="506"/>
      <c r="I1001" s="506"/>
      <c r="J1001" s="506"/>
      <c r="K1001" s="507"/>
      <c r="L1001" s="508"/>
      <c r="M1001" s="508"/>
      <c r="N1001" s="508"/>
      <c r="O1001" s="509"/>
      <c r="P1001" s="509"/>
    </row>
    <row r="1002" spans="1:16" ht="21.75" customHeight="1" x14ac:dyDescent="0.3">
      <c r="A1002" s="504"/>
      <c r="B1002" s="504"/>
      <c r="C1002" s="504"/>
      <c r="D1002" s="504"/>
      <c r="E1002" s="506"/>
      <c r="F1002" s="506"/>
      <c r="G1002" s="506"/>
      <c r="H1002" s="506"/>
      <c r="I1002" s="506"/>
      <c r="J1002" s="506"/>
      <c r="K1002" s="507"/>
      <c r="L1002" s="508"/>
      <c r="M1002" s="508"/>
      <c r="N1002" s="508"/>
      <c r="O1002" s="509"/>
      <c r="P1002" s="509"/>
    </row>
    <row r="1003" spans="1:16" ht="21.75" customHeight="1" x14ac:dyDescent="0.3">
      <c r="A1003" s="504"/>
      <c r="B1003" s="504"/>
      <c r="C1003" s="504"/>
      <c r="D1003" s="504"/>
      <c r="E1003" s="506"/>
      <c r="F1003" s="506"/>
      <c r="G1003" s="506"/>
      <c r="H1003" s="506"/>
      <c r="I1003" s="506"/>
      <c r="J1003" s="506"/>
      <c r="K1003" s="507"/>
      <c r="L1003" s="508"/>
      <c r="M1003" s="508"/>
      <c r="N1003" s="508"/>
      <c r="O1003" s="509"/>
      <c r="P1003" s="509"/>
    </row>
    <row r="1004" spans="1:16" ht="21.75" customHeight="1" x14ac:dyDescent="0.3">
      <c r="A1004" s="504"/>
      <c r="B1004" s="504"/>
      <c r="C1004" s="504"/>
      <c r="D1004" s="504"/>
      <c r="E1004" s="506"/>
      <c r="F1004" s="506"/>
      <c r="G1004" s="506"/>
      <c r="H1004" s="506"/>
      <c r="I1004" s="506"/>
      <c r="J1004" s="506"/>
      <c r="K1004" s="507"/>
      <c r="L1004" s="508"/>
      <c r="M1004" s="508"/>
      <c r="N1004" s="508"/>
      <c r="O1004" s="509"/>
      <c r="P1004" s="509"/>
    </row>
    <row r="1005" spans="1:16" ht="21.75" customHeight="1" x14ac:dyDescent="0.3">
      <c r="A1005" s="504"/>
      <c r="B1005" s="504"/>
      <c r="C1005" s="504"/>
      <c r="D1005" s="504"/>
      <c r="E1005" s="506"/>
      <c r="F1005" s="506"/>
      <c r="G1005" s="506"/>
      <c r="H1005" s="506"/>
      <c r="I1005" s="506"/>
      <c r="J1005" s="506"/>
      <c r="K1005" s="507"/>
      <c r="L1005" s="508"/>
      <c r="M1005" s="508"/>
      <c r="N1005" s="508"/>
      <c r="O1005" s="509"/>
      <c r="P1005" s="509"/>
    </row>
    <row r="1006" spans="1:16" ht="21.75" customHeight="1" x14ac:dyDescent="0.3">
      <c r="A1006" s="504"/>
      <c r="B1006" s="504"/>
      <c r="C1006" s="504"/>
      <c r="D1006" s="504"/>
      <c r="E1006" s="506"/>
      <c r="F1006" s="506"/>
      <c r="G1006" s="506"/>
      <c r="H1006" s="506"/>
      <c r="I1006" s="506"/>
      <c r="J1006" s="506"/>
      <c r="K1006" s="507"/>
      <c r="L1006" s="508"/>
      <c r="M1006" s="508"/>
      <c r="N1006" s="508"/>
      <c r="O1006" s="509"/>
      <c r="P1006" s="509"/>
    </row>
    <row r="1007" spans="1:16" ht="21.75" customHeight="1" x14ac:dyDescent="0.3">
      <c r="A1007" s="504"/>
      <c r="B1007" s="504"/>
      <c r="C1007" s="504"/>
      <c r="D1007" s="504"/>
      <c r="E1007" s="506"/>
      <c r="F1007" s="506"/>
      <c r="G1007" s="506"/>
      <c r="H1007" s="506"/>
      <c r="I1007" s="506"/>
      <c r="J1007" s="506"/>
      <c r="K1007" s="507"/>
      <c r="L1007" s="508"/>
      <c r="M1007" s="508"/>
      <c r="N1007" s="508"/>
      <c r="O1007" s="509"/>
      <c r="P1007" s="509"/>
    </row>
    <row r="1008" spans="1:16" ht="21.75" customHeight="1" x14ac:dyDescent="0.3">
      <c r="A1008" s="504"/>
      <c r="B1008" s="504"/>
      <c r="C1008" s="504"/>
      <c r="D1008" s="504"/>
      <c r="E1008" s="506"/>
      <c r="F1008" s="506"/>
      <c r="G1008" s="506"/>
      <c r="H1008" s="506"/>
      <c r="I1008" s="506"/>
      <c r="J1008" s="506"/>
      <c r="K1008" s="507"/>
      <c r="L1008" s="508"/>
      <c r="M1008" s="508"/>
      <c r="N1008" s="508"/>
      <c r="O1008" s="509"/>
      <c r="P1008" s="509"/>
    </row>
    <row r="1009" spans="1:16" ht="21.75" customHeight="1" x14ac:dyDescent="0.3">
      <c r="A1009" s="504"/>
      <c r="B1009" s="504"/>
      <c r="C1009" s="504"/>
      <c r="D1009" s="504"/>
      <c r="E1009" s="506"/>
      <c r="F1009" s="506"/>
      <c r="G1009" s="506"/>
      <c r="H1009" s="506"/>
      <c r="I1009" s="506"/>
      <c r="J1009" s="506"/>
      <c r="K1009" s="507"/>
      <c r="L1009" s="508"/>
      <c r="M1009" s="508"/>
      <c r="N1009" s="508"/>
      <c r="O1009" s="509"/>
      <c r="P1009" s="509"/>
    </row>
    <row r="1010" spans="1:16" ht="21.75" customHeight="1" x14ac:dyDescent="0.3">
      <c r="A1010" s="504"/>
      <c r="B1010" s="504"/>
      <c r="C1010" s="504"/>
      <c r="D1010" s="504"/>
      <c r="E1010" s="506"/>
      <c r="F1010" s="506"/>
      <c r="G1010" s="506"/>
      <c r="H1010" s="506"/>
      <c r="I1010" s="506"/>
      <c r="J1010" s="506"/>
      <c r="K1010" s="507"/>
      <c r="L1010" s="508"/>
      <c r="M1010" s="508"/>
      <c r="N1010" s="508"/>
      <c r="O1010" s="509"/>
      <c r="P1010" s="509"/>
    </row>
    <row r="1011" spans="1:16" ht="21.75" customHeight="1" x14ac:dyDescent="0.3">
      <c r="A1011" s="504"/>
      <c r="B1011" s="504"/>
      <c r="C1011" s="504"/>
      <c r="D1011" s="504"/>
      <c r="E1011" s="506"/>
      <c r="F1011" s="506"/>
      <c r="G1011" s="506"/>
      <c r="H1011" s="506"/>
      <c r="I1011" s="506"/>
      <c r="J1011" s="506"/>
      <c r="K1011" s="507"/>
      <c r="L1011" s="508"/>
      <c r="M1011" s="508"/>
      <c r="N1011" s="508"/>
      <c r="O1011" s="509"/>
      <c r="P1011" s="509"/>
    </row>
    <row r="1012" spans="1:16" ht="21.75" customHeight="1" x14ac:dyDescent="0.3">
      <c r="A1012" s="504"/>
      <c r="B1012" s="504"/>
      <c r="C1012" s="504"/>
      <c r="D1012" s="504"/>
      <c r="E1012" s="506"/>
      <c r="F1012" s="506"/>
      <c r="G1012" s="506"/>
      <c r="H1012" s="506"/>
      <c r="I1012" s="506"/>
      <c r="J1012" s="506"/>
      <c r="K1012" s="507"/>
      <c r="L1012" s="508"/>
      <c r="M1012" s="508"/>
      <c r="N1012" s="508"/>
      <c r="O1012" s="509"/>
      <c r="P1012" s="509"/>
    </row>
    <row r="1013" spans="1:16" ht="21.75" customHeight="1" x14ac:dyDescent="0.3">
      <c r="A1013" s="504"/>
      <c r="B1013" s="504"/>
      <c r="C1013" s="504"/>
      <c r="D1013" s="504"/>
      <c r="E1013" s="506"/>
      <c r="F1013" s="506"/>
      <c r="G1013" s="506"/>
      <c r="H1013" s="506"/>
      <c r="I1013" s="506"/>
      <c r="J1013" s="506"/>
      <c r="K1013" s="507"/>
      <c r="L1013" s="508"/>
      <c r="M1013" s="508"/>
      <c r="N1013" s="508"/>
      <c r="O1013" s="509"/>
      <c r="P1013" s="509"/>
    </row>
    <row r="1014" spans="1:16" ht="21.75" customHeight="1" x14ac:dyDescent="0.3">
      <c r="A1014" s="504"/>
      <c r="B1014" s="504"/>
      <c r="C1014" s="504"/>
      <c r="D1014" s="504"/>
      <c r="E1014" s="506"/>
      <c r="F1014" s="506"/>
      <c r="G1014" s="506"/>
      <c r="H1014" s="506"/>
      <c r="I1014" s="506"/>
      <c r="J1014" s="506"/>
      <c r="K1014" s="507"/>
      <c r="L1014" s="508"/>
      <c r="M1014" s="508"/>
      <c r="N1014" s="508"/>
      <c r="O1014" s="509"/>
      <c r="P1014" s="509"/>
    </row>
    <row r="1015" spans="1:16" ht="21.75" customHeight="1" x14ac:dyDescent="0.3">
      <c r="A1015" s="504"/>
      <c r="B1015" s="504"/>
      <c r="C1015" s="504"/>
      <c r="D1015" s="504"/>
      <c r="E1015" s="506"/>
      <c r="F1015" s="506"/>
      <c r="G1015" s="506"/>
      <c r="H1015" s="506"/>
      <c r="I1015" s="506"/>
      <c r="J1015" s="506"/>
      <c r="K1015" s="507"/>
      <c r="L1015" s="508"/>
      <c r="M1015" s="508"/>
      <c r="N1015" s="508"/>
      <c r="O1015" s="509"/>
      <c r="P1015" s="509"/>
    </row>
    <row r="1016" spans="1:16" ht="21.75" customHeight="1" x14ac:dyDescent="0.3">
      <c r="A1016" s="504"/>
      <c r="B1016" s="504"/>
      <c r="C1016" s="504"/>
      <c r="D1016" s="504"/>
      <c r="E1016" s="506"/>
      <c r="F1016" s="506"/>
      <c r="G1016" s="506"/>
      <c r="H1016" s="506"/>
      <c r="I1016" s="506"/>
      <c r="J1016" s="506"/>
      <c r="K1016" s="507"/>
      <c r="L1016" s="508"/>
      <c r="M1016" s="508"/>
      <c r="N1016" s="508"/>
      <c r="O1016" s="509"/>
      <c r="P1016" s="509"/>
    </row>
    <row r="1017" spans="1:16" ht="21.75" customHeight="1" x14ac:dyDescent="0.3">
      <c r="A1017" s="504"/>
      <c r="B1017" s="504"/>
      <c r="C1017" s="504"/>
      <c r="D1017" s="504"/>
      <c r="E1017" s="506"/>
      <c r="F1017" s="506"/>
      <c r="G1017" s="506"/>
      <c r="H1017" s="506"/>
      <c r="I1017" s="506"/>
      <c r="J1017" s="506"/>
      <c r="K1017" s="507"/>
      <c r="L1017" s="508"/>
      <c r="M1017" s="508"/>
      <c r="N1017" s="508"/>
      <c r="O1017" s="509"/>
      <c r="P1017" s="509"/>
    </row>
    <row r="1018" spans="1:16" ht="21.75" customHeight="1" x14ac:dyDescent="0.3">
      <c r="A1018" s="504"/>
      <c r="B1018" s="504"/>
      <c r="C1018" s="504"/>
      <c r="D1018" s="504"/>
      <c r="E1018" s="506"/>
      <c r="F1018" s="506"/>
      <c r="G1018" s="506"/>
      <c r="H1018" s="506"/>
      <c r="I1018" s="506"/>
      <c r="J1018" s="506"/>
      <c r="K1018" s="507"/>
      <c r="L1018" s="508"/>
      <c r="M1018" s="508"/>
      <c r="N1018" s="508"/>
      <c r="O1018" s="509"/>
      <c r="P1018" s="509"/>
    </row>
    <row r="1019" spans="1:16" ht="21.75" customHeight="1" x14ac:dyDescent="0.3">
      <c r="A1019" s="504"/>
      <c r="B1019" s="504"/>
      <c r="C1019" s="504"/>
      <c r="D1019" s="504"/>
      <c r="E1019" s="506"/>
      <c r="F1019" s="506"/>
      <c r="G1019" s="506"/>
      <c r="H1019" s="506"/>
      <c r="I1019" s="506"/>
      <c r="J1019" s="506"/>
      <c r="K1019" s="507"/>
      <c r="L1019" s="508"/>
      <c r="M1019" s="508"/>
      <c r="N1019" s="508"/>
      <c r="O1019" s="509"/>
      <c r="P1019" s="509"/>
    </row>
    <row r="1020" spans="1:16" ht="21.75" customHeight="1" x14ac:dyDescent="0.3">
      <c r="A1020" s="504"/>
      <c r="B1020" s="504"/>
      <c r="C1020" s="504"/>
      <c r="D1020" s="504"/>
      <c r="E1020" s="506"/>
      <c r="F1020" s="506"/>
      <c r="G1020" s="506"/>
      <c r="H1020" s="506"/>
      <c r="I1020" s="506"/>
      <c r="J1020" s="506"/>
      <c r="K1020" s="507"/>
      <c r="L1020" s="508"/>
      <c r="M1020" s="508"/>
      <c r="N1020" s="508"/>
      <c r="O1020" s="509"/>
      <c r="P1020" s="509"/>
    </row>
    <row r="1021" spans="1:16" ht="21.75" customHeight="1" x14ac:dyDescent="0.3">
      <c r="A1021" s="504"/>
      <c r="B1021" s="504"/>
      <c r="C1021" s="504"/>
      <c r="D1021" s="504"/>
      <c r="E1021" s="506"/>
      <c r="F1021" s="506"/>
      <c r="G1021" s="506"/>
      <c r="H1021" s="506"/>
      <c r="I1021" s="506"/>
      <c r="J1021" s="506"/>
      <c r="K1021" s="507"/>
      <c r="L1021" s="508"/>
      <c r="M1021" s="508"/>
      <c r="N1021" s="508"/>
      <c r="O1021" s="509"/>
      <c r="P1021" s="509"/>
    </row>
    <row r="1022" spans="1:16" ht="21.75" customHeight="1" x14ac:dyDescent="0.3">
      <c r="A1022" s="504"/>
      <c r="B1022" s="504"/>
      <c r="C1022" s="504"/>
      <c r="D1022" s="504"/>
      <c r="E1022" s="506"/>
      <c r="F1022" s="506"/>
      <c r="G1022" s="506"/>
      <c r="H1022" s="506"/>
      <c r="I1022" s="506"/>
      <c r="J1022" s="506"/>
      <c r="K1022" s="507"/>
      <c r="L1022" s="508"/>
      <c r="M1022" s="508"/>
      <c r="N1022" s="508"/>
      <c r="O1022" s="509"/>
      <c r="P1022" s="509"/>
    </row>
    <row r="1023" spans="1:16" ht="21.75" customHeight="1" x14ac:dyDescent="0.3">
      <c r="A1023" s="504"/>
      <c r="B1023" s="504"/>
      <c r="C1023" s="504"/>
      <c r="D1023" s="504"/>
      <c r="E1023" s="506"/>
      <c r="F1023" s="506"/>
      <c r="G1023" s="506"/>
      <c r="H1023" s="506"/>
      <c r="I1023" s="506"/>
      <c r="J1023" s="506"/>
      <c r="K1023" s="507"/>
      <c r="L1023" s="508"/>
      <c r="M1023" s="508"/>
      <c r="N1023" s="508"/>
      <c r="O1023" s="509"/>
      <c r="P1023" s="509"/>
    </row>
    <row r="1024" spans="1:16" ht="21.75" customHeight="1" x14ac:dyDescent="0.3">
      <c r="A1024" s="504"/>
      <c r="B1024" s="504"/>
      <c r="C1024" s="504"/>
      <c r="D1024" s="504"/>
      <c r="E1024" s="506"/>
      <c r="F1024" s="506"/>
      <c r="G1024" s="506"/>
      <c r="H1024" s="506"/>
      <c r="I1024" s="506"/>
      <c r="J1024" s="506"/>
      <c r="K1024" s="507"/>
      <c r="L1024" s="508"/>
      <c r="M1024" s="508"/>
      <c r="N1024" s="508"/>
      <c r="O1024" s="509"/>
      <c r="P1024" s="509"/>
    </row>
    <row r="1025" spans="1:16" ht="21.75" customHeight="1" x14ac:dyDescent="0.3">
      <c r="A1025" s="504"/>
      <c r="B1025" s="504"/>
      <c r="C1025" s="504"/>
      <c r="D1025" s="504"/>
      <c r="E1025" s="506"/>
      <c r="F1025" s="506"/>
      <c r="G1025" s="506"/>
      <c r="H1025" s="506"/>
      <c r="I1025" s="506"/>
      <c r="J1025" s="506"/>
      <c r="K1025" s="507"/>
      <c r="L1025" s="508"/>
      <c r="M1025" s="508"/>
      <c r="N1025" s="508"/>
      <c r="O1025" s="509"/>
      <c r="P1025" s="509"/>
    </row>
    <row r="1026" spans="1:16" ht="21.75" customHeight="1" x14ac:dyDescent="0.3">
      <c r="A1026" s="504"/>
      <c r="B1026" s="504"/>
      <c r="C1026" s="504"/>
      <c r="D1026" s="504"/>
      <c r="E1026" s="506"/>
      <c r="F1026" s="506"/>
      <c r="G1026" s="506"/>
      <c r="H1026" s="506"/>
      <c r="I1026" s="506"/>
      <c r="J1026" s="506"/>
      <c r="K1026" s="507"/>
      <c r="L1026" s="508"/>
      <c r="M1026" s="508"/>
      <c r="N1026" s="508"/>
      <c r="O1026" s="509"/>
      <c r="P1026" s="509"/>
    </row>
    <row r="1027" spans="1:16" ht="21.75" customHeight="1" x14ac:dyDescent="0.3">
      <c r="A1027" s="504"/>
      <c r="B1027" s="504"/>
      <c r="C1027" s="504"/>
      <c r="D1027" s="504"/>
      <c r="E1027" s="506"/>
      <c r="F1027" s="506"/>
      <c r="G1027" s="506"/>
      <c r="H1027" s="506"/>
      <c r="I1027" s="506"/>
      <c r="J1027" s="506"/>
      <c r="K1027" s="507"/>
      <c r="L1027" s="508"/>
      <c r="M1027" s="508"/>
      <c r="N1027" s="508"/>
      <c r="O1027" s="509"/>
      <c r="P1027" s="509"/>
    </row>
    <row r="1028" spans="1:16" ht="21.75" customHeight="1" x14ac:dyDescent="0.3">
      <c r="A1028" s="504"/>
      <c r="B1028" s="504"/>
      <c r="C1028" s="504"/>
      <c r="D1028" s="504"/>
      <c r="E1028" s="506"/>
      <c r="F1028" s="506"/>
      <c r="G1028" s="506"/>
      <c r="H1028" s="506"/>
      <c r="I1028" s="506"/>
      <c r="J1028" s="506"/>
      <c r="K1028" s="507"/>
      <c r="L1028" s="508"/>
      <c r="M1028" s="508"/>
      <c r="N1028" s="508"/>
      <c r="O1028" s="509"/>
      <c r="P1028" s="509"/>
    </row>
    <row r="1029" spans="1:16" ht="21.75" customHeight="1" x14ac:dyDescent="0.3">
      <c r="A1029" s="504"/>
      <c r="B1029" s="504"/>
      <c r="C1029" s="504"/>
      <c r="D1029" s="504"/>
      <c r="E1029" s="506"/>
      <c r="F1029" s="506"/>
      <c r="G1029" s="506"/>
      <c r="H1029" s="506"/>
      <c r="I1029" s="506"/>
      <c r="J1029" s="506"/>
      <c r="K1029" s="507"/>
      <c r="L1029" s="508"/>
      <c r="M1029" s="508"/>
      <c r="N1029" s="508"/>
      <c r="O1029" s="509"/>
      <c r="P1029" s="509"/>
    </row>
    <row r="1030" spans="1:16" ht="21.75" customHeight="1" x14ac:dyDescent="0.3">
      <c r="A1030" s="504"/>
      <c r="B1030" s="504"/>
      <c r="C1030" s="504"/>
      <c r="D1030" s="504"/>
      <c r="E1030" s="506"/>
      <c r="F1030" s="506"/>
      <c r="G1030" s="506"/>
      <c r="H1030" s="506"/>
      <c r="I1030" s="506"/>
      <c r="J1030" s="506"/>
      <c r="K1030" s="507"/>
      <c r="L1030" s="508"/>
      <c r="M1030" s="508"/>
      <c r="N1030" s="508"/>
      <c r="O1030" s="509"/>
      <c r="P1030" s="509"/>
    </row>
    <row r="1031" spans="1:16" ht="21.75" customHeight="1" x14ac:dyDescent="0.3">
      <c r="A1031" s="504"/>
      <c r="B1031" s="504"/>
      <c r="C1031" s="504"/>
      <c r="D1031" s="504"/>
      <c r="E1031" s="506"/>
      <c r="F1031" s="506"/>
      <c r="G1031" s="506"/>
      <c r="H1031" s="506"/>
      <c r="I1031" s="506"/>
      <c r="J1031" s="506"/>
      <c r="K1031" s="507"/>
      <c r="L1031" s="508"/>
      <c r="M1031" s="508"/>
      <c r="N1031" s="508"/>
      <c r="O1031" s="509"/>
      <c r="P1031" s="509"/>
    </row>
    <row r="1032" spans="1:16" ht="21.75" customHeight="1" x14ac:dyDescent="0.3">
      <c r="A1032" s="504"/>
      <c r="B1032" s="504"/>
      <c r="C1032" s="504"/>
      <c r="D1032" s="504"/>
      <c r="E1032" s="506"/>
      <c r="F1032" s="506"/>
      <c r="G1032" s="506"/>
      <c r="H1032" s="506"/>
      <c r="I1032" s="506"/>
      <c r="J1032" s="506"/>
      <c r="K1032" s="507"/>
      <c r="L1032" s="508"/>
      <c r="M1032" s="508"/>
      <c r="N1032" s="508"/>
      <c r="O1032" s="509"/>
      <c r="P1032" s="509"/>
    </row>
    <row r="1033" spans="1:16" ht="21.75" customHeight="1" x14ac:dyDescent="0.3">
      <c r="A1033" s="504"/>
      <c r="B1033" s="504"/>
      <c r="C1033" s="504"/>
      <c r="D1033" s="504"/>
      <c r="E1033" s="506"/>
      <c r="F1033" s="506"/>
      <c r="G1033" s="506"/>
      <c r="H1033" s="506"/>
      <c r="I1033" s="506"/>
      <c r="J1033" s="506"/>
      <c r="K1033" s="507"/>
      <c r="L1033" s="508"/>
      <c r="M1033" s="508"/>
      <c r="N1033" s="508"/>
      <c r="O1033" s="509"/>
      <c r="P1033" s="509"/>
    </row>
    <row r="1034" spans="1:16" ht="21.75" customHeight="1" x14ac:dyDescent="0.3">
      <c r="A1034" s="504"/>
      <c r="B1034" s="504"/>
      <c r="C1034" s="504"/>
      <c r="D1034" s="504"/>
      <c r="E1034" s="506"/>
      <c r="F1034" s="506"/>
      <c r="G1034" s="506"/>
      <c r="H1034" s="506"/>
      <c r="I1034" s="506"/>
      <c r="J1034" s="506"/>
      <c r="K1034" s="507"/>
      <c r="L1034" s="508"/>
      <c r="M1034" s="508"/>
      <c r="N1034" s="508"/>
      <c r="O1034" s="509"/>
      <c r="P1034" s="509"/>
    </row>
    <row r="1035" spans="1:16" ht="21.75" customHeight="1" x14ac:dyDescent="0.3">
      <c r="A1035" s="504"/>
      <c r="B1035" s="504"/>
      <c r="C1035" s="504"/>
      <c r="D1035" s="504"/>
      <c r="E1035" s="506"/>
      <c r="F1035" s="506"/>
      <c r="G1035" s="506"/>
      <c r="H1035" s="506"/>
      <c r="I1035" s="506"/>
      <c r="J1035" s="506"/>
      <c r="K1035" s="507"/>
      <c r="L1035" s="508"/>
      <c r="M1035" s="508"/>
      <c r="N1035" s="508"/>
      <c r="O1035" s="509"/>
      <c r="P1035" s="509"/>
    </row>
    <row r="1036" spans="1:16" ht="21.75" customHeight="1" x14ac:dyDescent="0.3">
      <c r="A1036" s="504"/>
      <c r="B1036" s="504"/>
      <c r="C1036" s="504"/>
      <c r="D1036" s="504"/>
      <c r="E1036" s="506"/>
      <c r="F1036" s="506"/>
      <c r="G1036" s="506"/>
      <c r="H1036" s="506"/>
      <c r="I1036" s="506"/>
      <c r="J1036" s="506"/>
      <c r="K1036" s="507"/>
      <c r="L1036" s="508"/>
      <c r="M1036" s="508"/>
      <c r="N1036" s="508"/>
      <c r="O1036" s="509"/>
      <c r="P1036" s="509"/>
    </row>
    <row r="1037" spans="1:16" ht="21.75" customHeight="1" x14ac:dyDescent="0.3">
      <c r="A1037" s="504"/>
      <c r="B1037" s="504"/>
      <c r="C1037" s="504"/>
      <c r="D1037" s="504"/>
      <c r="E1037" s="506"/>
      <c r="F1037" s="506"/>
      <c r="G1037" s="506"/>
      <c r="H1037" s="506"/>
      <c r="I1037" s="506"/>
      <c r="J1037" s="506"/>
      <c r="K1037" s="507"/>
      <c r="L1037" s="508"/>
      <c r="M1037" s="508"/>
      <c r="N1037" s="508"/>
      <c r="O1037" s="509"/>
      <c r="P1037" s="509"/>
    </row>
    <row r="1038" spans="1:16" ht="21.75" customHeight="1" x14ac:dyDescent="0.3">
      <c r="A1038" s="504"/>
      <c r="B1038" s="504"/>
      <c r="C1038" s="504"/>
      <c r="D1038" s="504"/>
      <c r="E1038" s="506"/>
      <c r="F1038" s="506"/>
      <c r="G1038" s="506"/>
      <c r="H1038" s="506"/>
      <c r="I1038" s="506"/>
      <c r="J1038" s="506"/>
      <c r="K1038" s="507"/>
      <c r="L1038" s="508"/>
      <c r="M1038" s="508"/>
      <c r="N1038" s="508"/>
      <c r="O1038" s="509"/>
      <c r="P1038" s="509"/>
    </row>
    <row r="1039" spans="1:16" ht="21.75" customHeight="1" x14ac:dyDescent="0.3">
      <c r="A1039" s="504"/>
      <c r="B1039" s="504"/>
      <c r="C1039" s="504"/>
      <c r="D1039" s="504"/>
      <c r="E1039" s="506"/>
      <c r="F1039" s="506"/>
      <c r="G1039" s="506"/>
      <c r="H1039" s="506"/>
      <c r="I1039" s="506"/>
      <c r="J1039" s="506"/>
      <c r="K1039" s="507"/>
      <c r="L1039" s="508"/>
      <c r="M1039" s="508"/>
      <c r="N1039" s="508"/>
      <c r="O1039" s="509"/>
      <c r="P1039" s="509"/>
    </row>
    <row r="1040" spans="1:16" ht="21.75" customHeight="1" x14ac:dyDescent="0.3">
      <c r="A1040" s="504"/>
      <c r="B1040" s="504"/>
      <c r="C1040" s="504"/>
      <c r="D1040" s="504"/>
      <c r="E1040" s="506"/>
      <c r="F1040" s="506"/>
      <c r="G1040" s="506"/>
      <c r="H1040" s="506"/>
      <c r="I1040" s="506"/>
      <c r="J1040" s="506"/>
      <c r="K1040" s="507"/>
      <c r="L1040" s="508"/>
      <c r="M1040" s="508"/>
      <c r="N1040" s="508"/>
      <c r="O1040" s="509"/>
      <c r="P1040" s="509"/>
    </row>
    <row r="1041" spans="1:16" ht="21.75" customHeight="1" x14ac:dyDescent="0.3">
      <c r="A1041" s="504"/>
      <c r="B1041" s="504"/>
      <c r="C1041" s="504"/>
      <c r="D1041" s="504"/>
      <c r="E1041" s="506"/>
      <c r="F1041" s="506"/>
      <c r="G1041" s="506"/>
      <c r="H1041" s="506"/>
      <c r="I1041" s="506"/>
      <c r="J1041" s="506"/>
      <c r="K1041" s="507"/>
      <c r="L1041" s="508"/>
      <c r="M1041" s="508"/>
      <c r="N1041" s="508"/>
      <c r="O1041" s="509"/>
      <c r="P1041" s="509"/>
    </row>
    <row r="1042" spans="1:16" ht="21.75" customHeight="1" x14ac:dyDescent="0.3">
      <c r="A1042" s="504"/>
      <c r="B1042" s="504"/>
      <c r="C1042" s="504"/>
      <c r="D1042" s="504"/>
      <c r="E1042" s="506"/>
      <c r="F1042" s="506"/>
      <c r="G1042" s="506"/>
      <c r="H1042" s="506"/>
      <c r="I1042" s="506"/>
      <c r="J1042" s="506"/>
      <c r="K1042" s="507"/>
      <c r="L1042" s="508"/>
      <c r="M1042" s="508"/>
      <c r="N1042" s="508"/>
      <c r="O1042" s="509"/>
      <c r="P1042" s="509"/>
    </row>
    <row r="1043" spans="1:16" ht="21.75" customHeight="1" x14ac:dyDescent="0.3">
      <c r="A1043" s="504"/>
      <c r="B1043" s="504"/>
      <c r="C1043" s="504"/>
      <c r="D1043" s="504"/>
      <c r="E1043" s="506"/>
      <c r="F1043" s="506"/>
      <c r="G1043" s="506"/>
      <c r="H1043" s="506"/>
      <c r="I1043" s="506"/>
      <c r="J1043" s="506"/>
      <c r="K1043" s="507"/>
      <c r="L1043" s="508"/>
      <c r="M1043" s="508"/>
      <c r="N1043" s="508"/>
      <c r="O1043" s="509"/>
      <c r="P1043" s="509"/>
    </row>
    <row r="1044" spans="1:16" ht="21.75" customHeight="1" x14ac:dyDescent="0.3">
      <c r="A1044" s="504"/>
      <c r="B1044" s="504"/>
      <c r="C1044" s="504"/>
      <c r="D1044" s="504"/>
      <c r="E1044" s="506"/>
      <c r="F1044" s="506"/>
      <c r="G1044" s="506"/>
      <c r="H1044" s="506"/>
      <c r="I1044" s="506"/>
      <c r="J1044" s="506"/>
      <c r="K1044" s="507"/>
      <c r="L1044" s="508"/>
      <c r="M1044" s="508"/>
      <c r="N1044" s="508"/>
      <c r="O1044" s="509"/>
      <c r="P1044" s="509"/>
    </row>
    <row r="1045" spans="1:16" ht="21.75" customHeight="1" x14ac:dyDescent="0.3">
      <c r="A1045" s="504"/>
      <c r="B1045" s="504"/>
      <c r="C1045" s="504"/>
      <c r="D1045" s="504"/>
      <c r="E1045" s="506"/>
      <c r="F1045" s="506"/>
      <c r="G1045" s="506"/>
      <c r="H1045" s="506"/>
      <c r="I1045" s="506"/>
      <c r="J1045" s="506"/>
      <c r="K1045" s="507"/>
      <c r="L1045" s="508"/>
      <c r="M1045" s="508"/>
      <c r="N1045" s="508"/>
      <c r="O1045" s="509"/>
      <c r="P1045" s="509"/>
    </row>
    <row r="1046" spans="1:16" ht="21.75" customHeight="1" x14ac:dyDescent="0.3">
      <c r="A1046" s="504"/>
      <c r="B1046" s="504"/>
      <c r="C1046" s="504"/>
      <c r="D1046" s="504"/>
      <c r="E1046" s="506"/>
      <c r="F1046" s="506"/>
      <c r="G1046" s="506"/>
      <c r="H1046" s="506"/>
      <c r="I1046" s="506"/>
      <c r="J1046" s="506"/>
      <c r="K1046" s="507"/>
      <c r="L1046" s="508"/>
      <c r="M1046" s="508"/>
      <c r="N1046" s="508"/>
      <c r="O1046" s="509"/>
      <c r="P1046" s="509"/>
    </row>
    <row r="1047" spans="1:16" ht="21.75" customHeight="1" x14ac:dyDescent="0.3">
      <c r="A1047" s="504"/>
      <c r="B1047" s="504"/>
      <c r="C1047" s="504"/>
      <c r="D1047" s="504"/>
      <c r="E1047" s="506"/>
      <c r="F1047" s="506"/>
      <c r="G1047" s="506"/>
      <c r="H1047" s="506"/>
      <c r="I1047" s="506"/>
      <c r="J1047" s="506"/>
      <c r="K1047" s="507"/>
      <c r="L1047" s="508"/>
      <c r="M1047" s="508"/>
      <c r="N1047" s="508"/>
      <c r="O1047" s="509"/>
      <c r="P1047" s="509"/>
    </row>
    <row r="1048" spans="1:16" ht="21.75" customHeight="1" x14ac:dyDescent="0.3">
      <c r="A1048" s="504"/>
      <c r="B1048" s="504"/>
      <c r="C1048" s="504"/>
      <c r="D1048" s="504"/>
      <c r="E1048" s="506"/>
      <c r="F1048" s="506"/>
      <c r="G1048" s="506"/>
      <c r="H1048" s="506"/>
      <c r="I1048" s="506"/>
      <c r="J1048" s="506"/>
      <c r="K1048" s="507"/>
      <c r="L1048" s="508"/>
      <c r="M1048" s="508"/>
      <c r="N1048" s="508"/>
      <c r="O1048" s="509"/>
      <c r="P1048" s="509"/>
    </row>
    <row r="1049" spans="1:16" ht="21.75" customHeight="1" x14ac:dyDescent="0.3">
      <c r="A1049" s="504"/>
      <c r="B1049" s="504"/>
      <c r="C1049" s="504"/>
      <c r="D1049" s="504"/>
      <c r="E1049" s="506"/>
      <c r="F1049" s="506"/>
      <c r="G1049" s="506"/>
      <c r="H1049" s="506"/>
      <c r="I1049" s="506"/>
      <c r="J1049" s="506"/>
      <c r="K1049" s="507"/>
      <c r="L1049" s="508"/>
      <c r="M1049" s="508"/>
      <c r="N1049" s="508"/>
      <c r="O1049" s="509"/>
      <c r="P1049" s="509"/>
    </row>
    <row r="1050" spans="1:16" ht="21.75" customHeight="1" x14ac:dyDescent="0.3">
      <c r="A1050" s="504"/>
      <c r="B1050" s="504"/>
      <c r="C1050" s="504"/>
      <c r="D1050" s="504"/>
      <c r="E1050" s="506"/>
      <c r="F1050" s="506"/>
      <c r="G1050" s="506"/>
      <c r="H1050" s="506"/>
      <c r="I1050" s="506"/>
      <c r="J1050" s="506"/>
      <c r="K1050" s="507"/>
      <c r="L1050" s="508"/>
      <c r="M1050" s="508"/>
      <c r="N1050" s="508"/>
      <c r="O1050" s="509"/>
      <c r="P1050" s="509"/>
    </row>
    <row r="1051" spans="1:16" ht="21.75" customHeight="1" x14ac:dyDescent="0.3">
      <c r="A1051" s="504"/>
      <c r="B1051" s="504"/>
      <c r="C1051" s="504"/>
      <c r="D1051" s="504"/>
      <c r="E1051" s="506"/>
      <c r="F1051" s="506"/>
      <c r="G1051" s="506"/>
      <c r="H1051" s="506"/>
      <c r="I1051" s="506"/>
      <c r="J1051" s="506"/>
      <c r="K1051" s="507"/>
      <c r="L1051" s="508"/>
      <c r="M1051" s="508"/>
      <c r="N1051" s="508"/>
      <c r="O1051" s="509"/>
      <c r="P1051" s="509"/>
    </row>
    <row r="1052" spans="1:16" ht="21.75" customHeight="1" x14ac:dyDescent="0.3">
      <c r="A1052" s="504"/>
      <c r="B1052" s="504"/>
      <c r="C1052" s="504"/>
      <c r="D1052" s="504"/>
      <c r="E1052" s="506"/>
      <c r="F1052" s="506"/>
      <c r="G1052" s="506"/>
      <c r="H1052" s="506"/>
      <c r="I1052" s="506"/>
      <c r="J1052" s="506"/>
      <c r="K1052" s="507"/>
      <c r="L1052" s="508"/>
      <c r="M1052" s="508"/>
      <c r="N1052" s="508"/>
      <c r="O1052" s="509"/>
      <c r="P1052" s="509"/>
    </row>
    <row r="1053" spans="1:16" ht="21.75" customHeight="1" x14ac:dyDescent="0.3">
      <c r="A1053" s="504"/>
      <c r="B1053" s="504"/>
      <c r="C1053" s="504"/>
      <c r="D1053" s="504"/>
      <c r="E1053" s="506"/>
      <c r="F1053" s="506"/>
      <c r="G1053" s="506"/>
      <c r="H1053" s="506"/>
      <c r="I1053" s="506"/>
      <c r="J1053" s="506"/>
      <c r="K1053" s="507"/>
      <c r="L1053" s="508"/>
      <c r="M1053" s="508"/>
      <c r="N1053" s="508"/>
      <c r="O1053" s="509"/>
      <c r="P1053" s="509"/>
    </row>
    <row r="1054" spans="1:16" ht="21.75" customHeight="1" x14ac:dyDescent="0.3">
      <c r="A1054" s="504"/>
      <c r="B1054" s="504"/>
      <c r="C1054" s="504"/>
      <c r="D1054" s="504"/>
      <c r="E1054" s="506"/>
      <c r="F1054" s="506"/>
      <c r="G1054" s="506"/>
      <c r="H1054" s="506"/>
      <c r="I1054" s="506"/>
      <c r="J1054" s="506"/>
      <c r="K1054" s="507"/>
      <c r="L1054" s="508"/>
      <c r="M1054" s="508"/>
      <c r="N1054" s="508"/>
      <c r="O1054" s="509"/>
      <c r="P1054" s="509"/>
    </row>
    <row r="1055" spans="1:16" ht="21.75" customHeight="1" x14ac:dyDescent="0.3">
      <c r="A1055" s="504"/>
      <c r="B1055" s="504"/>
      <c r="C1055" s="504"/>
      <c r="D1055" s="504"/>
      <c r="E1055" s="506"/>
      <c r="F1055" s="506"/>
      <c r="G1055" s="506"/>
      <c r="H1055" s="506"/>
      <c r="I1055" s="506"/>
      <c r="J1055" s="506"/>
      <c r="K1055" s="507"/>
      <c r="L1055" s="508"/>
      <c r="M1055" s="508"/>
      <c r="N1055" s="508"/>
      <c r="O1055" s="509"/>
      <c r="P1055" s="509"/>
    </row>
    <row r="1056" spans="1:16" ht="21.75" customHeight="1" x14ac:dyDescent="0.3">
      <c r="A1056" s="504"/>
      <c r="B1056" s="504"/>
      <c r="C1056" s="504"/>
      <c r="D1056" s="504"/>
      <c r="E1056" s="506"/>
      <c r="F1056" s="506"/>
      <c r="G1056" s="506"/>
      <c r="H1056" s="506"/>
      <c r="I1056" s="506"/>
      <c r="J1056" s="506"/>
      <c r="K1056" s="507"/>
      <c r="L1056" s="508"/>
      <c r="M1056" s="508"/>
      <c r="N1056" s="508"/>
      <c r="O1056" s="509"/>
      <c r="P1056" s="509"/>
    </row>
    <row r="1057" spans="1:16" ht="21.75" customHeight="1" x14ac:dyDescent="0.3">
      <c r="A1057" s="504"/>
      <c r="B1057" s="504"/>
      <c r="C1057" s="504"/>
      <c r="D1057" s="504"/>
      <c r="E1057" s="506"/>
      <c r="F1057" s="506"/>
      <c r="G1057" s="506"/>
      <c r="H1057" s="506"/>
      <c r="I1057" s="506"/>
      <c r="J1057" s="506"/>
      <c r="K1057" s="507"/>
      <c r="L1057" s="508"/>
      <c r="M1057" s="508"/>
      <c r="N1057" s="508"/>
      <c r="O1057" s="509"/>
      <c r="P1057" s="509"/>
    </row>
    <row r="1058" spans="1:16" ht="21.75" customHeight="1" x14ac:dyDescent="0.3">
      <c r="A1058" s="504"/>
      <c r="B1058" s="504"/>
      <c r="C1058" s="504"/>
      <c r="D1058" s="504"/>
      <c r="E1058" s="506"/>
      <c r="F1058" s="506"/>
      <c r="G1058" s="506"/>
      <c r="H1058" s="506"/>
      <c r="I1058" s="506"/>
      <c r="J1058" s="506"/>
      <c r="K1058" s="507"/>
      <c r="L1058" s="508"/>
      <c r="M1058" s="508"/>
      <c r="N1058" s="508"/>
      <c r="O1058" s="509"/>
      <c r="P1058" s="509"/>
    </row>
    <row r="1059" spans="1:16" ht="21.75" customHeight="1" x14ac:dyDescent="0.3">
      <c r="A1059" s="504"/>
      <c r="B1059" s="504"/>
      <c r="C1059" s="504"/>
      <c r="D1059" s="504"/>
      <c r="E1059" s="506"/>
      <c r="F1059" s="506"/>
      <c r="G1059" s="506"/>
      <c r="H1059" s="506"/>
      <c r="I1059" s="506"/>
      <c r="J1059" s="506"/>
      <c r="K1059" s="507"/>
      <c r="L1059" s="508"/>
      <c r="M1059" s="508"/>
      <c r="N1059" s="508"/>
      <c r="O1059" s="509"/>
      <c r="P1059" s="509"/>
    </row>
    <row r="1060" spans="1:16" ht="21.75" customHeight="1" x14ac:dyDescent="0.3">
      <c r="A1060" s="504"/>
      <c r="B1060" s="504"/>
      <c r="C1060" s="504"/>
      <c r="D1060" s="504"/>
      <c r="E1060" s="506"/>
      <c r="F1060" s="506"/>
      <c r="G1060" s="506"/>
      <c r="H1060" s="506"/>
      <c r="I1060" s="506"/>
      <c r="J1060" s="506"/>
      <c r="K1060" s="507"/>
      <c r="L1060" s="508"/>
      <c r="M1060" s="508"/>
      <c r="N1060" s="508"/>
      <c r="O1060" s="509"/>
      <c r="P1060" s="509"/>
    </row>
    <row r="1061" spans="1:16" ht="21.75" customHeight="1" x14ac:dyDescent="0.3">
      <c r="A1061" s="504"/>
      <c r="B1061" s="504"/>
      <c r="C1061" s="504"/>
      <c r="D1061" s="504"/>
      <c r="E1061" s="506"/>
      <c r="F1061" s="506"/>
      <c r="G1061" s="506"/>
      <c r="H1061" s="506"/>
      <c r="I1061" s="506"/>
      <c r="J1061" s="506"/>
      <c r="K1061" s="507"/>
      <c r="L1061" s="508"/>
      <c r="M1061" s="508"/>
      <c r="N1061" s="508"/>
      <c r="O1061" s="509"/>
      <c r="P1061" s="509"/>
    </row>
    <row r="1062" spans="1:16" ht="21.75" customHeight="1" x14ac:dyDescent="0.3">
      <c r="A1062" s="504"/>
      <c r="B1062" s="504"/>
      <c r="C1062" s="504"/>
      <c r="D1062" s="504"/>
      <c r="E1062" s="506"/>
      <c r="F1062" s="506"/>
      <c r="G1062" s="506"/>
      <c r="H1062" s="506"/>
      <c r="I1062" s="506"/>
      <c r="J1062" s="506"/>
      <c r="K1062" s="507"/>
      <c r="L1062" s="508"/>
      <c r="M1062" s="508"/>
      <c r="N1062" s="508"/>
      <c r="O1062" s="509"/>
      <c r="P1062" s="509"/>
    </row>
    <row r="1063" spans="1:16" ht="21.75" customHeight="1" x14ac:dyDescent="0.3">
      <c r="A1063" s="504"/>
      <c r="B1063" s="504"/>
      <c r="C1063" s="504"/>
      <c r="D1063" s="504"/>
      <c r="E1063" s="506"/>
      <c r="F1063" s="506"/>
      <c r="G1063" s="506"/>
      <c r="H1063" s="506"/>
      <c r="I1063" s="506"/>
      <c r="J1063" s="506"/>
      <c r="K1063" s="507"/>
      <c r="L1063" s="508"/>
      <c r="M1063" s="508"/>
      <c r="N1063" s="508"/>
      <c r="O1063" s="509"/>
      <c r="P1063" s="509"/>
    </row>
    <row r="1064" spans="1:16" ht="21.75" customHeight="1" x14ac:dyDescent="0.3">
      <c r="A1064" s="504"/>
      <c r="B1064" s="504"/>
      <c r="C1064" s="504"/>
      <c r="D1064" s="504"/>
      <c r="E1064" s="506"/>
      <c r="F1064" s="506"/>
      <c r="G1064" s="506"/>
      <c r="H1064" s="506"/>
      <c r="I1064" s="506"/>
      <c r="J1064" s="506"/>
      <c r="K1064" s="507"/>
      <c r="L1064" s="508"/>
      <c r="M1064" s="508"/>
      <c r="N1064" s="508"/>
      <c r="O1064" s="509"/>
      <c r="P1064" s="509"/>
    </row>
    <row r="1065" spans="1:16" ht="21.75" customHeight="1" x14ac:dyDescent="0.3">
      <c r="A1065" s="504"/>
      <c r="B1065" s="504"/>
      <c r="C1065" s="504"/>
      <c r="D1065" s="504"/>
      <c r="E1065" s="506"/>
      <c r="F1065" s="506"/>
      <c r="G1065" s="506"/>
      <c r="H1065" s="506"/>
      <c r="I1065" s="506"/>
      <c r="J1065" s="506"/>
      <c r="K1065" s="507"/>
      <c r="L1065" s="508"/>
      <c r="M1065" s="508"/>
      <c r="N1065" s="508"/>
      <c r="O1065" s="509"/>
      <c r="P1065" s="509"/>
    </row>
    <row r="1066" spans="1:16" ht="21.75" customHeight="1" x14ac:dyDescent="0.3">
      <c r="A1066" s="504"/>
      <c r="B1066" s="504"/>
      <c r="C1066" s="504"/>
      <c r="D1066" s="504"/>
      <c r="E1066" s="506"/>
      <c r="F1066" s="506"/>
      <c r="G1066" s="506"/>
      <c r="H1066" s="506"/>
      <c r="I1066" s="506"/>
      <c r="J1066" s="506"/>
      <c r="K1066" s="507"/>
      <c r="L1066" s="508"/>
      <c r="M1066" s="508"/>
      <c r="N1066" s="508"/>
      <c r="O1066" s="509"/>
      <c r="P1066" s="509"/>
    </row>
    <row r="1067" spans="1:16" ht="21.75" customHeight="1" x14ac:dyDescent="0.3">
      <c r="A1067" s="504"/>
      <c r="B1067" s="504"/>
      <c r="C1067" s="504"/>
      <c r="D1067" s="504"/>
      <c r="E1067" s="506"/>
      <c r="F1067" s="506"/>
      <c r="G1067" s="506"/>
      <c r="H1067" s="506"/>
      <c r="I1067" s="506"/>
      <c r="J1067" s="506"/>
      <c r="K1067" s="507"/>
      <c r="L1067" s="508"/>
      <c r="M1067" s="508"/>
      <c r="N1067" s="508"/>
      <c r="O1067" s="509"/>
      <c r="P1067" s="509"/>
    </row>
    <row r="1068" spans="1:16" ht="21.75" customHeight="1" x14ac:dyDescent="0.3">
      <c r="A1068" s="504"/>
      <c r="B1068" s="504"/>
      <c r="C1068" s="504"/>
      <c r="D1068" s="504"/>
      <c r="E1068" s="506"/>
      <c r="F1068" s="506"/>
      <c r="G1068" s="506"/>
      <c r="H1068" s="506"/>
      <c r="I1068" s="506"/>
      <c r="J1068" s="506"/>
      <c r="K1068" s="507"/>
      <c r="L1068" s="508"/>
      <c r="M1068" s="508"/>
      <c r="N1068" s="508"/>
      <c r="O1068" s="509"/>
      <c r="P1068" s="509"/>
    </row>
    <row r="1069" spans="1:16" ht="21.75" customHeight="1" x14ac:dyDescent="0.3">
      <c r="A1069" s="504"/>
      <c r="B1069" s="504"/>
      <c r="C1069" s="504"/>
      <c r="D1069" s="504"/>
      <c r="E1069" s="506"/>
      <c r="F1069" s="506"/>
      <c r="G1069" s="506"/>
      <c r="H1069" s="506"/>
      <c r="I1069" s="506"/>
      <c r="J1069" s="506"/>
      <c r="K1069" s="507"/>
      <c r="L1069" s="508"/>
      <c r="M1069" s="508"/>
      <c r="N1069" s="508"/>
      <c r="O1069" s="509"/>
      <c r="P1069" s="509"/>
    </row>
    <row r="1070" spans="1:16" ht="21.75" customHeight="1" x14ac:dyDescent="0.3">
      <c r="A1070" s="504"/>
      <c r="B1070" s="504"/>
      <c r="C1070" s="504"/>
      <c r="D1070" s="504"/>
      <c r="E1070" s="506"/>
      <c r="F1070" s="506"/>
      <c r="G1070" s="506"/>
      <c r="H1070" s="506"/>
      <c r="I1070" s="506"/>
      <c r="J1070" s="506"/>
      <c r="K1070" s="507"/>
      <c r="L1070" s="508"/>
      <c r="M1070" s="508"/>
      <c r="N1070" s="508"/>
      <c r="O1070" s="509"/>
      <c r="P1070" s="509"/>
    </row>
    <row r="1071" spans="1:16" ht="21.75" customHeight="1" x14ac:dyDescent="0.3">
      <c r="A1071" s="504"/>
      <c r="B1071" s="504"/>
      <c r="C1071" s="504"/>
      <c r="D1071" s="504"/>
      <c r="E1071" s="506"/>
      <c r="F1071" s="506"/>
      <c r="G1071" s="506"/>
      <c r="H1071" s="506"/>
      <c r="I1071" s="506"/>
      <c r="J1071" s="506"/>
      <c r="K1071" s="507"/>
      <c r="L1071" s="508"/>
      <c r="M1071" s="508"/>
      <c r="N1071" s="508"/>
      <c r="O1071" s="509"/>
      <c r="P1071" s="509"/>
    </row>
    <row r="1072" spans="1:16" ht="21.75" customHeight="1" x14ac:dyDescent="0.3">
      <c r="A1072" s="504"/>
      <c r="B1072" s="504"/>
      <c r="C1072" s="504"/>
      <c r="D1072" s="504"/>
      <c r="E1072" s="506"/>
      <c r="F1072" s="506"/>
      <c r="G1072" s="506"/>
      <c r="H1072" s="506"/>
      <c r="I1072" s="506"/>
      <c r="J1072" s="506"/>
      <c r="K1072" s="507"/>
      <c r="L1072" s="508"/>
      <c r="M1072" s="508"/>
      <c r="N1072" s="508"/>
      <c r="O1072" s="509"/>
      <c r="P1072" s="509"/>
    </row>
    <row r="1073" spans="1:16" ht="21.75" customHeight="1" x14ac:dyDescent="0.3">
      <c r="A1073" s="504"/>
      <c r="B1073" s="504"/>
      <c r="C1073" s="504"/>
      <c r="D1073" s="504"/>
      <c r="E1073" s="506"/>
      <c r="F1073" s="506"/>
      <c r="G1073" s="506"/>
      <c r="H1073" s="506"/>
      <c r="I1073" s="506"/>
      <c r="J1073" s="506"/>
      <c r="K1073" s="507"/>
      <c r="L1073" s="508"/>
      <c r="M1073" s="508"/>
      <c r="N1073" s="508"/>
      <c r="O1073" s="509"/>
      <c r="P1073" s="509"/>
    </row>
    <row r="1074" spans="1:16" ht="21.75" customHeight="1" x14ac:dyDescent="0.3">
      <c r="A1074" s="504"/>
      <c r="B1074" s="504"/>
      <c r="C1074" s="504"/>
      <c r="D1074" s="504"/>
      <c r="E1074" s="506"/>
      <c r="F1074" s="506"/>
      <c r="G1074" s="506"/>
      <c r="H1074" s="506"/>
      <c r="I1074" s="506"/>
      <c r="J1074" s="506"/>
      <c r="K1074" s="507"/>
      <c r="L1074" s="508"/>
      <c r="M1074" s="508"/>
      <c r="N1074" s="508"/>
      <c r="O1074" s="509"/>
      <c r="P1074" s="509"/>
    </row>
    <row r="1075" spans="1:16" ht="21.75" customHeight="1" x14ac:dyDescent="0.3">
      <c r="A1075" s="504"/>
      <c r="B1075" s="504"/>
      <c r="C1075" s="504"/>
      <c r="D1075" s="504"/>
      <c r="E1075" s="506"/>
      <c r="F1075" s="506"/>
      <c r="G1075" s="506"/>
      <c r="H1075" s="506"/>
      <c r="I1075" s="506"/>
      <c r="J1075" s="506"/>
      <c r="K1075" s="507"/>
      <c r="L1075" s="508"/>
      <c r="M1075" s="508"/>
      <c r="N1075" s="508"/>
      <c r="O1075" s="509"/>
      <c r="P1075" s="509"/>
    </row>
    <row r="1076" spans="1:16" ht="21.75" customHeight="1" x14ac:dyDescent="0.3">
      <c r="A1076" s="504"/>
      <c r="B1076" s="504"/>
      <c r="C1076" s="504"/>
      <c r="D1076" s="504"/>
      <c r="E1076" s="506"/>
      <c r="F1076" s="506"/>
      <c r="G1076" s="506"/>
      <c r="H1076" s="506"/>
      <c r="I1076" s="506"/>
      <c r="J1076" s="506"/>
      <c r="K1076" s="507"/>
      <c r="L1076" s="508"/>
      <c r="M1076" s="508"/>
      <c r="N1076" s="508"/>
      <c r="O1076" s="509"/>
      <c r="P1076" s="509"/>
    </row>
    <row r="1077" spans="1:16" ht="21.75" customHeight="1" x14ac:dyDescent="0.3">
      <c r="A1077" s="504"/>
      <c r="B1077" s="504"/>
      <c r="C1077" s="504"/>
      <c r="D1077" s="504"/>
      <c r="E1077" s="506"/>
      <c r="F1077" s="506"/>
      <c r="G1077" s="506"/>
      <c r="H1077" s="506"/>
      <c r="I1077" s="506"/>
      <c r="J1077" s="506"/>
      <c r="K1077" s="507"/>
      <c r="L1077" s="508"/>
      <c r="M1077" s="508"/>
      <c r="N1077" s="508"/>
      <c r="O1077" s="509"/>
      <c r="P1077" s="509"/>
    </row>
    <row r="1078" spans="1:16" ht="21.75" customHeight="1" x14ac:dyDescent="0.3">
      <c r="A1078" s="504"/>
      <c r="B1078" s="504"/>
      <c r="C1078" s="504"/>
      <c r="D1078" s="504"/>
      <c r="E1078" s="506"/>
      <c r="F1078" s="506"/>
      <c r="G1078" s="506"/>
      <c r="H1078" s="506"/>
      <c r="I1078" s="506"/>
      <c r="J1078" s="506"/>
      <c r="K1078" s="507"/>
      <c r="L1078" s="508"/>
      <c r="M1078" s="508"/>
      <c r="N1078" s="508"/>
      <c r="O1078" s="509"/>
      <c r="P1078" s="509"/>
    </row>
    <row r="1079" spans="1:16" ht="21.75" customHeight="1" x14ac:dyDescent="0.3">
      <c r="A1079" s="504"/>
      <c r="B1079" s="504"/>
      <c r="C1079" s="504"/>
      <c r="D1079" s="504"/>
      <c r="E1079" s="506"/>
      <c r="F1079" s="506"/>
      <c r="G1079" s="506"/>
      <c r="H1079" s="506"/>
      <c r="I1079" s="506"/>
      <c r="J1079" s="506"/>
      <c r="K1079" s="507"/>
      <c r="L1079" s="508"/>
      <c r="M1079" s="508"/>
      <c r="N1079" s="508"/>
      <c r="O1079" s="509"/>
      <c r="P1079" s="509"/>
    </row>
    <row r="1080" spans="1:16" ht="21.75" customHeight="1" x14ac:dyDescent="0.3">
      <c r="A1080" s="504"/>
      <c r="B1080" s="504"/>
      <c r="C1080" s="504"/>
      <c r="D1080" s="504"/>
      <c r="E1080" s="506"/>
      <c r="F1080" s="506"/>
      <c r="G1080" s="506"/>
      <c r="H1080" s="506"/>
      <c r="I1080" s="506"/>
      <c r="J1080" s="506"/>
      <c r="K1080" s="507"/>
      <c r="L1080" s="508"/>
      <c r="M1080" s="508"/>
      <c r="N1080" s="508"/>
      <c r="O1080" s="509"/>
      <c r="P1080" s="509"/>
    </row>
    <row r="1081" spans="1:16" ht="21.75" customHeight="1" x14ac:dyDescent="0.3">
      <c r="A1081" s="504"/>
      <c r="B1081" s="504"/>
      <c r="C1081" s="504"/>
      <c r="D1081" s="504"/>
      <c r="E1081" s="506"/>
      <c r="F1081" s="506"/>
      <c r="G1081" s="506"/>
      <c r="H1081" s="506"/>
      <c r="I1081" s="506"/>
      <c r="J1081" s="506"/>
      <c r="K1081" s="507"/>
      <c r="L1081" s="508"/>
      <c r="M1081" s="508"/>
      <c r="N1081" s="508"/>
      <c r="O1081" s="509"/>
      <c r="P1081" s="509"/>
    </row>
    <row r="1082" spans="1:16" ht="21.75" customHeight="1" x14ac:dyDescent="0.3">
      <c r="A1082" s="504"/>
      <c r="B1082" s="504"/>
      <c r="C1082" s="504"/>
      <c r="D1082" s="504"/>
      <c r="E1082" s="506"/>
      <c r="F1082" s="506"/>
      <c r="G1082" s="506"/>
      <c r="H1082" s="506"/>
      <c r="I1082" s="506"/>
      <c r="J1082" s="506"/>
      <c r="K1082" s="507"/>
      <c r="L1082" s="508"/>
      <c r="M1082" s="508"/>
      <c r="N1082" s="508"/>
      <c r="O1082" s="509"/>
      <c r="P1082" s="509"/>
    </row>
    <row r="1083" spans="1:16" ht="21.75" customHeight="1" x14ac:dyDescent="0.3">
      <c r="A1083" s="504"/>
      <c r="B1083" s="504"/>
      <c r="C1083" s="504"/>
      <c r="D1083" s="504"/>
      <c r="E1083" s="506"/>
      <c r="F1083" s="506"/>
      <c r="G1083" s="506"/>
      <c r="H1083" s="506"/>
      <c r="I1083" s="506"/>
      <c r="J1083" s="506"/>
      <c r="K1083" s="507"/>
      <c r="L1083" s="508"/>
      <c r="M1083" s="508"/>
      <c r="N1083" s="508"/>
      <c r="O1083" s="509"/>
      <c r="P1083" s="509"/>
    </row>
    <row r="1084" spans="1:16" ht="21.75" customHeight="1" x14ac:dyDescent="0.3">
      <c r="A1084" s="504"/>
      <c r="B1084" s="504"/>
      <c r="C1084" s="504"/>
      <c r="D1084" s="504"/>
      <c r="E1084" s="506"/>
      <c r="F1084" s="506"/>
      <c r="G1084" s="506"/>
      <c r="H1084" s="506"/>
      <c r="I1084" s="506"/>
      <c r="J1084" s="506"/>
      <c r="K1084" s="507"/>
      <c r="L1084" s="508"/>
      <c r="M1084" s="508"/>
      <c r="N1084" s="508"/>
      <c r="O1084" s="509"/>
      <c r="P1084" s="509"/>
    </row>
    <row r="1085" spans="1:16" ht="21.75" customHeight="1" x14ac:dyDescent="0.3">
      <c r="A1085" s="504"/>
      <c r="B1085" s="504"/>
      <c r="C1085" s="504"/>
      <c r="D1085" s="504"/>
      <c r="E1085" s="506"/>
      <c r="F1085" s="506"/>
      <c r="G1085" s="506"/>
      <c r="H1085" s="506"/>
      <c r="I1085" s="506"/>
      <c r="J1085" s="506"/>
      <c r="K1085" s="507"/>
      <c r="L1085" s="508"/>
      <c r="M1085" s="508"/>
      <c r="N1085" s="508"/>
      <c r="O1085" s="509"/>
      <c r="P1085" s="509"/>
    </row>
    <row r="1086" spans="1:16" ht="21.75" customHeight="1" x14ac:dyDescent="0.3">
      <c r="A1086" s="504"/>
      <c r="B1086" s="504"/>
      <c r="C1086" s="504"/>
      <c r="D1086" s="504"/>
      <c r="E1086" s="506"/>
      <c r="F1086" s="506"/>
      <c r="G1086" s="506"/>
      <c r="H1086" s="506"/>
      <c r="I1086" s="506"/>
      <c r="J1086" s="506"/>
      <c r="K1086" s="507"/>
      <c r="L1086" s="508"/>
      <c r="M1086" s="508"/>
      <c r="N1086" s="508"/>
      <c r="O1086" s="509"/>
      <c r="P1086" s="509"/>
    </row>
    <row r="1087" spans="1:16" ht="21.75" customHeight="1" x14ac:dyDescent="0.3">
      <c r="A1087" s="504"/>
      <c r="B1087" s="504"/>
      <c r="C1087" s="504"/>
      <c r="D1087" s="504"/>
      <c r="E1087" s="506"/>
      <c r="F1087" s="506"/>
      <c r="G1087" s="506"/>
      <c r="H1087" s="506"/>
      <c r="I1087" s="506"/>
      <c r="J1087" s="506"/>
      <c r="K1087" s="507"/>
      <c r="L1087" s="508"/>
      <c r="M1087" s="508"/>
      <c r="N1087" s="508"/>
      <c r="O1087" s="509"/>
      <c r="P1087" s="509"/>
    </row>
    <row r="1088" spans="1:16" ht="21.75" customHeight="1" x14ac:dyDescent="0.3">
      <c r="A1088" s="504"/>
      <c r="B1088" s="504"/>
      <c r="C1088" s="504"/>
      <c r="D1088" s="504"/>
      <c r="E1088" s="506"/>
      <c r="F1088" s="506"/>
      <c r="G1088" s="506"/>
      <c r="H1088" s="506"/>
      <c r="I1088" s="506"/>
      <c r="J1088" s="506"/>
      <c r="K1088" s="507"/>
      <c r="L1088" s="508"/>
      <c r="M1088" s="508"/>
      <c r="N1088" s="508"/>
      <c r="O1088" s="509"/>
      <c r="P1088" s="509"/>
    </row>
    <row r="1089" spans="1:16" ht="21.75" customHeight="1" x14ac:dyDescent="0.3">
      <c r="A1089" s="504"/>
      <c r="B1089" s="504"/>
      <c r="C1089" s="504"/>
      <c r="D1089" s="504"/>
      <c r="E1089" s="506"/>
      <c r="F1089" s="506"/>
      <c r="G1089" s="506"/>
      <c r="H1089" s="506"/>
      <c r="I1089" s="506"/>
      <c r="J1089" s="506"/>
      <c r="K1089" s="507"/>
      <c r="L1089" s="508"/>
      <c r="M1089" s="508"/>
      <c r="N1089" s="508"/>
      <c r="O1089" s="509"/>
      <c r="P1089" s="509"/>
    </row>
    <row r="1090" spans="1:16" ht="21.75" customHeight="1" x14ac:dyDescent="0.3">
      <c r="A1090" s="504"/>
      <c r="B1090" s="504"/>
      <c r="C1090" s="504"/>
      <c r="D1090" s="504"/>
      <c r="E1090" s="506"/>
      <c r="F1090" s="506"/>
      <c r="G1090" s="506"/>
      <c r="H1090" s="506"/>
      <c r="I1090" s="506"/>
      <c r="J1090" s="506"/>
      <c r="K1090" s="507"/>
      <c r="L1090" s="508"/>
      <c r="M1090" s="508"/>
      <c r="N1090" s="508"/>
      <c r="O1090" s="509"/>
      <c r="P1090" s="509"/>
    </row>
    <row r="1091" spans="1:16" ht="21.75" customHeight="1" x14ac:dyDescent="0.3">
      <c r="A1091" s="504"/>
      <c r="B1091" s="504"/>
      <c r="C1091" s="504"/>
      <c r="D1091" s="504"/>
      <c r="E1091" s="506"/>
      <c r="F1091" s="506"/>
      <c r="G1091" s="506"/>
      <c r="H1091" s="506"/>
      <c r="I1091" s="506"/>
      <c r="J1091" s="506"/>
      <c r="K1091" s="507"/>
      <c r="L1091" s="508"/>
      <c r="M1091" s="508"/>
      <c r="N1091" s="508"/>
      <c r="O1091" s="509"/>
      <c r="P1091" s="509"/>
    </row>
    <row r="1092" spans="1:16" ht="21.75" customHeight="1" x14ac:dyDescent="0.3">
      <c r="A1092" s="504"/>
      <c r="B1092" s="504"/>
      <c r="C1092" s="504"/>
      <c r="D1092" s="504"/>
      <c r="E1092" s="506"/>
      <c r="F1092" s="506"/>
      <c r="G1092" s="506"/>
      <c r="H1092" s="506"/>
      <c r="I1092" s="506"/>
      <c r="J1092" s="506"/>
      <c r="K1092" s="507"/>
      <c r="L1092" s="508"/>
      <c r="M1092" s="508"/>
      <c r="N1092" s="508"/>
      <c r="O1092" s="509"/>
      <c r="P1092" s="509"/>
    </row>
    <row r="1093" spans="1:16" ht="21.75" customHeight="1" x14ac:dyDescent="0.3">
      <c r="A1093" s="504"/>
      <c r="B1093" s="504"/>
      <c r="C1093" s="504"/>
      <c r="D1093" s="504"/>
      <c r="E1093" s="506"/>
      <c r="F1093" s="506"/>
      <c r="G1093" s="506"/>
      <c r="H1093" s="506"/>
      <c r="I1093" s="506"/>
      <c r="J1093" s="506"/>
      <c r="K1093" s="507"/>
      <c r="L1093" s="508"/>
      <c r="M1093" s="508"/>
      <c r="N1093" s="508"/>
      <c r="O1093" s="509"/>
      <c r="P1093" s="509"/>
    </row>
    <row r="1094" spans="1:16" ht="21.75" customHeight="1" x14ac:dyDescent="0.3">
      <c r="A1094" s="504"/>
      <c r="B1094" s="504"/>
      <c r="C1094" s="504"/>
      <c r="D1094" s="504"/>
      <c r="E1094" s="506"/>
      <c r="F1094" s="506"/>
      <c r="G1094" s="506"/>
      <c r="H1094" s="506"/>
      <c r="I1094" s="506"/>
      <c r="J1094" s="506"/>
      <c r="K1094" s="507"/>
      <c r="L1094" s="508"/>
      <c r="M1094" s="508"/>
      <c r="N1094" s="508"/>
      <c r="O1094" s="509"/>
      <c r="P1094" s="509"/>
    </row>
    <row r="1095" spans="1:16" ht="21.75" customHeight="1" x14ac:dyDescent="0.3">
      <c r="A1095" s="504"/>
      <c r="B1095" s="504"/>
      <c r="C1095" s="504"/>
      <c r="D1095" s="504"/>
      <c r="E1095" s="506"/>
      <c r="F1095" s="506"/>
      <c r="G1095" s="506"/>
      <c r="H1095" s="506"/>
      <c r="I1095" s="506"/>
      <c r="J1095" s="506"/>
      <c r="K1095" s="507"/>
      <c r="L1095" s="508"/>
      <c r="M1095" s="508"/>
      <c r="N1095" s="508"/>
      <c r="O1095" s="509"/>
      <c r="P1095" s="509"/>
    </row>
    <row r="1096" spans="1:16" ht="21.75" customHeight="1" x14ac:dyDescent="0.3">
      <c r="A1096" s="504"/>
      <c r="B1096" s="504"/>
      <c r="C1096" s="504"/>
      <c r="D1096" s="504"/>
      <c r="E1096" s="506"/>
      <c r="F1096" s="506"/>
      <c r="G1096" s="506"/>
      <c r="H1096" s="506"/>
      <c r="I1096" s="506"/>
      <c r="J1096" s="506"/>
      <c r="K1096" s="507"/>
      <c r="L1096" s="508"/>
      <c r="M1096" s="508"/>
      <c r="N1096" s="508"/>
      <c r="O1096" s="509"/>
      <c r="P1096" s="509"/>
    </row>
    <row r="1097" spans="1:16" ht="21.75" customHeight="1" x14ac:dyDescent="0.3">
      <c r="A1097" s="504"/>
      <c r="B1097" s="504"/>
      <c r="C1097" s="504"/>
      <c r="D1097" s="504"/>
      <c r="E1097" s="506"/>
      <c r="F1097" s="506"/>
      <c r="G1097" s="506"/>
      <c r="H1097" s="506"/>
      <c r="I1097" s="506"/>
      <c r="J1097" s="506"/>
      <c r="K1097" s="507"/>
      <c r="L1097" s="508"/>
      <c r="M1097" s="508"/>
      <c r="N1097" s="508"/>
      <c r="O1097" s="509"/>
      <c r="P1097" s="509"/>
    </row>
    <row r="1098" spans="1:16" ht="21.75" customHeight="1" x14ac:dyDescent="0.3">
      <c r="A1098" s="504"/>
      <c r="B1098" s="504"/>
      <c r="C1098" s="504"/>
      <c r="D1098" s="504"/>
      <c r="E1098" s="506"/>
      <c r="F1098" s="506"/>
      <c r="G1098" s="506"/>
      <c r="H1098" s="506"/>
      <c r="I1098" s="506"/>
      <c r="J1098" s="506"/>
      <c r="K1098" s="507"/>
      <c r="L1098" s="508"/>
      <c r="M1098" s="508"/>
      <c r="N1098" s="508"/>
      <c r="O1098" s="509"/>
      <c r="P1098" s="509"/>
    </row>
    <row r="1099" spans="1:16" ht="21.75" customHeight="1" x14ac:dyDescent="0.3">
      <c r="A1099" s="504"/>
      <c r="B1099" s="504"/>
      <c r="C1099" s="504"/>
      <c r="D1099" s="504"/>
      <c r="E1099" s="506"/>
      <c r="F1099" s="506"/>
      <c r="G1099" s="506"/>
      <c r="H1099" s="506"/>
      <c r="I1099" s="506"/>
      <c r="J1099" s="506"/>
      <c r="K1099" s="507"/>
      <c r="L1099" s="508"/>
      <c r="M1099" s="508"/>
      <c r="N1099" s="508"/>
      <c r="O1099" s="509"/>
      <c r="P1099" s="509"/>
    </row>
    <row r="1100" spans="1:16" ht="21.75" customHeight="1" x14ac:dyDescent="0.3">
      <c r="A1100" s="504"/>
      <c r="B1100" s="504"/>
      <c r="C1100" s="504"/>
      <c r="D1100" s="504"/>
      <c r="E1100" s="506"/>
      <c r="F1100" s="506"/>
      <c r="G1100" s="506"/>
      <c r="H1100" s="506"/>
      <c r="I1100" s="506"/>
      <c r="J1100" s="506"/>
      <c r="K1100" s="507"/>
      <c r="L1100" s="508"/>
      <c r="M1100" s="508"/>
      <c r="N1100" s="508"/>
      <c r="O1100" s="509"/>
      <c r="P1100" s="509"/>
    </row>
    <row r="1101" spans="1:16" ht="21.75" customHeight="1" x14ac:dyDescent="0.3">
      <c r="A1101" s="504"/>
      <c r="B1101" s="504"/>
      <c r="C1101" s="504"/>
      <c r="D1101" s="504"/>
      <c r="E1101" s="506"/>
      <c r="F1101" s="506"/>
      <c r="G1101" s="506"/>
      <c r="H1101" s="506"/>
      <c r="I1101" s="506"/>
      <c r="J1101" s="506"/>
      <c r="K1101" s="507"/>
      <c r="L1101" s="508"/>
      <c r="M1101" s="508"/>
      <c r="N1101" s="508"/>
      <c r="O1101" s="509"/>
      <c r="P1101" s="509"/>
    </row>
    <row r="1102" spans="1:16" ht="21.75" customHeight="1" x14ac:dyDescent="0.3">
      <c r="A1102" s="504"/>
      <c r="B1102" s="504"/>
      <c r="C1102" s="504"/>
      <c r="D1102" s="504"/>
      <c r="E1102" s="506"/>
      <c r="F1102" s="506"/>
      <c r="G1102" s="506"/>
      <c r="H1102" s="506"/>
      <c r="I1102" s="506"/>
      <c r="J1102" s="506"/>
      <c r="K1102" s="507"/>
      <c r="L1102" s="508"/>
      <c r="M1102" s="508"/>
      <c r="N1102" s="508"/>
      <c r="O1102" s="509"/>
      <c r="P1102" s="509"/>
    </row>
    <row r="1103" spans="1:16" ht="21.75" customHeight="1" x14ac:dyDescent="0.3">
      <c r="A1103" s="504"/>
      <c r="B1103" s="504"/>
      <c r="C1103" s="504"/>
      <c r="D1103" s="504"/>
      <c r="E1103" s="506"/>
      <c r="F1103" s="506"/>
      <c r="G1103" s="506"/>
      <c r="H1103" s="506"/>
      <c r="I1103" s="506"/>
      <c r="J1103" s="506"/>
      <c r="K1103" s="507"/>
      <c r="L1103" s="508"/>
      <c r="M1103" s="508"/>
      <c r="N1103" s="508"/>
      <c r="O1103" s="509"/>
      <c r="P1103" s="509"/>
    </row>
    <row r="1104" spans="1:16" ht="21.75" customHeight="1" x14ac:dyDescent="0.3">
      <c r="A1104" s="504"/>
      <c r="B1104" s="504"/>
      <c r="C1104" s="504"/>
      <c r="D1104" s="504"/>
      <c r="E1104" s="506"/>
      <c r="F1104" s="506"/>
      <c r="G1104" s="506"/>
      <c r="H1104" s="506"/>
      <c r="I1104" s="506"/>
      <c r="J1104" s="506"/>
      <c r="K1104" s="507"/>
      <c r="L1104" s="508"/>
      <c r="M1104" s="508"/>
      <c r="N1104" s="508"/>
      <c r="O1104" s="509"/>
      <c r="P1104" s="509"/>
    </row>
    <row r="1105" spans="1:16" ht="21.75" customHeight="1" x14ac:dyDescent="0.3">
      <c r="A1105" s="504"/>
      <c r="B1105" s="504"/>
      <c r="C1105" s="504"/>
      <c r="D1105" s="504"/>
      <c r="E1105" s="506"/>
      <c r="F1105" s="506"/>
      <c r="G1105" s="506"/>
      <c r="H1105" s="506"/>
      <c r="I1105" s="506"/>
      <c r="J1105" s="506"/>
      <c r="K1105" s="507"/>
      <c r="L1105" s="508"/>
      <c r="M1105" s="508"/>
      <c r="N1105" s="508"/>
      <c r="O1105" s="509"/>
      <c r="P1105" s="509"/>
    </row>
    <row r="1106" spans="1:16" ht="21.75" customHeight="1" x14ac:dyDescent="0.3">
      <c r="A1106" s="504"/>
      <c r="B1106" s="504"/>
      <c r="C1106" s="504"/>
      <c r="D1106" s="504"/>
      <c r="E1106" s="506"/>
      <c r="F1106" s="506"/>
      <c r="G1106" s="506"/>
      <c r="H1106" s="506"/>
      <c r="I1106" s="506"/>
      <c r="J1106" s="506"/>
      <c r="K1106" s="507"/>
      <c r="L1106" s="508"/>
      <c r="M1106" s="508"/>
      <c r="N1106" s="508"/>
      <c r="O1106" s="509"/>
      <c r="P1106" s="509"/>
    </row>
    <row r="1107" spans="1:16" ht="21.75" customHeight="1" x14ac:dyDescent="0.3">
      <c r="A1107" s="504"/>
      <c r="B1107" s="504"/>
      <c r="C1107" s="504"/>
      <c r="D1107" s="504"/>
      <c r="E1107" s="506"/>
      <c r="F1107" s="506"/>
      <c r="G1107" s="506"/>
      <c r="H1107" s="506"/>
      <c r="I1107" s="506"/>
      <c r="J1107" s="506"/>
      <c r="K1107" s="507"/>
      <c r="L1107" s="508"/>
      <c r="M1107" s="508"/>
      <c r="N1107" s="508"/>
      <c r="O1107" s="509"/>
      <c r="P1107" s="509"/>
    </row>
    <row r="1108" spans="1:16" ht="21.75" customHeight="1" x14ac:dyDescent="0.3">
      <c r="A1108" s="504"/>
      <c r="B1108" s="504"/>
      <c r="C1108" s="504"/>
      <c r="D1108" s="504"/>
      <c r="E1108" s="506"/>
      <c r="F1108" s="506"/>
      <c r="G1108" s="506"/>
      <c r="H1108" s="506"/>
      <c r="I1108" s="506"/>
      <c r="J1108" s="506"/>
      <c r="K1108" s="507"/>
      <c r="L1108" s="508"/>
      <c r="M1108" s="508"/>
      <c r="N1108" s="508"/>
      <c r="O1108" s="509"/>
      <c r="P1108" s="509"/>
    </row>
    <row r="1109" spans="1:16" ht="21.75" customHeight="1" x14ac:dyDescent="0.3">
      <c r="A1109" s="504"/>
      <c r="B1109" s="504"/>
      <c r="C1109" s="504"/>
      <c r="D1109" s="504"/>
      <c r="E1109" s="506"/>
      <c r="F1109" s="506"/>
      <c r="G1109" s="506"/>
      <c r="H1109" s="506"/>
      <c r="I1109" s="506"/>
      <c r="J1109" s="506"/>
      <c r="K1109" s="507"/>
      <c r="L1109" s="508"/>
      <c r="M1109" s="508"/>
      <c r="N1109" s="508"/>
      <c r="O1109" s="509"/>
      <c r="P1109" s="509"/>
    </row>
    <row r="1110" spans="1:16" ht="21.75" customHeight="1" x14ac:dyDescent="0.3">
      <c r="A1110" s="504"/>
      <c r="B1110" s="504"/>
      <c r="C1110" s="504"/>
      <c r="D1110" s="504"/>
      <c r="E1110" s="506"/>
      <c r="F1110" s="506"/>
      <c r="G1110" s="506"/>
      <c r="H1110" s="506"/>
      <c r="I1110" s="506"/>
      <c r="J1110" s="506"/>
      <c r="K1110" s="507"/>
      <c r="L1110" s="508"/>
      <c r="M1110" s="508"/>
      <c r="N1110" s="508"/>
      <c r="O1110" s="509"/>
      <c r="P1110" s="509"/>
    </row>
    <row r="1111" spans="1:16" ht="21.75" customHeight="1" x14ac:dyDescent="0.3">
      <c r="A1111" s="504"/>
      <c r="B1111" s="504"/>
      <c r="C1111" s="504"/>
      <c r="D1111" s="504"/>
      <c r="E1111" s="506"/>
      <c r="F1111" s="506"/>
      <c r="G1111" s="506"/>
      <c r="H1111" s="506"/>
      <c r="I1111" s="506"/>
      <c r="J1111" s="506"/>
      <c r="K1111" s="507"/>
      <c r="L1111" s="508"/>
      <c r="M1111" s="508"/>
      <c r="N1111" s="508"/>
      <c r="O1111" s="509"/>
      <c r="P1111" s="509"/>
    </row>
    <row r="1112" spans="1:16" ht="21.75" customHeight="1" x14ac:dyDescent="0.3">
      <c r="A1112" s="504"/>
      <c r="B1112" s="504"/>
      <c r="C1112" s="504"/>
      <c r="D1112" s="504"/>
      <c r="E1112" s="506"/>
      <c r="F1112" s="506"/>
      <c r="G1112" s="506"/>
      <c r="H1112" s="506"/>
      <c r="I1112" s="506"/>
      <c r="J1112" s="506"/>
      <c r="K1112" s="507"/>
      <c r="L1112" s="508"/>
      <c r="M1112" s="508"/>
      <c r="N1112" s="508"/>
      <c r="O1112" s="509"/>
      <c r="P1112" s="509"/>
    </row>
    <row r="1113" spans="1:16" ht="21.75" customHeight="1" x14ac:dyDescent="0.3">
      <c r="A1113" s="504"/>
      <c r="B1113" s="504"/>
      <c r="C1113" s="504"/>
      <c r="D1113" s="504"/>
      <c r="E1113" s="506"/>
      <c r="F1113" s="506"/>
      <c r="G1113" s="506"/>
      <c r="H1113" s="506"/>
      <c r="I1113" s="506"/>
      <c r="J1113" s="506"/>
      <c r="K1113" s="507"/>
      <c r="L1113" s="508"/>
      <c r="M1113" s="508"/>
      <c r="N1113" s="508"/>
      <c r="O1113" s="509"/>
      <c r="P1113" s="509"/>
    </row>
    <row r="1114" spans="1:16" ht="21.75" customHeight="1" x14ac:dyDescent="0.3">
      <c r="A1114" s="504"/>
      <c r="B1114" s="504"/>
      <c r="C1114" s="504"/>
      <c r="D1114" s="504"/>
      <c r="E1114" s="506"/>
      <c r="F1114" s="506"/>
      <c r="G1114" s="506"/>
      <c r="H1114" s="506"/>
      <c r="I1114" s="506"/>
      <c r="J1114" s="506"/>
      <c r="K1114" s="507"/>
      <c r="L1114" s="508"/>
      <c r="M1114" s="508"/>
      <c r="N1114" s="508"/>
      <c r="O1114" s="509"/>
      <c r="P1114" s="509"/>
    </row>
    <row r="1115" spans="1:16" ht="21.75" customHeight="1" x14ac:dyDescent="0.3">
      <c r="A1115" s="504"/>
      <c r="B1115" s="504"/>
      <c r="C1115" s="504"/>
      <c r="D1115" s="504"/>
      <c r="E1115" s="506"/>
      <c r="F1115" s="506"/>
      <c r="G1115" s="506"/>
      <c r="H1115" s="506"/>
      <c r="I1115" s="506"/>
      <c r="J1115" s="506"/>
      <c r="K1115" s="507"/>
      <c r="L1115" s="508"/>
      <c r="M1115" s="508"/>
      <c r="N1115" s="508"/>
      <c r="O1115" s="509"/>
      <c r="P1115" s="509"/>
    </row>
    <row r="1116" spans="1:16" ht="21.75" customHeight="1" x14ac:dyDescent="0.3">
      <c r="A1116" s="504"/>
      <c r="B1116" s="504"/>
      <c r="C1116" s="504"/>
      <c r="D1116" s="504"/>
      <c r="E1116" s="506"/>
      <c r="F1116" s="506"/>
      <c r="G1116" s="506"/>
      <c r="H1116" s="506"/>
      <c r="I1116" s="506"/>
      <c r="J1116" s="506"/>
      <c r="K1116" s="507"/>
      <c r="L1116" s="508"/>
      <c r="M1116" s="508"/>
      <c r="N1116" s="508"/>
      <c r="O1116" s="509"/>
      <c r="P1116" s="509"/>
    </row>
    <row r="1117" spans="1:16" ht="21.75" customHeight="1" x14ac:dyDescent="0.3">
      <c r="A1117" s="504"/>
      <c r="B1117" s="504"/>
      <c r="C1117" s="504"/>
      <c r="D1117" s="504"/>
      <c r="E1117" s="506"/>
      <c r="F1117" s="506"/>
      <c r="G1117" s="506"/>
      <c r="H1117" s="506"/>
      <c r="I1117" s="506"/>
      <c r="J1117" s="506"/>
      <c r="K1117" s="507"/>
      <c r="L1117" s="508"/>
      <c r="M1117" s="508"/>
      <c r="N1117" s="508"/>
      <c r="O1117" s="509"/>
      <c r="P1117" s="509"/>
    </row>
    <row r="1118" spans="1:16" ht="21.75" customHeight="1" x14ac:dyDescent="0.3">
      <c r="A1118" s="504"/>
      <c r="B1118" s="504"/>
      <c r="C1118" s="504"/>
      <c r="D1118" s="504"/>
      <c r="E1118" s="506"/>
      <c r="F1118" s="506"/>
      <c r="G1118" s="506"/>
      <c r="H1118" s="506"/>
      <c r="I1118" s="506"/>
      <c r="J1118" s="506"/>
      <c r="K1118" s="507"/>
      <c r="L1118" s="508"/>
      <c r="M1118" s="508"/>
      <c r="N1118" s="508"/>
      <c r="O1118" s="509"/>
      <c r="P1118" s="509"/>
    </row>
    <row r="1119" spans="1:16" ht="21.75" customHeight="1" x14ac:dyDescent="0.3">
      <c r="A1119" s="504"/>
      <c r="B1119" s="504"/>
      <c r="C1119" s="504"/>
      <c r="D1119" s="504"/>
      <c r="E1119" s="506"/>
      <c r="F1119" s="506"/>
      <c r="G1119" s="506"/>
      <c r="H1119" s="506"/>
      <c r="I1119" s="506"/>
      <c r="J1119" s="506"/>
      <c r="K1119" s="507"/>
      <c r="L1119" s="508"/>
      <c r="M1119" s="508"/>
      <c r="N1119" s="508"/>
      <c r="O1119" s="509"/>
      <c r="P1119" s="509"/>
    </row>
    <row r="1120" spans="1:16" ht="21.75" customHeight="1" x14ac:dyDescent="0.3">
      <c r="A1120" s="504"/>
      <c r="B1120" s="504"/>
      <c r="C1120" s="504"/>
      <c r="D1120" s="504"/>
      <c r="E1120" s="506"/>
      <c r="F1120" s="506"/>
      <c r="G1120" s="506"/>
      <c r="H1120" s="506"/>
      <c r="I1120" s="506"/>
      <c r="J1120" s="506"/>
      <c r="K1120" s="507"/>
      <c r="L1120" s="508"/>
      <c r="M1120" s="508"/>
      <c r="N1120" s="508"/>
      <c r="O1120" s="509"/>
      <c r="P1120" s="509"/>
    </row>
    <row r="1121" spans="1:16" ht="21.75" customHeight="1" x14ac:dyDescent="0.3">
      <c r="A1121" s="504"/>
      <c r="B1121" s="504"/>
      <c r="C1121" s="504"/>
      <c r="D1121" s="504"/>
      <c r="E1121" s="506"/>
      <c r="F1121" s="506"/>
      <c r="G1121" s="506"/>
      <c r="H1121" s="506"/>
      <c r="I1121" s="506"/>
      <c r="J1121" s="506"/>
      <c r="K1121" s="507"/>
      <c r="L1121" s="508"/>
      <c r="M1121" s="508"/>
      <c r="N1121" s="508"/>
      <c r="O1121" s="509"/>
      <c r="P1121" s="509"/>
    </row>
    <row r="1122" spans="1:16" ht="21.75" customHeight="1" x14ac:dyDescent="0.3">
      <c r="A1122" s="504"/>
      <c r="B1122" s="504"/>
      <c r="C1122" s="504"/>
      <c r="D1122" s="504"/>
      <c r="E1122" s="506"/>
      <c r="F1122" s="506"/>
      <c r="G1122" s="506"/>
      <c r="H1122" s="506"/>
      <c r="I1122" s="506"/>
      <c r="J1122" s="506"/>
      <c r="K1122" s="507"/>
      <c r="L1122" s="508"/>
      <c r="M1122" s="508"/>
      <c r="N1122" s="508"/>
      <c r="O1122" s="509"/>
      <c r="P1122" s="509"/>
    </row>
    <row r="1123" spans="1:16" ht="21.75" customHeight="1" x14ac:dyDescent="0.3">
      <c r="A1123" s="504"/>
      <c r="B1123" s="504"/>
      <c r="C1123" s="504"/>
      <c r="D1123" s="504"/>
      <c r="E1123" s="506"/>
      <c r="F1123" s="506"/>
      <c r="G1123" s="506"/>
      <c r="H1123" s="506"/>
      <c r="I1123" s="506"/>
      <c r="J1123" s="506"/>
      <c r="K1123" s="507"/>
      <c r="L1123" s="508"/>
      <c r="M1123" s="508"/>
      <c r="N1123" s="508"/>
      <c r="O1123" s="509"/>
      <c r="P1123" s="509"/>
    </row>
    <row r="1124" spans="1:16" ht="21.75" customHeight="1" x14ac:dyDescent="0.3">
      <c r="A1124" s="504"/>
      <c r="B1124" s="504"/>
      <c r="C1124" s="504"/>
      <c r="D1124" s="504"/>
      <c r="E1124" s="506"/>
      <c r="F1124" s="506"/>
      <c r="G1124" s="506"/>
      <c r="H1124" s="506"/>
      <c r="I1124" s="506"/>
      <c r="J1124" s="506"/>
      <c r="K1124" s="507"/>
      <c r="L1124" s="508"/>
      <c r="M1124" s="508"/>
      <c r="N1124" s="508"/>
      <c r="O1124" s="509"/>
      <c r="P1124" s="509"/>
    </row>
    <row r="1125" spans="1:16" ht="21.75" customHeight="1" x14ac:dyDescent="0.3">
      <c r="A1125" s="504"/>
      <c r="B1125" s="504"/>
      <c r="C1125" s="504"/>
      <c r="D1125" s="504"/>
      <c r="E1125" s="506"/>
      <c r="F1125" s="506"/>
      <c r="G1125" s="506"/>
      <c r="H1125" s="506"/>
      <c r="I1125" s="506"/>
      <c r="J1125" s="506"/>
      <c r="K1125" s="507"/>
      <c r="L1125" s="508"/>
      <c r="M1125" s="508"/>
      <c r="N1125" s="508"/>
      <c r="O1125" s="509"/>
      <c r="P1125" s="509"/>
    </row>
    <row r="1126" spans="1:16" ht="21.75" customHeight="1" x14ac:dyDescent="0.3">
      <c r="A1126" s="504"/>
      <c r="B1126" s="504"/>
      <c r="C1126" s="504"/>
      <c r="D1126" s="504"/>
      <c r="E1126" s="506"/>
      <c r="F1126" s="506"/>
      <c r="G1126" s="506"/>
      <c r="H1126" s="506"/>
      <c r="I1126" s="506"/>
      <c r="J1126" s="506"/>
      <c r="K1126" s="507"/>
      <c r="L1126" s="508"/>
      <c r="M1126" s="508"/>
      <c r="N1126" s="508"/>
      <c r="O1126" s="509"/>
      <c r="P1126" s="509"/>
    </row>
    <row r="1127" spans="1:16" ht="21.75" customHeight="1" x14ac:dyDescent="0.3">
      <c r="A1127" s="504"/>
      <c r="B1127" s="504"/>
      <c r="C1127" s="504"/>
      <c r="D1127" s="504"/>
      <c r="E1127" s="506"/>
      <c r="F1127" s="506"/>
      <c r="G1127" s="506"/>
      <c r="H1127" s="506"/>
      <c r="I1127" s="506"/>
      <c r="J1127" s="506"/>
      <c r="K1127" s="507"/>
      <c r="L1127" s="508"/>
      <c r="M1127" s="508"/>
      <c r="N1127" s="508"/>
      <c r="O1127" s="509"/>
      <c r="P1127" s="509"/>
    </row>
    <row r="1128" spans="1:16" ht="21.75" customHeight="1" x14ac:dyDescent="0.3">
      <c r="A1128" s="504"/>
      <c r="B1128" s="504"/>
      <c r="C1128" s="504"/>
      <c r="D1128" s="504"/>
      <c r="E1128" s="506"/>
      <c r="F1128" s="506"/>
      <c r="G1128" s="506"/>
      <c r="H1128" s="506"/>
      <c r="I1128" s="506"/>
      <c r="J1128" s="506"/>
      <c r="K1128" s="507"/>
      <c r="L1128" s="508"/>
      <c r="M1128" s="508"/>
      <c r="N1128" s="508"/>
      <c r="O1128" s="509"/>
      <c r="P1128" s="509"/>
    </row>
    <row r="1129" spans="1:16" ht="21.75" customHeight="1" x14ac:dyDescent="0.3">
      <c r="A1129" s="504"/>
      <c r="B1129" s="504"/>
      <c r="C1129" s="504"/>
      <c r="D1129" s="504"/>
      <c r="E1129" s="506"/>
      <c r="F1129" s="506"/>
      <c r="G1129" s="506"/>
      <c r="H1129" s="506"/>
      <c r="I1129" s="506"/>
      <c r="J1129" s="506"/>
      <c r="K1129" s="507"/>
      <c r="L1129" s="508"/>
      <c r="M1129" s="508"/>
      <c r="N1129" s="508"/>
      <c r="O1129" s="509"/>
      <c r="P1129" s="509"/>
    </row>
    <row r="1130" spans="1:16" ht="21.75" customHeight="1" x14ac:dyDescent="0.3">
      <c r="A1130" s="504"/>
      <c r="B1130" s="504"/>
      <c r="C1130" s="504"/>
      <c r="D1130" s="504"/>
      <c r="E1130" s="506"/>
      <c r="F1130" s="506"/>
      <c r="G1130" s="506"/>
      <c r="H1130" s="506"/>
      <c r="I1130" s="506"/>
      <c r="J1130" s="506"/>
      <c r="K1130" s="507"/>
      <c r="L1130" s="508"/>
      <c r="M1130" s="508"/>
      <c r="N1130" s="508"/>
      <c r="O1130" s="509"/>
      <c r="P1130" s="509"/>
    </row>
    <row r="1131" spans="1:16" ht="21.75" customHeight="1" x14ac:dyDescent="0.3">
      <c r="A1131" s="504"/>
      <c r="B1131" s="504"/>
      <c r="C1131" s="504"/>
      <c r="D1131" s="504"/>
      <c r="E1131" s="506"/>
      <c r="F1131" s="506"/>
      <c r="G1131" s="506"/>
      <c r="H1131" s="506"/>
      <c r="I1131" s="506"/>
      <c r="J1131" s="506"/>
      <c r="K1131" s="507"/>
      <c r="L1131" s="508"/>
      <c r="M1131" s="508"/>
      <c r="N1131" s="508"/>
      <c r="O1131" s="509"/>
      <c r="P1131" s="509"/>
    </row>
    <row r="1132" spans="1:16" ht="21.75" customHeight="1" x14ac:dyDescent="0.3">
      <c r="A1132" s="504"/>
      <c r="B1132" s="504"/>
      <c r="C1132" s="504"/>
      <c r="D1132" s="504"/>
      <c r="E1132" s="506"/>
      <c r="F1132" s="506"/>
      <c r="G1132" s="506"/>
      <c r="H1132" s="506"/>
      <c r="I1132" s="506"/>
      <c r="J1132" s="506"/>
      <c r="K1132" s="507"/>
      <c r="L1132" s="508"/>
      <c r="M1132" s="508"/>
      <c r="N1132" s="508"/>
      <c r="O1132" s="509"/>
      <c r="P1132" s="509"/>
    </row>
    <row r="1133" spans="1:16" ht="21.75" customHeight="1" x14ac:dyDescent="0.3">
      <c r="A1133" s="504"/>
      <c r="B1133" s="504"/>
      <c r="C1133" s="504"/>
      <c r="D1133" s="504"/>
      <c r="E1133" s="506"/>
      <c r="F1133" s="506"/>
      <c r="G1133" s="506"/>
      <c r="H1133" s="506"/>
      <c r="I1133" s="506"/>
      <c r="J1133" s="506"/>
      <c r="K1133" s="507"/>
      <c r="L1133" s="508"/>
      <c r="M1133" s="508"/>
      <c r="N1133" s="508"/>
      <c r="O1133" s="509"/>
      <c r="P1133" s="509"/>
    </row>
    <row r="1134" spans="1:16" ht="21.75" customHeight="1" x14ac:dyDescent="0.3">
      <c r="A1134" s="504"/>
      <c r="B1134" s="504"/>
      <c r="C1134" s="504"/>
      <c r="D1134" s="504"/>
      <c r="E1134" s="506"/>
      <c r="F1134" s="506"/>
      <c r="G1134" s="506"/>
      <c r="H1134" s="506"/>
      <c r="I1134" s="506"/>
      <c r="J1134" s="506"/>
      <c r="K1134" s="507"/>
      <c r="L1134" s="508"/>
      <c r="M1134" s="508"/>
      <c r="N1134" s="508"/>
      <c r="O1134" s="509"/>
      <c r="P1134" s="509"/>
    </row>
    <row r="1135" spans="1:16" ht="21.75" customHeight="1" x14ac:dyDescent="0.3">
      <c r="A1135" s="504"/>
      <c r="B1135" s="504"/>
      <c r="C1135" s="504"/>
      <c r="D1135" s="504"/>
      <c r="E1135" s="506"/>
      <c r="F1135" s="506"/>
      <c r="G1135" s="506"/>
      <c r="H1135" s="506"/>
      <c r="I1135" s="506"/>
      <c r="J1135" s="506"/>
      <c r="K1135" s="507"/>
      <c r="L1135" s="508"/>
      <c r="M1135" s="508"/>
      <c r="N1135" s="508"/>
      <c r="O1135" s="509"/>
      <c r="P1135" s="509"/>
    </row>
    <row r="1136" spans="1:16" ht="21.75" customHeight="1" x14ac:dyDescent="0.3">
      <c r="A1136" s="504"/>
      <c r="B1136" s="504"/>
      <c r="C1136" s="504"/>
      <c r="D1136" s="504"/>
      <c r="E1136" s="506"/>
      <c r="F1136" s="506"/>
      <c r="G1136" s="506"/>
      <c r="H1136" s="506"/>
      <c r="I1136" s="506"/>
      <c r="J1136" s="506"/>
      <c r="K1136" s="507"/>
      <c r="L1136" s="508"/>
      <c r="M1136" s="508"/>
      <c r="N1136" s="508"/>
      <c r="O1136" s="509"/>
      <c r="P1136" s="509"/>
    </row>
    <row r="1137" spans="1:16" ht="21.75" customHeight="1" x14ac:dyDescent="0.3">
      <c r="A1137" s="504"/>
      <c r="B1137" s="504"/>
      <c r="C1137" s="504"/>
      <c r="D1137" s="504"/>
      <c r="E1137" s="506"/>
      <c r="F1137" s="506"/>
      <c r="G1137" s="506"/>
      <c r="H1137" s="506"/>
      <c r="I1137" s="506"/>
      <c r="J1137" s="506"/>
      <c r="K1137" s="507"/>
      <c r="L1137" s="508"/>
      <c r="M1137" s="508"/>
      <c r="N1137" s="508"/>
      <c r="O1137" s="509"/>
      <c r="P1137" s="509"/>
    </row>
    <row r="1138" spans="1:16" ht="21.75" customHeight="1" x14ac:dyDescent="0.3">
      <c r="A1138" s="504"/>
      <c r="B1138" s="504"/>
      <c r="C1138" s="504"/>
      <c r="D1138" s="504"/>
      <c r="E1138" s="506"/>
      <c r="F1138" s="506"/>
      <c r="G1138" s="506"/>
      <c r="H1138" s="506"/>
      <c r="I1138" s="506"/>
      <c r="J1138" s="506"/>
      <c r="K1138" s="507"/>
      <c r="L1138" s="508"/>
      <c r="M1138" s="508"/>
      <c r="N1138" s="508"/>
      <c r="O1138" s="509"/>
      <c r="P1138" s="509"/>
    </row>
    <row r="1139" spans="1:16" ht="21.75" customHeight="1" x14ac:dyDescent="0.3">
      <c r="A1139" s="504"/>
      <c r="B1139" s="504"/>
      <c r="C1139" s="504"/>
      <c r="D1139" s="504"/>
      <c r="E1139" s="506"/>
      <c r="F1139" s="506"/>
      <c r="G1139" s="506"/>
      <c r="H1139" s="506"/>
      <c r="I1139" s="506"/>
      <c r="J1139" s="506"/>
      <c r="K1139" s="507"/>
      <c r="L1139" s="508"/>
      <c r="M1139" s="508"/>
      <c r="N1139" s="508"/>
      <c r="O1139" s="509"/>
      <c r="P1139" s="509"/>
    </row>
    <row r="1140" spans="1:16" ht="21.75" customHeight="1" x14ac:dyDescent="0.3">
      <c r="A1140" s="504"/>
      <c r="B1140" s="504"/>
      <c r="C1140" s="504"/>
      <c r="D1140" s="504"/>
      <c r="E1140" s="506"/>
      <c r="F1140" s="506"/>
      <c r="G1140" s="506"/>
      <c r="H1140" s="506"/>
      <c r="I1140" s="506"/>
      <c r="J1140" s="506"/>
      <c r="K1140" s="507"/>
      <c r="L1140" s="508"/>
      <c r="M1140" s="508"/>
      <c r="N1140" s="508"/>
      <c r="O1140" s="509"/>
      <c r="P1140" s="509"/>
    </row>
    <row r="1141" spans="1:16" ht="21.75" customHeight="1" x14ac:dyDescent="0.3">
      <c r="A1141" s="504"/>
      <c r="B1141" s="504"/>
      <c r="C1141" s="504"/>
      <c r="D1141" s="504"/>
      <c r="E1141" s="506"/>
      <c r="F1141" s="506"/>
      <c r="G1141" s="506"/>
      <c r="H1141" s="506"/>
      <c r="I1141" s="506"/>
      <c r="J1141" s="506"/>
      <c r="K1141" s="507"/>
      <c r="L1141" s="508"/>
      <c r="M1141" s="508"/>
      <c r="N1141" s="508"/>
      <c r="O1141" s="509"/>
      <c r="P1141" s="509"/>
    </row>
    <row r="1142" spans="1:16" ht="21.75" customHeight="1" x14ac:dyDescent="0.3">
      <c r="A1142" s="504"/>
      <c r="B1142" s="504"/>
      <c r="C1142" s="504"/>
      <c r="D1142" s="504"/>
      <c r="E1142" s="506"/>
      <c r="F1142" s="506"/>
      <c r="G1142" s="506"/>
      <c r="H1142" s="506"/>
      <c r="I1142" s="506"/>
      <c r="J1142" s="506"/>
      <c r="K1142" s="507"/>
      <c r="L1142" s="508"/>
      <c r="M1142" s="508"/>
      <c r="N1142" s="508"/>
      <c r="O1142" s="509"/>
      <c r="P1142" s="509"/>
    </row>
    <row r="1143" spans="1:16" ht="21.75" customHeight="1" x14ac:dyDescent="0.3">
      <c r="A1143" s="504"/>
      <c r="B1143" s="504"/>
      <c r="C1143" s="504"/>
      <c r="D1143" s="504"/>
      <c r="E1143" s="506"/>
      <c r="F1143" s="506"/>
      <c r="G1143" s="506"/>
      <c r="H1143" s="506"/>
      <c r="I1143" s="506"/>
      <c r="J1143" s="506"/>
      <c r="K1143" s="507"/>
      <c r="L1143" s="508"/>
      <c r="M1143" s="508"/>
      <c r="N1143" s="508"/>
      <c r="O1143" s="509"/>
      <c r="P1143" s="509"/>
    </row>
  </sheetData>
  <mergeCells count="49">
    <mergeCell ref="D310:G310"/>
    <mergeCell ref="D317:E317"/>
    <mergeCell ref="D329:G329"/>
    <mergeCell ref="D336:E336"/>
    <mergeCell ref="D140:G140"/>
    <mergeCell ref="D147:E147"/>
    <mergeCell ref="D220:G220"/>
    <mergeCell ref="D227:E227"/>
    <mergeCell ref="D250:G250"/>
    <mergeCell ref="D257:E257"/>
    <mergeCell ref="D271:G271"/>
    <mergeCell ref="D118:G118"/>
    <mergeCell ref="D125:E125"/>
    <mergeCell ref="D278:E278"/>
    <mergeCell ref="D290:G290"/>
    <mergeCell ref="D297:E297"/>
    <mergeCell ref="D60:E60"/>
    <mergeCell ref="D66:G66"/>
    <mergeCell ref="D73:E73"/>
    <mergeCell ref="D94:G94"/>
    <mergeCell ref="D101:E101"/>
    <mergeCell ref="D44:F44"/>
    <mergeCell ref="D48:E48"/>
    <mergeCell ref="B52:G52"/>
    <mergeCell ref="D53:G53"/>
    <mergeCell ref="D56:F56"/>
    <mergeCell ref="D31:F31"/>
    <mergeCell ref="D35:E35"/>
    <mergeCell ref="A38:G38"/>
    <mergeCell ref="B39:G39"/>
    <mergeCell ref="D41:G41"/>
    <mergeCell ref="D18:G18"/>
    <mergeCell ref="D21:F21"/>
    <mergeCell ref="D25:E25"/>
    <mergeCell ref="A27:G27"/>
    <mergeCell ref="D28:G28"/>
    <mergeCell ref="A7:G7"/>
    <mergeCell ref="D8:G8"/>
    <mergeCell ref="D11:F11"/>
    <mergeCell ref="D15:E15"/>
    <mergeCell ref="A17:G17"/>
    <mergeCell ref="H5:H6"/>
    <mergeCell ref="I5:K5"/>
    <mergeCell ref="L5:M5"/>
    <mergeCell ref="N5:P5"/>
    <mergeCell ref="A5:G6"/>
    <mergeCell ref="A1:P1"/>
    <mergeCell ref="A2:P2"/>
    <mergeCell ref="A3:P3"/>
  </mergeCells>
  <printOptions horizontalCentered="1"/>
  <pageMargins left="0.23622047244094491" right="0.27559055118110237" top="0.31496062992125984" bottom="0.39370078740157483" header="0" footer="0"/>
  <pageSetup paperSize="9" scale="39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46" max="16383" man="1"/>
    <brk id="326" max="16383" man="1"/>
    <brk id="400" max="16383" man="1"/>
    <brk id="486" max="16383" man="1"/>
    <brk id="563" max="16383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J7" sqref="J7"/>
      <selection pane="bottomLeft" activeCell="I567" sqref="I567"/>
    </sheetView>
  </sheetViews>
  <sheetFormatPr defaultColWidth="12.6640625" defaultRowHeight="15" customHeight="1" x14ac:dyDescent="0.3"/>
  <cols>
    <col min="1" max="3" width="2.75" customWidth="1"/>
    <col min="4" max="6" width="5" customWidth="1"/>
    <col min="7" max="7" width="70.9140625" customWidth="1"/>
    <col min="8" max="8" width="9.5" customWidth="1"/>
    <col min="9" max="10" width="13.9140625" customWidth="1"/>
    <col min="11" max="11" width="10.08203125" bestFit="1" customWidth="1"/>
    <col min="12" max="12" width="16.33203125" bestFit="1" customWidth="1"/>
    <col min="13" max="13" width="17.6640625" customWidth="1"/>
    <col min="14" max="14" width="19.5" customWidth="1"/>
    <col min="15" max="15" width="16.5" customWidth="1"/>
    <col min="16" max="16" width="18" customWidth="1"/>
  </cols>
  <sheetData>
    <row r="1" spans="1:16" ht="18" customHeight="1" x14ac:dyDescent="0.3">
      <c r="A1" s="512" t="s">
        <v>0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</row>
    <row r="2" spans="1:16" ht="18" customHeight="1" x14ac:dyDescent="0.3">
      <c r="A2" s="512" t="s">
        <v>260</v>
      </c>
      <c r="B2" s="512"/>
      <c r="C2" s="512"/>
      <c r="D2" s="512"/>
      <c r="E2" s="512"/>
      <c r="F2" s="512"/>
      <c r="G2" s="512"/>
      <c r="H2" s="512"/>
      <c r="I2" s="512"/>
      <c r="J2" s="512"/>
      <c r="K2" s="512"/>
      <c r="L2" s="512"/>
      <c r="M2" s="512"/>
      <c r="N2" s="512"/>
      <c r="O2" s="512"/>
      <c r="P2" s="512"/>
    </row>
    <row r="3" spans="1:16" ht="18" customHeight="1" x14ac:dyDescent="0.3">
      <c r="A3" s="512" t="s">
        <v>272</v>
      </c>
      <c r="B3" s="512"/>
      <c r="C3" s="512"/>
      <c r="D3" s="512"/>
      <c r="E3" s="512"/>
      <c r="F3" s="512"/>
      <c r="G3" s="512"/>
      <c r="H3" s="512"/>
      <c r="I3" s="512"/>
      <c r="J3" s="512"/>
      <c r="K3" s="512"/>
      <c r="L3" s="512"/>
      <c r="M3" s="512"/>
      <c r="N3" s="512"/>
      <c r="O3" s="512"/>
      <c r="P3" s="512"/>
    </row>
    <row r="4" spans="1:16" ht="33.75" customHeight="1" x14ac:dyDescent="0.3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3">
      <c r="A5" s="520" t="s">
        <v>2</v>
      </c>
      <c r="B5" s="521"/>
      <c r="C5" s="521"/>
      <c r="D5" s="521"/>
      <c r="E5" s="521"/>
      <c r="F5" s="521"/>
      <c r="G5" s="522"/>
      <c r="H5" s="513" t="s">
        <v>3</v>
      </c>
      <c r="I5" s="515" t="s">
        <v>4</v>
      </c>
      <c r="J5" s="516"/>
      <c r="K5" s="517"/>
      <c r="L5" s="518" t="s">
        <v>5</v>
      </c>
      <c r="M5" s="517"/>
      <c r="N5" s="519" t="s">
        <v>6</v>
      </c>
      <c r="O5" s="516"/>
      <c r="P5" s="517"/>
    </row>
    <row r="6" spans="1:16" ht="21.75" customHeight="1" x14ac:dyDescent="0.3">
      <c r="A6" s="523"/>
      <c r="B6" s="524"/>
      <c r="C6" s="524"/>
      <c r="D6" s="524"/>
      <c r="E6" s="524"/>
      <c r="F6" s="524"/>
      <c r="G6" s="525"/>
      <c r="H6" s="514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45">
      <c r="A7" s="526" t="s">
        <v>15</v>
      </c>
      <c r="B7" s="516"/>
      <c r="C7" s="516"/>
      <c r="D7" s="516"/>
      <c r="E7" s="516"/>
      <c r="F7" s="516"/>
      <c r="G7" s="517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45">
      <c r="A8" s="17"/>
      <c r="B8" s="18"/>
      <c r="C8" s="19" t="s">
        <v>16</v>
      </c>
      <c r="D8" s="527" t="s">
        <v>17</v>
      </c>
      <c r="E8" s="528"/>
      <c r="F8" s="528"/>
      <c r="G8" s="528"/>
      <c r="H8" s="20" t="s">
        <v>12</v>
      </c>
      <c r="I8" s="21"/>
      <c r="J8" s="21"/>
      <c r="K8" s="22"/>
      <c r="L8" s="23">
        <f t="shared" ref="L8:N8" ca="1" si="0">L9+L10</f>
        <v>3160902</v>
      </c>
      <c r="M8" s="23">
        <f t="shared" ca="1" si="0"/>
        <v>1128055</v>
      </c>
      <c r="N8" s="23">
        <f t="shared" ca="1" si="0"/>
        <v>1406434</v>
      </c>
      <c r="O8" s="22">
        <f t="shared" ref="O8:O16" ca="1" si="1">IF(L8&gt;0,N8*100/L8,0)</f>
        <v>44.494704359704919</v>
      </c>
      <c r="P8" s="22">
        <f t="shared" ref="P8:P16" ca="1" si="2">IF(M8&gt;0,N8*100/M8,0)</f>
        <v>124.67778610085502</v>
      </c>
    </row>
    <row r="9" spans="1:16" ht="21.75" customHeight="1" x14ac:dyDescent="0.45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45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3160902</v>
      </c>
      <c r="M10" s="30">
        <f t="shared" ca="1" si="4"/>
        <v>1128055</v>
      </c>
      <c r="N10" s="30">
        <f t="shared" ca="1" si="4"/>
        <v>1406434</v>
      </c>
      <c r="O10" s="29">
        <f t="shared" ca="1" si="1"/>
        <v>44.494704359704919</v>
      </c>
      <c r="P10" s="29">
        <f t="shared" ca="1" si="2"/>
        <v>124.67778610085502</v>
      </c>
    </row>
    <row r="11" spans="1:16" ht="21.75" customHeight="1" x14ac:dyDescent="0.45">
      <c r="A11" s="31"/>
      <c r="B11" s="32"/>
      <c r="C11" s="33" t="s">
        <v>16</v>
      </c>
      <c r="D11" s="529" t="s">
        <v>20</v>
      </c>
      <c r="E11" s="530"/>
      <c r="F11" s="530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45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3113102</v>
      </c>
      <c r="M12" s="38">
        <f t="shared" ca="1" si="6"/>
        <v>1080255</v>
      </c>
      <c r="N12" s="38">
        <f t="shared" ca="1" si="6"/>
        <v>1358634</v>
      </c>
      <c r="O12" s="38">
        <f t="shared" ca="1" si="1"/>
        <v>43.642450520413398</v>
      </c>
      <c r="P12" s="38">
        <f t="shared" ca="1" si="2"/>
        <v>125.76974880930891</v>
      </c>
    </row>
    <row r="13" spans="1:16" ht="21.75" customHeight="1" x14ac:dyDescent="0.45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1558000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45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1555102</v>
      </c>
      <c r="M14" s="38">
        <f t="shared" si="8"/>
        <v>0</v>
      </c>
      <c r="N14" s="38">
        <f t="shared" ca="1" si="8"/>
        <v>551877</v>
      </c>
      <c r="O14" s="38">
        <f t="shared" ca="1" si="1"/>
        <v>35.488154474754708</v>
      </c>
      <c r="P14" s="38">
        <f t="shared" si="2"/>
        <v>0</v>
      </c>
    </row>
    <row r="15" spans="1:16" ht="21.75" customHeight="1" x14ac:dyDescent="0.45">
      <c r="A15" s="31"/>
      <c r="B15" s="32"/>
      <c r="C15" s="33" t="s">
        <v>16</v>
      </c>
      <c r="D15" s="529" t="s">
        <v>23</v>
      </c>
      <c r="E15" s="530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45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47800</v>
      </c>
      <c r="M16" s="38">
        <f t="shared" ca="1" si="10"/>
        <v>47800</v>
      </c>
      <c r="N16" s="38">
        <f t="shared" ca="1" si="10"/>
        <v>47800</v>
      </c>
      <c r="O16" s="49">
        <f t="shared" ca="1" si="1"/>
        <v>100</v>
      </c>
      <c r="P16" s="49">
        <f t="shared" ca="1" si="2"/>
        <v>100</v>
      </c>
    </row>
    <row r="17" spans="1:16" ht="21.75" customHeight="1" x14ac:dyDescent="0.45">
      <c r="A17" s="526" t="s">
        <v>24</v>
      </c>
      <c r="B17" s="516"/>
      <c r="C17" s="516"/>
      <c r="D17" s="516"/>
      <c r="E17" s="516"/>
      <c r="F17" s="516"/>
      <c r="G17" s="517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45">
      <c r="A18" s="17"/>
      <c r="B18" s="18"/>
      <c r="C18" s="19" t="s">
        <v>16</v>
      </c>
      <c r="D18" s="527" t="s">
        <v>17</v>
      </c>
      <c r="E18" s="528"/>
      <c r="F18" s="528"/>
      <c r="G18" s="528"/>
      <c r="H18" s="20" t="s">
        <v>12</v>
      </c>
      <c r="I18" s="21"/>
      <c r="J18" s="21"/>
      <c r="K18" s="22"/>
      <c r="L18" s="23">
        <f t="shared" ref="L18:N18" ca="1" si="11">L19+L20</f>
        <v>2083375</v>
      </c>
      <c r="M18" s="23">
        <f t="shared" ca="1" si="11"/>
        <v>1128055</v>
      </c>
      <c r="N18" s="23">
        <f t="shared" ca="1" si="11"/>
        <v>854557</v>
      </c>
      <c r="O18" s="22">
        <f t="shared" ref="O18:O20" ca="1" si="12">IF(L18&gt;0,N18*100/L18,0)</f>
        <v>41.017915641687168</v>
      </c>
      <c r="P18" s="22">
        <f t="shared" ref="P18:P26" ca="1" si="13">IF(M18&gt;0,N18*100/M18,0)</f>
        <v>75.754905567547681</v>
      </c>
    </row>
    <row r="19" spans="1:16" ht="21.75" customHeight="1" x14ac:dyDescent="0.45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45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2083375</v>
      </c>
      <c r="M20" s="30">
        <f t="shared" ca="1" si="15"/>
        <v>1128055</v>
      </c>
      <c r="N20" s="30">
        <f t="shared" ca="1" si="15"/>
        <v>854557</v>
      </c>
      <c r="O20" s="29">
        <f t="shared" ca="1" si="12"/>
        <v>41.017915641687168</v>
      </c>
      <c r="P20" s="29">
        <f t="shared" ca="1" si="13"/>
        <v>75.754905567547681</v>
      </c>
    </row>
    <row r="21" spans="1:16" ht="21.75" customHeight="1" x14ac:dyDescent="0.45">
      <c r="A21" s="31"/>
      <c r="B21" s="32"/>
      <c r="C21" s="33" t="s">
        <v>16</v>
      </c>
      <c r="D21" s="529" t="s">
        <v>20</v>
      </c>
      <c r="E21" s="530"/>
      <c r="F21" s="530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45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2035575</v>
      </c>
      <c r="M22" s="41">
        <f t="shared" ca="1" si="18"/>
        <v>1080255</v>
      </c>
      <c r="N22" s="38">
        <f t="shared" ca="1" si="18"/>
        <v>806757</v>
      </c>
      <c r="O22" s="38">
        <f t="shared" ca="1" si="17"/>
        <v>39.632880144430935</v>
      </c>
      <c r="P22" s="38">
        <f t="shared" ca="1" si="13"/>
        <v>74.682088951219853</v>
      </c>
    </row>
    <row r="23" spans="1:16" ht="21.75" customHeight="1" x14ac:dyDescent="0.45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1558000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45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477575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45">
      <c r="A25" s="31"/>
      <c r="B25" s="32"/>
      <c r="C25" s="33" t="s">
        <v>16</v>
      </c>
      <c r="D25" s="529" t="s">
        <v>23</v>
      </c>
      <c r="E25" s="530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45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47800</v>
      </c>
      <c r="M26" s="49">
        <f t="shared" ca="1" si="22"/>
        <v>47800</v>
      </c>
      <c r="N26" s="49">
        <f t="shared" ca="1" si="22"/>
        <v>47800</v>
      </c>
      <c r="O26" s="49">
        <f t="shared" ca="1" si="17"/>
        <v>100</v>
      </c>
      <c r="P26" s="49">
        <f t="shared" ca="1" si="13"/>
        <v>100</v>
      </c>
    </row>
    <row r="27" spans="1:16" ht="21.75" customHeight="1" x14ac:dyDescent="0.45">
      <c r="A27" s="526" t="s">
        <v>25</v>
      </c>
      <c r="B27" s="516"/>
      <c r="C27" s="516"/>
      <c r="D27" s="516"/>
      <c r="E27" s="516"/>
      <c r="F27" s="516"/>
      <c r="G27" s="517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45">
      <c r="A28" s="17"/>
      <c r="B28" s="18"/>
      <c r="C28" s="19" t="s">
        <v>16</v>
      </c>
      <c r="D28" s="527" t="s">
        <v>17</v>
      </c>
      <c r="E28" s="528"/>
      <c r="F28" s="528"/>
      <c r="G28" s="528"/>
      <c r="H28" s="20" t="s">
        <v>12</v>
      </c>
      <c r="I28" s="21"/>
      <c r="J28" s="21"/>
      <c r="K28" s="22"/>
      <c r="L28" s="23">
        <f t="shared" ref="L28:N28" ca="1" si="23">L29+L30</f>
        <v>1077527</v>
      </c>
      <c r="M28" s="23">
        <f t="shared" si="23"/>
        <v>0</v>
      </c>
      <c r="N28" s="23">
        <f t="shared" ca="1" si="23"/>
        <v>551877</v>
      </c>
      <c r="O28" s="22">
        <f t="shared" ref="O28:O30" ca="1" si="24">IF(L28&gt;0,N28*100/L28,0)</f>
        <v>51.216999666829693</v>
      </c>
      <c r="P28" s="22">
        <f t="shared" ref="P28:P37" si="25">IF(M28&gt;0,N28*100/M28,0)</f>
        <v>0</v>
      </c>
    </row>
    <row r="29" spans="1:16" ht="21.75" customHeight="1" x14ac:dyDescent="0.45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45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1077527</v>
      </c>
      <c r="M30" s="30">
        <f t="shared" si="27"/>
        <v>0</v>
      </c>
      <c r="N30" s="30">
        <f t="shared" ca="1" si="27"/>
        <v>551877</v>
      </c>
      <c r="O30" s="29">
        <f t="shared" ca="1" si="24"/>
        <v>51.216999666829693</v>
      </c>
      <c r="P30" s="29">
        <f t="shared" si="25"/>
        <v>0</v>
      </c>
    </row>
    <row r="31" spans="1:16" ht="21.75" customHeight="1" x14ac:dyDescent="0.45">
      <c r="A31" s="31"/>
      <c r="B31" s="32"/>
      <c r="C31" s="33" t="s">
        <v>16</v>
      </c>
      <c r="D31" s="529" t="s">
        <v>20</v>
      </c>
      <c r="E31" s="530"/>
      <c r="F31" s="530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45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1077527</v>
      </c>
      <c r="M32" s="38">
        <f t="shared" si="30"/>
        <v>0</v>
      </c>
      <c r="N32" s="38">
        <f t="shared" ca="1" si="30"/>
        <v>551877</v>
      </c>
      <c r="O32" s="38">
        <f t="shared" ca="1" si="29"/>
        <v>51.216999666829693</v>
      </c>
      <c r="P32" s="38">
        <f t="shared" si="25"/>
        <v>0</v>
      </c>
    </row>
    <row r="33" spans="1:16" ht="21.75" customHeight="1" x14ac:dyDescent="0.45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45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1077527</v>
      </c>
      <c r="M34" s="38">
        <f t="shared" si="32"/>
        <v>0</v>
      </c>
      <c r="N34" s="38">
        <f t="shared" ca="1" si="32"/>
        <v>551877</v>
      </c>
      <c r="O34" s="38">
        <f t="shared" ca="1" si="29"/>
        <v>51.216999666829693</v>
      </c>
      <c r="P34" s="38">
        <f t="shared" si="25"/>
        <v>0</v>
      </c>
    </row>
    <row r="35" spans="1:16" ht="21.75" customHeight="1" x14ac:dyDescent="0.45">
      <c r="A35" s="31"/>
      <c r="B35" s="32"/>
      <c r="C35" s="33" t="s">
        <v>16</v>
      </c>
      <c r="D35" s="529" t="s">
        <v>23</v>
      </c>
      <c r="E35" s="530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45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3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2083375</v>
      </c>
      <c r="M37" s="54">
        <f t="shared" ca="1" si="33"/>
        <v>1128055</v>
      </c>
      <c r="N37" s="54">
        <f t="shared" ca="1" si="33"/>
        <v>854557</v>
      </c>
      <c r="O37" s="55">
        <f t="shared" ca="1" si="29"/>
        <v>41.017915641687168</v>
      </c>
      <c r="P37" s="55">
        <f t="shared" ca="1" si="25"/>
        <v>75.754905567547681</v>
      </c>
    </row>
    <row r="38" spans="1:16" ht="21.75" customHeight="1" x14ac:dyDescent="0.45">
      <c r="A38" s="531" t="s">
        <v>27</v>
      </c>
      <c r="B38" s="516"/>
      <c r="C38" s="516"/>
      <c r="D38" s="516"/>
      <c r="E38" s="516"/>
      <c r="F38" s="516"/>
      <c r="G38" s="517"/>
      <c r="H38" s="56"/>
      <c r="I38" s="57"/>
      <c r="J38" s="57"/>
      <c r="K38" s="58"/>
      <c r="L38" s="59"/>
      <c r="M38" s="59"/>
      <c r="N38" s="59"/>
      <c r="O38" s="59"/>
      <c r="P38" s="59"/>
    </row>
    <row r="39" spans="1:16" ht="21.75" customHeight="1" x14ac:dyDescent="0.45">
      <c r="A39" s="60"/>
      <c r="B39" s="532" t="s">
        <v>28</v>
      </c>
      <c r="C39" s="528"/>
      <c r="D39" s="528"/>
      <c r="E39" s="528"/>
      <c r="F39" s="528"/>
      <c r="G39" s="528"/>
      <c r="H39" s="61"/>
      <c r="I39" s="62"/>
      <c r="J39" s="62"/>
      <c r="K39" s="63"/>
      <c r="L39" s="64"/>
      <c r="M39" s="64"/>
      <c r="N39" s="64"/>
      <c r="O39" s="63"/>
      <c r="P39" s="63"/>
    </row>
    <row r="40" spans="1:16" ht="21.75" customHeight="1" x14ac:dyDescent="0.45">
      <c r="A40" s="65"/>
      <c r="B40" s="66" t="s">
        <v>29</v>
      </c>
      <c r="C40" s="67"/>
      <c r="D40" s="67"/>
      <c r="E40" s="67"/>
      <c r="F40" s="67"/>
      <c r="G40" s="67"/>
      <c r="H40" s="68"/>
      <c r="I40" s="69"/>
      <c r="J40" s="69"/>
      <c r="K40" s="70"/>
      <c r="L40" s="71"/>
      <c r="M40" s="71"/>
      <c r="N40" s="71"/>
      <c r="O40" s="70"/>
      <c r="P40" s="70"/>
    </row>
    <row r="41" spans="1:16" ht="21.75" customHeight="1" x14ac:dyDescent="0.45">
      <c r="A41" s="72"/>
      <c r="B41" s="73"/>
      <c r="C41" s="74" t="s">
        <v>16</v>
      </c>
      <c r="D41" s="533" t="s">
        <v>17</v>
      </c>
      <c r="E41" s="530"/>
      <c r="F41" s="530"/>
      <c r="G41" s="530"/>
      <c r="H41" s="75" t="s">
        <v>12</v>
      </c>
      <c r="I41" s="76"/>
      <c r="J41" s="76"/>
      <c r="K41" s="77"/>
      <c r="L41" s="78">
        <f t="shared" ref="L41:N41" ca="1" si="34">L42+L43</f>
        <v>669700</v>
      </c>
      <c r="M41" s="78">
        <f t="shared" ca="1" si="34"/>
        <v>334900</v>
      </c>
      <c r="N41" s="78">
        <f t="shared" ca="1" si="34"/>
        <v>233677</v>
      </c>
      <c r="O41" s="77">
        <f t="shared" ref="O41:O43" ca="1" si="35">IF(L41&gt;0,N41*100/L41,0)</f>
        <v>34.892787815439746</v>
      </c>
      <c r="P41" s="77">
        <f t="shared" ref="P41:P43" ca="1" si="36">IF(M41&gt;0,N41*100/M41,0)</f>
        <v>69.775156763212905</v>
      </c>
    </row>
    <row r="42" spans="1:16" ht="21.75" customHeight="1" x14ac:dyDescent="0.45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45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669700</v>
      </c>
      <c r="M43" s="78">
        <f t="shared" ca="1" si="38"/>
        <v>334900</v>
      </c>
      <c r="N43" s="78">
        <f t="shared" ca="1" si="38"/>
        <v>233677</v>
      </c>
      <c r="O43" s="77">
        <f t="shared" ca="1" si="35"/>
        <v>34.892787815439746</v>
      </c>
      <c r="P43" s="77">
        <f t="shared" ca="1" si="36"/>
        <v>69.775156763212905</v>
      </c>
    </row>
    <row r="44" spans="1:16" ht="21.75" customHeight="1" x14ac:dyDescent="0.45">
      <c r="A44" s="79"/>
      <c r="B44" s="80"/>
      <c r="C44" s="81" t="s">
        <v>16</v>
      </c>
      <c r="D44" s="534" t="s">
        <v>20</v>
      </c>
      <c r="E44" s="530"/>
      <c r="F44" s="530"/>
      <c r="G44" s="82" t="s">
        <v>18</v>
      </c>
      <c r="H44" s="83" t="s">
        <v>12</v>
      </c>
      <c r="I44" s="84"/>
      <c r="J44" s="84"/>
      <c r="K44" s="85"/>
      <c r="L44" s="86">
        <v>0</v>
      </c>
      <c r="M44" s="510"/>
      <c r="N44" s="511"/>
      <c r="O44" s="511"/>
      <c r="P44" s="511"/>
    </row>
    <row r="45" spans="1:16" ht="21.75" customHeight="1" x14ac:dyDescent="0.45">
      <c r="A45" s="79"/>
      <c r="B45" s="80"/>
      <c r="C45" s="80"/>
      <c r="D45" s="80"/>
      <c r="E45" s="88"/>
      <c r="F45" s="89"/>
      <c r="G45" s="82" t="s">
        <v>19</v>
      </c>
      <c r="H45" s="83" t="s">
        <v>12</v>
      </c>
      <c r="I45" s="84"/>
      <c r="J45" s="84"/>
      <c r="K45" s="85"/>
      <c r="L45" s="38">
        <f ca="1">L46+L47</f>
        <v>669700</v>
      </c>
      <c r="M45" s="49">
        <f ca="1">IFERROR(__xludf.DUMMYFUNCTION("IMPORTRANGE(""https://docs.google.com/spreadsheets/d/1Yj_ptqi66GCucihVvJfMjLAmec39IyEx_6qawtMGysU/edit?usp=sharing"",""สบก!Q31"")"),334900)</f>
        <v>334900</v>
      </c>
      <c r="N45" s="49">
        <f ca="1">IFERROR(__xludf.DUMMYFUNCTION("IMPORTRANGE(""https://docs.google.com/spreadsheets/d/1Yj_ptqi66GCucihVvJfMjLAmec39IyEx_6qawtMGysU/edit?usp=sharing"",""สบก!R31"")"),233677)</f>
        <v>233677</v>
      </c>
      <c r="O45" s="38">
        <f ca="1">IF(L45&gt;0,N45*100/L45,0)</f>
        <v>34.892787815439746</v>
      </c>
      <c r="P45" s="38">
        <f ca="1">IF(M45&gt;0,N45*100/M45,0)</f>
        <v>69.775156763212905</v>
      </c>
    </row>
    <row r="46" spans="1:16" ht="21.75" customHeight="1" x14ac:dyDescent="0.45">
      <c r="A46" s="79"/>
      <c r="B46" s="80"/>
      <c r="C46" s="80"/>
      <c r="D46" s="80"/>
      <c r="E46" s="88"/>
      <c r="F46" s="88"/>
      <c r="G46" s="82" t="s">
        <v>21</v>
      </c>
      <c r="H46" s="83" t="s">
        <v>12</v>
      </c>
      <c r="I46" s="84"/>
      <c r="J46" s="84"/>
      <c r="K46" s="85"/>
      <c r="L46" s="49">
        <f ca="1">IFERROR(__xludf.DUMMYFUNCTION("IMPORTRANGE(""https://docs.google.com/spreadsheets/d/1Yj_ptqi66GCucihVvJfMjLAmec39IyEx_6qawtMGysU/edit?usp=sharing"",""สบก!M31"")"),669700)</f>
        <v>669700</v>
      </c>
      <c r="M46" s="41"/>
      <c r="N46" s="38"/>
      <c r="O46" s="38"/>
      <c r="P46" s="38"/>
    </row>
    <row r="47" spans="1:16" ht="21.75" customHeight="1" x14ac:dyDescent="0.45">
      <c r="A47" s="79"/>
      <c r="B47" s="80"/>
      <c r="C47" s="80"/>
      <c r="D47" s="80"/>
      <c r="E47" s="88"/>
      <c r="F47" s="88"/>
      <c r="G47" s="82" t="s">
        <v>22</v>
      </c>
      <c r="H47" s="83" t="s">
        <v>12</v>
      </c>
      <c r="I47" s="84"/>
      <c r="J47" s="84"/>
      <c r="K47" s="85"/>
      <c r="L47" s="49">
        <f ca="1">IFERROR(__xludf.DUMMYFUNCTION("IMPORTRANGE(""https://docs.google.com/spreadsheets/d/1Yj_ptqi66GCucihVvJfMjLAmec39IyEx_6qawtMGysU/edit?usp=sharing"",""สบก!N31"")"),0)</f>
        <v>0</v>
      </c>
      <c r="M47" s="41"/>
      <c r="N47" s="38"/>
      <c r="O47" s="38"/>
      <c r="P47" s="38"/>
    </row>
    <row r="48" spans="1:16" ht="21.75" customHeight="1" x14ac:dyDescent="0.45">
      <c r="A48" s="79"/>
      <c r="B48" s="80"/>
      <c r="C48" s="81" t="s">
        <v>16</v>
      </c>
      <c r="D48" s="534" t="s">
        <v>23</v>
      </c>
      <c r="E48" s="530"/>
      <c r="F48" s="88"/>
      <c r="G48" s="82" t="s">
        <v>18</v>
      </c>
      <c r="H48" s="83" t="s">
        <v>12</v>
      </c>
      <c r="I48" s="84"/>
      <c r="J48" s="84"/>
      <c r="K48" s="85"/>
      <c r="L48" s="50">
        <v>0</v>
      </c>
      <c r="M48" s="41"/>
      <c r="N48" s="41"/>
      <c r="O48" s="41"/>
      <c r="P48" s="41"/>
    </row>
    <row r="49" spans="1:16" ht="21.75" customHeight="1" x14ac:dyDescent="0.45">
      <c r="A49" s="90"/>
      <c r="B49" s="91"/>
      <c r="C49" s="91"/>
      <c r="D49" s="91"/>
      <c r="E49" s="92"/>
      <c r="F49" s="92"/>
      <c r="G49" s="93" t="s">
        <v>19</v>
      </c>
      <c r="H49" s="94" t="s">
        <v>12</v>
      </c>
      <c r="I49" s="95"/>
      <c r="J49" s="95"/>
      <c r="K49" s="96"/>
      <c r="L49" s="49">
        <f ca="1">IFERROR(__xludf.DUMMYFUNCTION("IMPORTRANGE(""https://docs.google.com/spreadsheets/d/1Yj_ptqi66GCucihVvJfMjLAmec39IyEx_6qawtMGysU/edit?usp=sharing"",""สบก!O31"")"),0)</f>
        <v>0</v>
      </c>
      <c r="M49" s="49"/>
      <c r="N49" s="49">
        <f ca="1">IFERROR(__xludf.DUMMYFUNCTION("IMPORTRANGE(""https://docs.google.com/spreadsheets/d/1Yj_ptqi66GCucihVvJfMjLAmec39IyEx_6qawtMGysU/edit?usp=sharing"",""สบก!S31"")"),0)</f>
        <v>0</v>
      </c>
      <c r="O49" s="49">
        <f ca="1">IF(L49&gt;0,N49*100/L49,0)</f>
        <v>0</v>
      </c>
      <c r="P49" s="49"/>
    </row>
    <row r="50" spans="1:16" ht="21.75" customHeight="1" x14ac:dyDescent="0.45">
      <c r="A50" s="97" t="s">
        <v>30</v>
      </c>
      <c r="B50" s="98"/>
      <c r="C50" s="98"/>
      <c r="D50" s="98"/>
      <c r="E50" s="98"/>
      <c r="F50" s="98"/>
      <c r="G50" s="98"/>
      <c r="H50" s="99"/>
      <c r="I50" s="100"/>
      <c r="J50" s="100"/>
      <c r="K50" s="101"/>
      <c r="L50" s="102"/>
      <c r="M50" s="102"/>
      <c r="N50" s="102"/>
      <c r="O50" s="101"/>
      <c r="P50" s="101"/>
    </row>
    <row r="51" spans="1:16" ht="21.75" customHeight="1" x14ac:dyDescent="0.45">
      <c r="A51" s="103"/>
      <c r="B51" s="104" t="s">
        <v>31</v>
      </c>
      <c r="C51" s="104"/>
      <c r="D51" s="104"/>
      <c r="E51" s="104"/>
      <c r="F51" s="104"/>
      <c r="G51" s="104"/>
      <c r="H51" s="105"/>
      <c r="I51" s="106"/>
      <c r="J51" s="106"/>
      <c r="K51" s="107"/>
      <c r="L51" s="108"/>
      <c r="M51" s="108"/>
      <c r="N51" s="108"/>
      <c r="O51" s="107"/>
      <c r="P51" s="107"/>
    </row>
    <row r="52" spans="1:16" ht="21.75" customHeight="1" x14ac:dyDescent="0.45">
      <c r="A52" s="109"/>
      <c r="B52" s="535" t="s">
        <v>32</v>
      </c>
      <c r="C52" s="530"/>
      <c r="D52" s="530"/>
      <c r="E52" s="530"/>
      <c r="F52" s="530"/>
      <c r="G52" s="530"/>
      <c r="H52" s="110"/>
      <c r="I52" s="111"/>
      <c r="J52" s="111"/>
      <c r="K52" s="112"/>
      <c r="L52" s="113"/>
      <c r="M52" s="113"/>
      <c r="N52" s="113"/>
      <c r="O52" s="112"/>
      <c r="P52" s="112"/>
    </row>
    <row r="53" spans="1:16" ht="21.75" customHeight="1" x14ac:dyDescent="0.45">
      <c r="A53" s="114"/>
      <c r="B53" s="115"/>
      <c r="C53" s="116" t="s">
        <v>16</v>
      </c>
      <c r="D53" s="536" t="s">
        <v>17</v>
      </c>
      <c r="E53" s="530"/>
      <c r="F53" s="530"/>
      <c r="G53" s="530"/>
      <c r="H53" s="117" t="s">
        <v>12</v>
      </c>
      <c r="I53" s="118"/>
      <c r="J53" s="118"/>
      <c r="K53" s="119"/>
      <c r="L53" s="120">
        <f t="shared" ref="L53:N53" ca="1" si="39">L54+L55</f>
        <v>181500</v>
      </c>
      <c r="M53" s="120">
        <f t="shared" ca="1" si="39"/>
        <v>104300</v>
      </c>
      <c r="N53" s="120">
        <f t="shared" ca="1" si="39"/>
        <v>79850</v>
      </c>
      <c r="O53" s="119">
        <f t="shared" ref="O53:O55" ca="1" si="40">IF(L53&gt;0,N53*100/L53,0)</f>
        <v>43.994490358126718</v>
      </c>
      <c r="P53" s="119">
        <f t="shared" ref="P53:P55" ca="1" si="41">IF(M53&gt;0,N53*100/M53,0)</f>
        <v>76.558005752636632</v>
      </c>
    </row>
    <row r="54" spans="1:16" ht="21.75" customHeight="1" x14ac:dyDescent="0.45">
      <c r="A54" s="114"/>
      <c r="B54" s="115"/>
      <c r="C54" s="115"/>
      <c r="D54" s="115"/>
      <c r="E54" s="115"/>
      <c r="F54" s="115"/>
      <c r="G54" s="116" t="s">
        <v>18</v>
      </c>
      <c r="H54" s="117" t="s">
        <v>12</v>
      </c>
      <c r="I54" s="118"/>
      <c r="J54" s="118"/>
      <c r="K54" s="119"/>
      <c r="L54" s="120">
        <f t="shared" ref="L54:N54" si="42">L56+L60</f>
        <v>0</v>
      </c>
      <c r="M54" s="120">
        <f t="shared" si="42"/>
        <v>0</v>
      </c>
      <c r="N54" s="120">
        <f t="shared" si="42"/>
        <v>0</v>
      </c>
      <c r="O54" s="119">
        <f t="shared" si="40"/>
        <v>0</v>
      </c>
      <c r="P54" s="119">
        <f t="shared" si="41"/>
        <v>0</v>
      </c>
    </row>
    <row r="55" spans="1:16" ht="21.75" customHeight="1" x14ac:dyDescent="0.45">
      <c r="A55" s="114"/>
      <c r="B55" s="115"/>
      <c r="C55" s="115"/>
      <c r="D55" s="115"/>
      <c r="E55" s="115"/>
      <c r="F55" s="115"/>
      <c r="G55" s="116" t="s">
        <v>19</v>
      </c>
      <c r="H55" s="117" t="s">
        <v>12</v>
      </c>
      <c r="I55" s="118"/>
      <c r="J55" s="118"/>
      <c r="K55" s="119"/>
      <c r="L55" s="120">
        <f t="shared" ref="L55:N55" ca="1" si="43">L57+L61</f>
        <v>181500</v>
      </c>
      <c r="M55" s="120">
        <f t="shared" ca="1" si="43"/>
        <v>104300</v>
      </c>
      <c r="N55" s="120">
        <f t="shared" ca="1" si="43"/>
        <v>79850</v>
      </c>
      <c r="O55" s="119">
        <f t="shared" ca="1" si="40"/>
        <v>43.994490358126718</v>
      </c>
      <c r="P55" s="119">
        <f t="shared" ca="1" si="41"/>
        <v>76.558005752636632</v>
      </c>
    </row>
    <row r="56" spans="1:16" ht="21.75" customHeight="1" x14ac:dyDescent="0.45">
      <c r="A56" s="79"/>
      <c r="B56" s="80"/>
      <c r="C56" s="81" t="s">
        <v>16</v>
      </c>
      <c r="D56" s="534" t="s">
        <v>20</v>
      </c>
      <c r="E56" s="530"/>
      <c r="F56" s="530"/>
      <c r="G56" s="82" t="s">
        <v>18</v>
      </c>
      <c r="H56" s="83" t="s">
        <v>12</v>
      </c>
      <c r="I56" s="84"/>
      <c r="J56" s="84"/>
      <c r="K56" s="85"/>
      <c r="L56" s="511">
        <v>0</v>
      </c>
      <c r="M56" s="510"/>
      <c r="N56" s="511"/>
      <c r="O56" s="511"/>
      <c r="P56" s="511"/>
    </row>
    <row r="57" spans="1:16" ht="21.75" customHeight="1" x14ac:dyDescent="0.45">
      <c r="A57" s="79"/>
      <c r="B57" s="80"/>
      <c r="C57" s="80"/>
      <c r="D57" s="80"/>
      <c r="E57" s="88"/>
      <c r="F57" s="89"/>
      <c r="G57" s="82" t="s">
        <v>19</v>
      </c>
      <c r="H57" s="83" t="s">
        <v>12</v>
      </c>
      <c r="I57" s="84"/>
      <c r="J57" s="84"/>
      <c r="K57" s="85"/>
      <c r="L57" s="38">
        <f ca="1">L58+L59</f>
        <v>181500</v>
      </c>
      <c r="M57" s="49">
        <f ca="1">IFERROR(__xludf.DUMMYFUNCTION("IMPORTRANGE(""https://docs.google.com/spreadsheets/d/1Yj_ptqi66GCucihVvJfMjLAmec39IyEx_6qawtMGysU/edit?usp=sharing"",""สบก!Z31"")"),104300)</f>
        <v>104300</v>
      </c>
      <c r="N57" s="49">
        <f ca="1">IFERROR(__xludf.DUMMYFUNCTION("IMPORTRANGE(""https://docs.google.com/spreadsheets/d/1Yj_ptqi66GCucihVvJfMjLAmec39IyEx_6qawtMGysU/edit?usp=sharing"",""สบก!AA31"")"),79850)</f>
        <v>79850</v>
      </c>
      <c r="O57" s="38">
        <f ca="1">IF(L57&gt;0,N57*100/L57,0)</f>
        <v>43.994490358126718</v>
      </c>
      <c r="P57" s="38">
        <f ca="1">IF(M57&gt;0,N57*100/M57,0)</f>
        <v>76.558005752636632</v>
      </c>
    </row>
    <row r="58" spans="1:16" ht="21.75" customHeight="1" x14ac:dyDescent="0.45">
      <c r="A58" s="79"/>
      <c r="B58" s="80"/>
      <c r="C58" s="80"/>
      <c r="D58" s="80"/>
      <c r="E58" s="88"/>
      <c r="F58" s="88"/>
      <c r="G58" s="82" t="s">
        <v>21</v>
      </c>
      <c r="H58" s="83" t="s">
        <v>12</v>
      </c>
      <c r="I58" s="84"/>
      <c r="J58" s="84"/>
      <c r="K58" s="85"/>
      <c r="L58" s="49">
        <f ca="1">IFERROR(__xludf.DUMMYFUNCTION("IMPORTRANGE(""https://docs.google.com/spreadsheets/d/1Yj_ptqi66GCucihVvJfMjLAmec39IyEx_6qawtMGysU/edit?usp=sharing"",""สบก!V31"")"),181500)</f>
        <v>181500</v>
      </c>
      <c r="M58" s="41"/>
      <c r="N58" s="38"/>
      <c r="O58" s="38"/>
      <c r="P58" s="38"/>
    </row>
    <row r="59" spans="1:16" ht="21.75" customHeight="1" x14ac:dyDescent="0.45">
      <c r="A59" s="79"/>
      <c r="B59" s="80"/>
      <c r="C59" s="80"/>
      <c r="D59" s="80"/>
      <c r="E59" s="88"/>
      <c r="F59" s="88"/>
      <c r="G59" s="82" t="s">
        <v>22</v>
      </c>
      <c r="H59" s="83" t="s">
        <v>12</v>
      </c>
      <c r="I59" s="84"/>
      <c r="J59" s="84"/>
      <c r="K59" s="85"/>
      <c r="L59" s="49">
        <f ca="1">IFERROR(__xludf.DUMMYFUNCTION("IMPORTRANGE(""https://docs.google.com/spreadsheets/d/1Yj_ptqi66GCucihVvJfMjLAmec39IyEx_6qawtMGysU/edit?usp=sharing"",""สบก!W31"")"),0)</f>
        <v>0</v>
      </c>
      <c r="M59" s="41"/>
      <c r="N59" s="38"/>
      <c r="O59" s="38"/>
      <c r="P59" s="38"/>
    </row>
    <row r="60" spans="1:16" ht="21.75" customHeight="1" x14ac:dyDescent="0.45">
      <c r="A60" s="79"/>
      <c r="B60" s="80"/>
      <c r="C60" s="81" t="s">
        <v>16</v>
      </c>
      <c r="D60" s="534" t="s">
        <v>23</v>
      </c>
      <c r="E60" s="530"/>
      <c r="F60" s="88"/>
      <c r="G60" s="82" t="s">
        <v>18</v>
      </c>
      <c r="H60" s="83" t="s">
        <v>12</v>
      </c>
      <c r="I60" s="84"/>
      <c r="J60" s="84"/>
      <c r="K60" s="85"/>
      <c r="L60" s="50">
        <v>0</v>
      </c>
      <c r="M60" s="41"/>
      <c r="N60" s="41"/>
      <c r="O60" s="41"/>
      <c r="P60" s="41"/>
    </row>
    <row r="61" spans="1:16" ht="21.75" customHeight="1" x14ac:dyDescent="0.45">
      <c r="A61" s="90"/>
      <c r="B61" s="91"/>
      <c r="C61" s="91"/>
      <c r="D61" s="91"/>
      <c r="E61" s="92"/>
      <c r="F61" s="92"/>
      <c r="G61" s="93" t="s">
        <v>19</v>
      </c>
      <c r="H61" s="94" t="s">
        <v>12</v>
      </c>
      <c r="I61" s="95"/>
      <c r="J61" s="95"/>
      <c r="K61" s="96"/>
      <c r="L61" s="49">
        <f ca="1">IFERROR(__xludf.DUMMYFUNCTION("IMPORTRANGE(""https://docs.google.com/spreadsheets/d/1Yj_ptqi66GCucihVvJfMjLAmec39IyEx_6qawtMGysU/edit?usp=sharing"",""สบก!X31"")"),0)</f>
        <v>0</v>
      </c>
      <c r="M61" s="49"/>
      <c r="N61" s="49">
        <f ca="1">IFERROR(__xludf.DUMMYFUNCTION("IMPORTRANGE(""https://docs.google.com/spreadsheets/d/1Yj_ptqi66GCucihVvJfMjLAmec39IyEx_6qawtMGysU/edit?usp=sharing"",""สบก!AB31"")"),0)</f>
        <v>0</v>
      </c>
      <c r="O61" s="49">
        <f ca="1">IF(L61&gt;0,N61*100/L61,0)</f>
        <v>0</v>
      </c>
      <c r="P61" s="49"/>
    </row>
    <row r="62" spans="1:16" ht="21.75" customHeight="1" x14ac:dyDescent="0.3">
      <c r="A62" s="121" t="s">
        <v>33</v>
      </c>
      <c r="B62" s="122"/>
      <c r="C62" s="122"/>
      <c r="D62" s="122"/>
      <c r="E62" s="123"/>
      <c r="F62" s="123"/>
      <c r="G62" s="123"/>
      <c r="H62" s="124"/>
      <c r="I62" s="125"/>
      <c r="J62" s="125"/>
      <c r="K62" s="126"/>
      <c r="L62" s="127"/>
      <c r="M62" s="127"/>
      <c r="N62" s="127"/>
      <c r="O62" s="127"/>
      <c r="P62" s="127"/>
    </row>
    <row r="63" spans="1:16" ht="21.75" customHeight="1" x14ac:dyDescent="0.3">
      <c r="A63" s="128" t="s">
        <v>34</v>
      </c>
      <c r="B63" s="129"/>
      <c r="C63" s="130"/>
      <c r="D63" s="129"/>
      <c r="E63" s="131"/>
      <c r="F63" s="131"/>
      <c r="G63" s="131"/>
      <c r="H63" s="132"/>
      <c r="I63" s="133"/>
      <c r="J63" s="133"/>
      <c r="K63" s="134"/>
      <c r="L63" s="135"/>
      <c r="M63" s="135"/>
      <c r="N63" s="135"/>
      <c r="O63" s="136"/>
      <c r="P63" s="136"/>
    </row>
    <row r="64" spans="1:16" ht="21.75" customHeight="1" x14ac:dyDescent="0.3">
      <c r="A64" s="137"/>
      <c r="B64" s="138" t="s">
        <v>35</v>
      </c>
      <c r="C64" s="138"/>
      <c r="D64" s="139"/>
      <c r="E64" s="138"/>
      <c r="F64" s="138"/>
      <c r="G64" s="138"/>
      <c r="H64" s="140" t="s">
        <v>36</v>
      </c>
      <c r="I64" s="141">
        <f ca="1">IFERROR(__xludf.DUMMYFUNCTION("IMPORTRANGE(""https://docs.google.com/spreadsheets/d/11923uPwbBZFjjGgGUA6NLw09EwE0CqkOc4q9oUmW1yo/edit?usp=sharing"",""แม่ฮ่องสอน!I9"")"),0)</f>
        <v>0</v>
      </c>
      <c r="J64" s="141">
        <f ca="1">IFERROR(__xludf.DUMMYFUNCTION("IMPORTRANGE(""https://docs.google.com/spreadsheets/d/11923uPwbBZFjjGgGUA6NLw09EwE0CqkOc4q9oUmW1yo/edit?usp=sharing"",""แม่ฮ่องสอน!J9"")"),0)</f>
        <v>0</v>
      </c>
      <c r="K64" s="142">
        <f t="shared" ref="K64:K65" ca="1" si="44">IF(I64&gt;0,J64*100/I64,0)</f>
        <v>0</v>
      </c>
      <c r="L64" s="143"/>
      <c r="M64" s="143"/>
      <c r="N64" s="144"/>
      <c r="O64" s="142"/>
      <c r="P64" s="142"/>
    </row>
    <row r="65" spans="1:16" ht="21.75" customHeight="1" x14ac:dyDescent="0.3">
      <c r="A65" s="137"/>
      <c r="B65" s="138"/>
      <c r="C65" s="138"/>
      <c r="D65" s="139"/>
      <c r="E65" s="138"/>
      <c r="F65" s="138"/>
      <c r="G65" s="138"/>
      <c r="H65" s="140" t="s">
        <v>37</v>
      </c>
      <c r="I65" s="141">
        <f ca="1">IFERROR(__xludf.DUMMYFUNCTION("IMPORTRANGE(""https://docs.google.com/spreadsheets/d/11923uPwbBZFjjGgGUA6NLw09EwE0CqkOc4q9oUmW1yo/edit?usp=sharing"",""แม่ฮ่องสอน!I10"")"),0)</f>
        <v>0</v>
      </c>
      <c r="J65" s="141">
        <f ca="1">IFERROR(__xludf.DUMMYFUNCTION("IMPORTRANGE(""https://docs.google.com/spreadsheets/d/11923uPwbBZFjjGgGUA6NLw09EwE0CqkOc4q9oUmW1yo/edit?usp=sharing"",""แม่ฮ่องสอน!J10"")"),0)</f>
        <v>0</v>
      </c>
      <c r="K65" s="142">
        <f t="shared" ca="1" si="44"/>
        <v>0</v>
      </c>
      <c r="L65" s="144"/>
      <c r="M65" s="144"/>
      <c r="N65" s="144"/>
      <c r="O65" s="142"/>
      <c r="P65" s="142"/>
    </row>
    <row r="66" spans="1:16" ht="21.75" customHeight="1" x14ac:dyDescent="0.45">
      <c r="A66" s="145"/>
      <c r="B66" s="146"/>
      <c r="C66" s="147" t="s">
        <v>16</v>
      </c>
      <c r="D66" s="537" t="s">
        <v>17</v>
      </c>
      <c r="E66" s="528"/>
      <c r="F66" s="528"/>
      <c r="G66" s="528"/>
      <c r="H66" s="148" t="s">
        <v>12</v>
      </c>
      <c r="I66" s="149"/>
      <c r="J66" s="149"/>
      <c r="K66" s="150"/>
      <c r="L66" s="151">
        <f t="shared" ref="L66:N66" ca="1" si="45">L67+L68</f>
        <v>0</v>
      </c>
      <c r="M66" s="151">
        <f t="shared" ca="1" si="45"/>
        <v>0</v>
      </c>
      <c r="N66" s="151">
        <f t="shared" ca="1" si="45"/>
        <v>0</v>
      </c>
      <c r="O66" s="150">
        <f t="shared" ref="O66:O68" ca="1" si="46">IF(L66&gt;0,N66*100/L66,0)</f>
        <v>0</v>
      </c>
      <c r="P66" s="150">
        <f t="shared" ref="P66:P68" ca="1" si="47">IF(M66&gt;0,N66*100/M66,0)</f>
        <v>0</v>
      </c>
    </row>
    <row r="67" spans="1:16" ht="21.75" customHeight="1" x14ac:dyDescent="0.45">
      <c r="A67" s="152"/>
      <c r="B67" s="32"/>
      <c r="C67" s="32"/>
      <c r="D67" s="32"/>
      <c r="E67" s="32"/>
      <c r="F67" s="32"/>
      <c r="G67" s="33" t="s">
        <v>18</v>
      </c>
      <c r="H67" s="153" t="s">
        <v>12</v>
      </c>
      <c r="I67" s="154"/>
      <c r="J67" s="154"/>
      <c r="K67" s="155"/>
      <c r="L67" s="87">
        <f t="shared" ref="L67:N67" si="48">L69+L73</f>
        <v>0</v>
      </c>
      <c r="M67" s="87">
        <f t="shared" si="48"/>
        <v>0</v>
      </c>
      <c r="N67" s="87">
        <f t="shared" si="48"/>
        <v>0</v>
      </c>
      <c r="O67" s="155">
        <f t="shared" si="46"/>
        <v>0</v>
      </c>
      <c r="P67" s="155">
        <f t="shared" si="47"/>
        <v>0</v>
      </c>
    </row>
    <row r="68" spans="1:16" ht="21.75" customHeight="1" x14ac:dyDescent="0.45">
      <c r="A68" s="152"/>
      <c r="B68" s="32"/>
      <c r="C68" s="32"/>
      <c r="D68" s="32"/>
      <c r="E68" s="32"/>
      <c r="F68" s="32"/>
      <c r="G68" s="33" t="s">
        <v>19</v>
      </c>
      <c r="H68" s="153" t="s">
        <v>12</v>
      </c>
      <c r="I68" s="154"/>
      <c r="J68" s="154"/>
      <c r="K68" s="155"/>
      <c r="L68" s="87">
        <f t="shared" ref="L68:N68" ca="1" si="49">L70+L74</f>
        <v>0</v>
      </c>
      <c r="M68" s="87">
        <f t="shared" ca="1" si="49"/>
        <v>0</v>
      </c>
      <c r="N68" s="87">
        <f t="shared" ca="1" si="49"/>
        <v>0</v>
      </c>
      <c r="O68" s="155">
        <f t="shared" ca="1" si="46"/>
        <v>0</v>
      </c>
      <c r="P68" s="155">
        <f t="shared" ca="1" si="47"/>
        <v>0</v>
      </c>
    </row>
    <row r="69" spans="1:16" ht="21.75" customHeight="1" x14ac:dyDescent="0.3">
      <c r="A69" s="156"/>
      <c r="B69" s="157"/>
      <c r="C69" s="157" t="s">
        <v>16</v>
      </c>
      <c r="D69" s="158" t="s">
        <v>38</v>
      </c>
      <c r="E69" s="159"/>
      <c r="F69" s="159"/>
      <c r="G69" s="160" t="s">
        <v>39</v>
      </c>
      <c r="H69" s="161" t="s">
        <v>12</v>
      </c>
      <c r="I69" s="162" t="s">
        <v>40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3">
      <c r="A70" s="156"/>
      <c r="B70" s="157"/>
      <c r="C70" s="157"/>
      <c r="D70" s="166"/>
      <c r="E70" s="159"/>
      <c r="F70" s="159" t="s">
        <v>40</v>
      </c>
      <c r="G70" s="160" t="s">
        <v>41</v>
      </c>
      <c r="H70" s="161" t="s">
        <v>12</v>
      </c>
      <c r="I70" s="162"/>
      <c r="J70" s="162"/>
      <c r="K70" s="163"/>
      <c r="L70" s="167">
        <f ca="1">L71+L72</f>
        <v>0</v>
      </c>
      <c r="M70" s="167">
        <f ca="1">IFERROR(__xludf.DUMMYFUNCTION("IMPORTRANGE(""https://docs.google.com/spreadsheets/d/1Yj_ptqi66GCucihVvJfMjLAmec39IyEx_6qawtMGysU/edit?usp=sharing"",""สบก!AI31"")"),0)</f>
        <v>0</v>
      </c>
      <c r="N70" s="168">
        <f ca="1">IFERROR(__xludf.DUMMYFUNCTION("IMPORTRANGE(""https://docs.google.com/spreadsheets/d/1Yj_ptqi66GCucihVvJfMjLAmec39IyEx_6qawtMGysU/edit?usp=sharing"",""สบก!AJ31"")"),0)</f>
        <v>0</v>
      </c>
      <c r="O70" s="168">
        <f ca="1">IF(L70&gt;0,N70*100/L70,0)</f>
        <v>0</v>
      </c>
      <c r="P70" s="168">
        <f ca="1">IF(M70&gt;0,N70*100/M70,0)</f>
        <v>0</v>
      </c>
    </row>
    <row r="71" spans="1:16" ht="21.75" customHeight="1" x14ac:dyDescent="0.3">
      <c r="A71" s="156"/>
      <c r="B71" s="157"/>
      <c r="C71" s="157"/>
      <c r="D71" s="166"/>
      <c r="E71" s="159"/>
      <c r="F71" s="159"/>
      <c r="G71" s="169" t="s">
        <v>42</v>
      </c>
      <c r="H71" s="161" t="s">
        <v>12</v>
      </c>
      <c r="I71" s="162"/>
      <c r="J71" s="162"/>
      <c r="K71" s="163"/>
      <c r="L71" s="167">
        <f ca="1">IFERROR(__xludf.DUMMYFUNCTION("IMPORTRANGE(""https://docs.google.com/spreadsheets/d/1Yj_ptqi66GCucihVvJfMjLAmec39IyEx_6qawtMGysU/edit?usp=sharing"",""สบก!AE31"")"),0)</f>
        <v>0</v>
      </c>
      <c r="M71" s="167"/>
      <c r="N71" s="167"/>
      <c r="O71" s="168"/>
      <c r="P71" s="168"/>
    </row>
    <row r="72" spans="1:16" ht="21.75" customHeight="1" x14ac:dyDescent="0.3">
      <c r="A72" s="156"/>
      <c r="B72" s="157"/>
      <c r="C72" s="157"/>
      <c r="D72" s="166"/>
      <c r="E72" s="159"/>
      <c r="F72" s="159"/>
      <c r="G72" s="169" t="s">
        <v>43</v>
      </c>
      <c r="H72" s="161" t="s">
        <v>12</v>
      </c>
      <c r="I72" s="162"/>
      <c r="J72" s="162"/>
      <c r="K72" s="163"/>
      <c r="L72" s="167">
        <f ca="1">IFERROR(__xludf.DUMMYFUNCTION("IMPORTRANGE(""https://docs.google.com/spreadsheets/d/1Yj_ptqi66GCucihVvJfMjLAmec39IyEx_6qawtMGysU/edit?usp=sharing"",""สบก!AF31"")"),0)</f>
        <v>0</v>
      </c>
      <c r="M72" s="167"/>
      <c r="N72" s="167"/>
      <c r="O72" s="168"/>
      <c r="P72" s="168"/>
    </row>
    <row r="73" spans="1:16" ht="21.75" customHeight="1" x14ac:dyDescent="0.45">
      <c r="A73" s="170"/>
      <c r="B73" s="80"/>
      <c r="C73" s="81" t="s">
        <v>16</v>
      </c>
      <c r="D73" s="534" t="s">
        <v>23</v>
      </c>
      <c r="E73" s="530"/>
      <c r="F73" s="88"/>
      <c r="G73" s="82" t="s">
        <v>18</v>
      </c>
      <c r="H73" s="171" t="s">
        <v>12</v>
      </c>
      <c r="I73" s="84"/>
      <c r="J73" s="84"/>
      <c r="K73" s="85"/>
      <c r="L73" s="41">
        <v>0</v>
      </c>
      <c r="M73" s="41"/>
      <c r="N73" s="41"/>
      <c r="O73" s="41"/>
      <c r="P73" s="41"/>
    </row>
    <row r="74" spans="1:16" ht="21.75" customHeight="1" x14ac:dyDescent="0.45">
      <c r="A74" s="172"/>
      <c r="B74" s="91"/>
      <c r="C74" s="91"/>
      <c r="D74" s="173"/>
      <c r="E74" s="92"/>
      <c r="F74" s="92"/>
      <c r="G74" s="93" t="s">
        <v>19</v>
      </c>
      <c r="H74" s="174" t="s">
        <v>12</v>
      </c>
      <c r="I74" s="95"/>
      <c r="J74" s="95"/>
      <c r="K74" s="96"/>
      <c r="L74" s="49">
        <f ca="1">IFERROR(__xludf.DUMMYFUNCTION("IMPORTRANGE(""https://docs.google.com/spreadsheets/d/1Yj_ptqi66GCucihVvJfMjLAmec39IyEx_6qawtMGysU/edit?usp=sharing"",""สบก!AG31"")"),0)</f>
        <v>0</v>
      </c>
      <c r="M74" s="49"/>
      <c r="N74" s="49">
        <f ca="1">IFERROR(__xludf.DUMMYFUNCTION("IMPORTRANGE(""https://docs.google.com/spreadsheets/d/1Yj_ptqi66GCucihVvJfMjLAmec39IyEx_6qawtMGysU/edit?usp=sharing"",""สบก!AK31"")"),0)</f>
        <v>0</v>
      </c>
      <c r="O74" s="49">
        <f ca="1">IF(L74&gt;0,N74*100/L74,0)</f>
        <v>0</v>
      </c>
      <c r="P74" s="49"/>
    </row>
    <row r="75" spans="1:16" ht="21.75" customHeight="1" x14ac:dyDescent="0.3">
      <c r="A75" s="175"/>
      <c r="B75" s="176"/>
      <c r="C75" s="157" t="s">
        <v>16</v>
      </c>
      <c r="D75" s="177" t="s">
        <v>44</v>
      </c>
      <c r="E75" s="178"/>
      <c r="F75" s="178"/>
      <c r="G75" s="179"/>
      <c r="H75" s="180"/>
      <c r="I75" s="162"/>
      <c r="J75" s="162"/>
      <c r="K75" s="163"/>
      <c r="L75" s="181"/>
      <c r="M75" s="181"/>
      <c r="N75" s="181"/>
      <c r="O75" s="181"/>
      <c r="P75" s="181"/>
    </row>
    <row r="76" spans="1:16" ht="21.75" customHeight="1" x14ac:dyDescent="0.3">
      <c r="A76" s="175"/>
      <c r="B76" s="176"/>
      <c r="C76" s="176"/>
      <c r="D76" s="182">
        <v>1</v>
      </c>
      <c r="E76" s="183" t="s">
        <v>45</v>
      </c>
      <c r="F76" s="184"/>
      <c r="G76" s="185"/>
      <c r="H76" s="186"/>
      <c r="I76" s="187"/>
      <c r="J76" s="188">
        <f ca="1">IFERROR(__xludf.DUMMYFUNCTION("IMPORTRANGE(""https://docs.google.com/spreadsheets/d/11923uPwbBZFjjGgGUA6NLw09EwE0CqkOc4q9oUmW1yo/edit?usp=sharing"",""แม่ฮ่องสอน!J16"")"),0)</f>
        <v>0</v>
      </c>
      <c r="K76" s="163"/>
      <c r="L76" s="181"/>
      <c r="M76" s="181"/>
      <c r="N76" s="181"/>
      <c r="O76" s="181"/>
      <c r="P76" s="181"/>
    </row>
    <row r="77" spans="1:16" ht="21.75" customHeight="1" x14ac:dyDescent="0.3">
      <c r="A77" s="175"/>
      <c r="B77" s="176"/>
      <c r="C77" s="176"/>
      <c r="D77" s="189">
        <v>2</v>
      </c>
      <c r="E77" s="190" t="s">
        <v>46</v>
      </c>
      <c r="F77" s="191"/>
      <c r="G77" s="192"/>
      <c r="H77" s="186"/>
      <c r="I77" s="187"/>
      <c r="J77" s="188">
        <f ca="1">IFERROR(__xludf.DUMMYFUNCTION("IMPORTRANGE(""https://docs.google.com/spreadsheets/d/11923uPwbBZFjjGgGUA6NLw09EwE0CqkOc4q9oUmW1yo/edit?usp=sharing"",""แม่ฮ่องสอน!J17"")"),0)</f>
        <v>0</v>
      </c>
      <c r="K77" s="163"/>
      <c r="L77" s="181" t="s">
        <v>40</v>
      </c>
      <c r="M77" s="181"/>
      <c r="N77" s="181" t="s">
        <v>40</v>
      </c>
      <c r="O77" s="181"/>
      <c r="P77" s="181"/>
    </row>
    <row r="78" spans="1:16" ht="21.75" customHeight="1" x14ac:dyDescent="0.3">
      <c r="A78" s="175"/>
      <c r="B78" s="176"/>
      <c r="C78" s="176"/>
      <c r="D78" s="193"/>
      <c r="E78" s="194" t="s">
        <v>47</v>
      </c>
      <c r="F78" s="195"/>
      <c r="G78" s="196"/>
      <c r="H78" s="186"/>
      <c r="I78" s="187"/>
      <c r="J78" s="188">
        <f ca="1">IFERROR(__xludf.DUMMYFUNCTION("IMPORTRANGE(""https://docs.google.com/spreadsheets/d/11923uPwbBZFjjGgGUA6NLw09EwE0CqkOc4q9oUmW1yo/edit?usp=sharing"",""แม่ฮ่องสอน!J18"")"),0)</f>
        <v>0</v>
      </c>
      <c r="K78" s="163"/>
      <c r="L78" s="181"/>
      <c r="M78" s="181"/>
      <c r="N78" s="181"/>
      <c r="O78" s="181"/>
      <c r="P78" s="181"/>
    </row>
    <row r="79" spans="1:16" ht="21.75" customHeight="1" x14ac:dyDescent="0.3">
      <c r="A79" s="175"/>
      <c r="B79" s="176"/>
      <c r="C79" s="176"/>
      <c r="D79" s="193"/>
      <c r="E79" s="194" t="s">
        <v>48</v>
      </c>
      <c r="F79" s="195"/>
      <c r="G79" s="196"/>
      <c r="H79" s="186"/>
      <c r="I79" s="187"/>
      <c r="J79" s="197">
        <f ca="1">IFERROR(__xludf.DUMMYFUNCTION("IMPORTRANGE(""https://docs.google.com/spreadsheets/d/11923uPwbBZFjjGgGUA6NLw09EwE0CqkOc4q9oUmW1yo/edit?usp=sharing"",""แม่ฮ่องสอน!J19"")"),0)</f>
        <v>0</v>
      </c>
      <c r="K79" s="163"/>
      <c r="L79" s="181"/>
      <c r="M79" s="181"/>
      <c r="N79" s="181"/>
      <c r="O79" s="181"/>
      <c r="P79" s="181"/>
    </row>
    <row r="80" spans="1:16" ht="21.75" customHeight="1" x14ac:dyDescent="0.3">
      <c r="A80" s="175"/>
      <c r="B80" s="176"/>
      <c r="C80" s="176"/>
      <c r="D80" s="193"/>
      <c r="E80" s="198"/>
      <c r="F80" s="194" t="s">
        <v>49</v>
      </c>
      <c r="G80" s="195"/>
      <c r="H80" s="199" t="s">
        <v>36</v>
      </c>
      <c r="I80" s="200">
        <f ca="1">IFERROR(__xludf.DUMMYFUNCTION("IMPORTRANGE(""https://docs.google.com/spreadsheets/d/11923uPwbBZFjjGgGUA6NLw09EwE0CqkOc4q9oUmW1yo/edit?usp=sharing"",""แม่ฮ่องสอน!I20"")"),0)</f>
        <v>0</v>
      </c>
      <c r="J80" s="200">
        <f ca="1">IFERROR(__xludf.DUMMYFUNCTION("IMPORTRANGE(""https://docs.google.com/spreadsheets/d/11923uPwbBZFjjGgGUA6NLw09EwE0CqkOc4q9oUmW1yo/edit?usp=sharing"",""แม่ฮ่องสอน!J20"")"),0)</f>
        <v>0</v>
      </c>
      <c r="K80" s="201">
        <f t="shared" ref="K80:K88" ca="1" si="50">IF(I80&gt;0,J80*100/I80,0)</f>
        <v>0</v>
      </c>
      <c r="L80" s="181"/>
      <c r="M80" s="181"/>
      <c r="N80" s="181"/>
      <c r="O80" s="181"/>
      <c r="P80" s="181"/>
    </row>
    <row r="81" spans="1:16" ht="21.75" customHeight="1" x14ac:dyDescent="0.3">
      <c r="A81" s="175"/>
      <c r="B81" s="176"/>
      <c r="C81" s="176"/>
      <c r="D81" s="193"/>
      <c r="E81" s="198"/>
      <c r="F81" s="195"/>
      <c r="G81" s="196"/>
      <c r="H81" s="199" t="s">
        <v>37</v>
      </c>
      <c r="I81" s="200">
        <f ca="1">IFERROR(__xludf.DUMMYFUNCTION("IMPORTRANGE(""https://docs.google.com/spreadsheets/d/11923uPwbBZFjjGgGUA6NLw09EwE0CqkOc4q9oUmW1yo/edit?usp=sharing"",""แม่ฮ่องสอน!I21"")"),0)</f>
        <v>0</v>
      </c>
      <c r="J81" s="200">
        <f ca="1">IFERROR(__xludf.DUMMYFUNCTION("IMPORTRANGE(""https://docs.google.com/spreadsheets/d/11923uPwbBZFjjGgGUA6NLw09EwE0CqkOc4q9oUmW1yo/edit?usp=sharing"",""แม่ฮ่องสอน!J21"")"),0)</f>
        <v>0</v>
      </c>
      <c r="K81" s="201">
        <f t="shared" ca="1" si="50"/>
        <v>0</v>
      </c>
      <c r="L81" s="181"/>
      <c r="M81" s="181"/>
      <c r="N81" s="181"/>
      <c r="O81" s="181"/>
      <c r="P81" s="181"/>
    </row>
    <row r="82" spans="1:16" ht="21.75" customHeight="1" x14ac:dyDescent="0.3">
      <c r="A82" s="175"/>
      <c r="B82" s="176"/>
      <c r="C82" s="176"/>
      <c r="D82" s="193"/>
      <c r="E82" s="198"/>
      <c r="F82" s="195"/>
      <c r="G82" s="195" t="s">
        <v>50</v>
      </c>
      <c r="H82" s="180" t="s">
        <v>36</v>
      </c>
      <c r="I82" s="202">
        <f ca="1">IFERROR(__xludf.DUMMYFUNCTION("IMPORTRANGE(""https://docs.google.com/spreadsheets/d/11923uPwbBZFjjGgGUA6NLw09EwE0CqkOc4q9oUmW1yo/edit?usp=sharing"",""แม่ฮ่องสอน!I22"")"),0)</f>
        <v>0</v>
      </c>
      <c r="J82" s="203">
        <f ca="1">IFERROR(__xludf.DUMMYFUNCTION("IMPORTRANGE(""https://docs.google.com/spreadsheets/d/11923uPwbBZFjjGgGUA6NLw09EwE0CqkOc4q9oUmW1yo/edit?usp=sharing"",""แม่ฮ่องสอน!J22"")"),0)</f>
        <v>0</v>
      </c>
      <c r="K82" s="163">
        <f t="shared" ca="1" si="50"/>
        <v>0</v>
      </c>
      <c r="L82" s="181"/>
      <c r="M82" s="181"/>
      <c r="N82" s="181"/>
      <c r="O82" s="181"/>
      <c r="P82" s="181"/>
    </row>
    <row r="83" spans="1:16" ht="21.75" customHeight="1" x14ac:dyDescent="0.3">
      <c r="A83" s="175"/>
      <c r="B83" s="176"/>
      <c r="C83" s="176"/>
      <c r="D83" s="193"/>
      <c r="E83" s="198"/>
      <c r="F83" s="195"/>
      <c r="G83" s="196"/>
      <c r="H83" s="180" t="s">
        <v>37</v>
      </c>
      <c r="I83" s="202">
        <f ca="1">IFERROR(__xludf.DUMMYFUNCTION("IMPORTRANGE(""https://docs.google.com/spreadsheets/d/11923uPwbBZFjjGgGUA6NLw09EwE0CqkOc4q9oUmW1yo/edit?usp=sharing"",""แม่ฮ่องสอน!I23"")"),0)</f>
        <v>0</v>
      </c>
      <c r="J83" s="203">
        <f ca="1">IFERROR(__xludf.DUMMYFUNCTION("IMPORTRANGE(""https://docs.google.com/spreadsheets/d/11923uPwbBZFjjGgGUA6NLw09EwE0CqkOc4q9oUmW1yo/edit?usp=sharing"",""แม่ฮ่องสอน!J23"")"),0)</f>
        <v>0</v>
      </c>
      <c r="K83" s="163">
        <f t="shared" ca="1" si="50"/>
        <v>0</v>
      </c>
      <c r="L83" s="181"/>
      <c r="M83" s="181"/>
      <c r="N83" s="181"/>
      <c r="O83" s="181"/>
      <c r="P83" s="181"/>
    </row>
    <row r="84" spans="1:16" ht="21.75" customHeight="1" x14ac:dyDescent="0.3">
      <c r="A84" s="175"/>
      <c r="B84" s="176"/>
      <c r="C84" s="176"/>
      <c r="D84" s="193"/>
      <c r="E84" s="198"/>
      <c r="F84" s="195"/>
      <c r="G84" s="195" t="s">
        <v>51</v>
      </c>
      <c r="H84" s="180" t="s">
        <v>36</v>
      </c>
      <c r="I84" s="202">
        <f ca="1">IFERROR(__xludf.DUMMYFUNCTION("IMPORTRANGE(""https://docs.google.com/spreadsheets/d/11923uPwbBZFjjGgGUA6NLw09EwE0CqkOc4q9oUmW1yo/edit?usp=sharing"",""แม่ฮ่องสอน!I24"")"),0)</f>
        <v>0</v>
      </c>
      <c r="J84" s="188">
        <f ca="1">IFERROR(__xludf.DUMMYFUNCTION("IMPORTRANGE(""https://docs.google.com/spreadsheets/d/11923uPwbBZFjjGgGUA6NLw09EwE0CqkOc4q9oUmW1yo/edit?usp=sharing"",""แม่ฮ่องสอน!J24"")"),0)</f>
        <v>0</v>
      </c>
      <c r="K84" s="163">
        <f t="shared" ca="1" si="50"/>
        <v>0</v>
      </c>
      <c r="L84" s="181"/>
      <c r="M84" s="181"/>
      <c r="N84" s="181"/>
      <c r="O84" s="181"/>
      <c r="P84" s="181"/>
    </row>
    <row r="85" spans="1:16" ht="21.75" customHeight="1" x14ac:dyDescent="0.3">
      <c r="A85" s="175"/>
      <c r="B85" s="176"/>
      <c r="C85" s="176"/>
      <c r="D85" s="193"/>
      <c r="E85" s="198"/>
      <c r="F85" s="195"/>
      <c r="G85" s="196"/>
      <c r="H85" s="180" t="s">
        <v>37</v>
      </c>
      <c r="I85" s="202">
        <f ca="1">IFERROR(__xludf.DUMMYFUNCTION("IMPORTRANGE(""https://docs.google.com/spreadsheets/d/11923uPwbBZFjjGgGUA6NLw09EwE0CqkOc4q9oUmW1yo/edit?usp=sharing"",""แม่ฮ่องสอน!I25"")"),0)</f>
        <v>0</v>
      </c>
      <c r="J85" s="188">
        <f ca="1">IFERROR(__xludf.DUMMYFUNCTION("IMPORTRANGE(""https://docs.google.com/spreadsheets/d/11923uPwbBZFjjGgGUA6NLw09EwE0CqkOc4q9oUmW1yo/edit?usp=sharing"",""แม่ฮ่องสอน!J25"")"),0)</f>
        <v>0</v>
      </c>
      <c r="K85" s="163">
        <f t="shared" ca="1" si="50"/>
        <v>0</v>
      </c>
      <c r="L85" s="181"/>
      <c r="M85" s="181"/>
      <c r="N85" s="181"/>
      <c r="O85" s="181"/>
      <c r="P85" s="181"/>
    </row>
    <row r="86" spans="1:16" ht="21.75" customHeight="1" x14ac:dyDescent="0.3">
      <c r="A86" s="175"/>
      <c r="B86" s="176"/>
      <c r="C86" s="176"/>
      <c r="D86" s="193"/>
      <c r="E86" s="198"/>
      <c r="F86" s="195"/>
      <c r="G86" s="195" t="s">
        <v>52</v>
      </c>
      <c r="H86" s="180" t="s">
        <v>36</v>
      </c>
      <c r="I86" s="202">
        <f ca="1">IFERROR(__xludf.DUMMYFUNCTION("IMPORTRANGE(""https://docs.google.com/spreadsheets/d/11923uPwbBZFjjGgGUA6NLw09EwE0CqkOc4q9oUmW1yo/edit?usp=sharing"",""แม่ฮ่องสอน!I26"")"),0)</f>
        <v>0</v>
      </c>
      <c r="J86" s="203">
        <f ca="1">IFERROR(__xludf.DUMMYFUNCTION("IMPORTRANGE(""https://docs.google.com/spreadsheets/d/11923uPwbBZFjjGgGUA6NLw09EwE0CqkOc4q9oUmW1yo/edit?usp=sharing"",""แม่ฮ่องสอน!J26"")"),0)</f>
        <v>0</v>
      </c>
      <c r="K86" s="163">
        <f t="shared" ca="1" si="50"/>
        <v>0</v>
      </c>
      <c r="L86" s="181"/>
      <c r="M86" s="181"/>
      <c r="N86" s="181"/>
      <c r="O86" s="181"/>
      <c r="P86" s="181"/>
    </row>
    <row r="87" spans="1:16" ht="21.75" customHeight="1" x14ac:dyDescent="0.3">
      <c r="A87" s="175"/>
      <c r="B87" s="176"/>
      <c r="C87" s="176"/>
      <c r="D87" s="193"/>
      <c r="E87" s="198"/>
      <c r="F87" s="195"/>
      <c r="G87" s="196"/>
      <c r="H87" s="180" t="s">
        <v>37</v>
      </c>
      <c r="I87" s="202">
        <f ca="1">IFERROR(__xludf.DUMMYFUNCTION("IMPORTRANGE(""https://docs.google.com/spreadsheets/d/11923uPwbBZFjjGgGUA6NLw09EwE0CqkOc4q9oUmW1yo/edit?usp=sharing"",""แม่ฮ่องสอน!I27"")"),0)</f>
        <v>0</v>
      </c>
      <c r="J87" s="203">
        <f ca="1">IFERROR(__xludf.DUMMYFUNCTION("IMPORTRANGE(""https://docs.google.com/spreadsheets/d/11923uPwbBZFjjGgGUA6NLw09EwE0CqkOc4q9oUmW1yo/edit?usp=sharing"",""แม่ฮ่องสอน!J27"")"),0)</f>
        <v>0</v>
      </c>
      <c r="K87" s="163">
        <f t="shared" ca="1" si="50"/>
        <v>0</v>
      </c>
      <c r="L87" s="181"/>
      <c r="M87" s="181"/>
      <c r="N87" s="181"/>
      <c r="O87" s="181"/>
      <c r="P87" s="181"/>
    </row>
    <row r="88" spans="1:16" ht="21.75" customHeight="1" x14ac:dyDescent="0.3">
      <c r="A88" s="175"/>
      <c r="B88" s="176"/>
      <c r="C88" s="176"/>
      <c r="D88" s="193"/>
      <c r="E88" s="198"/>
      <c r="F88" s="204" t="s">
        <v>53</v>
      </c>
      <c r="G88" s="195"/>
      <c r="H88" s="180" t="s">
        <v>37</v>
      </c>
      <c r="I88" s="202">
        <f ca="1">IFERROR(__xludf.DUMMYFUNCTION("IMPORTRANGE(""https://docs.google.com/spreadsheets/d/11923uPwbBZFjjGgGUA6NLw09EwE0CqkOc4q9oUmW1yo/edit?usp=sharing"",""แม่ฮ่องสอน!I28"")"),0)</f>
        <v>0</v>
      </c>
      <c r="J88" s="203">
        <f ca="1">IFERROR(__xludf.DUMMYFUNCTION("IMPORTRANGE(""https://docs.google.com/spreadsheets/d/11923uPwbBZFjjGgGUA6NLw09EwE0CqkOc4q9oUmW1yo/edit?usp=sharing"",""แม่ฮ่องสอน!J28"")"),0)</f>
        <v>0</v>
      </c>
      <c r="K88" s="163">
        <f t="shared" ca="1" si="50"/>
        <v>0</v>
      </c>
      <c r="L88" s="181"/>
      <c r="M88" s="181"/>
      <c r="N88" s="181"/>
      <c r="O88" s="181"/>
      <c r="P88" s="181"/>
    </row>
    <row r="89" spans="1:16" ht="21.75" customHeight="1" x14ac:dyDescent="0.3">
      <c r="A89" s="175"/>
      <c r="B89" s="176"/>
      <c r="C89" s="176"/>
      <c r="D89" s="193"/>
      <c r="E89" s="194" t="s">
        <v>54</v>
      </c>
      <c r="F89" s="195"/>
      <c r="G89" s="196"/>
      <c r="H89" s="186"/>
      <c r="I89" s="187"/>
      <c r="J89" s="197">
        <f ca="1">IFERROR(__xludf.DUMMYFUNCTION("IMPORTRANGE(""https://docs.google.com/spreadsheets/d/11923uPwbBZFjjGgGUA6NLw09EwE0CqkOc4q9oUmW1yo/edit?usp=sharing"",""แม่ฮ่องสอน!J29"")"),0)</f>
        <v>0</v>
      </c>
      <c r="K89" s="163"/>
      <c r="L89" s="181"/>
      <c r="M89" s="181"/>
      <c r="N89" s="181"/>
      <c r="O89" s="181"/>
      <c r="P89" s="181"/>
    </row>
    <row r="90" spans="1:16" ht="21.75" customHeight="1" x14ac:dyDescent="0.3">
      <c r="A90" s="175"/>
      <c r="B90" s="176"/>
      <c r="C90" s="176"/>
      <c r="D90" s="205">
        <v>3</v>
      </c>
      <c r="E90" s="206" t="s">
        <v>55</v>
      </c>
      <c r="F90" s="207"/>
      <c r="G90" s="208"/>
      <c r="H90" s="186"/>
      <c r="I90" s="187"/>
      <c r="J90" s="209">
        <f ca="1">IFERROR(__xludf.DUMMYFUNCTION("IMPORTRANGE(""https://docs.google.com/spreadsheets/d/11923uPwbBZFjjGgGUA6NLw09EwE0CqkOc4q9oUmW1yo/edit?usp=sharing"",""แม่ฮ่องสอน!J30"")"),0)</f>
        <v>0</v>
      </c>
      <c r="K90" s="163"/>
      <c r="L90" s="181"/>
      <c r="M90" s="181"/>
      <c r="N90" s="181"/>
      <c r="O90" s="181"/>
      <c r="P90" s="181"/>
    </row>
    <row r="91" spans="1:16" ht="21.75" customHeight="1" x14ac:dyDescent="0.3">
      <c r="A91" s="210" t="s">
        <v>56</v>
      </c>
      <c r="B91" s="211"/>
      <c r="C91" s="212"/>
      <c r="D91" s="211"/>
      <c r="E91" s="213"/>
      <c r="F91" s="213"/>
      <c r="G91" s="214"/>
      <c r="H91" s="215"/>
      <c r="I91" s="216"/>
      <c r="J91" s="216"/>
      <c r="K91" s="217"/>
      <c r="L91" s="218"/>
      <c r="M91" s="218"/>
      <c r="N91" s="218"/>
      <c r="O91" s="219"/>
      <c r="P91" s="219"/>
    </row>
    <row r="92" spans="1:16" ht="21.75" customHeight="1" x14ac:dyDescent="0.3">
      <c r="A92" s="137"/>
      <c r="B92" s="138" t="s">
        <v>57</v>
      </c>
      <c r="C92" s="138"/>
      <c r="D92" s="139"/>
      <c r="E92" s="138"/>
      <c r="F92" s="138"/>
      <c r="G92" s="220"/>
      <c r="H92" s="140" t="s">
        <v>37</v>
      </c>
      <c r="I92" s="141">
        <f ca="1">IFERROR(__xludf.DUMMYFUNCTION("IMPORTRANGE(""https://docs.google.com/spreadsheets/d/11923uPwbBZFjjGgGUA6NLw09EwE0CqkOc4q9oUmW1yo/edit?usp=sharing"",""แม่ฮ่องสอน!I32"")"),0)</f>
        <v>0</v>
      </c>
      <c r="J92" s="141">
        <f ca="1">IFERROR(__xludf.DUMMYFUNCTION("IMPORTRANGE(""https://docs.google.com/spreadsheets/d/11923uPwbBZFjjGgGUA6NLw09EwE0CqkOc4q9oUmW1yo/edit?usp=sharing"",""แม่ฮ่องสอน!J32"")"),0)</f>
        <v>0</v>
      </c>
      <c r="K92" s="142">
        <f t="shared" ref="K92:K93" ca="1" si="51">IF(I92&gt;0,J92*100/I92,0)</f>
        <v>0</v>
      </c>
      <c r="L92" s="221"/>
      <c r="M92" s="221"/>
      <c r="N92" s="222"/>
      <c r="O92" s="142"/>
      <c r="P92" s="142"/>
    </row>
    <row r="93" spans="1:16" ht="21.75" customHeight="1" x14ac:dyDescent="0.3">
      <c r="A93" s="137"/>
      <c r="B93" s="138"/>
      <c r="C93" s="138"/>
      <c r="D93" s="139" t="s">
        <v>58</v>
      </c>
      <c r="E93" s="138"/>
      <c r="F93" s="138"/>
      <c r="G93" s="220"/>
      <c r="H93" s="140" t="s">
        <v>59</v>
      </c>
      <c r="I93" s="141">
        <f ca="1">IFERROR(__xludf.DUMMYFUNCTION("IMPORTRANGE(""https://docs.google.com/spreadsheets/d/11923uPwbBZFjjGgGUA6NLw09EwE0CqkOc4q9oUmW1yo/edit?usp=sharing"",""แม่ฮ่องสอน!I33"")"),0)</f>
        <v>0</v>
      </c>
      <c r="J93" s="141">
        <f ca="1">IFERROR(__xludf.DUMMYFUNCTION("IMPORTRANGE(""https://docs.google.com/spreadsheets/d/11923uPwbBZFjjGgGUA6NLw09EwE0CqkOc4q9oUmW1yo/edit?usp=sharing"",""แม่ฮ่องสอน!J33"")"),0)</f>
        <v>0</v>
      </c>
      <c r="K93" s="142">
        <f t="shared" ca="1" si="51"/>
        <v>0</v>
      </c>
      <c r="L93" s="222"/>
      <c r="M93" s="222"/>
      <c r="N93" s="222"/>
      <c r="O93" s="142"/>
      <c r="P93" s="142"/>
    </row>
    <row r="94" spans="1:16" ht="21.75" customHeight="1" x14ac:dyDescent="0.45">
      <c r="A94" s="145"/>
      <c r="B94" s="146"/>
      <c r="C94" s="147" t="s">
        <v>16</v>
      </c>
      <c r="D94" s="537" t="s">
        <v>17</v>
      </c>
      <c r="E94" s="528"/>
      <c r="F94" s="528"/>
      <c r="G94" s="528"/>
      <c r="H94" s="148" t="s">
        <v>12</v>
      </c>
      <c r="I94" s="162"/>
      <c r="J94" s="162"/>
      <c r="K94" s="163"/>
      <c r="L94" s="151">
        <f t="shared" ref="L94:N94" ca="1" si="52">L95+L96</f>
        <v>0</v>
      </c>
      <c r="M94" s="151">
        <f t="shared" ca="1" si="52"/>
        <v>0</v>
      </c>
      <c r="N94" s="151">
        <f t="shared" ca="1" si="52"/>
        <v>0</v>
      </c>
      <c r="O94" s="150">
        <f t="shared" ref="O94:O96" ca="1" si="53">IF(L94&gt;0,N94*100/L94,0)</f>
        <v>0</v>
      </c>
      <c r="P94" s="150">
        <f t="shared" ref="P94:P96" ca="1" si="54">IF(M94&gt;0,N94*100/M94,0)</f>
        <v>0</v>
      </c>
    </row>
    <row r="95" spans="1:16" ht="21.75" customHeight="1" x14ac:dyDescent="0.45">
      <c r="A95" s="152"/>
      <c r="B95" s="32"/>
      <c r="C95" s="32"/>
      <c r="D95" s="32"/>
      <c r="E95" s="32"/>
      <c r="F95" s="32"/>
      <c r="G95" s="33" t="s">
        <v>18</v>
      </c>
      <c r="H95" s="153" t="s">
        <v>12</v>
      </c>
      <c r="I95" s="162"/>
      <c r="J95" s="162"/>
      <c r="K95" s="163"/>
      <c r="L95" s="87">
        <f t="shared" ref="L95:N95" si="55">L97+L101</f>
        <v>0</v>
      </c>
      <c r="M95" s="87">
        <f t="shared" si="55"/>
        <v>0</v>
      </c>
      <c r="N95" s="87">
        <f t="shared" si="55"/>
        <v>0</v>
      </c>
      <c r="O95" s="155">
        <f t="shared" si="53"/>
        <v>0</v>
      </c>
      <c r="P95" s="155">
        <f t="shared" si="54"/>
        <v>0</v>
      </c>
    </row>
    <row r="96" spans="1:16" ht="21.75" customHeight="1" x14ac:dyDescent="0.45">
      <c r="A96" s="152"/>
      <c r="B96" s="32"/>
      <c r="C96" s="32"/>
      <c r="D96" s="32"/>
      <c r="E96" s="32"/>
      <c r="F96" s="32"/>
      <c r="G96" s="33" t="s">
        <v>19</v>
      </c>
      <c r="H96" s="153" t="s">
        <v>12</v>
      </c>
      <c r="I96" s="162"/>
      <c r="J96" s="162"/>
      <c r="K96" s="163"/>
      <c r="L96" s="87">
        <f t="shared" ref="L96:N96" ca="1" si="56">L98+L102</f>
        <v>0</v>
      </c>
      <c r="M96" s="87">
        <f t="shared" ca="1" si="56"/>
        <v>0</v>
      </c>
      <c r="N96" s="87">
        <f t="shared" ca="1" si="56"/>
        <v>0</v>
      </c>
      <c r="O96" s="155">
        <f t="shared" ca="1" si="53"/>
        <v>0</v>
      </c>
      <c r="P96" s="155">
        <f t="shared" ca="1" si="54"/>
        <v>0</v>
      </c>
    </row>
    <row r="97" spans="1:16" ht="21.75" customHeight="1" x14ac:dyDescent="0.3">
      <c r="A97" s="156"/>
      <c r="B97" s="157"/>
      <c r="C97" s="157" t="s">
        <v>16</v>
      </c>
      <c r="D97" s="158" t="s">
        <v>38</v>
      </c>
      <c r="E97" s="159"/>
      <c r="F97" s="159"/>
      <c r="G97" s="160" t="s">
        <v>39</v>
      </c>
      <c r="H97" s="161" t="s">
        <v>12</v>
      </c>
      <c r="I97" s="162" t="s">
        <v>40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3">
      <c r="A98" s="156"/>
      <c r="B98" s="157"/>
      <c r="C98" s="157"/>
      <c r="D98" s="166"/>
      <c r="E98" s="159"/>
      <c r="F98" s="159" t="s">
        <v>40</v>
      </c>
      <c r="G98" s="160" t="s">
        <v>41</v>
      </c>
      <c r="H98" s="161" t="s">
        <v>12</v>
      </c>
      <c r="I98" s="162"/>
      <c r="J98" s="162"/>
      <c r="K98" s="163"/>
      <c r="L98" s="167">
        <f ca="1">L99+L100</f>
        <v>0</v>
      </c>
      <c r="M98" s="167">
        <f ca="1">IFERROR(__xludf.DUMMYFUNCTION("IMPORTRANGE(""https://docs.google.com/spreadsheets/d/1Yj_ptqi66GCucihVvJfMjLAmec39IyEx_6qawtMGysU/edit?usp=sharing"",""สบก!AR31"")"),0)</f>
        <v>0</v>
      </c>
      <c r="N98" s="168">
        <f ca="1">IFERROR(__xludf.DUMMYFUNCTION("IMPORTRANGE(""https://docs.google.com/spreadsheets/d/1Yj_ptqi66GCucihVvJfMjLAmec39IyEx_6qawtMGysU/edit?usp=sharing"",""สบก!AS31"")"),0)</f>
        <v>0</v>
      </c>
      <c r="O98" s="168">
        <f ca="1">IF(L98&gt;0,N98*100/L98,0)</f>
        <v>0</v>
      </c>
      <c r="P98" s="168">
        <f ca="1">IF(M98&gt;0,N98*100/M98,0)</f>
        <v>0</v>
      </c>
    </row>
    <row r="99" spans="1:16" ht="21.75" customHeight="1" x14ac:dyDescent="0.3">
      <c r="A99" s="156"/>
      <c r="B99" s="157"/>
      <c r="C99" s="157"/>
      <c r="D99" s="166"/>
      <c r="E99" s="159"/>
      <c r="F99" s="159"/>
      <c r="G99" s="169" t="s">
        <v>42</v>
      </c>
      <c r="H99" s="161" t="s">
        <v>12</v>
      </c>
      <c r="I99" s="162"/>
      <c r="J99" s="162"/>
      <c r="K99" s="163"/>
      <c r="L99" s="167">
        <f ca="1">IFERROR(__xludf.DUMMYFUNCTION("IMPORTRANGE(""https://docs.google.com/spreadsheets/d/1Yj_ptqi66GCucihVvJfMjLAmec39IyEx_6qawtMGysU/edit?usp=sharing"",""สบก!AN31"")"),0)</f>
        <v>0</v>
      </c>
      <c r="M99" s="167"/>
      <c r="N99" s="167"/>
      <c r="O99" s="168"/>
      <c r="P99" s="168"/>
    </row>
    <row r="100" spans="1:16" ht="21.75" customHeight="1" x14ac:dyDescent="0.3">
      <c r="A100" s="156"/>
      <c r="B100" s="157"/>
      <c r="C100" s="157"/>
      <c r="D100" s="166"/>
      <c r="E100" s="159"/>
      <c r="F100" s="159"/>
      <c r="G100" s="169" t="s">
        <v>43</v>
      </c>
      <c r="H100" s="161" t="s">
        <v>12</v>
      </c>
      <c r="I100" s="162"/>
      <c r="J100" s="187"/>
      <c r="K100" s="223"/>
      <c r="L100" s="167">
        <f ca="1">IFERROR(__xludf.DUMMYFUNCTION("IMPORTRANGE(""https://docs.google.com/spreadsheets/d/1Yj_ptqi66GCucihVvJfMjLAmec39IyEx_6qawtMGysU/edit?usp=sharing"",""สบก!AO31"")"),0)</f>
        <v>0</v>
      </c>
      <c r="M100" s="167"/>
      <c r="N100" s="167"/>
      <c r="O100" s="168"/>
      <c r="P100" s="168"/>
    </row>
    <row r="101" spans="1:16" ht="21.75" customHeight="1" x14ac:dyDescent="0.45">
      <c r="A101" s="170"/>
      <c r="B101" s="80"/>
      <c r="C101" s="81" t="s">
        <v>16</v>
      </c>
      <c r="D101" s="534" t="s">
        <v>23</v>
      </c>
      <c r="E101" s="530"/>
      <c r="F101" s="88"/>
      <c r="G101" s="82" t="s">
        <v>18</v>
      </c>
      <c r="H101" s="171" t="s">
        <v>12</v>
      </c>
      <c r="I101" s="187"/>
      <c r="J101" s="187"/>
      <c r="K101" s="223"/>
      <c r="L101" s="41">
        <v>0</v>
      </c>
      <c r="M101" s="41"/>
      <c r="N101" s="41"/>
      <c r="O101" s="41"/>
      <c r="P101" s="41"/>
    </row>
    <row r="102" spans="1:16" ht="21.75" customHeight="1" x14ac:dyDescent="0.45">
      <c r="A102" s="172"/>
      <c r="B102" s="91"/>
      <c r="C102" s="91"/>
      <c r="D102" s="173"/>
      <c r="E102" s="92"/>
      <c r="F102" s="92"/>
      <c r="G102" s="93" t="s">
        <v>19</v>
      </c>
      <c r="H102" s="174" t="s">
        <v>12</v>
      </c>
      <c r="I102" s="187"/>
      <c r="J102" s="187"/>
      <c r="K102" s="223"/>
      <c r="L102" s="49">
        <f ca="1">IFERROR(__xludf.DUMMYFUNCTION("IMPORTRANGE(""https://docs.google.com/spreadsheets/d/1Yj_ptqi66GCucihVvJfMjLAmec39IyEx_6qawtMGysU/edit?usp=sharing"",""สบก!AP31"")"),0)</f>
        <v>0</v>
      </c>
      <c r="M102" s="49"/>
      <c r="N102" s="49">
        <f ca="1">IFERROR(__xludf.DUMMYFUNCTION("IMPORTRANGE(""https://docs.google.com/spreadsheets/d/1Yj_ptqi66GCucihVvJfMjLAmec39IyEx_6qawtMGysU/edit?usp=sharing"",""สบก!AT31"")"),0)</f>
        <v>0</v>
      </c>
      <c r="O102" s="49">
        <f ca="1">IF(L102&gt;0,N102*100/L102,0)</f>
        <v>0</v>
      </c>
      <c r="P102" s="49"/>
    </row>
    <row r="103" spans="1:16" ht="21.75" customHeight="1" x14ac:dyDescent="0.3">
      <c r="A103" s="175"/>
      <c r="B103" s="176"/>
      <c r="C103" s="157" t="s">
        <v>16</v>
      </c>
      <c r="D103" s="177" t="s">
        <v>44</v>
      </c>
      <c r="E103" s="178"/>
      <c r="F103" s="178"/>
      <c r="G103" s="179"/>
      <c r="H103" s="180"/>
      <c r="I103" s="162"/>
      <c r="J103" s="187"/>
      <c r="K103" s="223"/>
      <c r="L103" s="168"/>
      <c r="M103" s="168"/>
      <c r="N103" s="168"/>
      <c r="O103" s="181"/>
      <c r="P103" s="181"/>
    </row>
    <row r="104" spans="1:16" ht="21.75" customHeight="1" x14ac:dyDescent="0.3">
      <c r="A104" s="175"/>
      <c r="B104" s="176"/>
      <c r="C104" s="176"/>
      <c r="D104" s="182">
        <v>1</v>
      </c>
      <c r="E104" s="183" t="s">
        <v>45</v>
      </c>
      <c r="F104" s="184"/>
      <c r="G104" s="185"/>
      <c r="H104" s="186"/>
      <c r="I104" s="187"/>
      <c r="J104" s="187">
        <f ca="1">IFERROR(__xludf.DUMMYFUNCTION("IMPORTRANGE(""https://docs.google.com/spreadsheets/d/11923uPwbBZFjjGgGUA6NLw09EwE0CqkOc4q9oUmW1yo/edit?usp=sharing"",""แม่ฮ่องสอน!J39"")"),0)</f>
        <v>0</v>
      </c>
      <c r="K104" s="223"/>
      <c r="L104" s="168"/>
      <c r="M104" s="168"/>
      <c r="N104" s="168"/>
      <c r="O104" s="181"/>
      <c r="P104" s="181"/>
    </row>
    <row r="105" spans="1:16" ht="21.75" customHeight="1" x14ac:dyDescent="0.3">
      <c r="A105" s="175"/>
      <c r="B105" s="176"/>
      <c r="C105" s="176"/>
      <c r="D105" s="189">
        <v>2</v>
      </c>
      <c r="E105" s="190" t="s">
        <v>46</v>
      </c>
      <c r="F105" s="191"/>
      <c r="G105" s="192"/>
      <c r="H105" s="186"/>
      <c r="I105" s="187"/>
      <c r="J105" s="187">
        <f ca="1">IFERROR(__xludf.DUMMYFUNCTION("IMPORTRANGE(""https://docs.google.com/spreadsheets/d/11923uPwbBZFjjGgGUA6NLw09EwE0CqkOc4q9oUmW1yo/edit?usp=sharing"",""แม่ฮ่องสอน!J40"")"),0)</f>
        <v>0</v>
      </c>
      <c r="K105" s="223"/>
      <c r="L105" s="168" t="s">
        <v>40</v>
      </c>
      <c r="M105" s="168"/>
      <c r="N105" s="168" t="s">
        <v>40</v>
      </c>
      <c r="O105" s="181"/>
      <c r="P105" s="181"/>
    </row>
    <row r="106" spans="1:16" ht="21.75" customHeight="1" x14ac:dyDescent="0.3">
      <c r="A106" s="175"/>
      <c r="B106" s="176"/>
      <c r="C106" s="176"/>
      <c r="D106" s="193"/>
      <c r="E106" s="194" t="s">
        <v>47</v>
      </c>
      <c r="F106" s="195"/>
      <c r="G106" s="196"/>
      <c r="H106" s="186"/>
      <c r="I106" s="187"/>
      <c r="J106" s="187">
        <f ca="1">IFERROR(__xludf.DUMMYFUNCTION("IMPORTRANGE(""https://docs.google.com/spreadsheets/d/11923uPwbBZFjjGgGUA6NLw09EwE0CqkOc4q9oUmW1yo/edit?usp=sharing"",""แม่ฮ่องสอน!J41"")"),0)</f>
        <v>0</v>
      </c>
      <c r="K106" s="223"/>
      <c r="L106" s="168"/>
      <c r="M106" s="168"/>
      <c r="N106" s="168"/>
      <c r="O106" s="181"/>
      <c r="P106" s="181"/>
    </row>
    <row r="107" spans="1:16" ht="21.75" customHeight="1" x14ac:dyDescent="0.3">
      <c r="A107" s="175"/>
      <c r="B107" s="176"/>
      <c r="C107" s="176"/>
      <c r="D107" s="193"/>
      <c r="E107" s="194" t="s">
        <v>48</v>
      </c>
      <c r="F107" s="195"/>
      <c r="G107" s="196"/>
      <c r="H107" s="186"/>
      <c r="I107" s="187"/>
      <c r="J107" s="187">
        <f ca="1">IFERROR(__xludf.DUMMYFUNCTION("IMPORTRANGE(""https://docs.google.com/spreadsheets/d/11923uPwbBZFjjGgGUA6NLw09EwE0CqkOc4q9oUmW1yo/edit?usp=sharing"",""แม่ฮ่องสอน!J42"")"),0)</f>
        <v>0</v>
      </c>
      <c r="K107" s="223"/>
      <c r="L107" s="168"/>
      <c r="M107" s="168"/>
      <c r="N107" s="168"/>
      <c r="O107" s="181"/>
      <c r="P107" s="181"/>
    </row>
    <row r="108" spans="1:16" ht="21.75" customHeight="1" x14ac:dyDescent="0.3">
      <c r="A108" s="175"/>
      <c r="B108" s="176"/>
      <c r="C108" s="176"/>
      <c r="D108" s="193"/>
      <c r="E108" s="195"/>
      <c r="F108" s="195" t="s">
        <v>60</v>
      </c>
      <c r="G108" s="195"/>
      <c r="H108" s="180" t="s">
        <v>61</v>
      </c>
      <c r="I108" s="202">
        <f ca="1">IFERROR(__xludf.DUMMYFUNCTION("IMPORTRANGE(""https://docs.google.com/spreadsheets/d/11923uPwbBZFjjGgGUA6NLw09EwE0CqkOc4q9oUmW1yo/edit?usp=sharing"",""แม่ฮ่องสอน!I43"")"),0)</f>
        <v>0</v>
      </c>
      <c r="J108" s="203">
        <f ca="1">IFERROR(__xludf.DUMMYFUNCTION("IMPORTRANGE(""https://docs.google.com/spreadsheets/d/11923uPwbBZFjjGgGUA6NLw09EwE0CqkOc4q9oUmW1yo/edit?usp=sharing"",""แม่ฮ่องสอน!J43"")"),0)</f>
        <v>0</v>
      </c>
      <c r="K108" s="223">
        <f t="shared" ref="K108:K113" ca="1" si="57">IF(I108&gt;0,J108*100/I108,0)</f>
        <v>0</v>
      </c>
      <c r="L108" s="168"/>
      <c r="M108" s="168"/>
      <c r="N108" s="168"/>
      <c r="O108" s="181"/>
      <c r="P108" s="181"/>
    </row>
    <row r="109" spans="1:16" ht="21.75" customHeight="1" x14ac:dyDescent="0.3">
      <c r="A109" s="175"/>
      <c r="B109" s="176"/>
      <c r="C109" s="176"/>
      <c r="D109" s="193"/>
      <c r="E109" s="198"/>
      <c r="F109" s="194" t="s">
        <v>62</v>
      </c>
      <c r="G109" s="195"/>
      <c r="H109" s="180" t="s">
        <v>37</v>
      </c>
      <c r="I109" s="202">
        <f ca="1">IFERROR(__xludf.DUMMYFUNCTION("IMPORTRANGE(""https://docs.google.com/spreadsheets/d/11923uPwbBZFjjGgGUA6NLw09EwE0CqkOc4q9oUmW1yo/edit?usp=sharing"",""แม่ฮ่องสอน!I44"")"),0)</f>
        <v>0</v>
      </c>
      <c r="J109" s="203">
        <f ca="1">IFERROR(__xludf.DUMMYFUNCTION("IMPORTRANGE(""https://docs.google.com/spreadsheets/d/11923uPwbBZFjjGgGUA6NLw09EwE0CqkOc4q9oUmW1yo/edit?usp=sharing"",""แม่ฮ่องสอน!J44"")"),0)</f>
        <v>0</v>
      </c>
      <c r="K109" s="223">
        <f t="shared" ca="1" si="57"/>
        <v>0</v>
      </c>
      <c r="L109" s="168"/>
      <c r="M109" s="168"/>
      <c r="N109" s="168"/>
      <c r="O109" s="181"/>
      <c r="P109" s="181"/>
    </row>
    <row r="110" spans="1:16" ht="21.75" customHeight="1" x14ac:dyDescent="0.3">
      <c r="A110" s="175"/>
      <c r="B110" s="176"/>
      <c r="C110" s="176"/>
      <c r="D110" s="193"/>
      <c r="E110" s="198"/>
      <c r="F110" s="195"/>
      <c r="G110" s="224" t="s">
        <v>63</v>
      </c>
      <c r="H110" s="180" t="s">
        <v>37</v>
      </c>
      <c r="I110" s="202">
        <f ca="1">IFERROR(__xludf.DUMMYFUNCTION("IMPORTRANGE(""https://docs.google.com/spreadsheets/d/11923uPwbBZFjjGgGUA6NLw09EwE0CqkOc4q9oUmW1yo/edit?usp=sharing"",""แม่ฮ่องสอน!I45"")"),0)</f>
        <v>0</v>
      </c>
      <c r="J110" s="203">
        <f ca="1">IFERROR(__xludf.DUMMYFUNCTION("IMPORTRANGE(""https://docs.google.com/spreadsheets/d/11923uPwbBZFjjGgGUA6NLw09EwE0CqkOc4q9oUmW1yo/edit?usp=sharing"",""แม่ฮ่องสอน!J45"")"),0)</f>
        <v>0</v>
      </c>
      <c r="K110" s="223">
        <f t="shared" ca="1" si="57"/>
        <v>0</v>
      </c>
      <c r="L110" s="168"/>
      <c r="M110" s="168"/>
      <c r="N110" s="168"/>
      <c r="O110" s="181"/>
      <c r="P110" s="181"/>
    </row>
    <row r="111" spans="1:16" ht="21.75" customHeight="1" x14ac:dyDescent="0.3">
      <c r="A111" s="175"/>
      <c r="B111" s="176"/>
      <c r="C111" s="176"/>
      <c r="D111" s="193"/>
      <c r="E111" s="198"/>
      <c r="F111" s="195"/>
      <c r="G111" s="224" t="s">
        <v>64</v>
      </c>
      <c r="H111" s="180" t="s">
        <v>37</v>
      </c>
      <c r="I111" s="202">
        <f ca="1">IFERROR(__xludf.DUMMYFUNCTION("IMPORTRANGE(""https://docs.google.com/spreadsheets/d/11923uPwbBZFjjGgGUA6NLw09EwE0CqkOc4q9oUmW1yo/edit?usp=sharing"",""แม่ฮ่องสอน!I46"")"),0)</f>
        <v>0</v>
      </c>
      <c r="J111" s="203">
        <f ca="1">IFERROR(__xludf.DUMMYFUNCTION("IMPORTRANGE(""https://docs.google.com/spreadsheets/d/11923uPwbBZFjjGgGUA6NLw09EwE0CqkOc4q9oUmW1yo/edit?usp=sharing"",""แม่ฮ่องสอน!J46"")"),0)</f>
        <v>0</v>
      </c>
      <c r="K111" s="223">
        <f t="shared" ca="1" si="57"/>
        <v>0</v>
      </c>
      <c r="L111" s="168"/>
      <c r="M111" s="168"/>
      <c r="N111" s="168"/>
      <c r="O111" s="181"/>
      <c r="P111" s="181"/>
    </row>
    <row r="112" spans="1:16" ht="21.75" customHeight="1" x14ac:dyDescent="0.3">
      <c r="A112" s="175"/>
      <c r="B112" s="176"/>
      <c r="C112" s="176"/>
      <c r="D112" s="193"/>
      <c r="E112" s="198"/>
      <c r="F112" s="195"/>
      <c r="G112" s="225" t="s">
        <v>65</v>
      </c>
      <c r="H112" s="180" t="s">
        <v>37</v>
      </c>
      <c r="I112" s="202">
        <f ca="1">IFERROR(__xludf.DUMMYFUNCTION("IMPORTRANGE(""https://docs.google.com/spreadsheets/d/11923uPwbBZFjjGgGUA6NLw09EwE0CqkOc4q9oUmW1yo/edit?usp=sharing"",""แม่ฮ่องสอน!I47"")"),0)</f>
        <v>0</v>
      </c>
      <c r="J112" s="203">
        <f ca="1">IFERROR(__xludf.DUMMYFUNCTION("IMPORTRANGE(""https://docs.google.com/spreadsheets/d/11923uPwbBZFjjGgGUA6NLw09EwE0CqkOc4q9oUmW1yo/edit?usp=sharing"",""แม่ฮ่องสอน!J47"")"),0)</f>
        <v>0</v>
      </c>
      <c r="K112" s="223">
        <f t="shared" ca="1" si="57"/>
        <v>0</v>
      </c>
      <c r="L112" s="168"/>
      <c r="M112" s="168"/>
      <c r="N112" s="168"/>
      <c r="O112" s="181"/>
      <c r="P112" s="181"/>
    </row>
    <row r="113" spans="1:16" ht="21.75" customHeight="1" x14ac:dyDescent="0.3">
      <c r="A113" s="175"/>
      <c r="B113" s="176"/>
      <c r="C113" s="176"/>
      <c r="D113" s="193"/>
      <c r="E113" s="198"/>
      <c r="F113" s="195" t="s">
        <v>66</v>
      </c>
      <c r="G113" s="195"/>
      <c r="H113" s="180" t="s">
        <v>59</v>
      </c>
      <c r="I113" s="202">
        <f ca="1">IFERROR(__xludf.DUMMYFUNCTION("IMPORTRANGE(""https://docs.google.com/spreadsheets/d/11923uPwbBZFjjGgGUA6NLw09EwE0CqkOc4q9oUmW1yo/edit?usp=sharing"",""แม่ฮ่องสอน!I48"")"),0)</f>
        <v>0</v>
      </c>
      <c r="J113" s="203">
        <f ca="1">IFERROR(__xludf.DUMMYFUNCTION("IMPORTRANGE(""https://docs.google.com/spreadsheets/d/11923uPwbBZFjjGgGUA6NLw09EwE0CqkOc4q9oUmW1yo/edit?usp=sharing"",""แม่ฮ่องสอน!J48"")"),0)</f>
        <v>0</v>
      </c>
      <c r="K113" s="223">
        <f t="shared" ca="1" si="57"/>
        <v>0</v>
      </c>
      <c r="L113" s="168"/>
      <c r="M113" s="168"/>
      <c r="N113" s="168"/>
      <c r="O113" s="181"/>
      <c r="P113" s="181"/>
    </row>
    <row r="114" spans="1:16" ht="21.75" customHeight="1" x14ac:dyDescent="0.3">
      <c r="A114" s="175"/>
      <c r="B114" s="176"/>
      <c r="C114" s="176"/>
      <c r="D114" s="193"/>
      <c r="E114" s="194" t="s">
        <v>54</v>
      </c>
      <c r="F114" s="195"/>
      <c r="G114" s="196"/>
      <c r="H114" s="186"/>
      <c r="I114" s="187"/>
      <c r="J114" s="187">
        <f ca="1">IFERROR(__xludf.DUMMYFUNCTION("IMPORTRANGE(""https://docs.google.com/spreadsheets/d/11923uPwbBZFjjGgGUA6NLw09EwE0CqkOc4q9oUmW1yo/edit?usp=sharing"",""แม่ฮ่องสอน!J49"")"),0)</f>
        <v>0</v>
      </c>
      <c r="K114" s="223"/>
      <c r="L114" s="168"/>
      <c r="M114" s="168"/>
      <c r="N114" s="168"/>
      <c r="O114" s="181"/>
      <c r="P114" s="181"/>
    </row>
    <row r="115" spans="1:16" ht="21.75" customHeight="1" x14ac:dyDescent="0.3">
      <c r="A115" s="175"/>
      <c r="B115" s="176"/>
      <c r="C115" s="176"/>
      <c r="D115" s="205">
        <v>3</v>
      </c>
      <c r="E115" s="206" t="s">
        <v>55</v>
      </c>
      <c r="F115" s="207"/>
      <c r="G115" s="208"/>
      <c r="H115" s="186"/>
      <c r="I115" s="187"/>
      <c r="J115" s="226">
        <f ca="1">IFERROR(__xludf.DUMMYFUNCTION("IMPORTRANGE(""https://docs.google.com/spreadsheets/d/11923uPwbBZFjjGgGUA6NLw09EwE0CqkOc4q9oUmW1yo/edit?usp=sharing"",""แม่ฮ่องสอน!J50"")"),0)</f>
        <v>0</v>
      </c>
      <c r="K115" s="223"/>
      <c r="L115" s="168"/>
      <c r="M115" s="168"/>
      <c r="N115" s="168"/>
      <c r="O115" s="181"/>
      <c r="P115" s="181"/>
    </row>
    <row r="116" spans="1:16" ht="21.75" customHeight="1" x14ac:dyDescent="0.3">
      <c r="A116" s="210" t="s">
        <v>67</v>
      </c>
      <c r="B116" s="227"/>
      <c r="C116" s="228"/>
      <c r="D116" s="227"/>
      <c r="E116" s="229"/>
      <c r="F116" s="229"/>
      <c r="G116" s="230"/>
      <c r="H116" s="215"/>
      <c r="I116" s="216"/>
      <c r="J116" s="216"/>
      <c r="K116" s="217"/>
      <c r="L116" s="218"/>
      <c r="M116" s="218"/>
      <c r="N116" s="218"/>
      <c r="O116" s="219"/>
      <c r="P116" s="219"/>
    </row>
    <row r="117" spans="1:16" ht="21.75" customHeight="1" x14ac:dyDescent="0.3">
      <c r="A117" s="137"/>
      <c r="B117" s="138" t="s">
        <v>68</v>
      </c>
      <c r="C117" s="231"/>
      <c r="D117" s="139"/>
      <c r="E117" s="138"/>
      <c r="F117" s="138"/>
      <c r="G117" s="220"/>
      <c r="H117" s="140" t="s">
        <v>37</v>
      </c>
      <c r="I117" s="141">
        <f ca="1">IFERROR(__xludf.DUMMYFUNCTION("IMPORTRANGE(""https://docs.google.com/spreadsheets/d/11923uPwbBZFjjGgGUA6NLw09EwE0CqkOc4q9oUmW1yo/edit?usp=sharing"",""แม่ฮ่องสอน!I52"")"),20)</f>
        <v>20</v>
      </c>
      <c r="J117" s="141">
        <f ca="1">IFERROR(__xludf.DUMMYFUNCTION("IMPORTRANGE(""https://docs.google.com/spreadsheets/d/11923uPwbBZFjjGgGUA6NLw09EwE0CqkOc4q9oUmW1yo/edit?usp=sharing"",""แม่ฮ่องสอน!J52"")"),20)</f>
        <v>20</v>
      </c>
      <c r="K117" s="142">
        <f ca="1">IF(I117&gt;0,J117*100/I117,0)</f>
        <v>100</v>
      </c>
      <c r="L117" s="143"/>
      <c r="M117" s="143"/>
      <c r="N117" s="144"/>
      <c r="O117" s="142"/>
      <c r="P117" s="142"/>
    </row>
    <row r="118" spans="1:16" ht="21.75" customHeight="1" x14ac:dyDescent="0.45">
      <c r="A118" s="145"/>
      <c r="B118" s="146"/>
      <c r="C118" s="147" t="s">
        <v>16</v>
      </c>
      <c r="D118" s="537" t="s">
        <v>17</v>
      </c>
      <c r="E118" s="528"/>
      <c r="F118" s="528"/>
      <c r="G118" s="528"/>
      <c r="H118" s="148" t="s">
        <v>12</v>
      </c>
      <c r="I118" s="162"/>
      <c r="J118" s="162"/>
      <c r="K118" s="163"/>
      <c r="L118" s="151">
        <f t="shared" ref="L118:N118" ca="1" si="58">L119+L120</f>
        <v>82440</v>
      </c>
      <c r="M118" s="151">
        <f t="shared" ca="1" si="58"/>
        <v>66440</v>
      </c>
      <c r="N118" s="151">
        <f t="shared" ca="1" si="58"/>
        <v>48232</v>
      </c>
      <c r="O118" s="150">
        <f t="shared" ref="O118:O120" ca="1" si="59">IF(L118&gt;0,N118*100/L118,0)</f>
        <v>58.505579815623484</v>
      </c>
      <c r="P118" s="150">
        <f t="shared" ref="P118:P120" ca="1" si="60">IF(M118&gt;0,N118*100/M118,0)</f>
        <v>72.594822396146895</v>
      </c>
    </row>
    <row r="119" spans="1:16" ht="21.75" customHeight="1" x14ac:dyDescent="0.45">
      <c r="A119" s="152"/>
      <c r="B119" s="32"/>
      <c r="C119" s="32"/>
      <c r="D119" s="32"/>
      <c r="E119" s="32"/>
      <c r="F119" s="32"/>
      <c r="G119" s="33" t="s">
        <v>18</v>
      </c>
      <c r="H119" s="153" t="s">
        <v>12</v>
      </c>
      <c r="I119" s="162"/>
      <c r="J119" s="162"/>
      <c r="K119" s="163"/>
      <c r="L119" s="87">
        <f t="shared" ref="L119:N119" si="61">L121+L125</f>
        <v>0</v>
      </c>
      <c r="M119" s="87">
        <f t="shared" si="61"/>
        <v>0</v>
      </c>
      <c r="N119" s="87">
        <f t="shared" si="61"/>
        <v>0</v>
      </c>
      <c r="O119" s="155">
        <f t="shared" si="59"/>
        <v>0</v>
      </c>
      <c r="P119" s="155">
        <f t="shared" si="60"/>
        <v>0</v>
      </c>
    </row>
    <row r="120" spans="1:16" ht="21.75" customHeight="1" x14ac:dyDescent="0.45">
      <c r="A120" s="152"/>
      <c r="B120" s="32"/>
      <c r="C120" s="32"/>
      <c r="D120" s="32"/>
      <c r="E120" s="32"/>
      <c r="F120" s="32"/>
      <c r="G120" s="33" t="s">
        <v>19</v>
      </c>
      <c r="H120" s="153" t="s">
        <v>12</v>
      </c>
      <c r="I120" s="162"/>
      <c r="J120" s="162"/>
      <c r="K120" s="163"/>
      <c r="L120" s="87">
        <f t="shared" ref="L120:N120" ca="1" si="62">L122+L126</f>
        <v>82440</v>
      </c>
      <c r="M120" s="87">
        <f t="shared" ca="1" si="62"/>
        <v>66440</v>
      </c>
      <c r="N120" s="87">
        <f t="shared" ca="1" si="62"/>
        <v>48232</v>
      </c>
      <c r="O120" s="155">
        <f t="shared" ca="1" si="59"/>
        <v>58.505579815623484</v>
      </c>
      <c r="P120" s="155">
        <f t="shared" ca="1" si="60"/>
        <v>72.594822396146895</v>
      </c>
    </row>
    <row r="121" spans="1:16" ht="21.75" customHeight="1" x14ac:dyDescent="0.3">
      <c r="A121" s="156"/>
      <c r="B121" s="157"/>
      <c r="C121" s="157" t="s">
        <v>16</v>
      </c>
      <c r="D121" s="158" t="s">
        <v>38</v>
      </c>
      <c r="E121" s="159"/>
      <c r="F121" s="159"/>
      <c r="G121" s="160" t="s">
        <v>39</v>
      </c>
      <c r="H121" s="161" t="s">
        <v>12</v>
      </c>
      <c r="I121" s="162" t="s">
        <v>40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3">
      <c r="A122" s="156"/>
      <c r="B122" s="157"/>
      <c r="C122" s="157"/>
      <c r="D122" s="166"/>
      <c r="E122" s="159"/>
      <c r="F122" s="159" t="s">
        <v>40</v>
      </c>
      <c r="G122" s="160" t="s">
        <v>41</v>
      </c>
      <c r="H122" s="161" t="s">
        <v>12</v>
      </c>
      <c r="I122" s="162"/>
      <c r="J122" s="162"/>
      <c r="K122" s="163"/>
      <c r="L122" s="167">
        <f ca="1">L123+L124</f>
        <v>82440</v>
      </c>
      <c r="M122" s="167">
        <f ca="1">IFERROR(__xludf.DUMMYFUNCTION("IMPORTRANGE(""https://docs.google.com/spreadsheets/d/1Yj_ptqi66GCucihVvJfMjLAmec39IyEx_6qawtMGysU/edit?usp=sharing"",""สบก!BA31"")"),66440)</f>
        <v>66440</v>
      </c>
      <c r="N122" s="168">
        <f ca="1">IFERROR(__xludf.DUMMYFUNCTION("IMPORTRANGE(""https://docs.google.com/spreadsheets/d/1Yj_ptqi66GCucihVvJfMjLAmec39IyEx_6qawtMGysU/edit?usp=sharing"",""สบก!BB31"")"),48232)</f>
        <v>48232</v>
      </c>
      <c r="O122" s="168">
        <f ca="1">IF(L122&gt;0,N122*100/L122,0)</f>
        <v>58.505579815623484</v>
      </c>
      <c r="P122" s="168">
        <f ca="1">IF(M122&gt;0,N122*100/M122,0)</f>
        <v>72.594822396146895</v>
      </c>
    </row>
    <row r="123" spans="1:16" ht="21.75" customHeight="1" x14ac:dyDescent="0.3">
      <c r="A123" s="156"/>
      <c r="B123" s="157"/>
      <c r="C123" s="157"/>
      <c r="D123" s="166"/>
      <c r="E123" s="159"/>
      <c r="F123" s="159"/>
      <c r="G123" s="169" t="s">
        <v>42</v>
      </c>
      <c r="H123" s="161" t="s">
        <v>12</v>
      </c>
      <c r="I123" s="162"/>
      <c r="J123" s="162"/>
      <c r="K123" s="163"/>
      <c r="L123" s="167">
        <f ca="1">IFERROR(__xludf.DUMMYFUNCTION("IMPORTRANGE(""https://docs.google.com/spreadsheets/d/1Yj_ptqi66GCucihVvJfMjLAmec39IyEx_6qawtMGysU/edit?usp=sharing"",""สบก!AW31"")"),0)</f>
        <v>0</v>
      </c>
      <c r="M123" s="167"/>
      <c r="N123" s="167"/>
      <c r="O123" s="168"/>
      <c r="P123" s="168"/>
    </row>
    <row r="124" spans="1:16" ht="21.75" customHeight="1" x14ac:dyDescent="0.3">
      <c r="A124" s="156"/>
      <c r="B124" s="157"/>
      <c r="C124" s="157"/>
      <c r="D124" s="166"/>
      <c r="E124" s="159"/>
      <c r="F124" s="159"/>
      <c r="G124" s="169" t="s">
        <v>43</v>
      </c>
      <c r="H124" s="161" t="s">
        <v>12</v>
      </c>
      <c r="I124" s="162"/>
      <c r="J124" s="187"/>
      <c r="K124" s="223"/>
      <c r="L124" s="167">
        <f ca="1">IFERROR(__xludf.DUMMYFUNCTION("IMPORTRANGE(""https://docs.google.com/spreadsheets/d/1Yj_ptqi66GCucihVvJfMjLAmec39IyEx_6qawtMGysU/edit?usp=sharing"",""สบก!AX31"")"),82440)</f>
        <v>82440</v>
      </c>
      <c r="M124" s="167"/>
      <c r="N124" s="167"/>
      <c r="O124" s="168"/>
      <c r="P124" s="168"/>
    </row>
    <row r="125" spans="1:16" ht="21.75" customHeight="1" x14ac:dyDescent="0.45">
      <c r="A125" s="170"/>
      <c r="B125" s="80"/>
      <c r="C125" s="81" t="s">
        <v>16</v>
      </c>
      <c r="D125" s="534" t="s">
        <v>23</v>
      </c>
      <c r="E125" s="530"/>
      <c r="F125" s="88"/>
      <c r="G125" s="82" t="s">
        <v>18</v>
      </c>
      <c r="H125" s="171" t="s">
        <v>12</v>
      </c>
      <c r="I125" s="187"/>
      <c r="J125" s="187"/>
      <c r="K125" s="223"/>
      <c r="L125" s="41">
        <v>0</v>
      </c>
      <c r="M125" s="41"/>
      <c r="N125" s="41"/>
      <c r="O125" s="41"/>
      <c r="P125" s="41"/>
    </row>
    <row r="126" spans="1:16" ht="21.75" customHeight="1" x14ac:dyDescent="0.45">
      <c r="A126" s="172"/>
      <c r="B126" s="91"/>
      <c r="C126" s="91"/>
      <c r="D126" s="173"/>
      <c r="E126" s="92"/>
      <c r="F126" s="92"/>
      <c r="G126" s="93" t="s">
        <v>19</v>
      </c>
      <c r="H126" s="174" t="s">
        <v>12</v>
      </c>
      <c r="I126" s="187"/>
      <c r="J126" s="187"/>
      <c r="K126" s="223"/>
      <c r="L126" s="49">
        <f ca="1">IFERROR(__xludf.DUMMYFUNCTION("IMPORTRANGE(""https://docs.google.com/spreadsheets/d/1Yj_ptqi66GCucihVvJfMjLAmec39IyEx_6qawtMGysU/edit?usp=sharing"",""สบก!AY31"")"),0)</f>
        <v>0</v>
      </c>
      <c r="M126" s="49"/>
      <c r="N126" s="49">
        <f ca="1">IFERROR(__xludf.DUMMYFUNCTION("IMPORTRANGE(""https://docs.google.com/spreadsheets/d/1Yj_ptqi66GCucihVvJfMjLAmec39IyEx_6qawtMGysU/edit?usp=sharing"",""สบก!BC31"")"),0)</f>
        <v>0</v>
      </c>
      <c r="O126" s="49">
        <f ca="1">IF(L126&gt;0,N126*100/L126,0)</f>
        <v>0</v>
      </c>
      <c r="P126" s="49"/>
    </row>
    <row r="127" spans="1:16" ht="21.75" customHeight="1" x14ac:dyDescent="0.3">
      <c r="A127" s="175"/>
      <c r="B127" s="176"/>
      <c r="C127" s="157" t="s">
        <v>16</v>
      </c>
      <c r="D127" s="232" t="s">
        <v>261</v>
      </c>
      <c r="E127" s="178"/>
      <c r="F127" s="178"/>
      <c r="G127" s="179"/>
      <c r="H127" s="180"/>
      <c r="I127" s="162"/>
      <c r="J127" s="187"/>
      <c r="K127" s="223"/>
      <c r="L127" s="168"/>
      <c r="M127" s="168"/>
      <c r="N127" s="168"/>
      <c r="O127" s="181"/>
      <c r="P127" s="181"/>
    </row>
    <row r="128" spans="1:16" ht="21.75" customHeight="1" x14ac:dyDescent="0.3">
      <c r="A128" s="175"/>
      <c r="B128" s="176"/>
      <c r="C128" s="176"/>
      <c r="D128" s="182">
        <v>1</v>
      </c>
      <c r="E128" s="183" t="s">
        <v>45</v>
      </c>
      <c r="F128" s="184"/>
      <c r="G128" s="185"/>
      <c r="H128" s="186"/>
      <c r="I128" s="187"/>
      <c r="J128" s="203">
        <f ca="1">IFERROR(__xludf.DUMMYFUNCTION("IMPORTRANGE(""https://docs.google.com/spreadsheets/d/11923uPwbBZFjjGgGUA6NLw09EwE0CqkOc4q9oUmW1yo/edit?usp=sharing"",""แม่ฮ่องสอน!J58"")"),0)</f>
        <v>0</v>
      </c>
      <c r="K128" s="223"/>
      <c r="L128" s="168"/>
      <c r="M128" s="168"/>
      <c r="N128" s="168"/>
      <c r="O128" s="181"/>
      <c r="P128" s="181"/>
    </row>
    <row r="129" spans="1:16" ht="21.75" customHeight="1" x14ac:dyDescent="0.3">
      <c r="A129" s="175"/>
      <c r="B129" s="176"/>
      <c r="C129" s="176"/>
      <c r="D129" s="189">
        <v>2</v>
      </c>
      <c r="E129" s="190" t="s">
        <v>46</v>
      </c>
      <c r="F129" s="191"/>
      <c r="G129" s="192"/>
      <c r="H129" s="186"/>
      <c r="I129" s="187"/>
      <c r="J129" s="187">
        <f ca="1">IFERROR(__xludf.DUMMYFUNCTION("IMPORTRANGE(""https://docs.google.com/spreadsheets/d/11923uPwbBZFjjGgGUA6NLw09EwE0CqkOc4q9oUmW1yo/edit?usp=sharing"",""แม่ฮ่องสอน!J59"")"),1)</f>
        <v>1</v>
      </c>
      <c r="K129" s="223"/>
      <c r="L129" s="168" t="s">
        <v>40</v>
      </c>
      <c r="M129" s="168"/>
      <c r="N129" s="168" t="s">
        <v>40</v>
      </c>
      <c r="O129" s="181"/>
      <c r="P129" s="181"/>
    </row>
    <row r="130" spans="1:16" ht="21.75" customHeight="1" x14ac:dyDescent="0.3">
      <c r="A130" s="175"/>
      <c r="B130" s="176"/>
      <c r="C130" s="176"/>
      <c r="D130" s="193"/>
      <c r="E130" s="194" t="s">
        <v>47</v>
      </c>
      <c r="F130" s="195"/>
      <c r="G130" s="196"/>
      <c r="H130" s="186"/>
      <c r="I130" s="187"/>
      <c r="J130" s="187">
        <f ca="1">IFERROR(__xludf.DUMMYFUNCTION("IMPORTRANGE(""https://docs.google.com/spreadsheets/d/11923uPwbBZFjjGgGUA6NLw09EwE0CqkOc4q9oUmW1yo/edit?usp=sharing"",""แม่ฮ่องสอน!J60"")"),1)</f>
        <v>1</v>
      </c>
      <c r="K130" s="223"/>
      <c r="L130" s="168"/>
      <c r="M130" s="168"/>
      <c r="N130" s="168"/>
      <c r="O130" s="181"/>
      <c r="P130" s="181"/>
    </row>
    <row r="131" spans="1:16" ht="21.75" customHeight="1" x14ac:dyDescent="0.3">
      <c r="A131" s="175"/>
      <c r="B131" s="176"/>
      <c r="C131" s="176"/>
      <c r="D131" s="193"/>
      <c r="E131" s="194" t="s">
        <v>48</v>
      </c>
      <c r="F131" s="195"/>
      <c r="G131" s="196"/>
      <c r="H131" s="186"/>
      <c r="I131" s="187"/>
      <c r="J131" s="187">
        <f ca="1">IFERROR(__xludf.DUMMYFUNCTION("IMPORTRANGE(""https://docs.google.com/spreadsheets/d/11923uPwbBZFjjGgGUA6NLw09EwE0CqkOc4q9oUmW1yo/edit?usp=sharing"",""แม่ฮ่องสอน!J61"")"),1)</f>
        <v>1</v>
      </c>
      <c r="K131" s="223"/>
      <c r="L131" s="168"/>
      <c r="M131" s="168"/>
      <c r="N131" s="168"/>
      <c r="O131" s="181"/>
      <c r="P131" s="181"/>
    </row>
    <row r="132" spans="1:16" ht="21.75" customHeight="1" x14ac:dyDescent="0.3">
      <c r="A132" s="175"/>
      <c r="B132" s="176"/>
      <c r="C132" s="176"/>
      <c r="D132" s="193"/>
      <c r="E132" s="198"/>
      <c r="F132" s="194" t="s">
        <v>70</v>
      </c>
      <c r="G132" s="196"/>
      <c r="H132" s="180" t="s">
        <v>37</v>
      </c>
      <c r="I132" s="187">
        <f ca="1">IFERROR(__xludf.DUMMYFUNCTION("IMPORTRANGE(""https://docs.google.com/spreadsheets/d/11923uPwbBZFjjGgGUA6NLw09EwE0CqkOc4q9oUmW1yo/edit?usp=sharing"",""แม่ฮ่องสอน!I62"")"),20)</f>
        <v>20</v>
      </c>
      <c r="J132" s="203">
        <f ca="1">IFERROR(__xludf.DUMMYFUNCTION("IMPORTRANGE(""https://docs.google.com/spreadsheets/d/11923uPwbBZFjjGgGUA6NLw09EwE0CqkOc4q9oUmW1yo/edit?usp=sharing"",""แม่ฮ่องสอน!J62"")"),20)</f>
        <v>20</v>
      </c>
      <c r="K132" s="223">
        <f t="shared" ref="K132:K133" ca="1" si="63">IF(I132&gt;0,J132*100/I132,0)</f>
        <v>100</v>
      </c>
      <c r="L132" s="168"/>
      <c r="M132" s="168"/>
      <c r="N132" s="168"/>
      <c r="O132" s="181"/>
      <c r="P132" s="181"/>
    </row>
    <row r="133" spans="1:16" ht="21.75" customHeight="1" x14ac:dyDescent="0.3">
      <c r="A133" s="175"/>
      <c r="B133" s="176"/>
      <c r="C133" s="176"/>
      <c r="D133" s="193"/>
      <c r="E133" s="198"/>
      <c r="F133" s="194" t="s">
        <v>71</v>
      </c>
      <c r="G133" s="196"/>
      <c r="H133" s="180" t="s">
        <v>37</v>
      </c>
      <c r="I133" s="187">
        <f ca="1">IFERROR(__xludf.DUMMYFUNCTION("IMPORTRANGE(""https://docs.google.com/spreadsheets/d/11923uPwbBZFjjGgGUA6NLw09EwE0CqkOc4q9oUmW1yo/edit?usp=sharing"",""แม่ฮ่องสอน!I63"")"),20)</f>
        <v>20</v>
      </c>
      <c r="J133" s="203">
        <f ca="1">IFERROR(__xludf.DUMMYFUNCTION("IMPORTRANGE(""https://docs.google.com/spreadsheets/d/11923uPwbBZFjjGgGUA6NLw09EwE0CqkOc4q9oUmW1yo/edit?usp=sharing"",""แม่ฮ่องสอน!J63"")"),18)</f>
        <v>18</v>
      </c>
      <c r="K133" s="223">
        <f t="shared" ca="1" si="63"/>
        <v>90</v>
      </c>
      <c r="L133" s="168"/>
      <c r="M133" s="168"/>
      <c r="N133" s="168"/>
      <c r="O133" s="181"/>
      <c r="P133" s="181"/>
    </row>
    <row r="134" spans="1:16" ht="21.75" customHeight="1" x14ac:dyDescent="0.3">
      <c r="A134" s="175"/>
      <c r="B134" s="176"/>
      <c r="C134" s="176"/>
      <c r="D134" s="193"/>
      <c r="E134" s="194" t="s">
        <v>54</v>
      </c>
      <c r="F134" s="195"/>
      <c r="G134" s="196"/>
      <c r="H134" s="186"/>
      <c r="I134" s="187"/>
      <c r="J134" s="187">
        <f ca="1">IFERROR(__xludf.DUMMYFUNCTION("IMPORTRANGE(""https://docs.google.com/spreadsheets/d/11923uPwbBZFjjGgGUA6NLw09EwE0CqkOc4q9oUmW1yo/edit?usp=sharing"",""แม่ฮ่องสอน!J64"")"),0)</f>
        <v>0</v>
      </c>
      <c r="K134" s="223"/>
      <c r="L134" s="168"/>
      <c r="M134" s="168"/>
      <c r="N134" s="168"/>
      <c r="O134" s="181"/>
      <c r="P134" s="181"/>
    </row>
    <row r="135" spans="1:16" ht="21.75" customHeight="1" x14ac:dyDescent="0.3">
      <c r="A135" s="233"/>
      <c r="B135" s="234"/>
      <c r="C135" s="234"/>
      <c r="D135" s="235">
        <v>3</v>
      </c>
      <c r="E135" s="236" t="s">
        <v>55</v>
      </c>
      <c r="F135" s="237"/>
      <c r="G135" s="238"/>
      <c r="H135" s="239"/>
      <c r="I135" s="240"/>
      <c r="J135" s="241">
        <f ca="1">IFERROR(__xludf.DUMMYFUNCTION("IMPORTRANGE(""https://docs.google.com/spreadsheets/d/11923uPwbBZFjjGgGUA6NLw09EwE0CqkOc4q9oUmW1yo/edit?usp=sharing"",""แม่ฮ่องสอน!J65"")"),0)</f>
        <v>0</v>
      </c>
      <c r="K135" s="242"/>
      <c r="L135" s="243"/>
      <c r="M135" s="243"/>
      <c r="N135" s="243"/>
      <c r="O135" s="244"/>
      <c r="P135" s="244"/>
    </row>
    <row r="136" spans="1:16" ht="21.75" customHeight="1" x14ac:dyDescent="0.3">
      <c r="A136" s="245" t="s">
        <v>72</v>
      </c>
      <c r="B136" s="246"/>
      <c r="C136" s="246"/>
      <c r="D136" s="246"/>
      <c r="E136" s="247"/>
      <c r="F136" s="247"/>
      <c r="G136" s="248"/>
      <c r="H136" s="249"/>
      <c r="I136" s="250"/>
      <c r="J136" s="250"/>
      <c r="K136" s="251"/>
      <c r="L136" s="252"/>
      <c r="M136" s="252"/>
      <c r="N136" s="252"/>
      <c r="O136" s="252"/>
      <c r="P136" s="252"/>
    </row>
    <row r="137" spans="1:16" ht="21.75" customHeight="1" x14ac:dyDescent="0.3">
      <c r="A137" s="253" t="s">
        <v>73</v>
      </c>
      <c r="B137" s="254"/>
      <c r="C137" s="254"/>
      <c r="D137" s="255"/>
      <c r="E137" s="255"/>
      <c r="F137" s="255"/>
      <c r="G137" s="256"/>
      <c r="H137" s="257"/>
      <c r="I137" s="258"/>
      <c r="J137" s="258"/>
      <c r="K137" s="259"/>
      <c r="L137" s="259"/>
      <c r="M137" s="259"/>
      <c r="N137" s="259"/>
      <c r="O137" s="260"/>
      <c r="P137" s="260"/>
    </row>
    <row r="138" spans="1:16" ht="21.75" customHeight="1" x14ac:dyDescent="0.3">
      <c r="A138" s="261"/>
      <c r="B138" s="262" t="s">
        <v>74</v>
      </c>
      <c r="C138" s="263"/>
      <c r="D138" s="262"/>
      <c r="E138" s="262"/>
      <c r="F138" s="262"/>
      <c r="G138" s="264"/>
      <c r="H138" s="265" t="s">
        <v>37</v>
      </c>
      <c r="I138" s="266">
        <f ca="1">IFERROR(__xludf.DUMMYFUNCTION("IMPORTRANGE(""https://docs.google.com/spreadsheets/d/11923uPwbBZFjjGgGUA6NLw09EwE0CqkOc4q9oUmW1yo/edit?usp=sharing"",""แม่ฮ่องสอน!I68"")"),0)</f>
        <v>0</v>
      </c>
      <c r="J138" s="266">
        <f ca="1">IFERROR(__xludf.DUMMYFUNCTION("IMPORTRANGE(""https://docs.google.com/spreadsheets/d/11923uPwbBZFjjGgGUA6NLw09EwE0CqkOc4q9oUmW1yo/edit?usp=sharing"",""แม่ฮ่องสอน!J68"")"),0)</f>
        <v>0</v>
      </c>
      <c r="K138" s="267">
        <f ca="1">IF(I138&gt;0,J138*100/I138,0)</f>
        <v>0</v>
      </c>
      <c r="L138" s="268"/>
      <c r="M138" s="268"/>
      <c r="N138" s="268"/>
      <c r="O138" s="267"/>
      <c r="P138" s="267"/>
    </row>
    <row r="139" spans="1:16" ht="21.75" customHeight="1" x14ac:dyDescent="0.3">
      <c r="A139" s="261"/>
      <c r="B139" s="262" t="s">
        <v>75</v>
      </c>
      <c r="C139" s="263"/>
      <c r="D139" s="262"/>
      <c r="E139" s="262"/>
      <c r="F139" s="262"/>
      <c r="G139" s="264"/>
      <c r="H139" s="265"/>
      <c r="I139" s="266"/>
      <c r="J139" s="266"/>
      <c r="K139" s="267"/>
      <c r="L139" s="268"/>
      <c r="M139" s="268"/>
      <c r="N139" s="268"/>
      <c r="O139" s="267"/>
      <c r="P139" s="267"/>
    </row>
    <row r="140" spans="1:16" ht="21.75" customHeight="1" x14ac:dyDescent="0.45">
      <c r="A140" s="145"/>
      <c r="B140" s="146"/>
      <c r="C140" s="147" t="s">
        <v>16</v>
      </c>
      <c r="D140" s="537" t="s">
        <v>17</v>
      </c>
      <c r="E140" s="528"/>
      <c r="F140" s="528"/>
      <c r="G140" s="528"/>
      <c r="H140" s="148" t="s">
        <v>12</v>
      </c>
      <c r="I140" s="162"/>
      <c r="J140" s="162"/>
      <c r="K140" s="163"/>
      <c r="L140" s="151">
        <f t="shared" ref="L140:N140" ca="1" si="64">L141+L142</f>
        <v>69500</v>
      </c>
      <c r="M140" s="151">
        <f t="shared" ca="1" si="64"/>
        <v>39750</v>
      </c>
      <c r="N140" s="151">
        <f t="shared" ca="1" si="64"/>
        <v>28940</v>
      </c>
      <c r="O140" s="150">
        <f t="shared" ref="O140:O142" ca="1" si="65">IF(L140&gt;0,N140*100/L140,0)</f>
        <v>41.640287769784173</v>
      </c>
      <c r="P140" s="150">
        <f t="shared" ref="P140:P142" ca="1" si="66">IF(M140&gt;0,N140*100/M140,0)</f>
        <v>72.80503144654088</v>
      </c>
    </row>
    <row r="141" spans="1:16" ht="21.75" customHeight="1" x14ac:dyDescent="0.45">
      <c r="A141" s="152"/>
      <c r="B141" s="32"/>
      <c r="C141" s="32"/>
      <c r="D141" s="32"/>
      <c r="E141" s="32"/>
      <c r="F141" s="32"/>
      <c r="G141" s="33" t="s">
        <v>18</v>
      </c>
      <c r="H141" s="153" t="s">
        <v>12</v>
      </c>
      <c r="I141" s="162"/>
      <c r="J141" s="162"/>
      <c r="K141" s="163"/>
      <c r="L141" s="87">
        <f t="shared" ref="L141:N141" si="67">L143+L147</f>
        <v>0</v>
      </c>
      <c r="M141" s="87">
        <f t="shared" si="67"/>
        <v>0</v>
      </c>
      <c r="N141" s="87">
        <f t="shared" si="67"/>
        <v>0</v>
      </c>
      <c r="O141" s="155">
        <f t="shared" si="65"/>
        <v>0</v>
      </c>
      <c r="P141" s="155">
        <f t="shared" si="66"/>
        <v>0</v>
      </c>
    </row>
    <row r="142" spans="1:16" ht="21.75" customHeight="1" x14ac:dyDescent="0.45">
      <c r="A142" s="152"/>
      <c r="B142" s="32"/>
      <c r="C142" s="32"/>
      <c r="D142" s="32"/>
      <c r="E142" s="32"/>
      <c r="F142" s="32"/>
      <c r="G142" s="33" t="s">
        <v>19</v>
      </c>
      <c r="H142" s="153" t="s">
        <v>12</v>
      </c>
      <c r="I142" s="162"/>
      <c r="J142" s="162"/>
      <c r="K142" s="163"/>
      <c r="L142" s="87">
        <f t="shared" ref="L142:N142" ca="1" si="68">L144+L148</f>
        <v>69500</v>
      </c>
      <c r="M142" s="87">
        <f t="shared" ca="1" si="68"/>
        <v>39750</v>
      </c>
      <c r="N142" s="87">
        <f t="shared" ca="1" si="68"/>
        <v>28940</v>
      </c>
      <c r="O142" s="155">
        <f t="shared" ca="1" si="65"/>
        <v>41.640287769784173</v>
      </c>
      <c r="P142" s="155">
        <f t="shared" ca="1" si="66"/>
        <v>72.80503144654088</v>
      </c>
    </row>
    <row r="143" spans="1:16" ht="21.75" customHeight="1" x14ac:dyDescent="0.3">
      <c r="A143" s="156"/>
      <c r="B143" s="157"/>
      <c r="C143" s="157" t="s">
        <v>16</v>
      </c>
      <c r="D143" s="158" t="s">
        <v>38</v>
      </c>
      <c r="E143" s="159"/>
      <c r="F143" s="159"/>
      <c r="G143" s="160" t="s">
        <v>39</v>
      </c>
      <c r="H143" s="161" t="s">
        <v>12</v>
      </c>
      <c r="I143" s="162" t="s">
        <v>40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3">
      <c r="A144" s="156"/>
      <c r="B144" s="157"/>
      <c r="C144" s="157"/>
      <c r="D144" s="166"/>
      <c r="E144" s="159"/>
      <c r="F144" s="159" t="s">
        <v>40</v>
      </c>
      <c r="G144" s="160" t="s">
        <v>41</v>
      </c>
      <c r="H144" s="161" t="s">
        <v>12</v>
      </c>
      <c r="I144" s="162"/>
      <c r="J144" s="162"/>
      <c r="K144" s="163"/>
      <c r="L144" s="167">
        <f ca="1">L145+L146</f>
        <v>69500</v>
      </c>
      <c r="M144" s="167">
        <f ca="1">IFERROR(__xludf.DUMMYFUNCTION("IMPORTRANGE(""https://docs.google.com/spreadsheets/d/1Yj_ptqi66GCucihVvJfMjLAmec39IyEx_6qawtMGysU/edit?usp=sharing"",""สบก!BJ31"")"),39750)</f>
        <v>39750</v>
      </c>
      <c r="N144" s="168">
        <f ca="1">IFERROR(__xludf.DUMMYFUNCTION("IMPORTRANGE(""https://docs.google.com/spreadsheets/d/1Yj_ptqi66GCucihVvJfMjLAmec39IyEx_6qawtMGysU/edit?usp=sharing"",""สบก!BK31"")"),28940)</f>
        <v>28940</v>
      </c>
      <c r="O144" s="168">
        <f ca="1">IF(L144&gt;0,N144*100/L144,0)</f>
        <v>41.640287769784173</v>
      </c>
      <c r="P144" s="168">
        <f ca="1">IF(M144&gt;0,N144*100/M144,0)</f>
        <v>72.80503144654088</v>
      </c>
    </row>
    <row r="145" spans="1:16" ht="21.75" customHeight="1" x14ac:dyDescent="0.3">
      <c r="A145" s="156"/>
      <c r="B145" s="157"/>
      <c r="C145" s="157"/>
      <c r="D145" s="166"/>
      <c r="E145" s="159"/>
      <c r="F145" s="159"/>
      <c r="G145" s="169" t="s">
        <v>42</v>
      </c>
      <c r="H145" s="161" t="s">
        <v>12</v>
      </c>
      <c r="I145" s="162"/>
      <c r="J145" s="162"/>
      <c r="K145" s="163"/>
      <c r="L145" s="167">
        <f ca="1">IFERROR(__xludf.DUMMYFUNCTION("IMPORTRANGE(""https://docs.google.com/spreadsheets/d/1Yj_ptqi66GCucihVvJfMjLAmec39IyEx_6qawtMGysU/edit?usp=sharing"",""สบก!BF31"")"),0)</f>
        <v>0</v>
      </c>
      <c r="M145" s="167"/>
      <c r="N145" s="167"/>
      <c r="O145" s="168"/>
      <c r="P145" s="168"/>
    </row>
    <row r="146" spans="1:16" ht="21.75" customHeight="1" x14ac:dyDescent="0.3">
      <c r="A146" s="156"/>
      <c r="B146" s="157"/>
      <c r="C146" s="157"/>
      <c r="D146" s="166"/>
      <c r="E146" s="159"/>
      <c r="F146" s="159"/>
      <c r="G146" s="169" t="s">
        <v>43</v>
      </c>
      <c r="H146" s="161" t="s">
        <v>12</v>
      </c>
      <c r="I146" s="162"/>
      <c r="J146" s="162"/>
      <c r="K146" s="163"/>
      <c r="L146" s="167">
        <f ca="1">IFERROR(__xludf.DUMMYFUNCTION("IMPORTRANGE(""https://docs.google.com/spreadsheets/d/1Yj_ptqi66GCucihVvJfMjLAmec39IyEx_6qawtMGysU/edit?usp=sharing"",""สบก!BG31"")"),69500)</f>
        <v>69500</v>
      </c>
      <c r="M146" s="167"/>
      <c r="N146" s="167"/>
      <c r="O146" s="168"/>
      <c r="P146" s="168"/>
    </row>
    <row r="147" spans="1:16" ht="21.75" customHeight="1" x14ac:dyDescent="0.45">
      <c r="A147" s="170"/>
      <c r="B147" s="80"/>
      <c r="C147" s="81" t="s">
        <v>16</v>
      </c>
      <c r="D147" s="534" t="s">
        <v>23</v>
      </c>
      <c r="E147" s="530"/>
      <c r="F147" s="88"/>
      <c r="G147" s="82" t="s">
        <v>18</v>
      </c>
      <c r="H147" s="171" t="s">
        <v>12</v>
      </c>
      <c r="I147" s="187"/>
      <c r="J147" s="187"/>
      <c r="K147" s="223"/>
      <c r="L147" s="41">
        <v>0</v>
      </c>
      <c r="M147" s="41"/>
      <c r="N147" s="41"/>
      <c r="O147" s="41"/>
      <c r="P147" s="41"/>
    </row>
    <row r="148" spans="1:16" ht="21.75" customHeight="1" x14ac:dyDescent="0.45">
      <c r="A148" s="172"/>
      <c r="B148" s="91"/>
      <c r="C148" s="91"/>
      <c r="D148" s="173"/>
      <c r="E148" s="92"/>
      <c r="F148" s="92"/>
      <c r="G148" s="93" t="s">
        <v>19</v>
      </c>
      <c r="H148" s="174" t="s">
        <v>12</v>
      </c>
      <c r="I148" s="187"/>
      <c r="J148" s="187"/>
      <c r="K148" s="223"/>
      <c r="L148" s="49">
        <f ca="1">IFERROR(__xludf.DUMMYFUNCTION("IMPORTRANGE(""https://docs.google.com/spreadsheets/d/1Yj_ptqi66GCucihVvJfMjLAmec39IyEx_6qawtMGysU/edit?usp=sharing"",""สบก!BH31"")"),0)</f>
        <v>0</v>
      </c>
      <c r="M148" s="49"/>
      <c r="N148" s="49">
        <f ca="1">IFERROR(__xludf.DUMMYFUNCTION("IMPORTRANGE(""https://docs.google.com/spreadsheets/d/1Yj_ptqi66GCucihVvJfMjLAmec39IyEx_6qawtMGysU/edit?usp=sharing"",""สบก!BL31"")"),0)</f>
        <v>0</v>
      </c>
      <c r="O148" s="49">
        <f ca="1">IF(L148&gt;0,N148*100/L148,0)</f>
        <v>0</v>
      </c>
      <c r="P148" s="49"/>
    </row>
    <row r="149" spans="1:16" ht="21.75" customHeight="1" x14ac:dyDescent="0.3">
      <c r="A149" s="269"/>
      <c r="B149" s="270"/>
      <c r="C149" s="271" t="s">
        <v>76</v>
      </c>
      <c r="D149" s="271"/>
      <c r="E149" s="271"/>
      <c r="F149" s="271"/>
      <c r="G149" s="272"/>
      <c r="H149" s="273" t="s">
        <v>77</v>
      </c>
      <c r="I149" s="274">
        <f ca="1">IFERROR(__xludf.DUMMYFUNCTION("IMPORTRANGE(""https://docs.google.com/spreadsheets/d/11923uPwbBZFjjGgGUA6NLw09EwE0CqkOc4q9oUmW1yo/edit?usp=sharing"",""แม่ฮ่องสอน!I74"")"),4)</f>
        <v>4</v>
      </c>
      <c r="J149" s="274">
        <f ca="1">IFERROR(__xludf.DUMMYFUNCTION("IMPORTRANGE(""https://docs.google.com/spreadsheets/d/11923uPwbBZFjjGgGUA6NLw09EwE0CqkOc4q9oUmW1yo/edit?usp=sharing"",""แม่ฮ่องสอน!J74"")"),1)</f>
        <v>1</v>
      </c>
      <c r="K149" s="275">
        <f ca="1">IF(I149&gt;0,J149*100/I149,0)</f>
        <v>25</v>
      </c>
      <c r="L149" s="276"/>
      <c r="M149" s="276"/>
      <c r="N149" s="276"/>
      <c r="O149" s="276"/>
      <c r="P149" s="276"/>
    </row>
    <row r="150" spans="1:16" ht="21.75" customHeight="1" x14ac:dyDescent="0.3">
      <c r="A150" s="156"/>
      <c r="B150" s="157"/>
      <c r="C150" s="157" t="s">
        <v>16</v>
      </c>
      <c r="D150" s="158" t="s">
        <v>38</v>
      </c>
      <c r="E150" s="159"/>
      <c r="F150" s="159"/>
      <c r="G150" s="160" t="s">
        <v>39</v>
      </c>
      <c r="H150" s="161" t="s">
        <v>12</v>
      </c>
      <c r="I150" s="162" t="s">
        <v>40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3">
      <c r="A151" s="156"/>
      <c r="B151" s="157"/>
      <c r="C151" s="157"/>
      <c r="D151" s="166"/>
      <c r="E151" s="159"/>
      <c r="F151" s="159" t="s">
        <v>40</v>
      </c>
      <c r="G151" s="160" t="s">
        <v>41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3">
      <c r="A152" s="156"/>
      <c r="B152" s="157"/>
      <c r="C152" s="157"/>
      <c r="D152" s="166"/>
      <c r="E152" s="159"/>
      <c r="F152" s="159"/>
      <c r="G152" s="169" t="s">
        <v>43</v>
      </c>
      <c r="H152" s="161" t="s">
        <v>12</v>
      </c>
      <c r="I152" s="162"/>
      <c r="J152" s="162"/>
      <c r="K152" s="163"/>
      <c r="L152" s="168"/>
      <c r="M152" s="168"/>
      <c r="N152" s="167"/>
      <c r="O152" s="168"/>
      <c r="P152" s="168"/>
    </row>
    <row r="153" spans="1:16" ht="21.75" customHeight="1" x14ac:dyDescent="0.3">
      <c r="A153" s="175"/>
      <c r="B153" s="176"/>
      <c r="C153" s="157" t="s">
        <v>16</v>
      </c>
      <c r="D153" s="177" t="s">
        <v>44</v>
      </c>
      <c r="E153" s="178"/>
      <c r="F153" s="178"/>
      <c r="G153" s="179"/>
      <c r="H153" s="180"/>
      <c r="I153" s="162"/>
      <c r="J153" s="162"/>
      <c r="K153" s="163"/>
      <c r="L153" s="181"/>
      <c r="M153" s="181"/>
      <c r="N153" s="181"/>
      <c r="O153" s="181"/>
      <c r="P153" s="181"/>
    </row>
    <row r="154" spans="1:16" ht="21.75" customHeight="1" x14ac:dyDescent="0.3">
      <c r="A154" s="175"/>
      <c r="B154" s="176"/>
      <c r="C154" s="176"/>
      <c r="D154" s="182">
        <v>1</v>
      </c>
      <c r="E154" s="183" t="s">
        <v>45</v>
      </c>
      <c r="F154" s="184"/>
      <c r="G154" s="185"/>
      <c r="H154" s="186"/>
      <c r="I154" s="187"/>
      <c r="J154" s="188">
        <f ca="1">IFERROR(__xludf.DUMMYFUNCTION("IMPORTRANGE(""https://docs.google.com/spreadsheets/d/11923uPwbBZFjjGgGUA6NLw09EwE0CqkOc4q9oUmW1yo/edit?usp=sharing"",""แม่ฮ่องสอน!J79"")"),0)</f>
        <v>0</v>
      </c>
      <c r="K154" s="163"/>
      <c r="L154" s="181"/>
      <c r="M154" s="181"/>
      <c r="N154" s="181"/>
      <c r="O154" s="181"/>
      <c r="P154" s="181"/>
    </row>
    <row r="155" spans="1:16" ht="21.75" customHeight="1" x14ac:dyDescent="0.3">
      <c r="A155" s="175"/>
      <c r="B155" s="176"/>
      <c r="C155" s="176"/>
      <c r="D155" s="189">
        <v>2</v>
      </c>
      <c r="E155" s="190" t="s">
        <v>46</v>
      </c>
      <c r="F155" s="191"/>
      <c r="G155" s="192"/>
      <c r="H155" s="186"/>
      <c r="I155" s="187"/>
      <c r="J155" s="197">
        <f ca="1">IFERROR(__xludf.DUMMYFUNCTION("IMPORTRANGE(""https://docs.google.com/spreadsheets/d/11923uPwbBZFjjGgGUA6NLw09EwE0CqkOc4q9oUmW1yo/edit?usp=sharing"",""แม่ฮ่องสอน!J80"")"),1)</f>
        <v>1</v>
      </c>
      <c r="K155" s="163"/>
      <c r="L155" s="181"/>
      <c r="M155" s="181"/>
      <c r="N155" s="181"/>
      <c r="O155" s="181"/>
      <c r="P155" s="181"/>
    </row>
    <row r="156" spans="1:16" ht="21.75" customHeight="1" x14ac:dyDescent="0.3">
      <c r="A156" s="175"/>
      <c r="B156" s="176"/>
      <c r="C156" s="176"/>
      <c r="D156" s="193"/>
      <c r="E156" s="194" t="s">
        <v>47</v>
      </c>
      <c r="F156" s="195"/>
      <c r="G156" s="196"/>
      <c r="H156" s="186"/>
      <c r="I156" s="187"/>
      <c r="J156" s="197">
        <f ca="1">IFERROR(__xludf.DUMMYFUNCTION("IMPORTRANGE(""https://docs.google.com/spreadsheets/d/11923uPwbBZFjjGgGUA6NLw09EwE0CqkOc4q9oUmW1yo/edit?usp=sharing"",""แม่ฮ่องสอน!J81"")"),1)</f>
        <v>1</v>
      </c>
      <c r="K156" s="163"/>
      <c r="L156" s="181"/>
      <c r="M156" s="181"/>
      <c r="N156" s="181"/>
      <c r="O156" s="181"/>
      <c r="P156" s="181"/>
    </row>
    <row r="157" spans="1:16" ht="21.75" customHeight="1" x14ac:dyDescent="0.3">
      <c r="A157" s="175"/>
      <c r="B157" s="176"/>
      <c r="C157" s="176"/>
      <c r="D157" s="193"/>
      <c r="E157" s="194" t="s">
        <v>48</v>
      </c>
      <c r="F157" s="195"/>
      <c r="G157" s="196"/>
      <c r="H157" s="186"/>
      <c r="I157" s="187"/>
      <c r="J157" s="197">
        <f ca="1">IFERROR(__xludf.DUMMYFUNCTION("IMPORTRANGE(""https://docs.google.com/spreadsheets/d/11923uPwbBZFjjGgGUA6NLw09EwE0CqkOc4q9oUmW1yo/edit?usp=sharing"",""แม่ฮ่องสอน!J82"")"),1)</f>
        <v>1</v>
      </c>
      <c r="K157" s="163"/>
      <c r="L157" s="181"/>
      <c r="M157" s="181"/>
      <c r="N157" s="181"/>
      <c r="O157" s="181"/>
      <c r="P157" s="181"/>
    </row>
    <row r="158" spans="1:16" ht="21.75" customHeight="1" x14ac:dyDescent="0.3">
      <c r="A158" s="175"/>
      <c r="B158" s="176"/>
      <c r="C158" s="176"/>
      <c r="D158" s="193"/>
      <c r="E158" s="198"/>
      <c r="F158" s="194" t="s">
        <v>78</v>
      </c>
      <c r="G158" s="196"/>
      <c r="H158" s="180" t="s">
        <v>77</v>
      </c>
      <c r="I158" s="187">
        <f ca="1">IFERROR(__xludf.DUMMYFUNCTION("IMPORTRANGE(""https://docs.google.com/spreadsheets/d/11923uPwbBZFjjGgGUA6NLw09EwE0CqkOc4q9oUmW1yo/edit?usp=sharing"",""แม่ฮ่องสอน!I83"")"),4)</f>
        <v>4</v>
      </c>
      <c r="J158" s="188">
        <f ca="1">IFERROR(__xludf.DUMMYFUNCTION("IMPORTRANGE(""https://docs.google.com/spreadsheets/d/11923uPwbBZFjjGgGUA6NLw09EwE0CqkOc4q9oUmW1yo/edit?usp=sharing"",""แม่ฮ่องสอน!J83"")"),1)</f>
        <v>1</v>
      </c>
      <c r="K158" s="163">
        <f ca="1">IF(I158&gt;0,J158*100/I158,0)</f>
        <v>25</v>
      </c>
      <c r="L158" s="181"/>
      <c r="M158" s="181"/>
      <c r="N158" s="181"/>
      <c r="O158" s="181"/>
      <c r="P158" s="181"/>
    </row>
    <row r="159" spans="1:16" ht="21.75" customHeight="1" x14ac:dyDescent="0.3">
      <c r="A159" s="175"/>
      <c r="B159" s="176"/>
      <c r="C159" s="176"/>
      <c r="D159" s="193"/>
      <c r="E159" s="195"/>
      <c r="F159" s="277" t="s">
        <v>79</v>
      </c>
      <c r="G159" s="196"/>
      <c r="H159" s="278" t="s">
        <v>37</v>
      </c>
      <c r="I159" s="187"/>
      <c r="J159" s="203">
        <f ca="1">IFERROR(__xludf.DUMMYFUNCTION("IMPORTRANGE(""https://docs.google.com/spreadsheets/d/11923uPwbBZFjjGgGUA6NLw09EwE0CqkOc4q9oUmW1yo/edit?usp=sharing"",""แม่ฮ่องสอน!J84"")"),20)</f>
        <v>20</v>
      </c>
      <c r="K159" s="163"/>
      <c r="L159" s="181"/>
      <c r="M159" s="181"/>
      <c r="N159" s="181"/>
      <c r="O159" s="181"/>
      <c r="P159" s="181"/>
    </row>
    <row r="160" spans="1:16" ht="21.75" customHeight="1" x14ac:dyDescent="0.45">
      <c r="A160" s="175"/>
      <c r="B160" s="176"/>
      <c r="C160" s="176"/>
      <c r="D160" s="193"/>
      <c r="E160" s="195"/>
      <c r="F160" s="195"/>
      <c r="G160" s="279" t="s">
        <v>80</v>
      </c>
      <c r="H160" s="278" t="s">
        <v>37</v>
      </c>
      <c r="I160" s="187"/>
      <c r="J160" s="280">
        <f ca="1">IFERROR(__xludf.DUMMYFUNCTION("IMPORTRANGE(""https://docs.google.com/spreadsheets/d/11923uPwbBZFjjGgGUA6NLw09EwE0CqkOc4q9oUmW1yo/edit?usp=sharing"",""แม่ฮ่องสอน!J85"")"),20)</f>
        <v>20</v>
      </c>
      <c r="K160" s="163"/>
      <c r="L160" s="181"/>
      <c r="M160" s="181"/>
      <c r="N160" s="181"/>
      <c r="O160" s="181"/>
      <c r="P160" s="181"/>
    </row>
    <row r="161" spans="1:16" ht="21.75" customHeight="1" x14ac:dyDescent="0.45">
      <c r="A161" s="175"/>
      <c r="B161" s="176"/>
      <c r="C161" s="176"/>
      <c r="D161" s="193"/>
      <c r="E161" s="195"/>
      <c r="F161" s="195"/>
      <c r="G161" s="279" t="s">
        <v>81</v>
      </c>
      <c r="H161" s="278" t="s">
        <v>37</v>
      </c>
      <c r="I161" s="187"/>
      <c r="J161" s="280">
        <f ca="1">IFERROR(__xludf.DUMMYFUNCTION("IMPORTRANGE(""https://docs.google.com/spreadsheets/d/11923uPwbBZFjjGgGUA6NLw09EwE0CqkOc4q9oUmW1yo/edit?usp=sharing"",""แม่ฮ่องสอน!J86"")"),0)</f>
        <v>0</v>
      </c>
      <c r="K161" s="163"/>
      <c r="L161" s="181"/>
      <c r="M161" s="181"/>
      <c r="N161" s="181"/>
      <c r="O161" s="181"/>
      <c r="P161" s="181"/>
    </row>
    <row r="162" spans="1:16" ht="21.75" customHeight="1" x14ac:dyDescent="0.3">
      <c r="A162" s="175"/>
      <c r="B162" s="176"/>
      <c r="C162" s="176"/>
      <c r="D162" s="193"/>
      <c r="E162" s="194" t="s">
        <v>54</v>
      </c>
      <c r="F162" s="195"/>
      <c r="G162" s="196"/>
      <c r="H162" s="186"/>
      <c r="I162" s="187"/>
      <c r="J162" s="197">
        <f ca="1">IFERROR(__xludf.DUMMYFUNCTION("IMPORTRANGE(""https://docs.google.com/spreadsheets/d/11923uPwbBZFjjGgGUA6NLw09EwE0CqkOc4q9oUmW1yo/edit?usp=sharing"",""แม่ฮ่องสอน!J87"")"),0)</f>
        <v>0</v>
      </c>
      <c r="K162" s="163"/>
      <c r="L162" s="181"/>
      <c r="M162" s="181"/>
      <c r="N162" s="181"/>
      <c r="O162" s="181"/>
      <c r="P162" s="181"/>
    </row>
    <row r="163" spans="1:16" ht="21.75" customHeight="1" x14ac:dyDescent="0.3">
      <c r="A163" s="175"/>
      <c r="B163" s="176"/>
      <c r="C163" s="176"/>
      <c r="D163" s="205">
        <v>3</v>
      </c>
      <c r="E163" s="206" t="s">
        <v>55</v>
      </c>
      <c r="F163" s="207"/>
      <c r="G163" s="208"/>
      <c r="H163" s="186"/>
      <c r="I163" s="187"/>
      <c r="J163" s="209">
        <f ca="1">IFERROR(__xludf.DUMMYFUNCTION("IMPORTRANGE(""https://docs.google.com/spreadsheets/d/11923uPwbBZFjjGgGUA6NLw09EwE0CqkOc4q9oUmW1yo/edit?usp=sharing"",""แม่ฮ่องสอน!J88"")"),0)</f>
        <v>0</v>
      </c>
      <c r="K163" s="163"/>
      <c r="L163" s="181"/>
      <c r="M163" s="181"/>
      <c r="N163" s="181"/>
      <c r="O163" s="181"/>
      <c r="P163" s="181"/>
    </row>
    <row r="164" spans="1:16" ht="21.75" customHeight="1" x14ac:dyDescent="0.3">
      <c r="A164" s="269"/>
      <c r="B164" s="270"/>
      <c r="C164" s="271" t="s">
        <v>82</v>
      </c>
      <c r="D164" s="271"/>
      <c r="E164" s="271"/>
      <c r="F164" s="271"/>
      <c r="G164" s="272"/>
      <c r="H164" s="281" t="s">
        <v>83</v>
      </c>
      <c r="I164" s="282">
        <f ca="1">IFERROR(__xludf.DUMMYFUNCTION("IMPORTRANGE(""https://docs.google.com/spreadsheets/d/11923uPwbBZFjjGgGUA6NLw09EwE0CqkOc4q9oUmW1yo/edit?usp=sharing"",""แม่ฮ่องสอน!I89"")"),2)</f>
        <v>2</v>
      </c>
      <c r="J164" s="282">
        <f ca="1">IFERROR(__xludf.DUMMYFUNCTION("IMPORTRANGE(""https://docs.google.com/spreadsheets/d/11923uPwbBZFjjGgGUA6NLw09EwE0CqkOc4q9oUmW1yo/edit?usp=sharing"",""แม่ฮ่องสอน!J89"")"),2)</f>
        <v>2</v>
      </c>
      <c r="K164" s="283">
        <f ca="1">IF(I164&gt;0,J164*100/I164,0)</f>
        <v>100</v>
      </c>
      <c r="L164" s="276"/>
      <c r="M164" s="276"/>
      <c r="N164" s="276"/>
      <c r="O164" s="276"/>
      <c r="P164" s="276"/>
    </row>
    <row r="165" spans="1:16" ht="21.75" customHeight="1" x14ac:dyDescent="0.3">
      <c r="A165" s="156"/>
      <c r="B165" s="157"/>
      <c r="C165" s="157" t="s">
        <v>16</v>
      </c>
      <c r="D165" s="158" t="s">
        <v>38</v>
      </c>
      <c r="E165" s="159"/>
      <c r="F165" s="159"/>
      <c r="G165" s="160" t="s">
        <v>39</v>
      </c>
      <c r="H165" s="161" t="s">
        <v>12</v>
      </c>
      <c r="I165" s="162" t="s">
        <v>40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3">
      <c r="A166" s="156"/>
      <c r="B166" s="157"/>
      <c r="C166" s="157"/>
      <c r="D166" s="166"/>
      <c r="E166" s="159"/>
      <c r="F166" s="159" t="s">
        <v>40</v>
      </c>
      <c r="G166" s="160" t="s">
        <v>41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3">
      <c r="A167" s="156"/>
      <c r="B167" s="157"/>
      <c r="C167" s="157"/>
      <c r="D167" s="166"/>
      <c r="E167" s="159"/>
      <c r="F167" s="159"/>
      <c r="G167" s="169" t="s">
        <v>43</v>
      </c>
      <c r="H167" s="161" t="s">
        <v>12</v>
      </c>
      <c r="I167" s="162"/>
      <c r="J167" s="162"/>
      <c r="K167" s="163"/>
      <c r="L167" s="168"/>
      <c r="M167" s="168"/>
      <c r="N167" s="167"/>
      <c r="O167" s="168"/>
      <c r="P167" s="168"/>
    </row>
    <row r="168" spans="1:16" ht="21.75" customHeight="1" x14ac:dyDescent="0.3">
      <c r="A168" s="175"/>
      <c r="B168" s="176"/>
      <c r="C168" s="157" t="s">
        <v>16</v>
      </c>
      <c r="D168" s="177" t="s">
        <v>44</v>
      </c>
      <c r="E168" s="178"/>
      <c r="F168" s="178"/>
      <c r="G168" s="179"/>
      <c r="H168" s="180"/>
      <c r="I168" s="162"/>
      <c r="J168" s="162"/>
      <c r="K168" s="163"/>
      <c r="L168" s="181"/>
      <c r="M168" s="181"/>
      <c r="N168" s="181"/>
      <c r="O168" s="181"/>
      <c r="P168" s="181"/>
    </row>
    <row r="169" spans="1:16" ht="21.75" customHeight="1" x14ac:dyDescent="0.3">
      <c r="A169" s="175"/>
      <c r="B169" s="176"/>
      <c r="C169" s="176"/>
      <c r="D169" s="182">
        <v>1</v>
      </c>
      <c r="E169" s="183" t="s">
        <v>45</v>
      </c>
      <c r="F169" s="184"/>
      <c r="G169" s="185"/>
      <c r="H169" s="186"/>
      <c r="I169" s="187"/>
      <c r="J169" s="188">
        <f ca="1">IFERROR(__xludf.DUMMYFUNCTION("IMPORTRANGE(""https://docs.google.com/spreadsheets/d/11923uPwbBZFjjGgGUA6NLw09EwE0CqkOc4q9oUmW1yo/edit?usp=sharing"",""แม่ฮ่องสอน!J94"")"),0)</f>
        <v>0</v>
      </c>
      <c r="K169" s="163"/>
      <c r="L169" s="181"/>
      <c r="M169" s="181"/>
      <c r="N169" s="181"/>
      <c r="O169" s="181"/>
      <c r="P169" s="181"/>
    </row>
    <row r="170" spans="1:16" ht="21.75" customHeight="1" x14ac:dyDescent="0.3">
      <c r="A170" s="175"/>
      <c r="B170" s="176"/>
      <c r="C170" s="176"/>
      <c r="D170" s="189">
        <v>2</v>
      </c>
      <c r="E170" s="190" t="s">
        <v>46</v>
      </c>
      <c r="F170" s="191"/>
      <c r="G170" s="192"/>
      <c r="H170" s="186"/>
      <c r="I170" s="187"/>
      <c r="J170" s="197">
        <f ca="1">IFERROR(__xludf.DUMMYFUNCTION("IMPORTRANGE(""https://docs.google.com/spreadsheets/d/11923uPwbBZFjjGgGUA6NLw09EwE0CqkOc4q9oUmW1yo/edit?usp=sharing"",""แม่ฮ่องสอน!J95"")"),1)</f>
        <v>1</v>
      </c>
      <c r="K170" s="163"/>
      <c r="L170" s="181"/>
      <c r="M170" s="181"/>
      <c r="N170" s="181"/>
      <c r="O170" s="181"/>
      <c r="P170" s="181"/>
    </row>
    <row r="171" spans="1:16" ht="21.75" customHeight="1" x14ac:dyDescent="0.3">
      <c r="A171" s="175"/>
      <c r="B171" s="176"/>
      <c r="C171" s="176"/>
      <c r="D171" s="193"/>
      <c r="E171" s="194" t="s">
        <v>47</v>
      </c>
      <c r="F171" s="195"/>
      <c r="G171" s="196"/>
      <c r="H171" s="186"/>
      <c r="I171" s="187"/>
      <c r="J171" s="197">
        <f ca="1">IFERROR(__xludf.DUMMYFUNCTION("IMPORTRANGE(""https://docs.google.com/spreadsheets/d/11923uPwbBZFjjGgGUA6NLw09EwE0CqkOc4q9oUmW1yo/edit?usp=sharing"",""แม่ฮ่องสอน!J96"")"),1)</f>
        <v>1</v>
      </c>
      <c r="K171" s="163"/>
      <c r="L171" s="181"/>
      <c r="M171" s="181"/>
      <c r="N171" s="181"/>
      <c r="O171" s="181"/>
      <c r="P171" s="181"/>
    </row>
    <row r="172" spans="1:16" ht="21.75" customHeight="1" x14ac:dyDescent="0.3">
      <c r="A172" s="175"/>
      <c r="B172" s="176"/>
      <c r="C172" s="176"/>
      <c r="D172" s="193"/>
      <c r="E172" s="194" t="s">
        <v>48</v>
      </c>
      <c r="F172" s="195"/>
      <c r="G172" s="196"/>
      <c r="H172" s="186"/>
      <c r="I172" s="187"/>
      <c r="J172" s="197">
        <f ca="1">IFERROR(__xludf.DUMMYFUNCTION("IMPORTRANGE(""https://docs.google.com/spreadsheets/d/11923uPwbBZFjjGgGUA6NLw09EwE0CqkOc4q9oUmW1yo/edit?usp=sharing"",""แม่ฮ่องสอน!J97"")"),1)</f>
        <v>1</v>
      </c>
      <c r="K172" s="163"/>
      <c r="L172" s="181"/>
      <c r="M172" s="181"/>
      <c r="N172" s="181"/>
      <c r="O172" s="181"/>
      <c r="P172" s="181"/>
    </row>
    <row r="173" spans="1:16" ht="21.75" customHeight="1" x14ac:dyDescent="0.3">
      <c r="A173" s="175"/>
      <c r="B173" s="176"/>
      <c r="C173" s="176"/>
      <c r="D173" s="193"/>
      <c r="E173" s="198"/>
      <c r="F173" s="204" t="s">
        <v>84</v>
      </c>
      <c r="G173" s="196"/>
      <c r="H173" s="180" t="s">
        <v>83</v>
      </c>
      <c r="I173" s="187">
        <f ca="1">IFERROR(__xludf.DUMMYFUNCTION("IMPORTRANGE(""https://docs.google.com/spreadsheets/d/11923uPwbBZFjjGgGUA6NLw09EwE0CqkOc4q9oUmW1yo/edit?usp=sharing"",""แม่ฮ่องสอน!I98"")"),2)</f>
        <v>2</v>
      </c>
      <c r="J173" s="188">
        <f ca="1">IFERROR(__xludf.DUMMYFUNCTION("IMPORTRANGE(""https://docs.google.com/spreadsheets/d/11923uPwbBZFjjGgGUA6NLw09EwE0CqkOc4q9oUmW1yo/edit?usp=sharing"",""แม่ฮ่องสอน!J98"")"),2)</f>
        <v>2</v>
      </c>
      <c r="K173" s="163">
        <f ca="1">IF(I173&gt;0,J173*100/I173,0)</f>
        <v>100</v>
      </c>
      <c r="L173" s="168"/>
      <c r="M173" s="168"/>
      <c r="N173" s="167"/>
      <c r="O173" s="168"/>
      <c r="P173" s="168"/>
    </row>
    <row r="174" spans="1:16" ht="21.75" customHeight="1" x14ac:dyDescent="0.3">
      <c r="A174" s="175"/>
      <c r="B174" s="176"/>
      <c r="C174" s="176"/>
      <c r="D174" s="193"/>
      <c r="E174" s="194" t="s">
        <v>54</v>
      </c>
      <c r="F174" s="195"/>
      <c r="G174" s="196"/>
      <c r="H174" s="186"/>
      <c r="I174" s="187"/>
      <c r="J174" s="197">
        <f ca="1">IFERROR(__xludf.DUMMYFUNCTION("IMPORTRANGE(""https://docs.google.com/spreadsheets/d/11923uPwbBZFjjGgGUA6NLw09EwE0CqkOc4q9oUmW1yo/edit?usp=sharing"",""แม่ฮ่องสอน!J99"")"),0)</f>
        <v>0</v>
      </c>
      <c r="K174" s="163"/>
      <c r="L174" s="181"/>
      <c r="M174" s="181"/>
      <c r="N174" s="181"/>
      <c r="O174" s="181"/>
      <c r="P174" s="181"/>
    </row>
    <row r="175" spans="1:16" ht="21.75" customHeight="1" x14ac:dyDescent="0.3">
      <c r="A175" s="175"/>
      <c r="B175" s="176"/>
      <c r="C175" s="176"/>
      <c r="D175" s="205">
        <v>3</v>
      </c>
      <c r="E175" s="206" t="s">
        <v>55</v>
      </c>
      <c r="F175" s="207"/>
      <c r="G175" s="208"/>
      <c r="H175" s="186"/>
      <c r="I175" s="187"/>
      <c r="J175" s="209">
        <f ca="1">IFERROR(__xludf.DUMMYFUNCTION("IMPORTRANGE(""https://docs.google.com/spreadsheets/d/11923uPwbBZFjjGgGUA6NLw09EwE0CqkOc4q9oUmW1yo/edit?usp=sharing"",""แม่ฮ่องสอน!J100"")"),0)</f>
        <v>0</v>
      </c>
      <c r="K175" s="163"/>
      <c r="L175" s="181"/>
      <c r="M175" s="181"/>
      <c r="N175" s="181"/>
      <c r="O175" s="181"/>
      <c r="P175" s="181"/>
    </row>
    <row r="176" spans="1:16" ht="21.75" customHeight="1" x14ac:dyDescent="0.3">
      <c r="A176" s="269"/>
      <c r="B176" s="270"/>
      <c r="C176" s="271" t="s">
        <v>85</v>
      </c>
      <c r="D176" s="271"/>
      <c r="E176" s="271"/>
      <c r="F176" s="271"/>
      <c r="G176" s="272"/>
      <c r="H176" s="281" t="s">
        <v>83</v>
      </c>
      <c r="I176" s="282">
        <f ca="1">IFERROR(__xludf.DUMMYFUNCTION("IMPORTRANGE(""https://docs.google.com/spreadsheets/d/11923uPwbBZFjjGgGUA6NLw09EwE0CqkOc4q9oUmW1yo/edit?usp=sharing"",""แม่ฮ่องสอน!I101"")"),0)</f>
        <v>0</v>
      </c>
      <c r="J176" s="282">
        <f ca="1">IFERROR(__xludf.DUMMYFUNCTION("IMPORTRANGE(""https://docs.google.com/spreadsheets/d/11923uPwbBZFjjGgGUA6NLw09EwE0CqkOc4q9oUmW1yo/edit?usp=sharing"",""แม่ฮ่องสอน!J101"")"),0)</f>
        <v>0</v>
      </c>
      <c r="K176" s="283">
        <f ca="1">IF(I176&gt;0,J176*100/I176,0)</f>
        <v>0</v>
      </c>
      <c r="L176" s="276"/>
      <c r="M176" s="276"/>
      <c r="N176" s="276"/>
      <c r="O176" s="276"/>
      <c r="P176" s="276"/>
    </row>
    <row r="177" spans="1:16" ht="21.75" customHeight="1" x14ac:dyDescent="0.3">
      <c r="A177" s="156"/>
      <c r="B177" s="157"/>
      <c r="C177" s="157" t="s">
        <v>16</v>
      </c>
      <c r="D177" s="158" t="s">
        <v>38</v>
      </c>
      <c r="E177" s="159"/>
      <c r="F177" s="159"/>
      <c r="G177" s="160" t="s">
        <v>39</v>
      </c>
      <c r="H177" s="161" t="s">
        <v>12</v>
      </c>
      <c r="I177" s="162" t="s">
        <v>40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3">
      <c r="A178" s="156"/>
      <c r="B178" s="157"/>
      <c r="C178" s="157"/>
      <c r="D178" s="166"/>
      <c r="E178" s="159"/>
      <c r="F178" s="159" t="s">
        <v>40</v>
      </c>
      <c r="G178" s="160" t="s">
        <v>41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3">
      <c r="A179" s="156"/>
      <c r="B179" s="157"/>
      <c r="C179" s="157"/>
      <c r="D179" s="166"/>
      <c r="E179" s="159"/>
      <c r="F179" s="159"/>
      <c r="G179" s="169" t="s">
        <v>43</v>
      </c>
      <c r="H179" s="161" t="s">
        <v>12</v>
      </c>
      <c r="I179" s="162"/>
      <c r="J179" s="187"/>
      <c r="K179" s="223"/>
      <c r="L179" s="168"/>
      <c r="M179" s="168"/>
      <c r="N179" s="167"/>
      <c r="O179" s="168"/>
      <c r="P179" s="168"/>
    </row>
    <row r="180" spans="1:16" ht="21.75" customHeight="1" x14ac:dyDescent="0.3">
      <c r="A180" s="175"/>
      <c r="B180" s="176"/>
      <c r="C180" s="157" t="s">
        <v>16</v>
      </c>
      <c r="D180" s="177" t="s">
        <v>44</v>
      </c>
      <c r="E180" s="178"/>
      <c r="F180" s="178"/>
      <c r="G180" s="179"/>
      <c r="H180" s="180"/>
      <c r="I180" s="162"/>
      <c r="J180" s="187"/>
      <c r="K180" s="223"/>
      <c r="L180" s="168"/>
      <c r="M180" s="168"/>
      <c r="N180" s="168"/>
      <c r="O180" s="181"/>
      <c r="P180" s="181"/>
    </row>
    <row r="181" spans="1:16" ht="21.75" customHeight="1" x14ac:dyDescent="0.3">
      <c r="A181" s="175"/>
      <c r="B181" s="176"/>
      <c r="C181" s="176"/>
      <c r="D181" s="182">
        <v>1</v>
      </c>
      <c r="E181" s="183" t="s">
        <v>45</v>
      </c>
      <c r="F181" s="184"/>
      <c r="G181" s="185"/>
      <c r="H181" s="186"/>
      <c r="I181" s="187"/>
      <c r="J181" s="187">
        <f ca="1">IFERROR(__xludf.DUMMYFUNCTION("IMPORTRANGE(""https://docs.google.com/spreadsheets/d/11923uPwbBZFjjGgGUA6NLw09EwE0CqkOc4q9oUmW1yo/edit?usp=sharing"",""แม่ฮ่องสอน!J106"")"),0)</f>
        <v>0</v>
      </c>
      <c r="K181" s="223"/>
      <c r="L181" s="168"/>
      <c r="M181" s="168"/>
      <c r="N181" s="168"/>
      <c r="O181" s="181"/>
      <c r="P181" s="181"/>
    </row>
    <row r="182" spans="1:16" ht="21.75" customHeight="1" x14ac:dyDescent="0.3">
      <c r="A182" s="175"/>
      <c r="B182" s="176"/>
      <c r="C182" s="176"/>
      <c r="D182" s="189">
        <v>2</v>
      </c>
      <c r="E182" s="190" t="s">
        <v>46</v>
      </c>
      <c r="F182" s="191"/>
      <c r="G182" s="192"/>
      <c r="H182" s="186"/>
      <c r="I182" s="187"/>
      <c r="J182" s="187">
        <f ca="1">IFERROR(__xludf.DUMMYFUNCTION("IMPORTRANGE(""https://docs.google.com/spreadsheets/d/11923uPwbBZFjjGgGUA6NLw09EwE0CqkOc4q9oUmW1yo/edit?usp=sharing"",""แม่ฮ่องสอน!J107"")"),0)</f>
        <v>0</v>
      </c>
      <c r="K182" s="223"/>
      <c r="L182" s="168"/>
      <c r="M182" s="168"/>
      <c r="N182" s="168"/>
      <c r="O182" s="181"/>
      <c r="P182" s="181"/>
    </row>
    <row r="183" spans="1:16" ht="21.75" customHeight="1" x14ac:dyDescent="0.3">
      <c r="A183" s="175"/>
      <c r="B183" s="176"/>
      <c r="C183" s="176"/>
      <c r="D183" s="193"/>
      <c r="E183" s="194" t="s">
        <v>47</v>
      </c>
      <c r="F183" s="195"/>
      <c r="G183" s="196"/>
      <c r="H183" s="186"/>
      <c r="I183" s="187"/>
      <c r="J183" s="187">
        <f ca="1">IFERROR(__xludf.DUMMYFUNCTION("IMPORTRANGE(""https://docs.google.com/spreadsheets/d/11923uPwbBZFjjGgGUA6NLw09EwE0CqkOc4q9oUmW1yo/edit?usp=sharing"",""แม่ฮ่องสอน!J108"")"),0)</f>
        <v>0</v>
      </c>
      <c r="K183" s="223"/>
      <c r="L183" s="168"/>
      <c r="M183" s="168"/>
      <c r="N183" s="168"/>
      <c r="O183" s="181"/>
      <c r="P183" s="181"/>
    </row>
    <row r="184" spans="1:16" ht="21.75" customHeight="1" x14ac:dyDescent="0.3">
      <c r="A184" s="175"/>
      <c r="B184" s="176"/>
      <c r="C184" s="176"/>
      <c r="D184" s="193"/>
      <c r="E184" s="194" t="s">
        <v>48</v>
      </c>
      <c r="F184" s="195"/>
      <c r="G184" s="196"/>
      <c r="H184" s="186"/>
      <c r="I184" s="187"/>
      <c r="J184" s="187">
        <f ca="1">IFERROR(__xludf.DUMMYFUNCTION("IMPORTRANGE(""https://docs.google.com/spreadsheets/d/11923uPwbBZFjjGgGUA6NLw09EwE0CqkOc4q9oUmW1yo/edit?usp=sharing"",""แม่ฮ่องสอน!J109"")"),0)</f>
        <v>0</v>
      </c>
      <c r="K184" s="223"/>
      <c r="L184" s="168"/>
      <c r="M184" s="168"/>
      <c r="N184" s="168"/>
      <c r="O184" s="181"/>
      <c r="P184" s="181"/>
    </row>
    <row r="185" spans="1:16" ht="21.75" customHeight="1" x14ac:dyDescent="0.3">
      <c r="A185" s="175"/>
      <c r="B185" s="176"/>
      <c r="C185" s="176"/>
      <c r="D185" s="193"/>
      <c r="E185" s="198"/>
      <c r="F185" s="194" t="s">
        <v>86</v>
      </c>
      <c r="G185" s="196"/>
      <c r="H185" s="180" t="s">
        <v>83</v>
      </c>
      <c r="I185" s="187">
        <f ca="1">IFERROR(__xludf.DUMMYFUNCTION("IMPORTRANGE(""https://docs.google.com/spreadsheets/d/11923uPwbBZFjjGgGUA6NLw09EwE0CqkOc4q9oUmW1yo/edit?usp=sharing"",""แม่ฮ่องสอน!I110"")"),0)</f>
        <v>0</v>
      </c>
      <c r="J185" s="203">
        <f ca="1">IFERROR(__xludf.DUMMYFUNCTION("IMPORTRANGE(""https://docs.google.com/spreadsheets/d/11923uPwbBZFjjGgGUA6NLw09EwE0CqkOc4q9oUmW1yo/edit?usp=sharing"",""แม่ฮ่องสอน!J110"")"),0)</f>
        <v>0</v>
      </c>
      <c r="K185" s="223">
        <f t="shared" ref="K185:K186" ca="1" si="69">IF(I185&gt;0,J185*100/I185,0)</f>
        <v>0</v>
      </c>
      <c r="L185" s="168"/>
      <c r="M185" s="168"/>
      <c r="N185" s="167"/>
      <c r="O185" s="168"/>
      <c r="P185" s="168"/>
    </row>
    <row r="186" spans="1:16" ht="21.75" customHeight="1" x14ac:dyDescent="0.3">
      <c r="A186" s="175"/>
      <c r="B186" s="176"/>
      <c r="C186" s="176"/>
      <c r="D186" s="193"/>
      <c r="E186" s="198"/>
      <c r="F186" s="194" t="s">
        <v>87</v>
      </c>
      <c r="G186" s="196"/>
      <c r="H186" s="180" t="s">
        <v>83</v>
      </c>
      <c r="I186" s="187">
        <f ca="1">IFERROR(__xludf.DUMMYFUNCTION("IMPORTRANGE(""https://docs.google.com/spreadsheets/d/11923uPwbBZFjjGgGUA6NLw09EwE0CqkOc4q9oUmW1yo/edit?usp=sharing"",""แม่ฮ่องสอน!I111"")"),0)</f>
        <v>0</v>
      </c>
      <c r="J186" s="203">
        <f ca="1">IFERROR(__xludf.DUMMYFUNCTION("IMPORTRANGE(""https://docs.google.com/spreadsheets/d/11923uPwbBZFjjGgGUA6NLw09EwE0CqkOc4q9oUmW1yo/edit?usp=sharing"",""แม่ฮ่องสอน!J111"")"),0)</f>
        <v>0</v>
      </c>
      <c r="K186" s="223">
        <f t="shared" ca="1" si="69"/>
        <v>0</v>
      </c>
      <c r="L186" s="168"/>
      <c r="M186" s="168"/>
      <c r="N186" s="167"/>
      <c r="O186" s="168"/>
      <c r="P186" s="168"/>
    </row>
    <row r="187" spans="1:16" ht="21.75" customHeight="1" x14ac:dyDescent="0.3">
      <c r="A187" s="175"/>
      <c r="B187" s="176"/>
      <c r="C187" s="176"/>
      <c r="D187" s="193"/>
      <c r="E187" s="194" t="s">
        <v>54</v>
      </c>
      <c r="F187" s="195"/>
      <c r="G187" s="196"/>
      <c r="H187" s="186"/>
      <c r="I187" s="187"/>
      <c r="J187" s="187">
        <f ca="1">IFERROR(__xludf.DUMMYFUNCTION("IMPORTRANGE(""https://docs.google.com/spreadsheets/d/11923uPwbBZFjjGgGUA6NLw09EwE0CqkOc4q9oUmW1yo/edit?usp=sharing"",""แม่ฮ่องสอน!J112"")"),0)</f>
        <v>0</v>
      </c>
      <c r="K187" s="223"/>
      <c r="L187" s="168"/>
      <c r="M187" s="168"/>
      <c r="N187" s="168"/>
      <c r="O187" s="181"/>
      <c r="P187" s="181"/>
    </row>
    <row r="188" spans="1:16" ht="21.75" customHeight="1" x14ac:dyDescent="0.3">
      <c r="A188" s="175"/>
      <c r="B188" s="176"/>
      <c r="C188" s="176"/>
      <c r="D188" s="205">
        <v>3</v>
      </c>
      <c r="E188" s="206" t="s">
        <v>55</v>
      </c>
      <c r="F188" s="207"/>
      <c r="G188" s="208"/>
      <c r="H188" s="186"/>
      <c r="I188" s="187"/>
      <c r="J188" s="226">
        <f ca="1">IFERROR(__xludf.DUMMYFUNCTION("IMPORTRANGE(""https://docs.google.com/spreadsheets/d/11923uPwbBZFjjGgGUA6NLw09EwE0CqkOc4q9oUmW1yo/edit?usp=sharing"",""แม่ฮ่องสอน!J113"")"),0)</f>
        <v>0</v>
      </c>
      <c r="K188" s="223"/>
      <c r="L188" s="168"/>
      <c r="M188" s="168"/>
      <c r="N188" s="168"/>
      <c r="O188" s="181"/>
      <c r="P188" s="181"/>
    </row>
    <row r="189" spans="1:16" ht="21.75" customHeight="1" x14ac:dyDescent="0.3">
      <c r="A189" s="269"/>
      <c r="B189" s="270"/>
      <c r="C189" s="271" t="s">
        <v>88</v>
      </c>
      <c r="D189" s="271"/>
      <c r="E189" s="271"/>
      <c r="F189" s="271"/>
      <c r="G189" s="272"/>
      <c r="H189" s="284" t="s">
        <v>89</v>
      </c>
      <c r="I189" s="282">
        <f ca="1">IFERROR(__xludf.DUMMYFUNCTION("IMPORTRANGE(""https://docs.google.com/spreadsheets/d/11923uPwbBZFjjGgGUA6NLw09EwE0CqkOc4q9oUmW1yo/edit?usp=sharing"",""แม่ฮ่องสอน!I114"")"),100000)</f>
        <v>100000</v>
      </c>
      <c r="J189" s="282">
        <f ca="1">IFERROR(__xludf.DUMMYFUNCTION("IMPORTRANGE(""https://docs.google.com/spreadsheets/d/11923uPwbBZFjjGgGUA6NLw09EwE0CqkOc4q9oUmW1yo/edit?usp=sharing"",""แม่ฮ่องสอน!J114"")"),0)</f>
        <v>0</v>
      </c>
      <c r="K189" s="283">
        <f ca="1">IF(I189&gt;0,J189*100/I189,0)</f>
        <v>0</v>
      </c>
      <c r="L189" s="276"/>
      <c r="M189" s="276"/>
      <c r="N189" s="276"/>
      <c r="O189" s="276"/>
      <c r="P189" s="276"/>
    </row>
    <row r="190" spans="1:16" ht="21.75" customHeight="1" x14ac:dyDescent="0.3">
      <c r="A190" s="156"/>
      <c r="B190" s="157"/>
      <c r="C190" s="157" t="s">
        <v>16</v>
      </c>
      <c r="D190" s="158" t="s">
        <v>38</v>
      </c>
      <c r="E190" s="159"/>
      <c r="F190" s="159"/>
      <c r="G190" s="160" t="s">
        <v>39</v>
      </c>
      <c r="H190" s="161" t="s">
        <v>12</v>
      </c>
      <c r="I190" s="162" t="s">
        <v>40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3">
      <c r="A191" s="156"/>
      <c r="B191" s="157"/>
      <c r="C191" s="157"/>
      <c r="D191" s="166"/>
      <c r="E191" s="159"/>
      <c r="F191" s="159" t="s">
        <v>40</v>
      </c>
      <c r="G191" s="160" t="s">
        <v>41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3">
      <c r="A192" s="156"/>
      <c r="B192" s="157"/>
      <c r="C192" s="157"/>
      <c r="D192" s="166"/>
      <c r="E192" s="159"/>
      <c r="F192" s="159"/>
      <c r="G192" s="169" t="s">
        <v>43</v>
      </c>
      <c r="H192" s="161" t="s">
        <v>12</v>
      </c>
      <c r="I192" s="162"/>
      <c r="J192" s="162"/>
      <c r="K192" s="163"/>
      <c r="L192" s="168"/>
      <c r="M192" s="168"/>
      <c r="N192" s="167"/>
      <c r="O192" s="168"/>
      <c r="P192" s="168"/>
    </row>
    <row r="193" spans="1:16" ht="21.75" customHeight="1" x14ac:dyDescent="0.3">
      <c r="A193" s="175"/>
      <c r="B193" s="176"/>
      <c r="C193" s="157" t="s">
        <v>16</v>
      </c>
      <c r="D193" s="177" t="s">
        <v>44</v>
      </c>
      <c r="E193" s="178"/>
      <c r="F193" s="178"/>
      <c r="G193" s="179"/>
      <c r="H193" s="180"/>
      <c r="I193" s="162"/>
      <c r="J193" s="162"/>
      <c r="K193" s="163"/>
      <c r="L193" s="181"/>
      <c r="M193" s="181"/>
      <c r="N193" s="181"/>
      <c r="O193" s="181"/>
      <c r="P193" s="181"/>
    </row>
    <row r="194" spans="1:16" ht="21.75" customHeight="1" x14ac:dyDescent="0.3">
      <c r="A194" s="175"/>
      <c r="B194" s="176"/>
      <c r="C194" s="176"/>
      <c r="D194" s="182">
        <v>1</v>
      </c>
      <c r="E194" s="183" t="s">
        <v>45</v>
      </c>
      <c r="F194" s="184"/>
      <c r="G194" s="185"/>
      <c r="H194" s="186"/>
      <c r="I194" s="187"/>
      <c r="J194" s="197">
        <f ca="1">IFERROR(__xludf.DUMMYFUNCTION("IMPORTRANGE(""https://docs.google.com/spreadsheets/d/11923uPwbBZFjjGgGUA6NLw09EwE0CqkOc4q9oUmW1yo/edit?usp=sharing"",""แม่ฮ่องสอน!J119"")"),0)</f>
        <v>0</v>
      </c>
      <c r="K194" s="163"/>
      <c r="L194" s="181"/>
      <c r="M194" s="181"/>
      <c r="N194" s="181"/>
      <c r="O194" s="181"/>
      <c r="P194" s="181"/>
    </row>
    <row r="195" spans="1:16" ht="21.75" customHeight="1" x14ac:dyDescent="0.3">
      <c r="A195" s="175"/>
      <c r="B195" s="176"/>
      <c r="C195" s="176"/>
      <c r="D195" s="189">
        <v>2</v>
      </c>
      <c r="E195" s="190" t="s">
        <v>46</v>
      </c>
      <c r="F195" s="191"/>
      <c r="G195" s="192"/>
      <c r="H195" s="186"/>
      <c r="I195" s="187"/>
      <c r="J195" s="188">
        <f ca="1">IFERROR(__xludf.DUMMYFUNCTION("IMPORTRANGE(""https://docs.google.com/spreadsheets/d/11923uPwbBZFjjGgGUA6NLw09EwE0CqkOc4q9oUmW1yo/edit?usp=sharing"",""แม่ฮ่องสอน!J120"")"),1)</f>
        <v>1</v>
      </c>
      <c r="K195" s="163"/>
      <c r="L195" s="181"/>
      <c r="M195" s="181"/>
      <c r="N195" s="181"/>
      <c r="O195" s="181"/>
      <c r="P195" s="181"/>
    </row>
    <row r="196" spans="1:16" ht="21.75" customHeight="1" x14ac:dyDescent="0.3">
      <c r="A196" s="175"/>
      <c r="B196" s="176"/>
      <c r="C196" s="176"/>
      <c r="D196" s="193"/>
      <c r="E196" s="194" t="s">
        <v>47</v>
      </c>
      <c r="F196" s="195"/>
      <c r="G196" s="196"/>
      <c r="H196" s="186"/>
      <c r="I196" s="187"/>
      <c r="J196" s="188">
        <f ca="1">IFERROR(__xludf.DUMMYFUNCTION("IMPORTRANGE(""https://docs.google.com/spreadsheets/d/11923uPwbBZFjjGgGUA6NLw09EwE0CqkOc4q9oUmW1yo/edit?usp=sharing"",""แม่ฮ่องสอน!J121"")"),1)</f>
        <v>1</v>
      </c>
      <c r="K196" s="163"/>
      <c r="L196" s="181"/>
      <c r="M196" s="181"/>
      <c r="N196" s="181"/>
      <c r="O196" s="181"/>
      <c r="P196" s="181"/>
    </row>
    <row r="197" spans="1:16" ht="21.75" customHeight="1" x14ac:dyDescent="0.3">
      <c r="A197" s="175"/>
      <c r="B197" s="176"/>
      <c r="C197" s="176"/>
      <c r="D197" s="193"/>
      <c r="E197" s="194" t="s">
        <v>48</v>
      </c>
      <c r="F197" s="195"/>
      <c r="G197" s="196"/>
      <c r="H197" s="186"/>
      <c r="I197" s="187"/>
      <c r="J197" s="197">
        <f ca="1">IFERROR(__xludf.DUMMYFUNCTION("IMPORTRANGE(""https://docs.google.com/spreadsheets/d/11923uPwbBZFjjGgGUA6NLw09EwE0CqkOc4q9oUmW1yo/edit?usp=sharing"",""แม่ฮ่องสอน!J122"")"),1)</f>
        <v>1</v>
      </c>
      <c r="K197" s="163"/>
      <c r="L197" s="181"/>
      <c r="M197" s="181"/>
      <c r="N197" s="181"/>
      <c r="O197" s="181"/>
      <c r="P197" s="181"/>
    </row>
    <row r="198" spans="1:16" ht="21.75" customHeight="1" x14ac:dyDescent="0.3">
      <c r="A198" s="175"/>
      <c r="B198" s="176"/>
      <c r="C198" s="176"/>
      <c r="D198" s="193"/>
      <c r="E198" s="195"/>
      <c r="F198" s="195" t="s">
        <v>90</v>
      </c>
      <c r="G198" s="196"/>
      <c r="H198" s="180"/>
      <c r="I198" s="187"/>
      <c r="J198" s="187"/>
      <c r="K198" s="163"/>
      <c r="L198" s="181"/>
      <c r="M198" s="181"/>
      <c r="N198" s="181"/>
      <c r="O198" s="181"/>
      <c r="P198" s="181"/>
    </row>
    <row r="199" spans="1:16" ht="21.75" customHeight="1" x14ac:dyDescent="0.3">
      <c r="A199" s="175"/>
      <c r="B199" s="176"/>
      <c r="C199" s="176"/>
      <c r="D199" s="193"/>
      <c r="E199" s="198"/>
      <c r="F199" s="195"/>
      <c r="G199" s="194" t="s">
        <v>91</v>
      </c>
      <c r="H199" s="180" t="s">
        <v>89</v>
      </c>
      <c r="I199" s="187">
        <f ca="1">IFERROR(__xludf.DUMMYFUNCTION("IMPORTRANGE(""https://docs.google.com/spreadsheets/d/11923uPwbBZFjjGgGUA6NLw09EwE0CqkOc4q9oUmW1yo/edit?usp=sharing"",""แม่ฮ่องสอน!I124"")"),100000)</f>
        <v>100000</v>
      </c>
      <c r="J199" s="188">
        <f ca="1">IFERROR(__xludf.DUMMYFUNCTION("IMPORTRANGE(""https://docs.google.com/spreadsheets/d/11923uPwbBZFjjGgGUA6NLw09EwE0CqkOc4q9oUmW1yo/edit?usp=sharing"",""แม่ฮ่องสอน!J124"")"),100000)</f>
        <v>100000</v>
      </c>
      <c r="K199" s="163">
        <f t="shared" ref="K199:K201" ca="1" si="70">IF(I199&gt;0,J199*100/I199,0)</f>
        <v>100</v>
      </c>
      <c r="L199" s="181"/>
      <c r="M199" s="181"/>
      <c r="N199" s="181"/>
      <c r="O199" s="181"/>
      <c r="P199" s="181"/>
    </row>
    <row r="200" spans="1:16" ht="21.75" customHeight="1" x14ac:dyDescent="0.3">
      <c r="A200" s="175"/>
      <c r="B200" s="176"/>
      <c r="C200" s="176"/>
      <c r="D200" s="193"/>
      <c r="E200" s="198"/>
      <c r="F200" s="195"/>
      <c r="G200" s="194" t="s">
        <v>92</v>
      </c>
      <c r="H200" s="180" t="s">
        <v>89</v>
      </c>
      <c r="I200" s="187">
        <f ca="1">IFERROR(__xludf.DUMMYFUNCTION("IMPORTRANGE(""https://docs.google.com/spreadsheets/d/11923uPwbBZFjjGgGUA6NLw09EwE0CqkOc4q9oUmW1yo/edit?usp=sharing"",""แม่ฮ่องสอน!I125"")"),100000)</f>
        <v>100000</v>
      </c>
      <c r="J200" s="188">
        <f ca="1">IFERROR(__xludf.DUMMYFUNCTION("IMPORTRANGE(""https://docs.google.com/spreadsheets/d/11923uPwbBZFjjGgGUA6NLw09EwE0CqkOc4q9oUmW1yo/edit?usp=sharing"",""แม่ฮ่องสอน!J125"")"),0)</f>
        <v>0</v>
      </c>
      <c r="K200" s="163">
        <f t="shared" ca="1" si="70"/>
        <v>0</v>
      </c>
      <c r="L200" s="168"/>
      <c r="M200" s="168"/>
      <c r="N200" s="167"/>
      <c r="O200" s="168"/>
      <c r="P200" s="168"/>
    </row>
    <row r="201" spans="1:16" ht="21.75" customHeight="1" x14ac:dyDescent="0.3">
      <c r="A201" s="175"/>
      <c r="B201" s="176"/>
      <c r="C201" s="176"/>
      <c r="D201" s="193"/>
      <c r="E201" s="198"/>
      <c r="F201" s="195" t="s">
        <v>93</v>
      </c>
      <c r="G201" s="196"/>
      <c r="H201" s="180" t="s">
        <v>37</v>
      </c>
      <c r="I201" s="187">
        <f ca="1">IFERROR(__xludf.DUMMYFUNCTION("IMPORTRANGE(""https://docs.google.com/spreadsheets/d/11923uPwbBZFjjGgGUA6NLw09EwE0CqkOc4q9oUmW1yo/edit?usp=sharing"",""แม่ฮ่องสอน!I126"")"),0)</f>
        <v>0</v>
      </c>
      <c r="J201" s="188">
        <f ca="1">IFERROR(__xludf.DUMMYFUNCTION("IMPORTRANGE(""https://docs.google.com/spreadsheets/d/11923uPwbBZFjjGgGUA6NLw09EwE0CqkOc4q9oUmW1yo/edit?usp=sharing"",""แม่ฮ่องสอน!J126"")"),0)</f>
        <v>0</v>
      </c>
      <c r="K201" s="163">
        <f t="shared" ca="1" si="70"/>
        <v>0</v>
      </c>
      <c r="L201" s="168"/>
      <c r="M201" s="168"/>
      <c r="N201" s="167"/>
      <c r="O201" s="168"/>
      <c r="P201" s="168"/>
    </row>
    <row r="202" spans="1:16" ht="21.75" customHeight="1" x14ac:dyDescent="0.3">
      <c r="A202" s="175"/>
      <c r="B202" s="176"/>
      <c r="C202" s="176"/>
      <c r="D202" s="193"/>
      <c r="E202" s="194" t="s">
        <v>54</v>
      </c>
      <c r="F202" s="195"/>
      <c r="G202" s="196"/>
      <c r="H202" s="186"/>
      <c r="I202" s="187"/>
      <c r="J202" s="197">
        <f ca="1">IFERROR(__xludf.DUMMYFUNCTION("IMPORTRANGE(""https://docs.google.com/spreadsheets/d/11923uPwbBZFjjGgGUA6NLw09EwE0CqkOc4q9oUmW1yo/edit?usp=sharing"",""แม่ฮ่องสอน!J127"")"),0)</f>
        <v>0</v>
      </c>
      <c r="K202" s="163"/>
      <c r="L202" s="181"/>
      <c r="M202" s="181"/>
      <c r="N202" s="181"/>
      <c r="O202" s="181"/>
      <c r="P202" s="181"/>
    </row>
    <row r="203" spans="1:16" ht="21.75" customHeight="1" x14ac:dyDescent="0.3">
      <c r="A203" s="233"/>
      <c r="B203" s="234"/>
      <c r="C203" s="234"/>
      <c r="D203" s="235">
        <v>3</v>
      </c>
      <c r="E203" s="236" t="s">
        <v>55</v>
      </c>
      <c r="F203" s="237"/>
      <c r="G203" s="238"/>
      <c r="H203" s="239"/>
      <c r="I203" s="240"/>
      <c r="J203" s="285">
        <f ca="1">IFERROR(__xludf.DUMMYFUNCTION("IMPORTRANGE(""https://docs.google.com/spreadsheets/d/11923uPwbBZFjjGgGUA6NLw09EwE0CqkOc4q9oUmW1yo/edit?usp=sharing"",""แม่ฮ่องสอน!J128"")"),0)</f>
        <v>0</v>
      </c>
      <c r="K203" s="286"/>
      <c r="L203" s="244"/>
      <c r="M203" s="244"/>
      <c r="N203" s="244"/>
      <c r="O203" s="244"/>
      <c r="P203" s="244"/>
    </row>
    <row r="204" spans="1:16" ht="21.75" customHeight="1" x14ac:dyDescent="0.3">
      <c r="A204" s="269"/>
      <c r="B204" s="270"/>
      <c r="C204" s="287" t="s">
        <v>94</v>
      </c>
      <c r="D204" s="271"/>
      <c r="E204" s="271"/>
      <c r="F204" s="271"/>
      <c r="G204" s="272"/>
      <c r="H204" s="284" t="s">
        <v>37</v>
      </c>
      <c r="I204" s="282">
        <f ca="1">IFERROR(__xludf.DUMMYFUNCTION("IMPORTRANGE(""https://docs.google.com/spreadsheets/d/11923uPwbBZFjjGgGUA6NLw09EwE0CqkOc4q9oUmW1yo/edit?usp=sharing"",""แม่ฮ่องสอน!I129"")"),0)</f>
        <v>0</v>
      </c>
      <c r="J204" s="282">
        <f ca="1">IFERROR(__xludf.DUMMYFUNCTION("IMPORTRANGE(""https://docs.google.com/spreadsheets/d/11923uPwbBZFjjGgGUA6NLw09EwE0CqkOc4q9oUmW1yo/edit?usp=sharing"",""แม่ฮ่องสอน!J129"")"),0)</f>
        <v>0</v>
      </c>
      <c r="K204" s="283">
        <f ca="1">IF(I204&gt;0,J204*100/I204,0)</f>
        <v>0</v>
      </c>
      <c r="L204" s="276"/>
      <c r="M204" s="276"/>
      <c r="N204" s="276"/>
      <c r="O204" s="276"/>
      <c r="P204" s="276"/>
    </row>
    <row r="205" spans="1:16" ht="21.75" customHeight="1" x14ac:dyDescent="0.3">
      <c r="A205" s="156"/>
      <c r="B205" s="157"/>
      <c r="C205" s="157" t="s">
        <v>16</v>
      </c>
      <c r="D205" s="158" t="s">
        <v>38</v>
      </c>
      <c r="E205" s="159"/>
      <c r="F205" s="159"/>
      <c r="G205" s="160" t="s">
        <v>39</v>
      </c>
      <c r="H205" s="161" t="s">
        <v>12</v>
      </c>
      <c r="I205" s="162" t="s">
        <v>40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3">
      <c r="A206" s="156"/>
      <c r="B206" s="157"/>
      <c r="C206" s="157"/>
      <c r="D206" s="166"/>
      <c r="E206" s="159"/>
      <c r="F206" s="159" t="s">
        <v>40</v>
      </c>
      <c r="G206" s="160" t="s">
        <v>41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3">
      <c r="A207" s="156"/>
      <c r="B207" s="157"/>
      <c r="C207" s="157"/>
      <c r="D207" s="166"/>
      <c r="E207" s="159"/>
      <c r="F207" s="159"/>
      <c r="G207" s="169" t="s">
        <v>43</v>
      </c>
      <c r="H207" s="161" t="s">
        <v>12</v>
      </c>
      <c r="I207" s="162"/>
      <c r="J207" s="187"/>
      <c r="K207" s="223"/>
      <c r="L207" s="168"/>
      <c r="M207" s="168"/>
      <c r="N207" s="167"/>
      <c r="O207" s="168"/>
      <c r="P207" s="168"/>
    </row>
    <row r="208" spans="1:16" ht="21.75" customHeight="1" x14ac:dyDescent="0.3">
      <c r="A208" s="175"/>
      <c r="B208" s="176"/>
      <c r="C208" s="157" t="s">
        <v>16</v>
      </c>
      <c r="D208" s="177" t="s">
        <v>44</v>
      </c>
      <c r="E208" s="178"/>
      <c r="F208" s="178"/>
      <c r="G208" s="179"/>
      <c r="H208" s="180"/>
      <c r="I208" s="162"/>
      <c r="J208" s="187"/>
      <c r="K208" s="223"/>
      <c r="L208" s="168"/>
      <c r="M208" s="168"/>
      <c r="N208" s="168"/>
      <c r="O208" s="181"/>
      <c r="P208" s="181"/>
    </row>
    <row r="209" spans="1:16" ht="21.75" customHeight="1" x14ac:dyDescent="0.3">
      <c r="A209" s="175"/>
      <c r="B209" s="176"/>
      <c r="C209" s="176"/>
      <c r="D209" s="182">
        <v>1</v>
      </c>
      <c r="E209" s="183" t="s">
        <v>45</v>
      </c>
      <c r="F209" s="184"/>
      <c r="G209" s="185"/>
      <c r="H209" s="186"/>
      <c r="I209" s="187"/>
      <c r="J209" s="187">
        <f ca="1">IFERROR(__xludf.DUMMYFUNCTION("IMPORTRANGE(""https://docs.google.com/spreadsheets/d/11923uPwbBZFjjGgGUA6NLw09EwE0CqkOc4q9oUmW1yo/edit?usp=sharing"",""แม่ฮ่องสอน!J134"")"),0)</f>
        <v>0</v>
      </c>
      <c r="K209" s="223"/>
      <c r="L209" s="168"/>
      <c r="M209" s="168"/>
      <c r="N209" s="168"/>
      <c r="O209" s="181"/>
      <c r="P209" s="181"/>
    </row>
    <row r="210" spans="1:16" ht="21.75" customHeight="1" x14ac:dyDescent="0.3">
      <c r="A210" s="175"/>
      <c r="B210" s="176"/>
      <c r="C210" s="176"/>
      <c r="D210" s="189">
        <v>2</v>
      </c>
      <c r="E210" s="190" t="s">
        <v>46</v>
      </c>
      <c r="F210" s="191"/>
      <c r="G210" s="192"/>
      <c r="H210" s="186"/>
      <c r="I210" s="187"/>
      <c r="J210" s="187">
        <f ca="1">IFERROR(__xludf.DUMMYFUNCTION("IMPORTRANGE(""https://docs.google.com/spreadsheets/d/11923uPwbBZFjjGgGUA6NLw09EwE0CqkOc4q9oUmW1yo/edit?usp=sharing"",""แม่ฮ่องสอน!J135"")"),0)</f>
        <v>0</v>
      </c>
      <c r="K210" s="223"/>
      <c r="L210" s="168"/>
      <c r="M210" s="168"/>
      <c r="N210" s="168"/>
      <c r="O210" s="181"/>
      <c r="P210" s="181"/>
    </row>
    <row r="211" spans="1:16" ht="21.75" customHeight="1" x14ac:dyDescent="0.3">
      <c r="A211" s="175"/>
      <c r="B211" s="176"/>
      <c r="C211" s="176"/>
      <c r="D211" s="193"/>
      <c r="E211" s="194" t="s">
        <v>47</v>
      </c>
      <c r="F211" s="195"/>
      <c r="G211" s="196"/>
      <c r="H211" s="186"/>
      <c r="I211" s="187"/>
      <c r="J211" s="187">
        <f ca="1">IFERROR(__xludf.DUMMYFUNCTION("IMPORTRANGE(""https://docs.google.com/spreadsheets/d/11923uPwbBZFjjGgGUA6NLw09EwE0CqkOc4q9oUmW1yo/edit?usp=sharing"",""แม่ฮ่องสอน!J136"")"),0)</f>
        <v>0</v>
      </c>
      <c r="K211" s="223"/>
      <c r="L211" s="168"/>
      <c r="M211" s="168"/>
      <c r="N211" s="168"/>
      <c r="O211" s="181"/>
      <c r="P211" s="181"/>
    </row>
    <row r="212" spans="1:16" ht="21.75" customHeight="1" x14ac:dyDescent="0.3">
      <c r="A212" s="175"/>
      <c r="B212" s="176"/>
      <c r="C212" s="176"/>
      <c r="D212" s="193"/>
      <c r="E212" s="194" t="s">
        <v>48</v>
      </c>
      <c r="F212" s="195"/>
      <c r="G212" s="196"/>
      <c r="H212" s="186"/>
      <c r="I212" s="187"/>
      <c r="J212" s="187">
        <f ca="1">IFERROR(__xludf.DUMMYFUNCTION("IMPORTRANGE(""https://docs.google.com/spreadsheets/d/11923uPwbBZFjjGgGUA6NLw09EwE0CqkOc4q9oUmW1yo/edit?usp=sharing"",""แม่ฮ่องสอน!J137"")"),0)</f>
        <v>0</v>
      </c>
      <c r="K212" s="223"/>
      <c r="L212" s="168"/>
      <c r="M212" s="168"/>
      <c r="N212" s="168"/>
      <c r="O212" s="181"/>
      <c r="P212" s="181"/>
    </row>
    <row r="213" spans="1:16" ht="21.75" customHeight="1" x14ac:dyDescent="0.3">
      <c r="A213" s="175"/>
      <c r="B213" s="176"/>
      <c r="C213" s="176"/>
      <c r="D213" s="193"/>
      <c r="E213" s="198"/>
      <c r="F213" s="195" t="s">
        <v>95</v>
      </c>
      <c r="G213" s="196"/>
      <c r="H213" s="180" t="s">
        <v>37</v>
      </c>
      <c r="I213" s="187">
        <f ca="1">IFERROR(__xludf.DUMMYFUNCTION("IMPORTRANGE(""https://docs.google.com/spreadsheets/d/11923uPwbBZFjjGgGUA6NLw09EwE0CqkOc4q9oUmW1yo/edit?usp=sharing"",""แม่ฮ่องสอน!I138"")"),0)</f>
        <v>0</v>
      </c>
      <c r="J213" s="203">
        <f ca="1">IFERROR(__xludf.DUMMYFUNCTION("IMPORTRANGE(""https://docs.google.com/spreadsheets/d/11923uPwbBZFjjGgGUA6NLw09EwE0CqkOc4q9oUmW1yo/edit?usp=sharing"",""แม่ฮ่องสอน!J138"")"),0)</f>
        <v>0</v>
      </c>
      <c r="K213" s="223">
        <f ca="1">IF(I213&gt;0,J213*100/I213,0)</f>
        <v>0</v>
      </c>
      <c r="L213" s="168"/>
      <c r="M213" s="168"/>
      <c r="N213" s="167"/>
      <c r="O213" s="168"/>
      <c r="P213" s="168"/>
    </row>
    <row r="214" spans="1:16" ht="21.75" customHeight="1" x14ac:dyDescent="0.3">
      <c r="A214" s="175"/>
      <c r="B214" s="176"/>
      <c r="C214" s="176"/>
      <c r="D214" s="193"/>
      <c r="E214" s="198"/>
      <c r="F214" s="194" t="s">
        <v>53</v>
      </c>
      <c r="G214" s="196"/>
      <c r="H214" s="180"/>
      <c r="I214" s="187"/>
      <c r="J214" s="187"/>
      <c r="K214" s="223"/>
      <c r="L214" s="168"/>
      <c r="M214" s="168"/>
      <c r="N214" s="168"/>
      <c r="O214" s="181"/>
      <c r="P214" s="181"/>
    </row>
    <row r="215" spans="1:16" ht="21.75" customHeight="1" x14ac:dyDescent="0.3">
      <c r="A215" s="175"/>
      <c r="B215" s="176"/>
      <c r="C215" s="176"/>
      <c r="D215" s="193"/>
      <c r="E215" s="198"/>
      <c r="F215" s="195"/>
      <c r="G215" s="225" t="s">
        <v>96</v>
      </c>
      <c r="H215" s="180" t="s">
        <v>37</v>
      </c>
      <c r="I215" s="187">
        <f ca="1">IFERROR(__xludf.DUMMYFUNCTION("IMPORTRANGE(""https://docs.google.com/spreadsheets/d/11923uPwbBZFjjGgGUA6NLw09EwE0CqkOc4q9oUmW1yo/edit?usp=sharing"",""แม่ฮ่องสอน!I140"")"),0)</f>
        <v>0</v>
      </c>
      <c r="J215" s="203">
        <f ca="1">IFERROR(__xludf.DUMMYFUNCTION("IMPORTRANGE(""https://docs.google.com/spreadsheets/d/11923uPwbBZFjjGgGUA6NLw09EwE0CqkOc4q9oUmW1yo/edit?usp=sharing"",""แม่ฮ่องสอน!J140"")"),0)</f>
        <v>0</v>
      </c>
      <c r="K215" s="223">
        <f t="shared" ref="K215:K216" ca="1" si="71">IF(I215&gt;0,J215*100/I215,0)</f>
        <v>0</v>
      </c>
      <c r="L215" s="168"/>
      <c r="M215" s="168"/>
      <c r="N215" s="167"/>
      <c r="O215" s="168"/>
      <c r="P215" s="168"/>
    </row>
    <row r="216" spans="1:16" ht="21.75" customHeight="1" x14ac:dyDescent="0.3">
      <c r="A216" s="175"/>
      <c r="B216" s="176"/>
      <c r="C216" s="176"/>
      <c r="D216" s="193"/>
      <c r="E216" s="198"/>
      <c r="F216" s="195"/>
      <c r="G216" s="225" t="s">
        <v>97</v>
      </c>
      <c r="H216" s="180" t="s">
        <v>59</v>
      </c>
      <c r="I216" s="187">
        <f ca="1">IFERROR(__xludf.DUMMYFUNCTION("IMPORTRANGE(""https://docs.google.com/spreadsheets/d/11923uPwbBZFjjGgGUA6NLw09EwE0CqkOc4q9oUmW1yo/edit?usp=sharing"",""แม่ฮ่องสอน!I141"")"),0)</f>
        <v>0</v>
      </c>
      <c r="J216" s="203">
        <f ca="1">IFERROR(__xludf.DUMMYFUNCTION("IMPORTRANGE(""https://docs.google.com/spreadsheets/d/11923uPwbBZFjjGgGUA6NLw09EwE0CqkOc4q9oUmW1yo/edit?usp=sharing"",""แม่ฮ่องสอน!J141"")"),0)</f>
        <v>0</v>
      </c>
      <c r="K216" s="223">
        <f t="shared" ca="1" si="71"/>
        <v>0</v>
      </c>
      <c r="L216" s="168"/>
      <c r="M216" s="168"/>
      <c r="N216" s="167"/>
      <c r="O216" s="168"/>
      <c r="P216" s="168"/>
    </row>
    <row r="217" spans="1:16" ht="21.75" customHeight="1" x14ac:dyDescent="0.3">
      <c r="A217" s="175"/>
      <c r="B217" s="176"/>
      <c r="C217" s="176"/>
      <c r="D217" s="193"/>
      <c r="E217" s="194" t="s">
        <v>54</v>
      </c>
      <c r="F217" s="195"/>
      <c r="G217" s="196"/>
      <c r="H217" s="186"/>
      <c r="I217" s="187"/>
      <c r="J217" s="187">
        <f ca="1">IFERROR(__xludf.DUMMYFUNCTION("IMPORTRANGE(""https://docs.google.com/spreadsheets/d/11923uPwbBZFjjGgGUA6NLw09EwE0CqkOc4q9oUmW1yo/edit?usp=sharing"",""แม่ฮ่องสอน!J142"")"),0)</f>
        <v>0</v>
      </c>
      <c r="K217" s="223"/>
      <c r="L217" s="168"/>
      <c r="M217" s="168"/>
      <c r="N217" s="168"/>
      <c r="O217" s="181"/>
      <c r="P217" s="181"/>
    </row>
    <row r="218" spans="1:16" ht="21.75" customHeight="1" x14ac:dyDescent="0.3">
      <c r="A218" s="233"/>
      <c r="B218" s="234"/>
      <c r="C218" s="234"/>
      <c r="D218" s="235">
        <v>3</v>
      </c>
      <c r="E218" s="236" t="s">
        <v>55</v>
      </c>
      <c r="F218" s="237"/>
      <c r="G218" s="238"/>
      <c r="H218" s="239"/>
      <c r="I218" s="240"/>
      <c r="J218" s="241">
        <f ca="1">IFERROR(__xludf.DUMMYFUNCTION("IMPORTRANGE(""https://docs.google.com/spreadsheets/d/11923uPwbBZFjjGgGUA6NLw09EwE0CqkOc4q9oUmW1yo/edit?usp=sharing"",""แม่ฮ่องสอน!J143"")"),0)</f>
        <v>0</v>
      </c>
      <c r="K218" s="242"/>
      <c r="L218" s="243"/>
      <c r="M218" s="243"/>
      <c r="N218" s="243"/>
      <c r="O218" s="244"/>
      <c r="P218" s="244"/>
    </row>
    <row r="219" spans="1:16" ht="21.75" customHeight="1" x14ac:dyDescent="0.3">
      <c r="A219" s="261"/>
      <c r="B219" s="262" t="s">
        <v>98</v>
      </c>
      <c r="C219" s="263"/>
      <c r="D219" s="262"/>
      <c r="E219" s="262"/>
      <c r="F219" s="262"/>
      <c r="G219" s="264"/>
      <c r="H219" s="265" t="s">
        <v>37</v>
      </c>
      <c r="I219" s="266">
        <f ca="1">IFERROR(__xludf.DUMMYFUNCTION("IMPORTRANGE(""https://docs.google.com/spreadsheets/d/11923uPwbBZFjjGgGUA6NLw09EwE0CqkOc4q9oUmW1yo/edit?usp=sharing"",""แม่ฮ่องสอน!I144"")"),13)</f>
        <v>13</v>
      </c>
      <c r="J219" s="266">
        <f ca="1">IFERROR(__xludf.DUMMYFUNCTION("IMPORTRANGE(""https://docs.google.com/spreadsheets/d/11923uPwbBZFjjGgGUA6NLw09EwE0CqkOc4q9oUmW1yo/edit?usp=sharing"",""แม่ฮ่องสอน!J144"")"),13)</f>
        <v>13</v>
      </c>
      <c r="K219" s="267">
        <f ca="1">IF(I219&gt;0,J219*100/I219,0)</f>
        <v>100</v>
      </c>
      <c r="L219" s="268"/>
      <c r="M219" s="268"/>
      <c r="N219" s="268"/>
      <c r="O219" s="267"/>
      <c r="P219" s="267"/>
    </row>
    <row r="220" spans="1:16" ht="21.75" customHeight="1" x14ac:dyDescent="0.45">
      <c r="A220" s="145"/>
      <c r="B220" s="146"/>
      <c r="C220" s="147" t="s">
        <v>16</v>
      </c>
      <c r="D220" s="537" t="s">
        <v>17</v>
      </c>
      <c r="E220" s="528"/>
      <c r="F220" s="528"/>
      <c r="G220" s="528"/>
      <c r="H220" s="148" t="s">
        <v>12</v>
      </c>
      <c r="I220" s="162"/>
      <c r="J220" s="162"/>
      <c r="K220" s="163"/>
      <c r="L220" s="151">
        <f t="shared" ref="L220:N220" ca="1" si="72">L221+L222</f>
        <v>19295</v>
      </c>
      <c r="M220" s="151">
        <f t="shared" ca="1" si="72"/>
        <v>19295</v>
      </c>
      <c r="N220" s="151">
        <f t="shared" ca="1" si="72"/>
        <v>19295</v>
      </c>
      <c r="O220" s="150">
        <f t="shared" ref="O220:O222" ca="1" si="73">IF(L220&gt;0,N220*100/L220,0)</f>
        <v>100</v>
      </c>
      <c r="P220" s="150">
        <f t="shared" ref="P220:P222" ca="1" si="74">IF(M220&gt;0,N220*100/M220,0)</f>
        <v>100</v>
      </c>
    </row>
    <row r="221" spans="1:16" ht="21.75" customHeight="1" x14ac:dyDescent="0.45">
      <c r="A221" s="152"/>
      <c r="B221" s="32"/>
      <c r="C221" s="32"/>
      <c r="D221" s="32"/>
      <c r="E221" s="32"/>
      <c r="F221" s="32"/>
      <c r="G221" s="33" t="s">
        <v>18</v>
      </c>
      <c r="H221" s="153" t="s">
        <v>12</v>
      </c>
      <c r="I221" s="162"/>
      <c r="J221" s="162"/>
      <c r="K221" s="163"/>
      <c r="L221" s="87">
        <f t="shared" ref="L221:N221" si="75">L223+L227</f>
        <v>0</v>
      </c>
      <c r="M221" s="87">
        <f t="shared" si="75"/>
        <v>0</v>
      </c>
      <c r="N221" s="87">
        <f t="shared" si="75"/>
        <v>0</v>
      </c>
      <c r="O221" s="155">
        <f t="shared" si="73"/>
        <v>0</v>
      </c>
      <c r="P221" s="155">
        <f t="shared" si="74"/>
        <v>0</v>
      </c>
    </row>
    <row r="222" spans="1:16" ht="21.75" customHeight="1" x14ac:dyDescent="0.45">
      <c r="A222" s="152"/>
      <c r="B222" s="32"/>
      <c r="C222" s="32"/>
      <c r="D222" s="32"/>
      <c r="E222" s="32"/>
      <c r="F222" s="32"/>
      <c r="G222" s="33" t="s">
        <v>19</v>
      </c>
      <c r="H222" s="153" t="s">
        <v>12</v>
      </c>
      <c r="I222" s="162"/>
      <c r="J222" s="162"/>
      <c r="K222" s="163"/>
      <c r="L222" s="87">
        <f t="shared" ref="L222:N222" ca="1" si="76">L224+L228</f>
        <v>19295</v>
      </c>
      <c r="M222" s="87">
        <f t="shared" ca="1" si="76"/>
        <v>19295</v>
      </c>
      <c r="N222" s="87">
        <f t="shared" ca="1" si="76"/>
        <v>19295</v>
      </c>
      <c r="O222" s="155">
        <f t="shared" ca="1" si="73"/>
        <v>100</v>
      </c>
      <c r="P222" s="155">
        <f t="shared" ca="1" si="74"/>
        <v>100</v>
      </c>
    </row>
    <row r="223" spans="1:16" ht="21.75" customHeight="1" x14ac:dyDescent="0.3">
      <c r="A223" s="156"/>
      <c r="B223" s="157"/>
      <c r="C223" s="157" t="s">
        <v>16</v>
      </c>
      <c r="D223" s="158" t="s">
        <v>38</v>
      </c>
      <c r="E223" s="159"/>
      <c r="F223" s="159"/>
      <c r="G223" s="160" t="s">
        <v>39</v>
      </c>
      <c r="H223" s="161" t="s">
        <v>12</v>
      </c>
      <c r="I223" s="162" t="s">
        <v>40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3">
      <c r="A224" s="156"/>
      <c r="B224" s="157"/>
      <c r="C224" s="157"/>
      <c r="D224" s="166"/>
      <c r="E224" s="159"/>
      <c r="F224" s="159" t="s">
        <v>40</v>
      </c>
      <c r="G224" s="160" t="s">
        <v>41</v>
      </c>
      <c r="H224" s="161" t="s">
        <v>12</v>
      </c>
      <c r="I224" s="162"/>
      <c r="J224" s="162"/>
      <c r="K224" s="163"/>
      <c r="L224" s="167">
        <f ca="1">L225+L226</f>
        <v>19295</v>
      </c>
      <c r="M224" s="167">
        <f ca="1">IFERROR(__xludf.DUMMYFUNCTION("IMPORTRANGE(""https://docs.google.com/spreadsheets/d/1Yj_ptqi66GCucihVvJfMjLAmec39IyEx_6qawtMGysU/edit?usp=sharing"",""สบก!BS31"")"),19295)</f>
        <v>19295</v>
      </c>
      <c r="N224" s="168">
        <f ca="1">IFERROR(__xludf.DUMMYFUNCTION("IMPORTRANGE(""https://docs.google.com/spreadsheets/d/1Yj_ptqi66GCucihVvJfMjLAmec39IyEx_6qawtMGysU/edit?usp=sharing"",""สบก!BT31"")"),19295)</f>
        <v>19295</v>
      </c>
      <c r="O224" s="168">
        <f ca="1">IF(L224&gt;0,N224*100/L224,0)</f>
        <v>100</v>
      </c>
      <c r="P224" s="168">
        <f ca="1">IF(M224&gt;0,N224*100/M224,0)</f>
        <v>100</v>
      </c>
    </row>
    <row r="225" spans="1:16" ht="21.75" customHeight="1" x14ac:dyDescent="0.3">
      <c r="A225" s="156"/>
      <c r="B225" s="157"/>
      <c r="C225" s="157"/>
      <c r="D225" s="166"/>
      <c r="E225" s="159"/>
      <c r="F225" s="159"/>
      <c r="G225" s="169" t="s">
        <v>42</v>
      </c>
      <c r="H225" s="161" t="s">
        <v>12</v>
      </c>
      <c r="I225" s="162"/>
      <c r="J225" s="162"/>
      <c r="K225" s="163"/>
      <c r="L225" s="167">
        <f ca="1">IFERROR(__xludf.DUMMYFUNCTION("IMPORTRANGE(""https://docs.google.com/spreadsheets/d/1Yj_ptqi66GCucihVvJfMjLAmec39IyEx_6qawtMGysU/edit?usp=sharing"",""สบก!BO31"")"),0)</f>
        <v>0</v>
      </c>
      <c r="M225" s="167"/>
      <c r="N225" s="167"/>
      <c r="O225" s="168"/>
      <c r="P225" s="168"/>
    </row>
    <row r="226" spans="1:16" ht="21.75" customHeight="1" x14ac:dyDescent="0.3">
      <c r="A226" s="156"/>
      <c r="B226" s="157"/>
      <c r="C226" s="157"/>
      <c r="D226" s="166"/>
      <c r="E226" s="159"/>
      <c r="F226" s="159"/>
      <c r="G226" s="169" t="s">
        <v>43</v>
      </c>
      <c r="H226" s="161" t="s">
        <v>12</v>
      </c>
      <c r="I226" s="162"/>
      <c r="J226" s="162"/>
      <c r="K226" s="163"/>
      <c r="L226" s="167">
        <f ca="1">IFERROR(__xludf.DUMMYFUNCTION("IMPORTRANGE(""https://docs.google.com/spreadsheets/d/1Yj_ptqi66GCucihVvJfMjLAmec39IyEx_6qawtMGysU/edit?usp=sharing"",""สบก!BP31"")"),19295)</f>
        <v>19295</v>
      </c>
      <c r="M226" s="167"/>
      <c r="N226" s="167"/>
      <c r="O226" s="168"/>
      <c r="P226" s="168"/>
    </row>
    <row r="227" spans="1:16" ht="21.75" customHeight="1" x14ac:dyDescent="0.45">
      <c r="A227" s="170"/>
      <c r="B227" s="80"/>
      <c r="C227" s="81" t="s">
        <v>16</v>
      </c>
      <c r="D227" s="534" t="s">
        <v>23</v>
      </c>
      <c r="E227" s="530"/>
      <c r="F227" s="88"/>
      <c r="G227" s="82" t="s">
        <v>18</v>
      </c>
      <c r="H227" s="171" t="s">
        <v>12</v>
      </c>
      <c r="I227" s="200"/>
      <c r="J227" s="200"/>
      <c r="K227" s="288"/>
      <c r="L227" s="41">
        <v>0</v>
      </c>
      <c r="M227" s="41"/>
      <c r="N227" s="41"/>
      <c r="O227" s="41"/>
      <c r="P227" s="41"/>
    </row>
    <row r="228" spans="1:16" ht="21.75" customHeight="1" x14ac:dyDescent="0.45">
      <c r="A228" s="172"/>
      <c r="B228" s="91"/>
      <c r="C228" s="91"/>
      <c r="D228" s="173"/>
      <c r="E228" s="92"/>
      <c r="F228" s="92"/>
      <c r="G228" s="93" t="s">
        <v>19</v>
      </c>
      <c r="H228" s="174" t="s">
        <v>12</v>
      </c>
      <c r="I228" s="200"/>
      <c r="J228" s="200"/>
      <c r="K228" s="288"/>
      <c r="L228" s="49">
        <f ca="1">IFERROR(__xludf.DUMMYFUNCTION("IMPORTRANGE(""https://docs.google.com/spreadsheets/d/1Yj_ptqi66GCucihVvJfMjLAmec39IyEx_6qawtMGysU/edit?usp=sharing"",""สบก!BQ31"")"),0)</f>
        <v>0</v>
      </c>
      <c r="M228" s="49"/>
      <c r="N228" s="49">
        <f ca="1">IFERROR(__xludf.DUMMYFUNCTION("IMPORTRANGE(""https://docs.google.com/spreadsheets/d/1Yj_ptqi66GCucihVvJfMjLAmec39IyEx_6qawtMGysU/edit?usp=sharing"",""สบก!BU31"")"),0)</f>
        <v>0</v>
      </c>
      <c r="O228" s="49">
        <f ca="1">IF(L228&gt;0,N228*100/L228,0)</f>
        <v>0</v>
      </c>
      <c r="P228" s="49"/>
    </row>
    <row r="229" spans="1:16" ht="21.75" customHeight="1" x14ac:dyDescent="0.3">
      <c r="A229" s="175"/>
      <c r="B229" s="289"/>
      <c r="C229" s="263" t="s">
        <v>99</v>
      </c>
      <c r="D229" s="262"/>
      <c r="E229" s="262"/>
      <c r="F229" s="262"/>
      <c r="G229" s="264"/>
      <c r="H229" s="265" t="s">
        <v>37</v>
      </c>
      <c r="I229" s="266">
        <f ca="1">IFERROR(__xludf.DUMMYFUNCTION("IMPORTRANGE(""https://docs.google.com/spreadsheets/d/11923uPwbBZFjjGgGUA6NLw09EwE0CqkOc4q9oUmW1yo/edit?usp=sharing"",""แม่ฮ่องสอน!I149"")"),13)</f>
        <v>13</v>
      </c>
      <c r="J229" s="266">
        <f ca="1">IFERROR(__xludf.DUMMYFUNCTION("IMPORTRANGE(""https://docs.google.com/spreadsheets/d/11923uPwbBZFjjGgGUA6NLw09EwE0CqkOc4q9oUmW1yo/edit?usp=sharing"",""แม่ฮ่องสอน!J149"")"),13)</f>
        <v>13</v>
      </c>
      <c r="K229" s="267">
        <f ca="1">IF(I229&gt;0,J229*100/I229,0)</f>
        <v>100</v>
      </c>
      <c r="L229" s="290"/>
      <c r="M229" s="290"/>
      <c r="N229" s="290"/>
      <c r="O229" s="290"/>
      <c r="P229" s="290"/>
    </row>
    <row r="230" spans="1:16" ht="21.75" customHeight="1" x14ac:dyDescent="0.3">
      <c r="A230" s="175"/>
      <c r="B230" s="176"/>
      <c r="C230" s="157" t="s">
        <v>16</v>
      </c>
      <c r="D230" s="177" t="s">
        <v>44</v>
      </c>
      <c r="E230" s="178"/>
      <c r="F230" s="178"/>
      <c r="G230" s="179"/>
      <c r="H230" s="180"/>
      <c r="I230" s="162"/>
      <c r="J230" s="162"/>
      <c r="K230" s="163"/>
      <c r="L230" s="181"/>
      <c r="M230" s="181"/>
      <c r="N230" s="181"/>
      <c r="O230" s="181"/>
      <c r="P230" s="181"/>
    </row>
    <row r="231" spans="1:16" ht="21.75" customHeight="1" x14ac:dyDescent="0.3">
      <c r="A231" s="175"/>
      <c r="B231" s="176"/>
      <c r="C231" s="176"/>
      <c r="D231" s="182">
        <v>1</v>
      </c>
      <c r="E231" s="183" t="s">
        <v>45</v>
      </c>
      <c r="F231" s="184"/>
      <c r="G231" s="185"/>
      <c r="H231" s="186"/>
      <c r="I231" s="187"/>
      <c r="J231" s="197">
        <f ca="1">IFERROR(__xludf.DUMMYFUNCTION("IMPORTRANGE(""https://docs.google.com/spreadsheets/d/11923uPwbBZFjjGgGUA6NLw09EwE0CqkOc4q9oUmW1yo/edit?usp=sharing"",""แม่ฮ่องสอน!J151"")"),0)</f>
        <v>0</v>
      </c>
      <c r="K231" s="163"/>
      <c r="L231" s="181"/>
      <c r="M231" s="181"/>
      <c r="N231" s="181"/>
      <c r="O231" s="181"/>
      <c r="P231" s="181"/>
    </row>
    <row r="232" spans="1:16" ht="21.75" customHeight="1" x14ac:dyDescent="0.3">
      <c r="A232" s="175"/>
      <c r="B232" s="176"/>
      <c r="C232" s="176"/>
      <c r="D232" s="189">
        <v>2</v>
      </c>
      <c r="E232" s="190" t="s">
        <v>46</v>
      </c>
      <c r="F232" s="191"/>
      <c r="G232" s="192"/>
      <c r="H232" s="186"/>
      <c r="I232" s="187"/>
      <c r="J232" s="188">
        <f ca="1">IFERROR(__xludf.DUMMYFUNCTION("IMPORTRANGE(""https://docs.google.com/spreadsheets/d/11923uPwbBZFjjGgGUA6NLw09EwE0CqkOc4q9oUmW1yo/edit?usp=sharing"",""แม่ฮ่องสอน!J152"")"),0)</f>
        <v>0</v>
      </c>
      <c r="K232" s="163"/>
      <c r="L232" s="181" t="s">
        <v>40</v>
      </c>
      <c r="M232" s="181"/>
      <c r="N232" s="181" t="s">
        <v>40</v>
      </c>
      <c r="O232" s="181"/>
      <c r="P232" s="181"/>
    </row>
    <row r="233" spans="1:16" ht="21.75" customHeight="1" x14ac:dyDescent="0.3">
      <c r="A233" s="175"/>
      <c r="B233" s="176"/>
      <c r="C233" s="176"/>
      <c r="D233" s="193"/>
      <c r="E233" s="194" t="s">
        <v>47</v>
      </c>
      <c r="F233" s="195"/>
      <c r="G233" s="196"/>
      <c r="H233" s="186"/>
      <c r="I233" s="187"/>
      <c r="J233" s="188">
        <f ca="1">IFERROR(__xludf.DUMMYFUNCTION("IMPORTRANGE(""https://docs.google.com/spreadsheets/d/11923uPwbBZFjjGgGUA6NLw09EwE0CqkOc4q9oUmW1yo/edit?usp=sharing"",""แม่ฮ่องสอน!J153"")"),1)</f>
        <v>1</v>
      </c>
      <c r="K233" s="163"/>
      <c r="L233" s="181"/>
      <c r="M233" s="181"/>
      <c r="N233" s="181"/>
      <c r="O233" s="181"/>
      <c r="P233" s="181"/>
    </row>
    <row r="234" spans="1:16" ht="21.75" customHeight="1" x14ac:dyDescent="0.3">
      <c r="A234" s="175"/>
      <c r="B234" s="176"/>
      <c r="C234" s="176"/>
      <c r="D234" s="193"/>
      <c r="E234" s="194" t="s">
        <v>48</v>
      </c>
      <c r="F234" s="195"/>
      <c r="G234" s="196"/>
      <c r="H234" s="186"/>
      <c r="I234" s="187"/>
      <c r="J234" s="197">
        <f ca="1">IFERROR(__xludf.DUMMYFUNCTION("IMPORTRANGE(""https://docs.google.com/spreadsheets/d/11923uPwbBZFjjGgGUA6NLw09EwE0CqkOc4q9oUmW1yo/edit?usp=sharing"",""แม่ฮ่องสอน!J154"")"),1)</f>
        <v>1</v>
      </c>
      <c r="K234" s="163"/>
      <c r="L234" s="181"/>
      <c r="M234" s="181"/>
      <c r="N234" s="181"/>
      <c r="O234" s="181"/>
      <c r="P234" s="181"/>
    </row>
    <row r="235" spans="1:16" ht="21.75" customHeight="1" x14ac:dyDescent="0.3">
      <c r="A235" s="175"/>
      <c r="B235" s="176"/>
      <c r="C235" s="176"/>
      <c r="D235" s="193"/>
      <c r="E235" s="198"/>
      <c r="F235" s="195"/>
      <c r="G235" s="291" t="s">
        <v>70</v>
      </c>
      <c r="H235" s="186" t="s">
        <v>37</v>
      </c>
      <c r="I235" s="187">
        <f ca="1">IFERROR(__xludf.DUMMYFUNCTION("IMPORTRANGE(""https://docs.google.com/spreadsheets/d/11923uPwbBZFjjGgGUA6NLw09EwE0CqkOc4q9oUmW1yo/edit?usp=sharing"",""แม่ฮ่องสอน!I155"")"),13)</f>
        <v>13</v>
      </c>
      <c r="J235" s="188">
        <f ca="1">IFERROR(__xludf.DUMMYFUNCTION("IMPORTRANGE(""https://docs.google.com/spreadsheets/d/11923uPwbBZFjjGgGUA6NLw09EwE0CqkOc4q9oUmW1yo/edit?usp=sharing"",""แม่ฮ่องสอน!J155"")"),13)</f>
        <v>13</v>
      </c>
      <c r="K235" s="163">
        <f ca="1">IF(I235&gt;0,J235*100/I235,0)</f>
        <v>100</v>
      </c>
      <c r="L235" s="181"/>
      <c r="M235" s="181"/>
      <c r="N235" s="181"/>
      <c r="O235" s="181"/>
      <c r="P235" s="181"/>
    </row>
    <row r="236" spans="1:16" ht="21.75" customHeight="1" x14ac:dyDescent="0.3">
      <c r="A236" s="175"/>
      <c r="B236" s="176"/>
      <c r="C236" s="176"/>
      <c r="D236" s="193"/>
      <c r="E236" s="194" t="s">
        <v>54</v>
      </c>
      <c r="F236" s="195"/>
      <c r="G236" s="196"/>
      <c r="H236" s="186"/>
      <c r="I236" s="187"/>
      <c r="J236" s="197">
        <f ca="1">IFERROR(__xludf.DUMMYFUNCTION("IMPORTRANGE(""https://docs.google.com/spreadsheets/d/11923uPwbBZFjjGgGUA6NLw09EwE0CqkOc4q9oUmW1yo/edit?usp=sharing"",""แม่ฮ่องสอน!J156"")"),1)</f>
        <v>1</v>
      </c>
      <c r="K236" s="163"/>
      <c r="L236" s="181"/>
      <c r="M236" s="181"/>
      <c r="N236" s="181"/>
      <c r="O236" s="181"/>
      <c r="P236" s="181"/>
    </row>
    <row r="237" spans="1:16" ht="21.75" customHeight="1" x14ac:dyDescent="0.3">
      <c r="A237" s="175"/>
      <c r="B237" s="176"/>
      <c r="C237" s="176"/>
      <c r="D237" s="205">
        <v>3</v>
      </c>
      <c r="E237" s="206" t="s">
        <v>55</v>
      </c>
      <c r="F237" s="207"/>
      <c r="G237" s="208"/>
      <c r="H237" s="186"/>
      <c r="I237" s="187"/>
      <c r="J237" s="209">
        <f ca="1">IFERROR(__xludf.DUMMYFUNCTION("IMPORTRANGE(""https://docs.google.com/spreadsheets/d/11923uPwbBZFjjGgGUA6NLw09EwE0CqkOc4q9oUmW1yo/edit?usp=sharing"",""แม่ฮ่องสอน!J157"")"),1)</f>
        <v>1</v>
      </c>
      <c r="K237" s="163"/>
      <c r="L237" s="181"/>
      <c r="M237" s="181"/>
      <c r="N237" s="181"/>
      <c r="O237" s="181"/>
      <c r="P237" s="181"/>
    </row>
    <row r="238" spans="1:16" ht="21.75" customHeight="1" x14ac:dyDescent="0.3">
      <c r="A238" s="175"/>
      <c r="B238" s="176"/>
      <c r="C238" s="263" t="s">
        <v>100</v>
      </c>
      <c r="D238" s="292"/>
      <c r="E238" s="262"/>
      <c r="F238" s="262"/>
      <c r="G238" s="264"/>
      <c r="H238" s="265" t="s">
        <v>37</v>
      </c>
      <c r="I238" s="266">
        <f ca="1">IFERROR(__xludf.DUMMYFUNCTION("IMPORTRANGE(""https://docs.google.com/spreadsheets/d/11923uPwbBZFjjGgGUA6NLw09EwE0CqkOc4q9oUmW1yo/edit?usp=sharing"",""แม่ฮ่องสอน!I158"")"),0)</f>
        <v>0</v>
      </c>
      <c r="J238" s="266">
        <f ca="1">IFERROR(__xludf.DUMMYFUNCTION("IMPORTRANGE(""https://docs.google.com/spreadsheets/d/11923uPwbBZFjjGgGUA6NLw09EwE0CqkOc4q9oUmW1yo/edit?usp=sharing"",""แม่ฮ่องสอน!J158"")"),0)</f>
        <v>0</v>
      </c>
      <c r="K238" s="267">
        <f ca="1">IF(I238&gt;0,J238*100/I238,0)</f>
        <v>0</v>
      </c>
      <c r="L238" s="181"/>
      <c r="M238" s="181"/>
      <c r="N238" s="181"/>
      <c r="O238" s="181"/>
      <c r="P238" s="181"/>
    </row>
    <row r="239" spans="1:16" ht="21.75" customHeight="1" x14ac:dyDescent="0.3">
      <c r="A239" s="175"/>
      <c r="B239" s="176"/>
      <c r="C239" s="157" t="s">
        <v>16</v>
      </c>
      <c r="D239" s="177" t="s">
        <v>44</v>
      </c>
      <c r="E239" s="178"/>
      <c r="F239" s="178"/>
      <c r="G239" s="179"/>
      <c r="H239" s="180"/>
      <c r="I239" s="162"/>
      <c r="J239" s="162"/>
      <c r="K239" s="163"/>
      <c r="L239" s="181"/>
      <c r="M239" s="181"/>
      <c r="N239" s="181"/>
      <c r="O239" s="181"/>
      <c r="P239" s="181"/>
    </row>
    <row r="240" spans="1:16" ht="21.75" customHeight="1" x14ac:dyDescent="0.3">
      <c r="A240" s="175"/>
      <c r="B240" s="176"/>
      <c r="C240" s="176"/>
      <c r="D240" s="182">
        <v>1</v>
      </c>
      <c r="E240" s="183" t="s">
        <v>45</v>
      </c>
      <c r="F240" s="184"/>
      <c r="G240" s="185"/>
      <c r="H240" s="186"/>
      <c r="I240" s="187"/>
      <c r="J240" s="187" t="str">
        <f ca="1">IFERROR(__xludf.DUMMYFUNCTION("IMPORTRANGE(""https://docs.google.com/spreadsheets/d/11923uPwbBZFjjGgGUA6NLw09EwE0CqkOc4q9oUmW1yo/edit?usp=sharing"",""แม่ฮ่องสอน!J159"")"),"")</f>
        <v/>
      </c>
      <c r="K240" s="163"/>
      <c r="L240" s="181"/>
      <c r="M240" s="181"/>
      <c r="N240" s="181"/>
      <c r="O240" s="181"/>
      <c r="P240" s="181"/>
    </row>
    <row r="241" spans="1:16" ht="21.75" customHeight="1" x14ac:dyDescent="0.3">
      <c r="A241" s="175"/>
      <c r="B241" s="176"/>
      <c r="C241" s="176"/>
      <c r="D241" s="189">
        <v>2</v>
      </c>
      <c r="E241" s="190" t="s">
        <v>46</v>
      </c>
      <c r="F241" s="191"/>
      <c r="G241" s="192"/>
      <c r="H241" s="186"/>
      <c r="I241" s="187"/>
      <c r="J241" s="187">
        <f ca="1">IFERROR(__xludf.DUMMYFUNCTION("IMPORTRANGE(""https://docs.google.com/spreadsheets/d/11923uPwbBZFjjGgGUA6NLw09EwE0CqkOc4q9oUmW1yo/edit?usp=sharing"",""แม่ฮ่องสอน!J161"")"),0)</f>
        <v>0</v>
      </c>
      <c r="K241" s="163"/>
      <c r="L241" s="181" t="s">
        <v>40</v>
      </c>
      <c r="M241" s="181"/>
      <c r="N241" s="181" t="s">
        <v>40</v>
      </c>
      <c r="O241" s="181"/>
      <c r="P241" s="181"/>
    </row>
    <row r="242" spans="1:16" ht="21.75" customHeight="1" x14ac:dyDescent="0.3">
      <c r="A242" s="175"/>
      <c r="B242" s="176"/>
      <c r="C242" s="176"/>
      <c r="D242" s="193"/>
      <c r="E242" s="194" t="s">
        <v>47</v>
      </c>
      <c r="F242" s="195"/>
      <c r="G242" s="196"/>
      <c r="H242" s="186"/>
      <c r="I242" s="187"/>
      <c r="J242" s="187">
        <f ca="1">IFERROR(__xludf.DUMMYFUNCTION("IMPORTRANGE(""https://docs.google.com/spreadsheets/d/11923uPwbBZFjjGgGUA6NLw09EwE0CqkOc4q9oUmW1yo/edit?usp=sharing"",""แม่ฮ่องสอน!J162"")"),0)</f>
        <v>0</v>
      </c>
      <c r="K242" s="163"/>
      <c r="L242" s="181"/>
      <c r="M242" s="181"/>
      <c r="N242" s="181"/>
      <c r="O242" s="181"/>
      <c r="P242" s="181"/>
    </row>
    <row r="243" spans="1:16" ht="21.75" customHeight="1" x14ac:dyDescent="0.3">
      <c r="A243" s="175"/>
      <c r="B243" s="176"/>
      <c r="C243" s="176"/>
      <c r="D243" s="193"/>
      <c r="E243" s="194" t="s">
        <v>48</v>
      </c>
      <c r="F243" s="195"/>
      <c r="G243" s="196"/>
      <c r="H243" s="186"/>
      <c r="I243" s="187"/>
      <c r="J243" s="187">
        <f ca="1">IFERROR(__xludf.DUMMYFUNCTION("IMPORTRANGE(""https://docs.google.com/spreadsheets/d/11923uPwbBZFjjGgGUA6NLw09EwE0CqkOc4q9oUmW1yo/edit?usp=sharing"",""แม่ฮ่องสอน!J163"")"),0)</f>
        <v>0</v>
      </c>
      <c r="K243" s="163"/>
      <c r="L243" s="181"/>
      <c r="M243" s="181"/>
      <c r="N243" s="181"/>
      <c r="O243" s="181"/>
      <c r="P243" s="181"/>
    </row>
    <row r="244" spans="1:16" ht="21.75" customHeight="1" x14ac:dyDescent="0.3">
      <c r="A244" s="175"/>
      <c r="B244" s="176"/>
      <c r="C244" s="176"/>
      <c r="D244" s="193"/>
      <c r="E244" s="195"/>
      <c r="F244" s="194" t="s">
        <v>101</v>
      </c>
      <c r="G244" s="195"/>
      <c r="H244" s="186" t="s">
        <v>37</v>
      </c>
      <c r="I244" s="203">
        <f ca="1">IFERROR(__xludf.DUMMYFUNCTION("IMPORTRANGE(""https://docs.google.com/spreadsheets/d/11923uPwbBZFjjGgGUA6NLw09EwE0CqkOc4q9oUmW1yo/edit?usp=sharing"",""แม่ฮ่องสอน!I164"")"),0)</f>
        <v>0</v>
      </c>
      <c r="J244" s="187">
        <f ca="1">IFERROR(__xludf.DUMMYFUNCTION("IMPORTRANGE(""https://docs.google.com/spreadsheets/d/11923uPwbBZFjjGgGUA6NLw09EwE0CqkOc4q9oUmW1yo/edit?usp=sharing"",""แม่ฮ่องสอน!J164"")"),0)</f>
        <v>0</v>
      </c>
      <c r="K244" s="163">
        <f ca="1">IF(I244&gt;0,J244*100/I244,0)</f>
        <v>0</v>
      </c>
      <c r="L244" s="181"/>
      <c r="M244" s="181"/>
      <c r="N244" s="181"/>
      <c r="O244" s="181"/>
      <c r="P244" s="181"/>
    </row>
    <row r="245" spans="1:16" ht="21.75" customHeight="1" x14ac:dyDescent="0.3">
      <c r="A245" s="175"/>
      <c r="B245" s="176"/>
      <c r="C245" s="176"/>
      <c r="D245" s="193"/>
      <c r="E245" s="194" t="s">
        <v>54</v>
      </c>
      <c r="F245" s="195"/>
      <c r="G245" s="196"/>
      <c r="H245" s="186"/>
      <c r="I245" s="187"/>
      <c r="J245" s="187">
        <f ca="1">IFERROR(__xludf.DUMMYFUNCTION("IMPORTRANGE(""https://docs.google.com/spreadsheets/d/11923uPwbBZFjjGgGUA6NLw09EwE0CqkOc4q9oUmW1yo/edit?usp=sharing"",""แม่ฮ่องสอน!J165"")"),0)</f>
        <v>0</v>
      </c>
      <c r="K245" s="163"/>
      <c r="L245" s="181"/>
      <c r="M245" s="181"/>
      <c r="N245" s="181"/>
      <c r="O245" s="181"/>
      <c r="P245" s="181"/>
    </row>
    <row r="246" spans="1:16" ht="21.75" customHeight="1" x14ac:dyDescent="0.3">
      <c r="A246" s="233"/>
      <c r="B246" s="234"/>
      <c r="C246" s="234"/>
      <c r="D246" s="235">
        <v>3</v>
      </c>
      <c r="E246" s="236" t="s">
        <v>55</v>
      </c>
      <c r="F246" s="237"/>
      <c r="G246" s="238"/>
      <c r="H246" s="239"/>
      <c r="I246" s="240"/>
      <c r="J246" s="241">
        <f ca="1">IFERROR(__xludf.DUMMYFUNCTION("IMPORTRANGE(""https://docs.google.com/spreadsheets/d/11923uPwbBZFjjGgGUA6NLw09EwE0CqkOc4q9oUmW1yo/edit?usp=sharing"",""แม่ฮ่องสอน!J166"")"),0)</f>
        <v>0</v>
      </c>
      <c r="K246" s="286"/>
      <c r="L246" s="244"/>
      <c r="M246" s="244"/>
      <c r="N246" s="244"/>
      <c r="O246" s="244"/>
      <c r="P246" s="244"/>
    </row>
    <row r="247" spans="1:16" ht="21.75" customHeight="1" x14ac:dyDescent="0.3">
      <c r="A247" s="293" t="s">
        <v>102</v>
      </c>
      <c r="B247" s="294"/>
      <c r="C247" s="294"/>
      <c r="D247" s="294"/>
      <c r="E247" s="295"/>
      <c r="F247" s="295"/>
      <c r="G247" s="296"/>
      <c r="H247" s="297"/>
      <c r="I247" s="298"/>
      <c r="J247" s="298"/>
      <c r="K247" s="299"/>
      <c r="L247" s="300"/>
      <c r="M247" s="300"/>
      <c r="N247" s="300"/>
      <c r="O247" s="301"/>
      <c r="P247" s="301"/>
    </row>
    <row r="248" spans="1:16" ht="21.75" customHeight="1" x14ac:dyDescent="0.3">
      <c r="A248" s="302" t="s">
        <v>103</v>
      </c>
      <c r="B248" s="303"/>
      <c r="C248" s="303"/>
      <c r="D248" s="304"/>
      <c r="E248" s="304"/>
      <c r="F248" s="304"/>
      <c r="G248" s="305"/>
      <c r="H248" s="306"/>
      <c r="I248" s="307"/>
      <c r="J248" s="307"/>
      <c r="K248" s="308"/>
      <c r="L248" s="308"/>
      <c r="M248" s="308"/>
      <c r="N248" s="308"/>
      <c r="O248" s="309"/>
      <c r="P248" s="309"/>
    </row>
    <row r="249" spans="1:16" ht="21.75" customHeight="1" x14ac:dyDescent="0.3">
      <c r="A249" s="310"/>
      <c r="B249" s="311" t="s">
        <v>104</v>
      </c>
      <c r="C249" s="311"/>
      <c r="D249" s="311"/>
      <c r="E249" s="311"/>
      <c r="F249" s="311"/>
      <c r="G249" s="312"/>
      <c r="H249" s="313" t="s">
        <v>37</v>
      </c>
      <c r="I249" s="314">
        <f ca="1">IFERROR(__xludf.DUMMYFUNCTION("IMPORTRANGE(""https://docs.google.com/spreadsheets/d/11923uPwbBZFjjGgGUA6NLw09EwE0CqkOc4q9oUmW1yo/edit?usp=sharing"",""แม่ฮ่องสอน!I169"")"),0)</f>
        <v>0</v>
      </c>
      <c r="J249" s="314">
        <f ca="1">IFERROR(__xludf.DUMMYFUNCTION("IMPORTRANGE(""https://docs.google.com/spreadsheets/d/11923uPwbBZFjjGgGUA6NLw09EwE0CqkOc4q9oUmW1yo/edit?usp=sharing"",""แม่ฮ่องสอน!J169"")"),0)</f>
        <v>0</v>
      </c>
      <c r="K249" s="315">
        <f ca="1">IF(I249&gt;0,J249*100/I249,0)</f>
        <v>0</v>
      </c>
      <c r="L249" s="316"/>
      <c r="M249" s="316"/>
      <c r="N249" s="316"/>
      <c r="O249" s="315"/>
      <c r="P249" s="315"/>
    </row>
    <row r="250" spans="1:16" ht="21.75" customHeight="1" x14ac:dyDescent="0.45">
      <c r="A250" s="145"/>
      <c r="B250" s="146"/>
      <c r="C250" s="147" t="s">
        <v>16</v>
      </c>
      <c r="D250" s="537" t="s">
        <v>17</v>
      </c>
      <c r="E250" s="528"/>
      <c r="F250" s="528"/>
      <c r="G250" s="528"/>
      <c r="H250" s="148" t="s">
        <v>12</v>
      </c>
      <c r="I250" s="162"/>
      <c r="J250" s="162"/>
      <c r="K250" s="163"/>
      <c r="L250" s="151">
        <f t="shared" ref="L250:N250" ca="1" si="77">L251+L252</f>
        <v>0</v>
      </c>
      <c r="M250" s="151">
        <f t="shared" ca="1" si="77"/>
        <v>0</v>
      </c>
      <c r="N250" s="151">
        <f t="shared" ca="1" si="77"/>
        <v>0</v>
      </c>
      <c r="O250" s="150">
        <f t="shared" ref="O250:O252" ca="1" si="78">IF(L250&gt;0,N250*100/L250,0)</f>
        <v>0</v>
      </c>
      <c r="P250" s="150">
        <f t="shared" ref="P250:P252" ca="1" si="79">IF(M250&gt;0,N250*100/M250,0)</f>
        <v>0</v>
      </c>
    </row>
    <row r="251" spans="1:16" ht="21.75" customHeight="1" x14ac:dyDescent="0.45">
      <c r="A251" s="152"/>
      <c r="B251" s="32"/>
      <c r="C251" s="32"/>
      <c r="D251" s="32"/>
      <c r="E251" s="32"/>
      <c r="F251" s="32"/>
      <c r="G251" s="33" t="s">
        <v>18</v>
      </c>
      <c r="H251" s="153" t="s">
        <v>12</v>
      </c>
      <c r="I251" s="162"/>
      <c r="J251" s="162"/>
      <c r="K251" s="163"/>
      <c r="L251" s="87">
        <f t="shared" ref="L251:N251" si="80">L253+L257</f>
        <v>0</v>
      </c>
      <c r="M251" s="87">
        <f t="shared" si="80"/>
        <v>0</v>
      </c>
      <c r="N251" s="87">
        <f t="shared" si="80"/>
        <v>0</v>
      </c>
      <c r="O251" s="155">
        <f t="shared" si="78"/>
        <v>0</v>
      </c>
      <c r="P251" s="155">
        <f t="shared" si="79"/>
        <v>0</v>
      </c>
    </row>
    <row r="252" spans="1:16" ht="21.75" customHeight="1" x14ac:dyDescent="0.45">
      <c r="A252" s="152"/>
      <c r="B252" s="32"/>
      <c r="C252" s="32"/>
      <c r="D252" s="32"/>
      <c r="E252" s="32"/>
      <c r="F252" s="32"/>
      <c r="G252" s="33" t="s">
        <v>19</v>
      </c>
      <c r="H252" s="153" t="s">
        <v>12</v>
      </c>
      <c r="I252" s="162"/>
      <c r="J252" s="162"/>
      <c r="K252" s="163"/>
      <c r="L252" s="87">
        <f t="shared" ref="L252:N252" ca="1" si="81">L254+L258</f>
        <v>0</v>
      </c>
      <c r="M252" s="87">
        <f t="shared" ca="1" si="81"/>
        <v>0</v>
      </c>
      <c r="N252" s="87">
        <f t="shared" ca="1" si="81"/>
        <v>0</v>
      </c>
      <c r="O252" s="155">
        <f t="shared" ca="1" si="78"/>
        <v>0</v>
      </c>
      <c r="P252" s="155">
        <f t="shared" ca="1" si="79"/>
        <v>0</v>
      </c>
    </row>
    <row r="253" spans="1:16" ht="21.75" customHeight="1" x14ac:dyDescent="0.3">
      <c r="A253" s="156"/>
      <c r="B253" s="157"/>
      <c r="C253" s="157" t="s">
        <v>16</v>
      </c>
      <c r="D253" s="158" t="s">
        <v>38</v>
      </c>
      <c r="E253" s="159"/>
      <c r="F253" s="159"/>
      <c r="G253" s="160" t="s">
        <v>39</v>
      </c>
      <c r="H253" s="161" t="s">
        <v>12</v>
      </c>
      <c r="I253" s="162" t="s">
        <v>40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3">
      <c r="A254" s="156"/>
      <c r="B254" s="157"/>
      <c r="C254" s="157"/>
      <c r="D254" s="166"/>
      <c r="E254" s="159"/>
      <c r="F254" s="159" t="s">
        <v>40</v>
      </c>
      <c r="G254" s="160" t="s">
        <v>41</v>
      </c>
      <c r="H254" s="161" t="s">
        <v>12</v>
      </c>
      <c r="I254" s="162"/>
      <c r="J254" s="162"/>
      <c r="K254" s="163"/>
      <c r="L254" s="167">
        <f ca="1">L255+L256</f>
        <v>0</v>
      </c>
      <c r="M254" s="167">
        <f ca="1">IFERROR(__xludf.DUMMYFUNCTION("IMPORTRANGE(""https://docs.google.com/spreadsheets/d/1Yj_ptqi66GCucihVvJfMjLAmec39IyEx_6qawtMGysU/edit?usp=sharing"",""สบก!CB31"")"),0)</f>
        <v>0</v>
      </c>
      <c r="N254" s="168">
        <f ca="1">IFERROR(__xludf.DUMMYFUNCTION("IMPORTRANGE(""https://docs.google.com/spreadsheets/d/1Yj_ptqi66GCucihVvJfMjLAmec39IyEx_6qawtMGysU/edit?usp=sharing"",""สบก!CC31"")"),0)</f>
        <v>0</v>
      </c>
      <c r="O254" s="168">
        <f ca="1">IF(L254&gt;0,N254*100/L254,0)</f>
        <v>0</v>
      </c>
      <c r="P254" s="168">
        <f ca="1">IF(M254&gt;0,N254*100/M254,0)</f>
        <v>0</v>
      </c>
    </row>
    <row r="255" spans="1:16" ht="21.75" customHeight="1" x14ac:dyDescent="0.3">
      <c r="A255" s="156"/>
      <c r="B255" s="157"/>
      <c r="C255" s="157"/>
      <c r="D255" s="166"/>
      <c r="E255" s="159"/>
      <c r="F255" s="159"/>
      <c r="G255" s="169" t="s">
        <v>42</v>
      </c>
      <c r="H255" s="161" t="s">
        <v>12</v>
      </c>
      <c r="I255" s="162"/>
      <c r="J255" s="162"/>
      <c r="K255" s="163"/>
      <c r="L255" s="167">
        <f ca="1">IFERROR(__xludf.DUMMYFUNCTION("IMPORTRANGE(""https://docs.google.com/spreadsheets/d/1Yj_ptqi66GCucihVvJfMjLAmec39IyEx_6qawtMGysU/edit?usp=sharing"",""สบก!BX31"")"),0)</f>
        <v>0</v>
      </c>
      <c r="M255" s="167"/>
      <c r="N255" s="167"/>
      <c r="O255" s="168"/>
      <c r="P255" s="168"/>
    </row>
    <row r="256" spans="1:16" ht="21.75" customHeight="1" x14ac:dyDescent="0.3">
      <c r="A256" s="156"/>
      <c r="B256" s="157"/>
      <c r="C256" s="157"/>
      <c r="D256" s="166"/>
      <c r="E256" s="159"/>
      <c r="F256" s="159"/>
      <c r="G256" s="169" t="s">
        <v>43</v>
      </c>
      <c r="H256" s="161" t="s">
        <v>12</v>
      </c>
      <c r="I256" s="162"/>
      <c r="J256" s="162"/>
      <c r="K256" s="163"/>
      <c r="L256" s="167">
        <f ca="1">IFERROR(__xludf.DUMMYFUNCTION("IMPORTRANGE(""https://docs.google.com/spreadsheets/d/1Yj_ptqi66GCucihVvJfMjLAmec39IyEx_6qawtMGysU/edit?usp=sharing"",""สบก!BY31"")"),0)</f>
        <v>0</v>
      </c>
      <c r="M256" s="167"/>
      <c r="N256" s="167"/>
      <c r="O256" s="168"/>
      <c r="P256" s="168"/>
    </row>
    <row r="257" spans="1:16" ht="21.75" customHeight="1" x14ac:dyDescent="0.45">
      <c r="A257" s="170"/>
      <c r="B257" s="80"/>
      <c r="C257" s="81" t="s">
        <v>16</v>
      </c>
      <c r="D257" s="534" t="s">
        <v>23</v>
      </c>
      <c r="E257" s="530"/>
      <c r="F257" s="88"/>
      <c r="G257" s="82" t="s">
        <v>18</v>
      </c>
      <c r="H257" s="171" t="s">
        <v>12</v>
      </c>
      <c r="I257" s="162"/>
      <c r="J257" s="162"/>
      <c r="K257" s="163"/>
      <c r="L257" s="41">
        <v>0</v>
      </c>
      <c r="M257" s="41"/>
      <c r="N257" s="41"/>
      <c r="O257" s="41"/>
      <c r="P257" s="41"/>
    </row>
    <row r="258" spans="1:16" ht="21.75" customHeight="1" x14ac:dyDescent="0.45">
      <c r="A258" s="172"/>
      <c r="B258" s="91"/>
      <c r="C258" s="91"/>
      <c r="D258" s="173"/>
      <c r="E258" s="92"/>
      <c r="F258" s="92"/>
      <c r="G258" s="93" t="s">
        <v>19</v>
      </c>
      <c r="H258" s="174" t="s">
        <v>12</v>
      </c>
      <c r="I258" s="162"/>
      <c r="J258" s="162"/>
      <c r="K258" s="163"/>
      <c r="L258" s="49">
        <f ca="1">IFERROR(__xludf.DUMMYFUNCTION("IMPORTRANGE(""https://docs.google.com/spreadsheets/d/1Yj_ptqi66GCucihVvJfMjLAmec39IyEx_6qawtMGysU/edit?usp=sharing"",""สบก!BZ31"")"),0)</f>
        <v>0</v>
      </c>
      <c r="M258" s="49"/>
      <c r="N258" s="49">
        <f ca="1">IFERROR(__xludf.DUMMYFUNCTION("IMPORTRANGE(""https://docs.google.com/spreadsheets/d/1Yj_ptqi66GCucihVvJfMjLAmec39IyEx_6qawtMGysU/edit?usp=sharing"",""สบก!CD31"")"),0)</f>
        <v>0</v>
      </c>
      <c r="O258" s="49">
        <f ca="1">IF(L258&gt;0,N258*100/L258,0)</f>
        <v>0</v>
      </c>
      <c r="P258" s="49"/>
    </row>
    <row r="259" spans="1:16" ht="21.75" customHeight="1" x14ac:dyDescent="0.3">
      <c r="A259" s="175"/>
      <c r="B259" s="176"/>
      <c r="C259" s="157" t="s">
        <v>16</v>
      </c>
      <c r="D259" s="177" t="s">
        <v>44</v>
      </c>
      <c r="E259" s="178"/>
      <c r="F259" s="178"/>
      <c r="G259" s="179"/>
      <c r="H259" s="180"/>
      <c r="I259" s="162"/>
      <c r="J259" s="162"/>
      <c r="K259" s="163"/>
      <c r="L259" s="181"/>
      <c r="M259" s="181"/>
      <c r="N259" s="181"/>
      <c r="O259" s="181"/>
      <c r="P259" s="181"/>
    </row>
    <row r="260" spans="1:16" ht="21.75" customHeight="1" x14ac:dyDescent="0.3">
      <c r="A260" s="175"/>
      <c r="B260" s="176"/>
      <c r="C260" s="176"/>
      <c r="D260" s="182">
        <v>1</v>
      </c>
      <c r="E260" s="183" t="s">
        <v>45</v>
      </c>
      <c r="F260" s="184"/>
      <c r="G260" s="185"/>
      <c r="H260" s="186"/>
      <c r="I260" s="187"/>
      <c r="J260" s="188">
        <f ca="1">IFERROR(__xludf.DUMMYFUNCTION("IMPORTRANGE(""https://docs.google.com/spreadsheets/d/11923uPwbBZFjjGgGUA6NLw09EwE0CqkOc4q9oUmW1yo/edit?usp=sharing"",""แม่ฮ่องสอน!J175"")"),0)</f>
        <v>0</v>
      </c>
      <c r="K260" s="163"/>
      <c r="L260" s="181"/>
      <c r="M260" s="181"/>
      <c r="N260" s="181"/>
      <c r="O260" s="181"/>
      <c r="P260" s="181"/>
    </row>
    <row r="261" spans="1:16" ht="21.75" customHeight="1" x14ac:dyDescent="0.3">
      <c r="A261" s="175"/>
      <c r="B261" s="176"/>
      <c r="C261" s="176"/>
      <c r="D261" s="189">
        <v>2</v>
      </c>
      <c r="E261" s="190" t="s">
        <v>46</v>
      </c>
      <c r="F261" s="191"/>
      <c r="G261" s="192"/>
      <c r="H261" s="186"/>
      <c r="I261" s="187"/>
      <c r="J261" s="197">
        <f ca="1">IFERROR(__xludf.DUMMYFUNCTION("IMPORTRANGE(""https://docs.google.com/spreadsheets/d/11923uPwbBZFjjGgGUA6NLw09EwE0CqkOc4q9oUmW1yo/edit?usp=sharing"",""แม่ฮ่องสอน!J176"")"),0)</f>
        <v>0</v>
      </c>
      <c r="K261" s="163"/>
      <c r="L261" s="181" t="s">
        <v>40</v>
      </c>
      <c r="M261" s="181"/>
      <c r="N261" s="181" t="s">
        <v>40</v>
      </c>
      <c r="O261" s="181"/>
      <c r="P261" s="181"/>
    </row>
    <row r="262" spans="1:16" ht="21.75" customHeight="1" x14ac:dyDescent="0.3">
      <c r="A262" s="175"/>
      <c r="B262" s="176"/>
      <c r="C262" s="176"/>
      <c r="D262" s="193"/>
      <c r="E262" s="194" t="s">
        <v>47</v>
      </c>
      <c r="F262" s="195"/>
      <c r="G262" s="196"/>
      <c r="H262" s="186"/>
      <c r="I262" s="187"/>
      <c r="J262" s="197">
        <f ca="1">IFERROR(__xludf.DUMMYFUNCTION("IMPORTRANGE(""https://docs.google.com/spreadsheets/d/11923uPwbBZFjjGgGUA6NLw09EwE0CqkOc4q9oUmW1yo/edit?usp=sharing"",""แม่ฮ่องสอน!J177"")"),0)</f>
        <v>0</v>
      </c>
      <c r="K262" s="163"/>
      <c r="L262" s="181"/>
      <c r="M262" s="181"/>
      <c r="N262" s="181"/>
      <c r="O262" s="181"/>
      <c r="P262" s="181"/>
    </row>
    <row r="263" spans="1:16" ht="21.75" customHeight="1" x14ac:dyDescent="0.3">
      <c r="A263" s="175"/>
      <c r="B263" s="176"/>
      <c r="C263" s="176"/>
      <c r="D263" s="193"/>
      <c r="E263" s="194" t="s">
        <v>48</v>
      </c>
      <c r="F263" s="195"/>
      <c r="G263" s="196"/>
      <c r="H263" s="186"/>
      <c r="I263" s="187"/>
      <c r="J263" s="197">
        <f ca="1">IFERROR(__xludf.DUMMYFUNCTION("IMPORTRANGE(""https://docs.google.com/spreadsheets/d/11923uPwbBZFjjGgGUA6NLw09EwE0CqkOc4q9oUmW1yo/edit?usp=sharing"",""แม่ฮ่องสอน!J178"")"),0)</f>
        <v>0</v>
      </c>
      <c r="K263" s="163"/>
      <c r="L263" s="181"/>
      <c r="M263" s="181"/>
      <c r="N263" s="181"/>
      <c r="O263" s="181"/>
      <c r="P263" s="181"/>
    </row>
    <row r="264" spans="1:16" ht="21.75" customHeight="1" x14ac:dyDescent="0.3">
      <c r="A264" s="175"/>
      <c r="B264" s="176"/>
      <c r="C264" s="176"/>
      <c r="D264" s="193"/>
      <c r="E264" s="198"/>
      <c r="F264" s="194" t="s">
        <v>105</v>
      </c>
      <c r="G264" s="196"/>
      <c r="H264" s="180" t="s">
        <v>59</v>
      </c>
      <c r="I264" s="187">
        <f ca="1">IFERROR(__xludf.DUMMYFUNCTION("IMPORTRANGE(""https://docs.google.com/spreadsheets/d/11923uPwbBZFjjGgGUA6NLw09EwE0CqkOc4q9oUmW1yo/edit?usp=sharing"",""แม่ฮ่องสอน!I179"")"),0)</f>
        <v>0</v>
      </c>
      <c r="J264" s="188">
        <f ca="1">IFERROR(__xludf.DUMMYFUNCTION("IMPORTRANGE(""https://docs.google.com/spreadsheets/d/11923uPwbBZFjjGgGUA6NLw09EwE0CqkOc4q9oUmW1yo/edit?usp=sharing"",""แม่ฮ่องสอน!J179"")"),0)</f>
        <v>0</v>
      </c>
      <c r="K264" s="163">
        <f t="shared" ref="K264:K267" ca="1" si="82">IF(I264&gt;0,J264*100/I264,0)</f>
        <v>0</v>
      </c>
      <c r="L264" s="181"/>
      <c r="M264" s="181"/>
      <c r="N264" s="181"/>
      <c r="O264" s="181"/>
      <c r="P264" s="181"/>
    </row>
    <row r="265" spans="1:16" ht="21.75" customHeight="1" x14ac:dyDescent="0.3">
      <c r="A265" s="175"/>
      <c r="B265" s="176"/>
      <c r="C265" s="176"/>
      <c r="D265" s="193"/>
      <c r="E265" s="198"/>
      <c r="F265" s="194" t="s">
        <v>106</v>
      </c>
      <c r="G265" s="196"/>
      <c r="H265" s="180" t="s">
        <v>37</v>
      </c>
      <c r="I265" s="187">
        <f ca="1">IFERROR(__xludf.DUMMYFUNCTION("IMPORTRANGE(""https://docs.google.com/spreadsheets/d/11923uPwbBZFjjGgGUA6NLw09EwE0CqkOc4q9oUmW1yo/edit?usp=sharing"",""แม่ฮ่องสอน!I180"")"),0)</f>
        <v>0</v>
      </c>
      <c r="J265" s="188">
        <f ca="1">IFERROR(__xludf.DUMMYFUNCTION("IMPORTRANGE(""https://docs.google.com/spreadsheets/d/11923uPwbBZFjjGgGUA6NLw09EwE0CqkOc4q9oUmW1yo/edit?usp=sharing"",""แม่ฮ่องสอน!J180"")"),0)</f>
        <v>0</v>
      </c>
      <c r="K265" s="163">
        <f t="shared" ca="1" si="82"/>
        <v>0</v>
      </c>
      <c r="L265" s="181"/>
      <c r="M265" s="181"/>
      <c r="N265" s="181"/>
      <c r="O265" s="181"/>
      <c r="P265" s="181"/>
    </row>
    <row r="266" spans="1:16" ht="21.75" customHeight="1" x14ac:dyDescent="0.3">
      <c r="A266" s="175"/>
      <c r="B266" s="176"/>
      <c r="C266" s="176"/>
      <c r="D266" s="193"/>
      <c r="E266" s="198"/>
      <c r="F266" s="194" t="s">
        <v>107</v>
      </c>
      <c r="G266" s="196"/>
      <c r="H266" s="180" t="s">
        <v>37</v>
      </c>
      <c r="I266" s="187">
        <f ca="1">IFERROR(__xludf.DUMMYFUNCTION("IMPORTRANGE(""https://docs.google.com/spreadsheets/d/11923uPwbBZFjjGgGUA6NLw09EwE0CqkOc4q9oUmW1yo/edit?usp=sharing"",""แม่ฮ่องสอน!I181"")"),0)</f>
        <v>0</v>
      </c>
      <c r="J266" s="188">
        <f ca="1">IFERROR(__xludf.DUMMYFUNCTION("IMPORTRANGE(""https://docs.google.com/spreadsheets/d/11923uPwbBZFjjGgGUA6NLw09EwE0CqkOc4q9oUmW1yo/edit?usp=sharing"",""แม่ฮ่องสอน!J181"")"),0)</f>
        <v>0</v>
      </c>
      <c r="K266" s="163">
        <f t="shared" ca="1" si="82"/>
        <v>0</v>
      </c>
      <c r="L266" s="181"/>
      <c r="M266" s="181"/>
      <c r="N266" s="181"/>
      <c r="O266" s="181"/>
      <c r="P266" s="181"/>
    </row>
    <row r="267" spans="1:16" ht="21.75" customHeight="1" x14ac:dyDescent="0.3">
      <c r="A267" s="175"/>
      <c r="B267" s="176"/>
      <c r="C267" s="176"/>
      <c r="D267" s="193"/>
      <c r="E267" s="198"/>
      <c r="F267" s="194" t="s">
        <v>108</v>
      </c>
      <c r="G267" s="196"/>
      <c r="H267" s="180" t="s">
        <v>37</v>
      </c>
      <c r="I267" s="187">
        <f ca="1">IFERROR(__xludf.DUMMYFUNCTION("IMPORTRANGE(""https://docs.google.com/spreadsheets/d/11923uPwbBZFjjGgGUA6NLw09EwE0CqkOc4q9oUmW1yo/edit?usp=sharing"",""แม่ฮ่องสอน!I182"")"),0)</f>
        <v>0</v>
      </c>
      <c r="J267" s="188">
        <f ca="1">IFERROR(__xludf.DUMMYFUNCTION("IMPORTRANGE(""https://docs.google.com/spreadsheets/d/11923uPwbBZFjjGgGUA6NLw09EwE0CqkOc4q9oUmW1yo/edit?usp=sharing"",""แม่ฮ่องสอน!J182"")"),0)</f>
        <v>0</v>
      </c>
      <c r="K267" s="163">
        <f t="shared" ca="1" si="82"/>
        <v>0</v>
      </c>
      <c r="L267" s="181"/>
      <c r="M267" s="181"/>
      <c r="N267" s="181"/>
      <c r="O267" s="181"/>
      <c r="P267" s="181"/>
    </row>
    <row r="268" spans="1:16" ht="21.75" customHeight="1" x14ac:dyDescent="0.3">
      <c r="A268" s="175"/>
      <c r="B268" s="176"/>
      <c r="C268" s="176"/>
      <c r="D268" s="193"/>
      <c r="E268" s="194" t="s">
        <v>54</v>
      </c>
      <c r="F268" s="195"/>
      <c r="G268" s="196"/>
      <c r="H268" s="186"/>
      <c r="I268" s="187"/>
      <c r="J268" s="197">
        <f ca="1">IFERROR(__xludf.DUMMYFUNCTION("IMPORTRANGE(""https://docs.google.com/spreadsheets/d/11923uPwbBZFjjGgGUA6NLw09EwE0CqkOc4q9oUmW1yo/edit?usp=sharing"",""แม่ฮ่องสอน!J183"")"),0)</f>
        <v>0</v>
      </c>
      <c r="K268" s="163"/>
      <c r="L268" s="181"/>
      <c r="M268" s="181"/>
      <c r="N268" s="181"/>
      <c r="O268" s="181"/>
      <c r="P268" s="181"/>
    </row>
    <row r="269" spans="1:16" ht="21.75" customHeight="1" x14ac:dyDescent="0.3">
      <c r="A269" s="233"/>
      <c r="B269" s="234"/>
      <c r="C269" s="234"/>
      <c r="D269" s="235">
        <v>3</v>
      </c>
      <c r="E269" s="236" t="s">
        <v>55</v>
      </c>
      <c r="F269" s="237"/>
      <c r="G269" s="238"/>
      <c r="H269" s="239"/>
      <c r="I269" s="240"/>
      <c r="J269" s="285">
        <f ca="1">IFERROR(__xludf.DUMMYFUNCTION("IMPORTRANGE(""https://docs.google.com/spreadsheets/d/11923uPwbBZFjjGgGUA6NLw09EwE0CqkOc4q9oUmW1yo/edit?usp=sharing"",""แม่ฮ่องสอน!J184"")"),0)</f>
        <v>0</v>
      </c>
      <c r="K269" s="286"/>
      <c r="L269" s="244"/>
      <c r="M269" s="244"/>
      <c r="N269" s="244"/>
      <c r="O269" s="244"/>
      <c r="P269" s="244"/>
    </row>
    <row r="270" spans="1:16" ht="21.75" customHeight="1" x14ac:dyDescent="0.3">
      <c r="A270" s="310"/>
      <c r="B270" s="311" t="s">
        <v>109</v>
      </c>
      <c r="C270" s="311"/>
      <c r="D270" s="311"/>
      <c r="E270" s="311"/>
      <c r="F270" s="311"/>
      <c r="G270" s="312"/>
      <c r="H270" s="313" t="s">
        <v>37</v>
      </c>
      <c r="I270" s="314">
        <f ca="1">IFERROR(__xludf.DUMMYFUNCTION("IMPORTRANGE(""https://docs.google.com/spreadsheets/d/11923uPwbBZFjjGgGUA6NLw09EwE0CqkOc4q9oUmW1yo/edit?usp=sharing"",""แม่ฮ่องสอน!I185"")"),15)</f>
        <v>15</v>
      </c>
      <c r="J270" s="314">
        <f ca="1">IFERROR(__xludf.DUMMYFUNCTION("IMPORTRANGE(""https://docs.google.com/spreadsheets/d/11923uPwbBZFjjGgGUA6NLw09EwE0CqkOc4q9oUmW1yo/edit?usp=sharing"",""แม่ฮ่องสอน!J185"")"),15)</f>
        <v>15</v>
      </c>
      <c r="K270" s="315">
        <f ca="1">IF(I270&gt;0,J270*100/I270,0)</f>
        <v>100</v>
      </c>
      <c r="L270" s="316"/>
      <c r="M270" s="316"/>
      <c r="N270" s="316"/>
      <c r="O270" s="315"/>
      <c r="P270" s="315"/>
    </row>
    <row r="271" spans="1:16" ht="21.75" customHeight="1" x14ac:dyDescent="0.45">
      <c r="A271" s="145"/>
      <c r="B271" s="146"/>
      <c r="C271" s="147" t="s">
        <v>16</v>
      </c>
      <c r="D271" s="537" t="s">
        <v>17</v>
      </c>
      <c r="E271" s="528"/>
      <c r="F271" s="528"/>
      <c r="G271" s="528"/>
      <c r="H271" s="148" t="s">
        <v>12</v>
      </c>
      <c r="I271" s="162"/>
      <c r="J271" s="162"/>
      <c r="K271" s="163"/>
      <c r="L271" s="151">
        <f t="shared" ref="L271:N271" ca="1" si="83">L272+L273</f>
        <v>187200</v>
      </c>
      <c r="M271" s="151">
        <f t="shared" ca="1" si="83"/>
        <v>98250</v>
      </c>
      <c r="N271" s="151">
        <f t="shared" ca="1" si="83"/>
        <v>71128</v>
      </c>
      <c r="O271" s="150">
        <f t="shared" ref="O271:O273" ca="1" si="84">IF(L271&gt;0,N271*100/L271,0)</f>
        <v>37.995726495726494</v>
      </c>
      <c r="P271" s="150">
        <f t="shared" ref="P271:P273" ca="1" si="85">IF(M271&gt;0,N271*100/M271,0)</f>
        <v>72.394910941475828</v>
      </c>
    </row>
    <row r="272" spans="1:16" ht="21.75" customHeight="1" x14ac:dyDescent="0.45">
      <c r="A272" s="152"/>
      <c r="B272" s="32"/>
      <c r="C272" s="32"/>
      <c r="D272" s="32"/>
      <c r="E272" s="32"/>
      <c r="F272" s="32"/>
      <c r="G272" s="33" t="s">
        <v>18</v>
      </c>
      <c r="H272" s="153" t="s">
        <v>12</v>
      </c>
      <c r="I272" s="162"/>
      <c r="J272" s="162"/>
      <c r="K272" s="163"/>
      <c r="L272" s="87">
        <f t="shared" ref="L272:N272" si="86">L274+L278</f>
        <v>0</v>
      </c>
      <c r="M272" s="87">
        <f t="shared" si="86"/>
        <v>0</v>
      </c>
      <c r="N272" s="87">
        <f t="shared" si="86"/>
        <v>0</v>
      </c>
      <c r="O272" s="155">
        <f t="shared" si="84"/>
        <v>0</v>
      </c>
      <c r="P272" s="155">
        <f t="shared" si="85"/>
        <v>0</v>
      </c>
    </row>
    <row r="273" spans="1:16" ht="21.75" customHeight="1" x14ac:dyDescent="0.45">
      <c r="A273" s="152"/>
      <c r="B273" s="32"/>
      <c r="C273" s="32"/>
      <c r="D273" s="32"/>
      <c r="E273" s="32"/>
      <c r="F273" s="32"/>
      <c r="G273" s="33" t="s">
        <v>19</v>
      </c>
      <c r="H273" s="153" t="s">
        <v>12</v>
      </c>
      <c r="I273" s="162"/>
      <c r="J273" s="162"/>
      <c r="K273" s="163"/>
      <c r="L273" s="87">
        <f t="shared" ref="L273:N273" ca="1" si="87">L275+L279</f>
        <v>187200</v>
      </c>
      <c r="M273" s="87">
        <f t="shared" ca="1" si="87"/>
        <v>98250</v>
      </c>
      <c r="N273" s="87">
        <f t="shared" ca="1" si="87"/>
        <v>71128</v>
      </c>
      <c r="O273" s="155">
        <f t="shared" ca="1" si="84"/>
        <v>37.995726495726494</v>
      </c>
      <c r="P273" s="155">
        <f t="shared" ca="1" si="85"/>
        <v>72.394910941475828</v>
      </c>
    </row>
    <row r="274" spans="1:16" ht="21.75" customHeight="1" x14ac:dyDescent="0.3">
      <c r="A274" s="156"/>
      <c r="B274" s="157"/>
      <c r="C274" s="157" t="s">
        <v>16</v>
      </c>
      <c r="D274" s="158" t="s">
        <v>38</v>
      </c>
      <c r="E274" s="159"/>
      <c r="F274" s="159"/>
      <c r="G274" s="160" t="s">
        <v>39</v>
      </c>
      <c r="H274" s="161" t="s">
        <v>12</v>
      </c>
      <c r="I274" s="162" t="s">
        <v>40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3">
      <c r="A275" s="156"/>
      <c r="B275" s="157"/>
      <c r="C275" s="157"/>
      <c r="D275" s="166"/>
      <c r="E275" s="159"/>
      <c r="F275" s="159" t="s">
        <v>40</v>
      </c>
      <c r="G275" s="160" t="s">
        <v>41</v>
      </c>
      <c r="H275" s="161" t="s">
        <v>12</v>
      </c>
      <c r="I275" s="162"/>
      <c r="J275" s="162"/>
      <c r="K275" s="163"/>
      <c r="L275" s="167">
        <f ca="1">L276+L277</f>
        <v>187200</v>
      </c>
      <c r="M275" s="167">
        <f ca="1">IFERROR(__xludf.DUMMYFUNCTION("IMPORTRANGE(""https://docs.google.com/spreadsheets/d/1Yj_ptqi66GCucihVvJfMjLAmec39IyEx_6qawtMGysU/edit?usp=sharing"",""สบก!CK31"")"),98250)</f>
        <v>98250</v>
      </c>
      <c r="N275" s="168">
        <f ca="1">IFERROR(__xludf.DUMMYFUNCTION("IMPORTRANGE(""https://docs.google.com/spreadsheets/d/1Yj_ptqi66GCucihVvJfMjLAmec39IyEx_6qawtMGysU/edit?usp=sharing"",""สบก!CL31"")"),71128)</f>
        <v>71128</v>
      </c>
      <c r="O275" s="168">
        <f ca="1">IF(L275&gt;0,N275*100/L275,0)</f>
        <v>37.995726495726494</v>
      </c>
      <c r="P275" s="168">
        <f ca="1">IF(M275&gt;0,N275*100/M275,0)</f>
        <v>72.394910941475828</v>
      </c>
    </row>
    <row r="276" spans="1:16" ht="21.75" customHeight="1" x14ac:dyDescent="0.3">
      <c r="A276" s="156"/>
      <c r="B276" s="157"/>
      <c r="C276" s="157"/>
      <c r="D276" s="166"/>
      <c r="E276" s="159"/>
      <c r="F276" s="159"/>
      <c r="G276" s="169" t="s">
        <v>42</v>
      </c>
      <c r="H276" s="161" t="s">
        <v>12</v>
      </c>
      <c r="I276" s="162"/>
      <c r="J276" s="162"/>
      <c r="K276" s="163"/>
      <c r="L276" s="167">
        <f ca="1">IFERROR(__xludf.DUMMYFUNCTION("IMPORTRANGE(""https://docs.google.com/spreadsheets/d/1Yj_ptqi66GCucihVvJfMjLAmec39IyEx_6qawtMGysU/edit?usp=sharing"",""สบก!CG31"")"),132000)</f>
        <v>132000</v>
      </c>
      <c r="M276" s="167"/>
      <c r="N276" s="167"/>
      <c r="O276" s="168"/>
      <c r="P276" s="168"/>
    </row>
    <row r="277" spans="1:16" ht="21.75" customHeight="1" x14ac:dyDescent="0.3">
      <c r="A277" s="156"/>
      <c r="B277" s="157"/>
      <c r="C277" s="157"/>
      <c r="D277" s="166"/>
      <c r="E277" s="159"/>
      <c r="F277" s="159"/>
      <c r="G277" s="169" t="s">
        <v>43</v>
      </c>
      <c r="H277" s="161" t="s">
        <v>12</v>
      </c>
      <c r="I277" s="162"/>
      <c r="J277" s="162"/>
      <c r="K277" s="163"/>
      <c r="L277" s="167">
        <f ca="1">IFERROR(__xludf.DUMMYFUNCTION("IMPORTRANGE(""https://docs.google.com/spreadsheets/d/1Yj_ptqi66GCucihVvJfMjLAmec39IyEx_6qawtMGysU/edit?usp=sharing"",""สบก!CH31"")"),55200)</f>
        <v>55200</v>
      </c>
      <c r="M277" s="167"/>
      <c r="N277" s="167"/>
      <c r="O277" s="168"/>
      <c r="P277" s="168"/>
    </row>
    <row r="278" spans="1:16" ht="21.75" customHeight="1" x14ac:dyDescent="0.45">
      <c r="A278" s="170"/>
      <c r="B278" s="80"/>
      <c r="C278" s="81" t="s">
        <v>16</v>
      </c>
      <c r="D278" s="534" t="s">
        <v>23</v>
      </c>
      <c r="E278" s="530"/>
      <c r="F278" s="88"/>
      <c r="G278" s="82" t="s">
        <v>18</v>
      </c>
      <c r="H278" s="171" t="s">
        <v>12</v>
      </c>
      <c r="I278" s="162"/>
      <c r="J278" s="162"/>
      <c r="K278" s="163"/>
      <c r="L278" s="41">
        <v>0</v>
      </c>
      <c r="M278" s="41"/>
      <c r="N278" s="41"/>
      <c r="O278" s="41"/>
      <c r="P278" s="41"/>
    </row>
    <row r="279" spans="1:16" ht="21.75" customHeight="1" x14ac:dyDescent="0.45">
      <c r="A279" s="172"/>
      <c r="B279" s="91"/>
      <c r="C279" s="91"/>
      <c r="D279" s="173"/>
      <c r="E279" s="92"/>
      <c r="F279" s="92"/>
      <c r="G279" s="93" t="s">
        <v>19</v>
      </c>
      <c r="H279" s="174" t="s">
        <v>12</v>
      </c>
      <c r="I279" s="162"/>
      <c r="J279" s="162"/>
      <c r="K279" s="163"/>
      <c r="L279" s="49">
        <f ca="1">IFERROR(__xludf.DUMMYFUNCTION("IMPORTRANGE(""https://docs.google.com/spreadsheets/d/1Yj_ptqi66GCucihVvJfMjLAmec39IyEx_6qawtMGysU/edit?usp=sharing"",""สบก!CI31"")"),0)</f>
        <v>0</v>
      </c>
      <c r="M279" s="49"/>
      <c r="N279" s="49">
        <f ca="1">IFERROR(__xludf.DUMMYFUNCTION("IMPORTRANGE(""https://docs.google.com/spreadsheets/d/1Yj_ptqi66GCucihVvJfMjLAmec39IyEx_6qawtMGysU/edit?usp=sharing"",""สบก!CM31"")"),0)</f>
        <v>0</v>
      </c>
      <c r="O279" s="49">
        <f ca="1">IF(L279&gt;0,N279*100/L279,0)</f>
        <v>0</v>
      </c>
      <c r="P279" s="49"/>
    </row>
    <row r="280" spans="1:16" ht="21.75" customHeight="1" x14ac:dyDescent="0.3">
      <c r="A280" s="175"/>
      <c r="B280" s="176"/>
      <c r="C280" s="157" t="s">
        <v>16</v>
      </c>
      <c r="D280" s="177" t="s">
        <v>44</v>
      </c>
      <c r="E280" s="178"/>
      <c r="F280" s="178"/>
      <c r="G280" s="179"/>
      <c r="H280" s="180"/>
      <c r="I280" s="162"/>
      <c r="J280" s="162"/>
      <c r="K280" s="163"/>
      <c r="L280" s="181"/>
      <c r="M280" s="181"/>
      <c r="N280" s="181"/>
      <c r="O280" s="181"/>
      <c r="P280" s="181"/>
    </row>
    <row r="281" spans="1:16" ht="21.75" customHeight="1" x14ac:dyDescent="0.3">
      <c r="A281" s="175"/>
      <c r="B281" s="176"/>
      <c r="C281" s="176"/>
      <c r="D281" s="182">
        <v>1</v>
      </c>
      <c r="E281" s="183" t="s">
        <v>45</v>
      </c>
      <c r="F281" s="184"/>
      <c r="G281" s="185"/>
      <c r="H281" s="186"/>
      <c r="I281" s="187"/>
      <c r="J281" s="188">
        <f ca="1">IFERROR(__xludf.DUMMYFUNCTION("IMPORTRANGE(""https://docs.google.com/spreadsheets/d/11923uPwbBZFjjGgGUA6NLw09EwE0CqkOc4q9oUmW1yo/edit?usp=sharing"",""แม่ฮ่องสอน!J191"")"),0)</f>
        <v>0</v>
      </c>
      <c r="K281" s="163"/>
      <c r="L281" s="181"/>
      <c r="M281" s="181"/>
      <c r="N281" s="181"/>
      <c r="O281" s="181"/>
      <c r="P281" s="181"/>
    </row>
    <row r="282" spans="1:16" ht="21.75" customHeight="1" x14ac:dyDescent="0.3">
      <c r="A282" s="175"/>
      <c r="B282" s="176"/>
      <c r="C282" s="176"/>
      <c r="D282" s="189">
        <v>2</v>
      </c>
      <c r="E282" s="190" t="s">
        <v>46</v>
      </c>
      <c r="F282" s="191"/>
      <c r="G282" s="192"/>
      <c r="H282" s="186"/>
      <c r="I282" s="187"/>
      <c r="J282" s="197">
        <f ca="1">IFERROR(__xludf.DUMMYFUNCTION("IMPORTRANGE(""https://docs.google.com/spreadsheets/d/11923uPwbBZFjjGgGUA6NLw09EwE0CqkOc4q9oUmW1yo/edit?usp=sharing"",""แม่ฮ่องสอน!J192"")"),1)</f>
        <v>1</v>
      </c>
      <c r="K282" s="163"/>
      <c r="L282" s="181"/>
      <c r="M282" s="181"/>
      <c r="N282" s="181"/>
      <c r="O282" s="181"/>
      <c r="P282" s="181"/>
    </row>
    <row r="283" spans="1:16" ht="21.75" customHeight="1" x14ac:dyDescent="0.3">
      <c r="A283" s="175"/>
      <c r="B283" s="176"/>
      <c r="C283" s="176"/>
      <c r="D283" s="193"/>
      <c r="E283" s="194" t="s">
        <v>47</v>
      </c>
      <c r="F283" s="195"/>
      <c r="G283" s="196"/>
      <c r="H283" s="186"/>
      <c r="I283" s="187"/>
      <c r="J283" s="197">
        <f ca="1">IFERROR(__xludf.DUMMYFUNCTION("IMPORTRANGE(""https://docs.google.com/spreadsheets/d/11923uPwbBZFjjGgGUA6NLw09EwE0CqkOc4q9oUmW1yo/edit?usp=sharing"",""แม่ฮ่องสอน!J193"")"),1)</f>
        <v>1</v>
      </c>
      <c r="K283" s="163"/>
      <c r="L283" s="181"/>
      <c r="M283" s="181"/>
      <c r="N283" s="181"/>
      <c r="O283" s="181"/>
      <c r="P283" s="181"/>
    </row>
    <row r="284" spans="1:16" ht="21.75" customHeight="1" x14ac:dyDescent="0.3">
      <c r="A284" s="175"/>
      <c r="B284" s="176"/>
      <c r="C284" s="176"/>
      <c r="D284" s="193"/>
      <c r="E284" s="194" t="s">
        <v>48</v>
      </c>
      <c r="F284" s="195"/>
      <c r="G284" s="196"/>
      <c r="H284" s="186"/>
      <c r="I284" s="187"/>
      <c r="J284" s="197">
        <f ca="1">IFERROR(__xludf.DUMMYFUNCTION("IMPORTRANGE(""https://docs.google.com/spreadsheets/d/11923uPwbBZFjjGgGUA6NLw09EwE0CqkOc4q9oUmW1yo/edit?usp=sharing"",""แม่ฮ่องสอน!J194"")"),1)</f>
        <v>1</v>
      </c>
      <c r="K284" s="163"/>
      <c r="L284" s="181"/>
      <c r="M284" s="181"/>
      <c r="N284" s="181"/>
      <c r="O284" s="181"/>
      <c r="P284" s="181"/>
    </row>
    <row r="285" spans="1:16" ht="21.75" customHeight="1" x14ac:dyDescent="0.3">
      <c r="A285" s="175"/>
      <c r="B285" s="176"/>
      <c r="C285" s="176"/>
      <c r="D285" s="193"/>
      <c r="E285" s="195"/>
      <c r="F285" s="194" t="s">
        <v>110</v>
      </c>
      <c r="G285" s="196"/>
      <c r="H285" s="186" t="s">
        <v>37</v>
      </c>
      <c r="I285" s="187">
        <f ca="1">IFERROR(__xludf.DUMMYFUNCTION("IMPORTRANGE(""https://docs.google.com/spreadsheets/d/11923uPwbBZFjjGgGUA6NLw09EwE0CqkOc4q9oUmW1yo/edit?usp=sharing"",""แม่ฮ่องสอน!I195"")"),15)</f>
        <v>15</v>
      </c>
      <c r="J285" s="188">
        <f ca="1">IFERROR(__xludf.DUMMYFUNCTION("IMPORTRANGE(""https://docs.google.com/spreadsheets/d/11923uPwbBZFjjGgGUA6NLw09EwE0CqkOc4q9oUmW1yo/edit?usp=sharing"",""แม่ฮ่องสอน!J195"")"),15)</f>
        <v>15</v>
      </c>
      <c r="K285" s="163">
        <f ca="1">IF(I285&gt;0,J285*100/I285,0)</f>
        <v>100</v>
      </c>
      <c r="L285" s="181"/>
      <c r="M285" s="181"/>
      <c r="N285" s="181"/>
      <c r="O285" s="181"/>
      <c r="P285" s="181"/>
    </row>
    <row r="286" spans="1:16" ht="21.75" customHeight="1" x14ac:dyDescent="0.3">
      <c r="A286" s="175"/>
      <c r="B286" s="176"/>
      <c r="C286" s="176"/>
      <c r="D286" s="193"/>
      <c r="E286" s="194" t="s">
        <v>54</v>
      </c>
      <c r="F286" s="195"/>
      <c r="G286" s="196"/>
      <c r="H286" s="186"/>
      <c r="I286" s="187"/>
      <c r="J286" s="197">
        <f ca="1">IFERROR(__xludf.DUMMYFUNCTION("IMPORTRANGE(""https://docs.google.com/spreadsheets/d/11923uPwbBZFjjGgGUA6NLw09EwE0CqkOc4q9oUmW1yo/edit?usp=sharing"",""แม่ฮ่องสอน!J196"")"),0)</f>
        <v>0</v>
      </c>
      <c r="K286" s="163"/>
      <c r="L286" s="181"/>
      <c r="M286" s="181"/>
      <c r="N286" s="181"/>
      <c r="O286" s="181"/>
      <c r="P286" s="181"/>
    </row>
    <row r="287" spans="1:16" ht="21.75" customHeight="1" x14ac:dyDescent="0.3">
      <c r="A287" s="175"/>
      <c r="B287" s="176"/>
      <c r="C287" s="176"/>
      <c r="D287" s="205">
        <v>3</v>
      </c>
      <c r="E287" s="206" t="s">
        <v>55</v>
      </c>
      <c r="F287" s="207"/>
      <c r="G287" s="208"/>
      <c r="H287" s="186"/>
      <c r="I287" s="187"/>
      <c r="J287" s="209">
        <f ca="1">IFERROR(__xludf.DUMMYFUNCTION("IMPORTRANGE(""https://docs.google.com/spreadsheets/d/11923uPwbBZFjjGgGUA6NLw09EwE0CqkOc4q9oUmW1yo/edit?usp=sharing"",""แม่ฮ่องสอน!J197"")"),0)</f>
        <v>0</v>
      </c>
      <c r="K287" s="163"/>
      <c r="L287" s="181"/>
      <c r="M287" s="181"/>
      <c r="N287" s="181"/>
      <c r="O287" s="181"/>
      <c r="P287" s="181"/>
    </row>
    <row r="288" spans="1:16" ht="21.75" customHeight="1" x14ac:dyDescent="0.3">
      <c r="A288" s="302" t="s">
        <v>111</v>
      </c>
      <c r="B288" s="303"/>
      <c r="C288" s="303"/>
      <c r="D288" s="304"/>
      <c r="E288" s="303"/>
      <c r="F288" s="303"/>
      <c r="G288" s="317"/>
      <c r="H288" s="318"/>
      <c r="I288" s="319"/>
      <c r="J288" s="319"/>
      <c r="K288" s="320"/>
      <c r="L288" s="320"/>
      <c r="M288" s="320"/>
      <c r="N288" s="320"/>
      <c r="O288" s="309"/>
      <c r="P288" s="309"/>
    </row>
    <row r="289" spans="1:16" ht="21.75" customHeight="1" x14ac:dyDescent="0.3">
      <c r="A289" s="321"/>
      <c r="B289" s="311" t="s">
        <v>112</v>
      </c>
      <c r="C289" s="322"/>
      <c r="D289" s="323"/>
      <c r="E289" s="311"/>
      <c r="F289" s="311"/>
      <c r="G289" s="312"/>
      <c r="H289" s="313" t="s">
        <v>37</v>
      </c>
      <c r="I289" s="314">
        <f ca="1">IFERROR(__xludf.DUMMYFUNCTION("IMPORTRANGE(""https://docs.google.com/spreadsheets/d/11923uPwbBZFjjGgGUA6NLw09EwE0CqkOc4q9oUmW1yo/edit?usp=sharing"",""แม่ฮ่องสอน!I199"")"),0)</f>
        <v>0</v>
      </c>
      <c r="J289" s="314">
        <f ca="1">IFERROR(__xludf.DUMMYFUNCTION("IMPORTRANGE(""https://docs.google.com/spreadsheets/d/11923uPwbBZFjjGgGUA6NLw09EwE0CqkOc4q9oUmW1yo/edit?usp=sharing"",""แม่ฮ่องสอน!J199"")"),0)</f>
        <v>0</v>
      </c>
      <c r="K289" s="315">
        <f ca="1">IF(I289&gt;0,J289*100/I289,0)</f>
        <v>0</v>
      </c>
      <c r="L289" s="316"/>
      <c r="M289" s="316"/>
      <c r="N289" s="316"/>
      <c r="O289" s="315"/>
      <c r="P289" s="315"/>
    </row>
    <row r="290" spans="1:16" ht="21.75" customHeight="1" x14ac:dyDescent="0.45">
      <c r="A290" s="145"/>
      <c r="B290" s="146"/>
      <c r="C290" s="147" t="s">
        <v>16</v>
      </c>
      <c r="D290" s="537" t="s">
        <v>17</v>
      </c>
      <c r="E290" s="528"/>
      <c r="F290" s="528"/>
      <c r="G290" s="528"/>
      <c r="H290" s="148" t="s">
        <v>12</v>
      </c>
      <c r="I290" s="187"/>
      <c r="J290" s="187"/>
      <c r="K290" s="223"/>
      <c r="L290" s="151">
        <f t="shared" ref="L290:N290" ca="1" si="88">L291+L292</f>
        <v>0</v>
      </c>
      <c r="M290" s="151">
        <f t="shared" ca="1" si="88"/>
        <v>0</v>
      </c>
      <c r="N290" s="151">
        <f t="shared" ca="1" si="88"/>
        <v>0</v>
      </c>
      <c r="O290" s="150">
        <f t="shared" ref="O290:O292" ca="1" si="89">IF(L290&gt;0,N290*100/L290,0)</f>
        <v>0</v>
      </c>
      <c r="P290" s="150">
        <f t="shared" ref="P290:P292" ca="1" si="90">IF(M290&gt;0,N290*100/M290,0)</f>
        <v>0</v>
      </c>
    </row>
    <row r="291" spans="1:16" ht="21.75" customHeight="1" x14ac:dyDescent="0.45">
      <c r="A291" s="152"/>
      <c r="B291" s="32"/>
      <c r="C291" s="32"/>
      <c r="D291" s="32"/>
      <c r="E291" s="32"/>
      <c r="F291" s="32"/>
      <c r="G291" s="33" t="s">
        <v>18</v>
      </c>
      <c r="H291" s="153" t="s">
        <v>12</v>
      </c>
      <c r="I291" s="187"/>
      <c r="J291" s="187"/>
      <c r="K291" s="223"/>
      <c r="L291" s="87">
        <f t="shared" ref="L291:N291" si="91">L293+L297</f>
        <v>0</v>
      </c>
      <c r="M291" s="87">
        <f t="shared" si="91"/>
        <v>0</v>
      </c>
      <c r="N291" s="87">
        <f t="shared" si="91"/>
        <v>0</v>
      </c>
      <c r="O291" s="155">
        <f t="shared" si="89"/>
        <v>0</v>
      </c>
      <c r="P291" s="155">
        <f t="shared" si="90"/>
        <v>0</v>
      </c>
    </row>
    <row r="292" spans="1:16" ht="21.75" customHeight="1" x14ac:dyDescent="0.45">
      <c r="A292" s="152"/>
      <c r="B292" s="32"/>
      <c r="C292" s="32"/>
      <c r="D292" s="32"/>
      <c r="E292" s="32"/>
      <c r="F292" s="32"/>
      <c r="G292" s="33" t="s">
        <v>19</v>
      </c>
      <c r="H292" s="153" t="s">
        <v>12</v>
      </c>
      <c r="I292" s="187"/>
      <c r="J292" s="187"/>
      <c r="K292" s="223"/>
      <c r="L292" s="87">
        <f t="shared" ref="L292:N292" ca="1" si="92">L294+L298</f>
        <v>0</v>
      </c>
      <c r="M292" s="87">
        <f t="shared" ca="1" si="92"/>
        <v>0</v>
      </c>
      <c r="N292" s="87">
        <f t="shared" ca="1" si="92"/>
        <v>0</v>
      </c>
      <c r="O292" s="155">
        <f t="shared" ca="1" si="89"/>
        <v>0</v>
      </c>
      <c r="P292" s="155">
        <f t="shared" ca="1" si="90"/>
        <v>0</v>
      </c>
    </row>
    <row r="293" spans="1:16" ht="21.75" customHeight="1" x14ac:dyDescent="0.3">
      <c r="A293" s="156"/>
      <c r="B293" s="157"/>
      <c r="C293" s="157" t="s">
        <v>16</v>
      </c>
      <c r="D293" s="158" t="s">
        <v>38</v>
      </c>
      <c r="E293" s="159"/>
      <c r="F293" s="159"/>
      <c r="G293" s="160" t="s">
        <v>39</v>
      </c>
      <c r="H293" s="161" t="s">
        <v>12</v>
      </c>
      <c r="I293" s="187" t="s">
        <v>40</v>
      </c>
      <c r="J293" s="187"/>
      <c r="K293" s="223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3">
      <c r="A294" s="156"/>
      <c r="B294" s="157"/>
      <c r="C294" s="157"/>
      <c r="D294" s="166"/>
      <c r="E294" s="159"/>
      <c r="F294" s="159" t="s">
        <v>40</v>
      </c>
      <c r="G294" s="160" t="s">
        <v>41</v>
      </c>
      <c r="H294" s="161" t="s">
        <v>12</v>
      </c>
      <c r="I294" s="187"/>
      <c r="J294" s="187"/>
      <c r="K294" s="223"/>
      <c r="L294" s="167">
        <f ca="1">L295+L296</f>
        <v>0</v>
      </c>
      <c r="M294" s="167">
        <f ca="1">IFERROR(__xludf.DUMMYFUNCTION("IMPORTRANGE(""https://docs.google.com/spreadsheets/d/1Yj_ptqi66GCucihVvJfMjLAmec39IyEx_6qawtMGysU/edit?usp=sharing"",""สบก!CT31"")"),0)</f>
        <v>0</v>
      </c>
      <c r="N294" s="168">
        <f ca="1">IFERROR(__xludf.DUMMYFUNCTION("IMPORTRANGE(""https://docs.google.com/spreadsheets/d/1Yj_ptqi66GCucihVvJfMjLAmec39IyEx_6qawtMGysU/edit?usp=sharing"",""สบก!CU31"")"),0)</f>
        <v>0</v>
      </c>
      <c r="O294" s="168">
        <f ca="1">IF(L294&gt;0,N294*100/L294,0)</f>
        <v>0</v>
      </c>
      <c r="P294" s="168">
        <f ca="1">IF(M294&gt;0,N294*100/M294,0)</f>
        <v>0</v>
      </c>
    </row>
    <row r="295" spans="1:16" ht="21.75" customHeight="1" x14ac:dyDescent="0.3">
      <c r="A295" s="156"/>
      <c r="B295" s="157"/>
      <c r="C295" s="157"/>
      <c r="D295" s="166"/>
      <c r="E295" s="159"/>
      <c r="F295" s="159"/>
      <c r="G295" s="169" t="s">
        <v>42</v>
      </c>
      <c r="H295" s="161" t="s">
        <v>12</v>
      </c>
      <c r="I295" s="187"/>
      <c r="J295" s="187"/>
      <c r="K295" s="223"/>
      <c r="L295" s="167">
        <f ca="1">IFERROR(__xludf.DUMMYFUNCTION("IMPORTRANGE(""https://docs.google.com/spreadsheets/d/1Yj_ptqi66GCucihVvJfMjLAmec39IyEx_6qawtMGysU/edit?usp=sharing"",""สบก!CP31"")"),0)</f>
        <v>0</v>
      </c>
      <c r="M295" s="167"/>
      <c r="N295" s="167"/>
      <c r="O295" s="168"/>
      <c r="P295" s="168"/>
    </row>
    <row r="296" spans="1:16" ht="21.75" customHeight="1" x14ac:dyDescent="0.3">
      <c r="A296" s="156"/>
      <c r="B296" s="157"/>
      <c r="C296" s="157"/>
      <c r="D296" s="166"/>
      <c r="E296" s="159"/>
      <c r="F296" s="159"/>
      <c r="G296" s="169" t="s">
        <v>43</v>
      </c>
      <c r="H296" s="161" t="s">
        <v>12</v>
      </c>
      <c r="I296" s="187"/>
      <c r="J296" s="187"/>
      <c r="K296" s="223"/>
      <c r="L296" s="167">
        <f ca="1">IFERROR(__xludf.DUMMYFUNCTION("IMPORTRANGE(""https://docs.google.com/spreadsheets/d/1Yj_ptqi66GCucihVvJfMjLAmec39IyEx_6qawtMGysU/edit?usp=sharing"",""สบก!CQ31"")"),0)</f>
        <v>0</v>
      </c>
      <c r="M296" s="167"/>
      <c r="N296" s="167"/>
      <c r="O296" s="168"/>
      <c r="P296" s="168"/>
    </row>
    <row r="297" spans="1:16" ht="21.75" customHeight="1" x14ac:dyDescent="0.45">
      <c r="A297" s="170"/>
      <c r="B297" s="80"/>
      <c r="C297" s="81" t="s">
        <v>16</v>
      </c>
      <c r="D297" s="534" t="s">
        <v>23</v>
      </c>
      <c r="E297" s="530"/>
      <c r="F297" s="88"/>
      <c r="G297" s="82" t="s">
        <v>18</v>
      </c>
      <c r="H297" s="171" t="s">
        <v>12</v>
      </c>
      <c r="I297" s="187"/>
      <c r="J297" s="187"/>
      <c r="K297" s="223"/>
      <c r="L297" s="41">
        <v>0</v>
      </c>
      <c r="M297" s="41"/>
      <c r="N297" s="41"/>
      <c r="O297" s="41"/>
      <c r="P297" s="41"/>
    </row>
    <row r="298" spans="1:16" ht="21.75" customHeight="1" x14ac:dyDescent="0.45">
      <c r="A298" s="172"/>
      <c r="B298" s="91"/>
      <c r="C298" s="91"/>
      <c r="D298" s="173"/>
      <c r="E298" s="92"/>
      <c r="F298" s="92"/>
      <c r="G298" s="93" t="s">
        <v>19</v>
      </c>
      <c r="H298" s="174" t="s">
        <v>12</v>
      </c>
      <c r="I298" s="187"/>
      <c r="J298" s="187"/>
      <c r="K298" s="223"/>
      <c r="L298" s="49">
        <f ca="1">IFERROR(__xludf.DUMMYFUNCTION("IMPORTRANGE(""https://docs.google.com/spreadsheets/d/1Yj_ptqi66GCucihVvJfMjLAmec39IyEx_6qawtMGysU/edit?usp=sharing"",""สบก!CR31"")"),0)</f>
        <v>0</v>
      </c>
      <c r="M298" s="49"/>
      <c r="N298" s="49">
        <f ca="1">IFERROR(__xludf.DUMMYFUNCTION("IMPORTRANGE(""https://docs.google.com/spreadsheets/d/1Yj_ptqi66GCucihVvJfMjLAmec39IyEx_6qawtMGysU/edit?usp=sharing"",""สบก!CV31"")"),0)</f>
        <v>0</v>
      </c>
      <c r="O298" s="49">
        <f ca="1">IF(L298&gt;0,N298*100/L298,0)</f>
        <v>0</v>
      </c>
      <c r="P298" s="49"/>
    </row>
    <row r="299" spans="1:16" ht="21.75" customHeight="1" x14ac:dyDescent="0.3">
      <c r="A299" s="175"/>
      <c r="B299" s="176"/>
      <c r="C299" s="157" t="s">
        <v>16</v>
      </c>
      <c r="D299" s="177" t="s">
        <v>44</v>
      </c>
      <c r="E299" s="178"/>
      <c r="F299" s="178"/>
      <c r="G299" s="179"/>
      <c r="H299" s="180"/>
      <c r="I299" s="187"/>
      <c r="J299" s="187"/>
      <c r="K299" s="223"/>
      <c r="L299" s="168"/>
      <c r="M299" s="168"/>
      <c r="N299" s="168"/>
      <c r="O299" s="181"/>
      <c r="P299" s="181"/>
    </row>
    <row r="300" spans="1:16" ht="21.75" customHeight="1" x14ac:dyDescent="0.3">
      <c r="A300" s="175"/>
      <c r="B300" s="176"/>
      <c r="C300" s="176"/>
      <c r="D300" s="182">
        <v>1</v>
      </c>
      <c r="E300" s="183" t="s">
        <v>45</v>
      </c>
      <c r="F300" s="184"/>
      <c r="G300" s="185"/>
      <c r="H300" s="186"/>
      <c r="I300" s="187"/>
      <c r="J300" s="187">
        <f ca="1">IFERROR(__xludf.DUMMYFUNCTION("IMPORTRANGE(""https://docs.google.com/spreadsheets/d/11923uPwbBZFjjGgGUA6NLw09EwE0CqkOc4q9oUmW1yo/edit?usp=sharing"",""แม่ฮ่องสอน!J205"")"),0)</f>
        <v>0</v>
      </c>
      <c r="K300" s="223"/>
      <c r="L300" s="168"/>
      <c r="M300" s="168"/>
      <c r="N300" s="168"/>
      <c r="O300" s="181"/>
      <c r="P300" s="181"/>
    </row>
    <row r="301" spans="1:16" ht="21.75" customHeight="1" x14ac:dyDescent="0.3">
      <c r="A301" s="175"/>
      <c r="B301" s="176"/>
      <c r="C301" s="176"/>
      <c r="D301" s="189">
        <v>2</v>
      </c>
      <c r="E301" s="190" t="s">
        <v>46</v>
      </c>
      <c r="F301" s="191"/>
      <c r="G301" s="192"/>
      <c r="H301" s="186"/>
      <c r="I301" s="187"/>
      <c r="J301" s="187">
        <f ca="1">IFERROR(__xludf.DUMMYFUNCTION("IMPORTRANGE(""https://docs.google.com/spreadsheets/d/11923uPwbBZFjjGgGUA6NLw09EwE0CqkOc4q9oUmW1yo/edit?usp=sharing"",""แม่ฮ่องสอน!J206"")"),0)</f>
        <v>0</v>
      </c>
      <c r="K301" s="223"/>
      <c r="L301" s="168" t="s">
        <v>40</v>
      </c>
      <c r="M301" s="168"/>
      <c r="N301" s="168" t="s">
        <v>40</v>
      </c>
      <c r="O301" s="181"/>
      <c r="P301" s="181"/>
    </row>
    <row r="302" spans="1:16" ht="21.75" customHeight="1" x14ac:dyDescent="0.3">
      <c r="A302" s="175"/>
      <c r="B302" s="176"/>
      <c r="C302" s="176"/>
      <c r="D302" s="193"/>
      <c r="E302" s="194" t="s">
        <v>47</v>
      </c>
      <c r="F302" s="195"/>
      <c r="G302" s="196"/>
      <c r="H302" s="186"/>
      <c r="I302" s="187"/>
      <c r="J302" s="187">
        <f ca="1">IFERROR(__xludf.DUMMYFUNCTION("IMPORTRANGE(""https://docs.google.com/spreadsheets/d/11923uPwbBZFjjGgGUA6NLw09EwE0CqkOc4q9oUmW1yo/edit?usp=sharing"",""แม่ฮ่องสอน!J207"")"),0)</f>
        <v>0</v>
      </c>
      <c r="K302" s="223"/>
      <c r="L302" s="168"/>
      <c r="M302" s="168"/>
      <c r="N302" s="168"/>
      <c r="O302" s="181"/>
      <c r="P302" s="181"/>
    </row>
    <row r="303" spans="1:16" ht="21.75" customHeight="1" x14ac:dyDescent="0.3">
      <c r="A303" s="175"/>
      <c r="B303" s="176"/>
      <c r="C303" s="176"/>
      <c r="D303" s="193"/>
      <c r="E303" s="194" t="s">
        <v>48</v>
      </c>
      <c r="F303" s="195"/>
      <c r="G303" s="196"/>
      <c r="H303" s="186"/>
      <c r="I303" s="187"/>
      <c r="J303" s="187">
        <f ca="1">IFERROR(__xludf.DUMMYFUNCTION("IMPORTRANGE(""https://docs.google.com/spreadsheets/d/11923uPwbBZFjjGgGUA6NLw09EwE0CqkOc4q9oUmW1yo/edit?usp=sharing"",""แม่ฮ่องสอน!J208"")"),0)</f>
        <v>0</v>
      </c>
      <c r="K303" s="223"/>
      <c r="L303" s="168"/>
      <c r="M303" s="168"/>
      <c r="N303" s="168"/>
      <c r="O303" s="181"/>
      <c r="P303" s="181"/>
    </row>
    <row r="304" spans="1:16" ht="21.75" customHeight="1" x14ac:dyDescent="0.3">
      <c r="A304" s="175"/>
      <c r="B304" s="176"/>
      <c r="C304" s="176"/>
      <c r="D304" s="193"/>
      <c r="E304" s="198"/>
      <c r="F304" s="194" t="s">
        <v>113</v>
      </c>
      <c r="G304" s="196"/>
      <c r="H304" s="180" t="s">
        <v>37</v>
      </c>
      <c r="I304" s="187">
        <f ca="1">IFERROR(__xludf.DUMMYFUNCTION("IMPORTRANGE(""https://docs.google.com/spreadsheets/d/11923uPwbBZFjjGgGUA6NLw09EwE0CqkOc4q9oUmW1yo/edit?usp=sharing"",""แม่ฮ่องสอน!I209"")"),0)</f>
        <v>0</v>
      </c>
      <c r="J304" s="203">
        <f ca="1">IFERROR(__xludf.DUMMYFUNCTION("IMPORTRANGE(""https://docs.google.com/spreadsheets/d/11923uPwbBZFjjGgGUA6NLw09EwE0CqkOc4q9oUmW1yo/edit?usp=sharing"",""แม่ฮ่องสอน!J209"")"),0)</f>
        <v>0</v>
      </c>
      <c r="K304" s="223">
        <f ca="1">IF(I304&gt;0,J304*100/I304,0)</f>
        <v>0</v>
      </c>
      <c r="L304" s="168"/>
      <c r="M304" s="168"/>
      <c r="N304" s="168"/>
      <c r="O304" s="181"/>
      <c r="P304" s="181"/>
    </row>
    <row r="305" spans="1:16" ht="21.75" customHeight="1" x14ac:dyDescent="0.3">
      <c r="A305" s="175"/>
      <c r="B305" s="176"/>
      <c r="C305" s="176"/>
      <c r="D305" s="193"/>
      <c r="E305" s="198"/>
      <c r="F305" s="194" t="s">
        <v>114</v>
      </c>
      <c r="G305" s="196"/>
      <c r="H305" s="180"/>
      <c r="I305" s="187"/>
      <c r="J305" s="187"/>
      <c r="K305" s="223"/>
      <c r="L305" s="168"/>
      <c r="M305" s="168"/>
      <c r="N305" s="168"/>
      <c r="O305" s="181"/>
      <c r="P305" s="181"/>
    </row>
    <row r="306" spans="1:16" ht="21.75" customHeight="1" x14ac:dyDescent="0.3">
      <c r="A306" s="175"/>
      <c r="B306" s="176"/>
      <c r="C306" s="176"/>
      <c r="D306" s="193"/>
      <c r="E306" s="198"/>
      <c r="F306" s="195" t="s">
        <v>53</v>
      </c>
      <c r="G306" s="196"/>
      <c r="H306" s="180" t="s">
        <v>37</v>
      </c>
      <c r="I306" s="187">
        <f ca="1">IFERROR(__xludf.DUMMYFUNCTION("IMPORTRANGE(""https://docs.google.com/spreadsheets/d/11923uPwbBZFjjGgGUA6NLw09EwE0CqkOc4q9oUmW1yo/edit?usp=sharing"",""แม่ฮ่องสอน!I211"")"),0)</f>
        <v>0</v>
      </c>
      <c r="J306" s="203">
        <f ca="1">IFERROR(__xludf.DUMMYFUNCTION("IMPORTRANGE(""https://docs.google.com/spreadsheets/d/11923uPwbBZFjjGgGUA6NLw09EwE0CqkOc4q9oUmW1yo/edit?usp=sharing"",""แม่ฮ่องสอน!J211"")"),0)</f>
        <v>0</v>
      </c>
      <c r="K306" s="223">
        <f ca="1">IF(I306&gt;0,J306*100/I306,0)</f>
        <v>0</v>
      </c>
      <c r="L306" s="168"/>
      <c r="M306" s="168"/>
      <c r="N306" s="168"/>
      <c r="O306" s="181"/>
      <c r="P306" s="181"/>
    </row>
    <row r="307" spans="1:16" ht="21.75" customHeight="1" x14ac:dyDescent="0.3">
      <c r="A307" s="175"/>
      <c r="B307" s="176"/>
      <c r="C307" s="176"/>
      <c r="D307" s="193"/>
      <c r="E307" s="194" t="s">
        <v>54</v>
      </c>
      <c r="F307" s="195"/>
      <c r="G307" s="196"/>
      <c r="H307" s="186"/>
      <c r="I307" s="187"/>
      <c r="J307" s="187">
        <f ca="1">IFERROR(__xludf.DUMMYFUNCTION("IMPORTRANGE(""https://docs.google.com/spreadsheets/d/11923uPwbBZFjjGgGUA6NLw09EwE0CqkOc4q9oUmW1yo/edit?usp=sharing"",""แม่ฮ่องสอน!J212"")"),0)</f>
        <v>0</v>
      </c>
      <c r="K307" s="223"/>
      <c r="L307" s="168"/>
      <c r="M307" s="168"/>
      <c r="N307" s="168"/>
      <c r="O307" s="181"/>
      <c r="P307" s="181"/>
    </row>
    <row r="308" spans="1:16" ht="21.75" customHeight="1" x14ac:dyDescent="0.3">
      <c r="A308" s="175"/>
      <c r="B308" s="176"/>
      <c r="C308" s="176"/>
      <c r="D308" s="205">
        <v>3</v>
      </c>
      <c r="E308" s="206" t="s">
        <v>55</v>
      </c>
      <c r="F308" s="207"/>
      <c r="G308" s="208"/>
      <c r="H308" s="186"/>
      <c r="I308" s="187"/>
      <c r="J308" s="324">
        <f ca="1">IFERROR(__xludf.DUMMYFUNCTION("IMPORTRANGE(""https://docs.google.com/spreadsheets/d/11923uPwbBZFjjGgGUA6NLw09EwE0CqkOc4q9oUmW1yo/edit?usp=sharing"",""แม่ฮ่องสอน!J213"")"),0)</f>
        <v>0</v>
      </c>
      <c r="K308" s="223"/>
      <c r="L308" s="168"/>
      <c r="M308" s="168"/>
      <c r="N308" s="168"/>
      <c r="O308" s="181"/>
      <c r="P308" s="181"/>
    </row>
    <row r="309" spans="1:16" ht="21.75" customHeight="1" x14ac:dyDescent="0.3">
      <c r="A309" s="325"/>
      <c r="B309" s="326" t="s">
        <v>115</v>
      </c>
      <c r="C309" s="327"/>
      <c r="D309" s="328"/>
      <c r="E309" s="326"/>
      <c r="F309" s="326"/>
      <c r="G309" s="329"/>
      <c r="H309" s="330" t="s">
        <v>116</v>
      </c>
      <c r="I309" s="331">
        <f ca="1">IFERROR(__xludf.DUMMYFUNCTION("IMPORTRANGE(""https://docs.google.com/spreadsheets/d/11923uPwbBZFjjGgGUA6NLw09EwE0CqkOc4q9oUmW1yo/edit?usp=sharing"",""แม่ฮ่องสอน!I214"")"),0)</f>
        <v>0</v>
      </c>
      <c r="J309" s="331">
        <f ca="1">IFERROR(__xludf.DUMMYFUNCTION("IMPORTRANGE(""https://docs.google.com/spreadsheets/d/11923uPwbBZFjjGgGUA6NLw09EwE0CqkOc4q9oUmW1yo/edit?usp=sharing"",""แม่ฮ่องสอน!J214"")"),0)</f>
        <v>0</v>
      </c>
      <c r="K309" s="332">
        <f ca="1">IF(I309&gt;0,J309*100/I309,0)</f>
        <v>0</v>
      </c>
      <c r="L309" s="333"/>
      <c r="M309" s="333"/>
      <c r="N309" s="333"/>
      <c r="O309" s="332"/>
      <c r="P309" s="332"/>
    </row>
    <row r="310" spans="1:16" ht="21.75" customHeight="1" x14ac:dyDescent="0.45">
      <c r="A310" s="145"/>
      <c r="B310" s="146"/>
      <c r="C310" s="147" t="s">
        <v>16</v>
      </c>
      <c r="D310" s="537" t="s">
        <v>17</v>
      </c>
      <c r="E310" s="528"/>
      <c r="F310" s="528"/>
      <c r="G310" s="528"/>
      <c r="H310" s="148" t="s">
        <v>12</v>
      </c>
      <c r="I310" s="334"/>
      <c r="J310" s="334"/>
      <c r="K310" s="335"/>
      <c r="L310" s="151">
        <f t="shared" ref="L310:N310" ca="1" si="93">L311+L312</f>
        <v>0</v>
      </c>
      <c r="M310" s="151">
        <f t="shared" ca="1" si="93"/>
        <v>0</v>
      </c>
      <c r="N310" s="151">
        <f t="shared" ca="1" si="93"/>
        <v>0</v>
      </c>
      <c r="O310" s="150">
        <f t="shared" ref="O310:O312" ca="1" si="94">IF(L310&gt;0,N310*100/L310,0)</f>
        <v>0</v>
      </c>
      <c r="P310" s="150">
        <f t="shared" ref="P310:P312" ca="1" si="95">IF(M310&gt;0,N310*100/M310,0)</f>
        <v>0</v>
      </c>
    </row>
    <row r="311" spans="1:16" ht="21.75" customHeight="1" x14ac:dyDescent="0.45">
      <c r="A311" s="152"/>
      <c r="B311" s="32"/>
      <c r="C311" s="32"/>
      <c r="D311" s="32"/>
      <c r="E311" s="32"/>
      <c r="F311" s="32"/>
      <c r="G311" s="33" t="s">
        <v>18</v>
      </c>
      <c r="H311" s="153" t="s">
        <v>12</v>
      </c>
      <c r="I311" s="334"/>
      <c r="J311" s="334"/>
      <c r="K311" s="335"/>
      <c r="L311" s="87">
        <f t="shared" ref="L311:N311" si="96">L313+L317</f>
        <v>0</v>
      </c>
      <c r="M311" s="87">
        <f t="shared" si="96"/>
        <v>0</v>
      </c>
      <c r="N311" s="87">
        <f t="shared" si="96"/>
        <v>0</v>
      </c>
      <c r="O311" s="155">
        <f t="shared" si="94"/>
        <v>0</v>
      </c>
      <c r="P311" s="155">
        <f t="shared" si="95"/>
        <v>0</v>
      </c>
    </row>
    <row r="312" spans="1:16" ht="21.75" customHeight="1" x14ac:dyDescent="0.45">
      <c r="A312" s="152"/>
      <c r="B312" s="32"/>
      <c r="C312" s="32"/>
      <c r="D312" s="32"/>
      <c r="E312" s="32"/>
      <c r="F312" s="32"/>
      <c r="G312" s="33" t="s">
        <v>19</v>
      </c>
      <c r="H312" s="153" t="s">
        <v>12</v>
      </c>
      <c r="I312" s="334"/>
      <c r="J312" s="334"/>
      <c r="K312" s="335"/>
      <c r="L312" s="87">
        <f t="shared" ref="L312:N312" ca="1" si="97">L314+L318</f>
        <v>0</v>
      </c>
      <c r="M312" s="87">
        <f t="shared" ca="1" si="97"/>
        <v>0</v>
      </c>
      <c r="N312" s="87">
        <f t="shared" ca="1" si="97"/>
        <v>0</v>
      </c>
      <c r="O312" s="155">
        <f t="shared" ca="1" si="94"/>
        <v>0</v>
      </c>
      <c r="P312" s="155">
        <f t="shared" ca="1" si="95"/>
        <v>0</v>
      </c>
    </row>
    <row r="313" spans="1:16" ht="21.75" customHeight="1" x14ac:dyDescent="0.3">
      <c r="A313" s="156"/>
      <c r="B313" s="157"/>
      <c r="C313" s="157" t="s">
        <v>16</v>
      </c>
      <c r="D313" s="158" t="s">
        <v>38</v>
      </c>
      <c r="E313" s="159"/>
      <c r="F313" s="159"/>
      <c r="G313" s="160" t="s">
        <v>39</v>
      </c>
      <c r="H313" s="161" t="s">
        <v>12</v>
      </c>
      <c r="I313" s="162" t="s">
        <v>40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3">
      <c r="A314" s="156"/>
      <c r="B314" s="157"/>
      <c r="C314" s="157"/>
      <c r="D314" s="166"/>
      <c r="E314" s="159"/>
      <c r="F314" s="159" t="s">
        <v>40</v>
      </c>
      <c r="G314" s="160" t="s">
        <v>41</v>
      </c>
      <c r="H314" s="161" t="s">
        <v>12</v>
      </c>
      <c r="I314" s="162"/>
      <c r="J314" s="162"/>
      <c r="K314" s="163"/>
      <c r="L314" s="167">
        <f ca="1">L315+L316</f>
        <v>0</v>
      </c>
      <c r="M314" s="167">
        <f ca="1">IFERROR(__xludf.DUMMYFUNCTION("IMPORTRANGE(""https://docs.google.com/spreadsheets/d/1Yj_ptqi66GCucihVvJfMjLAmec39IyEx_6qawtMGysU/edit?usp=sharing"",""สบก!DC31"")"),0)</f>
        <v>0</v>
      </c>
      <c r="N314" s="168">
        <f ca="1">IFERROR(__xludf.DUMMYFUNCTION("IMPORTRANGE(""https://docs.google.com/spreadsheets/d/1Yj_ptqi66GCucihVvJfMjLAmec39IyEx_6qawtMGysU/edit?usp=sharing"",""สบก!DD31"")"),0)</f>
        <v>0</v>
      </c>
      <c r="O314" s="168">
        <f ca="1">IF(L314&gt;0,N314*100/L314,0)</f>
        <v>0</v>
      </c>
      <c r="P314" s="168">
        <f ca="1">IF(M314&gt;0,N314*100/M314,0)</f>
        <v>0</v>
      </c>
    </row>
    <row r="315" spans="1:16" ht="21.75" customHeight="1" x14ac:dyDescent="0.3">
      <c r="A315" s="156"/>
      <c r="B315" s="157"/>
      <c r="C315" s="157"/>
      <c r="D315" s="166"/>
      <c r="E315" s="159"/>
      <c r="F315" s="159"/>
      <c r="G315" s="169" t="s">
        <v>42</v>
      </c>
      <c r="H315" s="161" t="s">
        <v>12</v>
      </c>
      <c r="I315" s="162"/>
      <c r="J315" s="162"/>
      <c r="K315" s="163"/>
      <c r="L315" s="167">
        <f ca="1">IFERROR(__xludf.DUMMYFUNCTION("IMPORTRANGE(""https://docs.google.com/spreadsheets/d/1Yj_ptqi66GCucihVvJfMjLAmec39IyEx_6qawtMGysU/edit?usp=sharing"",""สบก!CY31"")"),0)</f>
        <v>0</v>
      </c>
      <c r="M315" s="167"/>
      <c r="N315" s="167"/>
      <c r="O315" s="168"/>
      <c r="P315" s="168"/>
    </row>
    <row r="316" spans="1:16" ht="21.75" customHeight="1" x14ac:dyDescent="0.3">
      <c r="A316" s="156"/>
      <c r="B316" s="157"/>
      <c r="C316" s="157"/>
      <c r="D316" s="166"/>
      <c r="E316" s="159"/>
      <c r="F316" s="159"/>
      <c r="G316" s="169" t="s">
        <v>43</v>
      </c>
      <c r="H316" s="161" t="s">
        <v>12</v>
      </c>
      <c r="I316" s="162"/>
      <c r="J316" s="187"/>
      <c r="K316" s="223"/>
      <c r="L316" s="167">
        <f ca="1">IFERROR(__xludf.DUMMYFUNCTION("IMPORTRANGE(""https://docs.google.com/spreadsheets/d/1Yj_ptqi66GCucihVvJfMjLAmec39IyEx_6qawtMGysU/edit?usp=sharing"",""สบก!CZ31"")"),0)</f>
        <v>0</v>
      </c>
      <c r="M316" s="167"/>
      <c r="N316" s="167"/>
      <c r="O316" s="168"/>
      <c r="P316" s="168"/>
    </row>
    <row r="317" spans="1:16" ht="21.75" customHeight="1" x14ac:dyDescent="0.45">
      <c r="A317" s="170"/>
      <c r="B317" s="80"/>
      <c r="C317" s="81" t="s">
        <v>16</v>
      </c>
      <c r="D317" s="534" t="s">
        <v>23</v>
      </c>
      <c r="E317" s="530"/>
      <c r="F317" s="88"/>
      <c r="G317" s="82" t="s">
        <v>18</v>
      </c>
      <c r="H317" s="171" t="s">
        <v>12</v>
      </c>
      <c r="I317" s="162"/>
      <c r="J317" s="187"/>
      <c r="K317" s="223"/>
      <c r="L317" s="41">
        <v>0</v>
      </c>
      <c r="M317" s="41"/>
      <c r="N317" s="41"/>
      <c r="O317" s="41"/>
      <c r="P317" s="41"/>
    </row>
    <row r="318" spans="1:16" ht="21.75" customHeight="1" x14ac:dyDescent="0.45">
      <c r="A318" s="172"/>
      <c r="B318" s="91"/>
      <c r="C318" s="91"/>
      <c r="D318" s="173"/>
      <c r="E318" s="92"/>
      <c r="F318" s="92"/>
      <c r="G318" s="93" t="s">
        <v>19</v>
      </c>
      <c r="H318" s="174" t="s">
        <v>12</v>
      </c>
      <c r="I318" s="162"/>
      <c r="J318" s="187"/>
      <c r="K318" s="223"/>
      <c r="L318" s="49">
        <f ca="1">IFERROR(__xludf.DUMMYFUNCTION("IMPORTRANGE(""https://docs.google.com/spreadsheets/d/1Yj_ptqi66GCucihVvJfMjLAmec39IyEx_6qawtMGysU/edit?usp=sharing"",""สบก!DA31"")"),0)</f>
        <v>0</v>
      </c>
      <c r="M318" s="49"/>
      <c r="N318" s="49">
        <f ca="1">IFERROR(__xludf.DUMMYFUNCTION("IMPORTRANGE(""https://docs.google.com/spreadsheets/d/1Yj_ptqi66GCucihVvJfMjLAmec39IyEx_6qawtMGysU/edit?usp=sharing"",""สบก!DE31"")"),0)</f>
        <v>0</v>
      </c>
      <c r="O318" s="49">
        <f ca="1">IF(L318&gt;0,N318*100/L318,0)</f>
        <v>0</v>
      </c>
      <c r="P318" s="49"/>
    </row>
    <row r="319" spans="1:16" ht="21.75" customHeight="1" x14ac:dyDescent="0.3">
      <c r="A319" s="175"/>
      <c r="B319" s="176"/>
      <c r="C319" s="157" t="s">
        <v>16</v>
      </c>
      <c r="D319" s="177" t="s">
        <v>44</v>
      </c>
      <c r="E319" s="178"/>
      <c r="F319" s="178"/>
      <c r="G319" s="179"/>
      <c r="H319" s="180"/>
      <c r="I319" s="162"/>
      <c r="J319" s="187"/>
      <c r="K319" s="223"/>
      <c r="L319" s="168"/>
      <c r="M319" s="168"/>
      <c r="N319" s="168"/>
      <c r="O319" s="181"/>
      <c r="P319" s="181"/>
    </row>
    <row r="320" spans="1:16" ht="21.75" customHeight="1" x14ac:dyDescent="0.3">
      <c r="A320" s="175"/>
      <c r="B320" s="176"/>
      <c r="C320" s="176"/>
      <c r="D320" s="182">
        <v>1</v>
      </c>
      <c r="E320" s="183" t="s">
        <v>45</v>
      </c>
      <c r="F320" s="184"/>
      <c r="G320" s="185"/>
      <c r="H320" s="186"/>
      <c r="I320" s="187"/>
      <c r="J320" s="187">
        <f ca="1">IFERROR(__xludf.DUMMYFUNCTION("IMPORTRANGE(""https://docs.google.com/spreadsheets/d/11923uPwbBZFjjGgGUA6NLw09EwE0CqkOc4q9oUmW1yo/edit?usp=sharing"",""แม่ฮ่องสอน!J220"")"),0)</f>
        <v>0</v>
      </c>
      <c r="K320" s="223"/>
      <c r="L320" s="168"/>
      <c r="M320" s="168"/>
      <c r="N320" s="168"/>
      <c r="O320" s="181"/>
      <c r="P320" s="181"/>
    </row>
    <row r="321" spans="1:16" ht="21.75" customHeight="1" x14ac:dyDescent="0.3">
      <c r="A321" s="175"/>
      <c r="B321" s="176"/>
      <c r="C321" s="176"/>
      <c r="D321" s="189">
        <v>2</v>
      </c>
      <c r="E321" s="190" t="s">
        <v>46</v>
      </c>
      <c r="F321" s="191"/>
      <c r="G321" s="192"/>
      <c r="H321" s="186"/>
      <c r="I321" s="187"/>
      <c r="J321" s="187">
        <f ca="1">IFERROR(__xludf.DUMMYFUNCTION("IMPORTRANGE(""https://docs.google.com/spreadsheets/d/11923uPwbBZFjjGgGUA6NLw09EwE0CqkOc4q9oUmW1yo/edit?usp=sharing"",""แม่ฮ่องสอน!J221"")"),0)</f>
        <v>0</v>
      </c>
      <c r="K321" s="223"/>
      <c r="L321" s="168" t="s">
        <v>40</v>
      </c>
      <c r="M321" s="168"/>
      <c r="N321" s="168" t="s">
        <v>40</v>
      </c>
      <c r="O321" s="181"/>
      <c r="P321" s="181"/>
    </row>
    <row r="322" spans="1:16" ht="21.75" customHeight="1" x14ac:dyDescent="0.3">
      <c r="A322" s="175"/>
      <c r="B322" s="176"/>
      <c r="C322" s="176"/>
      <c r="D322" s="193"/>
      <c r="E322" s="194" t="s">
        <v>47</v>
      </c>
      <c r="F322" s="195"/>
      <c r="G322" s="196"/>
      <c r="H322" s="186"/>
      <c r="I322" s="187"/>
      <c r="J322" s="187">
        <f ca="1">IFERROR(__xludf.DUMMYFUNCTION("IMPORTRANGE(""https://docs.google.com/spreadsheets/d/11923uPwbBZFjjGgGUA6NLw09EwE0CqkOc4q9oUmW1yo/edit?usp=sharing"",""แม่ฮ่องสอน!J222"")"),0)</f>
        <v>0</v>
      </c>
      <c r="K322" s="223"/>
      <c r="L322" s="168"/>
      <c r="M322" s="168"/>
      <c r="N322" s="168"/>
      <c r="O322" s="181"/>
      <c r="P322" s="181"/>
    </row>
    <row r="323" spans="1:16" ht="21.75" customHeight="1" x14ac:dyDescent="0.3">
      <c r="A323" s="175"/>
      <c r="B323" s="176"/>
      <c r="C323" s="176"/>
      <c r="D323" s="193"/>
      <c r="E323" s="194" t="s">
        <v>48</v>
      </c>
      <c r="F323" s="195"/>
      <c r="G323" s="196"/>
      <c r="H323" s="186"/>
      <c r="I323" s="187"/>
      <c r="J323" s="187">
        <f ca="1">IFERROR(__xludf.DUMMYFUNCTION("IMPORTRANGE(""https://docs.google.com/spreadsheets/d/11923uPwbBZFjjGgGUA6NLw09EwE0CqkOc4q9oUmW1yo/edit?usp=sharing"",""แม่ฮ่องสอน!J223"")"),0)</f>
        <v>0</v>
      </c>
      <c r="K323" s="223"/>
      <c r="L323" s="168"/>
      <c r="M323" s="168"/>
      <c r="N323" s="168"/>
      <c r="O323" s="181"/>
      <c r="P323" s="181"/>
    </row>
    <row r="324" spans="1:16" ht="21.75" customHeight="1" x14ac:dyDescent="0.3">
      <c r="A324" s="175"/>
      <c r="B324" s="176"/>
      <c r="C324" s="176"/>
      <c r="D324" s="193"/>
      <c r="E324" s="198"/>
      <c r="F324" s="194" t="s">
        <v>117</v>
      </c>
      <c r="G324" s="196"/>
      <c r="H324" s="186" t="s">
        <v>116</v>
      </c>
      <c r="I324" s="187">
        <f ca="1">IFERROR(__xludf.DUMMYFUNCTION("IMPORTRANGE(""https://docs.google.com/spreadsheets/d/11923uPwbBZFjjGgGUA6NLw09EwE0CqkOc4q9oUmW1yo/edit?usp=sharing"",""แม่ฮ่องสอน!I224"")"),0)</f>
        <v>0</v>
      </c>
      <c r="J324" s="203">
        <f ca="1">IFERROR(__xludf.DUMMYFUNCTION("IMPORTRANGE(""https://docs.google.com/spreadsheets/d/11923uPwbBZFjjGgGUA6NLw09EwE0CqkOc4q9oUmW1yo/edit?usp=sharing"",""แม่ฮ่องสอน!J224"")"),0)</f>
        <v>0</v>
      </c>
      <c r="K324" s="223">
        <f ca="1">IF(I324&gt;0,J324*100/I324,0)</f>
        <v>0</v>
      </c>
      <c r="L324" s="168"/>
      <c r="M324" s="168"/>
      <c r="N324" s="168"/>
      <c r="O324" s="181"/>
      <c r="P324" s="181"/>
    </row>
    <row r="325" spans="1:16" ht="21.75" customHeight="1" x14ac:dyDescent="0.3">
      <c r="A325" s="175"/>
      <c r="B325" s="176"/>
      <c r="C325" s="176"/>
      <c r="D325" s="193"/>
      <c r="E325" s="194" t="s">
        <v>54</v>
      </c>
      <c r="F325" s="195"/>
      <c r="G325" s="196"/>
      <c r="H325" s="186"/>
      <c r="I325" s="187"/>
      <c r="J325" s="187">
        <f ca="1">IFERROR(__xludf.DUMMYFUNCTION("IMPORTRANGE(""https://docs.google.com/spreadsheets/d/11923uPwbBZFjjGgGUA6NLw09EwE0CqkOc4q9oUmW1yo/edit?usp=sharing"",""แม่ฮ่องสอน!J225"")"),0)</f>
        <v>0</v>
      </c>
      <c r="K325" s="223"/>
      <c r="L325" s="168"/>
      <c r="M325" s="168"/>
      <c r="N325" s="168"/>
      <c r="O325" s="181"/>
      <c r="P325" s="181"/>
    </row>
    <row r="326" spans="1:16" ht="21.75" customHeight="1" x14ac:dyDescent="0.3">
      <c r="A326" s="175"/>
      <c r="B326" s="176"/>
      <c r="C326" s="176"/>
      <c r="D326" s="205">
        <v>3</v>
      </c>
      <c r="E326" s="206" t="s">
        <v>55</v>
      </c>
      <c r="F326" s="207"/>
      <c r="G326" s="208"/>
      <c r="H326" s="186"/>
      <c r="I326" s="187"/>
      <c r="J326" s="226">
        <f ca="1">IFERROR(__xludf.DUMMYFUNCTION("IMPORTRANGE(""https://docs.google.com/spreadsheets/d/11923uPwbBZFjjGgGUA6NLw09EwE0CqkOc4q9oUmW1yo/edit?usp=sharing"",""แม่ฮ่องสอน!J226"")"),0)</f>
        <v>0</v>
      </c>
      <c r="K326" s="223"/>
      <c r="L326" s="168"/>
      <c r="M326" s="168"/>
      <c r="N326" s="168"/>
      <c r="O326" s="181"/>
      <c r="P326" s="181"/>
    </row>
    <row r="327" spans="1:16" ht="21.75" customHeight="1" x14ac:dyDescent="0.3">
      <c r="A327" s="302" t="s">
        <v>118</v>
      </c>
      <c r="B327" s="303"/>
      <c r="C327" s="303"/>
      <c r="D327" s="304"/>
      <c r="E327" s="303"/>
      <c r="F327" s="303"/>
      <c r="G327" s="317"/>
      <c r="H327" s="306"/>
      <c r="I327" s="307"/>
      <c r="J327" s="307"/>
      <c r="K327" s="308"/>
      <c r="L327" s="308"/>
      <c r="M327" s="308"/>
      <c r="N327" s="308"/>
      <c r="O327" s="309"/>
      <c r="P327" s="309"/>
    </row>
    <row r="328" spans="1:16" ht="21.75" customHeight="1" x14ac:dyDescent="0.3">
      <c r="A328" s="310"/>
      <c r="B328" s="336" t="s">
        <v>119</v>
      </c>
      <c r="C328" s="323"/>
      <c r="D328" s="311"/>
      <c r="E328" s="311"/>
      <c r="F328" s="311"/>
      <c r="G328" s="312"/>
      <c r="H328" s="313" t="s">
        <v>37</v>
      </c>
      <c r="I328" s="337">
        <f ca="1">IFERROR(__xludf.DUMMYFUNCTION("IMPORTRANGE(""https://docs.google.com/spreadsheets/d/11923uPwbBZFjjGgGUA6NLw09EwE0CqkOc4q9oUmW1yo/edit?usp=sharing"",""แม่ฮ่องสอน!I228"")"),70)</f>
        <v>70</v>
      </c>
      <c r="J328" s="337">
        <f ca="1">IFERROR(__xludf.DUMMYFUNCTION("IMPORTRANGE(""https://docs.google.com/spreadsheets/d/11923uPwbBZFjjGgGUA6NLw09EwE0CqkOc4q9oUmW1yo/edit?usp=sharing"",""แม่ฮ่องสอน!J228"")"),31)</f>
        <v>31</v>
      </c>
      <c r="K328" s="315">
        <f ca="1">IF(I328&gt;0,J328*100/I328,0)</f>
        <v>44.285714285714285</v>
      </c>
      <c r="L328" s="316"/>
      <c r="M328" s="316"/>
      <c r="N328" s="316"/>
      <c r="O328" s="315"/>
      <c r="P328" s="315"/>
    </row>
    <row r="329" spans="1:16" ht="21.75" customHeight="1" x14ac:dyDescent="0.45">
      <c r="A329" s="145"/>
      <c r="B329" s="146"/>
      <c r="C329" s="147" t="s">
        <v>16</v>
      </c>
      <c r="D329" s="537" t="s">
        <v>17</v>
      </c>
      <c r="E329" s="528"/>
      <c r="F329" s="528"/>
      <c r="G329" s="528"/>
      <c r="H329" s="148" t="s">
        <v>12</v>
      </c>
      <c r="I329" s="162"/>
      <c r="J329" s="162"/>
      <c r="K329" s="163"/>
      <c r="L329" s="151">
        <f t="shared" ref="L329:N329" ca="1" si="98">L330+L331</f>
        <v>873740</v>
      </c>
      <c r="M329" s="151">
        <f t="shared" ca="1" si="98"/>
        <v>465120</v>
      </c>
      <c r="N329" s="151">
        <f t="shared" ca="1" si="98"/>
        <v>373435</v>
      </c>
      <c r="O329" s="150">
        <f t="shared" ref="O329:O331" ca="1" si="99">IF(L329&gt;0,N329*100/L329,0)</f>
        <v>42.739831071027993</v>
      </c>
      <c r="P329" s="150">
        <f t="shared" ref="P329:P331" ca="1" si="100">IF(M329&gt;0,N329*100/M329,0)</f>
        <v>80.287882696938425</v>
      </c>
    </row>
    <row r="330" spans="1:16" ht="21.75" customHeight="1" x14ac:dyDescent="0.45">
      <c r="A330" s="152"/>
      <c r="B330" s="32"/>
      <c r="C330" s="32"/>
      <c r="D330" s="32"/>
      <c r="E330" s="32"/>
      <c r="F330" s="32"/>
      <c r="G330" s="33" t="s">
        <v>18</v>
      </c>
      <c r="H330" s="153" t="s">
        <v>12</v>
      </c>
      <c r="I330" s="162"/>
      <c r="J330" s="162"/>
      <c r="K330" s="163"/>
      <c r="L330" s="87">
        <f t="shared" ref="L330:N330" si="101">L332+L336</f>
        <v>0</v>
      </c>
      <c r="M330" s="87">
        <f t="shared" si="101"/>
        <v>0</v>
      </c>
      <c r="N330" s="87">
        <f t="shared" si="101"/>
        <v>0</v>
      </c>
      <c r="O330" s="155">
        <f t="shared" si="99"/>
        <v>0</v>
      </c>
      <c r="P330" s="155">
        <f t="shared" si="100"/>
        <v>0</v>
      </c>
    </row>
    <row r="331" spans="1:16" ht="21.75" customHeight="1" x14ac:dyDescent="0.45">
      <c r="A331" s="152"/>
      <c r="B331" s="32"/>
      <c r="C331" s="32"/>
      <c r="D331" s="32"/>
      <c r="E331" s="32"/>
      <c r="F331" s="32"/>
      <c r="G331" s="33" t="s">
        <v>19</v>
      </c>
      <c r="H331" s="153" t="s">
        <v>12</v>
      </c>
      <c r="I331" s="162"/>
      <c r="J331" s="162"/>
      <c r="K331" s="163"/>
      <c r="L331" s="87">
        <f t="shared" ref="L331:N331" ca="1" si="102">L333+L337</f>
        <v>873740</v>
      </c>
      <c r="M331" s="87">
        <f t="shared" ca="1" si="102"/>
        <v>465120</v>
      </c>
      <c r="N331" s="87">
        <f t="shared" ca="1" si="102"/>
        <v>373435</v>
      </c>
      <c r="O331" s="155">
        <f t="shared" ca="1" si="99"/>
        <v>42.739831071027993</v>
      </c>
      <c r="P331" s="155">
        <f t="shared" ca="1" si="100"/>
        <v>80.287882696938425</v>
      </c>
    </row>
    <row r="332" spans="1:16" ht="21.75" customHeight="1" x14ac:dyDescent="0.3">
      <c r="A332" s="156"/>
      <c r="B332" s="157"/>
      <c r="C332" s="157" t="s">
        <v>16</v>
      </c>
      <c r="D332" s="158" t="s">
        <v>38</v>
      </c>
      <c r="E332" s="159"/>
      <c r="F332" s="159"/>
      <c r="G332" s="160" t="s">
        <v>39</v>
      </c>
      <c r="H332" s="161" t="s">
        <v>12</v>
      </c>
      <c r="I332" s="162" t="s">
        <v>40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3">
      <c r="A333" s="156"/>
      <c r="B333" s="157"/>
      <c r="C333" s="157"/>
      <c r="D333" s="166"/>
      <c r="E333" s="159"/>
      <c r="F333" s="159" t="s">
        <v>40</v>
      </c>
      <c r="G333" s="160" t="s">
        <v>41</v>
      </c>
      <c r="H333" s="161" t="s">
        <v>12</v>
      </c>
      <c r="I333" s="162"/>
      <c r="J333" s="162"/>
      <c r="K333" s="163"/>
      <c r="L333" s="167">
        <f ca="1">L334+L335</f>
        <v>825940</v>
      </c>
      <c r="M333" s="167">
        <f ca="1">IFERROR(__xludf.DUMMYFUNCTION("IMPORTRANGE(""https://docs.google.com/spreadsheets/d/1Yj_ptqi66GCucihVvJfMjLAmec39IyEx_6qawtMGysU/edit?usp=sharing"",""สบก!DL31"")"),417320)</f>
        <v>417320</v>
      </c>
      <c r="N333" s="168">
        <f ca="1">IFERROR(__xludf.DUMMYFUNCTION("IMPORTRANGE(""https://docs.google.com/spreadsheets/d/1Yj_ptqi66GCucihVvJfMjLAmec39IyEx_6qawtMGysU/edit?usp=sharing"",""สบก!DM31"")"),325635)</f>
        <v>325635</v>
      </c>
      <c r="O333" s="168">
        <f ca="1">IF(L333&gt;0,N333*100/L333,0)</f>
        <v>39.425987359856649</v>
      </c>
      <c r="P333" s="168">
        <f ca="1">IF(M333&gt;0,N333*100/M333,0)</f>
        <v>78.030048883350901</v>
      </c>
    </row>
    <row r="334" spans="1:16" ht="21.75" customHeight="1" x14ac:dyDescent="0.3">
      <c r="A334" s="156"/>
      <c r="B334" s="157"/>
      <c r="C334" s="157"/>
      <c r="D334" s="166"/>
      <c r="E334" s="159"/>
      <c r="F334" s="159"/>
      <c r="G334" s="169" t="s">
        <v>42</v>
      </c>
      <c r="H334" s="161" t="s">
        <v>12</v>
      </c>
      <c r="I334" s="162"/>
      <c r="J334" s="162"/>
      <c r="K334" s="163"/>
      <c r="L334" s="167">
        <f ca="1">IFERROR(__xludf.DUMMYFUNCTION("IMPORTRANGE(""https://docs.google.com/spreadsheets/d/1Yj_ptqi66GCucihVvJfMjLAmec39IyEx_6qawtMGysU/edit?usp=sharing"",""สบก!DH31"")"),574800)</f>
        <v>574800</v>
      </c>
      <c r="M334" s="167"/>
      <c r="N334" s="167"/>
      <c r="O334" s="168"/>
      <c r="P334" s="168"/>
    </row>
    <row r="335" spans="1:16" ht="21.75" customHeight="1" x14ac:dyDescent="0.3">
      <c r="A335" s="156"/>
      <c r="B335" s="157"/>
      <c r="C335" s="157"/>
      <c r="D335" s="166"/>
      <c r="E335" s="159"/>
      <c r="F335" s="159"/>
      <c r="G335" s="169" t="s">
        <v>43</v>
      </c>
      <c r="H335" s="161" t="s">
        <v>12</v>
      </c>
      <c r="I335" s="162"/>
      <c r="J335" s="162"/>
      <c r="K335" s="163"/>
      <c r="L335" s="167">
        <f ca="1">IFERROR(__xludf.DUMMYFUNCTION("IMPORTRANGE(""https://docs.google.com/spreadsheets/d/1Yj_ptqi66GCucihVvJfMjLAmec39IyEx_6qawtMGysU/edit?usp=sharing"",""สบก!DI31"")"),251140)</f>
        <v>251140</v>
      </c>
      <c r="M335" s="167"/>
      <c r="N335" s="167"/>
      <c r="O335" s="168"/>
      <c r="P335" s="168"/>
    </row>
    <row r="336" spans="1:16" ht="21.75" customHeight="1" x14ac:dyDescent="0.45">
      <c r="A336" s="170"/>
      <c r="B336" s="80"/>
      <c r="C336" s="81" t="s">
        <v>16</v>
      </c>
      <c r="D336" s="534" t="s">
        <v>23</v>
      </c>
      <c r="E336" s="530"/>
      <c r="F336" s="88"/>
      <c r="G336" s="82" t="s">
        <v>18</v>
      </c>
      <c r="H336" s="171" t="s">
        <v>12</v>
      </c>
      <c r="I336" s="162"/>
      <c r="J336" s="162"/>
      <c r="K336" s="163"/>
      <c r="L336" s="41">
        <v>0</v>
      </c>
      <c r="M336" s="41"/>
      <c r="N336" s="41"/>
      <c r="O336" s="41"/>
      <c r="P336" s="41"/>
    </row>
    <row r="337" spans="1:16" ht="21.75" customHeight="1" x14ac:dyDescent="0.45">
      <c r="A337" s="172"/>
      <c r="B337" s="91"/>
      <c r="C337" s="91"/>
      <c r="D337" s="173"/>
      <c r="E337" s="92"/>
      <c r="F337" s="92"/>
      <c r="G337" s="93" t="s">
        <v>19</v>
      </c>
      <c r="H337" s="174" t="s">
        <v>12</v>
      </c>
      <c r="I337" s="162"/>
      <c r="J337" s="162"/>
      <c r="K337" s="163"/>
      <c r="L337" s="49">
        <f ca="1">IFERROR(__xludf.DUMMYFUNCTION("IMPORTRANGE(""https://docs.google.com/spreadsheets/d/1Yj_ptqi66GCucihVvJfMjLAmec39IyEx_6qawtMGysU/edit?usp=sharing"",""สบก!DJ31"")"),47800)</f>
        <v>47800</v>
      </c>
      <c r="M337" s="49">
        <f ca="1">L337</f>
        <v>47800</v>
      </c>
      <c r="N337" s="49">
        <f ca="1">IFERROR(__xludf.DUMMYFUNCTION("IMPORTRANGE(""https://docs.google.com/spreadsheets/d/1Yj_ptqi66GCucihVvJfMjLAmec39IyEx_6qawtMGysU/edit?usp=sharing"",""สบก!DN31"")"),47800)</f>
        <v>47800</v>
      </c>
      <c r="O337" s="49">
        <f ca="1">IF(L337&gt;0,N337*100/L337,0)</f>
        <v>100</v>
      </c>
      <c r="P337" s="49">
        <f ca="1">IF(M337&gt;0,N337*100/M337,0)</f>
        <v>100</v>
      </c>
    </row>
    <row r="338" spans="1:16" ht="21.75" customHeight="1" x14ac:dyDescent="0.3">
      <c r="A338" s="175"/>
      <c r="B338" s="289"/>
      <c r="C338" s="338" t="s">
        <v>120</v>
      </c>
      <c r="D338" s="195"/>
      <c r="E338" s="195"/>
      <c r="F338" s="195"/>
      <c r="G338" s="196"/>
      <c r="H338" s="180"/>
      <c r="I338" s="339"/>
      <c r="J338" s="339"/>
      <c r="K338" s="340"/>
      <c r="L338" s="181"/>
      <c r="M338" s="181"/>
      <c r="N338" s="181"/>
      <c r="O338" s="341"/>
      <c r="P338" s="341"/>
    </row>
    <row r="339" spans="1:16" ht="21.75" customHeight="1" x14ac:dyDescent="0.3">
      <c r="A339" s="175"/>
      <c r="B339" s="289"/>
      <c r="C339" s="176"/>
      <c r="D339" s="195"/>
      <c r="E339" s="194" t="s">
        <v>121</v>
      </c>
      <c r="F339" s="195"/>
      <c r="G339" s="196"/>
      <c r="H339" s="342" t="s">
        <v>37</v>
      </c>
      <c r="I339" s="203">
        <f ca="1">IFERROR(__xludf.DUMMYFUNCTION("IMPORTRANGE(""https://docs.google.com/spreadsheets/d/11923uPwbBZFjjGgGUA6NLw09EwE0CqkOc4q9oUmW1yo/edit?usp=sharing"",""แม่ฮ่องสอน!I234"")"),0)</f>
        <v>0</v>
      </c>
      <c r="J339" s="187">
        <f ca="1">IFERROR(__xludf.DUMMYFUNCTION("IMPORTRANGE(""https://docs.google.com/spreadsheets/d/11923uPwbBZFjjGgGUA6NLw09EwE0CqkOc4q9oUmW1yo/edit?usp=sharing"",""แม่ฮ่องสอน!J234"")"),30)</f>
        <v>30</v>
      </c>
      <c r="K339" s="340">
        <f t="shared" ref="K339:K346" ca="1" si="103">IF(I339&gt;0,J339*100/I339,0)</f>
        <v>0</v>
      </c>
      <c r="L339" s="181"/>
      <c r="M339" s="181"/>
      <c r="N339" s="181"/>
      <c r="O339" s="341"/>
      <c r="P339" s="341"/>
    </row>
    <row r="340" spans="1:16" ht="21.75" customHeight="1" x14ac:dyDescent="0.3">
      <c r="A340" s="175"/>
      <c r="B340" s="289"/>
      <c r="C340" s="176"/>
      <c r="D340" s="195"/>
      <c r="E340" s="195"/>
      <c r="F340" s="195"/>
      <c r="G340" s="196"/>
      <c r="H340" s="342" t="s">
        <v>122</v>
      </c>
      <c r="I340" s="187">
        <f ca="1">IFERROR(__xludf.DUMMYFUNCTION("IMPORTRANGE(""https://docs.google.com/spreadsheets/d/11923uPwbBZFjjGgGUA6NLw09EwE0CqkOc4q9oUmW1yo/edit?usp=sharing"",""แม่ฮ่องสอน!I235"")"),210)</f>
        <v>210</v>
      </c>
      <c r="J340" s="187">
        <f ca="1">IFERROR(__xludf.DUMMYFUNCTION("IMPORTRANGE(""https://docs.google.com/spreadsheets/d/11923uPwbBZFjjGgGUA6NLw09EwE0CqkOc4q9oUmW1yo/edit?usp=sharing"",""แม่ฮ่องสอน!J235"")"),58.8099999999999)</f>
        <v>58.809999999999903</v>
      </c>
      <c r="K340" s="340">
        <f t="shared" ca="1" si="103"/>
        <v>28.004761904761857</v>
      </c>
      <c r="L340" s="181"/>
      <c r="M340" s="181"/>
      <c r="N340" s="181"/>
      <c r="O340" s="341"/>
      <c r="P340" s="341"/>
    </row>
    <row r="341" spans="1:16" ht="21.75" customHeight="1" x14ac:dyDescent="0.3">
      <c r="A341" s="175"/>
      <c r="B341" s="289"/>
      <c r="C341" s="176"/>
      <c r="D341" s="195"/>
      <c r="E341" s="194" t="s">
        <v>123</v>
      </c>
      <c r="F341" s="195"/>
      <c r="G341" s="196"/>
      <c r="H341" s="180" t="s">
        <v>37</v>
      </c>
      <c r="I341" s="187">
        <f ca="1">IFERROR(__xludf.DUMMYFUNCTION("IMPORTRANGE(""https://docs.google.com/spreadsheets/d/11923uPwbBZFjjGgGUA6NLw09EwE0CqkOc4q9oUmW1yo/edit?usp=sharing"",""แม่ฮ่องสอน!I236"")"),70)</f>
        <v>70</v>
      </c>
      <c r="J341" s="187">
        <f ca="1">IFERROR(__xludf.DUMMYFUNCTION("IMPORTRANGE(""https://docs.google.com/spreadsheets/d/11923uPwbBZFjjGgGUA6NLw09EwE0CqkOc4q9oUmW1yo/edit?usp=sharing"",""แม่ฮ่องสอน!J236"")"),56)</f>
        <v>56</v>
      </c>
      <c r="K341" s="340">
        <f t="shared" ca="1" si="103"/>
        <v>80</v>
      </c>
      <c r="L341" s="181"/>
      <c r="M341" s="181"/>
      <c r="N341" s="181"/>
      <c r="O341" s="341"/>
      <c r="P341" s="341"/>
    </row>
    <row r="342" spans="1:16" ht="21.75" customHeight="1" x14ac:dyDescent="0.3">
      <c r="A342" s="175"/>
      <c r="B342" s="289"/>
      <c r="C342" s="176"/>
      <c r="D342" s="195"/>
      <c r="E342" s="195"/>
      <c r="F342" s="195"/>
      <c r="G342" s="196"/>
      <c r="H342" s="180" t="s">
        <v>122</v>
      </c>
      <c r="I342" s="343">
        <f ca="1">IFERROR(__xludf.DUMMYFUNCTION("IMPORTRANGE(""https://docs.google.com/spreadsheets/d/11923uPwbBZFjjGgGUA6NLw09EwE0CqkOc4q9oUmW1yo/edit?usp=sharing"",""แม่ฮ่องสอน!I237"")"),0)</f>
        <v>0</v>
      </c>
      <c r="J342" s="187">
        <f ca="1">IFERROR(__xludf.DUMMYFUNCTION("IMPORTRANGE(""https://docs.google.com/spreadsheets/d/11923uPwbBZFjjGgGUA6NLw09EwE0CqkOc4q9oUmW1yo/edit?usp=sharing"",""แม่ฮ่องสอน!J237"")"),175.18)</f>
        <v>175.18</v>
      </c>
      <c r="K342" s="340">
        <f t="shared" ca="1" si="103"/>
        <v>0</v>
      </c>
      <c r="L342" s="181"/>
      <c r="M342" s="181"/>
      <c r="N342" s="181"/>
      <c r="O342" s="341"/>
      <c r="P342" s="341"/>
    </row>
    <row r="343" spans="1:16" ht="21.75" customHeight="1" x14ac:dyDescent="0.3">
      <c r="A343" s="175"/>
      <c r="B343" s="289"/>
      <c r="C343" s="176"/>
      <c r="D343" s="195"/>
      <c r="E343" s="194" t="s">
        <v>124</v>
      </c>
      <c r="F343" s="195"/>
      <c r="G343" s="196"/>
      <c r="H343" s="180" t="s">
        <v>37</v>
      </c>
      <c r="I343" s="187">
        <f ca="1">IFERROR(__xludf.DUMMYFUNCTION("IMPORTRANGE(""https://docs.google.com/spreadsheets/d/11923uPwbBZFjjGgGUA6NLw09EwE0CqkOc4q9oUmW1yo/edit?usp=sharing"",""แม่ฮ่องสอน!I238"")"),70)</f>
        <v>70</v>
      </c>
      <c r="J343" s="187">
        <f ca="1">IFERROR(__xludf.DUMMYFUNCTION("IMPORTRANGE(""https://docs.google.com/spreadsheets/d/11923uPwbBZFjjGgGUA6NLw09EwE0CqkOc4q9oUmW1yo/edit?usp=sharing"",""แม่ฮ่องสอน!J238"")"),1)</f>
        <v>1</v>
      </c>
      <c r="K343" s="340">
        <f t="shared" ca="1" si="103"/>
        <v>1.4285714285714286</v>
      </c>
      <c r="L343" s="181"/>
      <c r="M343" s="181"/>
      <c r="N343" s="181"/>
      <c r="O343" s="341"/>
      <c r="P343" s="341"/>
    </row>
    <row r="344" spans="1:16" ht="21.75" customHeight="1" x14ac:dyDescent="0.3">
      <c r="A344" s="175"/>
      <c r="B344" s="289"/>
      <c r="C344" s="176"/>
      <c r="D344" s="195"/>
      <c r="E344" s="195"/>
      <c r="F344" s="195"/>
      <c r="G344" s="196"/>
      <c r="H344" s="180" t="s">
        <v>122</v>
      </c>
      <c r="I344" s="343">
        <f ca="1">IFERROR(__xludf.DUMMYFUNCTION("IMPORTRANGE(""https://docs.google.com/spreadsheets/d/11923uPwbBZFjjGgGUA6NLw09EwE0CqkOc4q9oUmW1yo/edit?usp=sharing"",""แม่ฮ่องสอน!I239"")"),0)</f>
        <v>0</v>
      </c>
      <c r="J344" s="187">
        <f ca="1">IFERROR(__xludf.DUMMYFUNCTION("IMPORTRANGE(""https://docs.google.com/spreadsheets/d/11923uPwbBZFjjGgGUA6NLw09EwE0CqkOc4q9oUmW1yo/edit?usp=sharing"",""แม่ฮ่องสอน!J239"")"),28.14)</f>
        <v>28.14</v>
      </c>
      <c r="K344" s="340">
        <f t="shared" ca="1" si="103"/>
        <v>0</v>
      </c>
      <c r="L344" s="181"/>
      <c r="M344" s="181"/>
      <c r="N344" s="181"/>
      <c r="O344" s="341"/>
      <c r="P344" s="341"/>
    </row>
    <row r="345" spans="1:16" ht="21.75" customHeight="1" x14ac:dyDescent="0.3">
      <c r="A345" s="175"/>
      <c r="B345" s="289"/>
      <c r="C345" s="176"/>
      <c r="D345" s="195"/>
      <c r="E345" s="194" t="s">
        <v>125</v>
      </c>
      <c r="F345" s="195"/>
      <c r="G345" s="196"/>
      <c r="H345" s="180" t="s">
        <v>37</v>
      </c>
      <c r="I345" s="187">
        <f ca="1">IFERROR(__xludf.DUMMYFUNCTION("IMPORTRANGE(""https://docs.google.com/spreadsheets/d/11923uPwbBZFjjGgGUA6NLw09EwE0CqkOc4q9oUmW1yo/edit?usp=sharing"",""แม่ฮ่องสอน!I240"")"),70)</f>
        <v>70</v>
      </c>
      <c r="J345" s="187">
        <f ca="1">IFERROR(__xludf.DUMMYFUNCTION("IMPORTRANGE(""https://docs.google.com/spreadsheets/d/11923uPwbBZFjjGgGUA6NLw09EwE0CqkOc4q9oUmW1yo/edit?usp=sharing"",""แม่ฮ่องสอน!J240"")"),31)</f>
        <v>31</v>
      </c>
      <c r="K345" s="340">
        <f t="shared" ca="1" si="103"/>
        <v>44.285714285714285</v>
      </c>
      <c r="L345" s="181"/>
      <c r="M345" s="181"/>
      <c r="N345" s="181"/>
      <c r="O345" s="341"/>
      <c r="P345" s="341"/>
    </row>
    <row r="346" spans="1:16" ht="21.75" customHeight="1" x14ac:dyDescent="0.3">
      <c r="A346" s="233"/>
      <c r="B346" s="344"/>
      <c r="C346" s="234"/>
      <c r="D346" s="344"/>
      <c r="E346" s="345"/>
      <c r="F346" s="345"/>
      <c r="G346" s="346"/>
      <c r="H346" s="347" t="s">
        <v>122</v>
      </c>
      <c r="I346" s="348">
        <f ca="1">IFERROR(__xludf.DUMMYFUNCTION("IMPORTRANGE(""https://docs.google.com/spreadsheets/d/11923uPwbBZFjjGgGUA6NLw09EwE0CqkOc4q9oUmW1yo/edit?usp=sharing"",""แม่ฮ่องสอน!I241"")"),0)</f>
        <v>0</v>
      </c>
      <c r="J346" s="187">
        <f ca="1">IFERROR(__xludf.DUMMYFUNCTION("IMPORTRANGE(""https://docs.google.com/spreadsheets/d/11923uPwbBZFjjGgGUA6NLw09EwE0CqkOc4q9oUmW1yo/edit?usp=sharing"",""แม่ฮ่องสอน!J241"")"),118.14)</f>
        <v>118.14</v>
      </c>
      <c r="K346" s="349">
        <f t="shared" ca="1" si="103"/>
        <v>0</v>
      </c>
      <c r="L346" s="244"/>
      <c r="M346" s="244"/>
      <c r="N346" s="244"/>
      <c r="O346" s="350"/>
      <c r="P346" s="350"/>
    </row>
    <row r="347" spans="1:16" ht="21.75" customHeight="1" x14ac:dyDescent="0.3">
      <c r="A347" s="351" t="s">
        <v>126</v>
      </c>
      <c r="B347" s="352"/>
      <c r="C347" s="352"/>
      <c r="D347" s="352"/>
      <c r="E347" s="352"/>
      <c r="F347" s="352"/>
      <c r="G347" s="353"/>
      <c r="H347" s="354"/>
      <c r="I347" s="355"/>
      <c r="J347" s="355"/>
      <c r="K347" s="356"/>
      <c r="L347" s="356">
        <f ca="1">IFERROR(__xludf.DUMMYFUNCTION("IMPORTRANGE(""https://docs.google.com/spreadsheets/d/11923uPwbBZFjjGgGUA6NLw09EwE0CqkOc4q9oUmW1yo/edit?usp=sharing"",""แม่ฮ่องสอน!L242"")"),1077527)</f>
        <v>1077527</v>
      </c>
      <c r="M347" s="356"/>
      <c r="N347" s="356">
        <f ca="1">IFERROR(__xludf.DUMMYFUNCTION("IMPORTRANGE(""https://docs.google.com/spreadsheets/d/11923uPwbBZFjjGgGUA6NLw09EwE0CqkOc4q9oUmW1yo/edit?usp=sharing"",""แม่ฮ่องสอน!M242"")"),551877)</f>
        <v>551877</v>
      </c>
      <c r="O347" s="356">
        <f ca="1">+IF(L347&gt;0,N347*100/L347,0)</f>
        <v>51.216999666829693</v>
      </c>
      <c r="P347" s="356"/>
    </row>
    <row r="348" spans="1:16" ht="21.75" customHeight="1" x14ac:dyDescent="0.3">
      <c r="A348" s="357" t="s">
        <v>127</v>
      </c>
      <c r="B348" s="358"/>
      <c r="C348" s="358"/>
      <c r="D348" s="358"/>
      <c r="E348" s="358"/>
      <c r="F348" s="358"/>
      <c r="G348" s="359"/>
      <c r="H348" s="360"/>
      <c r="I348" s="361"/>
      <c r="J348" s="361"/>
      <c r="K348" s="362"/>
      <c r="L348" s="362"/>
      <c r="M348" s="362"/>
      <c r="N348" s="362"/>
      <c r="O348" s="363"/>
      <c r="P348" s="363"/>
    </row>
    <row r="349" spans="1:16" ht="21.75" customHeight="1" x14ac:dyDescent="0.3">
      <c r="A349" s="364"/>
      <c r="B349" s="365">
        <v>1</v>
      </c>
      <c r="C349" s="366" t="s">
        <v>128</v>
      </c>
      <c r="D349" s="366"/>
      <c r="E349" s="366"/>
      <c r="F349" s="366"/>
      <c r="G349" s="367"/>
      <c r="H349" s="368" t="s">
        <v>122</v>
      </c>
      <c r="I349" s="369">
        <f ca="1">IFERROR(__xludf.DUMMYFUNCTION("IMPORTRANGE(""https://docs.google.com/spreadsheets/d/11923uPwbBZFjjGgGUA6NLw09EwE0CqkOc4q9oUmW1yo/edit?usp=sharing"",""แม่ฮ่องสอน!I244"")"),110)</f>
        <v>110</v>
      </c>
      <c r="J349" s="369">
        <f ca="1">IFERROR(__xludf.DUMMYFUNCTION("IMPORTRANGE(""https://docs.google.com/spreadsheets/d/11923uPwbBZFjjGgGUA6NLw09EwE0CqkOc4q9oUmW1yo/edit?usp=sharing"",""แม่ฮ่องสอน!J244"")"),110)</f>
        <v>110</v>
      </c>
      <c r="K349" s="370">
        <f t="shared" ref="K349:K350" ca="1" si="104">IF(I349&gt;0,J349*100/I349,0)</f>
        <v>100</v>
      </c>
      <c r="L349" s="371">
        <f ca="1">IFERROR(__xludf.DUMMYFUNCTION("IMPORTRANGE(""https://docs.google.com/spreadsheets/d/11923uPwbBZFjjGgGUA6NLw09EwE0CqkOc4q9oUmW1yo/edit?usp=sharing"",""แม่ฮ่องสอน!L244"")"),353580)</f>
        <v>353580</v>
      </c>
      <c r="M349" s="371"/>
      <c r="N349" s="371">
        <f ca="1">IFERROR(__xludf.DUMMYFUNCTION("IMPORTRANGE(""https://docs.google.com/spreadsheets/d/11923uPwbBZFjjGgGUA6NLw09EwE0CqkOc4q9oUmW1yo/edit?usp=sharing"",""แม่ฮ่องสอน!M244"")"),216596)</f>
        <v>216596</v>
      </c>
      <c r="O349" s="371">
        <f ca="1">+IF(L349&gt;0,N349*100/L349,0)</f>
        <v>61.257989705300076</v>
      </c>
      <c r="P349" s="371"/>
    </row>
    <row r="350" spans="1:16" ht="21.75" customHeight="1" x14ac:dyDescent="0.3">
      <c r="A350" s="364"/>
      <c r="B350" s="365"/>
      <c r="C350" s="366"/>
      <c r="D350" s="366"/>
      <c r="E350" s="366"/>
      <c r="F350" s="366"/>
      <c r="G350" s="367"/>
      <c r="H350" s="368" t="s">
        <v>37</v>
      </c>
      <c r="I350" s="369">
        <f ca="1">IFERROR(__xludf.DUMMYFUNCTION("IMPORTRANGE(""https://docs.google.com/spreadsheets/d/11923uPwbBZFjjGgGUA6NLw09EwE0CqkOc4q9oUmW1yo/edit?usp=sharing"",""แม่ฮ่องสอน!I245"")"),50)</f>
        <v>50</v>
      </c>
      <c r="J350" s="369">
        <f ca="1">IFERROR(__xludf.DUMMYFUNCTION("IMPORTRANGE(""https://docs.google.com/spreadsheets/d/11923uPwbBZFjjGgGUA6NLw09EwE0CqkOc4q9oUmW1yo/edit?usp=sharing"",""แม่ฮ่องสอน!J245"")"),50)</f>
        <v>50</v>
      </c>
      <c r="K350" s="370">
        <f t="shared" ca="1" si="104"/>
        <v>100</v>
      </c>
      <c r="L350" s="371"/>
      <c r="M350" s="371"/>
      <c r="N350" s="371"/>
      <c r="O350" s="371"/>
      <c r="P350" s="371"/>
    </row>
    <row r="351" spans="1:16" ht="21.75" customHeight="1" x14ac:dyDescent="0.3">
      <c r="A351" s="156"/>
      <c r="B351" s="157"/>
      <c r="C351" s="157" t="s">
        <v>16</v>
      </c>
      <c r="D351" s="158" t="s">
        <v>38</v>
      </c>
      <c r="E351" s="159"/>
      <c r="F351" s="159"/>
      <c r="G351" s="160" t="s">
        <v>39</v>
      </c>
      <c r="H351" s="161" t="s">
        <v>12</v>
      </c>
      <c r="I351" s="162" t="s">
        <v>40</v>
      </c>
      <c r="J351" s="162"/>
      <c r="K351" s="163"/>
      <c r="L351" s="164">
        <f ca="1">IFERROR(__xludf.DUMMYFUNCTION("IMPORTRANGE(""https://docs.google.com/spreadsheets/d/11923uPwbBZFjjGgGUA6NLw09EwE0CqkOc4q9oUmW1yo/edit?usp=sharing"",""แม่ฮ่องสอน!L246"")"),0)</f>
        <v>0</v>
      </c>
      <c r="M351" s="164"/>
      <c r="N351" s="164">
        <f ca="1">IFERROR(__xludf.DUMMYFUNCTION("IMPORTRANGE(""https://docs.google.com/spreadsheets/d/11923uPwbBZFjjGgGUA6NLw09EwE0CqkOc4q9oUmW1yo/edit?usp=sharing"",""แม่ฮ่องสอน!M246"")"),0)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3">
      <c r="A352" s="156"/>
      <c r="B352" s="157"/>
      <c r="C352" s="157"/>
      <c r="D352" s="166"/>
      <c r="E352" s="159"/>
      <c r="F352" s="159" t="s">
        <v>40</v>
      </c>
      <c r="G352" s="160" t="s">
        <v>41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IFERROR(__xludf.DUMMYFUNCTION("IMPORTRANGE(""https://docs.google.com/spreadsheets/d/11923uPwbBZFjjGgGUA6NLw09EwE0CqkOc4q9oUmW1yo/edit?usp=sharing"",""แม่ฮ่องสอน!L247"")"),353580)</f>
        <v>353580</v>
      </c>
      <c r="M352" s="165"/>
      <c r="N352" s="164">
        <f ca="1">IFERROR(__xludf.DUMMYFUNCTION("IMPORTRANGE(""https://docs.google.com/spreadsheets/d/11923uPwbBZFjjGgGUA6NLw09EwE0CqkOc4q9oUmW1yo/edit?usp=sharing"",""แม่ฮ่องสอน!M247"")"),216596)</f>
        <v>216596</v>
      </c>
      <c r="O352" s="165">
        <f t="shared" ca="1" si="105"/>
        <v>61.257989705300076</v>
      </c>
      <c r="P352" s="165"/>
    </row>
    <row r="353" spans="1:16" ht="21.75" customHeight="1" x14ac:dyDescent="0.3">
      <c r="A353" s="156"/>
      <c r="B353" s="157"/>
      <c r="C353" s="157"/>
      <c r="D353" s="166"/>
      <c r="E353" s="159"/>
      <c r="F353" s="159"/>
      <c r="G353" s="372" t="s">
        <v>129</v>
      </c>
      <c r="H353" s="161" t="s">
        <v>12</v>
      </c>
      <c r="I353" s="162"/>
      <c r="J353" s="162"/>
      <c r="K353" s="163"/>
      <c r="L353" s="168">
        <f ca="1">IFERROR(__xludf.DUMMYFUNCTION("IMPORTRANGE(""https://docs.google.com/spreadsheets/d/11923uPwbBZFjjGgGUA6NLw09EwE0CqkOc4q9oUmW1yo/edit?usp=sharing"",""แม่ฮ่องสอน!L248"")"),0)</f>
        <v>0</v>
      </c>
      <c r="M353" s="168"/>
      <c r="N353" s="168">
        <f ca="1">IFERROR(__xludf.DUMMYFUNCTION("IMPORTRANGE(""https://docs.google.com/spreadsheets/d/11923uPwbBZFjjGgGUA6NLw09EwE0CqkOc4q9oUmW1yo/edit?usp=sharing"",""แม่ฮ่องสอน!M248"")"),0)</f>
        <v>0</v>
      </c>
      <c r="O353" s="168">
        <f t="shared" ca="1" si="105"/>
        <v>0</v>
      </c>
      <c r="P353" s="168"/>
    </row>
    <row r="354" spans="1:16" ht="21.75" customHeight="1" x14ac:dyDescent="0.3">
      <c r="A354" s="156"/>
      <c r="B354" s="157"/>
      <c r="C354" s="157"/>
      <c r="D354" s="166"/>
      <c r="E354" s="159"/>
      <c r="F354" s="159"/>
      <c r="G354" s="372" t="s">
        <v>130</v>
      </c>
      <c r="H354" s="161" t="s">
        <v>12</v>
      </c>
      <c r="I354" s="162"/>
      <c r="J354" s="162"/>
      <c r="K354" s="163"/>
      <c r="L354" s="168">
        <f ca="1">IFERROR(__xludf.DUMMYFUNCTION("IMPORTRANGE(""https://docs.google.com/spreadsheets/d/11923uPwbBZFjjGgGUA6NLw09EwE0CqkOc4q9oUmW1yo/edit?usp=sharing"",""แม่ฮ่องสอน!L249"")"),353580)</f>
        <v>353580</v>
      </c>
      <c r="M354" s="168"/>
      <c r="N354" s="167">
        <f ca="1">IFERROR(__xludf.DUMMYFUNCTION("IMPORTRANGE(""https://docs.google.com/spreadsheets/d/11923uPwbBZFjjGgGUA6NLw09EwE0CqkOc4q9oUmW1yo/edit?usp=sharing"",""แม่ฮ่องสอน!M249"")"),216596)</f>
        <v>216596</v>
      </c>
      <c r="O354" s="168">
        <f t="shared" ca="1" si="105"/>
        <v>61.257989705300076</v>
      </c>
      <c r="P354" s="168"/>
    </row>
    <row r="355" spans="1:16" ht="21.75" customHeight="1" x14ac:dyDescent="0.3">
      <c r="A355" s="373"/>
      <c r="B355" s="374"/>
      <c r="C355" s="157"/>
      <c r="D355" s="375"/>
      <c r="E355" s="159"/>
      <c r="F355" s="159"/>
      <c r="G355" s="376" t="s">
        <v>131</v>
      </c>
      <c r="H355" s="161" t="s">
        <v>12</v>
      </c>
      <c r="I355" s="187"/>
      <c r="J355" s="187"/>
      <c r="K355" s="223"/>
      <c r="L355" s="168"/>
      <c r="M355" s="168"/>
      <c r="N355" s="377">
        <f ca="1">IFERROR(__xludf.DUMMYFUNCTION("IMPORTRANGE(""https://docs.google.com/spreadsheets/d/11923uPwbBZFjjGgGUA6NLw09EwE0CqkOc4q9oUmW1yo/edit?usp=sharing"",""แม่ฮ่องสอน!M250"")"),61800)</f>
        <v>61800</v>
      </c>
      <c r="O355" s="168"/>
      <c r="P355" s="168"/>
    </row>
    <row r="356" spans="1:16" ht="21.75" customHeight="1" x14ac:dyDescent="0.3">
      <c r="A356" s="373"/>
      <c r="B356" s="374"/>
      <c r="C356" s="157"/>
      <c r="D356" s="375"/>
      <c r="E356" s="159"/>
      <c r="F356" s="159"/>
      <c r="G356" s="376" t="s">
        <v>132</v>
      </c>
      <c r="H356" s="161" t="s">
        <v>12</v>
      </c>
      <c r="I356" s="187"/>
      <c r="J356" s="187"/>
      <c r="K356" s="223"/>
      <c r="L356" s="168"/>
      <c r="M356" s="168"/>
      <c r="N356" s="377">
        <f ca="1">IFERROR(__xludf.DUMMYFUNCTION("IMPORTRANGE(""https://docs.google.com/spreadsheets/d/11923uPwbBZFjjGgGUA6NLw09EwE0CqkOc4q9oUmW1yo/edit?usp=sharing"",""แม่ฮ่องสอน!M251"")"),97200)</f>
        <v>97200</v>
      </c>
      <c r="O356" s="168"/>
      <c r="P356" s="168"/>
    </row>
    <row r="357" spans="1:16" ht="21.75" customHeight="1" x14ac:dyDescent="0.3">
      <c r="A357" s="373"/>
      <c r="B357" s="374"/>
      <c r="C357" s="157"/>
      <c r="D357" s="375"/>
      <c r="E357" s="159"/>
      <c r="F357" s="159"/>
      <c r="G357" s="376" t="s">
        <v>133</v>
      </c>
      <c r="H357" s="161" t="s">
        <v>12</v>
      </c>
      <c r="I357" s="187"/>
      <c r="J357" s="187"/>
      <c r="K357" s="223"/>
      <c r="L357" s="168"/>
      <c r="M357" s="168"/>
      <c r="N357" s="377">
        <f ca="1">IFERROR(__xludf.DUMMYFUNCTION("IMPORTRANGE(""https://docs.google.com/spreadsheets/d/11923uPwbBZFjjGgGUA6NLw09EwE0CqkOc4q9oUmW1yo/edit?usp=sharing"",""แม่ฮ่องสอน!M252"")"),41516)</f>
        <v>41516</v>
      </c>
      <c r="O357" s="168"/>
      <c r="P357" s="168"/>
    </row>
    <row r="358" spans="1:16" ht="21.75" customHeight="1" x14ac:dyDescent="0.3">
      <c r="A358" s="373"/>
      <c r="B358" s="374"/>
      <c r="C358" s="157"/>
      <c r="D358" s="375"/>
      <c r="E358" s="159"/>
      <c r="F358" s="159"/>
      <c r="G358" s="376" t="s">
        <v>134</v>
      </c>
      <c r="H358" s="161" t="s">
        <v>12</v>
      </c>
      <c r="I358" s="187"/>
      <c r="J358" s="187"/>
      <c r="K358" s="223"/>
      <c r="L358" s="168"/>
      <c r="M358" s="168"/>
      <c r="N358" s="377">
        <f ca="1">IFERROR(__xludf.DUMMYFUNCTION("IMPORTRANGE(""https://docs.google.com/spreadsheets/d/11923uPwbBZFjjGgGUA6NLw09EwE0CqkOc4q9oUmW1yo/edit?usp=sharing"",""แม่ฮ่องสอน!M253"")"),16080)</f>
        <v>16080</v>
      </c>
      <c r="O358" s="168"/>
      <c r="P358" s="168"/>
    </row>
    <row r="359" spans="1:16" ht="21.75" customHeight="1" x14ac:dyDescent="0.3">
      <c r="A359" s="175"/>
      <c r="B359" s="176"/>
      <c r="C359" s="157" t="s">
        <v>16</v>
      </c>
      <c r="D359" s="177" t="s">
        <v>44</v>
      </c>
      <c r="E359" s="178"/>
      <c r="F359" s="178"/>
      <c r="G359" s="179"/>
      <c r="H359" s="180"/>
      <c r="I359" s="162"/>
      <c r="J359" s="162"/>
      <c r="K359" s="163"/>
      <c r="L359" s="181"/>
      <c r="M359" s="181"/>
      <c r="N359" s="181"/>
      <c r="O359" s="181"/>
      <c r="P359" s="181"/>
    </row>
    <row r="360" spans="1:16" ht="21.75" customHeight="1" x14ac:dyDescent="0.3">
      <c r="A360" s="175"/>
      <c r="B360" s="176"/>
      <c r="C360" s="176"/>
      <c r="D360" s="182">
        <v>1</v>
      </c>
      <c r="E360" s="183" t="s">
        <v>45</v>
      </c>
      <c r="F360" s="184"/>
      <c r="G360" s="185"/>
      <c r="H360" s="186"/>
      <c r="I360" s="187"/>
      <c r="J360" s="197">
        <f ca="1">IFERROR(__xludf.DUMMYFUNCTION("IMPORTRANGE(""https://docs.google.com/spreadsheets/d/11923uPwbBZFjjGgGUA6NLw09EwE0CqkOc4q9oUmW1yo/edit?usp=sharing"",""แม่ฮ่องสอน!J255"")"),0)</f>
        <v>0</v>
      </c>
      <c r="K360" s="163"/>
      <c r="L360" s="181"/>
      <c r="M360" s="181"/>
      <c r="N360" s="181"/>
      <c r="O360" s="181"/>
      <c r="P360" s="181"/>
    </row>
    <row r="361" spans="1:16" ht="21.75" customHeight="1" x14ac:dyDescent="0.3">
      <c r="A361" s="175"/>
      <c r="B361" s="176"/>
      <c r="C361" s="176"/>
      <c r="D361" s="189">
        <v>2</v>
      </c>
      <c r="E361" s="190" t="s">
        <v>46</v>
      </c>
      <c r="F361" s="191"/>
      <c r="G361" s="192"/>
      <c r="H361" s="186"/>
      <c r="I361" s="187"/>
      <c r="J361" s="188">
        <f ca="1">IFERROR(__xludf.DUMMYFUNCTION("IMPORTRANGE(""https://docs.google.com/spreadsheets/d/11923uPwbBZFjjGgGUA6NLw09EwE0CqkOc4q9oUmW1yo/edit?usp=sharing"",""แม่ฮ่องสอน!J256"")"),1)</f>
        <v>1</v>
      </c>
      <c r="K361" s="163"/>
      <c r="L361" s="181" t="s">
        <v>40</v>
      </c>
      <c r="M361" s="181"/>
      <c r="N361" s="181" t="s">
        <v>40</v>
      </c>
      <c r="O361" s="181"/>
      <c r="P361" s="181"/>
    </row>
    <row r="362" spans="1:16" ht="21.75" customHeight="1" x14ac:dyDescent="0.3">
      <c r="A362" s="175"/>
      <c r="B362" s="176"/>
      <c r="C362" s="176"/>
      <c r="D362" s="193"/>
      <c r="E362" s="194" t="s">
        <v>47</v>
      </c>
      <c r="F362" s="195"/>
      <c r="G362" s="196"/>
      <c r="H362" s="186"/>
      <c r="I362" s="187"/>
      <c r="J362" s="188">
        <f ca="1">IFERROR(__xludf.DUMMYFUNCTION("IMPORTRANGE(""https://docs.google.com/spreadsheets/d/11923uPwbBZFjjGgGUA6NLw09EwE0CqkOc4q9oUmW1yo/edit?usp=sharing"",""แม่ฮ่องสอน!J257"")"),1)</f>
        <v>1</v>
      </c>
      <c r="K362" s="163"/>
      <c r="L362" s="181"/>
      <c r="M362" s="181"/>
      <c r="N362" s="181"/>
      <c r="O362" s="181"/>
      <c r="P362" s="181"/>
    </row>
    <row r="363" spans="1:16" ht="21.75" customHeight="1" x14ac:dyDescent="0.3">
      <c r="A363" s="175"/>
      <c r="B363" s="176"/>
      <c r="C363" s="176"/>
      <c r="D363" s="193"/>
      <c r="E363" s="194" t="s">
        <v>48</v>
      </c>
      <c r="F363" s="195"/>
      <c r="G363" s="196"/>
      <c r="H363" s="186"/>
      <c r="I363" s="187"/>
      <c r="J363" s="197">
        <f ca="1">IFERROR(__xludf.DUMMYFUNCTION("IMPORTRANGE(""https://docs.google.com/spreadsheets/d/11923uPwbBZFjjGgGUA6NLw09EwE0CqkOc4q9oUmW1yo/edit?usp=sharing"",""แม่ฮ่องสอน!J258"")"),1)</f>
        <v>1</v>
      </c>
      <c r="K363" s="163"/>
      <c r="L363" s="181"/>
      <c r="M363" s="181"/>
      <c r="N363" s="181"/>
      <c r="O363" s="181"/>
      <c r="P363" s="181"/>
    </row>
    <row r="364" spans="1:16" ht="21.75" hidden="1" customHeight="1" x14ac:dyDescent="0.3">
      <c r="A364" s="175"/>
      <c r="B364" s="176"/>
      <c r="C364" s="176"/>
      <c r="D364" s="193"/>
      <c r="E364" s="198"/>
      <c r="F364" s="194" t="s">
        <v>70</v>
      </c>
      <c r="G364" s="196"/>
      <c r="H364" s="180"/>
      <c r="I364" s="187"/>
      <c r="J364" s="187">
        <f ca="1">IFERROR(__xludf.DUMMYFUNCTION("IMPORTRANGE(""https://docs.google.com/spreadsheets/d/11923uPwbBZFjjGgGUA6NLw09EwE0CqkOc4q9oUmW1yo/edit?usp=sharing"",""แม่ฮ่องสอน!J166"")"),0)</f>
        <v>0</v>
      </c>
      <c r="K364" s="163"/>
      <c r="L364" s="181"/>
      <c r="M364" s="181"/>
      <c r="N364" s="181"/>
      <c r="O364" s="181"/>
      <c r="P364" s="181"/>
    </row>
    <row r="365" spans="1:16" ht="21.75" hidden="1" customHeight="1" x14ac:dyDescent="0.3">
      <c r="A365" s="175"/>
      <c r="B365" s="176"/>
      <c r="C365" s="176"/>
      <c r="D365" s="193"/>
      <c r="E365" s="198"/>
      <c r="F365" s="195"/>
      <c r="G365" s="225" t="s">
        <v>135</v>
      </c>
      <c r="H365" s="180" t="s">
        <v>37</v>
      </c>
      <c r="I365" s="187">
        <f ca="1">IFERROR(__xludf.DUMMYFUNCTION("IMPORTRANGE(""https://docs.google.com/spreadsheets/d/1C3CXT74ZlgGe6_JY_1olB1XN4rF0dxEuIIF-xsYjHgg/edit?usp=sharing"",""งบกองทุน!f63"")"),0)</f>
        <v>0</v>
      </c>
      <c r="J365" s="187">
        <f ca="1">IFERROR(__xludf.DUMMYFUNCTION("IMPORTRANGE(""https://docs.google.com/spreadsheets/d/11923uPwbBZFjjGgGUA6NLw09EwE0CqkOc4q9oUmW1yo/edit?usp=sharing"",""แม่ฮ่องสอน!J166"")"),0)</f>
        <v>0</v>
      </c>
      <c r="K365" s="163">
        <f ca="1">IF(I365&gt;0,J365*100/I365,0)</f>
        <v>0</v>
      </c>
      <c r="L365" s="181"/>
      <c r="M365" s="181"/>
      <c r="N365" s="181"/>
      <c r="O365" s="181"/>
      <c r="P365" s="181"/>
    </row>
    <row r="366" spans="1:16" ht="21.75" hidden="1" customHeight="1" x14ac:dyDescent="0.3">
      <c r="A366" s="175"/>
      <c r="B366" s="176"/>
      <c r="C366" s="176"/>
      <c r="D366" s="193"/>
      <c r="E366" s="198"/>
      <c r="F366" s="195"/>
      <c r="G366" s="196" t="s">
        <v>136</v>
      </c>
      <c r="H366" s="180"/>
      <c r="I366" s="162"/>
      <c r="J366" s="187">
        <f ca="1">IFERROR(__xludf.DUMMYFUNCTION("IMPORTRANGE(""https://docs.google.com/spreadsheets/d/11923uPwbBZFjjGgGUA6NLw09EwE0CqkOc4q9oUmW1yo/edit?usp=sharing"",""แม่ฮ่องสอน!J166"")"),0)</f>
        <v>0</v>
      </c>
      <c r="K366" s="163"/>
      <c r="L366" s="181"/>
      <c r="M366" s="181"/>
      <c r="N366" s="181"/>
      <c r="O366" s="181"/>
      <c r="P366" s="181"/>
    </row>
    <row r="367" spans="1:16" ht="21.75" hidden="1" customHeight="1" x14ac:dyDescent="0.3">
      <c r="A367" s="175"/>
      <c r="B367" s="176"/>
      <c r="C367" s="176"/>
      <c r="D367" s="193"/>
      <c r="E367" s="198"/>
      <c r="F367" s="195"/>
      <c r="G367" s="225" t="s">
        <v>137</v>
      </c>
      <c r="H367" s="186" t="s">
        <v>122</v>
      </c>
      <c r="I367" s="187">
        <f ca="1">SUM(I369,I371)</f>
        <v>0</v>
      </c>
      <c r="J367" s="187">
        <f ca="1">IFERROR(__xludf.DUMMYFUNCTION("IMPORTRANGE(""https://docs.google.com/spreadsheets/d/11923uPwbBZFjjGgGUA6NLw09EwE0CqkOc4q9oUmW1yo/edit?usp=sharing"",""แม่ฮ่องสอน!J166"")"),0)</f>
        <v>0</v>
      </c>
      <c r="K367" s="163">
        <f t="shared" ref="K367:K373" ca="1" si="106">IF(I367&gt;0,J367*100/I367,0)</f>
        <v>0</v>
      </c>
      <c r="L367" s="181"/>
      <c r="M367" s="181"/>
      <c r="N367" s="181"/>
      <c r="O367" s="181"/>
      <c r="P367" s="181"/>
    </row>
    <row r="368" spans="1:16" ht="21.75" customHeight="1" x14ac:dyDescent="0.3">
      <c r="A368" s="175"/>
      <c r="B368" s="176"/>
      <c r="C368" s="176"/>
      <c r="D368" s="193"/>
      <c r="E368" s="198"/>
      <c r="F368" s="378" t="s">
        <v>138</v>
      </c>
      <c r="G368" s="379"/>
      <c r="H368" s="186" t="s">
        <v>37</v>
      </c>
      <c r="I368" s="162">
        <f ca="1">IFERROR(__xludf.DUMMYFUNCTION("IMPORTRANGE(""https://docs.google.com/spreadsheets/d/11923uPwbBZFjjGgGUA6NLw09EwE0CqkOc4q9oUmW1yo/edit?usp=sharing"",""แม่ฮ่องสอน!I263"")"),50)</f>
        <v>50</v>
      </c>
      <c r="J368" s="187">
        <f ca="1">IFERROR(__xludf.DUMMYFUNCTION("IMPORTRANGE(""https://docs.google.com/spreadsheets/d/11923uPwbBZFjjGgGUA6NLw09EwE0CqkOc4q9oUmW1yo/edit?usp=sharing"",""แม่ฮ่องสอน!J263"")"),50)</f>
        <v>50</v>
      </c>
      <c r="K368" s="163">
        <f t="shared" ca="1" si="106"/>
        <v>100</v>
      </c>
      <c r="L368" s="181"/>
      <c r="M368" s="181"/>
      <c r="N368" s="181"/>
      <c r="O368" s="181"/>
      <c r="P368" s="181"/>
    </row>
    <row r="369" spans="1:16" ht="21.75" hidden="1" customHeight="1" x14ac:dyDescent="0.3">
      <c r="A369" s="175"/>
      <c r="B369" s="176"/>
      <c r="C369" s="176"/>
      <c r="D369" s="193"/>
      <c r="E369" s="198"/>
      <c r="F369" s="195"/>
      <c r="G369" s="379"/>
      <c r="H369" s="180" t="s">
        <v>122</v>
      </c>
      <c r="I369" s="162">
        <f ca="1">IFERROR(__xludf.DUMMYFUNCTION("IMPORTRANGE(""https://docs.google.com/spreadsheets/d/11923uPwbBZFjjGgGUA6NLw09EwE0CqkOc4q9oUmW1yo/edit?usp=sharing"",""แม่ฮ่องสอน!I164"")"),0)</f>
        <v>0</v>
      </c>
      <c r="J369" s="203">
        <f ca="1">IFERROR(__xludf.DUMMYFUNCTION("IMPORTRANGE(""https://docs.google.com/spreadsheets/d/11923uPwbBZFjjGgGUA6NLw09EwE0CqkOc4q9oUmW1yo/edit?usp=sharing"",""แม่ฮ่องสอน!J164"")"),0)</f>
        <v>0</v>
      </c>
      <c r="K369" s="163">
        <f t="shared" ca="1" si="106"/>
        <v>0</v>
      </c>
      <c r="L369" s="181"/>
      <c r="M369" s="181"/>
      <c r="N369" s="181"/>
      <c r="O369" s="181"/>
      <c r="P369" s="181"/>
    </row>
    <row r="370" spans="1:16" ht="21.75" customHeight="1" x14ac:dyDescent="0.3">
      <c r="A370" s="175"/>
      <c r="B370" s="176"/>
      <c r="C370" s="176"/>
      <c r="D370" s="193"/>
      <c r="E370" s="198"/>
      <c r="F370" s="195"/>
      <c r="G370" s="378" t="s">
        <v>139</v>
      </c>
      <c r="H370" s="180" t="s">
        <v>37</v>
      </c>
      <c r="I370" s="162">
        <f ca="1">IFERROR(__xludf.DUMMYFUNCTION("IMPORTRANGE(""https://docs.google.com/spreadsheets/d/11923uPwbBZFjjGgGUA6NLw09EwE0CqkOc4q9oUmW1yo/edit?usp=sharing"",""แม่ฮ่องสอน!I265"")"),50)</f>
        <v>50</v>
      </c>
      <c r="J370" s="203">
        <f ca="1">IFERROR(__xludf.DUMMYFUNCTION("IMPORTRANGE(""https://docs.google.com/spreadsheets/d/11923uPwbBZFjjGgGUA6NLw09EwE0CqkOc4q9oUmW1yo/edit?usp=sharing"",""แม่ฮ่องสอน!J265"")"),0)</f>
        <v>0</v>
      </c>
      <c r="K370" s="163">
        <f t="shared" ca="1" si="106"/>
        <v>0</v>
      </c>
      <c r="L370" s="181"/>
      <c r="M370" s="181"/>
      <c r="N370" s="181"/>
      <c r="O370" s="181"/>
      <c r="P370" s="181"/>
    </row>
    <row r="371" spans="1:16" ht="21.75" hidden="1" customHeight="1" x14ac:dyDescent="0.3">
      <c r="A371" s="175"/>
      <c r="B371" s="176"/>
      <c r="C371" s="176"/>
      <c r="D371" s="193"/>
      <c r="E371" s="198"/>
      <c r="F371" s="195"/>
      <c r="G371" s="379"/>
      <c r="H371" s="180" t="s">
        <v>122</v>
      </c>
      <c r="I371" s="162">
        <f ca="1">IFERROR(__xludf.DUMMYFUNCTION("IMPORTRANGE(""https://docs.google.com/spreadsheets/d/11923uPwbBZFjjGgGUA6NLw09EwE0CqkOc4q9oUmW1yo/edit?usp=sharing"",""แม่ฮ่องสอน!I164"")"),0)</f>
        <v>0</v>
      </c>
      <c r="J371" s="188">
        <f ca="1">IFERROR(__xludf.DUMMYFUNCTION("IMPORTRANGE(""https://docs.google.com/spreadsheets/d/11923uPwbBZFjjGgGUA6NLw09EwE0CqkOc4q9oUmW1yo/edit?usp=sharing"",""แม่ฮ่องสอน!J164"")"),0)</f>
        <v>0</v>
      </c>
      <c r="K371" s="163">
        <f t="shared" ca="1" si="106"/>
        <v>0</v>
      </c>
      <c r="L371" s="181"/>
      <c r="M371" s="181"/>
      <c r="N371" s="181"/>
      <c r="O371" s="181"/>
      <c r="P371" s="181"/>
    </row>
    <row r="372" spans="1:16" ht="21.75" customHeight="1" x14ac:dyDescent="0.3">
      <c r="A372" s="175"/>
      <c r="B372" s="176"/>
      <c r="C372" s="176"/>
      <c r="D372" s="193"/>
      <c r="E372" s="198"/>
      <c r="F372" s="195"/>
      <c r="G372" s="378" t="s">
        <v>140</v>
      </c>
      <c r="H372" s="180" t="s">
        <v>37</v>
      </c>
      <c r="I372" s="162">
        <f ca="1">IFERROR(__xludf.DUMMYFUNCTION("IMPORTRANGE(""https://docs.google.com/spreadsheets/d/11923uPwbBZFjjGgGUA6NLw09EwE0CqkOc4q9oUmW1yo/edit?usp=sharing"",""แม่ฮ่องสอน!I267"")"),50)</f>
        <v>50</v>
      </c>
      <c r="J372" s="188">
        <f ca="1">IFERROR(__xludf.DUMMYFUNCTION("IMPORTRANGE(""https://docs.google.com/spreadsheets/d/11923uPwbBZFjjGgGUA6NLw09EwE0CqkOc4q9oUmW1yo/edit?usp=sharing"",""แม่ฮ่องสอน!J267"")"),50)</f>
        <v>50</v>
      </c>
      <c r="K372" s="163">
        <f t="shared" ca="1" si="106"/>
        <v>100</v>
      </c>
      <c r="L372" s="181"/>
      <c r="M372" s="181"/>
      <c r="N372" s="181"/>
      <c r="O372" s="181"/>
      <c r="P372" s="181"/>
    </row>
    <row r="373" spans="1:16" ht="21.75" hidden="1" customHeight="1" x14ac:dyDescent="0.3">
      <c r="A373" s="175"/>
      <c r="B373" s="176"/>
      <c r="C373" s="176"/>
      <c r="D373" s="193"/>
      <c r="E373" s="198"/>
      <c r="F373" s="195"/>
      <c r="G373" s="225" t="s">
        <v>141</v>
      </c>
      <c r="H373" s="180" t="s">
        <v>37</v>
      </c>
      <c r="I373" s="187">
        <f ca="1">IFERROR(__xludf.DUMMYFUNCTION("IMPORTRANGE(""https://docs.google.com/spreadsheets/d/11923uPwbBZFjjGgGUA6NLw09EwE0CqkOc4q9oUmW1yo/edit?usp=sharing"",""แม่ฮ่องสอน!I164"")"),0)</f>
        <v>0</v>
      </c>
      <c r="J373" s="203">
        <f ca="1">IFERROR(__xludf.DUMMYFUNCTION("IMPORTRANGE(""https://docs.google.com/spreadsheets/d/11923uPwbBZFjjGgGUA6NLw09EwE0CqkOc4q9oUmW1yo/edit?usp=sharing"",""แม่ฮ่องสอน!J164"")"),0)</f>
        <v>0</v>
      </c>
      <c r="K373" s="163">
        <f t="shared" ca="1" si="106"/>
        <v>0</v>
      </c>
      <c r="L373" s="181"/>
      <c r="M373" s="181"/>
      <c r="N373" s="181"/>
      <c r="O373" s="181"/>
      <c r="P373" s="181"/>
    </row>
    <row r="374" spans="1:16" ht="21.75" hidden="1" customHeight="1" x14ac:dyDescent="0.3">
      <c r="A374" s="175"/>
      <c r="B374" s="176"/>
      <c r="C374" s="176"/>
      <c r="D374" s="193"/>
      <c r="E374" s="198"/>
      <c r="F374" s="195"/>
      <c r="G374" s="196" t="s">
        <v>142</v>
      </c>
      <c r="H374" s="180"/>
      <c r="I374" s="187">
        <f ca="1">IFERROR(__xludf.DUMMYFUNCTION("IMPORTRANGE(""https://docs.google.com/spreadsheets/d/11923uPwbBZFjjGgGUA6NLw09EwE0CqkOc4q9oUmW1yo/edit?usp=sharing"",""แม่ฮ่องสอน!I164"")"),0)</f>
        <v>0</v>
      </c>
      <c r="J374" s="187">
        <f ca="1">IFERROR(__xludf.DUMMYFUNCTION("IMPORTRANGE(""https://docs.google.com/spreadsheets/d/11923uPwbBZFjjGgGUA6NLw09EwE0CqkOc4q9oUmW1yo/edit?usp=sharing"",""แม่ฮ่องสอน!J164"")"),0)</f>
        <v>0</v>
      </c>
      <c r="K374" s="163"/>
      <c r="L374" s="181"/>
      <c r="M374" s="181"/>
      <c r="N374" s="181"/>
      <c r="O374" s="181"/>
      <c r="P374" s="181"/>
    </row>
    <row r="375" spans="1:16" ht="21.75" customHeight="1" x14ac:dyDescent="0.3">
      <c r="A375" s="175"/>
      <c r="B375" s="176"/>
      <c r="C375" s="176"/>
      <c r="D375" s="193"/>
      <c r="E375" s="195"/>
      <c r="F375" s="204" t="s">
        <v>53</v>
      </c>
      <c r="G375" s="196"/>
      <c r="H375" s="278" t="s">
        <v>122</v>
      </c>
      <c r="I375" s="187">
        <f ca="1">IFERROR(__xludf.DUMMYFUNCTION("IMPORTRANGE(""https://docs.google.com/spreadsheets/d/11923uPwbBZFjjGgGUA6NLw09EwE0CqkOc4q9oUmW1yo/edit?usp=sharing"",""แม่ฮ่องสอน!I270"")"),110)</f>
        <v>110</v>
      </c>
      <c r="J375" s="187">
        <f ca="1">IFERROR(__xludf.DUMMYFUNCTION("IMPORTRANGE(""https://docs.google.com/spreadsheets/d/11923uPwbBZFjjGgGUA6NLw09EwE0CqkOc4q9oUmW1yo/edit?usp=sharing"",""แม่ฮ่องสอน!J270"")"),110)</f>
        <v>110</v>
      </c>
      <c r="K375" s="163">
        <f t="shared" ref="K375:K377" ca="1" si="107">IF(I375&gt;0,J375*100/I375,0)</f>
        <v>100</v>
      </c>
      <c r="L375" s="181"/>
      <c r="M375" s="181"/>
      <c r="N375" s="181"/>
      <c r="O375" s="181"/>
      <c r="P375" s="181"/>
    </row>
    <row r="376" spans="1:16" ht="21.75" customHeight="1" x14ac:dyDescent="0.3">
      <c r="A376" s="175"/>
      <c r="B376" s="176"/>
      <c r="C376" s="176"/>
      <c r="D376" s="193"/>
      <c r="E376" s="195"/>
      <c r="F376" s="195"/>
      <c r="G376" s="279" t="s">
        <v>143</v>
      </c>
      <c r="H376" s="278" t="s">
        <v>122</v>
      </c>
      <c r="I376" s="187">
        <f ca="1">IFERROR(__xludf.DUMMYFUNCTION("IMPORTRANGE(""https://docs.google.com/spreadsheets/d/11923uPwbBZFjjGgGUA6NLw09EwE0CqkOc4q9oUmW1yo/edit?usp=sharing"",""แม่ฮ่องสอน!I271"")"),60)</f>
        <v>60</v>
      </c>
      <c r="J376" s="188">
        <f ca="1">IFERROR(__xludf.DUMMYFUNCTION("IMPORTRANGE(""https://docs.google.com/spreadsheets/d/11923uPwbBZFjjGgGUA6NLw09EwE0CqkOc4q9oUmW1yo/edit?usp=sharing"",""แม่ฮ่องสอน!J271"")"),60)</f>
        <v>60</v>
      </c>
      <c r="K376" s="163">
        <f t="shared" ca="1" si="107"/>
        <v>100</v>
      </c>
      <c r="L376" s="181"/>
      <c r="M376" s="181"/>
      <c r="N376" s="181"/>
      <c r="O376" s="181"/>
      <c r="P376" s="181"/>
    </row>
    <row r="377" spans="1:16" ht="21.75" customHeight="1" x14ac:dyDescent="0.3">
      <c r="A377" s="175"/>
      <c r="B377" s="176"/>
      <c r="C377" s="176"/>
      <c r="D377" s="193"/>
      <c r="E377" s="195"/>
      <c r="F377" s="195"/>
      <c r="G377" s="279" t="s">
        <v>144</v>
      </c>
      <c r="H377" s="278" t="s">
        <v>122</v>
      </c>
      <c r="I377" s="187">
        <f ca="1">IFERROR(__xludf.DUMMYFUNCTION("IMPORTRANGE(""https://docs.google.com/spreadsheets/d/11923uPwbBZFjjGgGUA6NLw09EwE0CqkOc4q9oUmW1yo/edit?usp=sharing"",""แม่ฮ่องสอน!I272"")"),50)</f>
        <v>50</v>
      </c>
      <c r="J377" s="203">
        <f ca="1">IFERROR(__xludf.DUMMYFUNCTION("IMPORTRANGE(""https://docs.google.com/spreadsheets/d/11923uPwbBZFjjGgGUA6NLw09EwE0CqkOc4q9oUmW1yo/edit?usp=sharing"",""แม่ฮ่องสอน!J272"")"),50)</f>
        <v>50</v>
      </c>
      <c r="K377" s="163">
        <f t="shared" ca="1" si="107"/>
        <v>100</v>
      </c>
      <c r="L377" s="181"/>
      <c r="M377" s="181"/>
      <c r="N377" s="181"/>
      <c r="O377" s="181"/>
      <c r="P377" s="181"/>
    </row>
    <row r="378" spans="1:16" ht="21.75" customHeight="1" x14ac:dyDescent="0.3">
      <c r="A378" s="175"/>
      <c r="B378" s="176"/>
      <c r="C378" s="176"/>
      <c r="D378" s="193"/>
      <c r="E378" s="194" t="s">
        <v>54</v>
      </c>
      <c r="F378" s="195"/>
      <c r="G378" s="196"/>
      <c r="H378" s="186"/>
      <c r="I378" s="187"/>
      <c r="J378" s="197">
        <f ca="1">IFERROR(__xludf.DUMMYFUNCTION("IMPORTRANGE(""https://docs.google.com/spreadsheets/d/11923uPwbBZFjjGgGUA6NLw09EwE0CqkOc4q9oUmW1yo/edit?usp=sharing"",""แม่ฮ่องสอน!J273"")"),0)</f>
        <v>0</v>
      </c>
      <c r="K378" s="163"/>
      <c r="L378" s="181"/>
      <c r="M378" s="181"/>
      <c r="N378" s="181"/>
      <c r="O378" s="181"/>
      <c r="P378" s="181"/>
    </row>
    <row r="379" spans="1:16" ht="21.75" customHeight="1" x14ac:dyDescent="0.3">
      <c r="A379" s="175"/>
      <c r="B379" s="176"/>
      <c r="C379" s="176"/>
      <c r="D379" s="205">
        <v>3</v>
      </c>
      <c r="E379" s="206" t="s">
        <v>55</v>
      </c>
      <c r="F379" s="207"/>
      <c r="G379" s="208"/>
      <c r="H379" s="186"/>
      <c r="I379" s="187"/>
      <c r="J379" s="209">
        <f ca="1">IFERROR(__xludf.DUMMYFUNCTION("IMPORTRANGE(""https://docs.google.com/spreadsheets/d/11923uPwbBZFjjGgGUA6NLw09EwE0CqkOc4q9oUmW1yo/edit?usp=sharing"",""แม่ฮ่องสอน!J274"")"),0)</f>
        <v>0</v>
      </c>
      <c r="K379" s="163"/>
      <c r="L379" s="181"/>
      <c r="M379" s="181"/>
      <c r="N379" s="181"/>
      <c r="O379" s="181"/>
      <c r="P379" s="181"/>
    </row>
    <row r="380" spans="1:16" ht="21.75" customHeight="1" x14ac:dyDescent="0.3">
      <c r="A380" s="364"/>
      <c r="B380" s="365">
        <v>2</v>
      </c>
      <c r="C380" s="366" t="s">
        <v>145</v>
      </c>
      <c r="D380" s="366"/>
      <c r="E380" s="380"/>
      <c r="F380" s="380"/>
      <c r="G380" s="381"/>
      <c r="H380" s="368" t="s">
        <v>122</v>
      </c>
      <c r="I380" s="369">
        <f ca="1">IFERROR(__xludf.DUMMYFUNCTION("IMPORTRANGE(""https://docs.google.com/spreadsheets/d/11923uPwbBZFjjGgGUA6NLw09EwE0CqkOc4q9oUmW1yo/edit?usp=sharing"",""แม่ฮ่องสอน!I275"")"),100)</f>
        <v>100</v>
      </c>
      <c r="J380" s="369">
        <f ca="1">IFERROR(__xludf.DUMMYFUNCTION("IMPORTRANGE(""https://docs.google.com/spreadsheets/d/11923uPwbBZFjjGgGUA6NLw09EwE0CqkOc4q9oUmW1yo/edit?usp=sharing"",""แม่ฮ่องสอน!J275"")"),0)</f>
        <v>0</v>
      </c>
      <c r="K380" s="370">
        <f t="shared" ref="K380:K381" ca="1" si="108">IF(I380&gt;0,J380*100/I380,0)</f>
        <v>0</v>
      </c>
      <c r="L380" s="371">
        <f ca="1">IFERROR(__xludf.DUMMYFUNCTION("IMPORTRANGE(""https://docs.google.com/spreadsheets/d/11923uPwbBZFjjGgGUA6NLw09EwE0CqkOc4q9oUmW1yo/edit?usp=sharing"",""แม่ฮ่องสอน!L275"")"),127660)</f>
        <v>127660</v>
      </c>
      <c r="M380" s="371"/>
      <c r="N380" s="371">
        <f ca="1">IFERROR(__xludf.DUMMYFUNCTION("IMPORTRANGE(""https://docs.google.com/spreadsheets/d/11923uPwbBZFjjGgGUA6NLw09EwE0CqkOc4q9oUmW1yo/edit?usp=sharing"",""แม่ฮ่องสอน!M275"")"),48710)</f>
        <v>48710</v>
      </c>
      <c r="O380" s="371">
        <f ca="1">+IF(L380&gt;0,N380*100/L380,0)</f>
        <v>38.156039479868397</v>
      </c>
      <c r="P380" s="371"/>
    </row>
    <row r="381" spans="1:16" ht="21.75" customHeight="1" x14ac:dyDescent="0.3">
      <c r="A381" s="364"/>
      <c r="B381" s="365"/>
      <c r="C381" s="366"/>
      <c r="D381" s="382"/>
      <c r="E381" s="383"/>
      <c r="F381" s="383"/>
      <c r="G381" s="384"/>
      <c r="H381" s="368" t="s">
        <v>37</v>
      </c>
      <c r="I381" s="369">
        <f ca="1">IFERROR(__xludf.DUMMYFUNCTION("IMPORTRANGE(""https://docs.google.com/spreadsheets/d/11923uPwbBZFjjGgGUA6NLw09EwE0CqkOc4q9oUmW1yo/edit?usp=sharing"",""แม่ฮ่องสอน!I276"")"),10)</f>
        <v>10</v>
      </c>
      <c r="J381" s="369">
        <f ca="1">IFERROR(__xludf.DUMMYFUNCTION("IMPORTRANGE(""https://docs.google.com/spreadsheets/d/11923uPwbBZFjjGgGUA6NLw09EwE0CqkOc4q9oUmW1yo/edit?usp=sharing"",""แม่ฮ่องสอน!J276"")"),10)</f>
        <v>10</v>
      </c>
      <c r="K381" s="370">
        <f t="shared" ca="1" si="108"/>
        <v>100</v>
      </c>
      <c r="L381" s="371"/>
      <c r="M381" s="371"/>
      <c r="N381" s="371"/>
      <c r="O381" s="371"/>
      <c r="P381" s="371"/>
    </row>
    <row r="382" spans="1:16" ht="21.75" customHeight="1" x14ac:dyDescent="0.3">
      <c r="A382" s="156"/>
      <c r="B382" s="157"/>
      <c r="C382" s="157" t="s">
        <v>16</v>
      </c>
      <c r="D382" s="158" t="s">
        <v>38</v>
      </c>
      <c r="E382" s="159"/>
      <c r="F382" s="159"/>
      <c r="G382" s="160" t="s">
        <v>39</v>
      </c>
      <c r="H382" s="161" t="s">
        <v>12</v>
      </c>
      <c r="I382" s="162" t="s">
        <v>40</v>
      </c>
      <c r="J382" s="162"/>
      <c r="K382" s="163"/>
      <c r="L382" s="164">
        <f ca="1">IFERROR(__xludf.DUMMYFUNCTION("IMPORTRANGE(""https://docs.google.com/spreadsheets/d/11923uPwbBZFjjGgGUA6NLw09EwE0CqkOc4q9oUmW1yo/edit?usp=sharing"",""แม่ฮ่องสอน!L277"")"),0)</f>
        <v>0</v>
      </c>
      <c r="M382" s="164"/>
      <c r="N382" s="164">
        <f ca="1">IFERROR(__xludf.DUMMYFUNCTION("IMPORTRANGE(""https://docs.google.com/spreadsheets/d/11923uPwbBZFjjGgGUA6NLw09EwE0CqkOc4q9oUmW1yo/edit?usp=sharing"",""แม่ฮ่องสอน!M277"")"),0)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3">
      <c r="A383" s="156"/>
      <c r="B383" s="157"/>
      <c r="C383" s="157"/>
      <c r="D383" s="166"/>
      <c r="E383" s="159"/>
      <c r="F383" s="159" t="s">
        <v>40</v>
      </c>
      <c r="G383" s="160" t="s">
        <v>41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IFERROR(__xludf.DUMMYFUNCTION("IMPORTRANGE(""https://docs.google.com/spreadsheets/d/11923uPwbBZFjjGgGUA6NLw09EwE0CqkOc4q9oUmW1yo/edit?usp=sharing"",""แม่ฮ่องสอน!L278"")"),127660)</f>
        <v>127660</v>
      </c>
      <c r="M383" s="165"/>
      <c r="N383" s="165">
        <f ca="1">IFERROR(__xludf.DUMMYFUNCTION("IMPORTRANGE(""https://docs.google.com/spreadsheets/d/11923uPwbBZFjjGgGUA6NLw09EwE0CqkOc4q9oUmW1yo/edit?usp=sharing"",""แม่ฮ่องสอน!M278"")"),48710)</f>
        <v>48710</v>
      </c>
      <c r="O383" s="165">
        <f t="shared" ca="1" si="109"/>
        <v>38.156039479868397</v>
      </c>
      <c r="P383" s="165"/>
    </row>
    <row r="384" spans="1:16" ht="21.75" customHeight="1" x14ac:dyDescent="0.3">
      <c r="A384" s="156"/>
      <c r="B384" s="157"/>
      <c r="C384" s="157"/>
      <c r="D384" s="166"/>
      <c r="E384" s="159"/>
      <c r="F384" s="159"/>
      <c r="G384" s="372" t="s">
        <v>129</v>
      </c>
      <c r="H384" s="161" t="s">
        <v>12</v>
      </c>
      <c r="I384" s="162"/>
      <c r="J384" s="162"/>
      <c r="K384" s="163"/>
      <c r="L384" s="168">
        <f ca="1">IFERROR(__xludf.DUMMYFUNCTION("IMPORTRANGE(""https://docs.google.com/spreadsheets/d/11923uPwbBZFjjGgGUA6NLw09EwE0CqkOc4q9oUmW1yo/edit?usp=sharing"",""แม่ฮ่องสอน!L279"")"),0)</f>
        <v>0</v>
      </c>
      <c r="M384" s="168"/>
      <c r="N384" s="168">
        <f ca="1">IFERROR(__xludf.DUMMYFUNCTION("IMPORTRANGE(""https://docs.google.com/spreadsheets/d/11923uPwbBZFjjGgGUA6NLw09EwE0CqkOc4q9oUmW1yo/edit?usp=sharing"",""แม่ฮ่องสอน!M279"")"),0)</f>
        <v>0</v>
      </c>
      <c r="O384" s="168">
        <f t="shared" ca="1" si="109"/>
        <v>0</v>
      </c>
      <c r="P384" s="168"/>
    </row>
    <row r="385" spans="1:16" ht="21.75" customHeight="1" x14ac:dyDescent="0.3">
      <c r="A385" s="156"/>
      <c r="B385" s="157"/>
      <c r="C385" s="157"/>
      <c r="D385" s="166"/>
      <c r="E385" s="159"/>
      <c r="F385" s="159"/>
      <c r="G385" s="372" t="s">
        <v>130</v>
      </c>
      <c r="H385" s="161" t="s">
        <v>12</v>
      </c>
      <c r="I385" s="162"/>
      <c r="J385" s="162"/>
      <c r="K385" s="163"/>
      <c r="L385" s="168">
        <f ca="1">IFERROR(__xludf.DUMMYFUNCTION("IMPORTRANGE(""https://docs.google.com/spreadsheets/d/11923uPwbBZFjjGgGUA6NLw09EwE0CqkOc4q9oUmW1yo/edit?usp=sharing"",""แม่ฮ่องสอน!L280"")"),127660)</f>
        <v>127660</v>
      </c>
      <c r="M385" s="168"/>
      <c r="N385" s="167">
        <f ca="1">IFERROR(__xludf.DUMMYFUNCTION("IMPORTRANGE(""https://docs.google.com/spreadsheets/d/11923uPwbBZFjjGgGUA6NLw09EwE0CqkOc4q9oUmW1yo/edit?usp=sharing"",""แม่ฮ่องสอน!M280"")"),48710)</f>
        <v>48710</v>
      </c>
      <c r="O385" s="168">
        <f t="shared" ca="1" si="109"/>
        <v>38.156039479868397</v>
      </c>
      <c r="P385" s="168"/>
    </row>
    <row r="386" spans="1:16" ht="21.75" customHeight="1" x14ac:dyDescent="0.3">
      <c r="A386" s="373"/>
      <c r="B386" s="374"/>
      <c r="C386" s="157"/>
      <c r="D386" s="375"/>
      <c r="E386" s="159"/>
      <c r="F386" s="159"/>
      <c r="G386" s="376" t="s">
        <v>131</v>
      </c>
      <c r="H386" s="161" t="s">
        <v>12</v>
      </c>
      <c r="I386" s="187"/>
      <c r="J386" s="187"/>
      <c r="K386" s="223"/>
      <c r="L386" s="168"/>
      <c r="M386" s="168"/>
      <c r="N386" s="377">
        <f ca="1">IFERROR(__xludf.DUMMYFUNCTION("IMPORTRANGE(""https://docs.google.com/spreadsheets/d/11923uPwbBZFjjGgGUA6NLw09EwE0CqkOc4q9oUmW1yo/edit?usp=sharing"",""แม่ฮ่องสอน!M281"")"),41400)</f>
        <v>41400</v>
      </c>
      <c r="O386" s="168"/>
      <c r="P386" s="168"/>
    </row>
    <row r="387" spans="1:16" ht="21.75" customHeight="1" x14ac:dyDescent="0.3">
      <c r="A387" s="373"/>
      <c r="B387" s="374"/>
      <c r="C387" s="157"/>
      <c r="D387" s="375"/>
      <c r="E387" s="159"/>
      <c r="F387" s="159"/>
      <c r="G387" s="376" t="s">
        <v>132</v>
      </c>
      <c r="H387" s="161" t="s">
        <v>12</v>
      </c>
      <c r="I387" s="187"/>
      <c r="J387" s="187"/>
      <c r="K387" s="223"/>
      <c r="L387" s="168"/>
      <c r="M387" s="168"/>
      <c r="N387" s="377">
        <f ca="1">IFERROR(__xludf.DUMMYFUNCTION("IMPORTRANGE(""https://docs.google.com/spreadsheets/d/11923uPwbBZFjjGgGUA6NLw09EwE0CqkOc4q9oUmW1yo/edit?usp=sharing"",""แม่ฮ่องสอน!M282"")"),0)</f>
        <v>0</v>
      </c>
      <c r="O387" s="168"/>
      <c r="P387" s="168"/>
    </row>
    <row r="388" spans="1:16" ht="21.75" customHeight="1" x14ac:dyDescent="0.3">
      <c r="A388" s="373"/>
      <c r="B388" s="374"/>
      <c r="C388" s="157"/>
      <c r="D388" s="375"/>
      <c r="E388" s="159"/>
      <c r="F388" s="159"/>
      <c r="G388" s="376" t="s">
        <v>133</v>
      </c>
      <c r="H388" s="161" t="s">
        <v>12</v>
      </c>
      <c r="I388" s="187"/>
      <c r="J388" s="187"/>
      <c r="K388" s="223"/>
      <c r="L388" s="168"/>
      <c r="M388" s="168"/>
      <c r="N388" s="377">
        <f ca="1">IFERROR(__xludf.DUMMYFUNCTION("IMPORTRANGE(""https://docs.google.com/spreadsheets/d/11923uPwbBZFjjGgGUA6NLw09EwE0CqkOc4q9oUmW1yo/edit?usp=sharing"",""แม่ฮ่องสอน!M283"")"),0)</f>
        <v>0</v>
      </c>
      <c r="O388" s="168"/>
      <c r="P388" s="168"/>
    </row>
    <row r="389" spans="1:16" ht="21.75" customHeight="1" x14ac:dyDescent="0.3">
      <c r="A389" s="373"/>
      <c r="B389" s="374"/>
      <c r="C389" s="157"/>
      <c r="D389" s="375"/>
      <c r="E389" s="159"/>
      <c r="F389" s="159"/>
      <c r="G389" s="376" t="s">
        <v>134</v>
      </c>
      <c r="H389" s="161" t="s">
        <v>12</v>
      </c>
      <c r="I389" s="187"/>
      <c r="J389" s="187"/>
      <c r="K389" s="223"/>
      <c r="L389" s="168"/>
      <c r="M389" s="168"/>
      <c r="N389" s="377">
        <f ca="1">IFERROR(__xludf.DUMMYFUNCTION("IMPORTRANGE(""https://docs.google.com/spreadsheets/d/11923uPwbBZFjjGgGUA6NLw09EwE0CqkOc4q9oUmW1yo/edit?usp=sharing"",""แม่ฮ่องสอน!M284"")"),7310)</f>
        <v>7310</v>
      </c>
      <c r="O389" s="168"/>
      <c r="P389" s="168"/>
    </row>
    <row r="390" spans="1:16" ht="21.75" customHeight="1" x14ac:dyDescent="0.3">
      <c r="A390" s="175"/>
      <c r="B390" s="176"/>
      <c r="C390" s="157" t="s">
        <v>16</v>
      </c>
      <c r="D390" s="177" t="s">
        <v>44</v>
      </c>
      <c r="E390" s="178"/>
      <c r="F390" s="178"/>
      <c r="G390" s="179"/>
      <c r="H390" s="180"/>
      <c r="I390" s="162"/>
      <c r="J390" s="162"/>
      <c r="K390" s="163"/>
      <c r="L390" s="181"/>
      <c r="M390" s="181"/>
      <c r="N390" s="181"/>
      <c r="O390" s="181"/>
      <c r="P390" s="181"/>
    </row>
    <row r="391" spans="1:16" ht="21.75" customHeight="1" x14ac:dyDescent="0.3">
      <c r="A391" s="175"/>
      <c r="B391" s="176"/>
      <c r="C391" s="176"/>
      <c r="D391" s="182">
        <v>1</v>
      </c>
      <c r="E391" s="183" t="s">
        <v>45</v>
      </c>
      <c r="F391" s="184"/>
      <c r="G391" s="185"/>
      <c r="H391" s="186"/>
      <c r="I391" s="187"/>
      <c r="J391" s="197">
        <f ca="1">IFERROR(__xludf.DUMMYFUNCTION("IMPORTRANGE(""https://docs.google.com/spreadsheets/d/11923uPwbBZFjjGgGUA6NLw09EwE0CqkOc4q9oUmW1yo/edit?usp=sharing"",""แม่ฮ่องสอน!J286"")"),0)</f>
        <v>0</v>
      </c>
      <c r="K391" s="163"/>
      <c r="L391" s="181"/>
      <c r="M391" s="181"/>
      <c r="N391" s="181"/>
      <c r="O391" s="181"/>
      <c r="P391" s="181"/>
    </row>
    <row r="392" spans="1:16" ht="21.75" customHeight="1" x14ac:dyDescent="0.3">
      <c r="A392" s="175"/>
      <c r="B392" s="176"/>
      <c r="C392" s="176"/>
      <c r="D392" s="189">
        <v>2</v>
      </c>
      <c r="E392" s="190" t="s">
        <v>46</v>
      </c>
      <c r="F392" s="191"/>
      <c r="G392" s="192"/>
      <c r="H392" s="186"/>
      <c r="I392" s="187"/>
      <c r="J392" s="188">
        <f ca="1">IFERROR(__xludf.DUMMYFUNCTION("IMPORTRANGE(""https://docs.google.com/spreadsheets/d/11923uPwbBZFjjGgGUA6NLw09EwE0CqkOc4q9oUmW1yo/edit?usp=sharing"",""แม่ฮ่องสอน!J287"")"),1)</f>
        <v>1</v>
      </c>
      <c r="K392" s="163"/>
      <c r="L392" s="181" t="s">
        <v>40</v>
      </c>
      <c r="M392" s="181"/>
      <c r="N392" s="181" t="s">
        <v>40</v>
      </c>
      <c r="O392" s="181"/>
      <c r="P392" s="181"/>
    </row>
    <row r="393" spans="1:16" ht="21.75" customHeight="1" x14ac:dyDescent="0.3">
      <c r="A393" s="175"/>
      <c r="B393" s="176"/>
      <c r="C393" s="176"/>
      <c r="D393" s="193"/>
      <c r="E393" s="194" t="s">
        <v>47</v>
      </c>
      <c r="F393" s="195"/>
      <c r="G393" s="196"/>
      <c r="H393" s="186"/>
      <c r="I393" s="187"/>
      <c r="J393" s="188">
        <f ca="1">IFERROR(__xludf.DUMMYFUNCTION("IMPORTRANGE(""https://docs.google.com/spreadsheets/d/11923uPwbBZFjjGgGUA6NLw09EwE0CqkOc4q9oUmW1yo/edit?usp=sharing"",""แม่ฮ่องสอน!J288"")"),1)</f>
        <v>1</v>
      </c>
      <c r="K393" s="163"/>
      <c r="L393" s="181"/>
      <c r="M393" s="181"/>
      <c r="N393" s="181"/>
      <c r="O393" s="181"/>
      <c r="P393" s="181"/>
    </row>
    <row r="394" spans="1:16" ht="21.75" customHeight="1" x14ac:dyDescent="0.3">
      <c r="A394" s="175"/>
      <c r="B394" s="176"/>
      <c r="C394" s="176"/>
      <c r="D394" s="193"/>
      <c r="E394" s="194" t="s">
        <v>48</v>
      </c>
      <c r="F394" s="195"/>
      <c r="G394" s="196"/>
      <c r="H394" s="186"/>
      <c r="I394" s="187"/>
      <c r="J394" s="197">
        <f ca="1">IFERROR(__xludf.DUMMYFUNCTION("IMPORTRANGE(""https://docs.google.com/spreadsheets/d/11923uPwbBZFjjGgGUA6NLw09EwE0CqkOc4q9oUmW1yo/edit?usp=sharing"",""แม่ฮ่องสอน!J289"")"),1)</f>
        <v>1</v>
      </c>
      <c r="K394" s="163"/>
      <c r="L394" s="181"/>
      <c r="M394" s="181"/>
      <c r="N394" s="181"/>
      <c r="O394" s="181"/>
      <c r="P394" s="181"/>
    </row>
    <row r="395" spans="1:16" ht="21.75" customHeight="1" x14ac:dyDescent="0.3">
      <c r="A395" s="175"/>
      <c r="B395" s="176"/>
      <c r="C395" s="176"/>
      <c r="D395" s="193"/>
      <c r="E395" s="198"/>
      <c r="F395" s="194" t="s">
        <v>146</v>
      </c>
      <c r="G395" s="195"/>
      <c r="H395" s="186"/>
      <c r="I395" s="187"/>
      <c r="J395" s="187"/>
      <c r="K395" s="163"/>
      <c r="L395" s="181"/>
      <c r="M395" s="181"/>
      <c r="N395" s="181"/>
      <c r="O395" s="181"/>
      <c r="P395" s="181"/>
    </row>
    <row r="396" spans="1:16" ht="21.75" customHeight="1" x14ac:dyDescent="0.3">
      <c r="A396" s="175"/>
      <c r="B396" s="176"/>
      <c r="C396" s="176"/>
      <c r="D396" s="193"/>
      <c r="E396" s="198"/>
      <c r="F396" s="195"/>
      <c r="G396" s="291" t="s">
        <v>70</v>
      </c>
      <c r="H396" s="186" t="s">
        <v>37</v>
      </c>
      <c r="I396" s="187">
        <f ca="1">IFERROR(__xludf.DUMMYFUNCTION("IMPORTRANGE(""https://docs.google.com/spreadsheets/d/11923uPwbBZFjjGgGUA6NLw09EwE0CqkOc4q9oUmW1yo/edit?usp=sharing"",""แม่ฮ่องสอน!I291"")"),10)</f>
        <v>10</v>
      </c>
      <c r="J396" s="197">
        <f ca="1">IFERROR(__xludf.DUMMYFUNCTION("IMPORTRANGE(""https://docs.google.com/spreadsheets/d/11923uPwbBZFjjGgGUA6NLw09EwE0CqkOc4q9oUmW1yo/edit?usp=sharing"",""แม่ฮ่องสอน!J291"")"),10)</f>
        <v>10</v>
      </c>
      <c r="K396" s="163">
        <f t="shared" ref="K396:K398" ca="1" si="110">IF(I396&gt;0,J396*100/I396,0)</f>
        <v>100</v>
      </c>
      <c r="L396" s="181"/>
      <c r="M396" s="181"/>
      <c r="N396" s="181"/>
      <c r="O396" s="181"/>
      <c r="P396" s="181"/>
    </row>
    <row r="397" spans="1:16" ht="21.75" customHeight="1" x14ac:dyDescent="0.3">
      <c r="A397" s="175"/>
      <c r="B397" s="176"/>
      <c r="C397" s="176"/>
      <c r="D397" s="193"/>
      <c r="E397" s="198"/>
      <c r="F397" s="195"/>
      <c r="G397" s="196" t="s">
        <v>53</v>
      </c>
      <c r="H397" s="186" t="s">
        <v>122</v>
      </c>
      <c r="I397" s="187">
        <f ca="1">IFERROR(__xludf.DUMMYFUNCTION("IMPORTRANGE(""https://docs.google.com/spreadsheets/d/11923uPwbBZFjjGgGUA6NLw09EwE0CqkOc4q9oUmW1yo/edit?usp=sharing"",""แม่ฮ่องสอน!I292"")"),100)</f>
        <v>100</v>
      </c>
      <c r="J397" s="197">
        <f ca="1">IFERROR(__xludf.DUMMYFUNCTION("IMPORTRANGE(""https://docs.google.com/spreadsheets/d/11923uPwbBZFjjGgGUA6NLw09EwE0CqkOc4q9oUmW1yo/edit?usp=sharing"",""แม่ฮ่องสอน!J292"")"),0)</f>
        <v>0</v>
      </c>
      <c r="K397" s="163">
        <f t="shared" ca="1" si="110"/>
        <v>0</v>
      </c>
      <c r="L397" s="181"/>
      <c r="M397" s="181"/>
      <c r="N397" s="181"/>
      <c r="O397" s="181"/>
      <c r="P397" s="181"/>
    </row>
    <row r="398" spans="1:16" ht="21.75" customHeight="1" x14ac:dyDescent="0.3">
      <c r="A398" s="175"/>
      <c r="B398" s="176"/>
      <c r="C398" s="176"/>
      <c r="D398" s="193"/>
      <c r="E398" s="198"/>
      <c r="F398" s="195"/>
      <c r="G398" s="196"/>
      <c r="H398" s="186" t="s">
        <v>37</v>
      </c>
      <c r="I398" s="187">
        <f ca="1">IFERROR(__xludf.DUMMYFUNCTION("IMPORTRANGE(""https://docs.google.com/spreadsheets/d/11923uPwbBZFjjGgGUA6NLw09EwE0CqkOc4q9oUmW1yo/edit?usp=sharing"",""แม่ฮ่องสอน!I293"")"),10)</f>
        <v>10</v>
      </c>
      <c r="J398" s="197">
        <f ca="1">IFERROR(__xludf.DUMMYFUNCTION("IMPORTRANGE(""https://docs.google.com/spreadsheets/d/11923uPwbBZFjjGgGUA6NLw09EwE0CqkOc4q9oUmW1yo/edit?usp=sharing"",""แม่ฮ่องสอน!J293"")"),0)</f>
        <v>0</v>
      </c>
      <c r="K398" s="163">
        <f t="shared" ca="1" si="110"/>
        <v>0</v>
      </c>
      <c r="L398" s="181"/>
      <c r="M398" s="181"/>
      <c r="N398" s="181"/>
      <c r="O398" s="181"/>
      <c r="P398" s="181"/>
    </row>
    <row r="399" spans="1:16" ht="21.75" customHeight="1" x14ac:dyDescent="0.3">
      <c r="A399" s="175"/>
      <c r="B399" s="176"/>
      <c r="C399" s="176"/>
      <c r="D399" s="193"/>
      <c r="E399" s="194" t="s">
        <v>54</v>
      </c>
      <c r="F399" s="195"/>
      <c r="G399" s="196"/>
      <c r="H399" s="186"/>
      <c r="I399" s="187"/>
      <c r="J399" s="197">
        <f ca="1">IFERROR(__xludf.DUMMYFUNCTION("IMPORTRANGE(""https://docs.google.com/spreadsheets/d/11923uPwbBZFjjGgGUA6NLw09EwE0CqkOc4q9oUmW1yo/edit?usp=sharing"",""แม่ฮ่องสอน!J294"")"),0)</f>
        <v>0</v>
      </c>
      <c r="K399" s="163"/>
      <c r="L399" s="181"/>
      <c r="M399" s="181"/>
      <c r="N399" s="181"/>
      <c r="O399" s="181"/>
      <c r="P399" s="181"/>
    </row>
    <row r="400" spans="1:16" ht="21.75" customHeight="1" x14ac:dyDescent="0.3">
      <c r="A400" s="175"/>
      <c r="B400" s="176"/>
      <c r="C400" s="176"/>
      <c r="D400" s="205">
        <v>3</v>
      </c>
      <c r="E400" s="206" t="s">
        <v>55</v>
      </c>
      <c r="F400" s="207"/>
      <c r="G400" s="208"/>
      <c r="H400" s="186"/>
      <c r="I400" s="187"/>
      <c r="J400" s="209">
        <f ca="1">IFERROR(__xludf.DUMMYFUNCTION("IMPORTRANGE(""https://docs.google.com/spreadsheets/d/11923uPwbBZFjjGgGUA6NLw09EwE0CqkOc4q9oUmW1yo/edit?usp=sharing"",""แม่ฮ่องสอน!J295"")"),0)</f>
        <v>0</v>
      </c>
      <c r="K400" s="163"/>
      <c r="L400" s="181"/>
      <c r="M400" s="181"/>
      <c r="N400" s="181"/>
      <c r="O400" s="181"/>
      <c r="P400" s="181"/>
    </row>
    <row r="401" spans="1:16" ht="21.75" customHeight="1" x14ac:dyDescent="0.3">
      <c r="A401" s="364"/>
      <c r="B401" s="365">
        <v>3</v>
      </c>
      <c r="C401" s="365" t="s">
        <v>147</v>
      </c>
      <c r="D401" s="366"/>
      <c r="E401" s="366"/>
      <c r="F401" s="366"/>
      <c r="G401" s="367"/>
      <c r="H401" s="368" t="s">
        <v>122</v>
      </c>
      <c r="I401" s="369">
        <f ca="1">IFERROR(__xludf.DUMMYFUNCTION("IMPORTRANGE(""https://docs.google.com/spreadsheets/d/11923uPwbBZFjjGgGUA6NLw09EwE0CqkOc4q9oUmW1yo/edit?usp=sharing"",""แม่ฮ่องสอน!I296"")"),93)</f>
        <v>93</v>
      </c>
      <c r="J401" s="369">
        <f ca="1">IFERROR(__xludf.DUMMYFUNCTION("IMPORTRANGE(""https://docs.google.com/spreadsheets/d/11923uPwbBZFjjGgGUA6NLw09EwE0CqkOc4q9oUmW1yo/edit?usp=sharing"",""แม่ฮ่องสอน!J296"")"),0)</f>
        <v>0</v>
      </c>
      <c r="K401" s="370">
        <f t="shared" ref="K401:K402" ca="1" si="111">IF(I401&gt;0,J401*100/I401,0)</f>
        <v>0</v>
      </c>
      <c r="L401" s="371">
        <f ca="1">IFERROR(__xludf.DUMMYFUNCTION("IMPORTRANGE(""https://docs.google.com/spreadsheets/d/11923uPwbBZFjjGgGUA6NLw09EwE0CqkOc4q9oUmW1yo/edit?usp=sharing"",""แม่ฮ่องสอน!L296"")"),104590)</f>
        <v>104590</v>
      </c>
      <c r="M401" s="371"/>
      <c r="N401" s="371">
        <f ca="1">IFERROR(__xludf.DUMMYFUNCTION("IMPORTRANGE(""https://docs.google.com/spreadsheets/d/11923uPwbBZFjjGgGUA6NLw09EwE0CqkOc4q9oUmW1yo/edit?usp=sharing"",""แม่ฮ่องสอน!M296"")"),75090)</f>
        <v>75090</v>
      </c>
      <c r="O401" s="371">
        <f ca="1">+IF(L401&gt;0,N401*100/L401,0)</f>
        <v>71.794626637345829</v>
      </c>
      <c r="P401" s="371"/>
    </row>
    <row r="402" spans="1:16" ht="21.75" customHeight="1" x14ac:dyDescent="0.3">
      <c r="A402" s="364"/>
      <c r="B402" s="365"/>
      <c r="C402" s="365"/>
      <c r="D402" s="382"/>
      <c r="E402" s="382"/>
      <c r="F402" s="382"/>
      <c r="G402" s="385"/>
      <c r="H402" s="368" t="s">
        <v>37</v>
      </c>
      <c r="I402" s="369">
        <f ca="1">IFERROR(__xludf.DUMMYFUNCTION("IMPORTRANGE(""https://docs.google.com/spreadsheets/d/11923uPwbBZFjjGgGUA6NLw09EwE0CqkOc4q9oUmW1yo/edit?usp=sharing"",""แม่ฮ่องสอน!I297"")"),31)</f>
        <v>31</v>
      </c>
      <c r="J402" s="369">
        <f ca="1">IFERROR(__xludf.DUMMYFUNCTION("IMPORTRANGE(""https://docs.google.com/spreadsheets/d/11923uPwbBZFjjGgGUA6NLw09EwE0CqkOc4q9oUmW1yo/edit?usp=sharing"",""แม่ฮ่องสอน!J297"")"),31)</f>
        <v>31</v>
      </c>
      <c r="K402" s="370">
        <f t="shared" ca="1" si="111"/>
        <v>100</v>
      </c>
      <c r="L402" s="371"/>
      <c r="M402" s="371"/>
      <c r="N402" s="371"/>
      <c r="O402" s="371"/>
      <c r="P402" s="371"/>
    </row>
    <row r="403" spans="1:16" ht="21.75" customHeight="1" x14ac:dyDescent="0.3">
      <c r="A403" s="156"/>
      <c r="B403" s="157"/>
      <c r="C403" s="157" t="s">
        <v>16</v>
      </c>
      <c r="D403" s="158" t="s">
        <v>38</v>
      </c>
      <c r="E403" s="159"/>
      <c r="F403" s="159"/>
      <c r="G403" s="160" t="s">
        <v>39</v>
      </c>
      <c r="H403" s="161" t="s">
        <v>12</v>
      </c>
      <c r="I403" s="162" t="s">
        <v>40</v>
      </c>
      <c r="J403" s="162"/>
      <c r="K403" s="163"/>
      <c r="L403" s="164">
        <f ca="1">IFERROR(__xludf.DUMMYFUNCTION("IMPORTRANGE(""https://docs.google.com/spreadsheets/d/11923uPwbBZFjjGgGUA6NLw09EwE0CqkOc4q9oUmW1yo/edit?usp=sharing"",""แม่ฮ่องสอน!L298"")"),0)</f>
        <v>0</v>
      </c>
      <c r="M403" s="164"/>
      <c r="N403" s="168">
        <f ca="1">IFERROR(__xludf.DUMMYFUNCTION("IMPORTRANGE(""https://docs.google.com/spreadsheets/d/11923uPwbBZFjjGgGUA6NLw09EwE0CqkOc4q9oUmW1yo/edit?usp=sharing"",""แม่ฮ่องสอน!M298"")"),0)</f>
        <v>0</v>
      </c>
      <c r="O403" s="168">
        <f t="shared" ref="O403:O406" ca="1" si="112">+IF(L403&gt;0,N403*100/L403,0)</f>
        <v>0</v>
      </c>
      <c r="P403" s="168"/>
    </row>
    <row r="404" spans="1:16" ht="21.75" customHeight="1" x14ac:dyDescent="0.3">
      <c r="A404" s="156"/>
      <c r="B404" s="157"/>
      <c r="C404" s="157"/>
      <c r="D404" s="166"/>
      <c r="E404" s="159"/>
      <c r="F404" s="159" t="s">
        <v>40</v>
      </c>
      <c r="G404" s="160" t="s">
        <v>41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IFERROR(__xludf.DUMMYFUNCTION("IMPORTRANGE(""https://docs.google.com/spreadsheets/d/11923uPwbBZFjjGgGUA6NLw09EwE0CqkOc4q9oUmW1yo/edit?usp=sharing"",""แม่ฮ่องสอน!L299"")"),104590)</f>
        <v>104590</v>
      </c>
      <c r="M404" s="165"/>
      <c r="N404" s="168">
        <f ca="1">IFERROR(__xludf.DUMMYFUNCTION("IMPORTRANGE(""https://docs.google.com/spreadsheets/d/11923uPwbBZFjjGgGUA6NLw09EwE0CqkOc4q9oUmW1yo/edit?usp=sharing"",""แม่ฮ่องสอน!M299"")"),75090)</f>
        <v>75090</v>
      </c>
      <c r="O404" s="168">
        <f t="shared" ca="1" si="112"/>
        <v>71.794626637345829</v>
      </c>
      <c r="P404" s="168"/>
    </row>
    <row r="405" spans="1:16" ht="21.75" customHeight="1" x14ac:dyDescent="0.3">
      <c r="A405" s="156"/>
      <c r="B405" s="157"/>
      <c r="C405" s="157"/>
      <c r="D405" s="166"/>
      <c r="E405" s="159"/>
      <c r="F405" s="159"/>
      <c r="G405" s="372" t="s">
        <v>129</v>
      </c>
      <c r="H405" s="161" t="s">
        <v>12</v>
      </c>
      <c r="I405" s="162"/>
      <c r="J405" s="162"/>
      <c r="K405" s="163"/>
      <c r="L405" s="168">
        <f ca="1">IFERROR(__xludf.DUMMYFUNCTION("IMPORTRANGE(""https://docs.google.com/spreadsheets/d/11923uPwbBZFjjGgGUA6NLw09EwE0CqkOc4q9oUmW1yo/edit?usp=sharing"",""แม่ฮ่องสอน!L300"")"),0)</f>
        <v>0</v>
      </c>
      <c r="M405" s="168"/>
      <c r="N405" s="168">
        <f ca="1">IFERROR(__xludf.DUMMYFUNCTION("IMPORTRANGE(""https://docs.google.com/spreadsheets/d/11923uPwbBZFjjGgGUA6NLw09EwE0CqkOc4q9oUmW1yo/edit?usp=sharing"",""แม่ฮ่องสอน!M300"")"),0)</f>
        <v>0</v>
      </c>
      <c r="O405" s="168">
        <f t="shared" ca="1" si="112"/>
        <v>0</v>
      </c>
      <c r="P405" s="168"/>
    </row>
    <row r="406" spans="1:16" ht="21.75" customHeight="1" x14ac:dyDescent="0.3">
      <c r="A406" s="156"/>
      <c r="B406" s="157"/>
      <c r="C406" s="157"/>
      <c r="D406" s="166"/>
      <c r="E406" s="159"/>
      <c r="F406" s="159"/>
      <c r="G406" s="372" t="s">
        <v>130</v>
      </c>
      <c r="H406" s="161" t="s">
        <v>12</v>
      </c>
      <c r="I406" s="162"/>
      <c r="J406" s="162"/>
      <c r="K406" s="163"/>
      <c r="L406" s="168">
        <f ca="1">IFERROR(__xludf.DUMMYFUNCTION("IMPORTRANGE(""https://docs.google.com/spreadsheets/d/11923uPwbBZFjjGgGUA6NLw09EwE0CqkOc4q9oUmW1yo/edit?usp=sharing"",""แม่ฮ่องสอน!L301"")"),104590)</f>
        <v>104590</v>
      </c>
      <c r="M406" s="168"/>
      <c r="N406" s="168">
        <f ca="1">IFERROR(__xludf.DUMMYFUNCTION("IMPORTRANGE(""https://docs.google.com/spreadsheets/d/11923uPwbBZFjjGgGUA6NLw09EwE0CqkOc4q9oUmW1yo/edit?usp=sharing"",""แม่ฮ่องสอน!M301"")"),75090)</f>
        <v>75090</v>
      </c>
      <c r="O406" s="168">
        <f t="shared" ca="1" si="112"/>
        <v>71.794626637345829</v>
      </c>
      <c r="P406" s="168"/>
    </row>
    <row r="407" spans="1:16" ht="21.75" customHeight="1" x14ac:dyDescent="0.3">
      <c r="A407" s="373"/>
      <c r="B407" s="374"/>
      <c r="C407" s="157"/>
      <c r="D407" s="375"/>
      <c r="E407" s="159"/>
      <c r="F407" s="159"/>
      <c r="G407" s="376" t="s">
        <v>131</v>
      </c>
      <c r="H407" s="161" t="s">
        <v>12</v>
      </c>
      <c r="I407" s="187"/>
      <c r="J407" s="187"/>
      <c r="K407" s="223"/>
      <c r="L407" s="168"/>
      <c r="M407" s="168"/>
      <c r="N407" s="377">
        <f ca="1">IFERROR(__xludf.DUMMYFUNCTION("IMPORTRANGE(""https://docs.google.com/spreadsheets/d/11923uPwbBZFjjGgGUA6NLw09EwE0CqkOc4q9oUmW1yo/edit?usp=sharing"",""แม่ฮ่องสอน!M302"")"),67070)</f>
        <v>67070</v>
      </c>
      <c r="O407" s="168"/>
      <c r="P407" s="168"/>
    </row>
    <row r="408" spans="1:16" ht="21.75" customHeight="1" x14ac:dyDescent="0.3">
      <c r="A408" s="373"/>
      <c r="B408" s="374"/>
      <c r="C408" s="157"/>
      <c r="D408" s="375"/>
      <c r="E408" s="159"/>
      <c r="F408" s="159"/>
      <c r="G408" s="376" t="s">
        <v>132</v>
      </c>
      <c r="H408" s="161" t="s">
        <v>12</v>
      </c>
      <c r="I408" s="187"/>
      <c r="J408" s="187"/>
      <c r="K408" s="223"/>
      <c r="L408" s="168"/>
      <c r="M408" s="168"/>
      <c r="N408" s="377">
        <f ca="1">IFERROR(__xludf.DUMMYFUNCTION("IMPORTRANGE(""https://docs.google.com/spreadsheets/d/11923uPwbBZFjjGgGUA6NLw09EwE0CqkOc4q9oUmW1yo/edit?usp=sharing"",""แม่ฮ่องสอน!M303"")"),0)</f>
        <v>0</v>
      </c>
      <c r="O408" s="168"/>
      <c r="P408" s="168"/>
    </row>
    <row r="409" spans="1:16" ht="21.75" customHeight="1" x14ac:dyDescent="0.3">
      <c r="A409" s="373"/>
      <c r="B409" s="374"/>
      <c r="C409" s="157"/>
      <c r="D409" s="375"/>
      <c r="E409" s="159"/>
      <c r="F409" s="159"/>
      <c r="G409" s="376" t="s">
        <v>133</v>
      </c>
      <c r="H409" s="161" t="s">
        <v>12</v>
      </c>
      <c r="I409" s="187"/>
      <c r="J409" s="187"/>
      <c r="K409" s="223"/>
      <c r="L409" s="168"/>
      <c r="M409" s="168"/>
      <c r="N409" s="377">
        <f ca="1">IFERROR(__xludf.DUMMYFUNCTION("IMPORTRANGE(""https://docs.google.com/spreadsheets/d/11923uPwbBZFjjGgGUA6NLw09EwE0CqkOc4q9oUmW1yo/edit?usp=sharing"",""แม่ฮ่องสอน!M304"")"),0)</f>
        <v>0</v>
      </c>
      <c r="O409" s="168"/>
      <c r="P409" s="168"/>
    </row>
    <row r="410" spans="1:16" ht="21.75" customHeight="1" x14ac:dyDescent="0.3">
      <c r="A410" s="373"/>
      <c r="B410" s="374"/>
      <c r="C410" s="157"/>
      <c r="D410" s="375"/>
      <c r="E410" s="159"/>
      <c r="F410" s="159"/>
      <c r="G410" s="376" t="s">
        <v>134</v>
      </c>
      <c r="H410" s="161" t="s">
        <v>12</v>
      </c>
      <c r="I410" s="187"/>
      <c r="J410" s="187"/>
      <c r="K410" s="223"/>
      <c r="L410" s="168"/>
      <c r="M410" s="168"/>
      <c r="N410" s="377">
        <f ca="1">IFERROR(__xludf.DUMMYFUNCTION("IMPORTRANGE(""https://docs.google.com/spreadsheets/d/11923uPwbBZFjjGgGUA6NLw09EwE0CqkOc4q9oUmW1yo/edit?usp=sharing"",""แม่ฮ่องสอน!M305"")"),8020)</f>
        <v>8020</v>
      </c>
      <c r="O410" s="168"/>
      <c r="P410" s="168"/>
    </row>
    <row r="411" spans="1:16" ht="21.75" customHeight="1" x14ac:dyDescent="0.3">
      <c r="A411" s="175"/>
      <c r="B411" s="176"/>
      <c r="C411" s="157" t="s">
        <v>16</v>
      </c>
      <c r="D411" s="177" t="s">
        <v>44</v>
      </c>
      <c r="E411" s="178"/>
      <c r="F411" s="178"/>
      <c r="G411" s="179"/>
      <c r="H411" s="180"/>
      <c r="I411" s="162"/>
      <c r="J411" s="162"/>
      <c r="K411" s="163"/>
      <c r="L411" s="181"/>
      <c r="M411" s="181"/>
      <c r="N411" s="181"/>
      <c r="O411" s="181"/>
      <c r="P411" s="181"/>
    </row>
    <row r="412" spans="1:16" ht="21.75" customHeight="1" x14ac:dyDescent="0.3">
      <c r="A412" s="175"/>
      <c r="B412" s="176"/>
      <c r="C412" s="176"/>
      <c r="D412" s="182">
        <v>1</v>
      </c>
      <c r="E412" s="183" t="s">
        <v>45</v>
      </c>
      <c r="F412" s="184"/>
      <c r="G412" s="185"/>
      <c r="H412" s="186"/>
      <c r="I412" s="187"/>
      <c r="J412" s="197">
        <f ca="1">IFERROR(__xludf.DUMMYFUNCTION("IMPORTRANGE(""https://docs.google.com/spreadsheets/d/11923uPwbBZFjjGgGUA6NLw09EwE0CqkOc4q9oUmW1yo/edit?usp=sharing"",""แม่ฮ่องสอน!J307"")"),0)</f>
        <v>0</v>
      </c>
      <c r="K412" s="163"/>
      <c r="L412" s="181"/>
      <c r="M412" s="181"/>
      <c r="N412" s="181"/>
      <c r="O412" s="181"/>
      <c r="P412" s="181"/>
    </row>
    <row r="413" spans="1:16" ht="21.75" customHeight="1" x14ac:dyDescent="0.3">
      <c r="A413" s="175"/>
      <c r="B413" s="176"/>
      <c r="C413" s="176"/>
      <c r="D413" s="189">
        <v>2</v>
      </c>
      <c r="E413" s="190" t="s">
        <v>46</v>
      </c>
      <c r="F413" s="191"/>
      <c r="G413" s="192"/>
      <c r="H413" s="186"/>
      <c r="I413" s="187"/>
      <c r="J413" s="188">
        <f ca="1">IFERROR(__xludf.DUMMYFUNCTION("IMPORTRANGE(""https://docs.google.com/spreadsheets/d/11923uPwbBZFjjGgGUA6NLw09EwE0CqkOc4q9oUmW1yo/edit?usp=sharing"",""แม่ฮ่องสอน!J308"")"),1)</f>
        <v>1</v>
      </c>
      <c r="K413" s="163"/>
      <c r="L413" s="181" t="s">
        <v>40</v>
      </c>
      <c r="M413" s="181"/>
      <c r="N413" s="181" t="s">
        <v>40</v>
      </c>
      <c r="O413" s="181"/>
      <c r="P413" s="181"/>
    </row>
    <row r="414" spans="1:16" ht="21.75" customHeight="1" x14ac:dyDescent="0.3">
      <c r="A414" s="175"/>
      <c r="B414" s="176"/>
      <c r="C414" s="176"/>
      <c r="D414" s="193"/>
      <c r="E414" s="194" t="s">
        <v>47</v>
      </c>
      <c r="F414" s="195"/>
      <c r="G414" s="196"/>
      <c r="H414" s="186"/>
      <c r="I414" s="187"/>
      <c r="J414" s="188">
        <f ca="1">IFERROR(__xludf.DUMMYFUNCTION("IMPORTRANGE(""https://docs.google.com/spreadsheets/d/11923uPwbBZFjjGgGUA6NLw09EwE0CqkOc4q9oUmW1yo/edit?usp=sharing"",""แม่ฮ่องสอน!J309"")"),1)</f>
        <v>1</v>
      </c>
      <c r="K414" s="163"/>
      <c r="L414" s="181"/>
      <c r="M414" s="181"/>
      <c r="N414" s="181"/>
      <c r="O414" s="181"/>
      <c r="P414" s="181"/>
    </row>
    <row r="415" spans="1:16" ht="21.75" customHeight="1" x14ac:dyDescent="0.3">
      <c r="A415" s="175"/>
      <c r="B415" s="176"/>
      <c r="C415" s="176"/>
      <c r="D415" s="193"/>
      <c r="E415" s="194" t="s">
        <v>48</v>
      </c>
      <c r="F415" s="195"/>
      <c r="G415" s="196"/>
      <c r="H415" s="186"/>
      <c r="I415" s="187"/>
      <c r="J415" s="197">
        <f ca="1">IFERROR(__xludf.DUMMYFUNCTION("IMPORTRANGE(""https://docs.google.com/spreadsheets/d/11923uPwbBZFjjGgGUA6NLw09EwE0CqkOc4q9oUmW1yo/edit?usp=sharing"",""แม่ฮ่องสอน!J310"")"),0)</f>
        <v>0</v>
      </c>
      <c r="K415" s="163"/>
      <c r="L415" s="181"/>
      <c r="M415" s="181"/>
      <c r="N415" s="181"/>
      <c r="O415" s="181"/>
      <c r="P415" s="181"/>
    </row>
    <row r="416" spans="1:16" ht="21.75" customHeight="1" x14ac:dyDescent="0.3">
      <c r="A416" s="175"/>
      <c r="B416" s="176"/>
      <c r="C416" s="176"/>
      <c r="D416" s="193"/>
      <c r="E416" s="198"/>
      <c r="F416" s="194" t="s">
        <v>70</v>
      </c>
      <c r="G416" s="386"/>
      <c r="H416" s="387" t="s">
        <v>37</v>
      </c>
      <c r="I416" s="200">
        <f ca="1">IFERROR(__xludf.DUMMYFUNCTION("IMPORTRANGE(""https://docs.google.com/spreadsheets/d/11923uPwbBZFjjGgGUA6NLw09EwE0CqkOc4q9oUmW1yo/edit?usp=sharing"",""แม่ฮ่องสอน!I311"")"),31)</f>
        <v>31</v>
      </c>
      <c r="J416" s="200">
        <f ca="1">IFERROR(__xludf.DUMMYFUNCTION("IMPORTRANGE(""https://docs.google.com/spreadsheets/d/11923uPwbBZFjjGgGUA6NLw09EwE0CqkOc4q9oUmW1yo/edit?usp=sharing"",""แม่ฮ่องสอน!J311"")"),31)</f>
        <v>31</v>
      </c>
      <c r="K416" s="201">
        <f t="shared" ref="K416:K432" ca="1" si="113">IF(I416&gt;0,J416*100/I416,0)</f>
        <v>100</v>
      </c>
      <c r="L416" s="181"/>
      <c r="M416" s="181"/>
      <c r="N416" s="181"/>
      <c r="O416" s="181"/>
      <c r="P416" s="181"/>
    </row>
    <row r="417" spans="1:16" ht="21.75" customHeight="1" x14ac:dyDescent="0.45">
      <c r="A417" s="175"/>
      <c r="B417" s="176"/>
      <c r="C417" s="176"/>
      <c r="D417" s="193"/>
      <c r="E417" s="198"/>
      <c r="F417" s="388" t="s">
        <v>148</v>
      </c>
      <c r="G417" s="196"/>
      <c r="H417" s="199" t="s">
        <v>37</v>
      </c>
      <c r="I417" s="389">
        <f ca="1">IFERROR(__xludf.DUMMYFUNCTION("IMPORTRANGE(""https://docs.google.com/spreadsheets/d/11923uPwbBZFjjGgGUA6NLw09EwE0CqkOc4q9oUmW1yo/edit?usp=sharing"",""แม่ฮ่องสอน!I312"")"),0)</f>
        <v>0</v>
      </c>
      <c r="J417" s="390">
        <f ca="1">IFERROR(__xludf.DUMMYFUNCTION("IMPORTRANGE(""https://docs.google.com/spreadsheets/d/11923uPwbBZFjjGgGUA6NLw09EwE0CqkOc4q9oUmW1yo/edit?usp=sharing"",""แม่ฮ่องสอน!J312"")"),0)</f>
        <v>0</v>
      </c>
      <c r="K417" s="201">
        <f t="shared" ca="1" si="113"/>
        <v>0</v>
      </c>
      <c r="L417" s="181"/>
      <c r="M417" s="181"/>
      <c r="N417" s="181"/>
      <c r="O417" s="181"/>
      <c r="P417" s="181"/>
    </row>
    <row r="418" spans="1:16" ht="21.75" customHeight="1" x14ac:dyDescent="0.45">
      <c r="A418" s="175"/>
      <c r="B418" s="176"/>
      <c r="C418" s="176"/>
      <c r="D418" s="193"/>
      <c r="E418" s="198"/>
      <c r="F418" s="195"/>
      <c r="G418" s="196"/>
      <c r="H418" s="199" t="s">
        <v>122</v>
      </c>
      <c r="I418" s="389">
        <f ca="1">IFERROR(__xludf.DUMMYFUNCTION("IMPORTRANGE(""https://docs.google.com/spreadsheets/d/11923uPwbBZFjjGgGUA6NLw09EwE0CqkOc4q9oUmW1yo/edit?usp=sharing"",""แม่ฮ่องสอน!I313"")"),0)</f>
        <v>0</v>
      </c>
      <c r="J418" s="391">
        <f ca="1">IFERROR(__xludf.DUMMYFUNCTION("IMPORTRANGE(""https://docs.google.com/spreadsheets/d/11923uPwbBZFjjGgGUA6NLw09EwE0CqkOc4q9oUmW1yo/edit?usp=sharing"",""แม่ฮ่องสอน!J313"")"),0)</f>
        <v>0</v>
      </c>
      <c r="K418" s="201">
        <f t="shared" ca="1" si="113"/>
        <v>0</v>
      </c>
      <c r="L418" s="181"/>
      <c r="M418" s="181"/>
      <c r="N418" s="181"/>
      <c r="O418" s="181"/>
      <c r="P418" s="181"/>
    </row>
    <row r="419" spans="1:16" ht="21.75" customHeight="1" x14ac:dyDescent="0.45">
      <c r="A419" s="175"/>
      <c r="B419" s="176"/>
      <c r="C419" s="176"/>
      <c r="D419" s="193"/>
      <c r="E419" s="198"/>
      <c r="F419" s="195"/>
      <c r="G419" s="225" t="s">
        <v>149</v>
      </c>
      <c r="H419" s="180" t="s">
        <v>37</v>
      </c>
      <c r="I419" s="339">
        <f ca="1">IFERROR(__xludf.DUMMYFUNCTION("IMPORTRANGE(""https://docs.google.com/spreadsheets/d/11923uPwbBZFjjGgGUA6NLw09EwE0CqkOc4q9oUmW1yo/edit?usp=sharing"",""แม่ฮ่องสอน!I314"")"),0)</f>
        <v>0</v>
      </c>
      <c r="J419" s="392">
        <f ca="1">IFERROR(__xludf.DUMMYFUNCTION("IMPORTRANGE(""https://docs.google.com/spreadsheets/d/11923uPwbBZFjjGgGUA6NLw09EwE0CqkOc4q9oUmW1yo/edit?usp=sharing"",""แม่ฮ่องสอน!J314"")"),0)</f>
        <v>0</v>
      </c>
      <c r="K419" s="163">
        <f t="shared" ca="1" si="113"/>
        <v>0</v>
      </c>
      <c r="L419" s="181"/>
      <c r="M419" s="181"/>
      <c r="N419" s="181"/>
      <c r="O419" s="181"/>
      <c r="P419" s="181"/>
    </row>
    <row r="420" spans="1:16" ht="21.75" customHeight="1" x14ac:dyDescent="0.45">
      <c r="A420" s="233"/>
      <c r="B420" s="234"/>
      <c r="C420" s="234"/>
      <c r="D420" s="393"/>
      <c r="E420" s="394"/>
      <c r="F420" s="345"/>
      <c r="G420" s="395" t="s">
        <v>150</v>
      </c>
      <c r="H420" s="347" t="s">
        <v>37</v>
      </c>
      <c r="I420" s="396">
        <f ca="1">IFERROR(__xludf.DUMMYFUNCTION("IMPORTRANGE(""https://docs.google.com/spreadsheets/d/11923uPwbBZFjjGgGUA6NLw09EwE0CqkOc4q9oUmW1yo/edit?usp=sharing"",""แม่ฮ่องสอน!I315"")"),0)</f>
        <v>0</v>
      </c>
      <c r="J420" s="392">
        <f ca="1">IFERROR(__xludf.DUMMYFUNCTION("IMPORTRANGE(""https://docs.google.com/spreadsheets/d/11923uPwbBZFjjGgGUA6NLw09EwE0CqkOc4q9oUmW1yo/edit?usp=sharing"",""แม่ฮ่องสอน!J315"")"),0)</f>
        <v>0</v>
      </c>
      <c r="K420" s="286">
        <f t="shared" ca="1" si="113"/>
        <v>0</v>
      </c>
      <c r="L420" s="244"/>
      <c r="M420" s="244"/>
      <c r="N420" s="244"/>
      <c r="O420" s="244"/>
      <c r="P420" s="244"/>
    </row>
    <row r="421" spans="1:16" ht="21.75" customHeight="1" x14ac:dyDescent="0.45">
      <c r="A421" s="175"/>
      <c r="B421" s="176"/>
      <c r="C421" s="176"/>
      <c r="D421" s="193"/>
      <c r="E421" s="198"/>
      <c r="F421" s="388" t="s">
        <v>151</v>
      </c>
      <c r="G421" s="196"/>
      <c r="H421" s="199" t="s">
        <v>37</v>
      </c>
      <c r="I421" s="389">
        <f ca="1">IFERROR(__xludf.DUMMYFUNCTION("IMPORTRANGE(""https://docs.google.com/spreadsheets/d/11923uPwbBZFjjGgGUA6NLw09EwE0CqkOc4q9oUmW1yo/edit?usp=sharing"",""แม่ฮ่องสอน!I316"")"),21)</f>
        <v>21</v>
      </c>
      <c r="J421" s="390">
        <f ca="1">IFERROR(__xludf.DUMMYFUNCTION("IMPORTRANGE(""https://docs.google.com/spreadsheets/d/11923uPwbBZFjjGgGUA6NLw09EwE0CqkOc4q9oUmW1yo/edit?usp=sharing"",""แม่ฮ่องสอน!J316"")"),21)</f>
        <v>21</v>
      </c>
      <c r="K421" s="201">
        <f t="shared" ca="1" si="113"/>
        <v>100</v>
      </c>
      <c r="L421" s="181"/>
      <c r="M421" s="181"/>
      <c r="N421" s="181"/>
      <c r="O421" s="181"/>
      <c r="P421" s="181"/>
    </row>
    <row r="422" spans="1:16" ht="21.75" customHeight="1" x14ac:dyDescent="0.45">
      <c r="A422" s="175"/>
      <c r="B422" s="176"/>
      <c r="C422" s="176"/>
      <c r="D422" s="193"/>
      <c r="E422" s="198"/>
      <c r="F422" s="195"/>
      <c r="G422" s="196"/>
      <c r="H422" s="199" t="s">
        <v>122</v>
      </c>
      <c r="I422" s="389">
        <f ca="1">IFERROR(__xludf.DUMMYFUNCTION("IMPORTRANGE(""https://docs.google.com/spreadsheets/d/11923uPwbBZFjjGgGUA6NLw09EwE0CqkOc4q9oUmW1yo/edit?usp=sharing"",""แม่ฮ่องสอน!I317"")"),63)</f>
        <v>63</v>
      </c>
      <c r="J422" s="391">
        <f ca="1">IFERROR(__xludf.DUMMYFUNCTION("IMPORTRANGE(""https://docs.google.com/spreadsheets/d/11923uPwbBZFjjGgGUA6NLw09EwE0CqkOc4q9oUmW1yo/edit?usp=sharing"",""แม่ฮ่องสอน!J317"")"),0)</f>
        <v>0</v>
      </c>
      <c r="K422" s="201">
        <f t="shared" ca="1" si="113"/>
        <v>0</v>
      </c>
      <c r="L422" s="181"/>
      <c r="M422" s="181"/>
      <c r="N422" s="181"/>
      <c r="O422" s="181"/>
      <c r="P422" s="181"/>
    </row>
    <row r="423" spans="1:16" ht="21.75" customHeight="1" x14ac:dyDescent="0.45">
      <c r="A423" s="175"/>
      <c r="B423" s="176"/>
      <c r="C423" s="176"/>
      <c r="D423" s="193"/>
      <c r="E423" s="198"/>
      <c r="F423" s="195"/>
      <c r="G423" s="225" t="s">
        <v>152</v>
      </c>
      <c r="H423" s="180" t="s">
        <v>37</v>
      </c>
      <c r="I423" s="339">
        <f ca="1">IFERROR(__xludf.DUMMYFUNCTION("IMPORTRANGE(""https://docs.google.com/spreadsheets/d/11923uPwbBZFjjGgGUA6NLw09EwE0CqkOc4q9oUmW1yo/edit?usp=sharing"",""แม่ฮ่องสอน!I318"")"),21)</f>
        <v>21</v>
      </c>
      <c r="J423" s="392">
        <f ca="1">IFERROR(__xludf.DUMMYFUNCTION("IMPORTRANGE(""https://docs.google.com/spreadsheets/d/11923uPwbBZFjjGgGUA6NLw09EwE0CqkOc4q9oUmW1yo/edit?usp=sharing"",""แม่ฮ่องสอน!J318"")"),21)</f>
        <v>21</v>
      </c>
      <c r="K423" s="163">
        <f t="shared" ca="1" si="113"/>
        <v>100</v>
      </c>
      <c r="L423" s="181"/>
      <c r="M423" s="181"/>
      <c r="N423" s="181"/>
      <c r="O423" s="181"/>
      <c r="P423" s="181"/>
    </row>
    <row r="424" spans="1:16" ht="21.75" customHeight="1" x14ac:dyDescent="0.45">
      <c r="A424" s="175"/>
      <c r="B424" s="176"/>
      <c r="C424" s="176"/>
      <c r="D424" s="193"/>
      <c r="E424" s="198"/>
      <c r="F424" s="195"/>
      <c r="G424" s="225" t="s">
        <v>153</v>
      </c>
      <c r="H424" s="180" t="s">
        <v>37</v>
      </c>
      <c r="I424" s="339">
        <f ca="1">IFERROR(__xludf.DUMMYFUNCTION("IMPORTRANGE(""https://docs.google.com/spreadsheets/d/11923uPwbBZFjjGgGUA6NLw09EwE0CqkOc4q9oUmW1yo/edit?usp=sharing"",""แม่ฮ่องสอน!I319"")"),21)</f>
        <v>21</v>
      </c>
      <c r="J424" s="392">
        <f ca="1">IFERROR(__xludf.DUMMYFUNCTION("IMPORTRANGE(""https://docs.google.com/spreadsheets/d/11923uPwbBZFjjGgGUA6NLw09EwE0CqkOc4q9oUmW1yo/edit?usp=sharing"",""แม่ฮ่องสอน!J319"")"),21)</f>
        <v>21</v>
      </c>
      <c r="K424" s="163">
        <f t="shared" ca="1" si="113"/>
        <v>100</v>
      </c>
      <c r="L424" s="181"/>
      <c r="M424" s="181"/>
      <c r="N424" s="181"/>
      <c r="O424" s="181"/>
      <c r="P424" s="181"/>
    </row>
    <row r="425" spans="1:16" ht="21.75" customHeight="1" x14ac:dyDescent="0.45">
      <c r="A425" s="175"/>
      <c r="B425" s="176"/>
      <c r="C425" s="176"/>
      <c r="D425" s="193"/>
      <c r="E425" s="198"/>
      <c r="F425" s="195"/>
      <c r="G425" s="225" t="s">
        <v>154</v>
      </c>
      <c r="H425" s="180" t="s">
        <v>37</v>
      </c>
      <c r="I425" s="339">
        <f ca="1">IFERROR(__xludf.DUMMYFUNCTION("IMPORTRANGE(""https://docs.google.com/spreadsheets/d/11923uPwbBZFjjGgGUA6NLw09EwE0CqkOc4q9oUmW1yo/edit?usp=sharing"",""แม่ฮ่องสอน!I320"")"),21)</f>
        <v>21</v>
      </c>
      <c r="J425" s="392">
        <f ca="1">IFERROR(__xludf.DUMMYFUNCTION("IMPORTRANGE(""https://docs.google.com/spreadsheets/d/11923uPwbBZFjjGgGUA6NLw09EwE0CqkOc4q9oUmW1yo/edit?usp=sharing"",""แม่ฮ่องสอน!J320"")"),21)</f>
        <v>21</v>
      </c>
      <c r="K425" s="163">
        <f t="shared" ca="1" si="113"/>
        <v>100</v>
      </c>
      <c r="L425" s="181"/>
      <c r="M425" s="181"/>
      <c r="N425" s="181"/>
      <c r="O425" s="181"/>
      <c r="P425" s="181"/>
    </row>
    <row r="426" spans="1:16" ht="21.75" customHeight="1" x14ac:dyDescent="0.45">
      <c r="A426" s="175"/>
      <c r="B426" s="176"/>
      <c r="C426" s="176"/>
      <c r="D426" s="193"/>
      <c r="E426" s="198"/>
      <c r="F426" s="397" t="s">
        <v>155</v>
      </c>
      <c r="G426" s="196"/>
      <c r="H426" s="199" t="s">
        <v>37</v>
      </c>
      <c r="I426" s="389">
        <f ca="1">IFERROR(__xludf.DUMMYFUNCTION("IMPORTRANGE(""https://docs.google.com/spreadsheets/d/11923uPwbBZFjjGgGUA6NLw09EwE0CqkOc4q9oUmW1yo/edit?usp=sharing"",""แม่ฮ่องสอน!I321"")"),10)</f>
        <v>10</v>
      </c>
      <c r="J426" s="390">
        <f ca="1">IFERROR(__xludf.DUMMYFUNCTION("IMPORTRANGE(""https://docs.google.com/spreadsheets/d/11923uPwbBZFjjGgGUA6NLw09EwE0CqkOc4q9oUmW1yo/edit?usp=sharing"",""แม่ฮ่องสอน!J321"")"),10)</f>
        <v>10</v>
      </c>
      <c r="K426" s="201">
        <f t="shared" ca="1" si="113"/>
        <v>100</v>
      </c>
      <c r="L426" s="181"/>
      <c r="M426" s="181"/>
      <c r="N426" s="181"/>
      <c r="O426" s="181"/>
      <c r="P426" s="181"/>
    </row>
    <row r="427" spans="1:16" ht="21.75" customHeight="1" x14ac:dyDescent="0.45">
      <c r="A427" s="175"/>
      <c r="B427" s="176"/>
      <c r="C427" s="176"/>
      <c r="D427" s="193"/>
      <c r="E427" s="198"/>
      <c r="F427" s="195"/>
      <c r="G427" s="196"/>
      <c r="H427" s="199" t="s">
        <v>122</v>
      </c>
      <c r="I427" s="389">
        <f ca="1">IFERROR(__xludf.DUMMYFUNCTION("IMPORTRANGE(""https://docs.google.com/spreadsheets/d/11923uPwbBZFjjGgGUA6NLw09EwE0CqkOc4q9oUmW1yo/edit?usp=sharing"",""แม่ฮ่องสอน!I322"")"),30)</f>
        <v>30</v>
      </c>
      <c r="J427" s="391">
        <f ca="1">IFERROR(__xludf.DUMMYFUNCTION("IMPORTRANGE(""https://docs.google.com/spreadsheets/d/11923uPwbBZFjjGgGUA6NLw09EwE0CqkOc4q9oUmW1yo/edit?usp=sharing"",""แม่ฮ่องสอน!J322"")"),0)</f>
        <v>0</v>
      </c>
      <c r="K427" s="201">
        <f t="shared" ca="1" si="113"/>
        <v>0</v>
      </c>
      <c r="L427" s="181"/>
      <c r="M427" s="181"/>
      <c r="N427" s="181"/>
      <c r="O427" s="181"/>
      <c r="P427" s="181"/>
    </row>
    <row r="428" spans="1:16" ht="21.75" customHeight="1" x14ac:dyDescent="0.45">
      <c r="A428" s="175"/>
      <c r="B428" s="176"/>
      <c r="C428" s="176"/>
      <c r="D428" s="193"/>
      <c r="E428" s="198"/>
      <c r="F428" s="195"/>
      <c r="G428" s="225" t="s">
        <v>156</v>
      </c>
      <c r="H428" s="180" t="s">
        <v>37</v>
      </c>
      <c r="I428" s="398">
        <f ca="1">IFERROR(__xludf.DUMMYFUNCTION("IMPORTRANGE(""https://docs.google.com/spreadsheets/d/11923uPwbBZFjjGgGUA6NLw09EwE0CqkOc4q9oUmW1yo/edit?usp=sharing"",""แม่ฮ่องสอน!I323"")"),10)</f>
        <v>10</v>
      </c>
      <c r="J428" s="392">
        <f ca="1">IFERROR(__xludf.DUMMYFUNCTION("IMPORTRANGE(""https://docs.google.com/spreadsheets/d/11923uPwbBZFjjGgGUA6NLw09EwE0CqkOc4q9oUmW1yo/edit?usp=sharing"",""แม่ฮ่องสอน!J323"")"),10)</f>
        <v>10</v>
      </c>
      <c r="K428" s="163">
        <f t="shared" ca="1" si="113"/>
        <v>100</v>
      </c>
      <c r="L428" s="181"/>
      <c r="M428" s="181"/>
      <c r="N428" s="181"/>
      <c r="O428" s="181"/>
      <c r="P428" s="181"/>
    </row>
    <row r="429" spans="1:16" ht="21.75" customHeight="1" x14ac:dyDescent="0.45">
      <c r="A429" s="175"/>
      <c r="B429" s="176"/>
      <c r="C429" s="176"/>
      <c r="D429" s="193"/>
      <c r="E429" s="198"/>
      <c r="F429" s="195"/>
      <c r="G429" s="225" t="s">
        <v>157</v>
      </c>
      <c r="H429" s="180" t="s">
        <v>37</v>
      </c>
      <c r="I429" s="398">
        <f ca="1">IFERROR(__xludf.DUMMYFUNCTION("IMPORTRANGE(""https://docs.google.com/spreadsheets/d/11923uPwbBZFjjGgGUA6NLw09EwE0CqkOc4q9oUmW1yo/edit?usp=sharing"",""แม่ฮ่องสอน!I324"")"),10)</f>
        <v>10</v>
      </c>
      <c r="J429" s="392">
        <f ca="1">IFERROR(__xludf.DUMMYFUNCTION("IMPORTRANGE(""https://docs.google.com/spreadsheets/d/11923uPwbBZFjjGgGUA6NLw09EwE0CqkOc4q9oUmW1yo/edit?usp=sharing"",""แม่ฮ่องสอน!J324"")"),10)</f>
        <v>10</v>
      </c>
      <c r="K429" s="163">
        <f t="shared" ca="1" si="113"/>
        <v>100</v>
      </c>
      <c r="L429" s="181"/>
      <c r="M429" s="181"/>
      <c r="N429" s="181"/>
      <c r="O429" s="181"/>
      <c r="P429" s="181"/>
    </row>
    <row r="430" spans="1:16" ht="21.75" customHeight="1" x14ac:dyDescent="0.45">
      <c r="A430" s="175"/>
      <c r="B430" s="176"/>
      <c r="C430" s="176"/>
      <c r="D430" s="193"/>
      <c r="E430" s="198"/>
      <c r="F430" s="194" t="s">
        <v>53</v>
      </c>
      <c r="G430" s="386"/>
      <c r="H430" s="399" t="s">
        <v>37</v>
      </c>
      <c r="I430" s="200">
        <f ca="1">IFERROR(__xludf.DUMMYFUNCTION("IMPORTRANGE(""https://docs.google.com/spreadsheets/d/11923uPwbBZFjjGgGUA6NLw09EwE0CqkOc4q9oUmW1yo/edit?usp=sharing"",""แม่ฮ่องสอน!I325"")"),21)</f>
        <v>21</v>
      </c>
      <c r="J430" s="390">
        <f ca="1">IFERROR(__xludf.DUMMYFUNCTION("IMPORTRANGE(""https://docs.google.com/spreadsheets/d/11923uPwbBZFjjGgGUA6NLw09EwE0CqkOc4q9oUmW1yo/edit?usp=sharing"",""แม่ฮ่องสอน!J325"")"),0)</f>
        <v>0</v>
      </c>
      <c r="K430" s="201">
        <f t="shared" ca="1" si="113"/>
        <v>0</v>
      </c>
      <c r="L430" s="181"/>
      <c r="M430" s="181"/>
      <c r="N430" s="181"/>
      <c r="O430" s="181"/>
      <c r="P430" s="181"/>
    </row>
    <row r="431" spans="1:16" ht="21.75" customHeight="1" x14ac:dyDescent="0.45">
      <c r="A431" s="400"/>
      <c r="B431" s="401"/>
      <c r="C431" s="401"/>
      <c r="D431" s="402"/>
      <c r="E431" s="198"/>
      <c r="F431" s="195"/>
      <c r="G431" s="225" t="s">
        <v>158</v>
      </c>
      <c r="H431" s="180" t="s">
        <v>37</v>
      </c>
      <c r="I431" s="398">
        <f ca="1">IFERROR(__xludf.DUMMYFUNCTION("IMPORTRANGE(""https://docs.google.com/spreadsheets/d/11923uPwbBZFjjGgGUA6NLw09EwE0CqkOc4q9oUmW1yo/edit?usp=sharing"",""แม่ฮ่องสอน!I326"")"),0)</f>
        <v>0</v>
      </c>
      <c r="J431" s="392">
        <f ca="1">IFERROR(__xludf.DUMMYFUNCTION("IMPORTRANGE(""https://docs.google.com/spreadsheets/d/11923uPwbBZFjjGgGUA6NLw09EwE0CqkOc4q9oUmW1yo/edit?usp=sharing"",""แม่ฮ่องสอน!J326"")"),0)</f>
        <v>0</v>
      </c>
      <c r="K431" s="163">
        <f t="shared" ca="1" si="113"/>
        <v>0</v>
      </c>
      <c r="L431" s="181"/>
      <c r="M431" s="181"/>
      <c r="N431" s="181"/>
      <c r="O431" s="181"/>
      <c r="P431" s="181"/>
    </row>
    <row r="432" spans="1:16" ht="21.75" customHeight="1" x14ac:dyDescent="0.45">
      <c r="A432" s="400"/>
      <c r="B432" s="401"/>
      <c r="C432" s="401"/>
      <c r="D432" s="402"/>
      <c r="E432" s="198"/>
      <c r="F432" s="195"/>
      <c r="G432" s="225" t="s">
        <v>159</v>
      </c>
      <c r="H432" s="180" t="s">
        <v>37</v>
      </c>
      <c r="I432" s="398">
        <f ca="1">IFERROR(__xludf.DUMMYFUNCTION("IMPORTRANGE(""https://docs.google.com/spreadsheets/d/11923uPwbBZFjjGgGUA6NLw09EwE0CqkOc4q9oUmW1yo/edit?usp=sharing"",""แม่ฮ่องสอน!I327"")"),21)</f>
        <v>21</v>
      </c>
      <c r="J432" s="392">
        <f ca="1">IFERROR(__xludf.DUMMYFUNCTION("IMPORTRANGE(""https://docs.google.com/spreadsheets/d/11923uPwbBZFjjGgGUA6NLw09EwE0CqkOc4q9oUmW1yo/edit?usp=sharing"",""แม่ฮ่องสอน!J327"")"),0)</f>
        <v>0</v>
      </c>
      <c r="K432" s="163">
        <f t="shared" ca="1" si="113"/>
        <v>0</v>
      </c>
      <c r="L432" s="181"/>
      <c r="M432" s="181"/>
      <c r="N432" s="181"/>
      <c r="O432" s="181"/>
      <c r="P432" s="181"/>
    </row>
    <row r="433" spans="1:16" ht="21.75" customHeight="1" x14ac:dyDescent="0.3">
      <c r="A433" s="175"/>
      <c r="B433" s="176"/>
      <c r="C433" s="176"/>
      <c r="D433" s="193"/>
      <c r="E433" s="194" t="s">
        <v>54</v>
      </c>
      <c r="F433" s="195"/>
      <c r="G433" s="196"/>
      <c r="H433" s="186"/>
      <c r="I433" s="187"/>
      <c r="J433" s="197">
        <f ca="1">IFERROR(__xludf.DUMMYFUNCTION("IMPORTRANGE(""https://docs.google.com/spreadsheets/d/11923uPwbBZFjjGgGUA6NLw09EwE0CqkOc4q9oUmW1yo/edit?usp=sharing"",""แม่ฮ่องสอน!J328"")"),0)</f>
        <v>0</v>
      </c>
      <c r="K433" s="163"/>
      <c r="L433" s="181"/>
      <c r="M433" s="181"/>
      <c r="N433" s="181"/>
      <c r="O433" s="181"/>
      <c r="P433" s="181"/>
    </row>
    <row r="434" spans="1:16" ht="21.75" customHeight="1" x14ac:dyDescent="0.3">
      <c r="A434" s="175"/>
      <c r="B434" s="176"/>
      <c r="C434" s="176"/>
      <c r="D434" s="205">
        <v>3</v>
      </c>
      <c r="E434" s="206" t="s">
        <v>55</v>
      </c>
      <c r="F434" s="207"/>
      <c r="G434" s="208"/>
      <c r="H434" s="186"/>
      <c r="I434" s="187"/>
      <c r="J434" s="209">
        <f ca="1">IFERROR(__xludf.DUMMYFUNCTION("IMPORTRANGE(""https://docs.google.com/spreadsheets/d/11923uPwbBZFjjGgGUA6NLw09EwE0CqkOc4q9oUmW1yo/edit?usp=sharing"",""แม่ฮ่องสอน!J329"")"),0)</f>
        <v>0</v>
      </c>
      <c r="K434" s="163"/>
      <c r="L434" s="181"/>
      <c r="M434" s="181"/>
      <c r="N434" s="181"/>
      <c r="O434" s="181"/>
      <c r="P434" s="181"/>
    </row>
    <row r="435" spans="1:16" ht="21.75" customHeight="1" x14ac:dyDescent="0.3">
      <c r="A435" s="403"/>
      <c r="B435" s="404">
        <v>4</v>
      </c>
      <c r="C435" s="404" t="s">
        <v>160</v>
      </c>
      <c r="D435" s="405"/>
      <c r="E435" s="405"/>
      <c r="F435" s="405"/>
      <c r="G435" s="406"/>
      <c r="H435" s="407" t="s">
        <v>37</v>
      </c>
      <c r="I435" s="408">
        <f ca="1">IFERROR(__xludf.DUMMYFUNCTION("IMPORTRANGE(""https://docs.google.com/spreadsheets/d/11923uPwbBZFjjGgGUA6NLw09EwE0CqkOc4q9oUmW1yo/edit?usp=sharing"",""แม่ฮ่องสอน!I330"")"),20)</f>
        <v>20</v>
      </c>
      <c r="J435" s="408">
        <f ca="1">IFERROR(__xludf.DUMMYFUNCTION("IMPORTRANGE(""https://docs.google.com/spreadsheets/d/11923uPwbBZFjjGgGUA6NLw09EwE0CqkOc4q9oUmW1yo/edit?usp=sharing"",""แม่ฮ่องสอน!J330"")"),20)</f>
        <v>20</v>
      </c>
      <c r="K435" s="409">
        <f ca="1">IF(I435&gt;0,J435*100/I435,0)</f>
        <v>100</v>
      </c>
      <c r="L435" s="410">
        <f ca="1">IFERROR(__xludf.DUMMYFUNCTION("IMPORTRANGE(""https://docs.google.com/spreadsheets/d/11923uPwbBZFjjGgGUA6NLw09EwE0CqkOc4q9oUmW1yo/edit?usp=sharing"",""แม่ฮ่องสอน!L330"")"),95000)</f>
        <v>95000</v>
      </c>
      <c r="M435" s="410"/>
      <c r="N435" s="410">
        <f ca="1">IFERROR(__xludf.DUMMYFUNCTION("IMPORTRANGE(""https://docs.google.com/spreadsheets/d/11923uPwbBZFjjGgGUA6NLw09EwE0CqkOc4q9oUmW1yo/edit?usp=sharing"",""แม่ฮ่องสอน!M330"")"),57929)</f>
        <v>57929</v>
      </c>
      <c r="O435" s="410">
        <f t="shared" ref="O435:O439" ca="1" si="114">+IF(L435&gt;0,N435*100/L435,0)</f>
        <v>60.977894736842103</v>
      </c>
      <c r="P435" s="410"/>
    </row>
    <row r="436" spans="1:16" ht="21.75" customHeight="1" x14ac:dyDescent="0.3">
      <c r="A436" s="156"/>
      <c r="B436" s="157"/>
      <c r="C436" s="157" t="s">
        <v>16</v>
      </c>
      <c r="D436" s="158" t="s">
        <v>38</v>
      </c>
      <c r="E436" s="159"/>
      <c r="F436" s="159"/>
      <c r="G436" s="160" t="s">
        <v>39</v>
      </c>
      <c r="H436" s="161" t="s">
        <v>12</v>
      </c>
      <c r="I436" s="162" t="s">
        <v>40</v>
      </c>
      <c r="J436" s="162"/>
      <c r="K436" s="163"/>
      <c r="L436" s="164">
        <f ca="1">IFERROR(__xludf.DUMMYFUNCTION("IMPORTRANGE(""https://docs.google.com/spreadsheets/d/11923uPwbBZFjjGgGUA6NLw09EwE0CqkOc4q9oUmW1yo/edit?usp=sharing"",""แม่ฮ่องสอน!L331"")"),0)</f>
        <v>0</v>
      </c>
      <c r="M436" s="164"/>
      <c r="N436" s="168">
        <f ca="1">IFERROR(__xludf.DUMMYFUNCTION("IMPORTRANGE(""https://docs.google.com/spreadsheets/d/11923uPwbBZFjjGgGUA6NLw09EwE0CqkOc4q9oUmW1yo/edit?usp=sharing"",""แม่ฮ่องสอน!M331"")"),0)</f>
        <v>0</v>
      </c>
      <c r="O436" s="168">
        <f t="shared" ca="1" si="114"/>
        <v>0</v>
      </c>
      <c r="P436" s="168"/>
    </row>
    <row r="437" spans="1:16" ht="21.75" customHeight="1" x14ac:dyDescent="0.3">
      <c r="A437" s="156"/>
      <c r="B437" s="157"/>
      <c r="C437" s="157"/>
      <c r="D437" s="166"/>
      <c r="E437" s="159"/>
      <c r="F437" s="159" t="s">
        <v>40</v>
      </c>
      <c r="G437" s="160" t="s">
        <v>41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IFERROR(__xludf.DUMMYFUNCTION("IMPORTRANGE(""https://docs.google.com/spreadsheets/d/11923uPwbBZFjjGgGUA6NLw09EwE0CqkOc4q9oUmW1yo/edit?usp=sharing"",""แม่ฮ่องสอน!L332"")"),95000)</f>
        <v>95000</v>
      </c>
      <c r="M437" s="165"/>
      <c r="N437" s="168">
        <f ca="1">IFERROR(__xludf.DUMMYFUNCTION("IMPORTRANGE(""https://docs.google.com/spreadsheets/d/11923uPwbBZFjjGgGUA6NLw09EwE0CqkOc4q9oUmW1yo/edit?usp=sharing"",""แม่ฮ่องสอน!M332"")"),57929)</f>
        <v>57929</v>
      </c>
      <c r="O437" s="168">
        <f t="shared" ca="1" si="114"/>
        <v>60.977894736842103</v>
      </c>
      <c r="P437" s="168"/>
    </row>
    <row r="438" spans="1:16" ht="21.75" customHeight="1" x14ac:dyDescent="0.3">
      <c r="A438" s="156"/>
      <c r="B438" s="157"/>
      <c r="C438" s="157"/>
      <c r="D438" s="166"/>
      <c r="E438" s="159"/>
      <c r="F438" s="159"/>
      <c r="G438" s="372" t="s">
        <v>129</v>
      </c>
      <c r="H438" s="161" t="s">
        <v>12</v>
      </c>
      <c r="I438" s="162"/>
      <c r="J438" s="162"/>
      <c r="K438" s="163"/>
      <c r="L438" s="168">
        <f ca="1">IFERROR(__xludf.DUMMYFUNCTION("IMPORTRANGE(""https://docs.google.com/spreadsheets/d/11923uPwbBZFjjGgGUA6NLw09EwE0CqkOc4q9oUmW1yo/edit?usp=sharing"",""แม่ฮ่องสอน!L333"")"),0)</f>
        <v>0</v>
      </c>
      <c r="M438" s="168"/>
      <c r="N438" s="168">
        <f ca="1">IFERROR(__xludf.DUMMYFUNCTION("IMPORTRANGE(""https://docs.google.com/spreadsheets/d/11923uPwbBZFjjGgGUA6NLw09EwE0CqkOc4q9oUmW1yo/edit?usp=sharing"",""แม่ฮ่องสอน!M333"")"),0)</f>
        <v>0</v>
      </c>
      <c r="O438" s="168">
        <f t="shared" ca="1" si="114"/>
        <v>0</v>
      </c>
      <c r="P438" s="168"/>
    </row>
    <row r="439" spans="1:16" ht="21.75" customHeight="1" x14ac:dyDescent="0.3">
      <c r="A439" s="156"/>
      <c r="B439" s="157"/>
      <c r="C439" s="157"/>
      <c r="D439" s="166"/>
      <c r="E439" s="159"/>
      <c r="F439" s="159"/>
      <c r="G439" s="372" t="s">
        <v>130</v>
      </c>
      <c r="H439" s="161" t="s">
        <v>12</v>
      </c>
      <c r="I439" s="162"/>
      <c r="J439" s="162"/>
      <c r="K439" s="163"/>
      <c r="L439" s="168">
        <f ca="1">IFERROR(__xludf.DUMMYFUNCTION("IMPORTRANGE(""https://docs.google.com/spreadsheets/d/11923uPwbBZFjjGgGUA6NLw09EwE0CqkOc4q9oUmW1yo/edit?usp=sharing"",""แม่ฮ่องสอน!L334"")"),95000)</f>
        <v>95000</v>
      </c>
      <c r="M439" s="168"/>
      <c r="N439" s="168">
        <f ca="1">IFERROR(__xludf.DUMMYFUNCTION("IMPORTRANGE(""https://docs.google.com/spreadsheets/d/11923uPwbBZFjjGgGUA6NLw09EwE0CqkOc4q9oUmW1yo/edit?usp=sharing"",""แม่ฮ่องสอน!M334"")"),57929)</f>
        <v>57929</v>
      </c>
      <c r="O439" s="168">
        <f t="shared" ca="1" si="114"/>
        <v>60.977894736842103</v>
      </c>
      <c r="P439" s="168"/>
    </row>
    <row r="440" spans="1:16" ht="21.75" customHeight="1" x14ac:dyDescent="0.3">
      <c r="A440" s="373"/>
      <c r="B440" s="374"/>
      <c r="C440" s="157"/>
      <c r="D440" s="375"/>
      <c r="E440" s="159"/>
      <c r="F440" s="159"/>
      <c r="G440" s="376" t="s">
        <v>131</v>
      </c>
      <c r="H440" s="161" t="s">
        <v>12</v>
      </c>
      <c r="I440" s="187"/>
      <c r="J440" s="187"/>
      <c r="K440" s="223"/>
      <c r="L440" s="168"/>
      <c r="M440" s="168"/>
      <c r="N440" s="377">
        <f ca="1">IFERROR(__xludf.DUMMYFUNCTION("IMPORTRANGE(""https://docs.google.com/spreadsheets/d/11923uPwbBZFjjGgGUA6NLw09EwE0CqkOc4q9oUmW1yo/edit?usp=sharing"",""แม่ฮ่องสอน!M335"")"),44200)</f>
        <v>44200</v>
      </c>
      <c r="O440" s="168"/>
      <c r="P440" s="168"/>
    </row>
    <row r="441" spans="1:16" ht="21.75" customHeight="1" x14ac:dyDescent="0.3">
      <c r="A441" s="373"/>
      <c r="B441" s="374"/>
      <c r="C441" s="157"/>
      <c r="D441" s="375"/>
      <c r="E441" s="159"/>
      <c r="F441" s="159"/>
      <c r="G441" s="376" t="s">
        <v>132</v>
      </c>
      <c r="H441" s="161" t="s">
        <v>12</v>
      </c>
      <c r="I441" s="187"/>
      <c r="J441" s="187"/>
      <c r="K441" s="223"/>
      <c r="L441" s="168"/>
      <c r="M441" s="168"/>
      <c r="N441" s="377">
        <f ca="1">IFERROR(__xludf.DUMMYFUNCTION("IMPORTRANGE(""https://docs.google.com/spreadsheets/d/11923uPwbBZFjjGgGUA6NLw09EwE0CqkOc4q9oUmW1yo/edit?usp=sharing"",""แม่ฮ่องสอน!M336"")"),0)</f>
        <v>0</v>
      </c>
      <c r="O441" s="168"/>
      <c r="P441" s="168"/>
    </row>
    <row r="442" spans="1:16" ht="21.75" customHeight="1" x14ac:dyDescent="0.3">
      <c r="A442" s="373"/>
      <c r="B442" s="374"/>
      <c r="C442" s="157"/>
      <c r="D442" s="375"/>
      <c r="E442" s="159"/>
      <c r="F442" s="159"/>
      <c r="G442" s="376" t="s">
        <v>133</v>
      </c>
      <c r="H442" s="161" t="s">
        <v>12</v>
      </c>
      <c r="I442" s="187"/>
      <c r="J442" s="187"/>
      <c r="K442" s="223"/>
      <c r="L442" s="168"/>
      <c r="M442" s="168"/>
      <c r="N442" s="377">
        <f ca="1">IFERROR(__xludf.DUMMYFUNCTION("IMPORTRANGE(""https://docs.google.com/spreadsheets/d/11923uPwbBZFjjGgGUA6NLw09EwE0CqkOc4q9oUmW1yo/edit?usp=sharing"",""แม่ฮ่องสอน!M337"")"),0)</f>
        <v>0</v>
      </c>
      <c r="O442" s="168"/>
      <c r="P442" s="168"/>
    </row>
    <row r="443" spans="1:16" ht="21.75" customHeight="1" x14ac:dyDescent="0.3">
      <c r="A443" s="373"/>
      <c r="B443" s="374"/>
      <c r="C443" s="157"/>
      <c r="D443" s="375"/>
      <c r="E443" s="159"/>
      <c r="F443" s="159"/>
      <c r="G443" s="376" t="s">
        <v>134</v>
      </c>
      <c r="H443" s="161" t="s">
        <v>12</v>
      </c>
      <c r="I443" s="187"/>
      <c r="J443" s="187"/>
      <c r="K443" s="223"/>
      <c r="L443" s="168"/>
      <c r="M443" s="168"/>
      <c r="N443" s="377">
        <f ca="1">IFERROR(__xludf.DUMMYFUNCTION("IMPORTRANGE(""https://docs.google.com/spreadsheets/d/11923uPwbBZFjjGgGUA6NLw09EwE0CqkOc4q9oUmW1yo/edit?usp=sharing"",""แม่ฮ่องสอน!M338"")"),13729)</f>
        <v>13729</v>
      </c>
      <c r="O443" s="168"/>
      <c r="P443" s="168"/>
    </row>
    <row r="444" spans="1:16" ht="21.75" customHeight="1" x14ac:dyDescent="0.3">
      <c r="A444" s="175"/>
      <c r="B444" s="176"/>
      <c r="C444" s="157" t="s">
        <v>16</v>
      </c>
      <c r="D444" s="177" t="s">
        <v>44</v>
      </c>
      <c r="E444" s="178"/>
      <c r="F444" s="178"/>
      <c r="G444" s="179"/>
      <c r="H444" s="180"/>
      <c r="I444" s="162"/>
      <c r="J444" s="162"/>
      <c r="K444" s="163"/>
      <c r="L444" s="181"/>
      <c r="M444" s="181"/>
      <c r="N444" s="181"/>
      <c r="O444" s="181"/>
      <c r="P444" s="181"/>
    </row>
    <row r="445" spans="1:16" ht="21.75" customHeight="1" x14ac:dyDescent="0.3">
      <c r="A445" s="175"/>
      <c r="B445" s="176"/>
      <c r="C445" s="176"/>
      <c r="D445" s="182">
        <v>1</v>
      </c>
      <c r="E445" s="183" t="s">
        <v>45</v>
      </c>
      <c r="F445" s="184"/>
      <c r="G445" s="185"/>
      <c r="H445" s="186"/>
      <c r="I445" s="187"/>
      <c r="J445" s="209">
        <f ca="1">IFERROR(__xludf.DUMMYFUNCTION("IMPORTRANGE(""https://docs.google.com/spreadsheets/d/11923uPwbBZFjjGgGUA6NLw09EwE0CqkOc4q9oUmW1yo/edit?usp=sharing"",""แม่ฮ่องสอน!J340"")"),0)</f>
        <v>0</v>
      </c>
      <c r="K445" s="163"/>
      <c r="L445" s="181"/>
      <c r="M445" s="181"/>
      <c r="N445" s="181"/>
      <c r="O445" s="181"/>
      <c r="P445" s="181"/>
    </row>
    <row r="446" spans="1:16" ht="21.75" customHeight="1" x14ac:dyDescent="0.3">
      <c r="A446" s="175"/>
      <c r="B446" s="176"/>
      <c r="C446" s="176"/>
      <c r="D446" s="189">
        <v>2</v>
      </c>
      <c r="E446" s="190" t="s">
        <v>46</v>
      </c>
      <c r="F446" s="191"/>
      <c r="G446" s="192"/>
      <c r="H446" s="186"/>
      <c r="I446" s="187"/>
      <c r="J446" s="411">
        <f ca="1">IFERROR(__xludf.DUMMYFUNCTION("IMPORTRANGE(""https://docs.google.com/spreadsheets/d/11923uPwbBZFjjGgGUA6NLw09EwE0CqkOc4q9oUmW1yo/edit?usp=sharing"",""แม่ฮ่องสอน!J341"")"),1)</f>
        <v>1</v>
      </c>
      <c r="K446" s="163"/>
      <c r="L446" s="181" t="s">
        <v>40</v>
      </c>
      <c r="M446" s="181"/>
      <c r="N446" s="181" t="s">
        <v>40</v>
      </c>
      <c r="O446" s="181"/>
      <c r="P446" s="181"/>
    </row>
    <row r="447" spans="1:16" ht="21.75" customHeight="1" x14ac:dyDescent="0.3">
      <c r="A447" s="175"/>
      <c r="B447" s="176"/>
      <c r="C447" s="176"/>
      <c r="D447" s="193"/>
      <c r="E447" s="194" t="s">
        <v>161</v>
      </c>
      <c r="F447" s="195"/>
      <c r="G447" s="196"/>
      <c r="H447" s="186"/>
      <c r="I447" s="187"/>
      <c r="J447" s="188">
        <f ca="1">IFERROR(__xludf.DUMMYFUNCTION("IMPORTRANGE(""https://docs.google.com/spreadsheets/d/11923uPwbBZFjjGgGUA6NLw09EwE0CqkOc4q9oUmW1yo/edit?usp=sharing"",""แม่ฮ่องสอน!J342"")"),1)</f>
        <v>1</v>
      </c>
      <c r="K447" s="163"/>
      <c r="L447" s="181"/>
      <c r="M447" s="181"/>
      <c r="N447" s="181"/>
      <c r="O447" s="181"/>
      <c r="P447" s="181"/>
    </row>
    <row r="448" spans="1:16" ht="21.75" customHeight="1" x14ac:dyDescent="0.3">
      <c r="A448" s="175"/>
      <c r="B448" s="176"/>
      <c r="C448" s="176"/>
      <c r="D448" s="193"/>
      <c r="E448" s="194" t="s">
        <v>48</v>
      </c>
      <c r="F448" s="195"/>
      <c r="G448" s="196"/>
      <c r="H448" s="186"/>
      <c r="I448" s="187"/>
      <c r="J448" s="188">
        <f ca="1">IFERROR(__xludf.DUMMYFUNCTION("IMPORTRANGE(""https://docs.google.com/spreadsheets/d/11923uPwbBZFjjGgGUA6NLw09EwE0CqkOc4q9oUmW1yo/edit?usp=sharing"",""แม่ฮ่องสอน!J343"")"),1)</f>
        <v>1</v>
      </c>
      <c r="K448" s="163"/>
      <c r="L448" s="181"/>
      <c r="M448" s="181"/>
      <c r="N448" s="181"/>
      <c r="O448" s="181"/>
      <c r="P448" s="181"/>
    </row>
    <row r="449" spans="1:16" ht="21.75" customHeight="1" x14ac:dyDescent="0.3">
      <c r="A449" s="175"/>
      <c r="B449" s="176"/>
      <c r="C449" s="176"/>
      <c r="D449" s="193"/>
      <c r="E449" s="198"/>
      <c r="F449" s="412" t="s">
        <v>101</v>
      </c>
      <c r="G449" s="196"/>
      <c r="H449" s="186" t="s">
        <v>37</v>
      </c>
      <c r="I449" s="389">
        <f ca="1">IFERROR(__xludf.DUMMYFUNCTION("IMPORTRANGE(""https://docs.google.com/spreadsheets/d/11923uPwbBZFjjGgGUA6NLw09EwE0CqkOc4q9oUmW1yo/edit?usp=sharing"",""แม่ฮ่องสอน!I344"")"),20)</f>
        <v>20</v>
      </c>
      <c r="J449" s="200">
        <f ca="1">IFERROR(__xludf.DUMMYFUNCTION("IMPORTRANGE(""https://docs.google.com/spreadsheets/d/11923uPwbBZFjjGgGUA6NLw09EwE0CqkOc4q9oUmW1yo/edit?usp=sharing"",""แม่ฮ่องสอน!J344"")"),20)</f>
        <v>20</v>
      </c>
      <c r="K449" s="163">
        <f t="shared" ref="K449:K452" ca="1" si="115">IF(I449&gt;0,J449*100/I449,0)</f>
        <v>100</v>
      </c>
      <c r="L449" s="181"/>
      <c r="M449" s="181"/>
      <c r="N449" s="181"/>
      <c r="O449" s="181"/>
      <c r="P449" s="181"/>
    </row>
    <row r="450" spans="1:16" ht="21.75" customHeight="1" x14ac:dyDescent="0.3">
      <c r="A450" s="175"/>
      <c r="B450" s="176"/>
      <c r="C450" s="176"/>
      <c r="D450" s="193"/>
      <c r="E450" s="198"/>
      <c r="F450" s="195"/>
      <c r="G450" s="225" t="s">
        <v>162</v>
      </c>
      <c r="H450" s="186" t="s">
        <v>37</v>
      </c>
      <c r="I450" s="339">
        <f ca="1">IFERROR(__xludf.DUMMYFUNCTION("IMPORTRANGE(""https://docs.google.com/spreadsheets/d/11923uPwbBZFjjGgGUA6NLw09EwE0CqkOc4q9oUmW1yo/edit?usp=sharing"",""แม่ฮ่องสอน!I345"")"),20)</f>
        <v>20</v>
      </c>
      <c r="J450" s="188">
        <f ca="1">IFERROR(__xludf.DUMMYFUNCTION("IMPORTRANGE(""https://docs.google.com/spreadsheets/d/11923uPwbBZFjjGgGUA6NLw09EwE0CqkOc4q9oUmW1yo/edit?usp=sharing"",""แม่ฮ่องสอน!J345"")"),20)</f>
        <v>20</v>
      </c>
      <c r="K450" s="163">
        <f t="shared" ca="1" si="115"/>
        <v>100</v>
      </c>
      <c r="L450" s="181"/>
      <c r="M450" s="181"/>
      <c r="N450" s="181"/>
      <c r="O450" s="181"/>
      <c r="P450" s="181"/>
    </row>
    <row r="451" spans="1:16" ht="21.75" customHeight="1" x14ac:dyDescent="0.3">
      <c r="A451" s="175"/>
      <c r="B451" s="176"/>
      <c r="C451" s="176"/>
      <c r="D451" s="193"/>
      <c r="E451" s="198"/>
      <c r="F451" s="195"/>
      <c r="G451" s="279" t="s">
        <v>163</v>
      </c>
      <c r="H451" s="186" t="s">
        <v>37</v>
      </c>
      <c r="I451" s="339">
        <f ca="1">IFERROR(__xludf.DUMMYFUNCTION("IMPORTRANGE(""https://docs.google.com/spreadsheets/d/11923uPwbBZFjjGgGUA6NLw09EwE0CqkOc4q9oUmW1yo/edit?usp=sharing"",""แม่ฮ่องสอน!I346"")"),0)</f>
        <v>0</v>
      </c>
      <c r="J451" s="187">
        <f ca="1">IFERROR(__xludf.DUMMYFUNCTION("IMPORTRANGE(""https://docs.google.com/spreadsheets/d/11923uPwbBZFjjGgGUA6NLw09EwE0CqkOc4q9oUmW1yo/edit?usp=sharing"",""แม่ฮ่องสอน!J346"")"),0)</f>
        <v>0</v>
      </c>
      <c r="K451" s="163">
        <f t="shared" ca="1" si="115"/>
        <v>0</v>
      </c>
      <c r="L451" s="181"/>
      <c r="M451" s="181"/>
      <c r="N451" s="181"/>
      <c r="O451" s="181"/>
      <c r="P451" s="181"/>
    </row>
    <row r="452" spans="1:16" ht="21.75" customHeight="1" x14ac:dyDescent="0.3">
      <c r="A452" s="175"/>
      <c r="B452" s="176"/>
      <c r="C452" s="176"/>
      <c r="D452" s="193"/>
      <c r="E452" s="198"/>
      <c r="F452" s="195"/>
      <c r="G452" s="196" t="s">
        <v>164</v>
      </c>
      <c r="H452" s="186" t="s">
        <v>37</v>
      </c>
      <c r="I452" s="187">
        <f ca="1">IFERROR(__xludf.DUMMYFUNCTION("IMPORTRANGE(""https://docs.google.com/spreadsheets/d/11923uPwbBZFjjGgGUA6NLw09EwE0CqkOc4q9oUmW1yo/edit?usp=sharing"",""แม่ฮ่องสอน!I347"")"),0)</f>
        <v>0</v>
      </c>
      <c r="J452" s="187">
        <f ca="1">IFERROR(__xludf.DUMMYFUNCTION("IMPORTRANGE(""https://docs.google.com/spreadsheets/d/11923uPwbBZFjjGgGUA6NLw09EwE0CqkOc4q9oUmW1yo/edit?usp=sharing"",""แม่ฮ่องสอน!J347"")"),0)</f>
        <v>0</v>
      </c>
      <c r="K452" s="163">
        <f t="shared" ca="1" si="115"/>
        <v>0</v>
      </c>
      <c r="L452" s="181"/>
      <c r="M452" s="181"/>
      <c r="N452" s="181"/>
      <c r="O452" s="181"/>
      <c r="P452" s="181"/>
    </row>
    <row r="453" spans="1:16" ht="21.75" customHeight="1" x14ac:dyDescent="0.3">
      <c r="A453" s="175"/>
      <c r="B453" s="176"/>
      <c r="C453" s="176"/>
      <c r="D453" s="193"/>
      <c r="E453" s="194" t="s">
        <v>54</v>
      </c>
      <c r="F453" s="195"/>
      <c r="G453" s="196"/>
      <c r="H453" s="186"/>
      <c r="I453" s="187"/>
      <c r="J453" s="197">
        <f ca="1">IFERROR(__xludf.DUMMYFUNCTION("IMPORTRANGE(""https://docs.google.com/spreadsheets/d/11923uPwbBZFjjGgGUA6NLw09EwE0CqkOc4q9oUmW1yo/edit?usp=sharing"",""แม่ฮ่องสอน!J348"")"),1)</f>
        <v>1</v>
      </c>
      <c r="K453" s="163"/>
      <c r="L453" s="181"/>
      <c r="M453" s="181"/>
      <c r="N453" s="181"/>
      <c r="O453" s="181"/>
      <c r="P453" s="181"/>
    </row>
    <row r="454" spans="1:16" ht="21.75" customHeight="1" x14ac:dyDescent="0.3">
      <c r="A454" s="175"/>
      <c r="B454" s="176"/>
      <c r="C454" s="176"/>
      <c r="D454" s="205">
        <v>3</v>
      </c>
      <c r="E454" s="206" t="s">
        <v>55</v>
      </c>
      <c r="F454" s="207"/>
      <c r="G454" s="208"/>
      <c r="H454" s="186"/>
      <c r="I454" s="187"/>
      <c r="J454" s="209">
        <f ca="1">IFERROR(__xludf.DUMMYFUNCTION("IMPORTRANGE(""https://docs.google.com/spreadsheets/d/11923uPwbBZFjjGgGUA6NLw09EwE0CqkOc4q9oUmW1yo/edit?usp=sharing"",""แม่ฮ่องสอน!J349"")"),0)</f>
        <v>0</v>
      </c>
      <c r="K454" s="163"/>
      <c r="L454" s="181"/>
      <c r="M454" s="181"/>
      <c r="N454" s="181"/>
      <c r="O454" s="181"/>
      <c r="P454" s="181"/>
    </row>
    <row r="455" spans="1:16" ht="21.75" customHeight="1" x14ac:dyDescent="0.3">
      <c r="A455" s="364"/>
      <c r="B455" s="365">
        <v>5</v>
      </c>
      <c r="C455" s="366" t="s">
        <v>165</v>
      </c>
      <c r="D455" s="366"/>
      <c r="E455" s="366"/>
      <c r="F455" s="366"/>
      <c r="G455" s="367"/>
      <c r="H455" s="368" t="s">
        <v>122</v>
      </c>
      <c r="I455" s="369">
        <f ca="1">IFERROR(__xludf.DUMMYFUNCTION("IMPORTRANGE(""https://docs.google.com/spreadsheets/d/11923uPwbBZFjjGgGUA6NLw09EwE0CqkOc4q9oUmW1yo/edit?usp=sharing"",""แม่ฮ่องสอน!I350"")"),4665)</f>
        <v>4665</v>
      </c>
      <c r="J455" s="369">
        <f ca="1">IFERROR(__xludf.DUMMYFUNCTION("IMPORTRANGE(""https://docs.google.com/spreadsheets/d/11923uPwbBZFjjGgGUA6NLw09EwE0CqkOc4q9oUmW1yo/edit?usp=sharing"",""แม่ฮ่องสอน!J350"")"),4665)</f>
        <v>4665</v>
      </c>
      <c r="K455" s="370">
        <f ca="1">IF(I455&gt;0,J455*100/I455,0)</f>
        <v>100</v>
      </c>
      <c r="L455" s="371">
        <f ca="1">IFERROR(__xludf.DUMMYFUNCTION("IMPORTRANGE(""https://docs.google.com/spreadsheets/d/11923uPwbBZFjjGgGUA6NLw09EwE0CqkOc4q9oUmW1yo/edit?usp=sharing"",""แม่ฮ่องสอน!L350"")"),96393)</f>
        <v>96393</v>
      </c>
      <c r="M455" s="371"/>
      <c r="N455" s="371">
        <f ca="1">IFERROR(__xludf.DUMMYFUNCTION("IMPORTRANGE(""https://docs.google.com/spreadsheets/d/11923uPwbBZFjjGgGUA6NLw09EwE0CqkOc4q9oUmW1yo/edit?usp=sharing"",""แม่ฮ่องสอน!M350"")"),40595)</f>
        <v>40595</v>
      </c>
      <c r="O455" s="371">
        <f t="shared" ref="O455:O459" ca="1" si="116">+IF(L455&gt;0,N455*100/L455,0)</f>
        <v>42.114053925077549</v>
      </c>
      <c r="P455" s="371"/>
    </row>
    <row r="456" spans="1:16" ht="21.75" customHeight="1" x14ac:dyDescent="0.3">
      <c r="A456" s="156"/>
      <c r="B456" s="157"/>
      <c r="C456" s="157" t="s">
        <v>16</v>
      </c>
      <c r="D456" s="158" t="s">
        <v>38</v>
      </c>
      <c r="E456" s="159"/>
      <c r="F456" s="159"/>
      <c r="G456" s="160" t="s">
        <v>39</v>
      </c>
      <c r="H456" s="161" t="s">
        <v>12</v>
      </c>
      <c r="I456" s="162" t="s">
        <v>40</v>
      </c>
      <c r="J456" s="162"/>
      <c r="K456" s="163"/>
      <c r="L456" s="164">
        <f ca="1">IFERROR(__xludf.DUMMYFUNCTION("IMPORTRANGE(""https://docs.google.com/spreadsheets/d/11923uPwbBZFjjGgGUA6NLw09EwE0CqkOc4q9oUmW1yo/edit?usp=sharing"",""แม่ฮ่องสอน!L351"")"),0)</f>
        <v>0</v>
      </c>
      <c r="M456" s="164"/>
      <c r="N456" s="168">
        <f ca="1">IFERROR(__xludf.DUMMYFUNCTION("IMPORTRANGE(""https://docs.google.com/spreadsheets/d/11923uPwbBZFjjGgGUA6NLw09EwE0CqkOc4q9oUmW1yo/edit?usp=sharing"",""แม่ฮ่องสอน!M351"")"),0)</f>
        <v>0</v>
      </c>
      <c r="O456" s="168">
        <f t="shared" ca="1" si="116"/>
        <v>0</v>
      </c>
      <c r="P456" s="168"/>
    </row>
    <row r="457" spans="1:16" ht="21.75" customHeight="1" x14ac:dyDescent="0.3">
      <c r="A457" s="156"/>
      <c r="B457" s="157"/>
      <c r="C457" s="157"/>
      <c r="D457" s="166"/>
      <c r="E457" s="159"/>
      <c r="F457" s="159" t="s">
        <v>40</v>
      </c>
      <c r="G457" s="160" t="s">
        <v>41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IFERROR(__xludf.DUMMYFUNCTION("IMPORTRANGE(""https://docs.google.com/spreadsheets/d/11923uPwbBZFjjGgGUA6NLw09EwE0CqkOc4q9oUmW1yo/edit?usp=sharing"",""แม่ฮ่องสอน!L352"")"),96393)</f>
        <v>96393</v>
      </c>
      <c r="M457" s="165"/>
      <c r="N457" s="168">
        <f ca="1">IFERROR(__xludf.DUMMYFUNCTION("IMPORTRANGE(""https://docs.google.com/spreadsheets/d/11923uPwbBZFjjGgGUA6NLw09EwE0CqkOc4q9oUmW1yo/edit?usp=sharing"",""แม่ฮ่องสอน!M352"")"),40595)</f>
        <v>40595</v>
      </c>
      <c r="O457" s="168">
        <f t="shared" ca="1" si="116"/>
        <v>42.114053925077549</v>
      </c>
      <c r="P457" s="168"/>
    </row>
    <row r="458" spans="1:16" ht="21.75" customHeight="1" x14ac:dyDescent="0.3">
      <c r="A458" s="156"/>
      <c r="B458" s="157"/>
      <c r="C458" s="157"/>
      <c r="D458" s="166"/>
      <c r="E458" s="159"/>
      <c r="F458" s="159"/>
      <c r="G458" s="372" t="s">
        <v>129</v>
      </c>
      <c r="H458" s="161" t="s">
        <v>12</v>
      </c>
      <c r="I458" s="162"/>
      <c r="J458" s="162"/>
      <c r="K458" s="163"/>
      <c r="L458" s="168">
        <f ca="1">IFERROR(__xludf.DUMMYFUNCTION("IMPORTRANGE(""https://docs.google.com/spreadsheets/d/11923uPwbBZFjjGgGUA6NLw09EwE0CqkOc4q9oUmW1yo/edit?usp=sharing"",""แม่ฮ่องสอน!L353"")"),0)</f>
        <v>0</v>
      </c>
      <c r="M458" s="168"/>
      <c r="N458" s="168">
        <f ca="1">IFERROR(__xludf.DUMMYFUNCTION("IMPORTRANGE(""https://docs.google.com/spreadsheets/d/11923uPwbBZFjjGgGUA6NLw09EwE0CqkOc4q9oUmW1yo/edit?usp=sharing"",""แม่ฮ่องสอน!M353"")"),0)</f>
        <v>0</v>
      </c>
      <c r="O458" s="168">
        <f t="shared" ca="1" si="116"/>
        <v>0</v>
      </c>
      <c r="P458" s="168"/>
    </row>
    <row r="459" spans="1:16" ht="21.75" customHeight="1" x14ac:dyDescent="0.3">
      <c r="A459" s="156"/>
      <c r="B459" s="157"/>
      <c r="C459" s="157"/>
      <c r="D459" s="166"/>
      <c r="E459" s="159"/>
      <c r="F459" s="159"/>
      <c r="G459" s="372" t="s">
        <v>130</v>
      </c>
      <c r="H459" s="161" t="s">
        <v>12</v>
      </c>
      <c r="I459" s="162"/>
      <c r="J459" s="162"/>
      <c r="K459" s="163"/>
      <c r="L459" s="168">
        <f ca="1">IFERROR(__xludf.DUMMYFUNCTION("IMPORTRANGE(""https://docs.google.com/spreadsheets/d/11923uPwbBZFjjGgGUA6NLw09EwE0CqkOc4q9oUmW1yo/edit?usp=sharing"",""แม่ฮ่องสอน!L354"")"),96393)</f>
        <v>96393</v>
      </c>
      <c r="M459" s="168"/>
      <c r="N459" s="168">
        <f ca="1">IFERROR(__xludf.DUMMYFUNCTION("IMPORTRANGE(""https://docs.google.com/spreadsheets/d/11923uPwbBZFjjGgGUA6NLw09EwE0CqkOc4q9oUmW1yo/edit?usp=sharing"",""แม่ฮ่องสอน!M354"")"),40595)</f>
        <v>40595</v>
      </c>
      <c r="O459" s="168">
        <f t="shared" ca="1" si="116"/>
        <v>42.114053925077549</v>
      </c>
      <c r="P459" s="168"/>
    </row>
    <row r="460" spans="1:16" ht="21.75" customHeight="1" x14ac:dyDescent="0.3">
      <c r="A460" s="373"/>
      <c r="B460" s="374"/>
      <c r="C460" s="157"/>
      <c r="D460" s="375"/>
      <c r="E460" s="159"/>
      <c r="F460" s="159"/>
      <c r="G460" s="376" t="s">
        <v>131</v>
      </c>
      <c r="H460" s="161" t="s">
        <v>12</v>
      </c>
      <c r="I460" s="187"/>
      <c r="J460" s="187"/>
      <c r="K460" s="223"/>
      <c r="L460" s="168"/>
      <c r="M460" s="168"/>
      <c r="N460" s="167">
        <f ca="1">IFERROR(__xludf.DUMMYFUNCTION("IMPORTRANGE(""https://docs.google.com/spreadsheets/d/11923uPwbBZFjjGgGUA6NLw09EwE0CqkOc4q9oUmW1yo/edit?usp=sharing"",""แม่ฮ่องสอน!M355"")"),0)</f>
        <v>0</v>
      </c>
      <c r="O460" s="168"/>
      <c r="P460" s="168"/>
    </row>
    <row r="461" spans="1:16" ht="21.75" customHeight="1" x14ac:dyDescent="0.3">
      <c r="A461" s="373"/>
      <c r="B461" s="374"/>
      <c r="C461" s="157"/>
      <c r="D461" s="375"/>
      <c r="E461" s="159"/>
      <c r="F461" s="159"/>
      <c r="G461" s="376" t="s">
        <v>132</v>
      </c>
      <c r="H461" s="161" t="s">
        <v>12</v>
      </c>
      <c r="I461" s="187"/>
      <c r="J461" s="187"/>
      <c r="K461" s="223"/>
      <c r="L461" s="168"/>
      <c r="M461" s="168"/>
      <c r="N461" s="167">
        <f ca="1">IFERROR(__xludf.DUMMYFUNCTION("IMPORTRANGE(""https://docs.google.com/spreadsheets/d/11923uPwbBZFjjGgGUA6NLw09EwE0CqkOc4q9oUmW1yo/edit?usp=sharing"",""แม่ฮ่องสอน!M356"")"),0)</f>
        <v>0</v>
      </c>
      <c r="O461" s="168"/>
      <c r="P461" s="168"/>
    </row>
    <row r="462" spans="1:16" ht="21.75" customHeight="1" x14ac:dyDescent="0.3">
      <c r="A462" s="373"/>
      <c r="B462" s="374"/>
      <c r="C462" s="157"/>
      <c r="D462" s="375"/>
      <c r="E462" s="159"/>
      <c r="F462" s="159"/>
      <c r="G462" s="376" t="s">
        <v>133</v>
      </c>
      <c r="H462" s="161" t="s">
        <v>12</v>
      </c>
      <c r="I462" s="187"/>
      <c r="J462" s="187"/>
      <c r="K462" s="223"/>
      <c r="L462" s="168"/>
      <c r="M462" s="168"/>
      <c r="N462" s="377">
        <f ca="1">IFERROR(__xludf.DUMMYFUNCTION("IMPORTRANGE(""https://docs.google.com/spreadsheets/d/11923uPwbBZFjjGgGUA6NLw09EwE0CqkOc4q9oUmW1yo/edit?usp=sharing"",""แม่ฮ่องสอน!M357"")"),0)</f>
        <v>0</v>
      </c>
      <c r="O462" s="168"/>
      <c r="P462" s="168"/>
    </row>
    <row r="463" spans="1:16" ht="21.75" customHeight="1" x14ac:dyDescent="0.3">
      <c r="A463" s="373"/>
      <c r="B463" s="374"/>
      <c r="C463" s="157"/>
      <c r="D463" s="375"/>
      <c r="E463" s="159"/>
      <c r="F463" s="159"/>
      <c r="G463" s="376" t="s">
        <v>134</v>
      </c>
      <c r="H463" s="161" t="s">
        <v>12</v>
      </c>
      <c r="I463" s="187"/>
      <c r="J463" s="187"/>
      <c r="K463" s="223"/>
      <c r="L463" s="168"/>
      <c r="M463" s="168"/>
      <c r="N463" s="377">
        <f ca="1">IFERROR(__xludf.DUMMYFUNCTION("IMPORTRANGE(""https://docs.google.com/spreadsheets/d/11923uPwbBZFjjGgGUA6NLw09EwE0CqkOc4q9oUmW1yo/edit?usp=sharing"",""แม่ฮ่องสอน!M358"")"),40595)</f>
        <v>40595</v>
      </c>
      <c r="O463" s="168"/>
      <c r="P463" s="168"/>
    </row>
    <row r="464" spans="1:16" ht="21.75" customHeight="1" x14ac:dyDescent="0.3">
      <c r="A464" s="175"/>
      <c r="B464" s="176"/>
      <c r="C464" s="413" t="s">
        <v>166</v>
      </c>
      <c r="D464" s="413"/>
      <c r="E464" s="414"/>
      <c r="F464" s="414"/>
      <c r="G464" s="415"/>
      <c r="H464" s="265" t="s">
        <v>122</v>
      </c>
      <c r="I464" s="266">
        <f ca="1">IFERROR(__xludf.DUMMYFUNCTION("IMPORTRANGE(""https://docs.google.com/spreadsheets/d/11923uPwbBZFjjGgGUA6NLw09EwE0CqkOc4q9oUmW1yo/edit?usp=sharing"",""แม่ฮ่องสอน!I359"")"),4665)</f>
        <v>4665</v>
      </c>
      <c r="J464" s="266">
        <f ca="1">IFERROR(__xludf.DUMMYFUNCTION("IMPORTRANGE(""https://docs.google.com/spreadsheets/d/11923uPwbBZFjjGgGUA6NLw09EwE0CqkOc4q9oUmW1yo/edit?usp=sharing"",""แม่ฮ่องสอน!J359"")"),4665)</f>
        <v>4665</v>
      </c>
      <c r="K464" s="267">
        <f t="shared" ref="K464:K515" ca="1" si="117">IF(I464&gt;0,J464*100/I464,0)</f>
        <v>100</v>
      </c>
      <c r="L464" s="290"/>
      <c r="M464" s="290"/>
      <c r="N464" s="290"/>
      <c r="O464" s="290"/>
      <c r="P464" s="290"/>
    </row>
    <row r="465" spans="1:16" ht="21.75" customHeight="1" x14ac:dyDescent="0.3">
      <c r="A465" s="400"/>
      <c r="B465" s="401"/>
      <c r="C465" s="401"/>
      <c r="D465" s="402"/>
      <c r="E465" s="193" t="s">
        <v>167</v>
      </c>
      <c r="F465" s="195"/>
      <c r="G465" s="196"/>
      <c r="H465" s="416" t="s">
        <v>122</v>
      </c>
      <c r="I465" s="417">
        <f ca="1">IFERROR(__xludf.DUMMYFUNCTION("IMPORTRANGE(""https://docs.google.com/spreadsheets/d/11923uPwbBZFjjGgGUA6NLw09EwE0CqkOc4q9oUmW1yo/edit?usp=sharing"",""แม่ฮ่องสอน!I360"")"),4665)</f>
        <v>4665</v>
      </c>
      <c r="J465" s="418">
        <f ca="1">IFERROR(__xludf.DUMMYFUNCTION("IMPORTRANGE(""https://docs.google.com/spreadsheets/d/11923uPwbBZFjjGgGUA6NLw09EwE0CqkOc4q9oUmW1yo/edit?usp=sharing"",""แม่ฮ่องสอน!J360"")"),4665)</f>
        <v>4665</v>
      </c>
      <c r="K465" s="201">
        <f t="shared" ca="1" si="117"/>
        <v>100</v>
      </c>
      <c r="L465" s="181"/>
      <c r="M465" s="181"/>
      <c r="N465" s="181"/>
      <c r="O465" s="181"/>
      <c r="P465" s="181"/>
    </row>
    <row r="466" spans="1:16" ht="21.75" customHeight="1" x14ac:dyDescent="0.3">
      <c r="A466" s="400"/>
      <c r="B466" s="401"/>
      <c r="C466" s="401"/>
      <c r="D466" s="402"/>
      <c r="E466" s="195"/>
      <c r="F466" s="195"/>
      <c r="G466" s="196"/>
      <c r="H466" s="416" t="s">
        <v>36</v>
      </c>
      <c r="I466" s="417">
        <f ca="1">IFERROR(__xludf.DUMMYFUNCTION("IMPORTRANGE(""https://docs.google.com/spreadsheets/d/11923uPwbBZFjjGgGUA6NLw09EwE0CqkOc4q9oUmW1yo/edit?usp=sharing"",""แม่ฮ่องสอน!I361"")"),1134)</f>
        <v>1134</v>
      </c>
      <c r="J466" s="418">
        <f ca="1">IFERROR(__xludf.DUMMYFUNCTION("IMPORTRANGE(""https://docs.google.com/spreadsheets/d/11923uPwbBZFjjGgGUA6NLw09EwE0CqkOc4q9oUmW1yo/edit?usp=sharing"",""แม่ฮ่องสอน!J361"")"),1134)</f>
        <v>1134</v>
      </c>
      <c r="K466" s="201">
        <f t="shared" ca="1" si="117"/>
        <v>100</v>
      </c>
      <c r="L466" s="181"/>
      <c r="M466" s="181"/>
      <c r="N466" s="181"/>
      <c r="O466" s="181"/>
      <c r="P466" s="181"/>
    </row>
    <row r="467" spans="1:16" ht="21.75" customHeight="1" x14ac:dyDescent="0.3">
      <c r="A467" s="400"/>
      <c r="B467" s="401"/>
      <c r="C467" s="401"/>
      <c r="D467" s="402"/>
      <c r="E467" s="195"/>
      <c r="F467" s="388" t="s">
        <v>168</v>
      </c>
      <c r="G467" s="419"/>
      <c r="H467" s="420" t="s">
        <v>122</v>
      </c>
      <c r="I467" s="202">
        <f ca="1">IFERROR(__xludf.DUMMYFUNCTION("IMPORTRANGE(""https://docs.google.com/spreadsheets/d/11923uPwbBZFjjGgGUA6NLw09EwE0CqkOc4q9oUmW1yo/edit?usp=sharing"",""แม่ฮ่องสอน!I362"")"),0)</f>
        <v>0</v>
      </c>
      <c r="J467" s="188">
        <f ca="1">IFERROR(__xludf.DUMMYFUNCTION("IMPORTRANGE(""https://docs.google.com/spreadsheets/d/11923uPwbBZFjjGgGUA6NLw09EwE0CqkOc4q9oUmW1yo/edit?usp=sharing"",""แม่ฮ่องสอน!J362"")"),4581)</f>
        <v>4581</v>
      </c>
      <c r="K467" s="163">
        <f t="shared" ca="1" si="117"/>
        <v>0</v>
      </c>
      <c r="L467" s="181"/>
      <c r="M467" s="181"/>
      <c r="N467" s="181"/>
      <c r="O467" s="181"/>
      <c r="P467" s="181"/>
    </row>
    <row r="468" spans="1:16" ht="21.75" customHeight="1" x14ac:dyDescent="0.3">
      <c r="A468" s="400"/>
      <c r="B468" s="401"/>
      <c r="C468" s="401"/>
      <c r="D468" s="402"/>
      <c r="E468" s="195"/>
      <c r="F468" s="195"/>
      <c r="G468" s="419"/>
      <c r="H468" s="420" t="s">
        <v>36</v>
      </c>
      <c r="I468" s="202">
        <f ca="1">IFERROR(__xludf.DUMMYFUNCTION("IMPORTRANGE(""https://docs.google.com/spreadsheets/d/11923uPwbBZFjjGgGUA6NLw09EwE0CqkOc4q9oUmW1yo/edit?usp=sharing"",""แม่ฮ่องสอน!I363"")"),0)</f>
        <v>0</v>
      </c>
      <c r="J468" s="188">
        <f ca="1">IFERROR(__xludf.DUMMYFUNCTION("IMPORTRANGE(""https://docs.google.com/spreadsheets/d/11923uPwbBZFjjGgGUA6NLw09EwE0CqkOc4q9oUmW1yo/edit?usp=sharing"",""แม่ฮ่องสอน!J363"")"),1123)</f>
        <v>1123</v>
      </c>
      <c r="K468" s="163">
        <f t="shared" ca="1" si="117"/>
        <v>0</v>
      </c>
      <c r="L468" s="181"/>
      <c r="M468" s="181"/>
      <c r="N468" s="181"/>
      <c r="O468" s="181"/>
      <c r="P468" s="181"/>
    </row>
    <row r="469" spans="1:16" ht="21.75" customHeight="1" x14ac:dyDescent="0.3">
      <c r="A469" s="400"/>
      <c r="B469" s="401"/>
      <c r="C469" s="401"/>
      <c r="D469" s="402"/>
      <c r="E469" s="195"/>
      <c r="F469" s="388" t="s">
        <v>169</v>
      </c>
      <c r="G469" s="419"/>
      <c r="H469" s="420" t="s">
        <v>122</v>
      </c>
      <c r="I469" s="202">
        <f ca="1">IFERROR(__xludf.DUMMYFUNCTION("IMPORTRANGE(""https://docs.google.com/spreadsheets/d/11923uPwbBZFjjGgGUA6NLw09EwE0CqkOc4q9oUmW1yo/edit?usp=sharing"",""แม่ฮ่องสอน!I364"")"),0)</f>
        <v>0</v>
      </c>
      <c r="J469" s="188">
        <f ca="1">IFERROR(__xludf.DUMMYFUNCTION("IMPORTRANGE(""https://docs.google.com/spreadsheets/d/11923uPwbBZFjjGgGUA6NLw09EwE0CqkOc4q9oUmW1yo/edit?usp=sharing"",""แม่ฮ่องสอน!J364"")"),66)</f>
        <v>66</v>
      </c>
      <c r="K469" s="163">
        <f t="shared" ca="1" si="117"/>
        <v>0</v>
      </c>
      <c r="L469" s="181"/>
      <c r="M469" s="181"/>
      <c r="N469" s="181"/>
      <c r="O469" s="181"/>
      <c r="P469" s="181"/>
    </row>
    <row r="470" spans="1:16" ht="21.75" customHeight="1" x14ac:dyDescent="0.3">
      <c r="A470" s="400"/>
      <c r="B470" s="401"/>
      <c r="C470" s="401"/>
      <c r="D470" s="402"/>
      <c r="E470" s="195"/>
      <c r="F470" s="195"/>
      <c r="G470" s="419"/>
      <c r="H470" s="420" t="s">
        <v>36</v>
      </c>
      <c r="I470" s="202">
        <f ca="1">IFERROR(__xludf.DUMMYFUNCTION("IMPORTRANGE(""https://docs.google.com/spreadsheets/d/11923uPwbBZFjjGgGUA6NLw09EwE0CqkOc4q9oUmW1yo/edit?usp=sharing"",""แม่ฮ่องสอน!I365"")"),0)</f>
        <v>0</v>
      </c>
      <c r="J470" s="188">
        <f ca="1">IFERROR(__xludf.DUMMYFUNCTION("IMPORTRANGE(""https://docs.google.com/spreadsheets/d/11923uPwbBZFjjGgGUA6NLw09EwE0CqkOc4q9oUmW1yo/edit?usp=sharing"",""แม่ฮ่องสอน!J365"")"),7)</f>
        <v>7</v>
      </c>
      <c r="K470" s="163">
        <f t="shared" ca="1" si="117"/>
        <v>0</v>
      </c>
      <c r="L470" s="181"/>
      <c r="M470" s="181"/>
      <c r="N470" s="181"/>
      <c r="O470" s="181"/>
      <c r="P470" s="181"/>
    </row>
    <row r="471" spans="1:16" ht="21.75" customHeight="1" x14ac:dyDescent="0.3">
      <c r="A471" s="400"/>
      <c r="B471" s="401"/>
      <c r="C471" s="401"/>
      <c r="D471" s="402"/>
      <c r="E471" s="195"/>
      <c r="F471" s="388" t="s">
        <v>170</v>
      </c>
      <c r="G471" s="419"/>
      <c r="H471" s="420" t="s">
        <v>122</v>
      </c>
      <c r="I471" s="202">
        <f ca="1">IFERROR(__xludf.DUMMYFUNCTION("IMPORTRANGE(""https://docs.google.com/spreadsheets/d/11923uPwbBZFjjGgGUA6NLw09EwE0CqkOc4q9oUmW1yo/edit?usp=sharing"",""แม่ฮ่องสอน!I366"")"),0)</f>
        <v>0</v>
      </c>
      <c r="J471" s="188">
        <f ca="1">IFERROR(__xludf.DUMMYFUNCTION("IMPORTRANGE(""https://docs.google.com/spreadsheets/d/11923uPwbBZFjjGgGUA6NLw09EwE0CqkOc4q9oUmW1yo/edit?usp=sharing"",""แม่ฮ่องสอน!J366"")"),18)</f>
        <v>18</v>
      </c>
      <c r="K471" s="163">
        <f t="shared" ca="1" si="117"/>
        <v>0</v>
      </c>
      <c r="L471" s="181"/>
      <c r="M471" s="181"/>
      <c r="N471" s="181"/>
      <c r="O471" s="181"/>
      <c r="P471" s="181"/>
    </row>
    <row r="472" spans="1:16" ht="21.75" customHeight="1" x14ac:dyDescent="0.3">
      <c r="A472" s="400"/>
      <c r="B472" s="401"/>
      <c r="C472" s="401"/>
      <c r="D472" s="402"/>
      <c r="E472" s="195"/>
      <c r="F472" s="195"/>
      <c r="G472" s="195"/>
      <c r="H472" s="420" t="s">
        <v>36</v>
      </c>
      <c r="I472" s="202">
        <f ca="1">IFERROR(__xludf.DUMMYFUNCTION("IMPORTRANGE(""https://docs.google.com/spreadsheets/d/11923uPwbBZFjjGgGUA6NLw09EwE0CqkOc4q9oUmW1yo/edit?usp=sharing"",""แม่ฮ่องสอน!I367"")"),0)</f>
        <v>0</v>
      </c>
      <c r="J472" s="188">
        <f ca="1">IFERROR(__xludf.DUMMYFUNCTION("IMPORTRANGE(""https://docs.google.com/spreadsheets/d/11923uPwbBZFjjGgGUA6NLw09EwE0CqkOc4q9oUmW1yo/edit?usp=sharing"",""แม่ฮ่องสอน!J367"")"),4)</f>
        <v>4</v>
      </c>
      <c r="K472" s="163">
        <f t="shared" ca="1" si="117"/>
        <v>0</v>
      </c>
      <c r="L472" s="181"/>
      <c r="M472" s="181"/>
      <c r="N472" s="181"/>
      <c r="O472" s="181"/>
      <c r="P472" s="181"/>
    </row>
    <row r="473" spans="1:16" ht="21.75" customHeight="1" x14ac:dyDescent="0.3">
      <c r="A473" s="400"/>
      <c r="B473" s="401"/>
      <c r="C473" s="401"/>
      <c r="D473" s="402"/>
      <c r="E473" s="289" t="s">
        <v>171</v>
      </c>
      <c r="F473" s="195"/>
      <c r="G473" s="196"/>
      <c r="H473" s="416" t="s">
        <v>122</v>
      </c>
      <c r="I473" s="418">
        <f ca="1">IFERROR(__xludf.DUMMYFUNCTION("IMPORTRANGE(""https://docs.google.com/spreadsheets/d/11923uPwbBZFjjGgGUA6NLw09EwE0CqkOc4q9oUmW1yo/edit?usp=sharing"",""แม่ฮ่องสอน!I368"")"),4665)</f>
        <v>4665</v>
      </c>
      <c r="J473" s="418">
        <f ca="1">IFERROR(__xludf.DUMMYFUNCTION("IMPORTRANGE(""https://docs.google.com/spreadsheets/d/11923uPwbBZFjjGgGUA6NLw09EwE0CqkOc4q9oUmW1yo/edit?usp=sharing"",""แม่ฮ่องสอน!J368"")"),4665)</f>
        <v>4665</v>
      </c>
      <c r="K473" s="201">
        <f t="shared" ca="1" si="117"/>
        <v>100</v>
      </c>
      <c r="L473" s="181"/>
      <c r="M473" s="181"/>
      <c r="N473" s="181"/>
      <c r="O473" s="181"/>
      <c r="P473" s="181"/>
    </row>
    <row r="474" spans="1:16" ht="21.75" customHeight="1" x14ac:dyDescent="0.3">
      <c r="A474" s="400"/>
      <c r="B474" s="401"/>
      <c r="C474" s="401"/>
      <c r="D474" s="402"/>
      <c r="E474" s="195"/>
      <c r="F474" s="195"/>
      <c r="G474" s="196"/>
      <c r="H474" s="416" t="s">
        <v>36</v>
      </c>
      <c r="I474" s="417">
        <f ca="1">IFERROR(__xludf.DUMMYFUNCTION("IMPORTRANGE(""https://docs.google.com/spreadsheets/d/11923uPwbBZFjjGgGUA6NLw09EwE0CqkOc4q9oUmW1yo/edit?usp=sharing"",""แม่ฮ่องสอน!I369"")"),1134)</f>
        <v>1134</v>
      </c>
      <c r="J474" s="418">
        <f ca="1">IFERROR(__xludf.DUMMYFUNCTION("IMPORTRANGE(""https://docs.google.com/spreadsheets/d/11923uPwbBZFjjGgGUA6NLw09EwE0CqkOc4q9oUmW1yo/edit?usp=sharing"",""แม่ฮ่องสอน!J369"")"),1134)</f>
        <v>1134</v>
      </c>
      <c r="K474" s="163">
        <f t="shared" ca="1" si="117"/>
        <v>100</v>
      </c>
      <c r="L474" s="181"/>
      <c r="M474" s="181"/>
      <c r="N474" s="181"/>
      <c r="O474" s="181"/>
      <c r="P474" s="181"/>
    </row>
    <row r="475" spans="1:16" ht="21.75" customHeight="1" x14ac:dyDescent="0.3">
      <c r="A475" s="400"/>
      <c r="B475" s="401"/>
      <c r="C475" s="401"/>
      <c r="D475" s="402"/>
      <c r="E475" s="195"/>
      <c r="F475" s="194" t="s">
        <v>172</v>
      </c>
      <c r="G475" s="419"/>
      <c r="H475" s="420" t="s">
        <v>122</v>
      </c>
      <c r="I475" s="202">
        <f ca="1">IFERROR(__xludf.DUMMYFUNCTION("IMPORTRANGE(""https://docs.google.com/spreadsheets/d/11923uPwbBZFjjGgGUA6NLw09EwE0CqkOc4q9oUmW1yo/edit?usp=sharing"",""แม่ฮ่องสอน!I370"")"),0)</f>
        <v>0</v>
      </c>
      <c r="J475" s="188">
        <f ca="1">IFERROR(__xludf.DUMMYFUNCTION("IMPORTRANGE(""https://docs.google.com/spreadsheets/d/11923uPwbBZFjjGgGUA6NLw09EwE0CqkOc4q9oUmW1yo/edit?usp=sharing"",""แม่ฮ่องสอน!J370"")"),4634)</f>
        <v>4634</v>
      </c>
      <c r="K475" s="163">
        <f t="shared" ca="1" si="117"/>
        <v>0</v>
      </c>
      <c r="L475" s="181"/>
      <c r="M475" s="181"/>
      <c r="N475" s="181"/>
      <c r="O475" s="181"/>
      <c r="P475" s="181"/>
    </row>
    <row r="476" spans="1:16" ht="21.75" customHeight="1" x14ac:dyDescent="0.3">
      <c r="A476" s="400"/>
      <c r="B476" s="401"/>
      <c r="C476" s="401"/>
      <c r="D476" s="402"/>
      <c r="E476" s="195"/>
      <c r="F476" s="195"/>
      <c r="G476" s="419"/>
      <c r="H476" s="420" t="s">
        <v>36</v>
      </c>
      <c r="I476" s="202">
        <f ca="1">IFERROR(__xludf.DUMMYFUNCTION("IMPORTRANGE(""https://docs.google.com/spreadsheets/d/11923uPwbBZFjjGgGUA6NLw09EwE0CqkOc4q9oUmW1yo/edit?usp=sharing"",""แม่ฮ่องสอน!I371"")"),0)</f>
        <v>0</v>
      </c>
      <c r="J476" s="188">
        <f ca="1">IFERROR(__xludf.DUMMYFUNCTION("IMPORTRANGE(""https://docs.google.com/spreadsheets/d/11923uPwbBZFjjGgGUA6NLw09EwE0CqkOc4q9oUmW1yo/edit?usp=sharing"",""แม่ฮ่องสอน!J371"")"),1122)</f>
        <v>1122</v>
      </c>
      <c r="K476" s="163">
        <f t="shared" ca="1" si="117"/>
        <v>0</v>
      </c>
      <c r="L476" s="181"/>
      <c r="M476" s="181"/>
      <c r="N476" s="181"/>
      <c r="O476" s="181"/>
      <c r="P476" s="181"/>
    </row>
    <row r="477" spans="1:16" ht="21.75" customHeight="1" x14ac:dyDescent="0.3">
      <c r="A477" s="400"/>
      <c r="B477" s="401"/>
      <c r="C477" s="401"/>
      <c r="D477" s="402"/>
      <c r="E477" s="195"/>
      <c r="F477" s="194" t="s">
        <v>173</v>
      </c>
      <c r="G477" s="419"/>
      <c r="H477" s="420" t="s">
        <v>122</v>
      </c>
      <c r="I477" s="202">
        <f ca="1">IFERROR(__xludf.DUMMYFUNCTION("IMPORTRANGE(""https://docs.google.com/spreadsheets/d/11923uPwbBZFjjGgGUA6NLw09EwE0CqkOc4q9oUmW1yo/edit?usp=sharing"",""แม่ฮ่องสอน!I372"")"),0)</f>
        <v>0</v>
      </c>
      <c r="J477" s="188">
        <f ca="1">IFERROR(__xludf.DUMMYFUNCTION("IMPORTRANGE(""https://docs.google.com/spreadsheets/d/11923uPwbBZFjjGgGUA6NLw09EwE0CqkOc4q9oUmW1yo/edit?usp=sharing"",""แม่ฮ่องสอน!J372"")"),13)</f>
        <v>13</v>
      </c>
      <c r="K477" s="163">
        <f t="shared" ca="1" si="117"/>
        <v>0</v>
      </c>
      <c r="L477" s="181"/>
      <c r="M477" s="181"/>
      <c r="N477" s="181"/>
      <c r="O477" s="181"/>
      <c r="P477" s="181"/>
    </row>
    <row r="478" spans="1:16" ht="21.75" customHeight="1" x14ac:dyDescent="0.3">
      <c r="A478" s="400"/>
      <c r="B478" s="401"/>
      <c r="C478" s="401"/>
      <c r="D478" s="402"/>
      <c r="E478" s="195"/>
      <c r="F478" s="195"/>
      <c r="G478" s="419"/>
      <c r="H478" s="420" t="s">
        <v>36</v>
      </c>
      <c r="I478" s="202">
        <f ca="1">IFERROR(__xludf.DUMMYFUNCTION("IMPORTRANGE(""https://docs.google.com/spreadsheets/d/11923uPwbBZFjjGgGUA6NLw09EwE0CqkOc4q9oUmW1yo/edit?usp=sharing"",""แม่ฮ่องสอน!I373"")"),0)</f>
        <v>0</v>
      </c>
      <c r="J478" s="188">
        <f ca="1">IFERROR(__xludf.DUMMYFUNCTION("IMPORTRANGE(""https://docs.google.com/spreadsheets/d/11923uPwbBZFjjGgGUA6NLw09EwE0CqkOc4q9oUmW1yo/edit?usp=sharing"",""แม่ฮ่องสอน!J373"")"),8)</f>
        <v>8</v>
      </c>
      <c r="K478" s="163">
        <f t="shared" ca="1" si="117"/>
        <v>0</v>
      </c>
      <c r="L478" s="181"/>
      <c r="M478" s="181"/>
      <c r="N478" s="181"/>
      <c r="O478" s="181"/>
      <c r="P478" s="181"/>
    </row>
    <row r="479" spans="1:16" ht="21.75" customHeight="1" x14ac:dyDescent="0.3">
      <c r="A479" s="400"/>
      <c r="B479" s="401"/>
      <c r="C479" s="401"/>
      <c r="D479" s="402"/>
      <c r="E479" s="195"/>
      <c r="F479" s="194" t="s">
        <v>174</v>
      </c>
      <c r="G479" s="419"/>
      <c r="H479" s="420" t="s">
        <v>122</v>
      </c>
      <c r="I479" s="202">
        <f ca="1">IFERROR(__xludf.DUMMYFUNCTION("IMPORTRANGE(""https://docs.google.com/spreadsheets/d/11923uPwbBZFjjGgGUA6NLw09EwE0CqkOc4q9oUmW1yo/edit?usp=sharing"",""แม่ฮ่องสอน!I374"")"),0)</f>
        <v>0</v>
      </c>
      <c r="J479" s="188">
        <f ca="1">IFERROR(__xludf.DUMMYFUNCTION("IMPORTRANGE(""https://docs.google.com/spreadsheets/d/11923uPwbBZFjjGgGUA6NLw09EwE0CqkOc4q9oUmW1yo/edit?usp=sharing"",""แม่ฮ่องสอน!J374"")"),18)</f>
        <v>18</v>
      </c>
      <c r="K479" s="163">
        <f t="shared" ca="1" si="117"/>
        <v>0</v>
      </c>
      <c r="L479" s="181"/>
      <c r="M479" s="181"/>
      <c r="N479" s="181"/>
      <c r="O479" s="181"/>
      <c r="P479" s="181"/>
    </row>
    <row r="480" spans="1:16" ht="21.75" customHeight="1" x14ac:dyDescent="0.3">
      <c r="A480" s="400"/>
      <c r="B480" s="401"/>
      <c r="C480" s="401"/>
      <c r="D480" s="402"/>
      <c r="E480" s="195"/>
      <c r="F480" s="195"/>
      <c r="G480" s="196"/>
      <c r="H480" s="420" t="s">
        <v>36</v>
      </c>
      <c r="I480" s="202">
        <f ca="1">IFERROR(__xludf.DUMMYFUNCTION("IMPORTRANGE(""https://docs.google.com/spreadsheets/d/11923uPwbBZFjjGgGUA6NLw09EwE0CqkOc4q9oUmW1yo/edit?usp=sharing"",""แม่ฮ่องสอน!I375"")"),0)</f>
        <v>0</v>
      </c>
      <c r="J480" s="188">
        <f ca="1">IFERROR(__xludf.DUMMYFUNCTION("IMPORTRANGE(""https://docs.google.com/spreadsheets/d/11923uPwbBZFjjGgGUA6NLw09EwE0CqkOc4q9oUmW1yo/edit?usp=sharing"",""แม่ฮ่องสอน!J375"")"),4)</f>
        <v>4</v>
      </c>
      <c r="K480" s="163">
        <f t="shared" ca="1" si="117"/>
        <v>0</v>
      </c>
      <c r="L480" s="181"/>
      <c r="M480" s="181"/>
      <c r="N480" s="181"/>
      <c r="O480" s="181"/>
      <c r="P480" s="181"/>
    </row>
    <row r="481" spans="1:16" ht="21.75" customHeight="1" x14ac:dyDescent="0.3">
      <c r="A481" s="421"/>
      <c r="B481" s="422"/>
      <c r="C481" s="422"/>
      <c r="D481" s="423"/>
      <c r="E481" s="424" t="s">
        <v>175</v>
      </c>
      <c r="F481" s="425"/>
      <c r="G481" s="426"/>
      <c r="H481" s="427" t="s">
        <v>122</v>
      </c>
      <c r="I481" s="418">
        <f ca="1">IFERROR(__xludf.DUMMYFUNCTION("IMPORTRANGE(""https://docs.google.com/spreadsheets/d/11923uPwbBZFjjGgGUA6NLw09EwE0CqkOc4q9oUmW1yo/edit?usp=sharing"",""แม่ฮ่องสอน!I376"")"),4665)</f>
        <v>4665</v>
      </c>
      <c r="J481" s="418">
        <f ca="1">IFERROR(__xludf.DUMMYFUNCTION("IMPORTRANGE(""https://docs.google.com/spreadsheets/d/11923uPwbBZFjjGgGUA6NLw09EwE0CqkOc4q9oUmW1yo/edit?usp=sharing"",""แม่ฮ่องสอน!J376"")"),4665)</f>
        <v>4665</v>
      </c>
      <c r="K481" s="201">
        <f t="shared" ca="1" si="117"/>
        <v>100</v>
      </c>
      <c r="L481" s="428"/>
      <c r="M481" s="428"/>
      <c r="N481" s="428"/>
      <c r="O481" s="428"/>
      <c r="P481" s="428"/>
    </row>
    <row r="482" spans="1:16" ht="21.75" customHeight="1" x14ac:dyDescent="0.3">
      <c r="A482" s="400"/>
      <c r="B482" s="401"/>
      <c r="C482" s="401"/>
      <c r="D482" s="402"/>
      <c r="E482" s="195"/>
      <c r="F482" s="195"/>
      <c r="G482" s="196"/>
      <c r="H482" s="416" t="s">
        <v>36</v>
      </c>
      <c r="I482" s="417">
        <f ca="1">IFERROR(__xludf.DUMMYFUNCTION("IMPORTRANGE(""https://docs.google.com/spreadsheets/d/11923uPwbBZFjjGgGUA6NLw09EwE0CqkOc4q9oUmW1yo/edit?usp=sharing"",""แม่ฮ่องสอน!I377"")"),1134)</f>
        <v>1134</v>
      </c>
      <c r="J482" s="418">
        <f ca="1">IFERROR(__xludf.DUMMYFUNCTION("IMPORTRANGE(""https://docs.google.com/spreadsheets/d/11923uPwbBZFjjGgGUA6NLw09EwE0CqkOc4q9oUmW1yo/edit?usp=sharing"",""แม่ฮ่องสอน!J377"")"),1134)</f>
        <v>1134</v>
      </c>
      <c r="K482" s="163">
        <f t="shared" ca="1" si="117"/>
        <v>100</v>
      </c>
      <c r="L482" s="181"/>
      <c r="M482" s="181"/>
      <c r="N482" s="181"/>
      <c r="O482" s="181"/>
      <c r="P482" s="181"/>
    </row>
    <row r="483" spans="1:16" ht="21.75" customHeight="1" x14ac:dyDescent="0.3">
      <c r="A483" s="400"/>
      <c r="B483" s="401"/>
      <c r="C483" s="401"/>
      <c r="D483" s="402"/>
      <c r="E483" s="195"/>
      <c r="F483" s="194" t="s">
        <v>176</v>
      </c>
      <c r="G483" s="419"/>
      <c r="H483" s="420" t="s">
        <v>122</v>
      </c>
      <c r="I483" s="202">
        <f ca="1">IFERROR(__xludf.DUMMYFUNCTION("IMPORTRANGE(""https://docs.google.com/spreadsheets/d/11923uPwbBZFjjGgGUA6NLw09EwE0CqkOc4q9oUmW1yo/edit?usp=sharing"",""แม่ฮ่องสอน!I378"")"),0)</f>
        <v>0</v>
      </c>
      <c r="J483" s="188">
        <f ca="1">IFERROR(__xludf.DUMMYFUNCTION("IMPORTRANGE(""https://docs.google.com/spreadsheets/d/11923uPwbBZFjjGgGUA6NLw09EwE0CqkOc4q9oUmW1yo/edit?usp=sharing"",""แม่ฮ่องสอน!J378"")"),4634)</f>
        <v>4634</v>
      </c>
      <c r="K483" s="163">
        <f t="shared" ca="1" si="117"/>
        <v>0</v>
      </c>
      <c r="L483" s="181"/>
      <c r="M483" s="181"/>
      <c r="N483" s="181"/>
      <c r="O483" s="181"/>
      <c r="P483" s="181"/>
    </row>
    <row r="484" spans="1:16" ht="21.75" customHeight="1" x14ac:dyDescent="0.3">
      <c r="A484" s="400"/>
      <c r="B484" s="401"/>
      <c r="C484" s="401"/>
      <c r="D484" s="402"/>
      <c r="E484" s="195"/>
      <c r="F484" s="195"/>
      <c r="G484" s="419"/>
      <c r="H484" s="420" t="s">
        <v>36</v>
      </c>
      <c r="I484" s="202">
        <f ca="1">IFERROR(__xludf.DUMMYFUNCTION("IMPORTRANGE(""https://docs.google.com/spreadsheets/d/11923uPwbBZFjjGgGUA6NLw09EwE0CqkOc4q9oUmW1yo/edit?usp=sharing"",""แม่ฮ่องสอน!I379"")"),0)</f>
        <v>0</v>
      </c>
      <c r="J484" s="188">
        <f ca="1">IFERROR(__xludf.DUMMYFUNCTION("IMPORTRANGE(""https://docs.google.com/spreadsheets/d/11923uPwbBZFjjGgGUA6NLw09EwE0CqkOc4q9oUmW1yo/edit?usp=sharing"",""แม่ฮ่องสอน!J379"")"),1122)</f>
        <v>1122</v>
      </c>
      <c r="K484" s="163">
        <f t="shared" ca="1" si="117"/>
        <v>0</v>
      </c>
      <c r="L484" s="181"/>
      <c r="M484" s="181"/>
      <c r="N484" s="181"/>
      <c r="O484" s="181"/>
      <c r="P484" s="181"/>
    </row>
    <row r="485" spans="1:16" ht="21.75" customHeight="1" x14ac:dyDescent="0.3">
      <c r="A485" s="400"/>
      <c r="B485" s="401"/>
      <c r="C485" s="401"/>
      <c r="D485" s="402"/>
      <c r="E485" s="195"/>
      <c r="F485" s="194" t="s">
        <v>177</v>
      </c>
      <c r="G485" s="419"/>
      <c r="H485" s="420" t="s">
        <v>122</v>
      </c>
      <c r="I485" s="202">
        <f ca="1">IFERROR(__xludf.DUMMYFUNCTION("IMPORTRANGE(""https://docs.google.com/spreadsheets/d/11923uPwbBZFjjGgGUA6NLw09EwE0CqkOc4q9oUmW1yo/edit?usp=sharing"",""แม่ฮ่องสอน!I380"")"),0)</f>
        <v>0</v>
      </c>
      <c r="J485" s="188">
        <f ca="1">IFERROR(__xludf.DUMMYFUNCTION("IMPORTRANGE(""https://docs.google.com/spreadsheets/d/11923uPwbBZFjjGgGUA6NLw09EwE0CqkOc4q9oUmW1yo/edit?usp=sharing"",""แม่ฮ่องสอน!J380"")"),13)</f>
        <v>13</v>
      </c>
      <c r="K485" s="163">
        <f t="shared" ca="1" si="117"/>
        <v>0</v>
      </c>
      <c r="L485" s="181"/>
      <c r="M485" s="181"/>
      <c r="N485" s="181"/>
      <c r="O485" s="181"/>
      <c r="P485" s="181"/>
    </row>
    <row r="486" spans="1:16" ht="21.75" customHeight="1" x14ac:dyDescent="0.3">
      <c r="A486" s="400"/>
      <c r="B486" s="401"/>
      <c r="C486" s="401"/>
      <c r="D486" s="402"/>
      <c r="E486" s="195"/>
      <c r="F486" s="195"/>
      <c r="G486" s="419"/>
      <c r="H486" s="420" t="s">
        <v>36</v>
      </c>
      <c r="I486" s="202">
        <f ca="1">IFERROR(__xludf.DUMMYFUNCTION("IMPORTRANGE(""https://docs.google.com/spreadsheets/d/11923uPwbBZFjjGgGUA6NLw09EwE0CqkOc4q9oUmW1yo/edit?usp=sharing"",""แม่ฮ่องสอน!I381"")"),0)</f>
        <v>0</v>
      </c>
      <c r="J486" s="188">
        <f ca="1">IFERROR(__xludf.DUMMYFUNCTION("IMPORTRANGE(""https://docs.google.com/spreadsheets/d/11923uPwbBZFjjGgGUA6NLw09EwE0CqkOc4q9oUmW1yo/edit?usp=sharing"",""แม่ฮ่องสอน!J381"")"),8)</f>
        <v>8</v>
      </c>
      <c r="K486" s="163">
        <f t="shared" ca="1" si="117"/>
        <v>0</v>
      </c>
      <c r="L486" s="181"/>
      <c r="M486" s="181"/>
      <c r="N486" s="181"/>
      <c r="O486" s="181"/>
      <c r="P486" s="181"/>
    </row>
    <row r="487" spans="1:16" ht="21.75" customHeight="1" x14ac:dyDescent="0.3">
      <c r="A487" s="400"/>
      <c r="B487" s="401"/>
      <c r="C487" s="401"/>
      <c r="D487" s="402"/>
      <c r="E487" s="195"/>
      <c r="F487" s="194" t="s">
        <v>178</v>
      </c>
      <c r="G487" s="419"/>
      <c r="H487" s="420" t="s">
        <v>122</v>
      </c>
      <c r="I487" s="202">
        <f ca="1">IFERROR(__xludf.DUMMYFUNCTION("IMPORTRANGE(""https://docs.google.com/spreadsheets/d/11923uPwbBZFjjGgGUA6NLw09EwE0CqkOc4q9oUmW1yo/edit?usp=sharing"",""แม่ฮ่องสอน!I382"")"),0)</f>
        <v>0</v>
      </c>
      <c r="J487" s="418">
        <f ca="1">IFERROR(__xludf.DUMMYFUNCTION("IMPORTRANGE(""https://docs.google.com/spreadsheets/d/11923uPwbBZFjjGgGUA6NLw09EwE0CqkOc4q9oUmW1yo/edit?usp=sharing"",""แม่ฮ่องสอน!J382"")"),18)</f>
        <v>18</v>
      </c>
      <c r="K487" s="163">
        <f t="shared" ca="1" si="117"/>
        <v>0</v>
      </c>
      <c r="L487" s="181"/>
      <c r="M487" s="181"/>
      <c r="N487" s="181"/>
      <c r="O487" s="181"/>
      <c r="P487" s="181"/>
    </row>
    <row r="488" spans="1:16" ht="21.75" customHeight="1" x14ac:dyDescent="0.3">
      <c r="A488" s="400"/>
      <c r="B488" s="401"/>
      <c r="C488" s="401"/>
      <c r="D488" s="402"/>
      <c r="E488" s="195"/>
      <c r="F488" s="195"/>
      <c r="G488" s="195"/>
      <c r="H488" s="420" t="s">
        <v>36</v>
      </c>
      <c r="I488" s="202">
        <f ca="1">IFERROR(__xludf.DUMMYFUNCTION("IMPORTRANGE(""https://docs.google.com/spreadsheets/d/11923uPwbBZFjjGgGUA6NLw09EwE0CqkOc4q9oUmW1yo/edit?usp=sharing"",""แม่ฮ่องสอน!I383"")"),0)</f>
        <v>0</v>
      </c>
      <c r="J488" s="418">
        <f ca="1">IFERROR(__xludf.DUMMYFUNCTION("IMPORTRANGE(""https://docs.google.com/spreadsheets/d/11923uPwbBZFjjGgGUA6NLw09EwE0CqkOc4q9oUmW1yo/edit?usp=sharing"",""แม่ฮ่องสอน!J383"")"),4)</f>
        <v>4</v>
      </c>
      <c r="K488" s="163">
        <f t="shared" ca="1" si="117"/>
        <v>0</v>
      </c>
      <c r="L488" s="181"/>
      <c r="M488" s="181"/>
      <c r="N488" s="181"/>
      <c r="O488" s="181"/>
      <c r="P488" s="181"/>
    </row>
    <row r="489" spans="1:16" ht="21.75" customHeight="1" x14ac:dyDescent="0.3">
      <c r="A489" s="400"/>
      <c r="B489" s="401"/>
      <c r="C489" s="401"/>
      <c r="D489" s="402"/>
      <c r="E489" s="195"/>
      <c r="F489" s="195"/>
      <c r="G489" s="194" t="s">
        <v>179</v>
      </c>
      <c r="H489" s="420" t="s">
        <v>122</v>
      </c>
      <c r="I489" s="202">
        <f ca="1">IFERROR(__xludf.DUMMYFUNCTION("IMPORTRANGE(""https://docs.google.com/spreadsheets/d/11923uPwbBZFjjGgGUA6NLw09EwE0CqkOc4q9oUmW1yo/edit?usp=sharing"",""แม่ฮ่องสอน!I384"")"),0)</f>
        <v>0</v>
      </c>
      <c r="J489" s="188">
        <f ca="1">IFERROR(__xludf.DUMMYFUNCTION("IMPORTRANGE(""https://docs.google.com/spreadsheets/d/11923uPwbBZFjjGgGUA6NLw09EwE0CqkOc4q9oUmW1yo/edit?usp=sharing"",""แม่ฮ่องสอน!J384"")"),18)</f>
        <v>18</v>
      </c>
      <c r="K489" s="163">
        <f t="shared" ca="1" si="117"/>
        <v>0</v>
      </c>
      <c r="L489" s="181"/>
      <c r="M489" s="181"/>
      <c r="N489" s="181"/>
      <c r="O489" s="181"/>
      <c r="P489" s="181"/>
    </row>
    <row r="490" spans="1:16" ht="21.75" customHeight="1" x14ac:dyDescent="0.3">
      <c r="A490" s="400"/>
      <c r="B490" s="401"/>
      <c r="C490" s="401"/>
      <c r="D490" s="402"/>
      <c r="E490" s="195"/>
      <c r="F490" s="195"/>
      <c r="G490" s="195"/>
      <c r="H490" s="420" t="s">
        <v>36</v>
      </c>
      <c r="I490" s="202">
        <f ca="1">IFERROR(__xludf.DUMMYFUNCTION("IMPORTRANGE(""https://docs.google.com/spreadsheets/d/11923uPwbBZFjjGgGUA6NLw09EwE0CqkOc4q9oUmW1yo/edit?usp=sharing"",""แม่ฮ่องสอน!I385"")"),0)</f>
        <v>0</v>
      </c>
      <c r="J490" s="188">
        <f ca="1">IFERROR(__xludf.DUMMYFUNCTION("IMPORTRANGE(""https://docs.google.com/spreadsheets/d/11923uPwbBZFjjGgGUA6NLw09EwE0CqkOc4q9oUmW1yo/edit?usp=sharing"",""แม่ฮ่องสอน!J385"")"),4)</f>
        <v>4</v>
      </c>
      <c r="K490" s="163">
        <f t="shared" ca="1" si="117"/>
        <v>0</v>
      </c>
      <c r="L490" s="181"/>
      <c r="M490" s="181"/>
      <c r="N490" s="181"/>
      <c r="O490" s="181"/>
      <c r="P490" s="181"/>
    </row>
    <row r="491" spans="1:16" ht="21.75" customHeight="1" x14ac:dyDescent="0.3">
      <c r="A491" s="400"/>
      <c r="B491" s="401"/>
      <c r="C491" s="401"/>
      <c r="D491" s="402"/>
      <c r="E491" s="195"/>
      <c r="F491" s="195"/>
      <c r="G491" s="194" t="s">
        <v>180</v>
      </c>
      <c r="H491" s="420" t="s">
        <v>122</v>
      </c>
      <c r="I491" s="202">
        <f ca="1">IFERROR(__xludf.DUMMYFUNCTION("IMPORTRANGE(""https://docs.google.com/spreadsheets/d/11923uPwbBZFjjGgGUA6NLw09EwE0CqkOc4q9oUmW1yo/edit?usp=sharing"",""แม่ฮ่องสอน!I386"")"),0)</f>
        <v>0</v>
      </c>
      <c r="J491" s="188">
        <f ca="1">IFERROR(__xludf.DUMMYFUNCTION("IMPORTRANGE(""https://docs.google.com/spreadsheets/d/11923uPwbBZFjjGgGUA6NLw09EwE0CqkOc4q9oUmW1yo/edit?usp=sharing"",""แม่ฮ่องสอน!J386"")"),0)</f>
        <v>0</v>
      </c>
      <c r="K491" s="163">
        <f t="shared" ca="1" si="117"/>
        <v>0</v>
      </c>
      <c r="L491" s="181"/>
      <c r="M491" s="181"/>
      <c r="N491" s="181"/>
      <c r="O491" s="181"/>
      <c r="P491" s="181"/>
    </row>
    <row r="492" spans="1:16" ht="21.75" customHeight="1" x14ac:dyDescent="0.3">
      <c r="A492" s="400"/>
      <c r="B492" s="401"/>
      <c r="C492" s="401"/>
      <c r="D492" s="402"/>
      <c r="E492" s="195"/>
      <c r="F492" s="195"/>
      <c r="G492" s="196"/>
      <c r="H492" s="420" t="s">
        <v>36</v>
      </c>
      <c r="I492" s="202">
        <f ca="1">IFERROR(__xludf.DUMMYFUNCTION("IMPORTRANGE(""https://docs.google.com/spreadsheets/d/11923uPwbBZFjjGgGUA6NLw09EwE0CqkOc4q9oUmW1yo/edit?usp=sharing"",""แม่ฮ่องสอน!I387"")"),0)</f>
        <v>0</v>
      </c>
      <c r="J492" s="188">
        <f ca="1">IFERROR(__xludf.DUMMYFUNCTION("IMPORTRANGE(""https://docs.google.com/spreadsheets/d/11923uPwbBZFjjGgGUA6NLw09EwE0CqkOc4q9oUmW1yo/edit?usp=sharing"",""แม่ฮ่องสอน!J387"")"),0)</f>
        <v>0</v>
      </c>
      <c r="K492" s="163">
        <f t="shared" ca="1" si="117"/>
        <v>0</v>
      </c>
      <c r="L492" s="181"/>
      <c r="M492" s="181"/>
      <c r="N492" s="181"/>
      <c r="O492" s="181"/>
      <c r="P492" s="181"/>
    </row>
    <row r="493" spans="1:16" ht="21.75" customHeight="1" x14ac:dyDescent="0.3">
      <c r="A493" s="400"/>
      <c r="B493" s="401"/>
      <c r="C493" s="401"/>
      <c r="D493" s="402"/>
      <c r="E493" s="195"/>
      <c r="F493" s="194" t="s">
        <v>181</v>
      </c>
      <c r="G493" s="419"/>
      <c r="H493" s="420" t="s">
        <v>122</v>
      </c>
      <c r="I493" s="202">
        <f ca="1">IFERROR(__xludf.DUMMYFUNCTION("IMPORTRANGE(""https://docs.google.com/spreadsheets/d/11923uPwbBZFjjGgGUA6NLw09EwE0CqkOc4q9oUmW1yo/edit?usp=sharing"",""แม่ฮ่องสอน!I388"")"),0)</f>
        <v>0</v>
      </c>
      <c r="J493" s="188">
        <f ca="1">IFERROR(__xludf.DUMMYFUNCTION("IMPORTRANGE(""https://docs.google.com/spreadsheets/d/11923uPwbBZFjjGgGUA6NLw09EwE0CqkOc4q9oUmW1yo/edit?usp=sharing"",""แม่ฮ่องสอน!J388"")"),0)</f>
        <v>0</v>
      </c>
      <c r="K493" s="163">
        <f t="shared" ca="1" si="117"/>
        <v>0</v>
      </c>
      <c r="L493" s="181"/>
      <c r="M493" s="181"/>
      <c r="N493" s="181"/>
      <c r="O493" s="181"/>
      <c r="P493" s="181"/>
    </row>
    <row r="494" spans="1:16" ht="21.75" customHeight="1" x14ac:dyDescent="0.3">
      <c r="A494" s="429"/>
      <c r="B494" s="430"/>
      <c r="C494" s="430"/>
      <c r="D494" s="431"/>
      <c r="E494" s="345"/>
      <c r="F494" s="345"/>
      <c r="G494" s="345"/>
      <c r="H494" s="432" t="s">
        <v>36</v>
      </c>
      <c r="I494" s="433">
        <f ca="1">IFERROR(__xludf.DUMMYFUNCTION("IMPORTRANGE(""https://docs.google.com/spreadsheets/d/11923uPwbBZFjjGgGUA6NLw09EwE0CqkOc4q9oUmW1yo/edit?usp=sharing"",""แม่ฮ่องสอน!I389"")"),0)</f>
        <v>0</v>
      </c>
      <c r="J494" s="434">
        <f ca="1">IFERROR(__xludf.DUMMYFUNCTION("IMPORTRANGE(""https://docs.google.com/spreadsheets/d/11923uPwbBZFjjGgGUA6NLw09EwE0CqkOc4q9oUmW1yo/edit?usp=sharing"",""แม่ฮ่องสอน!J389"")"),0)</f>
        <v>0</v>
      </c>
      <c r="K494" s="286">
        <f t="shared" ca="1" si="117"/>
        <v>0</v>
      </c>
      <c r="L494" s="244"/>
      <c r="M494" s="244"/>
      <c r="N494" s="244"/>
      <c r="O494" s="244"/>
      <c r="P494" s="244"/>
    </row>
    <row r="495" spans="1:16" ht="21.75" customHeight="1" x14ac:dyDescent="0.3">
      <c r="A495" s="400"/>
      <c r="B495" s="401"/>
      <c r="C495" s="401"/>
      <c r="D495" s="402"/>
      <c r="E495" s="195"/>
      <c r="F495" s="195">
        <v>3.5</v>
      </c>
      <c r="G495" s="419" t="s">
        <v>182</v>
      </c>
      <c r="H495" s="420" t="s">
        <v>122</v>
      </c>
      <c r="I495" s="433">
        <f ca="1">IFERROR(__xludf.DUMMYFUNCTION("IMPORTRANGE(""https://docs.google.com/spreadsheets/d/11923uPwbBZFjjGgGUA6NLw09EwE0CqkOc4q9oUmW1yo/edit?usp=sharing"",""แม่ฮ่องสอน!I390"")"),0)</f>
        <v>0</v>
      </c>
      <c r="J495" s="434">
        <f ca="1">IFERROR(__xludf.DUMMYFUNCTION("IMPORTRANGE(""https://docs.google.com/spreadsheets/d/11923uPwbBZFjjGgGUA6NLw09EwE0CqkOc4q9oUmW1yo/edit?usp=sharing"",""แม่ฮ่องสอน!J390"")"),0)</f>
        <v>0</v>
      </c>
      <c r="K495" s="163">
        <f t="shared" ca="1" si="117"/>
        <v>0</v>
      </c>
      <c r="L495" s="181"/>
      <c r="M495" s="181"/>
      <c r="N495" s="181"/>
      <c r="O495" s="181"/>
      <c r="P495" s="181"/>
    </row>
    <row r="496" spans="1:16" ht="21.75" customHeight="1" x14ac:dyDescent="0.3">
      <c r="A496" s="429"/>
      <c r="B496" s="430"/>
      <c r="C496" s="430"/>
      <c r="D496" s="431"/>
      <c r="E496" s="345"/>
      <c r="F496" s="345"/>
      <c r="G496" s="345"/>
      <c r="H496" s="432" t="s">
        <v>36</v>
      </c>
      <c r="I496" s="433">
        <f ca="1">IFERROR(__xludf.DUMMYFUNCTION("IMPORTRANGE(""https://docs.google.com/spreadsheets/d/11923uPwbBZFjjGgGUA6NLw09EwE0CqkOc4q9oUmW1yo/edit?usp=sharing"",""แม่ฮ่องสอน!I391"")"),0)</f>
        <v>0</v>
      </c>
      <c r="J496" s="434">
        <f ca="1">IFERROR(__xludf.DUMMYFUNCTION("IMPORTRANGE(""https://docs.google.com/spreadsheets/d/11923uPwbBZFjjGgGUA6NLw09EwE0CqkOc4q9oUmW1yo/edit?usp=sharing"",""แม่ฮ่องสอน!J391"")"),0)</f>
        <v>0</v>
      </c>
      <c r="K496" s="286">
        <f t="shared" ca="1" si="117"/>
        <v>0</v>
      </c>
      <c r="L496" s="244"/>
      <c r="M496" s="244"/>
      <c r="N496" s="244"/>
      <c r="O496" s="244"/>
      <c r="P496" s="244"/>
    </row>
    <row r="497" spans="1:16" ht="21.75" customHeight="1" x14ac:dyDescent="0.3">
      <c r="A497" s="435"/>
      <c r="B497" s="436"/>
      <c r="C497" s="437" t="s">
        <v>183</v>
      </c>
      <c r="D497" s="437"/>
      <c r="E497" s="438"/>
      <c r="F497" s="438"/>
      <c r="G497" s="439"/>
      <c r="H497" s="440" t="s">
        <v>122</v>
      </c>
      <c r="I497" s="441">
        <f ca="1">IFERROR(__xludf.DUMMYFUNCTION("IMPORTRANGE(""https://docs.google.com/spreadsheets/d/11923uPwbBZFjjGgGUA6NLw09EwE0CqkOc4q9oUmW1yo/edit?usp=sharing"",""แม่ฮ่องสอน!I392"")"),7)</f>
        <v>7</v>
      </c>
      <c r="J497" s="441">
        <f ca="1">IFERROR(__xludf.DUMMYFUNCTION("IMPORTRANGE(""https://docs.google.com/spreadsheets/d/11923uPwbBZFjjGgGUA6NLw09EwE0CqkOc4q9oUmW1yo/edit?usp=sharing"",""แม่ฮ่องสอน!J392"")"),21)</f>
        <v>21</v>
      </c>
      <c r="K497" s="442">
        <f t="shared" ca="1" si="117"/>
        <v>300</v>
      </c>
      <c r="L497" s="443"/>
      <c r="M497" s="443"/>
      <c r="N497" s="443"/>
      <c r="O497" s="443"/>
      <c r="P497" s="443"/>
    </row>
    <row r="498" spans="1:16" ht="21.75" customHeight="1" x14ac:dyDescent="0.3">
      <c r="A498" s="175"/>
      <c r="B498" s="176"/>
      <c r="C498" s="176"/>
      <c r="D498" s="402"/>
      <c r="E498" s="444" t="s">
        <v>184</v>
      </c>
      <c r="F498" s="445"/>
      <c r="G498" s="446"/>
      <c r="H498" s="447" t="s">
        <v>122</v>
      </c>
      <c r="I498" s="418">
        <f ca="1">IFERROR(__xludf.DUMMYFUNCTION("IMPORTRANGE(""https://docs.google.com/spreadsheets/d/11923uPwbBZFjjGgGUA6NLw09EwE0CqkOc4q9oUmW1yo/edit?usp=sharing"",""แม่ฮ่องสอน!I393"")"),7)</f>
        <v>7</v>
      </c>
      <c r="J498" s="418">
        <f ca="1">IFERROR(__xludf.DUMMYFUNCTION("IMPORTRANGE(""https://docs.google.com/spreadsheets/d/11923uPwbBZFjjGgGUA6NLw09EwE0CqkOc4q9oUmW1yo/edit?usp=sharing"",""แม่ฮ่องสอน!J393"")"),21)</f>
        <v>21</v>
      </c>
      <c r="K498" s="163">
        <f t="shared" ca="1" si="117"/>
        <v>300</v>
      </c>
      <c r="L498" s="181"/>
      <c r="M498" s="181"/>
      <c r="N498" s="181"/>
      <c r="O498" s="181"/>
      <c r="P498" s="181"/>
    </row>
    <row r="499" spans="1:16" ht="21.75" customHeight="1" x14ac:dyDescent="0.3">
      <c r="A499" s="175"/>
      <c r="B499" s="176"/>
      <c r="C499" s="176"/>
      <c r="D499" s="193"/>
      <c r="E499" s="445"/>
      <c r="F499" s="445"/>
      <c r="G499" s="446"/>
      <c r="H499" s="447" t="s">
        <v>36</v>
      </c>
      <c r="I499" s="418">
        <f ca="1">IFERROR(__xludf.DUMMYFUNCTION("IMPORTRANGE(""https://docs.google.com/spreadsheets/d/11923uPwbBZFjjGgGUA6NLw09EwE0CqkOc4q9oUmW1yo/edit?usp=sharing"",""แม่ฮ่องสอน!I394"")"),21)</f>
        <v>21</v>
      </c>
      <c r="J499" s="418">
        <f ca="1">IFERROR(__xludf.DUMMYFUNCTION("IMPORTRANGE(""https://docs.google.com/spreadsheets/d/11923uPwbBZFjjGgGUA6NLw09EwE0CqkOc4q9oUmW1yo/edit?usp=sharing"",""แม่ฮ่องสอน!J394"")"),7)</f>
        <v>7</v>
      </c>
      <c r="K499" s="201">
        <f t="shared" ca="1" si="117"/>
        <v>33.333333333333336</v>
      </c>
      <c r="L499" s="181"/>
      <c r="M499" s="181"/>
      <c r="N499" s="181"/>
      <c r="O499" s="181"/>
      <c r="P499" s="181"/>
    </row>
    <row r="500" spans="1:16" ht="21.75" customHeight="1" x14ac:dyDescent="0.3">
      <c r="A500" s="175"/>
      <c r="B500" s="176"/>
      <c r="C500" s="176"/>
      <c r="D500" s="402"/>
      <c r="E500" s="402" t="s">
        <v>185</v>
      </c>
      <c r="F500" s="195"/>
      <c r="G500" s="196"/>
      <c r="H500" s="420" t="s">
        <v>122</v>
      </c>
      <c r="I500" s="202">
        <f ca="1">IFERROR(__xludf.DUMMYFUNCTION("IMPORTRANGE(""https://docs.google.com/spreadsheets/d/11923uPwbBZFjjGgGUA6NLw09EwE0CqkOc4q9oUmW1yo/edit?usp=sharing"",""แม่ฮ่องสอน!I395"")"),0)</f>
        <v>0</v>
      </c>
      <c r="J500" s="162">
        <f ca="1">IFERROR(__xludf.DUMMYFUNCTION("IMPORTRANGE(""https://docs.google.com/spreadsheets/d/11923uPwbBZFjjGgGUA6NLw09EwE0CqkOc4q9oUmW1yo/edit?usp=sharing"",""แม่ฮ่องสอน!J395"")"),16)</f>
        <v>16</v>
      </c>
      <c r="K500" s="163">
        <f t="shared" ca="1" si="117"/>
        <v>0</v>
      </c>
      <c r="L500" s="181"/>
      <c r="M500" s="181"/>
      <c r="N500" s="181"/>
      <c r="O500" s="181"/>
      <c r="P500" s="181"/>
    </row>
    <row r="501" spans="1:16" ht="21.75" customHeight="1" x14ac:dyDescent="0.3">
      <c r="A501" s="175"/>
      <c r="B501" s="176"/>
      <c r="C501" s="176"/>
      <c r="D501" s="193"/>
      <c r="E501" s="195"/>
      <c r="F501" s="195"/>
      <c r="G501" s="196"/>
      <c r="H501" s="420" t="s">
        <v>36</v>
      </c>
      <c r="I501" s="202">
        <f ca="1">IFERROR(__xludf.DUMMYFUNCTION("IMPORTRANGE(""https://docs.google.com/spreadsheets/d/11923uPwbBZFjjGgGUA6NLw09EwE0CqkOc4q9oUmW1yo/edit?usp=sharing"",""แม่ฮ่องสอน!I396"")"),0)</f>
        <v>0</v>
      </c>
      <c r="J501" s="162">
        <f ca="1">IFERROR(__xludf.DUMMYFUNCTION("IMPORTRANGE(""https://docs.google.com/spreadsheets/d/11923uPwbBZFjjGgGUA6NLw09EwE0CqkOc4q9oUmW1yo/edit?usp=sharing"",""แม่ฮ่องสอน!J396"")"),4)</f>
        <v>4</v>
      </c>
      <c r="K501" s="163">
        <f t="shared" ca="1" si="117"/>
        <v>0</v>
      </c>
      <c r="L501" s="181"/>
      <c r="M501" s="181"/>
      <c r="N501" s="181"/>
      <c r="O501" s="181"/>
      <c r="P501" s="181"/>
    </row>
    <row r="502" spans="1:16" ht="21.75" customHeight="1" x14ac:dyDescent="0.3">
      <c r="A502" s="175"/>
      <c r="B502" s="176"/>
      <c r="C502" s="176"/>
      <c r="D502" s="193"/>
      <c r="E502" s="195"/>
      <c r="F502" s="397" t="s">
        <v>186</v>
      </c>
      <c r="G502" s="419"/>
      <c r="H502" s="420" t="s">
        <v>122</v>
      </c>
      <c r="I502" s="202">
        <f ca="1">IFERROR(__xludf.DUMMYFUNCTION("IMPORTRANGE(""https://docs.google.com/spreadsheets/d/11923uPwbBZFjjGgGUA6NLw09EwE0CqkOc4q9oUmW1yo/edit?usp=sharing"",""แม่ฮ่องสอน!I397"")"),0)</f>
        <v>0</v>
      </c>
      <c r="J502" s="188">
        <f ca="1">IFERROR(__xludf.DUMMYFUNCTION("IMPORTRANGE(""https://docs.google.com/spreadsheets/d/11923uPwbBZFjjGgGUA6NLw09EwE0CqkOc4q9oUmW1yo/edit?usp=sharing"",""แม่ฮ่องสอน!J397"")"),4)</f>
        <v>4</v>
      </c>
      <c r="K502" s="163">
        <f t="shared" ca="1" si="117"/>
        <v>0</v>
      </c>
      <c r="L502" s="181"/>
      <c r="M502" s="181"/>
      <c r="N502" s="181"/>
      <c r="O502" s="181"/>
      <c r="P502" s="181"/>
    </row>
    <row r="503" spans="1:16" ht="21.75" customHeight="1" x14ac:dyDescent="0.3">
      <c r="A503" s="175"/>
      <c r="B503" s="176"/>
      <c r="C503" s="176"/>
      <c r="D503" s="193"/>
      <c r="E503" s="195"/>
      <c r="F503" s="195"/>
      <c r="G503" s="419"/>
      <c r="H503" s="420" t="s">
        <v>36</v>
      </c>
      <c r="I503" s="187">
        <f ca="1">IFERROR(__xludf.DUMMYFUNCTION("IMPORTRANGE(""https://docs.google.com/spreadsheets/d/11923uPwbBZFjjGgGUA6NLw09EwE0CqkOc4q9oUmW1yo/edit?usp=sharing"",""แม่ฮ่องสอน!I398"")"),0)</f>
        <v>0</v>
      </c>
      <c r="J503" s="197">
        <f ca="1">IFERROR(__xludf.DUMMYFUNCTION("IMPORTRANGE(""https://docs.google.com/spreadsheets/d/11923uPwbBZFjjGgGUA6NLw09EwE0CqkOc4q9oUmW1yo/edit?usp=sharing"",""แม่ฮ่องสอน!J398"")"),1)</f>
        <v>1</v>
      </c>
      <c r="K503" s="163">
        <f t="shared" ca="1" si="117"/>
        <v>0</v>
      </c>
      <c r="L503" s="181"/>
      <c r="M503" s="181"/>
      <c r="N503" s="181"/>
      <c r="O503" s="181"/>
      <c r="P503" s="181"/>
    </row>
    <row r="504" spans="1:16" ht="21.75" customHeight="1" x14ac:dyDescent="0.3">
      <c r="A504" s="175"/>
      <c r="B504" s="176"/>
      <c r="C504" s="176"/>
      <c r="D504" s="193"/>
      <c r="E504" s="195"/>
      <c r="F504" s="388" t="s">
        <v>187</v>
      </c>
      <c r="G504" s="419"/>
      <c r="H504" s="420" t="s">
        <v>122</v>
      </c>
      <c r="I504" s="203">
        <f ca="1">IFERROR(__xludf.DUMMYFUNCTION("IMPORTRANGE(""https://docs.google.com/spreadsheets/d/11923uPwbBZFjjGgGUA6NLw09EwE0CqkOc4q9oUmW1yo/edit?usp=sharing"",""แม่ฮ่องสอน!I399"")"),0)</f>
        <v>0</v>
      </c>
      <c r="J504" s="188">
        <f ca="1">IFERROR(__xludf.DUMMYFUNCTION("IMPORTRANGE(""https://docs.google.com/spreadsheets/d/11923uPwbBZFjjGgGUA6NLw09EwE0CqkOc4q9oUmW1yo/edit?usp=sharing"",""แม่ฮ่องสอน!J399"")"),12)</f>
        <v>12</v>
      </c>
      <c r="K504" s="163">
        <f t="shared" ca="1" si="117"/>
        <v>0</v>
      </c>
      <c r="L504" s="181"/>
      <c r="M504" s="181"/>
      <c r="N504" s="181"/>
      <c r="O504" s="181"/>
      <c r="P504" s="181"/>
    </row>
    <row r="505" spans="1:16" ht="21.75" customHeight="1" x14ac:dyDescent="0.3">
      <c r="A505" s="175"/>
      <c r="B505" s="176"/>
      <c r="C505" s="176"/>
      <c r="D505" s="193"/>
      <c r="E505" s="195"/>
      <c r="F505" s="195"/>
      <c r="G505" s="419"/>
      <c r="H505" s="420" t="s">
        <v>36</v>
      </c>
      <c r="I505" s="187">
        <f ca="1">IFERROR(__xludf.DUMMYFUNCTION("IMPORTRANGE(""https://docs.google.com/spreadsheets/d/11923uPwbBZFjjGgGUA6NLw09EwE0CqkOc4q9oUmW1yo/edit?usp=sharing"",""แม่ฮ่องสอน!I400"")"),0)</f>
        <v>0</v>
      </c>
      <c r="J505" s="197">
        <f ca="1">IFERROR(__xludf.DUMMYFUNCTION("IMPORTRANGE(""https://docs.google.com/spreadsheets/d/11923uPwbBZFjjGgGUA6NLw09EwE0CqkOc4q9oUmW1yo/edit?usp=sharing"",""แม่ฮ่องสอน!J400"")"),3)</f>
        <v>3</v>
      </c>
      <c r="K505" s="163">
        <f t="shared" ca="1" si="117"/>
        <v>0</v>
      </c>
      <c r="L505" s="181"/>
      <c r="M505" s="181"/>
      <c r="N505" s="181"/>
      <c r="O505" s="181"/>
      <c r="P505" s="181"/>
    </row>
    <row r="506" spans="1:16" ht="21.75" customHeight="1" x14ac:dyDescent="0.3">
      <c r="A506" s="175"/>
      <c r="B506" s="176"/>
      <c r="C506" s="176"/>
      <c r="D506" s="193"/>
      <c r="E506" s="195"/>
      <c r="F506" s="397" t="s">
        <v>188</v>
      </c>
      <c r="G506" s="419"/>
      <c r="H506" s="420" t="s">
        <v>122</v>
      </c>
      <c r="I506" s="203">
        <f ca="1">IFERROR(__xludf.DUMMYFUNCTION("IMPORTRANGE(""https://docs.google.com/spreadsheets/d/11923uPwbBZFjjGgGUA6NLw09EwE0CqkOc4q9oUmW1yo/edit?usp=sharing"",""แม่ฮ่องสอน!I401"")"),0)</f>
        <v>0</v>
      </c>
      <c r="J506" s="188">
        <f ca="1">IFERROR(__xludf.DUMMYFUNCTION("IMPORTRANGE(""https://docs.google.com/spreadsheets/d/11923uPwbBZFjjGgGUA6NLw09EwE0CqkOc4q9oUmW1yo/edit?usp=sharing"",""แม่ฮ่องสอน!J401"")"),0)</f>
        <v>0</v>
      </c>
      <c r="K506" s="163">
        <f t="shared" ca="1" si="117"/>
        <v>0</v>
      </c>
      <c r="L506" s="181"/>
      <c r="M506" s="181"/>
      <c r="N506" s="181"/>
      <c r="O506" s="181"/>
      <c r="P506" s="181"/>
    </row>
    <row r="507" spans="1:16" ht="21.75" customHeight="1" x14ac:dyDescent="0.3">
      <c r="A507" s="175"/>
      <c r="B507" s="176"/>
      <c r="C507" s="176"/>
      <c r="D507" s="193"/>
      <c r="E507" s="195"/>
      <c r="F507" s="195"/>
      <c r="G507" s="195"/>
      <c r="H507" s="420" t="s">
        <v>36</v>
      </c>
      <c r="I507" s="187">
        <f ca="1">IFERROR(__xludf.DUMMYFUNCTION("IMPORTRANGE(""https://docs.google.com/spreadsheets/d/11923uPwbBZFjjGgGUA6NLw09EwE0CqkOc4q9oUmW1yo/edit?usp=sharing"",""แม่ฮ่องสอน!I402"")"),0)</f>
        <v>0</v>
      </c>
      <c r="J507" s="197">
        <f ca="1">IFERROR(__xludf.DUMMYFUNCTION("IMPORTRANGE(""https://docs.google.com/spreadsheets/d/11923uPwbBZFjjGgGUA6NLw09EwE0CqkOc4q9oUmW1yo/edit?usp=sharing"",""แม่ฮ่องสอน!J402"")"),0)</f>
        <v>0</v>
      </c>
      <c r="K507" s="163">
        <f t="shared" ca="1" si="117"/>
        <v>0</v>
      </c>
      <c r="L507" s="181"/>
      <c r="M507" s="181"/>
      <c r="N507" s="181"/>
      <c r="O507" s="181"/>
      <c r="P507" s="181"/>
    </row>
    <row r="508" spans="1:16" ht="21.75" customHeight="1" x14ac:dyDescent="0.3">
      <c r="A508" s="175"/>
      <c r="B508" s="176"/>
      <c r="C508" s="176"/>
      <c r="D508" s="193"/>
      <c r="E508" s="194" t="s">
        <v>189</v>
      </c>
      <c r="F508" s="195"/>
      <c r="G508" s="419"/>
      <c r="H508" s="420" t="s">
        <v>122</v>
      </c>
      <c r="I508" s="187">
        <f ca="1">IFERROR(__xludf.DUMMYFUNCTION("IMPORTRANGE(""https://docs.google.com/spreadsheets/d/11923uPwbBZFjjGgGUA6NLw09EwE0CqkOc4q9oUmW1yo/edit?usp=sharing"",""แม่ฮ่องสอน!I403"")"),0)</f>
        <v>0</v>
      </c>
      <c r="J508" s="162">
        <f ca="1">IFERROR(__xludf.DUMMYFUNCTION("IMPORTRANGE(""https://docs.google.com/spreadsheets/d/11923uPwbBZFjjGgGUA6NLw09EwE0CqkOc4q9oUmW1yo/edit?usp=sharing"",""แม่ฮ่องสอน!J403"")"),5)</f>
        <v>5</v>
      </c>
      <c r="K508" s="163">
        <f t="shared" ca="1" si="117"/>
        <v>0</v>
      </c>
      <c r="L508" s="181"/>
      <c r="M508" s="181"/>
      <c r="N508" s="181"/>
      <c r="O508" s="181"/>
      <c r="P508" s="181"/>
    </row>
    <row r="509" spans="1:16" ht="21.75" customHeight="1" x14ac:dyDescent="0.3">
      <c r="A509" s="175"/>
      <c r="B509" s="176"/>
      <c r="C509" s="176"/>
      <c r="D509" s="193"/>
      <c r="E509" s="195"/>
      <c r="F509" s="195"/>
      <c r="G509" s="195"/>
      <c r="H509" s="420" t="s">
        <v>36</v>
      </c>
      <c r="I509" s="187">
        <f ca="1">IFERROR(__xludf.DUMMYFUNCTION("IMPORTRANGE(""https://docs.google.com/spreadsheets/d/11923uPwbBZFjjGgGUA6NLw09EwE0CqkOc4q9oUmW1yo/edit?usp=sharing"",""แม่ฮ่องสอน!I404"")"),0)</f>
        <v>0</v>
      </c>
      <c r="J509" s="162">
        <f ca="1">IFERROR(__xludf.DUMMYFUNCTION("IMPORTRANGE(""https://docs.google.com/spreadsheets/d/11923uPwbBZFjjGgGUA6NLw09EwE0CqkOc4q9oUmW1yo/edit?usp=sharing"",""แม่ฮ่องสอน!J404"")"),3)</f>
        <v>3</v>
      </c>
      <c r="K509" s="163">
        <f t="shared" ca="1" si="117"/>
        <v>0</v>
      </c>
      <c r="L509" s="181"/>
      <c r="M509" s="181"/>
      <c r="N509" s="181"/>
      <c r="O509" s="181"/>
      <c r="P509" s="181"/>
    </row>
    <row r="510" spans="1:16" ht="21.75" customHeight="1" x14ac:dyDescent="0.3">
      <c r="A510" s="175"/>
      <c r="B510" s="176"/>
      <c r="C510" s="176"/>
      <c r="D510" s="193"/>
      <c r="E510" s="195"/>
      <c r="F510" s="194" t="s">
        <v>190</v>
      </c>
      <c r="G510" s="195"/>
      <c r="H510" s="420" t="s">
        <v>122</v>
      </c>
      <c r="I510" s="187">
        <f ca="1">IFERROR(__xludf.DUMMYFUNCTION("IMPORTRANGE(""https://docs.google.com/spreadsheets/d/11923uPwbBZFjjGgGUA6NLw09EwE0CqkOc4q9oUmW1yo/edit?usp=sharing"",""แม่ฮ่องสอน!I405"")"),0)</f>
        <v>0</v>
      </c>
      <c r="J510" s="197">
        <f ca="1">IFERROR(__xludf.DUMMYFUNCTION("IMPORTRANGE(""https://docs.google.com/spreadsheets/d/11923uPwbBZFjjGgGUA6NLw09EwE0CqkOc4q9oUmW1yo/edit?usp=sharing"",""แม่ฮ่องสอน!J405"")"),0)</f>
        <v>0</v>
      </c>
      <c r="K510" s="163">
        <f t="shared" ca="1" si="117"/>
        <v>0</v>
      </c>
      <c r="L510" s="181"/>
      <c r="M510" s="181"/>
      <c r="N510" s="181"/>
      <c r="O510" s="181"/>
      <c r="P510" s="181"/>
    </row>
    <row r="511" spans="1:16" ht="21.75" customHeight="1" x14ac:dyDescent="0.3">
      <c r="A511" s="175"/>
      <c r="B511" s="176"/>
      <c r="C511" s="176"/>
      <c r="D511" s="193"/>
      <c r="E511" s="195"/>
      <c r="F511" s="195"/>
      <c r="G511" s="195"/>
      <c r="H511" s="420" t="s">
        <v>36</v>
      </c>
      <c r="I511" s="187">
        <f ca="1">IFERROR(__xludf.DUMMYFUNCTION("IMPORTRANGE(""https://docs.google.com/spreadsheets/d/11923uPwbBZFjjGgGUA6NLw09EwE0CqkOc4q9oUmW1yo/edit?usp=sharing"",""แม่ฮ่องสอน!I406"")"),0)</f>
        <v>0</v>
      </c>
      <c r="J511" s="197">
        <f ca="1">IFERROR(__xludf.DUMMYFUNCTION("IMPORTRANGE(""https://docs.google.com/spreadsheets/d/11923uPwbBZFjjGgGUA6NLw09EwE0CqkOc4q9oUmW1yo/edit?usp=sharing"",""แม่ฮ่องสอน!J406"")"),0)</f>
        <v>0</v>
      </c>
      <c r="K511" s="163">
        <f t="shared" ca="1" si="117"/>
        <v>0</v>
      </c>
      <c r="L511" s="181"/>
      <c r="M511" s="181"/>
      <c r="N511" s="181"/>
      <c r="O511" s="181"/>
      <c r="P511" s="181"/>
    </row>
    <row r="512" spans="1:16" ht="21.75" customHeight="1" x14ac:dyDescent="0.3">
      <c r="A512" s="175"/>
      <c r="B512" s="176"/>
      <c r="C512" s="176"/>
      <c r="D512" s="193"/>
      <c r="E512" s="195"/>
      <c r="F512" s="194" t="s">
        <v>191</v>
      </c>
      <c r="G512" s="195"/>
      <c r="H512" s="420" t="s">
        <v>122</v>
      </c>
      <c r="I512" s="187">
        <f ca="1">IFERROR(__xludf.DUMMYFUNCTION("IMPORTRANGE(""https://docs.google.com/spreadsheets/d/11923uPwbBZFjjGgGUA6NLw09EwE0CqkOc4q9oUmW1yo/edit?usp=sharing"",""แม่ฮ่องสอน!I407"")"),0)</f>
        <v>0</v>
      </c>
      <c r="J512" s="197">
        <f ca="1">IFERROR(__xludf.DUMMYFUNCTION("IMPORTRANGE(""https://docs.google.com/spreadsheets/d/11923uPwbBZFjjGgGUA6NLw09EwE0CqkOc4q9oUmW1yo/edit?usp=sharing"",""แม่ฮ่องสอน!J407"")"),5)</f>
        <v>5</v>
      </c>
      <c r="K512" s="163">
        <f t="shared" ca="1" si="117"/>
        <v>0</v>
      </c>
      <c r="L512" s="181"/>
      <c r="M512" s="181"/>
      <c r="N512" s="181"/>
      <c r="O512" s="181"/>
      <c r="P512" s="181"/>
    </row>
    <row r="513" spans="1:16" ht="21.75" customHeight="1" x14ac:dyDescent="0.3">
      <c r="A513" s="175"/>
      <c r="B513" s="176"/>
      <c r="C513" s="176"/>
      <c r="D513" s="193"/>
      <c r="E513" s="195"/>
      <c r="F513" s="195"/>
      <c r="G513" s="196"/>
      <c r="H513" s="420" t="s">
        <v>36</v>
      </c>
      <c r="I513" s="187">
        <f ca="1">IFERROR(__xludf.DUMMYFUNCTION("IMPORTRANGE(""https://docs.google.com/spreadsheets/d/11923uPwbBZFjjGgGUA6NLw09EwE0CqkOc4q9oUmW1yo/edit?usp=sharing"",""แม่ฮ่องสอน!I408"")"),0)</f>
        <v>0</v>
      </c>
      <c r="J513" s="197">
        <f ca="1">IFERROR(__xludf.DUMMYFUNCTION("IMPORTRANGE(""https://docs.google.com/spreadsheets/d/11923uPwbBZFjjGgGUA6NLw09EwE0CqkOc4q9oUmW1yo/edit?usp=sharing"",""แม่ฮ่องสอน!J408"")"),3)</f>
        <v>3</v>
      </c>
      <c r="K513" s="163">
        <f t="shared" ca="1" si="117"/>
        <v>0</v>
      </c>
      <c r="L513" s="181"/>
      <c r="M513" s="181"/>
      <c r="N513" s="181"/>
      <c r="O513" s="181"/>
      <c r="P513" s="181"/>
    </row>
    <row r="514" spans="1:16" ht="21.75" customHeight="1" x14ac:dyDescent="0.3">
      <c r="A514" s="175"/>
      <c r="B514" s="176"/>
      <c r="C514" s="176"/>
      <c r="D514" s="402"/>
      <c r="E514" s="448" t="s">
        <v>192</v>
      </c>
      <c r="F514" s="195"/>
      <c r="G514" s="196"/>
      <c r="H514" s="420" t="s">
        <v>122</v>
      </c>
      <c r="I514" s="187">
        <f ca="1">IFERROR(__xludf.DUMMYFUNCTION("IMPORTRANGE(""https://docs.google.com/spreadsheets/d/11923uPwbBZFjjGgGUA6NLw09EwE0CqkOc4q9oUmW1yo/edit?usp=sharing"",""แม่ฮ่องสอน!I409"")"),0)</f>
        <v>0</v>
      </c>
      <c r="J514" s="197">
        <f ca="1">IFERROR(__xludf.DUMMYFUNCTION("IMPORTRANGE(""https://docs.google.com/spreadsheets/d/11923uPwbBZFjjGgGUA6NLw09EwE0CqkOc4q9oUmW1yo/edit?usp=sharing"",""แม่ฮ่องสอน!J409"")"),0)</f>
        <v>0</v>
      </c>
      <c r="K514" s="163">
        <f t="shared" ca="1" si="117"/>
        <v>0</v>
      </c>
      <c r="L514" s="181"/>
      <c r="M514" s="181"/>
      <c r="N514" s="181"/>
      <c r="O514" s="181"/>
      <c r="P514" s="181"/>
    </row>
    <row r="515" spans="1:16" ht="21.75" customHeight="1" x14ac:dyDescent="0.3">
      <c r="A515" s="175"/>
      <c r="B515" s="176"/>
      <c r="C515" s="176"/>
      <c r="D515" s="193"/>
      <c r="E515" s="195"/>
      <c r="F515" s="195"/>
      <c r="G515" s="196"/>
      <c r="H515" s="420" t="s">
        <v>36</v>
      </c>
      <c r="I515" s="187">
        <f ca="1">IFERROR(__xludf.DUMMYFUNCTION("IMPORTRANGE(""https://docs.google.com/spreadsheets/d/11923uPwbBZFjjGgGUA6NLw09EwE0CqkOc4q9oUmW1yo/edit?usp=sharing"",""แม่ฮ่องสอน!I410"")"),0)</f>
        <v>0</v>
      </c>
      <c r="J515" s="197">
        <f ca="1">IFERROR(__xludf.DUMMYFUNCTION("IMPORTRANGE(""https://docs.google.com/spreadsheets/d/11923uPwbBZFjjGgGUA6NLw09EwE0CqkOc4q9oUmW1yo/edit?usp=sharing"",""แม่ฮ่องสอน!J410"")"),0)</f>
        <v>0</v>
      </c>
      <c r="K515" s="163">
        <f t="shared" ca="1" si="117"/>
        <v>0</v>
      </c>
      <c r="L515" s="181"/>
      <c r="M515" s="181"/>
      <c r="N515" s="181"/>
      <c r="O515" s="181"/>
      <c r="P515" s="181"/>
    </row>
    <row r="516" spans="1:16" ht="21.75" customHeight="1" x14ac:dyDescent="0.3">
      <c r="A516" s="175"/>
      <c r="B516" s="176"/>
      <c r="C516" s="413" t="s">
        <v>193</v>
      </c>
      <c r="D516" s="413"/>
      <c r="E516" s="449"/>
      <c r="F516" s="449"/>
      <c r="G516" s="450"/>
      <c r="H516" s="451" t="s">
        <v>122</v>
      </c>
      <c r="I516" s="266">
        <f ca="1">IFERROR(__xludf.DUMMYFUNCTION("IMPORTRANGE(""https://docs.google.com/spreadsheets/d/11923uPwbBZFjjGgGUA6NLw09EwE0CqkOc4q9oUmW1yo/edit?usp=sharing"",""แม่ฮ่องสอน!I411"")"),0)</f>
        <v>0</v>
      </c>
      <c r="J516" s="266">
        <f ca="1">IFERROR(__xludf.DUMMYFUNCTION("IMPORTRANGE(""https://docs.google.com/spreadsheets/d/11923uPwbBZFjjGgGUA6NLw09EwE0CqkOc4q9oUmW1yo/edit?usp=sharing"",""แม่ฮ่องสอน!J411"")"),0)</f>
        <v>0</v>
      </c>
      <c r="K516" s="267">
        <v>0</v>
      </c>
      <c r="L516" s="181"/>
      <c r="M516" s="181"/>
      <c r="N516" s="181"/>
      <c r="O516" s="181"/>
      <c r="P516" s="181"/>
    </row>
    <row r="517" spans="1:16" ht="21.75" customHeight="1" x14ac:dyDescent="0.3">
      <c r="A517" s="175"/>
      <c r="B517" s="176"/>
      <c r="C517" s="452"/>
      <c r="D517" s="452"/>
      <c r="E517" s="452" t="s">
        <v>194</v>
      </c>
      <c r="F517" s="453"/>
      <c r="G517" s="454"/>
      <c r="H517" s="455" t="s">
        <v>122</v>
      </c>
      <c r="I517" s="282">
        <f ca="1">IFERROR(__xludf.DUMMYFUNCTION("IMPORTRANGE(""https://docs.google.com/spreadsheets/d/11923uPwbBZFjjGgGUA6NLw09EwE0CqkOc4q9oUmW1yo/edit?usp=sharing"",""แม่ฮ่องสอน!I412"")"),0)</f>
        <v>0</v>
      </c>
      <c r="J517" s="282">
        <f ca="1">IFERROR(__xludf.DUMMYFUNCTION("IMPORTRANGE(""https://docs.google.com/spreadsheets/d/11923uPwbBZFjjGgGUA6NLw09EwE0CqkOc4q9oUmW1yo/edit?usp=sharing"",""แม่ฮ่องสอน!J412"")"),0)</f>
        <v>0</v>
      </c>
      <c r="K517" s="283">
        <v>0</v>
      </c>
      <c r="L517" s="181"/>
      <c r="M517" s="181"/>
      <c r="N517" s="181"/>
      <c r="O517" s="181"/>
      <c r="P517" s="181"/>
    </row>
    <row r="518" spans="1:16" ht="21.75" customHeight="1" x14ac:dyDescent="0.3">
      <c r="A518" s="175"/>
      <c r="B518" s="176"/>
      <c r="C518" s="452"/>
      <c r="D518" s="452"/>
      <c r="E518" s="452" t="s">
        <v>195</v>
      </c>
      <c r="F518" s="453"/>
      <c r="G518" s="454"/>
      <c r="H518" s="455" t="s">
        <v>36</v>
      </c>
      <c r="I518" s="282">
        <f ca="1">IFERROR(__xludf.DUMMYFUNCTION("IMPORTRANGE(""https://docs.google.com/spreadsheets/d/11923uPwbBZFjjGgGUA6NLw09EwE0CqkOc4q9oUmW1yo/edit?usp=sharing"",""แม่ฮ่องสอน!I413"")"),0)</f>
        <v>0</v>
      </c>
      <c r="J518" s="282">
        <f ca="1">IFERROR(__xludf.DUMMYFUNCTION("IMPORTRANGE(""https://docs.google.com/spreadsheets/d/11923uPwbBZFjjGgGUA6NLw09EwE0CqkOc4q9oUmW1yo/edit?usp=sharing"",""แม่ฮ่องสอน!J413"")"),0)</f>
        <v>0</v>
      </c>
      <c r="K518" s="283">
        <v>0</v>
      </c>
      <c r="L518" s="181"/>
      <c r="M518" s="181"/>
      <c r="N518" s="181"/>
      <c r="O518" s="181"/>
      <c r="P518" s="181"/>
    </row>
    <row r="519" spans="1:16" ht="21.75" customHeight="1" x14ac:dyDescent="0.3">
      <c r="A519" s="175"/>
      <c r="B519" s="176"/>
      <c r="C519" s="176"/>
      <c r="D519" s="193"/>
      <c r="E519" s="195"/>
      <c r="F519" s="195"/>
      <c r="G519" s="225" t="s">
        <v>196</v>
      </c>
      <c r="H519" s="420" t="s">
        <v>122</v>
      </c>
      <c r="I519" s="187">
        <f ca="1">IFERROR(__xludf.DUMMYFUNCTION("IMPORTRANGE(""https://docs.google.com/spreadsheets/d/11923uPwbBZFjjGgGUA6NLw09EwE0CqkOc4q9oUmW1yo/edit?usp=sharing"",""แม่ฮ่องสอน!I414"")"),0)</f>
        <v>0</v>
      </c>
      <c r="J519" s="187">
        <f ca="1">IFERROR(__xludf.DUMMYFUNCTION("IMPORTRANGE(""https://docs.google.com/spreadsheets/d/11923uPwbBZFjjGgGUA6NLw09EwE0CqkOc4q9oUmW1yo/edit?usp=sharing"",""แม่ฮ่องสอน!J414"")"),0)</f>
        <v>0</v>
      </c>
      <c r="K519" s="163">
        <v>0</v>
      </c>
      <c r="L519" s="181"/>
      <c r="M519" s="181"/>
      <c r="N519" s="181"/>
      <c r="O519" s="181"/>
      <c r="P519" s="181"/>
    </row>
    <row r="520" spans="1:16" ht="21.75" customHeight="1" x14ac:dyDescent="0.3">
      <c r="A520" s="175"/>
      <c r="B520" s="176"/>
      <c r="C520" s="176"/>
      <c r="D520" s="193"/>
      <c r="E520" s="195"/>
      <c r="F520" s="195"/>
      <c r="G520" s="196"/>
      <c r="H520" s="420" t="s">
        <v>36</v>
      </c>
      <c r="I520" s="187">
        <f ca="1">IFERROR(__xludf.DUMMYFUNCTION("IMPORTRANGE(""https://docs.google.com/spreadsheets/d/11923uPwbBZFjjGgGUA6NLw09EwE0CqkOc4q9oUmW1yo/edit?usp=sharing"",""แม่ฮ่องสอน!I415"")"),0)</f>
        <v>0</v>
      </c>
      <c r="J520" s="187">
        <f ca="1">IFERROR(__xludf.DUMMYFUNCTION("IMPORTRANGE(""https://docs.google.com/spreadsheets/d/11923uPwbBZFjjGgGUA6NLw09EwE0CqkOc4q9oUmW1yo/edit?usp=sharing"",""แม่ฮ่องสอน!J415"")"),0)</f>
        <v>0</v>
      </c>
      <c r="K520" s="163">
        <v>0</v>
      </c>
      <c r="L520" s="181"/>
      <c r="M520" s="181"/>
      <c r="N520" s="181"/>
      <c r="O520" s="181"/>
      <c r="P520" s="181"/>
    </row>
    <row r="521" spans="1:16" ht="21.75" customHeight="1" x14ac:dyDescent="0.3">
      <c r="A521" s="175"/>
      <c r="B521" s="176"/>
      <c r="C521" s="176"/>
      <c r="D521" s="193"/>
      <c r="E521" s="195"/>
      <c r="F521" s="195"/>
      <c r="G521" s="225" t="s">
        <v>197</v>
      </c>
      <c r="H521" s="420" t="s">
        <v>122</v>
      </c>
      <c r="I521" s="187">
        <f ca="1">IFERROR(__xludf.DUMMYFUNCTION("IMPORTRANGE(""https://docs.google.com/spreadsheets/d/11923uPwbBZFjjGgGUA6NLw09EwE0CqkOc4q9oUmW1yo/edit?usp=sharing"",""แม่ฮ่องสอน!I416"")"),0)</f>
        <v>0</v>
      </c>
      <c r="J521" s="187">
        <f ca="1">IFERROR(__xludf.DUMMYFUNCTION("IMPORTRANGE(""https://docs.google.com/spreadsheets/d/11923uPwbBZFjjGgGUA6NLw09EwE0CqkOc4q9oUmW1yo/edit?usp=sharing"",""แม่ฮ่องสอน!J416"")"),0)</f>
        <v>0</v>
      </c>
      <c r="K521" s="163">
        <v>0</v>
      </c>
      <c r="L521" s="181"/>
      <c r="M521" s="181"/>
      <c r="N521" s="181"/>
      <c r="O521" s="181"/>
      <c r="P521" s="181"/>
    </row>
    <row r="522" spans="1:16" ht="21.75" customHeight="1" x14ac:dyDescent="0.3">
      <c r="A522" s="175"/>
      <c r="B522" s="176"/>
      <c r="C522" s="176"/>
      <c r="D522" s="193"/>
      <c r="E522" s="195"/>
      <c r="F522" s="195"/>
      <c r="G522" s="196"/>
      <c r="H522" s="420" t="s">
        <v>36</v>
      </c>
      <c r="I522" s="187">
        <f ca="1">IFERROR(__xludf.DUMMYFUNCTION("IMPORTRANGE(""https://docs.google.com/spreadsheets/d/11923uPwbBZFjjGgGUA6NLw09EwE0CqkOc4q9oUmW1yo/edit?usp=sharing"",""แม่ฮ่องสอน!I417"")"),0)</f>
        <v>0</v>
      </c>
      <c r="J522" s="187">
        <f ca="1">IFERROR(__xludf.DUMMYFUNCTION("IMPORTRANGE(""https://docs.google.com/spreadsheets/d/11923uPwbBZFjjGgGUA6NLw09EwE0CqkOc4q9oUmW1yo/edit?usp=sharing"",""แม่ฮ่องสอน!J417"")"),0)</f>
        <v>0</v>
      </c>
      <c r="K522" s="163">
        <v>0</v>
      </c>
      <c r="L522" s="181"/>
      <c r="M522" s="181"/>
      <c r="N522" s="181"/>
      <c r="O522" s="181"/>
      <c r="P522" s="181"/>
    </row>
    <row r="523" spans="1:16" ht="21.75" customHeight="1" x14ac:dyDescent="0.3">
      <c r="A523" s="175"/>
      <c r="B523" s="176"/>
      <c r="C523" s="176"/>
      <c r="D523" s="193"/>
      <c r="E523" s="195"/>
      <c r="F523" s="195"/>
      <c r="G523" s="456" t="s">
        <v>198</v>
      </c>
      <c r="H523" s="420" t="s">
        <v>122</v>
      </c>
      <c r="I523" s="187">
        <f ca="1">IFERROR(__xludf.DUMMYFUNCTION("IMPORTRANGE(""https://docs.google.com/spreadsheets/d/11923uPwbBZFjjGgGUA6NLw09EwE0CqkOc4q9oUmW1yo/edit?usp=sharing"",""แม่ฮ่องสอน!I418"")"),0)</f>
        <v>0</v>
      </c>
      <c r="J523" s="187">
        <f ca="1">IFERROR(__xludf.DUMMYFUNCTION("IMPORTRANGE(""https://docs.google.com/spreadsheets/d/11923uPwbBZFjjGgGUA6NLw09EwE0CqkOc4q9oUmW1yo/edit?usp=sharing"",""แม่ฮ่องสอน!J418"")"),24)</f>
        <v>24</v>
      </c>
      <c r="K523" s="163">
        <v>0</v>
      </c>
      <c r="L523" s="181"/>
      <c r="M523" s="181"/>
      <c r="N523" s="181"/>
      <c r="O523" s="181"/>
      <c r="P523" s="181"/>
    </row>
    <row r="524" spans="1:16" ht="21.75" customHeight="1" x14ac:dyDescent="0.3">
      <c r="A524" s="175"/>
      <c r="B524" s="176"/>
      <c r="C524" s="176"/>
      <c r="D524" s="193"/>
      <c r="E524" s="195"/>
      <c r="F524" s="195"/>
      <c r="G524" s="196"/>
      <c r="H524" s="420" t="s">
        <v>36</v>
      </c>
      <c r="I524" s="187">
        <f ca="1">IFERROR(__xludf.DUMMYFUNCTION("IMPORTRANGE(""https://docs.google.com/spreadsheets/d/11923uPwbBZFjjGgGUA6NLw09EwE0CqkOc4q9oUmW1yo/edit?usp=sharing"",""แม่ฮ่องสอน!I419"")"),0)</f>
        <v>0</v>
      </c>
      <c r="J524" s="187">
        <f ca="1">IFERROR(__xludf.DUMMYFUNCTION("IMPORTRANGE(""https://docs.google.com/spreadsheets/d/11923uPwbBZFjjGgGUA6NLw09EwE0CqkOc4q9oUmW1yo/edit?usp=sharing"",""แม่ฮ่องสอน!J419"")"),4)</f>
        <v>4</v>
      </c>
      <c r="K524" s="163">
        <v>0</v>
      </c>
      <c r="L524" s="181"/>
      <c r="M524" s="181"/>
      <c r="N524" s="181"/>
      <c r="O524" s="181"/>
      <c r="P524" s="181"/>
    </row>
    <row r="525" spans="1:16" ht="21.75" customHeight="1" x14ac:dyDescent="0.3">
      <c r="A525" s="175"/>
      <c r="B525" s="176"/>
      <c r="C525" s="452"/>
      <c r="D525" s="452"/>
      <c r="E525" s="452" t="s">
        <v>199</v>
      </c>
      <c r="F525" s="453"/>
      <c r="G525" s="454"/>
      <c r="H525" s="455" t="s">
        <v>122</v>
      </c>
      <c r="I525" s="282">
        <f ca="1">IFERROR(__xludf.DUMMYFUNCTION("IMPORTRANGE(""https://docs.google.com/spreadsheets/d/11923uPwbBZFjjGgGUA6NLw09EwE0CqkOc4q9oUmW1yo/edit?usp=sharing"",""แม่ฮ่องสอน!I420"")"),24)</f>
        <v>24</v>
      </c>
      <c r="J525" s="282">
        <f ca="1">IFERROR(__xludf.DUMMYFUNCTION("IMPORTRANGE(""https://docs.google.com/spreadsheets/d/11923uPwbBZFjjGgGUA6NLw09EwE0CqkOc4q9oUmW1yo/edit?usp=sharing"",""แม่ฮ่องสอน!J420"")"),0)</f>
        <v>0</v>
      </c>
      <c r="K525" s="283">
        <v>0</v>
      </c>
      <c r="L525" s="181"/>
      <c r="M525" s="181"/>
      <c r="N525" s="181"/>
      <c r="O525" s="181"/>
      <c r="P525" s="181"/>
    </row>
    <row r="526" spans="1:16" ht="21.75" customHeight="1" x14ac:dyDescent="0.3">
      <c r="A526" s="175"/>
      <c r="B526" s="176"/>
      <c r="C526" s="452"/>
      <c r="D526" s="452"/>
      <c r="E526" s="452" t="s">
        <v>200</v>
      </c>
      <c r="F526" s="453"/>
      <c r="G526" s="454"/>
      <c r="H526" s="455" t="s">
        <v>36</v>
      </c>
      <c r="I526" s="282">
        <f ca="1">IFERROR(__xludf.DUMMYFUNCTION("IMPORTRANGE(""https://docs.google.com/spreadsheets/d/11923uPwbBZFjjGgGUA6NLw09EwE0CqkOc4q9oUmW1yo/edit?usp=sharing"",""แม่ฮ่องสอน!I421"")"),4)</f>
        <v>4</v>
      </c>
      <c r="J526" s="282">
        <f ca="1">IFERROR(__xludf.DUMMYFUNCTION("IMPORTRANGE(""https://docs.google.com/spreadsheets/d/11923uPwbBZFjjGgGUA6NLw09EwE0CqkOc4q9oUmW1yo/edit?usp=sharing"",""แม่ฮ่องสอน!J421"")"),0)</f>
        <v>0</v>
      </c>
      <c r="K526" s="283">
        <v>0</v>
      </c>
      <c r="L526" s="181"/>
      <c r="M526" s="181"/>
      <c r="N526" s="181"/>
      <c r="O526" s="181"/>
      <c r="P526" s="181"/>
    </row>
    <row r="527" spans="1:16" ht="21.75" customHeight="1" x14ac:dyDescent="0.3">
      <c r="A527" s="175"/>
      <c r="B527" s="176"/>
      <c r="C527" s="176"/>
      <c r="D527" s="193"/>
      <c r="E527" s="195"/>
      <c r="F527" s="195"/>
      <c r="G527" s="225" t="s">
        <v>196</v>
      </c>
      <c r="H527" s="420" t="s">
        <v>122</v>
      </c>
      <c r="I527" s="187">
        <f ca="1">IFERROR(__xludf.DUMMYFUNCTION("IMPORTRANGE(""https://docs.google.com/spreadsheets/d/11923uPwbBZFjjGgGUA6NLw09EwE0CqkOc4q9oUmW1yo/edit?usp=sharing"",""แม่ฮ่องสอน!I422"")"),0)</f>
        <v>0</v>
      </c>
      <c r="J527" s="197">
        <f ca="1">IFERROR(__xludf.DUMMYFUNCTION("IMPORTRANGE(""https://docs.google.com/spreadsheets/d/11923uPwbBZFjjGgGUA6NLw09EwE0CqkOc4q9oUmW1yo/edit?usp=sharing"",""แม่ฮ่องสอน!J422"")"),0)</f>
        <v>0</v>
      </c>
      <c r="K527" s="163">
        <v>0</v>
      </c>
      <c r="L527" s="181"/>
      <c r="M527" s="181"/>
      <c r="N527" s="181"/>
      <c r="O527" s="181"/>
      <c r="P527" s="181"/>
    </row>
    <row r="528" spans="1:16" ht="21.75" customHeight="1" x14ac:dyDescent="0.3">
      <c r="A528" s="175"/>
      <c r="B528" s="176"/>
      <c r="C528" s="176"/>
      <c r="D528" s="193"/>
      <c r="E528" s="195"/>
      <c r="F528" s="195"/>
      <c r="G528" s="196"/>
      <c r="H528" s="420" t="s">
        <v>36</v>
      </c>
      <c r="I528" s="187">
        <f ca="1">IFERROR(__xludf.DUMMYFUNCTION("IMPORTRANGE(""https://docs.google.com/spreadsheets/d/11923uPwbBZFjjGgGUA6NLw09EwE0CqkOc4q9oUmW1yo/edit?usp=sharing"",""แม่ฮ่องสอน!I423"")"),0)</f>
        <v>0</v>
      </c>
      <c r="J528" s="197">
        <f ca="1">IFERROR(__xludf.DUMMYFUNCTION("IMPORTRANGE(""https://docs.google.com/spreadsheets/d/11923uPwbBZFjjGgGUA6NLw09EwE0CqkOc4q9oUmW1yo/edit?usp=sharing"",""แม่ฮ่องสอน!J423"")"),0)</f>
        <v>0</v>
      </c>
      <c r="K528" s="163">
        <v>0</v>
      </c>
      <c r="L528" s="181"/>
      <c r="M528" s="181"/>
      <c r="N528" s="181"/>
      <c r="O528" s="181"/>
      <c r="P528" s="181"/>
    </row>
    <row r="529" spans="1:16" ht="21.75" customHeight="1" x14ac:dyDescent="0.3">
      <c r="A529" s="175"/>
      <c r="B529" s="176"/>
      <c r="C529" s="176"/>
      <c r="D529" s="193"/>
      <c r="E529" s="195"/>
      <c r="F529" s="195"/>
      <c r="G529" s="225" t="s">
        <v>197</v>
      </c>
      <c r="H529" s="420" t="s">
        <v>122</v>
      </c>
      <c r="I529" s="187">
        <f ca="1">IFERROR(__xludf.DUMMYFUNCTION("IMPORTRANGE(""https://docs.google.com/spreadsheets/d/11923uPwbBZFjjGgGUA6NLw09EwE0CqkOc4q9oUmW1yo/edit?usp=sharing"",""แม่ฮ่องสอน!I424"")"),0)</f>
        <v>0</v>
      </c>
      <c r="J529" s="197">
        <f ca="1">IFERROR(__xludf.DUMMYFUNCTION("IMPORTRANGE(""https://docs.google.com/spreadsheets/d/11923uPwbBZFjjGgGUA6NLw09EwE0CqkOc4q9oUmW1yo/edit?usp=sharing"",""แม่ฮ่องสอน!J424"")"),0)</f>
        <v>0</v>
      </c>
      <c r="K529" s="163">
        <v>0</v>
      </c>
      <c r="L529" s="181"/>
      <c r="M529" s="181"/>
      <c r="N529" s="181"/>
      <c r="O529" s="181"/>
      <c r="P529" s="181"/>
    </row>
    <row r="530" spans="1:16" ht="21.75" customHeight="1" x14ac:dyDescent="0.3">
      <c r="A530" s="175"/>
      <c r="B530" s="176"/>
      <c r="C530" s="176"/>
      <c r="D530" s="193"/>
      <c r="E530" s="195"/>
      <c r="F530" s="195"/>
      <c r="G530" s="196"/>
      <c r="H530" s="420" t="s">
        <v>36</v>
      </c>
      <c r="I530" s="187">
        <f ca="1">IFERROR(__xludf.DUMMYFUNCTION("IMPORTRANGE(""https://docs.google.com/spreadsheets/d/11923uPwbBZFjjGgGUA6NLw09EwE0CqkOc4q9oUmW1yo/edit?usp=sharing"",""แม่ฮ่องสอน!I425"")"),0)</f>
        <v>0</v>
      </c>
      <c r="J530" s="197">
        <f ca="1">IFERROR(__xludf.DUMMYFUNCTION("IMPORTRANGE(""https://docs.google.com/spreadsheets/d/11923uPwbBZFjjGgGUA6NLw09EwE0CqkOc4q9oUmW1yo/edit?usp=sharing"",""แม่ฮ่องสอน!J425"")"),0)</f>
        <v>0</v>
      </c>
      <c r="K530" s="163">
        <v>0</v>
      </c>
      <c r="L530" s="181"/>
      <c r="M530" s="181"/>
      <c r="N530" s="181"/>
      <c r="O530" s="181"/>
      <c r="P530" s="181"/>
    </row>
    <row r="531" spans="1:16" ht="21.75" customHeight="1" x14ac:dyDescent="0.3">
      <c r="A531" s="175"/>
      <c r="B531" s="176"/>
      <c r="C531" s="176"/>
      <c r="D531" s="193"/>
      <c r="E531" s="195"/>
      <c r="F531" s="195"/>
      <c r="G531" s="225" t="s">
        <v>201</v>
      </c>
      <c r="H531" s="420" t="s">
        <v>122</v>
      </c>
      <c r="I531" s="187">
        <f ca="1">IFERROR(__xludf.DUMMYFUNCTION("IMPORTRANGE(""https://docs.google.com/spreadsheets/d/11923uPwbBZFjjGgGUA6NLw09EwE0CqkOc4q9oUmW1yo/edit?usp=sharing"",""แม่ฮ่องสอน!I426"")"),0)</f>
        <v>0</v>
      </c>
      <c r="J531" s="197">
        <f ca="1">IFERROR(__xludf.DUMMYFUNCTION("IMPORTRANGE(""https://docs.google.com/spreadsheets/d/11923uPwbBZFjjGgGUA6NLw09EwE0CqkOc4q9oUmW1yo/edit?usp=sharing"",""แม่ฮ่องสอน!J426"")"),0)</f>
        <v>0</v>
      </c>
      <c r="K531" s="163">
        <v>0</v>
      </c>
      <c r="L531" s="181"/>
      <c r="M531" s="181"/>
      <c r="N531" s="181"/>
      <c r="O531" s="181"/>
      <c r="P531" s="181"/>
    </row>
    <row r="532" spans="1:16" ht="21.75" customHeight="1" x14ac:dyDescent="0.3">
      <c r="A532" s="457"/>
      <c r="B532" s="458"/>
      <c r="C532" s="458"/>
      <c r="D532" s="459"/>
      <c r="E532" s="460"/>
      <c r="F532" s="460"/>
      <c r="G532" s="461"/>
      <c r="H532" s="462" t="s">
        <v>36</v>
      </c>
      <c r="I532" s="463">
        <f ca="1">IFERROR(__xludf.DUMMYFUNCTION("IMPORTRANGE(""https://docs.google.com/spreadsheets/d/11923uPwbBZFjjGgGUA6NLw09EwE0CqkOc4q9oUmW1yo/edit?usp=sharing"",""แม่ฮ่องสอน!I427"")"),0)</f>
        <v>0</v>
      </c>
      <c r="J532" s="464">
        <f ca="1">IFERROR(__xludf.DUMMYFUNCTION("IMPORTRANGE(""https://docs.google.com/spreadsheets/d/11923uPwbBZFjjGgGUA6NLw09EwE0CqkOc4q9oUmW1yo/edit?usp=sharing"",""แม่ฮ่องสอน!J427"")"),0)</f>
        <v>0</v>
      </c>
      <c r="K532" s="465">
        <v>0</v>
      </c>
      <c r="L532" s="466"/>
      <c r="M532" s="466"/>
      <c r="N532" s="466"/>
      <c r="O532" s="466"/>
      <c r="P532" s="466"/>
    </row>
    <row r="533" spans="1:16" ht="21.75" customHeight="1" x14ac:dyDescent="0.3">
      <c r="A533" s="403"/>
      <c r="B533" s="404">
        <v>6</v>
      </c>
      <c r="C533" s="405" t="s">
        <v>202</v>
      </c>
      <c r="D533" s="405"/>
      <c r="E533" s="405"/>
      <c r="F533" s="405"/>
      <c r="G533" s="406"/>
      <c r="H533" s="407" t="s">
        <v>37</v>
      </c>
      <c r="I533" s="408">
        <f ca="1">IFERROR(__xludf.DUMMYFUNCTION("IMPORTRANGE(""https://docs.google.com/spreadsheets/d/11923uPwbBZFjjGgGUA6NLw09EwE0CqkOc4q9oUmW1yo/edit?usp=sharing"",""แม่ฮ่องสอน!I428"")"),22)</f>
        <v>22</v>
      </c>
      <c r="J533" s="408">
        <f ca="1">IFERROR(__xludf.DUMMYFUNCTION("IMPORTRANGE(""https://docs.google.com/spreadsheets/d/11923uPwbBZFjjGgGUA6NLw09EwE0CqkOc4q9oUmW1yo/edit?usp=sharing"",""แม่ฮ่องสอน!J428"")"),22)</f>
        <v>22</v>
      </c>
      <c r="K533" s="409">
        <f ca="1">IF(I533&gt;0,J533*100/I533,0)</f>
        <v>100</v>
      </c>
      <c r="L533" s="410">
        <f ca="1">IFERROR(__xludf.DUMMYFUNCTION("IMPORTRANGE(""https://docs.google.com/spreadsheets/d/11923uPwbBZFjjGgGUA6NLw09EwE0CqkOc4q9oUmW1yo/edit?usp=sharing"",""แม่ฮ่องสอน!L428"")"),34340)</f>
        <v>34340</v>
      </c>
      <c r="M533" s="410"/>
      <c r="N533" s="410">
        <f ca="1">IFERROR(__xludf.DUMMYFUNCTION("IMPORTRANGE(""https://docs.google.com/spreadsheets/d/11923uPwbBZFjjGgGUA6NLw09EwE0CqkOc4q9oUmW1yo/edit?usp=sharing"",""แม่ฮ่องสอน!M428"")"),27787)</f>
        <v>27787</v>
      </c>
      <c r="O533" s="410">
        <f t="shared" ref="O533:O537" ca="1" si="118">+IF(L533&gt;0,N533*100/L533,0)</f>
        <v>80.917297612114155</v>
      </c>
      <c r="P533" s="410"/>
    </row>
    <row r="534" spans="1:16" ht="21.75" customHeight="1" x14ac:dyDescent="0.3">
      <c r="A534" s="156"/>
      <c r="B534" s="157"/>
      <c r="C534" s="157" t="s">
        <v>16</v>
      </c>
      <c r="D534" s="158" t="s">
        <v>38</v>
      </c>
      <c r="E534" s="159"/>
      <c r="F534" s="159"/>
      <c r="G534" s="160" t="s">
        <v>39</v>
      </c>
      <c r="H534" s="161" t="s">
        <v>12</v>
      </c>
      <c r="I534" s="162" t="s">
        <v>40</v>
      </c>
      <c r="J534" s="162"/>
      <c r="K534" s="163"/>
      <c r="L534" s="164">
        <f ca="1">IFERROR(__xludf.DUMMYFUNCTION("IMPORTRANGE(""https://docs.google.com/spreadsheets/d/11923uPwbBZFjjGgGUA6NLw09EwE0CqkOc4q9oUmW1yo/edit?usp=sharing"",""แม่ฮ่องสอน!L429"")"),0)</f>
        <v>0</v>
      </c>
      <c r="M534" s="164"/>
      <c r="N534" s="168">
        <f ca="1">IFERROR(__xludf.DUMMYFUNCTION("IMPORTRANGE(""https://docs.google.com/spreadsheets/d/11923uPwbBZFjjGgGUA6NLw09EwE0CqkOc4q9oUmW1yo/edit?usp=sharing"",""แม่ฮ่องสอน!M429"")"),0)</f>
        <v>0</v>
      </c>
      <c r="O534" s="168">
        <f t="shared" ca="1" si="118"/>
        <v>0</v>
      </c>
      <c r="P534" s="168"/>
    </row>
    <row r="535" spans="1:16" ht="21.75" customHeight="1" x14ac:dyDescent="0.3">
      <c r="A535" s="156"/>
      <c r="B535" s="157"/>
      <c r="C535" s="157"/>
      <c r="D535" s="166"/>
      <c r="E535" s="159"/>
      <c r="F535" s="159" t="s">
        <v>40</v>
      </c>
      <c r="G535" s="160" t="s">
        <v>41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IFERROR(__xludf.DUMMYFUNCTION("IMPORTRANGE(""https://docs.google.com/spreadsheets/d/11923uPwbBZFjjGgGUA6NLw09EwE0CqkOc4q9oUmW1yo/edit?usp=sharing"",""แม่ฮ่องสอน!L430"")"),34340)</f>
        <v>34340</v>
      </c>
      <c r="M535" s="165"/>
      <c r="N535" s="168">
        <f ca="1">IFERROR(__xludf.DUMMYFUNCTION("IMPORTRANGE(""https://docs.google.com/spreadsheets/d/11923uPwbBZFjjGgGUA6NLw09EwE0CqkOc4q9oUmW1yo/edit?usp=sharing"",""แม่ฮ่องสอน!M430"")"),27787)</f>
        <v>27787</v>
      </c>
      <c r="O535" s="168">
        <f t="shared" ca="1" si="118"/>
        <v>80.917297612114155</v>
      </c>
      <c r="P535" s="168"/>
    </row>
    <row r="536" spans="1:16" ht="21.75" customHeight="1" x14ac:dyDescent="0.3">
      <c r="A536" s="156"/>
      <c r="B536" s="157"/>
      <c r="C536" s="157"/>
      <c r="D536" s="166"/>
      <c r="E536" s="159"/>
      <c r="F536" s="159"/>
      <c r="G536" s="372" t="s">
        <v>129</v>
      </c>
      <c r="H536" s="161" t="s">
        <v>12</v>
      </c>
      <c r="I536" s="162"/>
      <c r="J536" s="162"/>
      <c r="K536" s="163"/>
      <c r="L536" s="168">
        <f ca="1">IFERROR(__xludf.DUMMYFUNCTION("IMPORTRANGE(""https://docs.google.com/spreadsheets/d/11923uPwbBZFjjGgGUA6NLw09EwE0CqkOc4q9oUmW1yo/edit?usp=sharing"",""แม่ฮ่องสอน!L431"")"),0)</f>
        <v>0</v>
      </c>
      <c r="M536" s="168"/>
      <c r="N536" s="168">
        <f ca="1">IFERROR(__xludf.DUMMYFUNCTION("IMPORTRANGE(""https://docs.google.com/spreadsheets/d/11923uPwbBZFjjGgGUA6NLw09EwE0CqkOc4q9oUmW1yo/edit?usp=sharing"",""แม่ฮ่องสอน!M431"")"),0)</f>
        <v>0</v>
      </c>
      <c r="O536" s="168">
        <f t="shared" ca="1" si="118"/>
        <v>0</v>
      </c>
      <c r="P536" s="168"/>
    </row>
    <row r="537" spans="1:16" ht="21.75" customHeight="1" x14ac:dyDescent="0.3">
      <c r="A537" s="156"/>
      <c r="B537" s="157"/>
      <c r="C537" s="157"/>
      <c r="D537" s="166"/>
      <c r="E537" s="159"/>
      <c r="F537" s="159"/>
      <c r="G537" s="372" t="s">
        <v>130</v>
      </c>
      <c r="H537" s="161" t="s">
        <v>12</v>
      </c>
      <c r="I537" s="162"/>
      <c r="J537" s="162"/>
      <c r="K537" s="163"/>
      <c r="L537" s="168">
        <f ca="1">IFERROR(__xludf.DUMMYFUNCTION("IMPORTRANGE(""https://docs.google.com/spreadsheets/d/11923uPwbBZFjjGgGUA6NLw09EwE0CqkOc4q9oUmW1yo/edit?usp=sharing"",""แม่ฮ่องสอน!L432"")"),34340)</f>
        <v>34340</v>
      </c>
      <c r="M537" s="168"/>
      <c r="N537" s="168">
        <f ca="1">IFERROR(__xludf.DUMMYFUNCTION("IMPORTRANGE(""https://docs.google.com/spreadsheets/d/11923uPwbBZFjjGgGUA6NLw09EwE0CqkOc4q9oUmW1yo/edit?usp=sharing"",""แม่ฮ่องสอน!M432"")"),27787)</f>
        <v>27787</v>
      </c>
      <c r="O537" s="168">
        <f t="shared" ca="1" si="118"/>
        <v>80.917297612114155</v>
      </c>
      <c r="P537" s="168"/>
    </row>
    <row r="538" spans="1:16" ht="21.75" customHeight="1" x14ac:dyDescent="0.3">
      <c r="A538" s="373"/>
      <c r="B538" s="374"/>
      <c r="C538" s="157"/>
      <c r="D538" s="375"/>
      <c r="E538" s="159"/>
      <c r="F538" s="159"/>
      <c r="G538" s="376" t="s">
        <v>131</v>
      </c>
      <c r="H538" s="161" t="s">
        <v>12</v>
      </c>
      <c r="I538" s="187"/>
      <c r="J538" s="187"/>
      <c r="K538" s="223"/>
      <c r="L538" s="168"/>
      <c r="M538" s="168"/>
      <c r="N538" s="377">
        <f ca="1">IFERROR(__xludf.DUMMYFUNCTION("IMPORTRANGE(""https://docs.google.com/spreadsheets/d/11923uPwbBZFjjGgGUA6NLw09EwE0CqkOc4q9oUmW1yo/edit?usp=sharing"",""แม่ฮ่องสอน!M433"")"),18740)</f>
        <v>18740</v>
      </c>
      <c r="O538" s="168"/>
      <c r="P538" s="168"/>
    </row>
    <row r="539" spans="1:16" ht="21.75" customHeight="1" x14ac:dyDescent="0.3">
      <c r="A539" s="373"/>
      <c r="B539" s="374"/>
      <c r="C539" s="157"/>
      <c r="D539" s="375"/>
      <c r="E539" s="159"/>
      <c r="F539" s="159"/>
      <c r="G539" s="376" t="s">
        <v>132</v>
      </c>
      <c r="H539" s="161" t="s">
        <v>12</v>
      </c>
      <c r="I539" s="187"/>
      <c r="J539" s="187"/>
      <c r="K539" s="223"/>
      <c r="L539" s="168"/>
      <c r="M539" s="168"/>
      <c r="N539" s="377">
        <f ca="1">IFERROR(__xludf.DUMMYFUNCTION("IMPORTRANGE(""https://docs.google.com/spreadsheets/d/11923uPwbBZFjjGgGUA6NLw09EwE0CqkOc4q9oUmW1yo/edit?usp=sharing"",""แม่ฮ่องสอน!M434"")"),0)</f>
        <v>0</v>
      </c>
      <c r="O539" s="168"/>
      <c r="P539" s="168"/>
    </row>
    <row r="540" spans="1:16" ht="21.75" customHeight="1" x14ac:dyDescent="0.3">
      <c r="A540" s="373"/>
      <c r="B540" s="374"/>
      <c r="C540" s="157"/>
      <c r="D540" s="375"/>
      <c r="E540" s="159"/>
      <c r="F540" s="159"/>
      <c r="G540" s="376" t="s">
        <v>133</v>
      </c>
      <c r="H540" s="161" t="s">
        <v>12</v>
      </c>
      <c r="I540" s="187"/>
      <c r="J540" s="187"/>
      <c r="K540" s="223"/>
      <c r="L540" s="168"/>
      <c r="M540" s="168"/>
      <c r="N540" s="377">
        <f ca="1">IFERROR(__xludf.DUMMYFUNCTION("IMPORTRANGE(""https://docs.google.com/spreadsheets/d/11923uPwbBZFjjGgGUA6NLw09EwE0CqkOc4q9oUmW1yo/edit?usp=sharing"",""แม่ฮ่องสอน!M435"")"),0)</f>
        <v>0</v>
      </c>
      <c r="O540" s="168"/>
      <c r="P540" s="168"/>
    </row>
    <row r="541" spans="1:16" ht="21.75" customHeight="1" x14ac:dyDescent="0.3">
      <c r="A541" s="373"/>
      <c r="B541" s="374"/>
      <c r="C541" s="157"/>
      <c r="D541" s="375"/>
      <c r="E541" s="159"/>
      <c r="F541" s="159"/>
      <c r="G541" s="376" t="s">
        <v>134</v>
      </c>
      <c r="H541" s="161" t="s">
        <v>12</v>
      </c>
      <c r="I541" s="187"/>
      <c r="J541" s="187"/>
      <c r="K541" s="223"/>
      <c r="L541" s="168"/>
      <c r="M541" s="168"/>
      <c r="N541" s="377">
        <f ca="1">IFERROR(__xludf.DUMMYFUNCTION("IMPORTRANGE(""https://docs.google.com/spreadsheets/d/11923uPwbBZFjjGgGUA6NLw09EwE0CqkOc4q9oUmW1yo/edit?usp=sharing"",""แม่ฮ่องสอน!M436"")"),9047)</f>
        <v>9047</v>
      </c>
      <c r="O541" s="168"/>
      <c r="P541" s="168"/>
    </row>
    <row r="542" spans="1:16" ht="21.75" customHeight="1" x14ac:dyDescent="0.3">
      <c r="A542" s="175"/>
      <c r="B542" s="176"/>
      <c r="C542" s="157" t="s">
        <v>16</v>
      </c>
      <c r="D542" s="177" t="s">
        <v>44</v>
      </c>
      <c r="E542" s="178"/>
      <c r="F542" s="178"/>
      <c r="G542" s="179"/>
      <c r="H542" s="180"/>
      <c r="I542" s="162"/>
      <c r="J542" s="162"/>
      <c r="K542" s="163"/>
      <c r="L542" s="181"/>
      <c r="M542" s="181"/>
      <c r="N542" s="181"/>
      <c r="O542" s="181"/>
      <c r="P542" s="181"/>
    </row>
    <row r="543" spans="1:16" ht="21.75" customHeight="1" x14ac:dyDescent="0.3">
      <c r="A543" s="175"/>
      <c r="B543" s="176"/>
      <c r="C543" s="176"/>
      <c r="D543" s="182">
        <v>1</v>
      </c>
      <c r="E543" s="183" t="s">
        <v>45</v>
      </c>
      <c r="F543" s="184"/>
      <c r="G543" s="185"/>
      <c r="H543" s="186"/>
      <c r="I543" s="187"/>
      <c r="J543" s="197">
        <f ca="1">IFERROR(__xludf.DUMMYFUNCTION("IMPORTRANGE(""https://docs.google.com/spreadsheets/d/11923uPwbBZFjjGgGUA6NLw09EwE0CqkOc4q9oUmW1yo/edit?usp=sharing"",""แม่ฮ่องสอน!J438"")"),0)</f>
        <v>0</v>
      </c>
      <c r="K543" s="163"/>
      <c r="L543" s="181"/>
      <c r="M543" s="181"/>
      <c r="N543" s="181"/>
      <c r="O543" s="181"/>
      <c r="P543" s="181"/>
    </row>
    <row r="544" spans="1:16" ht="21.75" customHeight="1" x14ac:dyDescent="0.3">
      <c r="A544" s="175"/>
      <c r="B544" s="176"/>
      <c r="C544" s="176"/>
      <c r="D544" s="189">
        <v>2</v>
      </c>
      <c r="E544" s="190" t="s">
        <v>46</v>
      </c>
      <c r="F544" s="191"/>
      <c r="G544" s="192"/>
      <c r="H544" s="186"/>
      <c r="I544" s="187"/>
      <c r="J544" s="188">
        <f ca="1">IFERROR(__xludf.DUMMYFUNCTION("IMPORTRANGE(""https://docs.google.com/spreadsheets/d/11923uPwbBZFjjGgGUA6NLw09EwE0CqkOc4q9oUmW1yo/edit?usp=sharing"",""แม่ฮ่องสอน!J439"")"),1)</f>
        <v>1</v>
      </c>
      <c r="K544" s="163"/>
      <c r="L544" s="181" t="s">
        <v>40</v>
      </c>
      <c r="M544" s="181"/>
      <c r="N544" s="181" t="s">
        <v>40</v>
      </c>
      <c r="O544" s="181"/>
      <c r="P544" s="181"/>
    </row>
    <row r="545" spans="1:16" ht="21.75" customHeight="1" x14ac:dyDescent="0.3">
      <c r="A545" s="175"/>
      <c r="B545" s="176"/>
      <c r="C545" s="176"/>
      <c r="D545" s="193"/>
      <c r="E545" s="194" t="s">
        <v>47</v>
      </c>
      <c r="F545" s="195"/>
      <c r="G545" s="196"/>
      <c r="H545" s="186"/>
      <c r="I545" s="187"/>
      <c r="J545" s="188">
        <f ca="1">IFERROR(__xludf.DUMMYFUNCTION("IMPORTRANGE(""https://docs.google.com/spreadsheets/d/11923uPwbBZFjjGgGUA6NLw09EwE0CqkOc4q9oUmW1yo/edit?usp=sharing"",""แม่ฮ่องสอน!J440"")"),1)</f>
        <v>1</v>
      </c>
      <c r="K545" s="163"/>
      <c r="L545" s="181"/>
      <c r="M545" s="181"/>
      <c r="N545" s="181"/>
      <c r="O545" s="181"/>
      <c r="P545" s="181"/>
    </row>
    <row r="546" spans="1:16" ht="21.75" customHeight="1" x14ac:dyDescent="0.3">
      <c r="A546" s="175"/>
      <c r="B546" s="176"/>
      <c r="C546" s="176"/>
      <c r="D546" s="193"/>
      <c r="E546" s="194" t="s">
        <v>48</v>
      </c>
      <c r="F546" s="195"/>
      <c r="G546" s="196"/>
      <c r="H546" s="186"/>
      <c r="I546" s="187"/>
      <c r="J546" s="197">
        <f ca="1">IFERROR(__xludf.DUMMYFUNCTION("IMPORTRANGE(""https://docs.google.com/spreadsheets/d/11923uPwbBZFjjGgGUA6NLw09EwE0CqkOc4q9oUmW1yo/edit?usp=sharing"",""แม่ฮ่องสอน!J441"")"),1)</f>
        <v>1</v>
      </c>
      <c r="K546" s="163"/>
      <c r="L546" s="181"/>
      <c r="M546" s="181"/>
      <c r="N546" s="181"/>
      <c r="O546" s="181"/>
      <c r="P546" s="181"/>
    </row>
    <row r="547" spans="1:16" ht="21.75" customHeight="1" x14ac:dyDescent="0.3">
      <c r="A547" s="175"/>
      <c r="B547" s="176"/>
      <c r="C547" s="176"/>
      <c r="D547" s="193"/>
      <c r="E547" s="198"/>
      <c r="F547" s="195"/>
      <c r="G547" s="225" t="s">
        <v>203</v>
      </c>
      <c r="H547" s="186" t="s">
        <v>37</v>
      </c>
      <c r="I547" s="203">
        <f ca="1">IFERROR(__xludf.DUMMYFUNCTION("IMPORTRANGE(""https://docs.google.com/spreadsheets/d/11923uPwbBZFjjGgGUA6NLw09EwE0CqkOc4q9oUmW1yo/edit?usp=sharing"",""แม่ฮ่องสอน!I442"")"),22)</f>
        <v>22</v>
      </c>
      <c r="J547" s="188">
        <f ca="1">IFERROR(__xludf.DUMMYFUNCTION("IMPORTRANGE(""https://docs.google.com/spreadsheets/d/11923uPwbBZFjjGgGUA6NLw09EwE0CqkOc4q9oUmW1yo/edit?usp=sharing"",""แม่ฮ่องสอน!J442"")"),22)</f>
        <v>22</v>
      </c>
      <c r="K547" s="163">
        <f t="shared" ref="K547:K548" ca="1" si="119">IF(I547&gt;0,J547*100/I547,0)</f>
        <v>100</v>
      </c>
      <c r="L547" s="181"/>
      <c r="M547" s="181"/>
      <c r="N547" s="181"/>
      <c r="O547" s="181"/>
      <c r="P547" s="181"/>
    </row>
    <row r="548" spans="1:16" ht="21.75" hidden="1" customHeight="1" x14ac:dyDescent="0.3">
      <c r="A548" s="175"/>
      <c r="B548" s="176"/>
      <c r="C548" s="176"/>
      <c r="D548" s="193"/>
      <c r="E548" s="198"/>
      <c r="F548" s="195"/>
      <c r="G548" s="225" t="s">
        <v>204</v>
      </c>
      <c r="H548" s="186" t="s">
        <v>37</v>
      </c>
      <c r="I548" s="339">
        <f ca="1">IFERROR(__xludf.DUMMYFUNCTION("IMPORTRANGE(""https://docs.google.com/spreadsheets/d/1C3CXT74ZlgGe6_JY_1olB1XN4rF0dxEuIIF-xsYjHgg/edit?usp=sharing"",""งบกองทุน!dr63"")"),0)</f>
        <v>0</v>
      </c>
      <c r="J548" s="197">
        <f ca="1">IFERROR(__xludf.DUMMYFUNCTION("IMPORTRANGE(""https://docs.google.com/spreadsheets/d/11923uPwbBZFjjGgGUA6NLw09EwE0CqkOc4q9oUmW1yo/edit?usp=sharing"",""แม่ฮ่องสอน!J166"")"),0)</f>
        <v>0</v>
      </c>
      <c r="K548" s="163">
        <f t="shared" ca="1" si="119"/>
        <v>0</v>
      </c>
      <c r="L548" s="181"/>
      <c r="M548" s="181"/>
      <c r="N548" s="181"/>
      <c r="O548" s="181"/>
      <c r="P548" s="181"/>
    </row>
    <row r="549" spans="1:16" ht="21.75" customHeight="1" x14ac:dyDescent="0.3">
      <c r="A549" s="175"/>
      <c r="B549" s="176"/>
      <c r="C549" s="176"/>
      <c r="D549" s="193"/>
      <c r="E549" s="194" t="s">
        <v>54</v>
      </c>
      <c r="F549" s="195"/>
      <c r="G549" s="196"/>
      <c r="H549" s="186"/>
      <c r="I549" s="187"/>
      <c r="J549" s="197">
        <f ca="1">IFERROR(__xludf.DUMMYFUNCTION("IMPORTRANGE(""https://docs.google.com/spreadsheets/d/11923uPwbBZFjjGgGUA6NLw09EwE0CqkOc4q9oUmW1yo/edit?usp=sharing"",""แม่ฮ่องสอน!J444"")"),0)</f>
        <v>0</v>
      </c>
      <c r="K549" s="163"/>
      <c r="L549" s="181"/>
      <c r="M549" s="181"/>
      <c r="N549" s="181"/>
      <c r="O549" s="181"/>
      <c r="P549" s="181"/>
    </row>
    <row r="550" spans="1:16" ht="21.75" customHeight="1" x14ac:dyDescent="0.3">
      <c r="A550" s="457"/>
      <c r="B550" s="458"/>
      <c r="C550" s="458"/>
      <c r="D550" s="467">
        <v>3</v>
      </c>
      <c r="E550" s="468" t="s">
        <v>55</v>
      </c>
      <c r="F550" s="469"/>
      <c r="G550" s="470"/>
      <c r="H550" s="471"/>
      <c r="I550" s="463"/>
      <c r="J550" s="472">
        <f ca="1">IFERROR(__xludf.DUMMYFUNCTION("IMPORTRANGE(""https://docs.google.com/spreadsheets/d/11923uPwbBZFjjGgGUA6NLw09EwE0CqkOc4q9oUmW1yo/edit?usp=sharing"",""แม่ฮ่องสอน!J445"")"),0)</f>
        <v>0</v>
      </c>
      <c r="K550" s="465"/>
      <c r="L550" s="466"/>
      <c r="M550" s="466"/>
      <c r="N550" s="466"/>
      <c r="O550" s="466"/>
      <c r="P550" s="466"/>
    </row>
    <row r="551" spans="1:16" ht="21.75" customHeight="1" x14ac:dyDescent="0.3">
      <c r="A551" s="403"/>
      <c r="B551" s="404">
        <v>7</v>
      </c>
      <c r="C551" s="405" t="s">
        <v>205</v>
      </c>
      <c r="D551" s="405"/>
      <c r="E551" s="405"/>
      <c r="F551" s="405"/>
      <c r="G551" s="406"/>
      <c r="H551" s="407" t="s">
        <v>122</v>
      </c>
      <c r="I551" s="408">
        <f ca="1">IFERROR(__xludf.DUMMYFUNCTION("IMPORTRANGE(""https://docs.google.com/spreadsheets/d/11923uPwbBZFjjGgGUA6NLw09EwE0CqkOc4q9oUmW1yo/edit?usp=sharing"",""แม่ฮ่องสอน!I446"")"),0)</f>
        <v>0</v>
      </c>
      <c r="J551" s="408">
        <f ca="1">IFERROR(__xludf.DUMMYFUNCTION("IMPORTRANGE(""https://docs.google.com/spreadsheets/d/11923uPwbBZFjjGgGUA6NLw09EwE0CqkOc4q9oUmW1yo/edit?usp=sharing"",""แม่ฮ่องสอน!J446"")"),0)</f>
        <v>0</v>
      </c>
      <c r="K551" s="409">
        <f ca="1">IF(I551&gt;0,J551*100/I551,0)</f>
        <v>0</v>
      </c>
      <c r="L551" s="410">
        <f ca="1">IFERROR(__xludf.DUMMYFUNCTION("IMPORTRANGE(""https://docs.google.com/spreadsheets/d/11923uPwbBZFjjGgGUA6NLw09EwE0CqkOc4q9oUmW1yo/edit?usp=sharing"",""แม่ฮ่องสอน!L446"")"),0)</f>
        <v>0</v>
      </c>
      <c r="M551" s="410"/>
      <c r="N551" s="410">
        <f ca="1">IFERROR(__xludf.DUMMYFUNCTION("IMPORTRANGE(""https://docs.google.com/spreadsheets/d/11923uPwbBZFjjGgGUA6NLw09EwE0CqkOc4q9oUmW1yo/edit?usp=sharing"",""แม่ฮ่องสอน!M446"")"),0)</f>
        <v>0</v>
      </c>
      <c r="O551" s="410">
        <f t="shared" ref="O551:O555" ca="1" si="120">+IF(L551&gt;0,N551*100/L551,0)</f>
        <v>0</v>
      </c>
      <c r="P551" s="410"/>
    </row>
    <row r="552" spans="1:16" ht="21.75" customHeight="1" x14ac:dyDescent="0.3">
      <c r="A552" s="156"/>
      <c r="B552" s="157"/>
      <c r="C552" s="157" t="s">
        <v>16</v>
      </c>
      <c r="D552" s="158" t="s">
        <v>38</v>
      </c>
      <c r="E552" s="159"/>
      <c r="F552" s="159"/>
      <c r="G552" s="160" t="s">
        <v>39</v>
      </c>
      <c r="H552" s="161" t="s">
        <v>12</v>
      </c>
      <c r="I552" s="162" t="s">
        <v>40</v>
      </c>
      <c r="J552" s="162"/>
      <c r="K552" s="163"/>
      <c r="L552" s="164">
        <f ca="1">IFERROR(__xludf.DUMMYFUNCTION("IMPORTRANGE(""https://docs.google.com/spreadsheets/d/11923uPwbBZFjjGgGUA6NLw09EwE0CqkOc4q9oUmW1yo/edit?usp=sharing"",""แม่ฮ่องสอน!L447"")"),0)</f>
        <v>0</v>
      </c>
      <c r="M552" s="164"/>
      <c r="N552" s="168">
        <f ca="1">IFERROR(__xludf.DUMMYFUNCTION("IMPORTRANGE(""https://docs.google.com/spreadsheets/d/11923uPwbBZFjjGgGUA6NLw09EwE0CqkOc4q9oUmW1yo/edit?usp=sharing"",""แม่ฮ่องสอน!M447"")"),0)</f>
        <v>0</v>
      </c>
      <c r="O552" s="168">
        <f t="shared" ca="1" si="120"/>
        <v>0</v>
      </c>
      <c r="P552" s="168"/>
    </row>
    <row r="553" spans="1:16" ht="21.75" customHeight="1" x14ac:dyDescent="0.3">
      <c r="A553" s="156"/>
      <c r="B553" s="157"/>
      <c r="C553" s="157"/>
      <c r="D553" s="166"/>
      <c r="E553" s="159"/>
      <c r="F553" s="159" t="s">
        <v>40</v>
      </c>
      <c r="G553" s="160" t="s">
        <v>41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IFERROR(__xludf.DUMMYFUNCTION("IMPORTRANGE(""https://docs.google.com/spreadsheets/d/11923uPwbBZFjjGgGUA6NLw09EwE0CqkOc4q9oUmW1yo/edit?usp=sharing"",""แม่ฮ่องสอน!L448"")"),0)</f>
        <v>0</v>
      </c>
      <c r="M553" s="165"/>
      <c r="N553" s="168">
        <f ca="1">IFERROR(__xludf.DUMMYFUNCTION("IMPORTRANGE(""https://docs.google.com/spreadsheets/d/11923uPwbBZFjjGgGUA6NLw09EwE0CqkOc4q9oUmW1yo/edit?usp=sharing"",""แม่ฮ่องสอน!M448"")"),0)</f>
        <v>0</v>
      </c>
      <c r="O553" s="168">
        <f t="shared" ca="1" si="120"/>
        <v>0</v>
      </c>
      <c r="P553" s="168"/>
    </row>
    <row r="554" spans="1:16" ht="21.75" customHeight="1" x14ac:dyDescent="0.3">
      <c r="A554" s="156"/>
      <c r="B554" s="157"/>
      <c r="C554" s="157"/>
      <c r="D554" s="166"/>
      <c r="E554" s="159"/>
      <c r="F554" s="159"/>
      <c r="G554" s="372" t="s">
        <v>129</v>
      </c>
      <c r="H554" s="161" t="s">
        <v>12</v>
      </c>
      <c r="I554" s="162"/>
      <c r="J554" s="162"/>
      <c r="K554" s="163"/>
      <c r="L554" s="168">
        <f ca="1">IFERROR(__xludf.DUMMYFUNCTION("IMPORTRANGE(""https://docs.google.com/spreadsheets/d/11923uPwbBZFjjGgGUA6NLw09EwE0CqkOc4q9oUmW1yo/edit?usp=sharing"",""แม่ฮ่องสอน!L449"")"),0)</f>
        <v>0</v>
      </c>
      <c r="M554" s="168"/>
      <c r="N554" s="168">
        <f ca="1">IFERROR(__xludf.DUMMYFUNCTION("IMPORTRANGE(""https://docs.google.com/spreadsheets/d/11923uPwbBZFjjGgGUA6NLw09EwE0CqkOc4q9oUmW1yo/edit?usp=sharing"",""แม่ฮ่องสอน!M449"")"),0)</f>
        <v>0</v>
      </c>
      <c r="O554" s="168">
        <f t="shared" ca="1" si="120"/>
        <v>0</v>
      </c>
      <c r="P554" s="168"/>
    </row>
    <row r="555" spans="1:16" ht="21.75" customHeight="1" x14ac:dyDescent="0.3">
      <c r="A555" s="156"/>
      <c r="B555" s="157"/>
      <c r="C555" s="157"/>
      <c r="D555" s="166"/>
      <c r="E555" s="159"/>
      <c r="F555" s="159"/>
      <c r="G555" s="372" t="s">
        <v>130</v>
      </c>
      <c r="H555" s="161" t="s">
        <v>12</v>
      </c>
      <c r="I555" s="162"/>
      <c r="J555" s="162"/>
      <c r="K555" s="163"/>
      <c r="L555" s="168">
        <f ca="1">IFERROR(__xludf.DUMMYFUNCTION("IMPORTRANGE(""https://docs.google.com/spreadsheets/d/11923uPwbBZFjjGgGUA6NLw09EwE0CqkOc4q9oUmW1yo/edit?usp=sharing"",""แม่ฮ่องสอน!L450"")"),0)</f>
        <v>0</v>
      </c>
      <c r="M555" s="168"/>
      <c r="N555" s="168">
        <f ca="1">IFERROR(__xludf.DUMMYFUNCTION("IMPORTRANGE(""https://docs.google.com/spreadsheets/d/11923uPwbBZFjjGgGUA6NLw09EwE0CqkOc4q9oUmW1yo/edit?usp=sharing"",""แม่ฮ่องสอน!M450"")"),0)</f>
        <v>0</v>
      </c>
      <c r="O555" s="168">
        <f t="shared" ca="1" si="120"/>
        <v>0</v>
      </c>
      <c r="P555" s="168"/>
    </row>
    <row r="556" spans="1:16" ht="21.75" customHeight="1" x14ac:dyDescent="0.3">
      <c r="A556" s="373"/>
      <c r="B556" s="374"/>
      <c r="C556" s="157"/>
      <c r="D556" s="375"/>
      <c r="E556" s="159"/>
      <c r="F556" s="159"/>
      <c r="G556" s="376" t="s">
        <v>131</v>
      </c>
      <c r="H556" s="161" t="s">
        <v>12</v>
      </c>
      <c r="I556" s="187"/>
      <c r="J556" s="187"/>
      <c r="K556" s="223"/>
      <c r="L556" s="168"/>
      <c r="M556" s="168"/>
      <c r="N556" s="167">
        <f ca="1">IFERROR(__xludf.DUMMYFUNCTION("IMPORTRANGE(""https://docs.google.com/spreadsheets/d/11923uPwbBZFjjGgGUA6NLw09EwE0CqkOc4q9oUmW1yo/edit?usp=sharing"",""แม่ฮ่องสอน!M451"")"),0)</f>
        <v>0</v>
      </c>
      <c r="O556" s="168"/>
      <c r="P556" s="168"/>
    </row>
    <row r="557" spans="1:16" ht="21.75" customHeight="1" x14ac:dyDescent="0.3">
      <c r="A557" s="373"/>
      <c r="B557" s="374"/>
      <c r="C557" s="157"/>
      <c r="D557" s="375"/>
      <c r="E557" s="159"/>
      <c r="F557" s="159"/>
      <c r="G557" s="376" t="s">
        <v>132</v>
      </c>
      <c r="H557" s="161" t="s">
        <v>12</v>
      </c>
      <c r="I557" s="187"/>
      <c r="J557" s="187"/>
      <c r="K557" s="223"/>
      <c r="L557" s="168"/>
      <c r="M557" s="168"/>
      <c r="N557" s="167">
        <f ca="1">IFERROR(__xludf.DUMMYFUNCTION("IMPORTRANGE(""https://docs.google.com/spreadsheets/d/11923uPwbBZFjjGgGUA6NLw09EwE0CqkOc4q9oUmW1yo/edit?usp=sharing"",""แม่ฮ่องสอน!M452"")"),0)</f>
        <v>0</v>
      </c>
      <c r="O557" s="168"/>
      <c r="P557" s="168"/>
    </row>
    <row r="558" spans="1:16" ht="21.75" customHeight="1" x14ac:dyDescent="0.3">
      <c r="A558" s="373"/>
      <c r="B558" s="374"/>
      <c r="C558" s="157"/>
      <c r="D558" s="375"/>
      <c r="E558" s="159"/>
      <c r="F558" s="159"/>
      <c r="G558" s="376" t="s">
        <v>133</v>
      </c>
      <c r="H558" s="161" t="s">
        <v>12</v>
      </c>
      <c r="I558" s="187"/>
      <c r="J558" s="187"/>
      <c r="K558" s="223"/>
      <c r="L558" s="168"/>
      <c r="M558" s="168"/>
      <c r="N558" s="167">
        <f ca="1">IFERROR(__xludf.DUMMYFUNCTION("IMPORTRANGE(""https://docs.google.com/spreadsheets/d/11923uPwbBZFjjGgGUA6NLw09EwE0CqkOc4q9oUmW1yo/edit?usp=sharing"",""แม่ฮ่องสอน!M453"")"),0)</f>
        <v>0</v>
      </c>
      <c r="O558" s="168"/>
      <c r="P558" s="168"/>
    </row>
    <row r="559" spans="1:16" ht="21.75" customHeight="1" x14ac:dyDescent="0.3">
      <c r="A559" s="373"/>
      <c r="B559" s="374"/>
      <c r="C559" s="157"/>
      <c r="D559" s="375"/>
      <c r="E559" s="159"/>
      <c r="F559" s="159"/>
      <c r="G559" s="376" t="s">
        <v>134</v>
      </c>
      <c r="H559" s="161" t="s">
        <v>12</v>
      </c>
      <c r="I559" s="187"/>
      <c r="J559" s="187"/>
      <c r="K559" s="223"/>
      <c r="L559" s="168"/>
      <c r="M559" s="168"/>
      <c r="N559" s="167">
        <f ca="1">IFERROR(__xludf.DUMMYFUNCTION("IMPORTRANGE(""https://docs.google.com/spreadsheets/d/11923uPwbBZFjjGgGUA6NLw09EwE0CqkOc4q9oUmW1yo/edit?usp=sharing"",""แม่ฮ่องสอน!M454"")"),0)</f>
        <v>0</v>
      </c>
      <c r="O559" s="168"/>
      <c r="P559" s="168"/>
    </row>
    <row r="560" spans="1:16" ht="21.75" customHeight="1" x14ac:dyDescent="0.3">
      <c r="A560" s="175"/>
      <c r="B560" s="176"/>
      <c r="C560" s="176"/>
      <c r="D560" s="193"/>
      <c r="E560" s="195"/>
      <c r="F560" s="277" t="s">
        <v>206</v>
      </c>
      <c r="G560" s="196"/>
      <c r="H560" s="473" t="s">
        <v>122</v>
      </c>
      <c r="I560" s="162">
        <f ca="1">IFERROR(__xludf.DUMMYFUNCTION("IMPORTRANGE(""https://docs.google.com/spreadsheets/d/11923uPwbBZFjjGgGUA6NLw09EwE0CqkOc4q9oUmW1yo/edit?usp=sharing"",""แม่ฮ่องสอน!I455"")"),0)</f>
        <v>0</v>
      </c>
      <c r="J560" s="162">
        <f ca="1">IFERROR(__xludf.DUMMYFUNCTION("IMPORTRANGE(""https://docs.google.com/spreadsheets/d/11923uPwbBZFjjGgGUA6NLw09EwE0CqkOc4q9oUmW1yo/edit?usp=sharing"",""แม่ฮ่องสอน!J455"")"),0)</f>
        <v>0</v>
      </c>
      <c r="K560" s="223">
        <f t="shared" ref="K560:K564" ca="1" si="121">IF(I560&gt;0,J560*100/I560,0)</f>
        <v>0</v>
      </c>
      <c r="L560" s="168"/>
      <c r="M560" s="168"/>
      <c r="N560" s="168"/>
      <c r="O560" s="181"/>
      <c r="P560" s="181"/>
    </row>
    <row r="561" spans="1:16" ht="21.75" customHeight="1" x14ac:dyDescent="0.3">
      <c r="A561" s="175"/>
      <c r="B561" s="176"/>
      <c r="C561" s="176"/>
      <c r="D561" s="193"/>
      <c r="E561" s="195"/>
      <c r="F561" s="195"/>
      <c r="G561" s="196"/>
      <c r="H561" s="473" t="s">
        <v>36</v>
      </c>
      <c r="I561" s="162">
        <f ca="1">IFERROR(__xludf.DUMMYFUNCTION("IMPORTRANGE(""https://docs.google.com/spreadsheets/d/11923uPwbBZFjjGgGUA6NLw09EwE0CqkOc4q9oUmW1yo/edit?usp=sharing"",""แม่ฮ่องสอน!I456"")"),0)</f>
        <v>0</v>
      </c>
      <c r="J561" s="203">
        <f ca="1">IFERROR(__xludf.DUMMYFUNCTION("IMPORTRANGE(""https://docs.google.com/spreadsheets/d/11923uPwbBZFjjGgGUA6NLw09EwE0CqkOc4q9oUmW1yo/edit?usp=sharing"",""แม่ฮ่องสอน!J456"")"),0)</f>
        <v>0</v>
      </c>
      <c r="K561" s="223">
        <f t="shared" ca="1" si="121"/>
        <v>0</v>
      </c>
      <c r="L561" s="168"/>
      <c r="M561" s="168"/>
      <c r="N561" s="168"/>
      <c r="O561" s="181"/>
      <c r="P561" s="181"/>
    </row>
    <row r="562" spans="1:16" ht="21.75" customHeight="1" x14ac:dyDescent="0.3">
      <c r="A562" s="175"/>
      <c r="B562" s="176"/>
      <c r="C562" s="176"/>
      <c r="D562" s="193"/>
      <c r="E562" s="195"/>
      <c r="F562" s="195" t="s">
        <v>207</v>
      </c>
      <c r="G562" s="196"/>
      <c r="H562" s="473" t="s">
        <v>122</v>
      </c>
      <c r="I562" s="162">
        <v>0</v>
      </c>
      <c r="J562" s="203" t="str">
        <f ca="1">IFERROR(__xludf.DUMMYFUNCTION("IMPORTRANGE(""https://docs.google.com/spreadsheets/d/11923uPwbBZFjjGgGUA6NLw09EwE0CqkOc4q9oUmW1yo/edit?usp=sharing"",""แม่ฮ่องสอน!J457"")"),"")</f>
        <v/>
      </c>
      <c r="K562" s="163">
        <f t="shared" si="121"/>
        <v>0</v>
      </c>
      <c r="L562" s="181"/>
      <c r="M562" s="181"/>
      <c r="N562" s="181"/>
      <c r="O562" s="181"/>
      <c r="P562" s="181"/>
    </row>
    <row r="563" spans="1:16" ht="21.75" customHeight="1" x14ac:dyDescent="0.3">
      <c r="A563" s="175"/>
      <c r="B563" s="176"/>
      <c r="C563" s="176"/>
      <c r="D563" s="193"/>
      <c r="E563" s="195"/>
      <c r="F563" s="195"/>
      <c r="G563" s="196"/>
      <c r="H563" s="473" t="s">
        <v>36</v>
      </c>
      <c r="I563" s="162">
        <v>0</v>
      </c>
      <c r="J563" s="187" t="str">
        <f ca="1">IFERROR(__xludf.DUMMYFUNCTION("IMPORTRANGE(""https://docs.google.com/spreadsheets/d/11923uPwbBZFjjGgGUA6NLw09EwE0CqkOc4q9oUmW1yo/edit?usp=sharing"",""แม่ฮ่องสอน!J458"")"),"")</f>
        <v/>
      </c>
      <c r="K563" s="163">
        <f t="shared" si="121"/>
        <v>0</v>
      </c>
      <c r="L563" s="181"/>
      <c r="M563" s="181"/>
      <c r="N563" s="181"/>
      <c r="O563" s="181"/>
      <c r="P563" s="181"/>
    </row>
    <row r="564" spans="1:16" ht="21.75" customHeight="1" x14ac:dyDescent="0.3">
      <c r="A564" s="364"/>
      <c r="B564" s="365">
        <v>8</v>
      </c>
      <c r="C564" s="366" t="s">
        <v>208</v>
      </c>
      <c r="D564" s="366"/>
      <c r="E564" s="366"/>
      <c r="F564" s="366"/>
      <c r="G564" s="367"/>
      <c r="H564" s="368" t="s">
        <v>37</v>
      </c>
      <c r="I564" s="369">
        <f ca="1">IFERROR(__xludf.DUMMYFUNCTION("IMPORTRANGE(""https://docs.google.com/spreadsheets/d/11923uPwbBZFjjGgGUA6NLw09EwE0CqkOc4q9oUmW1yo/edit?usp=sharing"",""แม่ฮ่องสอน!I459"")"),250)</f>
        <v>250</v>
      </c>
      <c r="J564" s="369">
        <f ca="1">IFERROR(__xludf.DUMMYFUNCTION("IMPORTRANGE(""https://docs.google.com/spreadsheets/d/11923uPwbBZFjjGgGUA6NLw09EwE0CqkOc4q9oUmW1yo/edit?usp=sharing"",""แม่ฮ่องสอน!J459"")"),210)</f>
        <v>210</v>
      </c>
      <c r="K564" s="370">
        <f t="shared" ca="1" si="121"/>
        <v>84</v>
      </c>
      <c r="L564" s="371">
        <f ca="1">IFERROR(__xludf.DUMMYFUNCTION("IMPORTRANGE(""https://docs.google.com/spreadsheets/d/11923uPwbBZFjjGgGUA6NLw09EwE0CqkOc4q9oUmW1yo/edit?usp=sharing"",""แม่ฮ่องสอน!L459"")"),130080)</f>
        <v>130080</v>
      </c>
      <c r="M564" s="371"/>
      <c r="N564" s="371">
        <f ca="1">IFERROR(__xludf.DUMMYFUNCTION("IMPORTRANGE(""https://docs.google.com/spreadsheets/d/11923uPwbBZFjjGgGUA6NLw09EwE0CqkOc4q9oUmW1yo/edit?usp=sharing"",""แม่ฮ่องสอน!M459"")"),36640)</f>
        <v>36640</v>
      </c>
      <c r="O564" s="371">
        <f t="shared" ref="O564:O568" ca="1" si="122">+IF(L564&gt;0,N564*100/L564,0)</f>
        <v>28.167281672816728</v>
      </c>
      <c r="P564" s="371"/>
    </row>
    <row r="565" spans="1:16" ht="21.75" customHeight="1" x14ac:dyDescent="0.3">
      <c r="A565" s="156"/>
      <c r="B565" s="157"/>
      <c r="C565" s="157" t="s">
        <v>16</v>
      </c>
      <c r="D565" s="158" t="s">
        <v>38</v>
      </c>
      <c r="E565" s="159"/>
      <c r="F565" s="159"/>
      <c r="G565" s="160" t="s">
        <v>39</v>
      </c>
      <c r="H565" s="161" t="s">
        <v>12</v>
      </c>
      <c r="I565" s="162" t="s">
        <v>40</v>
      </c>
      <c r="J565" s="162"/>
      <c r="K565" s="163"/>
      <c r="L565" s="164">
        <f ca="1">IFERROR(__xludf.DUMMYFUNCTION("IMPORTRANGE(""https://docs.google.com/spreadsheets/d/11923uPwbBZFjjGgGUA6NLw09EwE0CqkOc4q9oUmW1yo/edit?usp=sharing"",""แม่ฮ่องสอน!L460"")"),0)</f>
        <v>0</v>
      </c>
      <c r="M565" s="164"/>
      <c r="N565" s="168">
        <f ca="1">IFERROR(__xludf.DUMMYFUNCTION("IMPORTRANGE(""https://docs.google.com/spreadsheets/d/11923uPwbBZFjjGgGUA6NLw09EwE0CqkOc4q9oUmW1yo/edit?usp=sharing"",""แม่ฮ่องสอน!M460"")"),0)</f>
        <v>0</v>
      </c>
      <c r="O565" s="168">
        <f t="shared" ca="1" si="122"/>
        <v>0</v>
      </c>
      <c r="P565" s="168"/>
    </row>
    <row r="566" spans="1:16" ht="21.75" customHeight="1" x14ac:dyDescent="0.3">
      <c r="A566" s="156"/>
      <c r="B566" s="157"/>
      <c r="C566" s="157"/>
      <c r="D566" s="166"/>
      <c r="E566" s="159"/>
      <c r="F566" s="159" t="s">
        <v>40</v>
      </c>
      <c r="G566" s="160" t="s">
        <v>41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IFERROR(__xludf.DUMMYFUNCTION("IMPORTRANGE(""https://docs.google.com/spreadsheets/d/11923uPwbBZFjjGgGUA6NLw09EwE0CqkOc4q9oUmW1yo/edit?usp=sharing"",""แม่ฮ่องสอน!L461"")"),130080)</f>
        <v>130080</v>
      </c>
      <c r="M566" s="165"/>
      <c r="N566" s="168">
        <f ca="1">IFERROR(__xludf.DUMMYFUNCTION("IMPORTRANGE(""https://docs.google.com/spreadsheets/d/11923uPwbBZFjjGgGUA6NLw09EwE0CqkOc4q9oUmW1yo/edit?usp=sharing"",""แม่ฮ่องสอน!M461"")"),36640)</f>
        <v>36640</v>
      </c>
      <c r="O566" s="168">
        <f t="shared" ca="1" si="122"/>
        <v>28.167281672816728</v>
      </c>
      <c r="P566" s="168"/>
    </row>
    <row r="567" spans="1:16" ht="21.75" customHeight="1" x14ac:dyDescent="0.3">
      <c r="A567" s="156"/>
      <c r="B567" s="157"/>
      <c r="C567" s="157"/>
      <c r="D567" s="166"/>
      <c r="E567" s="159"/>
      <c r="F567" s="159"/>
      <c r="G567" s="372" t="s">
        <v>129</v>
      </c>
      <c r="H567" s="161" t="s">
        <v>12</v>
      </c>
      <c r="I567" s="162"/>
      <c r="J567" s="162"/>
      <c r="K567" s="163"/>
      <c r="L567" s="168">
        <f ca="1">IFERROR(__xludf.DUMMYFUNCTION("IMPORTRANGE(""https://docs.google.com/spreadsheets/d/11923uPwbBZFjjGgGUA6NLw09EwE0CqkOc4q9oUmW1yo/edit?usp=sharing"",""แม่ฮ่องสอน!L462"")"),0)</f>
        <v>0</v>
      </c>
      <c r="M567" s="168"/>
      <c r="N567" s="168">
        <f ca="1">IFERROR(__xludf.DUMMYFUNCTION("IMPORTRANGE(""https://docs.google.com/spreadsheets/d/11923uPwbBZFjjGgGUA6NLw09EwE0CqkOc4q9oUmW1yo/edit?usp=sharing"",""แม่ฮ่องสอน!M462"")"),0)</f>
        <v>0</v>
      </c>
      <c r="O567" s="168">
        <f t="shared" ca="1" si="122"/>
        <v>0</v>
      </c>
      <c r="P567" s="168"/>
    </row>
    <row r="568" spans="1:16" ht="21.75" customHeight="1" x14ac:dyDescent="0.3">
      <c r="A568" s="156"/>
      <c r="B568" s="157"/>
      <c r="C568" s="157"/>
      <c r="D568" s="166"/>
      <c r="E568" s="159"/>
      <c r="F568" s="159"/>
      <c r="G568" s="372" t="s">
        <v>130</v>
      </c>
      <c r="H568" s="161" t="s">
        <v>12</v>
      </c>
      <c r="I568" s="162"/>
      <c r="J568" s="162"/>
      <c r="K568" s="163"/>
      <c r="L568" s="168">
        <f ca="1">IFERROR(__xludf.DUMMYFUNCTION("IMPORTRANGE(""https://docs.google.com/spreadsheets/d/11923uPwbBZFjjGgGUA6NLw09EwE0CqkOc4q9oUmW1yo/edit?usp=sharing"",""แม่ฮ่องสอน!L463"")"),130080)</f>
        <v>130080</v>
      </c>
      <c r="M568" s="168"/>
      <c r="N568" s="168">
        <f ca="1">IFERROR(__xludf.DUMMYFUNCTION("IMPORTRANGE(""https://docs.google.com/spreadsheets/d/11923uPwbBZFjjGgGUA6NLw09EwE0CqkOc4q9oUmW1yo/edit?usp=sharing"",""แม่ฮ่องสอน!M463"")"),36640)</f>
        <v>36640</v>
      </c>
      <c r="O568" s="168">
        <f t="shared" ca="1" si="122"/>
        <v>28.167281672816728</v>
      </c>
      <c r="P568" s="168"/>
    </row>
    <row r="569" spans="1:16" ht="21.75" customHeight="1" x14ac:dyDescent="0.3">
      <c r="A569" s="373"/>
      <c r="B569" s="374"/>
      <c r="C569" s="157"/>
      <c r="D569" s="375"/>
      <c r="E569" s="159"/>
      <c r="F569" s="159"/>
      <c r="G569" s="376" t="s">
        <v>131</v>
      </c>
      <c r="H569" s="161" t="s">
        <v>12</v>
      </c>
      <c r="I569" s="187"/>
      <c r="J569" s="187"/>
      <c r="K569" s="223"/>
      <c r="L569" s="168"/>
      <c r="M569" s="168"/>
      <c r="N569" s="167">
        <f ca="1">IFERROR(__xludf.DUMMYFUNCTION("IMPORTRANGE(""https://docs.google.com/spreadsheets/d/11923uPwbBZFjjGgGUA6NLw09EwE0CqkOc4q9oUmW1yo/edit?usp=sharing"",""แม่ฮ่องสอน!M464"")"),0)</f>
        <v>0</v>
      </c>
      <c r="O569" s="168"/>
      <c r="P569" s="168"/>
    </row>
    <row r="570" spans="1:16" ht="21.75" customHeight="1" x14ac:dyDescent="0.3">
      <c r="A570" s="373"/>
      <c r="B570" s="374"/>
      <c r="C570" s="157"/>
      <c r="D570" s="375"/>
      <c r="E570" s="159"/>
      <c r="F570" s="159"/>
      <c r="G570" s="376" t="s">
        <v>132</v>
      </c>
      <c r="H570" s="161" t="s">
        <v>12</v>
      </c>
      <c r="I570" s="187"/>
      <c r="J570" s="187"/>
      <c r="K570" s="223"/>
      <c r="L570" s="168"/>
      <c r="M570" s="168"/>
      <c r="N570" s="167">
        <f ca="1">IFERROR(__xludf.DUMMYFUNCTION("IMPORTRANGE(""https://docs.google.com/spreadsheets/d/11923uPwbBZFjjGgGUA6NLw09EwE0CqkOc4q9oUmW1yo/edit?usp=sharing"",""แม่ฮ่องสอน!M465"")"),0)</f>
        <v>0</v>
      </c>
      <c r="O570" s="168"/>
      <c r="P570" s="168"/>
    </row>
    <row r="571" spans="1:16" ht="21.75" customHeight="1" x14ac:dyDescent="0.3">
      <c r="A571" s="373"/>
      <c r="B571" s="374"/>
      <c r="C571" s="157"/>
      <c r="D571" s="375"/>
      <c r="E571" s="159"/>
      <c r="F571" s="159"/>
      <c r="G571" s="376" t="s">
        <v>133</v>
      </c>
      <c r="H571" s="161" t="s">
        <v>12</v>
      </c>
      <c r="I571" s="187"/>
      <c r="J571" s="187"/>
      <c r="K571" s="223"/>
      <c r="L571" s="168"/>
      <c r="M571" s="168"/>
      <c r="N571" s="377">
        <f ca="1">IFERROR(__xludf.DUMMYFUNCTION("IMPORTRANGE(""https://docs.google.com/spreadsheets/d/11923uPwbBZFjjGgGUA6NLw09EwE0CqkOc4q9oUmW1yo/edit?usp=sharing"",""แม่ฮ่องสอน!M466"")"),33000)</f>
        <v>33000</v>
      </c>
      <c r="O571" s="168"/>
      <c r="P571" s="168"/>
    </row>
    <row r="572" spans="1:16" ht="21.75" customHeight="1" x14ac:dyDescent="0.3">
      <c r="A572" s="373"/>
      <c r="B572" s="374"/>
      <c r="C572" s="157"/>
      <c r="D572" s="375"/>
      <c r="E572" s="159"/>
      <c r="F572" s="159"/>
      <c r="G572" s="376" t="s">
        <v>134</v>
      </c>
      <c r="H572" s="161" t="s">
        <v>12</v>
      </c>
      <c r="I572" s="187"/>
      <c r="J572" s="187"/>
      <c r="K572" s="223"/>
      <c r="L572" s="168"/>
      <c r="M572" s="168"/>
      <c r="N572" s="377">
        <f ca="1">IFERROR(__xludf.DUMMYFUNCTION("IMPORTRANGE(""https://docs.google.com/spreadsheets/d/11923uPwbBZFjjGgGUA6NLw09EwE0CqkOc4q9oUmW1yo/edit?usp=sharing"",""แม่ฮ่องสอน!M467"")"),3640)</f>
        <v>3640</v>
      </c>
      <c r="O572" s="168"/>
      <c r="P572" s="168"/>
    </row>
    <row r="573" spans="1:16" ht="21.75" customHeight="1" x14ac:dyDescent="0.3">
      <c r="A573" s="175"/>
      <c r="B573" s="176"/>
      <c r="C573" s="176"/>
      <c r="D573" s="195"/>
      <c r="E573" s="194" t="s">
        <v>40</v>
      </c>
      <c r="F573" s="412" t="s">
        <v>209</v>
      </c>
      <c r="G573" s="386"/>
      <c r="H573" s="474" t="s">
        <v>37</v>
      </c>
      <c r="I573" s="418">
        <f ca="1">IFERROR(__xludf.DUMMYFUNCTION("IMPORTRANGE(""https://docs.google.com/spreadsheets/d/11923uPwbBZFjjGgGUA6NLw09EwE0CqkOc4q9oUmW1yo/edit?usp=sharing"",""แม่ฮ่องสอน!I468"")"),250)</f>
        <v>250</v>
      </c>
      <c r="J573" s="418">
        <f ca="1">IFERROR(__xludf.DUMMYFUNCTION("IMPORTRANGE(""https://docs.google.com/spreadsheets/d/11923uPwbBZFjjGgGUA6NLw09EwE0CqkOc4q9oUmW1yo/edit?usp=sharing"",""แม่ฮ่องสอน!J468"")"),210)</f>
        <v>210</v>
      </c>
      <c r="K573" s="201">
        <f ca="1">IF(I573&gt;0,J573*100/I573,0)</f>
        <v>84</v>
      </c>
      <c r="L573" s="181"/>
      <c r="M573" s="181"/>
      <c r="N573" s="181"/>
      <c r="O573" s="181"/>
      <c r="P573" s="181"/>
    </row>
    <row r="574" spans="1:16" ht="21.75" customHeight="1" x14ac:dyDescent="0.3">
      <c r="A574" s="175"/>
      <c r="B574" s="176"/>
      <c r="C574" s="176"/>
      <c r="D574" s="195"/>
      <c r="E574" s="195"/>
      <c r="F574" s="194" t="s">
        <v>210</v>
      </c>
      <c r="G574" s="196"/>
      <c r="H574" s="473"/>
      <c r="I574" s="162"/>
      <c r="J574" s="162"/>
      <c r="K574" s="163"/>
      <c r="L574" s="181"/>
      <c r="M574" s="181"/>
      <c r="N574" s="181"/>
      <c r="O574" s="181"/>
      <c r="P574" s="181"/>
    </row>
    <row r="575" spans="1:16" ht="21.75" customHeight="1" x14ac:dyDescent="0.3">
      <c r="A575" s="175"/>
      <c r="B575" s="176"/>
      <c r="C575" s="176"/>
      <c r="D575" s="195"/>
      <c r="E575" s="194" t="s">
        <v>40</v>
      </c>
      <c r="F575" s="194" t="s">
        <v>211</v>
      </c>
      <c r="G575" s="196"/>
      <c r="H575" s="473" t="s">
        <v>77</v>
      </c>
      <c r="I575" s="202">
        <f ca="1">IFERROR(__xludf.DUMMYFUNCTION("IMPORTRANGE(""https://docs.google.com/spreadsheets/d/11923uPwbBZFjjGgGUA6NLw09EwE0CqkOc4q9oUmW1yo/edit?usp=sharing"",""แม่ฮ่องสอน!I470"")"),0)</f>
        <v>0</v>
      </c>
      <c r="J575" s="197">
        <f ca="1">IFERROR(__xludf.DUMMYFUNCTION("IMPORTRANGE(""https://docs.google.com/spreadsheets/d/11923uPwbBZFjjGgGUA6NLw09EwE0CqkOc4q9oUmW1yo/edit?usp=sharing"",""แม่ฮ่องสอน!J470"")"),5)</f>
        <v>5</v>
      </c>
      <c r="K575" s="163">
        <f t="shared" ref="K575:K579" ca="1" si="123">IF(I575&gt;0,J575*100/I575,0)</f>
        <v>0</v>
      </c>
      <c r="L575" s="181"/>
      <c r="M575" s="181"/>
      <c r="N575" s="181"/>
      <c r="O575" s="181"/>
      <c r="P575" s="181"/>
    </row>
    <row r="576" spans="1:16" ht="21.75" customHeight="1" x14ac:dyDescent="0.3">
      <c r="A576" s="175"/>
      <c r="B576" s="176"/>
      <c r="C576" s="176"/>
      <c r="D576" s="195"/>
      <c r="E576" s="195"/>
      <c r="F576" s="194" t="s">
        <v>212</v>
      </c>
      <c r="G576" s="196"/>
      <c r="H576" s="473" t="s">
        <v>37</v>
      </c>
      <c r="I576" s="202">
        <f ca="1">IFERROR(__xludf.DUMMYFUNCTION("IMPORTRANGE(""https://docs.google.com/spreadsheets/d/11923uPwbBZFjjGgGUA6NLw09EwE0CqkOc4q9oUmW1yo/edit?usp=sharing"",""แม่ฮ่องสอน!I471"")"),0)</f>
        <v>0</v>
      </c>
      <c r="J576" s="197">
        <f ca="1">IFERROR(__xludf.DUMMYFUNCTION("IMPORTRANGE(""https://docs.google.com/spreadsheets/d/11923uPwbBZFjjGgGUA6NLw09EwE0CqkOc4q9oUmW1yo/edit?usp=sharing"",""แม่ฮ่องสอน!J471"")"),123)</f>
        <v>123</v>
      </c>
      <c r="K576" s="163">
        <f t="shared" ca="1" si="123"/>
        <v>0</v>
      </c>
      <c r="L576" s="181"/>
      <c r="M576" s="181"/>
      <c r="N576" s="181"/>
      <c r="O576" s="181"/>
      <c r="P576" s="181"/>
    </row>
    <row r="577" spans="1:16" ht="21.75" customHeight="1" x14ac:dyDescent="0.3">
      <c r="A577" s="175"/>
      <c r="B577" s="176"/>
      <c r="C577" s="176"/>
      <c r="D577" s="195"/>
      <c r="E577" s="195"/>
      <c r="F577" s="194" t="s">
        <v>213</v>
      </c>
      <c r="G577" s="196"/>
      <c r="H577" s="473" t="s">
        <v>37</v>
      </c>
      <c r="I577" s="202">
        <f ca="1">IFERROR(__xludf.DUMMYFUNCTION("IMPORTRANGE(""https://docs.google.com/spreadsheets/d/11923uPwbBZFjjGgGUA6NLw09EwE0CqkOc4q9oUmW1yo/edit?usp=sharing"",""แม่ฮ่องสอน!I472"")"),0)</f>
        <v>0</v>
      </c>
      <c r="J577" s="188">
        <f ca="1">IFERROR(__xludf.DUMMYFUNCTION("IMPORTRANGE(""https://docs.google.com/spreadsheets/d/11923uPwbBZFjjGgGUA6NLw09EwE0CqkOc4q9oUmW1yo/edit?usp=sharing"",""แม่ฮ่องสอน!J472"")"),87)</f>
        <v>87</v>
      </c>
      <c r="K577" s="163">
        <f t="shared" ca="1" si="123"/>
        <v>0</v>
      </c>
      <c r="L577" s="181"/>
      <c r="M577" s="181"/>
      <c r="N577" s="181"/>
      <c r="O577" s="181"/>
      <c r="P577" s="181"/>
    </row>
    <row r="578" spans="1:16" ht="21.75" customHeight="1" x14ac:dyDescent="0.3">
      <c r="A578" s="175"/>
      <c r="B578" s="176"/>
      <c r="C578" s="176"/>
      <c r="D578" s="195"/>
      <c r="E578" s="195"/>
      <c r="F578" s="194" t="s">
        <v>214</v>
      </c>
      <c r="G578" s="419"/>
      <c r="H578" s="473" t="s">
        <v>37</v>
      </c>
      <c r="I578" s="202">
        <f ca="1">IFERROR(__xludf.DUMMYFUNCTION("IMPORTRANGE(""https://docs.google.com/spreadsheets/d/11923uPwbBZFjjGgGUA6NLw09EwE0CqkOc4q9oUmW1yo/edit?usp=sharing"",""แม่ฮ่องสอน!I473"")"),0)</f>
        <v>0</v>
      </c>
      <c r="J578" s="197">
        <f ca="1">IFERROR(__xludf.DUMMYFUNCTION("IMPORTRANGE(""https://docs.google.com/spreadsheets/d/11923uPwbBZFjjGgGUA6NLw09EwE0CqkOc4q9oUmW1yo/edit?usp=sharing"",""แม่ฮ่องสอน!J473"")"),0)</f>
        <v>0</v>
      </c>
      <c r="K578" s="163">
        <f t="shared" ca="1" si="123"/>
        <v>0</v>
      </c>
      <c r="L578" s="181"/>
      <c r="M578" s="181"/>
      <c r="N578" s="181"/>
      <c r="O578" s="181"/>
      <c r="P578" s="181"/>
    </row>
    <row r="579" spans="1:16" ht="21.75" customHeight="1" x14ac:dyDescent="0.3">
      <c r="A579" s="175"/>
      <c r="B579" s="176"/>
      <c r="C579" s="176"/>
      <c r="D579" s="195"/>
      <c r="E579" s="195"/>
      <c r="F579" s="194" t="s">
        <v>215</v>
      </c>
      <c r="G579" s="419"/>
      <c r="H579" s="473" t="s">
        <v>37</v>
      </c>
      <c r="I579" s="202">
        <f ca="1">IFERROR(__xludf.DUMMYFUNCTION("IMPORTRANGE(""https://docs.google.com/spreadsheets/d/11923uPwbBZFjjGgGUA6NLw09EwE0CqkOc4q9oUmW1yo/edit?usp=sharing"",""แม่ฮ่องสอน!I474"")"),0)</f>
        <v>0</v>
      </c>
      <c r="J579" s="197">
        <f ca="1">IFERROR(__xludf.DUMMYFUNCTION("IMPORTRANGE(""https://docs.google.com/spreadsheets/d/11923uPwbBZFjjGgGUA6NLw09EwE0CqkOc4q9oUmW1yo/edit?usp=sharing"",""แม่ฮ่องสอน!J474"")"),0)</f>
        <v>0</v>
      </c>
      <c r="K579" s="163">
        <f t="shared" ca="1" si="123"/>
        <v>0</v>
      </c>
      <c r="L579" s="181"/>
      <c r="M579" s="181"/>
      <c r="N579" s="181"/>
      <c r="O579" s="181"/>
      <c r="P579" s="181"/>
    </row>
    <row r="580" spans="1:16" ht="21.75" customHeight="1" x14ac:dyDescent="0.3">
      <c r="A580" s="364"/>
      <c r="B580" s="365">
        <v>9</v>
      </c>
      <c r="C580" s="475" t="s">
        <v>216</v>
      </c>
      <c r="D580" s="366"/>
      <c r="E580" s="366"/>
      <c r="F580" s="366"/>
      <c r="G580" s="367"/>
      <c r="H580" s="368" t="s">
        <v>37</v>
      </c>
      <c r="I580" s="369">
        <f ca="1">IFERROR(__xludf.DUMMYFUNCTION("IMPORTRANGE(""https://docs.google.com/spreadsheets/d/11923uPwbBZFjjGgGUA6NLw09EwE0CqkOc4q9oUmW1yo/edit?usp=sharing"",""แม่ฮ่องสอน!I475"")"),34)</f>
        <v>34</v>
      </c>
      <c r="J580" s="369">
        <f ca="1">IFERROR(__xludf.DUMMYFUNCTION("IMPORTRANGE(""https://docs.google.com/spreadsheets/d/11923uPwbBZFjjGgGUA6NLw09EwE0CqkOc4q9oUmW1yo/edit?usp=sharing"",""แม่ฮ่องสอน!J475"")"),0)</f>
        <v>0</v>
      </c>
      <c r="K580" s="370">
        <f ca="1">IF(I580&gt;0,J580*100/I580,0)</f>
        <v>0</v>
      </c>
      <c r="L580" s="371">
        <f ca="1">IFERROR(__xludf.DUMMYFUNCTION("IMPORTRANGE(""https://docs.google.com/spreadsheets/d/11923uPwbBZFjjGgGUA6NLw09EwE0CqkOc4q9oUmW1yo/edit?usp=sharing"",""แม่ฮ่องสอน!L475"")"),128934)</f>
        <v>128934</v>
      </c>
      <c r="M580" s="371"/>
      <c r="N580" s="371">
        <f ca="1">IFERROR(__xludf.DUMMYFUNCTION("IMPORTRANGE(""https://docs.google.com/spreadsheets/d/11923uPwbBZFjjGgGUA6NLw09EwE0CqkOc4q9oUmW1yo/edit?usp=sharing"",""แม่ฮ่องสอน!M475"")"),44620)</f>
        <v>44620</v>
      </c>
      <c r="O580" s="371">
        <f t="shared" ref="O580:O584" ca="1" si="124">+IF(L580&gt;0,N580*100/L580,0)</f>
        <v>34.606853118649852</v>
      </c>
      <c r="P580" s="371"/>
    </row>
    <row r="581" spans="1:16" ht="21.75" customHeight="1" x14ac:dyDescent="0.3">
      <c r="A581" s="156"/>
      <c r="B581" s="157"/>
      <c r="C581" s="157" t="s">
        <v>16</v>
      </c>
      <c r="D581" s="158" t="s">
        <v>38</v>
      </c>
      <c r="E581" s="159"/>
      <c r="F581" s="159"/>
      <c r="G581" s="160" t="s">
        <v>39</v>
      </c>
      <c r="H581" s="161" t="s">
        <v>12</v>
      </c>
      <c r="I581" s="162" t="s">
        <v>40</v>
      </c>
      <c r="J581" s="162"/>
      <c r="K581" s="163"/>
      <c r="L581" s="164">
        <f ca="1">IFERROR(__xludf.DUMMYFUNCTION("IMPORTRANGE(""https://docs.google.com/spreadsheets/d/11923uPwbBZFjjGgGUA6NLw09EwE0CqkOc4q9oUmW1yo/edit?usp=sharing"",""แม่ฮ่องสอน!L476"")"),0)</f>
        <v>0</v>
      </c>
      <c r="M581" s="164"/>
      <c r="N581" s="168">
        <f ca="1">IFERROR(__xludf.DUMMYFUNCTION("IMPORTRANGE(""https://docs.google.com/spreadsheets/d/11923uPwbBZFjjGgGUA6NLw09EwE0CqkOc4q9oUmW1yo/edit?usp=sharing"",""แม่ฮ่องสอน!M476"")"),0)</f>
        <v>0</v>
      </c>
      <c r="O581" s="168">
        <f t="shared" ca="1" si="124"/>
        <v>0</v>
      </c>
      <c r="P581" s="168"/>
    </row>
    <row r="582" spans="1:16" ht="21.75" customHeight="1" x14ac:dyDescent="0.3">
      <c r="A582" s="156"/>
      <c r="B582" s="157"/>
      <c r="C582" s="157"/>
      <c r="D582" s="166"/>
      <c r="E582" s="159"/>
      <c r="F582" s="159" t="s">
        <v>40</v>
      </c>
      <c r="G582" s="160" t="s">
        <v>41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IFERROR(__xludf.DUMMYFUNCTION("IMPORTRANGE(""https://docs.google.com/spreadsheets/d/11923uPwbBZFjjGgGUA6NLw09EwE0CqkOc4q9oUmW1yo/edit?usp=sharing"",""แม่ฮ่องสอน!L477"")"),128934)</f>
        <v>128934</v>
      </c>
      <c r="M582" s="165"/>
      <c r="N582" s="168">
        <f ca="1">IFERROR(__xludf.DUMMYFUNCTION("IMPORTRANGE(""https://docs.google.com/spreadsheets/d/11923uPwbBZFjjGgGUA6NLw09EwE0CqkOc4q9oUmW1yo/edit?usp=sharing"",""แม่ฮ่องสอน!M477"")"),44620)</f>
        <v>44620</v>
      </c>
      <c r="O582" s="168">
        <f t="shared" ca="1" si="124"/>
        <v>34.606853118649852</v>
      </c>
      <c r="P582" s="168"/>
    </row>
    <row r="583" spans="1:16" ht="21.75" customHeight="1" x14ac:dyDescent="0.3">
      <c r="A583" s="156"/>
      <c r="B583" s="157"/>
      <c r="C583" s="157"/>
      <c r="D583" s="166"/>
      <c r="E583" s="159"/>
      <c r="F583" s="159"/>
      <c r="G583" s="372" t="s">
        <v>129</v>
      </c>
      <c r="H583" s="161" t="s">
        <v>12</v>
      </c>
      <c r="I583" s="162"/>
      <c r="J583" s="162"/>
      <c r="K583" s="163"/>
      <c r="L583" s="168">
        <f ca="1">IFERROR(__xludf.DUMMYFUNCTION("IMPORTRANGE(""https://docs.google.com/spreadsheets/d/11923uPwbBZFjjGgGUA6NLw09EwE0CqkOc4q9oUmW1yo/edit?usp=sharing"",""แม่ฮ่องสอน!L478"")"),0)</f>
        <v>0</v>
      </c>
      <c r="M583" s="168"/>
      <c r="N583" s="168">
        <f ca="1">IFERROR(__xludf.DUMMYFUNCTION("IMPORTRANGE(""https://docs.google.com/spreadsheets/d/11923uPwbBZFjjGgGUA6NLw09EwE0CqkOc4q9oUmW1yo/edit?usp=sharing"",""แม่ฮ่องสอน!M478"")"),0)</f>
        <v>0</v>
      </c>
      <c r="O583" s="168">
        <f t="shared" ca="1" si="124"/>
        <v>0</v>
      </c>
      <c r="P583" s="168"/>
    </row>
    <row r="584" spans="1:16" ht="21.75" customHeight="1" x14ac:dyDescent="0.3">
      <c r="A584" s="156"/>
      <c r="B584" s="157"/>
      <c r="C584" s="157"/>
      <c r="D584" s="166"/>
      <c r="E584" s="159"/>
      <c r="F584" s="159"/>
      <c r="G584" s="372" t="s">
        <v>130</v>
      </c>
      <c r="H584" s="161" t="s">
        <v>12</v>
      </c>
      <c r="I584" s="162"/>
      <c r="J584" s="162"/>
      <c r="K584" s="163"/>
      <c r="L584" s="168">
        <f ca="1">IFERROR(__xludf.DUMMYFUNCTION("IMPORTRANGE(""https://docs.google.com/spreadsheets/d/11923uPwbBZFjjGgGUA6NLw09EwE0CqkOc4q9oUmW1yo/edit?usp=sharing"",""แม่ฮ่องสอน!L479"")"),128934)</f>
        <v>128934</v>
      </c>
      <c r="M584" s="168"/>
      <c r="N584" s="168">
        <f ca="1">IFERROR(__xludf.DUMMYFUNCTION("IMPORTRANGE(""https://docs.google.com/spreadsheets/d/11923uPwbBZFjjGgGUA6NLw09EwE0CqkOc4q9oUmW1yo/edit?usp=sharing"",""แม่ฮ่องสอน!M479"")"),44620)</f>
        <v>44620</v>
      </c>
      <c r="O584" s="168">
        <f t="shared" ca="1" si="124"/>
        <v>34.606853118649852</v>
      </c>
      <c r="P584" s="168"/>
    </row>
    <row r="585" spans="1:16" ht="21.75" customHeight="1" x14ac:dyDescent="0.3">
      <c r="A585" s="373"/>
      <c r="B585" s="374"/>
      <c r="C585" s="157"/>
      <c r="D585" s="375"/>
      <c r="E585" s="159"/>
      <c r="F585" s="159"/>
      <c r="G585" s="376" t="s">
        <v>131</v>
      </c>
      <c r="H585" s="161" t="s">
        <v>12</v>
      </c>
      <c r="I585" s="187"/>
      <c r="J585" s="187"/>
      <c r="K585" s="223"/>
      <c r="L585" s="168"/>
      <c r="M585" s="168"/>
      <c r="N585" s="167">
        <f ca="1">IFERROR(__xludf.DUMMYFUNCTION("IMPORTRANGE(""https://docs.google.com/spreadsheets/d/11923uPwbBZFjjGgGUA6NLw09EwE0CqkOc4q9oUmW1yo/edit?usp=sharing"",""แม่ฮ่องสอน!M480"")"),0)</f>
        <v>0</v>
      </c>
      <c r="O585" s="168"/>
      <c r="P585" s="168"/>
    </row>
    <row r="586" spans="1:16" ht="21.75" customHeight="1" x14ac:dyDescent="0.3">
      <c r="A586" s="373"/>
      <c r="B586" s="374"/>
      <c r="C586" s="157"/>
      <c r="D586" s="375"/>
      <c r="E586" s="159"/>
      <c r="F586" s="159"/>
      <c r="G586" s="376" t="s">
        <v>132</v>
      </c>
      <c r="H586" s="161" t="s">
        <v>12</v>
      </c>
      <c r="I586" s="187"/>
      <c r="J586" s="187"/>
      <c r="K586" s="223"/>
      <c r="L586" s="168"/>
      <c r="M586" s="168"/>
      <c r="N586" s="167">
        <f ca="1">IFERROR(__xludf.DUMMYFUNCTION("IMPORTRANGE(""https://docs.google.com/spreadsheets/d/11923uPwbBZFjjGgGUA6NLw09EwE0CqkOc4q9oUmW1yo/edit?usp=sharing"",""แม่ฮ่องสอน!M481"")"),0)</f>
        <v>0</v>
      </c>
      <c r="O586" s="168"/>
      <c r="P586" s="168"/>
    </row>
    <row r="587" spans="1:16" ht="21.75" customHeight="1" x14ac:dyDescent="0.3">
      <c r="A587" s="373"/>
      <c r="B587" s="374"/>
      <c r="C587" s="157"/>
      <c r="D587" s="375"/>
      <c r="E587" s="159"/>
      <c r="F587" s="159"/>
      <c r="G587" s="376" t="s">
        <v>133</v>
      </c>
      <c r="H587" s="161" t="s">
        <v>12</v>
      </c>
      <c r="I587" s="187"/>
      <c r="J587" s="187"/>
      <c r="K587" s="223"/>
      <c r="L587" s="168"/>
      <c r="M587" s="168"/>
      <c r="N587" s="167">
        <f ca="1">IFERROR(__xludf.DUMMYFUNCTION("IMPORTRANGE(""https://docs.google.com/spreadsheets/d/11923uPwbBZFjjGgGUA6NLw09EwE0CqkOc4q9oUmW1yo/edit?usp=sharing"",""แม่ฮ่องสอน!M482"")"),0)</f>
        <v>0</v>
      </c>
      <c r="O587" s="168"/>
      <c r="P587" s="168"/>
    </row>
    <row r="588" spans="1:16" ht="21.75" customHeight="1" x14ac:dyDescent="0.3">
      <c r="A588" s="373"/>
      <c r="B588" s="374"/>
      <c r="C588" s="157"/>
      <c r="D588" s="375"/>
      <c r="E588" s="159"/>
      <c r="F588" s="159"/>
      <c r="G588" s="376" t="s">
        <v>134</v>
      </c>
      <c r="H588" s="161" t="s">
        <v>12</v>
      </c>
      <c r="I588" s="187"/>
      <c r="J588" s="187"/>
      <c r="K588" s="223"/>
      <c r="L588" s="168"/>
      <c r="M588" s="168"/>
      <c r="N588" s="167">
        <f ca="1">IFERROR(__xludf.DUMMYFUNCTION("IMPORTRANGE(""https://docs.google.com/spreadsheets/d/11923uPwbBZFjjGgGUA6NLw09EwE0CqkOc4q9oUmW1yo/edit?usp=sharing"",""แม่ฮ่องสอน!M483"")"),44620)</f>
        <v>44620</v>
      </c>
      <c r="O588" s="168"/>
      <c r="P588" s="168"/>
    </row>
    <row r="589" spans="1:16" ht="21.75" customHeight="1" x14ac:dyDescent="0.3">
      <c r="A589" s="476"/>
      <c r="B589" s="166"/>
      <c r="C589" s="157"/>
      <c r="D589" s="289"/>
      <c r="E589" s="194" t="s">
        <v>217</v>
      </c>
      <c r="F589" s="195"/>
      <c r="G589" s="196"/>
      <c r="H589" s="180" t="s">
        <v>36</v>
      </c>
      <c r="I589" s="339">
        <f ca="1">IFERROR(__xludf.DUMMYFUNCTION("IMPORTRANGE(""https://docs.google.com/spreadsheets/d/11923uPwbBZFjjGgGUA6NLw09EwE0CqkOc4q9oUmW1yo/edit?usp=sharing"",""แม่ฮ่องสอน!I484"")"),34)</f>
        <v>34</v>
      </c>
      <c r="J589" s="187">
        <f ca="1">IFERROR(__xludf.DUMMYFUNCTION("IMPORTRANGE(""https://docs.google.com/spreadsheets/d/11923uPwbBZFjjGgGUA6NLw09EwE0CqkOc4q9oUmW1yo/edit?usp=sharing"",""แม่ฮ่องสอน!J484"")"),0)</f>
        <v>0</v>
      </c>
      <c r="K589" s="163">
        <f t="shared" ref="K589:K596" ca="1" si="125">IF(I589&gt;0,J589*100/I589,0)</f>
        <v>0</v>
      </c>
      <c r="L589" s="181"/>
      <c r="M589" s="181"/>
      <c r="N589" s="168"/>
      <c r="O589" s="181"/>
      <c r="P589" s="181"/>
    </row>
    <row r="590" spans="1:16" ht="21.75" customHeight="1" x14ac:dyDescent="0.3">
      <c r="A590" s="476"/>
      <c r="B590" s="166"/>
      <c r="C590" s="157"/>
      <c r="D590" s="289"/>
      <c r="E590" s="195"/>
      <c r="F590" s="195"/>
      <c r="G590" s="196"/>
      <c r="H590" s="180" t="s">
        <v>122</v>
      </c>
      <c r="I590" s="343">
        <f ca="1">IFERROR(__xludf.DUMMYFUNCTION("IMPORTRANGE(""https://docs.google.com/spreadsheets/d/11923uPwbBZFjjGgGUA6NLw09EwE0CqkOc4q9oUmW1yo/edit?usp=sharing"",""แม่ฮ่องสอน!I485"")"),0)</f>
        <v>0</v>
      </c>
      <c r="J590" s="187">
        <f ca="1">IFERROR(__xludf.DUMMYFUNCTION("IMPORTRANGE(""https://docs.google.com/spreadsheets/d/11923uPwbBZFjjGgGUA6NLw09EwE0CqkOc4q9oUmW1yo/edit?usp=sharing"",""แม่ฮ่องสอน!J485"")"),0)</f>
        <v>0</v>
      </c>
      <c r="K590" s="477">
        <f t="shared" ca="1" si="125"/>
        <v>0</v>
      </c>
      <c r="L590" s="181"/>
      <c r="M590" s="181"/>
      <c r="N590" s="168"/>
      <c r="O590" s="181"/>
      <c r="P590" s="181"/>
    </row>
    <row r="591" spans="1:16" ht="21.75" customHeight="1" x14ac:dyDescent="0.3">
      <c r="A591" s="476"/>
      <c r="B591" s="166"/>
      <c r="C591" s="157"/>
      <c r="D591" s="289"/>
      <c r="E591" s="194" t="s">
        <v>123</v>
      </c>
      <c r="F591" s="195"/>
      <c r="G591" s="196"/>
      <c r="H591" s="180" t="s">
        <v>37</v>
      </c>
      <c r="I591" s="339">
        <f ca="1">IFERROR(__xludf.DUMMYFUNCTION("IMPORTRANGE(""https://docs.google.com/spreadsheets/d/11923uPwbBZFjjGgGUA6NLw09EwE0CqkOc4q9oUmW1yo/edit?usp=sharing"",""แม่ฮ่องสอน!I486"")"),34)</f>
        <v>34</v>
      </c>
      <c r="J591" s="187">
        <f ca="1">IFERROR(__xludf.DUMMYFUNCTION("IMPORTRANGE(""https://docs.google.com/spreadsheets/d/11923uPwbBZFjjGgGUA6NLw09EwE0CqkOc4q9oUmW1yo/edit?usp=sharing"",""แม่ฮ่องสอน!J486"")"),0)</f>
        <v>0</v>
      </c>
      <c r="K591" s="163">
        <f t="shared" ca="1" si="125"/>
        <v>0</v>
      </c>
      <c r="L591" s="181"/>
      <c r="M591" s="181"/>
      <c r="N591" s="181"/>
      <c r="O591" s="181"/>
      <c r="P591" s="181"/>
    </row>
    <row r="592" spans="1:16" ht="21.75" customHeight="1" x14ac:dyDescent="0.3">
      <c r="A592" s="476"/>
      <c r="B592" s="166"/>
      <c r="C592" s="157"/>
      <c r="D592" s="289"/>
      <c r="E592" s="195"/>
      <c r="F592" s="195"/>
      <c r="G592" s="196"/>
      <c r="H592" s="180" t="s">
        <v>122</v>
      </c>
      <c r="I592" s="343">
        <f ca="1">IFERROR(__xludf.DUMMYFUNCTION("IMPORTRANGE(""https://docs.google.com/spreadsheets/d/11923uPwbBZFjjGgGUA6NLw09EwE0CqkOc4q9oUmW1yo/edit?usp=sharing"",""แม่ฮ่องสอน!I487"")"),0)</f>
        <v>0</v>
      </c>
      <c r="J592" s="187">
        <f ca="1">IFERROR(__xludf.DUMMYFUNCTION("IMPORTRANGE(""https://docs.google.com/spreadsheets/d/11923uPwbBZFjjGgGUA6NLw09EwE0CqkOc4q9oUmW1yo/edit?usp=sharing"",""แม่ฮ่องสอน!J487"")"),0)</f>
        <v>0</v>
      </c>
      <c r="K592" s="340">
        <f t="shared" ca="1" si="125"/>
        <v>0</v>
      </c>
      <c r="L592" s="181"/>
      <c r="M592" s="181"/>
      <c r="N592" s="181"/>
      <c r="O592" s="181"/>
      <c r="P592" s="181"/>
    </row>
    <row r="593" spans="1:16" ht="21.75" customHeight="1" x14ac:dyDescent="0.3">
      <c r="A593" s="476"/>
      <c r="B593" s="166"/>
      <c r="C593" s="157"/>
      <c r="D593" s="289"/>
      <c r="E593" s="194" t="s">
        <v>124</v>
      </c>
      <c r="F593" s="195"/>
      <c r="G593" s="196"/>
      <c r="H593" s="180" t="s">
        <v>37</v>
      </c>
      <c r="I593" s="339">
        <f ca="1">IFERROR(__xludf.DUMMYFUNCTION("IMPORTRANGE(""https://docs.google.com/spreadsheets/d/11923uPwbBZFjjGgGUA6NLw09EwE0CqkOc4q9oUmW1yo/edit?usp=sharing"",""แม่ฮ่องสอน!I488"")"),34)</f>
        <v>34</v>
      </c>
      <c r="J593" s="187">
        <f ca="1">IFERROR(__xludf.DUMMYFUNCTION("IMPORTRANGE(""https://docs.google.com/spreadsheets/d/11923uPwbBZFjjGgGUA6NLw09EwE0CqkOc4q9oUmW1yo/edit?usp=sharing"",""แม่ฮ่องสอน!J488"")"),0)</f>
        <v>0</v>
      </c>
      <c r="K593" s="163">
        <f t="shared" ca="1" si="125"/>
        <v>0</v>
      </c>
      <c r="L593" s="181"/>
      <c r="M593" s="181"/>
      <c r="N593" s="181"/>
      <c r="O593" s="181"/>
      <c r="P593" s="181"/>
    </row>
    <row r="594" spans="1:16" ht="21.75" customHeight="1" x14ac:dyDescent="0.3">
      <c r="A594" s="476"/>
      <c r="B594" s="166"/>
      <c r="C594" s="157"/>
      <c r="D594" s="289"/>
      <c r="E594" s="195"/>
      <c r="F594" s="195"/>
      <c r="G594" s="196"/>
      <c r="H594" s="180" t="s">
        <v>122</v>
      </c>
      <c r="I594" s="343">
        <f ca="1">IFERROR(__xludf.DUMMYFUNCTION("IMPORTRANGE(""https://docs.google.com/spreadsheets/d/11923uPwbBZFjjGgGUA6NLw09EwE0CqkOc4q9oUmW1yo/edit?usp=sharing"",""แม่ฮ่องสอน!I489"")"),0)</f>
        <v>0</v>
      </c>
      <c r="J594" s="187">
        <f ca="1">IFERROR(__xludf.DUMMYFUNCTION("IMPORTRANGE(""https://docs.google.com/spreadsheets/d/11923uPwbBZFjjGgGUA6NLw09EwE0CqkOc4q9oUmW1yo/edit?usp=sharing"",""แม่ฮ่องสอน!J489"")"),0)</f>
        <v>0</v>
      </c>
      <c r="K594" s="340">
        <f t="shared" ca="1" si="125"/>
        <v>0</v>
      </c>
      <c r="L594" s="181"/>
      <c r="M594" s="181"/>
      <c r="N594" s="181"/>
      <c r="O594" s="181"/>
      <c r="P594" s="181"/>
    </row>
    <row r="595" spans="1:16" ht="21.75" customHeight="1" x14ac:dyDescent="0.3">
      <c r="A595" s="476"/>
      <c r="B595" s="166"/>
      <c r="C595" s="157"/>
      <c r="D595" s="289"/>
      <c r="E595" s="194" t="s">
        <v>125</v>
      </c>
      <c r="F595" s="195"/>
      <c r="G595" s="196"/>
      <c r="H595" s="180" t="s">
        <v>37</v>
      </c>
      <c r="I595" s="339">
        <f ca="1">IFERROR(__xludf.DUMMYFUNCTION("IMPORTRANGE(""https://docs.google.com/spreadsheets/d/11923uPwbBZFjjGgGUA6NLw09EwE0CqkOc4q9oUmW1yo/edit?usp=sharing"",""แม่ฮ่องสอน!I490"")"),34)</f>
        <v>34</v>
      </c>
      <c r="J595" s="187">
        <f ca="1">IFERROR(__xludf.DUMMYFUNCTION("IMPORTRANGE(""https://docs.google.com/spreadsheets/d/11923uPwbBZFjjGgGUA6NLw09EwE0CqkOc4q9oUmW1yo/edit?usp=sharing"",""แม่ฮ่องสอน!J490"")"),0)</f>
        <v>0</v>
      </c>
      <c r="K595" s="163">
        <f t="shared" ca="1" si="125"/>
        <v>0</v>
      </c>
      <c r="L595" s="181"/>
      <c r="M595" s="181"/>
      <c r="N595" s="181"/>
      <c r="O595" s="181"/>
      <c r="P595" s="181"/>
    </row>
    <row r="596" spans="1:16" ht="21.75" customHeight="1" x14ac:dyDescent="0.3">
      <c r="A596" s="478"/>
      <c r="B596" s="479"/>
      <c r="C596" s="480"/>
      <c r="D596" s="481"/>
      <c r="E596" s="460"/>
      <c r="F596" s="460"/>
      <c r="G596" s="461"/>
      <c r="H596" s="482" t="s">
        <v>122</v>
      </c>
      <c r="I596" s="483">
        <f ca="1">IFERROR(__xludf.DUMMYFUNCTION("IMPORTRANGE(""https://docs.google.com/spreadsheets/d/11923uPwbBZFjjGgGUA6NLw09EwE0CqkOc4q9oUmW1yo/edit?usp=sharing"",""แม่ฮ่องสอน!I491"")"),0)</f>
        <v>0</v>
      </c>
      <c r="J596" s="240">
        <f ca="1">IFERROR(__xludf.DUMMYFUNCTION("IMPORTRANGE(""https://docs.google.com/spreadsheets/d/11923uPwbBZFjjGgGUA6NLw09EwE0CqkOc4q9oUmW1yo/edit?usp=sharing"",""แม่ฮ่องสอน!J491"")"),0)</f>
        <v>0</v>
      </c>
      <c r="K596" s="484">
        <f t="shared" ca="1" si="125"/>
        <v>0</v>
      </c>
      <c r="L596" s="466"/>
      <c r="M596" s="466"/>
      <c r="N596" s="466"/>
      <c r="O596" s="466"/>
      <c r="P596" s="466"/>
    </row>
    <row r="597" spans="1:16" ht="21.75" customHeight="1" x14ac:dyDescent="0.3">
      <c r="A597" s="403"/>
      <c r="B597" s="404">
        <v>10</v>
      </c>
      <c r="C597" s="405" t="s">
        <v>218</v>
      </c>
      <c r="D597" s="405"/>
      <c r="E597" s="405"/>
      <c r="F597" s="405"/>
      <c r="G597" s="406"/>
      <c r="H597" s="407" t="s">
        <v>122</v>
      </c>
      <c r="I597" s="408">
        <f ca="1">IFERROR(__xludf.DUMMYFUNCTION("IMPORTRANGE(""https://docs.google.com/spreadsheets/d/11923uPwbBZFjjGgGUA6NLw09EwE0CqkOc4q9oUmW1yo/edit?usp=sharing"",""แม่ฮ่องสอน!I492"")"),50)</f>
        <v>50</v>
      </c>
      <c r="J597" s="485">
        <f ca="1">IFERROR(__xludf.DUMMYFUNCTION("IMPORTRANGE(""https://docs.google.com/spreadsheets/d/11923uPwbBZFjjGgGUA6NLw09EwE0CqkOc4q9oUmW1yo/edit?usp=sharing"",""แม่ฮ่องสอน!J492"")"),0)</f>
        <v>0</v>
      </c>
      <c r="K597" s="409">
        <f ca="1">IF(I597&gt;0,J597*100/I597,0)</f>
        <v>0</v>
      </c>
      <c r="L597" s="410">
        <f ca="1">IFERROR(__xludf.DUMMYFUNCTION("IMPORTRANGE(""https://docs.google.com/spreadsheets/d/11923uPwbBZFjjGgGUA6NLw09EwE0CqkOc4q9oUmW1yo/edit?usp=sharing"",""แม่ฮ่องสอน!L492"")"),6950)</f>
        <v>6950</v>
      </c>
      <c r="M597" s="410"/>
      <c r="N597" s="410">
        <f ca="1">IFERROR(__xludf.DUMMYFUNCTION("IMPORTRANGE(""https://docs.google.com/spreadsheets/d/11923uPwbBZFjjGgGUA6NLw09EwE0CqkOc4q9oUmW1yo/edit?usp=sharing"",""แม่ฮ่องสอน!M492"")"),3910)</f>
        <v>3910</v>
      </c>
      <c r="O597" s="410">
        <f t="shared" ref="O597:O601" ca="1" si="126">+IF(L597&gt;0,N597*100/L597,0)</f>
        <v>56.258992805755398</v>
      </c>
      <c r="P597" s="410"/>
    </row>
    <row r="598" spans="1:16" ht="21.75" customHeight="1" x14ac:dyDescent="0.3">
      <c r="A598" s="156"/>
      <c r="B598" s="157"/>
      <c r="C598" s="157" t="s">
        <v>16</v>
      </c>
      <c r="D598" s="158" t="s">
        <v>38</v>
      </c>
      <c r="E598" s="159"/>
      <c r="F598" s="159"/>
      <c r="G598" s="160" t="s">
        <v>39</v>
      </c>
      <c r="H598" s="161" t="s">
        <v>12</v>
      </c>
      <c r="I598" s="162" t="s">
        <v>40</v>
      </c>
      <c r="J598" s="162"/>
      <c r="K598" s="163"/>
      <c r="L598" s="164">
        <f ca="1">IFERROR(__xludf.DUMMYFUNCTION("IMPORTRANGE(""https://docs.google.com/spreadsheets/d/11923uPwbBZFjjGgGUA6NLw09EwE0CqkOc4q9oUmW1yo/edit?usp=sharing"",""แม่ฮ่องสอน!L493"")"),0)</f>
        <v>0</v>
      </c>
      <c r="M598" s="164"/>
      <c r="N598" s="168">
        <f ca="1">IFERROR(__xludf.DUMMYFUNCTION("IMPORTRANGE(""https://docs.google.com/spreadsheets/d/11923uPwbBZFjjGgGUA6NLw09EwE0CqkOc4q9oUmW1yo/edit?usp=sharing"",""แม่ฮ่องสอน!M493"")"),0)</f>
        <v>0</v>
      </c>
      <c r="O598" s="168">
        <f t="shared" ca="1" si="126"/>
        <v>0</v>
      </c>
      <c r="P598" s="168"/>
    </row>
    <row r="599" spans="1:16" ht="21.75" customHeight="1" x14ac:dyDescent="0.3">
      <c r="A599" s="156"/>
      <c r="B599" s="157"/>
      <c r="C599" s="157"/>
      <c r="D599" s="166"/>
      <c r="E599" s="159"/>
      <c r="F599" s="159" t="s">
        <v>40</v>
      </c>
      <c r="G599" s="160" t="s">
        <v>41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IFERROR(__xludf.DUMMYFUNCTION("IMPORTRANGE(""https://docs.google.com/spreadsheets/d/11923uPwbBZFjjGgGUA6NLw09EwE0CqkOc4q9oUmW1yo/edit?usp=sharing"",""แม่ฮ่องสอน!L494"")"),6950)</f>
        <v>6950</v>
      </c>
      <c r="M599" s="165"/>
      <c r="N599" s="168">
        <f ca="1">IFERROR(__xludf.DUMMYFUNCTION("IMPORTRANGE(""https://docs.google.com/spreadsheets/d/11923uPwbBZFjjGgGUA6NLw09EwE0CqkOc4q9oUmW1yo/edit?usp=sharing"",""แม่ฮ่องสอน!M494"")"),3910)</f>
        <v>3910</v>
      </c>
      <c r="O599" s="168">
        <f t="shared" ca="1" si="126"/>
        <v>56.258992805755398</v>
      </c>
      <c r="P599" s="168"/>
    </row>
    <row r="600" spans="1:16" ht="21.75" customHeight="1" x14ac:dyDescent="0.3">
      <c r="A600" s="156"/>
      <c r="B600" s="157"/>
      <c r="C600" s="157"/>
      <c r="D600" s="166"/>
      <c r="E600" s="159"/>
      <c r="F600" s="159"/>
      <c r="G600" s="372" t="s">
        <v>129</v>
      </c>
      <c r="H600" s="161" t="s">
        <v>12</v>
      </c>
      <c r="I600" s="162"/>
      <c r="J600" s="162"/>
      <c r="K600" s="163"/>
      <c r="L600" s="168">
        <f ca="1">IFERROR(__xludf.DUMMYFUNCTION("IMPORTRANGE(""https://docs.google.com/spreadsheets/d/11923uPwbBZFjjGgGUA6NLw09EwE0CqkOc4q9oUmW1yo/edit?usp=sharing"",""แม่ฮ่องสอน!L495"")"),0)</f>
        <v>0</v>
      </c>
      <c r="M600" s="168"/>
      <c r="N600" s="168">
        <f ca="1">IFERROR(__xludf.DUMMYFUNCTION("IMPORTRANGE(""https://docs.google.com/spreadsheets/d/11923uPwbBZFjjGgGUA6NLw09EwE0CqkOc4q9oUmW1yo/edit?usp=sharing"",""แม่ฮ่องสอน!M495"")"),0)</f>
        <v>0</v>
      </c>
      <c r="O600" s="168">
        <f t="shared" ca="1" si="126"/>
        <v>0</v>
      </c>
      <c r="P600" s="168"/>
    </row>
    <row r="601" spans="1:16" ht="21.75" customHeight="1" x14ac:dyDescent="0.3">
      <c r="A601" s="156"/>
      <c r="B601" s="157"/>
      <c r="C601" s="157"/>
      <c r="D601" s="166"/>
      <c r="E601" s="159"/>
      <c r="F601" s="159"/>
      <c r="G601" s="372" t="s">
        <v>130</v>
      </c>
      <c r="H601" s="161" t="s">
        <v>12</v>
      </c>
      <c r="I601" s="162"/>
      <c r="J601" s="162"/>
      <c r="K601" s="163"/>
      <c r="L601" s="168">
        <f ca="1">IFERROR(__xludf.DUMMYFUNCTION("IMPORTRANGE(""https://docs.google.com/spreadsheets/d/11923uPwbBZFjjGgGUA6NLw09EwE0CqkOc4q9oUmW1yo/edit?usp=sharing"",""แม่ฮ่องสอน!L496"")"),6950)</f>
        <v>6950</v>
      </c>
      <c r="M601" s="168"/>
      <c r="N601" s="168">
        <f ca="1">IFERROR(__xludf.DUMMYFUNCTION("IMPORTRANGE(""https://docs.google.com/spreadsheets/d/11923uPwbBZFjjGgGUA6NLw09EwE0CqkOc4q9oUmW1yo/edit?usp=sharing"",""แม่ฮ่องสอน!M496"")"),3910)</f>
        <v>3910</v>
      </c>
      <c r="O601" s="168">
        <f t="shared" ca="1" si="126"/>
        <v>56.258992805755398</v>
      </c>
      <c r="P601" s="168"/>
    </row>
    <row r="602" spans="1:16" ht="21.75" customHeight="1" x14ac:dyDescent="0.3">
      <c r="A602" s="373"/>
      <c r="B602" s="374"/>
      <c r="C602" s="157"/>
      <c r="D602" s="375"/>
      <c r="E602" s="159"/>
      <c r="F602" s="159"/>
      <c r="G602" s="376" t="s">
        <v>131</v>
      </c>
      <c r="H602" s="161" t="s">
        <v>12</v>
      </c>
      <c r="I602" s="187"/>
      <c r="J602" s="187"/>
      <c r="K602" s="223"/>
      <c r="L602" s="168"/>
      <c r="M602" s="168"/>
      <c r="N602" s="167">
        <f ca="1">IFERROR(__xludf.DUMMYFUNCTION("IMPORTRANGE(""https://docs.google.com/spreadsheets/d/11923uPwbBZFjjGgGUA6NLw09EwE0CqkOc4q9oUmW1yo/edit?usp=sharing"",""แม่ฮ่องสอน!M497"")"),0)</f>
        <v>0</v>
      </c>
      <c r="O602" s="168"/>
      <c r="P602" s="168"/>
    </row>
    <row r="603" spans="1:16" ht="21.75" customHeight="1" x14ac:dyDescent="0.3">
      <c r="A603" s="373"/>
      <c r="B603" s="374"/>
      <c r="C603" s="157"/>
      <c r="D603" s="375"/>
      <c r="E603" s="159"/>
      <c r="F603" s="159"/>
      <c r="G603" s="376" t="s">
        <v>132</v>
      </c>
      <c r="H603" s="161" t="s">
        <v>12</v>
      </c>
      <c r="I603" s="187"/>
      <c r="J603" s="187"/>
      <c r="K603" s="223"/>
      <c r="L603" s="168"/>
      <c r="M603" s="168"/>
      <c r="N603" s="167">
        <f ca="1">IFERROR(__xludf.DUMMYFUNCTION("IMPORTRANGE(""https://docs.google.com/spreadsheets/d/11923uPwbBZFjjGgGUA6NLw09EwE0CqkOc4q9oUmW1yo/edit?usp=sharing"",""แม่ฮ่องสอน!M498"")"),0)</f>
        <v>0</v>
      </c>
      <c r="O603" s="168"/>
      <c r="P603" s="168"/>
    </row>
    <row r="604" spans="1:16" ht="21.75" customHeight="1" x14ac:dyDescent="0.3">
      <c r="A604" s="373"/>
      <c r="B604" s="374"/>
      <c r="C604" s="157"/>
      <c r="D604" s="375"/>
      <c r="E604" s="159"/>
      <c r="F604" s="159"/>
      <c r="G604" s="376" t="s">
        <v>133</v>
      </c>
      <c r="H604" s="161" t="s">
        <v>12</v>
      </c>
      <c r="I604" s="187"/>
      <c r="J604" s="187"/>
      <c r="K604" s="223"/>
      <c r="L604" s="168"/>
      <c r="M604" s="168"/>
      <c r="N604" s="377">
        <f ca="1">IFERROR(__xludf.DUMMYFUNCTION("IMPORTRANGE(""https://docs.google.com/spreadsheets/d/11923uPwbBZFjjGgGUA6NLw09EwE0CqkOc4q9oUmW1yo/edit?usp=sharing"",""แม่ฮ่องสอน!M499"")"),0)</f>
        <v>0</v>
      </c>
      <c r="O604" s="168"/>
      <c r="P604" s="168"/>
    </row>
    <row r="605" spans="1:16" ht="21.75" customHeight="1" x14ac:dyDescent="0.3">
      <c r="A605" s="373"/>
      <c r="B605" s="374"/>
      <c r="C605" s="157"/>
      <c r="D605" s="375"/>
      <c r="E605" s="159"/>
      <c r="F605" s="159"/>
      <c r="G605" s="376" t="s">
        <v>134</v>
      </c>
      <c r="H605" s="161" t="s">
        <v>12</v>
      </c>
      <c r="I605" s="187"/>
      <c r="J605" s="187"/>
      <c r="K605" s="223"/>
      <c r="L605" s="168"/>
      <c r="M605" s="168"/>
      <c r="N605" s="377">
        <f ca="1">IFERROR(__xludf.DUMMYFUNCTION("IMPORTRANGE(""https://docs.google.com/spreadsheets/d/11923uPwbBZFjjGgGUA6NLw09EwE0CqkOc4q9oUmW1yo/edit?usp=sharing"",""แม่ฮ่องสอน!M500"")"),3910)</f>
        <v>3910</v>
      </c>
      <c r="O605" s="168"/>
      <c r="P605" s="168"/>
    </row>
    <row r="606" spans="1:16" ht="21.75" customHeight="1" x14ac:dyDescent="0.3">
      <c r="A606" s="175"/>
      <c r="B606" s="176"/>
      <c r="C606" s="157" t="s">
        <v>16</v>
      </c>
      <c r="D606" s="177" t="s">
        <v>44</v>
      </c>
      <c r="E606" s="178"/>
      <c r="F606" s="178"/>
      <c r="G606" s="179"/>
      <c r="H606" s="180"/>
      <c r="I606" s="162"/>
      <c r="J606" s="162"/>
      <c r="K606" s="163"/>
      <c r="L606" s="181"/>
      <c r="M606" s="181"/>
      <c r="N606" s="181"/>
      <c r="O606" s="181"/>
      <c r="P606" s="181"/>
    </row>
    <row r="607" spans="1:16" ht="21.75" customHeight="1" x14ac:dyDescent="0.3">
      <c r="A607" s="175"/>
      <c r="B607" s="176"/>
      <c r="C607" s="176"/>
      <c r="D607" s="182">
        <v>1</v>
      </c>
      <c r="E607" s="183" t="s">
        <v>45</v>
      </c>
      <c r="F607" s="184"/>
      <c r="G607" s="185"/>
      <c r="H607" s="186"/>
      <c r="I607" s="187"/>
      <c r="J607" s="197">
        <f ca="1">IFERROR(__xludf.DUMMYFUNCTION("IMPORTRANGE(""https://docs.google.com/spreadsheets/d/11923uPwbBZFjjGgGUA6NLw09EwE0CqkOc4q9oUmW1yo/edit?usp=sharing"",""แม่ฮ่องสอน!J502"")"),0)</f>
        <v>0</v>
      </c>
      <c r="K607" s="163"/>
      <c r="L607" s="181"/>
      <c r="M607" s="181"/>
      <c r="N607" s="181"/>
      <c r="O607" s="181"/>
      <c r="P607" s="181"/>
    </row>
    <row r="608" spans="1:16" ht="21.75" customHeight="1" x14ac:dyDescent="0.3">
      <c r="A608" s="175"/>
      <c r="B608" s="176"/>
      <c r="C608" s="176"/>
      <c r="D608" s="189">
        <v>2</v>
      </c>
      <c r="E608" s="190" t="s">
        <v>46</v>
      </c>
      <c r="F608" s="191"/>
      <c r="G608" s="192"/>
      <c r="H608" s="186"/>
      <c r="I608" s="187"/>
      <c r="J608" s="197">
        <f ca="1">IFERROR(__xludf.DUMMYFUNCTION("IMPORTRANGE(""https://docs.google.com/spreadsheets/d/11923uPwbBZFjjGgGUA6NLw09EwE0CqkOc4q9oUmW1yo/edit?usp=sharing"",""แม่ฮ่องสอน!J503"")"),1)</f>
        <v>1</v>
      </c>
      <c r="K608" s="163"/>
      <c r="L608" s="181" t="s">
        <v>40</v>
      </c>
      <c r="M608" s="181"/>
      <c r="N608" s="181" t="s">
        <v>40</v>
      </c>
      <c r="O608" s="181"/>
      <c r="P608" s="181"/>
    </row>
    <row r="609" spans="1:16" ht="21.75" hidden="1" customHeight="1" x14ac:dyDescent="0.3">
      <c r="A609" s="373"/>
      <c r="B609" s="374"/>
      <c r="C609" s="374"/>
      <c r="D609" s="486"/>
      <c r="E609" s="487" t="s">
        <v>47</v>
      </c>
      <c r="F609" s="488"/>
      <c r="G609" s="379"/>
      <c r="H609" s="186"/>
      <c r="I609" s="187"/>
      <c r="J609" s="187">
        <f ca="1">IFERROR(__xludf.DUMMYFUNCTION("IMPORTRANGE(""https://docs.google.com/spreadsheets/d/11923uPwbBZFjjGgGUA6NLw09EwE0CqkOc4q9oUmW1yo/edit?usp=sharing"",""แม่ฮ่องสอน!J166"")"),0)</f>
        <v>0</v>
      </c>
      <c r="K609" s="223"/>
      <c r="L609" s="168"/>
      <c r="M609" s="168"/>
      <c r="N609" s="168"/>
      <c r="O609" s="168"/>
      <c r="P609" s="168"/>
    </row>
    <row r="610" spans="1:16" ht="21.75" hidden="1" customHeight="1" x14ac:dyDescent="0.3">
      <c r="A610" s="373"/>
      <c r="B610" s="374"/>
      <c r="C610" s="374"/>
      <c r="D610" s="486"/>
      <c r="E610" s="487" t="s">
        <v>48</v>
      </c>
      <c r="F610" s="488"/>
      <c r="G610" s="379"/>
      <c r="H610" s="186"/>
      <c r="I610" s="187"/>
      <c r="J610" s="187">
        <f ca="1">IFERROR(__xludf.DUMMYFUNCTION("IMPORTRANGE(""https://docs.google.com/spreadsheets/d/11923uPwbBZFjjGgGUA6NLw09EwE0CqkOc4q9oUmW1yo/edit?usp=sharing"",""แม่ฮ่องสอน!J166"")"),0)</f>
        <v>0</v>
      </c>
      <c r="K610" s="223"/>
      <c r="L610" s="168"/>
      <c r="M610" s="168"/>
      <c r="N610" s="168"/>
      <c r="O610" s="168"/>
      <c r="P610" s="168"/>
    </row>
    <row r="611" spans="1:16" ht="21.75" customHeight="1" x14ac:dyDescent="0.3">
      <c r="A611" s="175"/>
      <c r="B611" s="176"/>
      <c r="C611" s="176"/>
      <c r="D611" s="193"/>
      <c r="E611" s="195"/>
      <c r="F611" s="195" t="s">
        <v>219</v>
      </c>
      <c r="G611" s="196"/>
      <c r="H611" s="180" t="s">
        <v>122</v>
      </c>
      <c r="I611" s="187">
        <f ca="1">IFERROR(__xludf.DUMMYFUNCTION("IMPORTRANGE(""https://docs.google.com/spreadsheets/d/11923uPwbBZFjjGgGUA6NLw09EwE0CqkOc4q9oUmW1yo/edit?usp=sharing"",""แม่ฮ่องสอน!I506"")"),50)</f>
        <v>50</v>
      </c>
      <c r="J611" s="162">
        <f ca="1">IFERROR(__xludf.DUMMYFUNCTION("IMPORTRANGE(""https://docs.google.com/spreadsheets/d/11923uPwbBZFjjGgGUA6NLw09EwE0CqkOc4q9oUmW1yo/edit?usp=sharing"",""แม่ฮ่องสอน!J506"")"),0)</f>
        <v>0</v>
      </c>
      <c r="K611" s="163">
        <f t="shared" ref="K611:K619" ca="1" si="127">IF(I$611&gt;0,J611*100/I$611,0)</f>
        <v>0</v>
      </c>
      <c r="L611" s="181"/>
      <c r="M611" s="181"/>
      <c r="N611" s="181"/>
      <c r="O611" s="181"/>
      <c r="P611" s="181"/>
    </row>
    <row r="612" spans="1:16" ht="21.75" customHeight="1" x14ac:dyDescent="0.3">
      <c r="A612" s="175"/>
      <c r="B612" s="176"/>
      <c r="C612" s="176"/>
      <c r="D612" s="193"/>
      <c r="E612" s="198"/>
      <c r="F612" s="195"/>
      <c r="G612" s="225" t="s">
        <v>220</v>
      </c>
      <c r="H612" s="180" t="s">
        <v>122</v>
      </c>
      <c r="I612" s="203">
        <f ca="1">IFERROR(__xludf.DUMMYFUNCTION("IMPORTRANGE(""https://docs.google.com/spreadsheets/d/11923uPwbBZFjjGgGUA6NLw09EwE0CqkOc4q9oUmW1yo/edit?usp=sharing"",""แม่ฮ่องสอน!I507"")"),0)</f>
        <v>0</v>
      </c>
      <c r="J612" s="197">
        <f ca="1">IFERROR(__xludf.DUMMYFUNCTION("IMPORTRANGE(""https://docs.google.com/spreadsheets/d/11923uPwbBZFjjGgGUA6NLw09EwE0CqkOc4q9oUmW1yo/edit?usp=sharing"",""แม่ฮ่องสอน!J507"")"),0)</f>
        <v>0</v>
      </c>
      <c r="K612" s="163">
        <f t="shared" ca="1" si="127"/>
        <v>0</v>
      </c>
      <c r="L612" s="181"/>
      <c r="M612" s="181"/>
      <c r="N612" s="181"/>
      <c r="O612" s="181"/>
      <c r="P612" s="181"/>
    </row>
    <row r="613" spans="1:16" ht="21.75" customHeight="1" x14ac:dyDescent="0.3">
      <c r="A613" s="175"/>
      <c r="B613" s="176"/>
      <c r="C613" s="176"/>
      <c r="D613" s="193"/>
      <c r="E613" s="198"/>
      <c r="F613" s="195"/>
      <c r="G613" s="225" t="s">
        <v>221</v>
      </c>
      <c r="H613" s="180" t="s">
        <v>122</v>
      </c>
      <c r="I613" s="203">
        <f ca="1">IFERROR(__xludf.DUMMYFUNCTION("IMPORTRANGE(""https://docs.google.com/spreadsheets/d/11923uPwbBZFjjGgGUA6NLw09EwE0CqkOc4q9oUmW1yo/edit?usp=sharing"",""แม่ฮ่องสอน!I508"")"),0)</f>
        <v>0</v>
      </c>
      <c r="J613" s="197">
        <f ca="1">IFERROR(__xludf.DUMMYFUNCTION("IMPORTRANGE(""https://docs.google.com/spreadsheets/d/11923uPwbBZFjjGgGUA6NLw09EwE0CqkOc4q9oUmW1yo/edit?usp=sharing"",""แม่ฮ่องสอน!J508"")"),0)</f>
        <v>0</v>
      </c>
      <c r="K613" s="163">
        <f t="shared" ca="1" si="127"/>
        <v>0</v>
      </c>
      <c r="L613" s="181"/>
      <c r="M613" s="181"/>
      <c r="N613" s="181"/>
      <c r="O613" s="181"/>
      <c r="P613" s="181"/>
    </row>
    <row r="614" spans="1:16" ht="21.75" customHeight="1" x14ac:dyDescent="0.3">
      <c r="A614" s="175"/>
      <c r="B614" s="176"/>
      <c r="C614" s="176"/>
      <c r="D614" s="193"/>
      <c r="E614" s="198"/>
      <c r="F614" s="195"/>
      <c r="G614" s="225" t="s">
        <v>222</v>
      </c>
      <c r="H614" s="180" t="s">
        <v>122</v>
      </c>
      <c r="I614" s="203">
        <f ca="1">IFERROR(__xludf.DUMMYFUNCTION("IMPORTRANGE(""https://docs.google.com/spreadsheets/d/11923uPwbBZFjjGgGUA6NLw09EwE0CqkOc4q9oUmW1yo/edit?usp=sharing"",""แม่ฮ่องสอน!I509"")"),0)</f>
        <v>0</v>
      </c>
      <c r="J614" s="197">
        <f ca="1">IFERROR(__xludf.DUMMYFUNCTION("IMPORTRANGE(""https://docs.google.com/spreadsheets/d/11923uPwbBZFjjGgGUA6NLw09EwE0CqkOc4q9oUmW1yo/edit?usp=sharing"",""แม่ฮ่องสอน!J509"")"),0)</f>
        <v>0</v>
      </c>
      <c r="K614" s="163">
        <f t="shared" ca="1" si="127"/>
        <v>0</v>
      </c>
      <c r="L614" s="181"/>
      <c r="M614" s="181"/>
      <c r="N614" s="181"/>
      <c r="O614" s="181"/>
      <c r="P614" s="181"/>
    </row>
    <row r="615" spans="1:16" ht="21.75" customHeight="1" x14ac:dyDescent="0.3">
      <c r="A615" s="175"/>
      <c r="B615" s="176"/>
      <c r="C615" s="176"/>
      <c r="D615" s="193"/>
      <c r="E615" s="198"/>
      <c r="F615" s="195"/>
      <c r="G615" s="225" t="s">
        <v>223</v>
      </c>
      <c r="H615" s="180" t="s">
        <v>122</v>
      </c>
      <c r="I615" s="203">
        <f ca="1">IFERROR(__xludf.DUMMYFUNCTION("IMPORTRANGE(""https://docs.google.com/spreadsheets/d/11923uPwbBZFjjGgGUA6NLw09EwE0CqkOc4q9oUmW1yo/edit?usp=sharing"",""แม่ฮ่องสอน!I510"")"),0)</f>
        <v>0</v>
      </c>
      <c r="J615" s="197">
        <f ca="1">IFERROR(__xludf.DUMMYFUNCTION("IMPORTRANGE(""https://docs.google.com/spreadsheets/d/11923uPwbBZFjjGgGUA6NLw09EwE0CqkOc4q9oUmW1yo/edit?usp=sharing"",""แม่ฮ่องสอน!J510"")"),0)</f>
        <v>0</v>
      </c>
      <c r="K615" s="163">
        <f t="shared" ca="1" si="127"/>
        <v>0</v>
      </c>
      <c r="L615" s="181"/>
      <c r="M615" s="181"/>
      <c r="N615" s="181"/>
      <c r="O615" s="181"/>
      <c r="P615" s="181"/>
    </row>
    <row r="616" spans="1:16" ht="21.75" customHeight="1" x14ac:dyDescent="0.3">
      <c r="A616" s="175"/>
      <c r="B616" s="176"/>
      <c r="C616" s="176"/>
      <c r="D616" s="193"/>
      <c r="E616" s="198"/>
      <c r="F616" s="195"/>
      <c r="G616" s="194" t="s">
        <v>224</v>
      </c>
      <c r="H616" s="180" t="s">
        <v>122</v>
      </c>
      <c r="I616" s="203">
        <f ca="1">IFERROR(__xludf.DUMMYFUNCTION("IMPORTRANGE(""https://docs.google.com/spreadsheets/d/11923uPwbBZFjjGgGUA6NLw09EwE0CqkOc4q9oUmW1yo/edit?usp=sharing"",""แม่ฮ่องสอน!I511"")"),0)</f>
        <v>0</v>
      </c>
      <c r="J616" s="197">
        <f ca="1">IFERROR(__xludf.DUMMYFUNCTION("IMPORTRANGE(""https://docs.google.com/spreadsheets/d/11923uPwbBZFjjGgGUA6NLw09EwE0CqkOc4q9oUmW1yo/edit?usp=sharing"",""แม่ฮ่องสอน!J511"")"),0)</f>
        <v>0</v>
      </c>
      <c r="K616" s="163">
        <f t="shared" ca="1" si="127"/>
        <v>0</v>
      </c>
      <c r="L616" s="181"/>
      <c r="M616" s="181"/>
      <c r="N616" s="181"/>
      <c r="O616" s="181"/>
      <c r="P616" s="181"/>
    </row>
    <row r="617" spans="1:16" ht="21.75" customHeight="1" x14ac:dyDescent="0.3">
      <c r="A617" s="175"/>
      <c r="B617" s="176"/>
      <c r="C617" s="176"/>
      <c r="D617" s="193"/>
      <c r="E617" s="198"/>
      <c r="F617" s="195"/>
      <c r="G617" s="194" t="s">
        <v>225</v>
      </c>
      <c r="H617" s="180" t="s">
        <v>122</v>
      </c>
      <c r="I617" s="187">
        <f ca="1">IFERROR(__xludf.DUMMYFUNCTION("IMPORTRANGE(""https://docs.google.com/spreadsheets/d/11923uPwbBZFjjGgGUA6NLw09EwE0CqkOc4q9oUmW1yo/edit?usp=sharing"",""แม่ฮ่องสอน!I512"")"),0)</f>
        <v>0</v>
      </c>
      <c r="J617" s="187">
        <f ca="1">IFERROR(__xludf.DUMMYFUNCTION("IMPORTRANGE(""https://docs.google.com/spreadsheets/d/11923uPwbBZFjjGgGUA6NLw09EwE0CqkOc4q9oUmW1yo/edit?usp=sharing"",""แม่ฮ่องสอน!J512"")"),0)</f>
        <v>0</v>
      </c>
      <c r="K617" s="163">
        <f t="shared" ca="1" si="127"/>
        <v>0</v>
      </c>
      <c r="L617" s="181"/>
      <c r="M617" s="181"/>
      <c r="N617" s="181"/>
      <c r="O617" s="181"/>
      <c r="P617" s="181"/>
    </row>
    <row r="618" spans="1:16" ht="21.75" customHeight="1" x14ac:dyDescent="0.3">
      <c r="A618" s="175"/>
      <c r="B618" s="176"/>
      <c r="C618" s="176"/>
      <c r="D618" s="193"/>
      <c r="E618" s="198"/>
      <c r="F618" s="195"/>
      <c r="G618" s="489" t="s">
        <v>226</v>
      </c>
      <c r="H618" s="180" t="s">
        <v>122</v>
      </c>
      <c r="I618" s="203">
        <f ca="1">IFERROR(__xludf.DUMMYFUNCTION("IMPORTRANGE(""https://docs.google.com/spreadsheets/d/11923uPwbBZFjjGgGUA6NLw09EwE0CqkOc4q9oUmW1yo/edit?usp=sharing"",""แม่ฮ่องสอน!I513"")"),0)</f>
        <v>0</v>
      </c>
      <c r="J618" s="188">
        <f ca="1">IFERROR(__xludf.DUMMYFUNCTION("IMPORTRANGE(""https://docs.google.com/spreadsheets/d/11923uPwbBZFjjGgGUA6NLw09EwE0CqkOc4q9oUmW1yo/edit?usp=sharing"",""แม่ฮ่องสอน!J513"")"),0)</f>
        <v>0</v>
      </c>
      <c r="K618" s="163">
        <f t="shared" ca="1" si="127"/>
        <v>0</v>
      </c>
      <c r="L618" s="181"/>
      <c r="M618" s="181"/>
      <c r="N618" s="181"/>
      <c r="O618" s="181"/>
      <c r="P618" s="181"/>
    </row>
    <row r="619" spans="1:16" ht="21.75" customHeight="1" x14ac:dyDescent="0.3">
      <c r="A619" s="175"/>
      <c r="B619" s="176"/>
      <c r="C619" s="176"/>
      <c r="D619" s="193"/>
      <c r="E619" s="198"/>
      <c r="F619" s="195"/>
      <c r="G619" s="489" t="s">
        <v>227</v>
      </c>
      <c r="H619" s="180" t="s">
        <v>122</v>
      </c>
      <c r="I619" s="203">
        <f ca="1">IFERROR(__xludf.DUMMYFUNCTION("IMPORTRANGE(""https://docs.google.com/spreadsheets/d/11923uPwbBZFjjGgGUA6NLw09EwE0CqkOc4q9oUmW1yo/edit?usp=sharing"",""แม่ฮ่องสอน!I514"")"),0)</f>
        <v>0</v>
      </c>
      <c r="J619" s="188">
        <f ca="1">IFERROR(__xludf.DUMMYFUNCTION("IMPORTRANGE(""https://docs.google.com/spreadsheets/d/11923uPwbBZFjjGgGUA6NLw09EwE0CqkOc4q9oUmW1yo/edit?usp=sharing"",""แม่ฮ่องสอน!J514"")"),0)</f>
        <v>0</v>
      </c>
      <c r="K619" s="163">
        <f t="shared" ca="1" si="127"/>
        <v>0</v>
      </c>
      <c r="L619" s="181"/>
      <c r="M619" s="181"/>
      <c r="N619" s="181"/>
      <c r="O619" s="181"/>
      <c r="P619" s="181"/>
    </row>
    <row r="620" spans="1:16" ht="21.75" customHeight="1" x14ac:dyDescent="0.3">
      <c r="A620" s="175"/>
      <c r="B620" s="176"/>
      <c r="C620" s="176"/>
      <c r="D620" s="193"/>
      <c r="E620" s="195"/>
      <c r="F620" s="194" t="s">
        <v>228</v>
      </c>
      <c r="G620" s="196"/>
      <c r="H620" s="180" t="s">
        <v>122</v>
      </c>
      <c r="I620" s="187">
        <f ca="1">IFERROR(__xludf.DUMMYFUNCTION("IMPORTRANGE(""https://docs.google.com/spreadsheets/d/11923uPwbBZFjjGgGUA6NLw09EwE0CqkOc4q9oUmW1yo/edit?usp=sharing"",""แม่ฮ่องสอน!I515"")"),0)</f>
        <v>0</v>
      </c>
      <c r="J620" s="202">
        <f ca="1">IFERROR(__xludf.DUMMYFUNCTION("IMPORTRANGE(""https://docs.google.com/spreadsheets/d/11923uPwbBZFjjGgGUA6NLw09EwE0CqkOc4q9oUmW1yo/edit?usp=sharing"",""แม่ฮ่องสอน!J515"")"),0)</f>
        <v>0</v>
      </c>
      <c r="K620" s="163">
        <f t="shared" ref="K620:K626" ca="1" si="128">IF(I$620&gt;0,J620*100/I$620,0)</f>
        <v>0</v>
      </c>
      <c r="L620" s="181"/>
      <c r="M620" s="181"/>
      <c r="N620" s="181"/>
      <c r="O620" s="181"/>
      <c r="P620" s="181"/>
    </row>
    <row r="621" spans="1:16" ht="21.75" customHeight="1" x14ac:dyDescent="0.3">
      <c r="A621" s="175"/>
      <c r="B621" s="176"/>
      <c r="C621" s="176"/>
      <c r="D621" s="193"/>
      <c r="E621" s="198"/>
      <c r="F621" s="195"/>
      <c r="G621" s="225" t="s">
        <v>225</v>
      </c>
      <c r="H621" s="180" t="s">
        <v>122</v>
      </c>
      <c r="I621" s="202">
        <f ca="1">IFERROR(__xludf.DUMMYFUNCTION("IMPORTRANGE(""https://docs.google.com/spreadsheets/d/11923uPwbBZFjjGgGUA6NLw09EwE0CqkOc4q9oUmW1yo/edit?usp=sharing"",""แม่ฮ่องสอน!I516"")"),0)</f>
        <v>0</v>
      </c>
      <c r="J621" s="202">
        <f ca="1">IFERROR(__xludf.DUMMYFUNCTION("IMPORTRANGE(""https://docs.google.com/spreadsheets/d/11923uPwbBZFjjGgGUA6NLw09EwE0CqkOc4q9oUmW1yo/edit?usp=sharing"",""แม่ฮ่องสอน!J516"")"),0)</f>
        <v>0</v>
      </c>
      <c r="K621" s="163">
        <f t="shared" ca="1" si="128"/>
        <v>0</v>
      </c>
      <c r="L621" s="181"/>
      <c r="M621" s="181"/>
      <c r="N621" s="181"/>
      <c r="O621" s="181"/>
      <c r="P621" s="181"/>
    </row>
    <row r="622" spans="1:16" ht="21.75" customHeight="1" x14ac:dyDescent="0.3">
      <c r="A622" s="175"/>
      <c r="B622" s="176"/>
      <c r="C622" s="176"/>
      <c r="D622" s="193"/>
      <c r="E622" s="198"/>
      <c r="F622" s="195"/>
      <c r="G622" s="489" t="s">
        <v>226</v>
      </c>
      <c r="H622" s="180" t="s">
        <v>122</v>
      </c>
      <c r="I622" s="203">
        <f ca="1">IFERROR(__xludf.DUMMYFUNCTION("IMPORTRANGE(""https://docs.google.com/spreadsheets/d/11923uPwbBZFjjGgGUA6NLw09EwE0CqkOc4q9oUmW1yo/edit?usp=sharing"",""แม่ฮ่องสอน!I517"")"),0)</f>
        <v>0</v>
      </c>
      <c r="J622" s="188">
        <f ca="1">IFERROR(__xludf.DUMMYFUNCTION("IMPORTRANGE(""https://docs.google.com/spreadsheets/d/11923uPwbBZFjjGgGUA6NLw09EwE0CqkOc4q9oUmW1yo/edit?usp=sharing"",""แม่ฮ่องสอน!J517"")"),0)</f>
        <v>0</v>
      </c>
      <c r="K622" s="163">
        <f t="shared" ca="1" si="128"/>
        <v>0</v>
      </c>
      <c r="L622" s="181"/>
      <c r="M622" s="181"/>
      <c r="N622" s="181"/>
      <c r="O622" s="181"/>
      <c r="P622" s="181"/>
    </row>
    <row r="623" spans="1:16" ht="21.75" customHeight="1" x14ac:dyDescent="0.3">
      <c r="A623" s="175"/>
      <c r="B623" s="176"/>
      <c r="C623" s="176"/>
      <c r="D623" s="193"/>
      <c r="E623" s="198"/>
      <c r="F623" s="195"/>
      <c r="G623" s="489" t="s">
        <v>227</v>
      </c>
      <c r="H623" s="180" t="s">
        <v>122</v>
      </c>
      <c r="I623" s="203">
        <f ca="1">IFERROR(__xludf.DUMMYFUNCTION("IMPORTRANGE(""https://docs.google.com/spreadsheets/d/11923uPwbBZFjjGgGUA6NLw09EwE0CqkOc4q9oUmW1yo/edit?usp=sharing"",""แม่ฮ่องสอน!I518"")"),0)</f>
        <v>0</v>
      </c>
      <c r="J623" s="188">
        <f ca="1">IFERROR(__xludf.DUMMYFUNCTION("IMPORTRANGE(""https://docs.google.com/spreadsheets/d/11923uPwbBZFjjGgGUA6NLw09EwE0CqkOc4q9oUmW1yo/edit?usp=sharing"",""แม่ฮ่องสอน!J518"")"),0)</f>
        <v>0</v>
      </c>
      <c r="K623" s="163">
        <f t="shared" ca="1" si="128"/>
        <v>0</v>
      </c>
      <c r="L623" s="181"/>
      <c r="M623" s="181"/>
      <c r="N623" s="181"/>
      <c r="O623" s="181"/>
      <c r="P623" s="181"/>
    </row>
    <row r="624" spans="1:16" ht="21.75" customHeight="1" x14ac:dyDescent="0.3">
      <c r="A624" s="175"/>
      <c r="B624" s="176"/>
      <c r="C624" s="176"/>
      <c r="D624" s="193"/>
      <c r="E624" s="198"/>
      <c r="F624" s="195"/>
      <c r="G624" s="225" t="s">
        <v>229</v>
      </c>
      <c r="H624" s="180" t="s">
        <v>122</v>
      </c>
      <c r="I624" s="187">
        <f ca="1">IFERROR(__xludf.DUMMYFUNCTION("IMPORTRANGE(""https://docs.google.com/spreadsheets/d/11923uPwbBZFjjGgGUA6NLw09EwE0CqkOc4q9oUmW1yo/edit?usp=sharing"",""แม่ฮ่องสอน!I519"")"),0)</f>
        <v>0</v>
      </c>
      <c r="J624" s="187">
        <f ca="1">IFERROR(__xludf.DUMMYFUNCTION("IMPORTRANGE(""https://docs.google.com/spreadsheets/d/11923uPwbBZFjjGgGUA6NLw09EwE0CqkOc4q9oUmW1yo/edit?usp=sharing"",""แม่ฮ่องสอน!J519"")"),0)</f>
        <v>0</v>
      </c>
      <c r="K624" s="163">
        <f t="shared" ca="1" si="128"/>
        <v>0</v>
      </c>
      <c r="L624" s="181"/>
      <c r="M624" s="181"/>
      <c r="N624" s="181"/>
      <c r="O624" s="181"/>
      <c r="P624" s="181"/>
    </row>
    <row r="625" spans="1:16" ht="21.75" customHeight="1" x14ac:dyDescent="0.3">
      <c r="A625" s="175"/>
      <c r="B625" s="176"/>
      <c r="C625" s="176"/>
      <c r="D625" s="193"/>
      <c r="E625" s="198"/>
      <c r="F625" s="195"/>
      <c r="G625" s="489" t="s">
        <v>230</v>
      </c>
      <c r="H625" s="180" t="s">
        <v>122</v>
      </c>
      <c r="I625" s="203">
        <f ca="1">IFERROR(__xludf.DUMMYFUNCTION("IMPORTRANGE(""https://docs.google.com/spreadsheets/d/11923uPwbBZFjjGgGUA6NLw09EwE0CqkOc4q9oUmW1yo/edit?usp=sharing"",""แม่ฮ่องสอน!I520"")"),0)</f>
        <v>0</v>
      </c>
      <c r="J625" s="188">
        <f ca="1">IFERROR(__xludf.DUMMYFUNCTION("IMPORTRANGE(""https://docs.google.com/spreadsheets/d/11923uPwbBZFjjGgGUA6NLw09EwE0CqkOc4q9oUmW1yo/edit?usp=sharing"",""แม่ฮ่องสอน!J520"")"),0)</f>
        <v>0</v>
      </c>
      <c r="K625" s="163">
        <f t="shared" ca="1" si="128"/>
        <v>0</v>
      </c>
      <c r="L625" s="181"/>
      <c r="M625" s="181"/>
      <c r="N625" s="181"/>
      <c r="O625" s="181"/>
      <c r="P625" s="181"/>
    </row>
    <row r="626" spans="1:16" ht="21.75" customHeight="1" x14ac:dyDescent="0.3">
      <c r="A626" s="175"/>
      <c r="B626" s="176"/>
      <c r="C626" s="176"/>
      <c r="D626" s="193"/>
      <c r="E626" s="198"/>
      <c r="F626" s="195"/>
      <c r="G626" s="489" t="s">
        <v>231</v>
      </c>
      <c r="H626" s="180" t="s">
        <v>122</v>
      </c>
      <c r="I626" s="203">
        <f ca="1">IFERROR(__xludf.DUMMYFUNCTION("IMPORTRANGE(""https://docs.google.com/spreadsheets/d/11923uPwbBZFjjGgGUA6NLw09EwE0CqkOc4q9oUmW1yo/edit?usp=sharing"",""แม่ฮ่องสอน!I521"")"),0)</f>
        <v>0</v>
      </c>
      <c r="J626" s="188">
        <f ca="1">IFERROR(__xludf.DUMMYFUNCTION("IMPORTRANGE(""https://docs.google.com/spreadsheets/d/11923uPwbBZFjjGgGUA6NLw09EwE0CqkOc4q9oUmW1yo/edit?usp=sharing"",""แม่ฮ่องสอน!J521"")"),0)</f>
        <v>0</v>
      </c>
      <c r="K626" s="163">
        <f t="shared" ca="1" si="128"/>
        <v>0</v>
      </c>
      <c r="L626" s="181"/>
      <c r="M626" s="181"/>
      <c r="N626" s="181"/>
      <c r="O626" s="181"/>
      <c r="P626" s="181"/>
    </row>
    <row r="627" spans="1:16" ht="21.75" customHeight="1" x14ac:dyDescent="0.3">
      <c r="A627" s="490" t="s">
        <v>232</v>
      </c>
      <c r="B627" s="491"/>
      <c r="C627" s="491"/>
      <c r="D627" s="491"/>
      <c r="E627" s="491"/>
      <c r="F627" s="491"/>
      <c r="G627" s="492"/>
      <c r="H627" s="493"/>
      <c r="I627" s="494"/>
      <c r="J627" s="494"/>
      <c r="K627" s="495"/>
      <c r="L627" s="495"/>
      <c r="M627" s="495"/>
      <c r="N627" s="495"/>
      <c r="O627" s="496"/>
      <c r="P627" s="496"/>
    </row>
    <row r="628" spans="1:16" ht="21.75" customHeight="1" x14ac:dyDescent="0.3">
      <c r="A628" s="476"/>
      <c r="B628" s="497" t="s">
        <v>233</v>
      </c>
      <c r="C628" s="157"/>
      <c r="D628" s="166"/>
      <c r="E628" s="159"/>
      <c r="F628" s="159"/>
      <c r="G628" s="160"/>
      <c r="H628" s="498" t="s">
        <v>12</v>
      </c>
      <c r="I628" s="339">
        <f ca="1">IFERROR(__xludf.DUMMYFUNCTION("IMPORTRANGE(""https://docs.google.com/spreadsheets/d/11923uPwbBZFjjGgGUA6NLw09EwE0CqkOc4q9oUmW1yo/edit?usp=sharing"",""แม่ฮ่องสอน!I523"")"),839087.63)</f>
        <v>839087.63</v>
      </c>
      <c r="J628" s="339">
        <f ca="1">IFERROR(__xludf.DUMMYFUNCTION("IMPORTRANGE(""https://docs.google.com/spreadsheets/d/11923uPwbBZFjjGgGUA6NLw09EwE0CqkOc4q9oUmW1yo/edit?usp=sharing"",""แม่ฮ่องสอน!J523"")"),238256.95)</f>
        <v>238256.95</v>
      </c>
      <c r="K628" s="340">
        <f t="shared" ref="K628:K635" ca="1" si="129">IF(I628&gt;0,J628*100/I628,0)</f>
        <v>28.394763726882733</v>
      </c>
      <c r="L628" s="340"/>
      <c r="M628" s="340"/>
      <c r="N628" s="340"/>
      <c r="O628" s="168"/>
      <c r="P628" s="168"/>
    </row>
    <row r="629" spans="1:16" ht="21.75" customHeight="1" x14ac:dyDescent="0.3">
      <c r="A629" s="476"/>
      <c r="B629" s="157"/>
      <c r="C629" s="157"/>
      <c r="D629" s="166"/>
      <c r="E629" s="159"/>
      <c r="F629" s="159"/>
      <c r="G629" s="160"/>
      <c r="H629" s="498" t="s">
        <v>37</v>
      </c>
      <c r="I629" s="339">
        <f ca="1">IFERROR(__xludf.DUMMYFUNCTION("IMPORTRANGE(""https://docs.google.com/spreadsheets/d/11923uPwbBZFjjGgGUA6NLw09EwE0CqkOc4q9oUmW1yo/edit?usp=sharing"",""แม่ฮ่องสอน!I524"")"),84)</f>
        <v>84</v>
      </c>
      <c r="J629" s="339">
        <f ca="1">IFERROR(__xludf.DUMMYFUNCTION("IMPORTRANGE(""https://docs.google.com/spreadsheets/d/11923uPwbBZFjjGgGUA6NLw09EwE0CqkOc4q9oUmW1yo/edit?usp=sharing"",""แม่ฮ่องสอน!J524"")"),22)</f>
        <v>22</v>
      </c>
      <c r="K629" s="340">
        <f t="shared" ca="1" si="129"/>
        <v>26.19047619047619</v>
      </c>
      <c r="L629" s="340"/>
      <c r="M629" s="340"/>
      <c r="N629" s="340"/>
      <c r="O629" s="168"/>
      <c r="P629" s="168"/>
    </row>
    <row r="630" spans="1:16" ht="21.75" customHeight="1" x14ac:dyDescent="0.3">
      <c r="A630" s="476"/>
      <c r="B630" s="497" t="s">
        <v>234</v>
      </c>
      <c r="C630" s="157"/>
      <c r="D630" s="166"/>
      <c r="E630" s="159"/>
      <c r="F630" s="159"/>
      <c r="G630" s="160"/>
      <c r="H630" s="498" t="s">
        <v>12</v>
      </c>
      <c r="I630" s="339">
        <f ca="1">IFERROR(__xludf.DUMMYFUNCTION("IMPORTRANGE(""https://docs.google.com/spreadsheets/d/11923uPwbBZFjjGgGUA6NLw09EwE0CqkOc4q9oUmW1yo/edit?usp=sharing"",""แม่ฮ่องสอน!I525"")"),341351.2)</f>
        <v>341351.2</v>
      </c>
      <c r="J630" s="339">
        <f ca="1">IFERROR(__xludf.DUMMYFUNCTION("IMPORTRANGE(""https://docs.google.com/spreadsheets/d/11923uPwbBZFjjGgGUA6NLw09EwE0CqkOc4q9oUmW1yo/edit?usp=sharing"",""แม่ฮ่องสอน!J525"")"),64155.01)</f>
        <v>64155.01</v>
      </c>
      <c r="K630" s="340">
        <f t="shared" ca="1" si="129"/>
        <v>18.79442931502804</v>
      </c>
      <c r="L630" s="340"/>
      <c r="M630" s="340"/>
      <c r="N630" s="340"/>
      <c r="O630" s="168"/>
      <c r="P630" s="168"/>
    </row>
    <row r="631" spans="1:16" ht="21.75" customHeight="1" x14ac:dyDescent="0.3">
      <c r="A631" s="476"/>
      <c r="B631" s="157"/>
      <c r="C631" s="157"/>
      <c r="D631" s="166"/>
      <c r="E631" s="159"/>
      <c r="F631" s="159"/>
      <c r="G631" s="160"/>
      <c r="H631" s="498" t="s">
        <v>37</v>
      </c>
      <c r="I631" s="339">
        <f ca="1">IFERROR(__xludf.DUMMYFUNCTION("IMPORTRANGE(""https://docs.google.com/spreadsheets/d/11923uPwbBZFjjGgGUA6NLw09EwE0CqkOc4q9oUmW1yo/edit?usp=sharing"",""แม่ฮ่องสอน!I526"")"),27)</f>
        <v>27</v>
      </c>
      <c r="J631" s="339">
        <f ca="1">IFERROR(__xludf.DUMMYFUNCTION("IMPORTRANGE(""https://docs.google.com/spreadsheets/d/11923uPwbBZFjjGgGUA6NLw09EwE0CqkOc4q9oUmW1yo/edit?usp=sharing"",""แม่ฮ่องสอน!J526"")"),15)</f>
        <v>15</v>
      </c>
      <c r="K631" s="340">
        <f t="shared" ca="1" si="129"/>
        <v>55.555555555555557</v>
      </c>
      <c r="L631" s="340"/>
      <c r="M631" s="340"/>
      <c r="N631" s="340"/>
      <c r="O631" s="168"/>
      <c r="P631" s="168"/>
    </row>
    <row r="632" spans="1:16" ht="21.75" customHeight="1" x14ac:dyDescent="0.3">
      <c r="A632" s="476"/>
      <c r="B632" s="497" t="s">
        <v>235</v>
      </c>
      <c r="C632" s="157"/>
      <c r="D632" s="166"/>
      <c r="E632" s="159"/>
      <c r="F632" s="159"/>
      <c r="G632" s="160"/>
      <c r="H632" s="498" t="s">
        <v>12</v>
      </c>
      <c r="I632" s="339">
        <f ca="1">IFERROR(__xludf.DUMMYFUNCTION("IMPORTRANGE(""https://docs.google.com/spreadsheets/d/11923uPwbBZFjjGgGUA6NLw09EwE0CqkOc4q9oUmW1yo/edit?usp=sharing"",""แม่ฮ่องสอน!I527"")"),0)</f>
        <v>0</v>
      </c>
      <c r="J632" s="339">
        <f ca="1">IFERROR(__xludf.DUMMYFUNCTION("IMPORTRANGE(""https://docs.google.com/spreadsheets/d/11923uPwbBZFjjGgGUA6NLw09EwE0CqkOc4q9oUmW1yo/edit?usp=sharing"",""แม่ฮ่องสอน!J527"")"),0)</f>
        <v>0</v>
      </c>
      <c r="K632" s="340">
        <f t="shared" ca="1" si="129"/>
        <v>0</v>
      </c>
      <c r="L632" s="340"/>
      <c r="M632" s="340"/>
      <c r="N632" s="340"/>
      <c r="O632" s="168"/>
      <c r="P632" s="168"/>
    </row>
    <row r="633" spans="1:16" ht="21.75" customHeight="1" x14ac:dyDescent="0.3">
      <c r="A633" s="476"/>
      <c r="B633" s="497"/>
      <c r="C633" s="157"/>
      <c r="D633" s="166"/>
      <c r="E633" s="159"/>
      <c r="F633" s="159"/>
      <c r="G633" s="160"/>
      <c r="H633" s="498" t="s">
        <v>37</v>
      </c>
      <c r="I633" s="339">
        <f ca="1">IFERROR(__xludf.DUMMYFUNCTION("IMPORTRANGE(""https://docs.google.com/spreadsheets/d/11923uPwbBZFjjGgGUA6NLw09EwE0CqkOc4q9oUmW1yo/edit?usp=sharing"",""แม่ฮ่องสอน!I528"")"),0)</f>
        <v>0</v>
      </c>
      <c r="J633" s="339">
        <f ca="1">IFERROR(__xludf.DUMMYFUNCTION("IMPORTRANGE(""https://docs.google.com/spreadsheets/d/11923uPwbBZFjjGgGUA6NLw09EwE0CqkOc4q9oUmW1yo/edit?usp=sharing"",""แม่ฮ่องสอน!J528"")"),0)</f>
        <v>0</v>
      </c>
      <c r="K633" s="340">
        <f t="shared" ca="1" si="129"/>
        <v>0</v>
      </c>
      <c r="L633" s="340"/>
      <c r="M633" s="340"/>
      <c r="N633" s="340"/>
      <c r="O633" s="168"/>
      <c r="P633" s="168"/>
    </row>
    <row r="634" spans="1:16" ht="21.75" customHeight="1" x14ac:dyDescent="0.3">
      <c r="A634" s="476"/>
      <c r="B634" s="497" t="s">
        <v>236</v>
      </c>
      <c r="C634" s="157"/>
      <c r="D634" s="166"/>
      <c r="E634" s="159"/>
      <c r="F634" s="159"/>
      <c r="G634" s="160"/>
      <c r="H634" s="498" t="s">
        <v>12</v>
      </c>
      <c r="I634" s="339">
        <f ca="1">IFERROR(__xludf.DUMMYFUNCTION("IMPORTRANGE(""https://docs.google.com/spreadsheets/d/11923uPwbBZFjjGgGUA6NLw09EwE0CqkOc4q9oUmW1yo/edit?usp=sharing"",""แม่ฮ่องสอน!I529"")"),900000)</f>
        <v>900000</v>
      </c>
      <c r="J634" s="339">
        <f ca="1">IFERROR(__xludf.DUMMYFUNCTION("IMPORTRANGE(""https://docs.google.com/spreadsheets/d/11923uPwbBZFjjGgGUA6NLw09EwE0CqkOc4q9oUmW1yo/edit?usp=sharing"",""แม่ฮ่องสอน!J529"")"),205000)</f>
        <v>205000</v>
      </c>
      <c r="K634" s="340">
        <f t="shared" ca="1" si="129"/>
        <v>22.777777777777779</v>
      </c>
      <c r="L634" s="340"/>
      <c r="M634" s="340"/>
      <c r="N634" s="340"/>
      <c r="O634" s="168"/>
      <c r="P634" s="168"/>
    </row>
    <row r="635" spans="1:16" ht="21.75" customHeight="1" x14ac:dyDescent="0.3">
      <c r="A635" s="478"/>
      <c r="B635" s="480"/>
      <c r="C635" s="480"/>
      <c r="D635" s="479"/>
      <c r="E635" s="499"/>
      <c r="F635" s="499"/>
      <c r="G635" s="500"/>
      <c r="H635" s="501" t="s">
        <v>37</v>
      </c>
      <c r="I635" s="502">
        <f ca="1">IFERROR(__xludf.DUMMYFUNCTION("IMPORTRANGE(""https://docs.google.com/spreadsheets/d/11923uPwbBZFjjGgGUA6NLw09EwE0CqkOc4q9oUmW1yo/edit?usp=sharing"",""แม่ฮ่องสอน!I530"")"),30)</f>
        <v>30</v>
      </c>
      <c r="J635" s="502">
        <f ca="1">IFERROR(__xludf.DUMMYFUNCTION("IMPORTRANGE(""https://docs.google.com/spreadsheets/d/11923uPwbBZFjjGgGUA6NLw09EwE0CqkOc4q9oUmW1yo/edit?usp=sharing"",""แม่ฮ่องสอน!J530"")"),6)</f>
        <v>6</v>
      </c>
      <c r="K635" s="484">
        <f t="shared" ca="1" si="129"/>
        <v>20</v>
      </c>
      <c r="L635" s="484"/>
      <c r="M635" s="484"/>
      <c r="N635" s="484"/>
      <c r="O635" s="503"/>
      <c r="P635" s="503"/>
    </row>
    <row r="636" spans="1:16" ht="21.75" customHeight="1" x14ac:dyDescent="0.3">
      <c r="A636" s="504"/>
      <c r="B636" s="504"/>
      <c r="C636" s="504"/>
      <c r="D636" s="504"/>
      <c r="E636" s="505" t="s">
        <v>237</v>
      </c>
      <c r="F636" s="505"/>
      <c r="G636" s="505"/>
      <c r="H636" s="506"/>
      <c r="I636" s="506"/>
      <c r="J636" s="506"/>
      <c r="K636" s="507"/>
      <c r="L636" s="508"/>
      <c r="M636" s="508"/>
      <c r="N636" s="508"/>
      <c r="O636" s="509"/>
      <c r="P636" s="509"/>
    </row>
    <row r="637" spans="1:16" ht="21.75" customHeight="1" x14ac:dyDescent="0.3">
      <c r="A637" s="504"/>
      <c r="B637" s="504"/>
      <c r="C637" s="504"/>
      <c r="D637" s="504"/>
      <c r="E637" s="506"/>
      <c r="F637" s="506"/>
      <c r="G637" s="506"/>
      <c r="H637" s="506"/>
      <c r="I637" s="506"/>
      <c r="J637" s="506"/>
      <c r="K637" s="507"/>
      <c r="L637" s="508"/>
      <c r="M637" s="508"/>
      <c r="N637" s="508"/>
      <c r="O637" s="509"/>
      <c r="P637" s="509"/>
    </row>
    <row r="638" spans="1:16" ht="21.75" customHeight="1" x14ac:dyDescent="0.3">
      <c r="A638" s="504"/>
      <c r="B638" s="504"/>
      <c r="C638" s="504"/>
      <c r="D638" s="504"/>
      <c r="E638" s="506"/>
      <c r="F638" s="506"/>
      <c r="G638" s="506"/>
      <c r="H638" s="506"/>
      <c r="I638" s="506"/>
      <c r="J638" s="506"/>
      <c r="K638" s="507"/>
      <c r="L638" s="508"/>
      <c r="M638" s="508"/>
      <c r="N638" s="508"/>
      <c r="O638" s="509"/>
      <c r="P638" s="509"/>
    </row>
    <row r="639" spans="1:16" ht="21.75" customHeight="1" x14ac:dyDescent="0.3">
      <c r="A639" s="504"/>
      <c r="B639" s="504"/>
      <c r="C639" s="504"/>
      <c r="D639" s="504"/>
      <c r="E639" s="506"/>
      <c r="F639" s="506"/>
      <c r="G639" s="506"/>
      <c r="H639" s="506"/>
      <c r="I639" s="506"/>
      <c r="J639" s="506"/>
      <c r="K639" s="507"/>
      <c r="L639" s="508"/>
      <c r="M639" s="508"/>
      <c r="N639" s="508"/>
      <c r="O639" s="509"/>
      <c r="P639" s="509"/>
    </row>
    <row r="640" spans="1:16" ht="21.75" customHeight="1" x14ac:dyDescent="0.3">
      <c r="A640" s="504"/>
      <c r="B640" s="504"/>
      <c r="C640" s="504"/>
      <c r="D640" s="504"/>
      <c r="E640" s="506"/>
      <c r="F640" s="506"/>
      <c r="G640" s="506"/>
      <c r="H640" s="506"/>
      <c r="I640" s="506"/>
      <c r="J640" s="506"/>
      <c r="K640" s="507"/>
      <c r="L640" s="508"/>
      <c r="M640" s="508"/>
      <c r="N640" s="508"/>
      <c r="O640" s="509"/>
      <c r="P640" s="509"/>
    </row>
    <row r="641" spans="1:16" ht="21.75" customHeight="1" x14ac:dyDescent="0.3">
      <c r="A641" s="504"/>
      <c r="B641" s="504"/>
      <c r="C641" s="504"/>
      <c r="D641" s="504"/>
      <c r="E641" s="506"/>
      <c r="F641" s="506"/>
      <c r="G641" s="506"/>
      <c r="H641" s="506"/>
      <c r="I641" s="506"/>
      <c r="J641" s="506"/>
      <c r="K641" s="507"/>
      <c r="L641" s="508"/>
      <c r="M641" s="508"/>
      <c r="N641" s="508"/>
      <c r="O641" s="509"/>
      <c r="P641" s="509"/>
    </row>
    <row r="642" spans="1:16" ht="21.75" customHeight="1" x14ac:dyDescent="0.3">
      <c r="A642" s="504"/>
      <c r="B642" s="504"/>
      <c r="C642" s="504"/>
      <c r="D642" s="504"/>
      <c r="E642" s="506"/>
      <c r="F642" s="506"/>
      <c r="G642" s="506"/>
      <c r="H642" s="506"/>
      <c r="I642" s="506"/>
      <c r="J642" s="506"/>
      <c r="K642" s="507"/>
      <c r="L642" s="508"/>
      <c r="M642" s="508"/>
      <c r="N642" s="508"/>
      <c r="O642" s="509"/>
      <c r="P642" s="509"/>
    </row>
    <row r="643" spans="1:16" ht="21.75" customHeight="1" x14ac:dyDescent="0.3">
      <c r="A643" s="504"/>
      <c r="B643" s="504"/>
      <c r="C643" s="504"/>
      <c r="D643" s="504"/>
      <c r="E643" s="506"/>
      <c r="F643" s="506"/>
      <c r="G643" s="506"/>
      <c r="H643" s="506"/>
      <c r="I643" s="506"/>
      <c r="J643" s="506"/>
      <c r="K643" s="507"/>
      <c r="L643" s="508"/>
      <c r="M643" s="508"/>
      <c r="N643" s="508"/>
      <c r="O643" s="509"/>
      <c r="P643" s="509"/>
    </row>
    <row r="644" spans="1:16" ht="21.75" customHeight="1" x14ac:dyDescent="0.3">
      <c r="A644" s="504"/>
      <c r="B644" s="504"/>
      <c r="C644" s="504"/>
      <c r="D644" s="504"/>
      <c r="E644" s="506"/>
      <c r="F644" s="506"/>
      <c r="G644" s="506"/>
      <c r="H644" s="506"/>
      <c r="I644" s="506"/>
      <c r="J644" s="506"/>
      <c r="K644" s="507"/>
      <c r="L644" s="508"/>
      <c r="M644" s="508"/>
      <c r="N644" s="508"/>
      <c r="O644" s="509"/>
      <c r="P644" s="509"/>
    </row>
    <row r="645" spans="1:16" ht="21.75" customHeight="1" x14ac:dyDescent="0.3">
      <c r="A645" s="504"/>
      <c r="B645" s="504"/>
      <c r="C645" s="504"/>
      <c r="D645" s="504"/>
      <c r="E645" s="506"/>
      <c r="F645" s="506"/>
      <c r="G645" s="506"/>
      <c r="H645" s="506"/>
      <c r="I645" s="506"/>
      <c r="J645" s="506"/>
      <c r="K645" s="507"/>
      <c r="L645" s="508"/>
      <c r="M645" s="508"/>
      <c r="N645" s="508"/>
      <c r="O645" s="509"/>
      <c r="P645" s="509"/>
    </row>
    <row r="646" spans="1:16" ht="21.75" customHeight="1" x14ac:dyDescent="0.3">
      <c r="A646" s="504"/>
      <c r="B646" s="504"/>
      <c r="C646" s="504"/>
      <c r="D646" s="504"/>
      <c r="E646" s="506"/>
      <c r="F646" s="506"/>
      <c r="G646" s="506"/>
      <c r="H646" s="506"/>
      <c r="I646" s="506"/>
      <c r="J646" s="506"/>
      <c r="K646" s="507"/>
      <c r="L646" s="508"/>
      <c r="M646" s="508"/>
      <c r="N646" s="508"/>
      <c r="O646" s="509"/>
      <c r="P646" s="509"/>
    </row>
    <row r="647" spans="1:16" ht="21.75" customHeight="1" x14ac:dyDescent="0.3">
      <c r="A647" s="504"/>
      <c r="B647" s="504"/>
      <c r="C647" s="504"/>
      <c r="D647" s="504"/>
      <c r="E647" s="506"/>
      <c r="F647" s="506"/>
      <c r="G647" s="506"/>
      <c r="H647" s="506"/>
      <c r="I647" s="506"/>
      <c r="J647" s="506"/>
      <c r="K647" s="507"/>
      <c r="L647" s="508"/>
      <c r="M647" s="508"/>
      <c r="N647" s="508"/>
      <c r="O647" s="509"/>
      <c r="P647" s="509"/>
    </row>
    <row r="648" spans="1:16" ht="21.75" customHeight="1" x14ac:dyDescent="0.3">
      <c r="A648" s="504"/>
      <c r="B648" s="504"/>
      <c r="C648" s="504"/>
      <c r="D648" s="504"/>
      <c r="E648" s="506"/>
      <c r="F648" s="506"/>
      <c r="G648" s="506"/>
      <c r="H648" s="506"/>
      <c r="I648" s="506"/>
      <c r="J648" s="506"/>
      <c r="K648" s="507"/>
      <c r="L648" s="508"/>
      <c r="M648" s="508"/>
      <c r="N648" s="508"/>
      <c r="O648" s="509"/>
      <c r="P648" s="509"/>
    </row>
    <row r="649" spans="1:16" ht="21.75" customHeight="1" x14ac:dyDescent="0.3">
      <c r="A649" s="504"/>
      <c r="B649" s="504"/>
      <c r="C649" s="504"/>
      <c r="D649" s="504"/>
      <c r="E649" s="506"/>
      <c r="F649" s="506"/>
      <c r="G649" s="506"/>
      <c r="H649" s="506"/>
      <c r="I649" s="506"/>
      <c r="J649" s="506"/>
      <c r="K649" s="507"/>
      <c r="L649" s="508"/>
      <c r="M649" s="508"/>
      <c r="N649" s="508"/>
      <c r="O649" s="509"/>
      <c r="P649" s="509"/>
    </row>
    <row r="650" spans="1:16" ht="21.75" customHeight="1" x14ac:dyDescent="0.3">
      <c r="A650" s="504"/>
      <c r="B650" s="504"/>
      <c r="C650" s="504"/>
      <c r="D650" s="504"/>
      <c r="E650" s="506"/>
      <c r="F650" s="506"/>
      <c r="G650" s="506"/>
      <c r="H650" s="506"/>
      <c r="I650" s="506"/>
      <c r="J650" s="506"/>
      <c r="K650" s="507"/>
      <c r="L650" s="508"/>
      <c r="M650" s="508"/>
      <c r="N650" s="508"/>
      <c r="O650" s="509"/>
      <c r="P650" s="509"/>
    </row>
    <row r="651" spans="1:16" ht="21.75" customHeight="1" x14ac:dyDescent="0.3">
      <c r="A651" s="504"/>
      <c r="B651" s="504"/>
      <c r="C651" s="504"/>
      <c r="D651" s="504"/>
      <c r="E651" s="506"/>
      <c r="F651" s="506"/>
      <c r="G651" s="506"/>
      <c r="H651" s="506"/>
      <c r="I651" s="506"/>
      <c r="J651" s="506"/>
      <c r="K651" s="507"/>
      <c r="L651" s="508"/>
      <c r="M651" s="508"/>
      <c r="N651" s="508"/>
      <c r="O651" s="509"/>
      <c r="P651" s="509"/>
    </row>
    <row r="652" spans="1:16" ht="21.75" customHeight="1" x14ac:dyDescent="0.3">
      <c r="A652" s="504"/>
      <c r="B652" s="504"/>
      <c r="C652" s="504"/>
      <c r="D652" s="504"/>
      <c r="E652" s="506"/>
      <c r="F652" s="506"/>
      <c r="G652" s="506"/>
      <c r="H652" s="506"/>
      <c r="I652" s="506"/>
      <c r="J652" s="506"/>
      <c r="K652" s="507"/>
      <c r="L652" s="508"/>
      <c r="M652" s="508"/>
      <c r="N652" s="508"/>
      <c r="O652" s="509"/>
      <c r="P652" s="509"/>
    </row>
    <row r="653" spans="1:16" ht="21.75" customHeight="1" x14ac:dyDescent="0.3">
      <c r="A653" s="504"/>
      <c r="B653" s="504"/>
      <c r="C653" s="504"/>
      <c r="D653" s="504"/>
      <c r="E653" s="506"/>
      <c r="F653" s="506"/>
      <c r="G653" s="506"/>
      <c r="H653" s="506"/>
      <c r="I653" s="506"/>
      <c r="J653" s="506"/>
      <c r="K653" s="507"/>
      <c r="L653" s="508"/>
      <c r="M653" s="508"/>
      <c r="N653" s="508"/>
      <c r="O653" s="509"/>
      <c r="P653" s="509"/>
    </row>
    <row r="654" spans="1:16" ht="21.75" customHeight="1" x14ac:dyDescent="0.3">
      <c r="A654" s="504"/>
      <c r="B654" s="504"/>
      <c r="C654" s="504"/>
      <c r="D654" s="504"/>
      <c r="E654" s="506"/>
      <c r="F654" s="506"/>
      <c r="G654" s="506"/>
      <c r="H654" s="506"/>
      <c r="I654" s="506"/>
      <c r="J654" s="506"/>
      <c r="K654" s="507"/>
      <c r="L654" s="508"/>
      <c r="M654" s="508"/>
      <c r="N654" s="508"/>
      <c r="O654" s="509"/>
      <c r="P654" s="509"/>
    </row>
    <row r="655" spans="1:16" ht="21.75" customHeight="1" x14ac:dyDescent="0.3">
      <c r="A655" s="504"/>
      <c r="B655" s="504"/>
      <c r="C655" s="504"/>
      <c r="D655" s="504"/>
      <c r="E655" s="506"/>
      <c r="F655" s="506"/>
      <c r="G655" s="506"/>
      <c r="H655" s="506"/>
      <c r="I655" s="506"/>
      <c r="J655" s="506"/>
      <c r="K655" s="507"/>
      <c r="L655" s="508"/>
      <c r="M655" s="508"/>
      <c r="N655" s="508"/>
      <c r="O655" s="509"/>
      <c r="P655" s="509"/>
    </row>
    <row r="656" spans="1:16" ht="21.75" customHeight="1" x14ac:dyDescent="0.3">
      <c r="A656" s="504"/>
      <c r="B656" s="504"/>
      <c r="C656" s="504"/>
      <c r="D656" s="504"/>
      <c r="E656" s="506"/>
      <c r="F656" s="506"/>
      <c r="G656" s="506"/>
      <c r="H656" s="506"/>
      <c r="I656" s="506"/>
      <c r="J656" s="506"/>
      <c r="K656" s="507"/>
      <c r="L656" s="508"/>
      <c r="M656" s="508"/>
      <c r="N656" s="508"/>
      <c r="O656" s="509"/>
      <c r="P656" s="509"/>
    </row>
    <row r="657" spans="1:16" ht="21.75" customHeight="1" x14ac:dyDescent="0.3">
      <c r="A657" s="504"/>
      <c r="B657" s="504"/>
      <c r="C657" s="504"/>
      <c r="D657" s="504"/>
      <c r="E657" s="506"/>
      <c r="F657" s="506"/>
      <c r="G657" s="506"/>
      <c r="H657" s="506"/>
      <c r="I657" s="506"/>
      <c r="J657" s="506"/>
      <c r="K657" s="507"/>
      <c r="L657" s="508"/>
      <c r="M657" s="508"/>
      <c r="N657" s="508"/>
      <c r="O657" s="509"/>
      <c r="P657" s="509"/>
    </row>
    <row r="658" spans="1:16" ht="21.75" customHeight="1" x14ac:dyDescent="0.3">
      <c r="A658" s="504"/>
      <c r="B658" s="504"/>
      <c r="C658" s="504"/>
      <c r="D658" s="504"/>
      <c r="E658" s="506"/>
      <c r="F658" s="506"/>
      <c r="G658" s="506"/>
      <c r="H658" s="506"/>
      <c r="I658" s="506"/>
      <c r="J658" s="506"/>
      <c r="K658" s="507"/>
      <c r="L658" s="508"/>
      <c r="M658" s="508"/>
      <c r="N658" s="508"/>
      <c r="O658" s="509"/>
      <c r="P658" s="509"/>
    </row>
    <row r="659" spans="1:16" ht="21.75" customHeight="1" x14ac:dyDescent="0.3">
      <c r="A659" s="504"/>
      <c r="B659" s="504"/>
      <c r="C659" s="504"/>
      <c r="D659" s="504"/>
      <c r="E659" s="506"/>
      <c r="F659" s="506"/>
      <c r="G659" s="506"/>
      <c r="H659" s="506"/>
      <c r="I659" s="506"/>
      <c r="J659" s="506"/>
      <c r="K659" s="507"/>
      <c r="L659" s="508"/>
      <c r="M659" s="508"/>
      <c r="N659" s="508"/>
      <c r="O659" s="509"/>
      <c r="P659" s="509"/>
    </row>
    <row r="660" spans="1:16" ht="21.75" customHeight="1" x14ac:dyDescent="0.3">
      <c r="A660" s="504"/>
      <c r="B660" s="504"/>
      <c r="C660" s="504"/>
      <c r="D660" s="504"/>
      <c r="E660" s="506"/>
      <c r="F660" s="506"/>
      <c r="G660" s="506"/>
      <c r="H660" s="506"/>
      <c r="I660" s="506"/>
      <c r="J660" s="506"/>
      <c r="K660" s="507"/>
      <c r="L660" s="508"/>
      <c r="M660" s="508"/>
      <c r="N660" s="508"/>
      <c r="O660" s="509"/>
      <c r="P660" s="509"/>
    </row>
    <row r="661" spans="1:16" ht="21.75" customHeight="1" x14ac:dyDescent="0.3">
      <c r="A661" s="504"/>
      <c r="B661" s="504"/>
      <c r="C661" s="504"/>
      <c r="D661" s="504"/>
      <c r="E661" s="506"/>
      <c r="F661" s="506"/>
      <c r="G661" s="506"/>
      <c r="H661" s="506"/>
      <c r="I661" s="506"/>
      <c r="J661" s="506"/>
      <c r="K661" s="507"/>
      <c r="L661" s="508"/>
      <c r="M661" s="508"/>
      <c r="N661" s="508"/>
      <c r="O661" s="509"/>
      <c r="P661" s="509"/>
    </row>
    <row r="662" spans="1:16" ht="21.75" customHeight="1" x14ac:dyDescent="0.3">
      <c r="A662" s="504"/>
      <c r="B662" s="504"/>
      <c r="C662" s="504"/>
      <c r="D662" s="504"/>
      <c r="E662" s="506"/>
      <c r="F662" s="506"/>
      <c r="G662" s="506"/>
      <c r="H662" s="506"/>
      <c r="I662" s="506"/>
      <c r="J662" s="506"/>
      <c r="K662" s="507"/>
      <c r="L662" s="508"/>
      <c r="M662" s="508"/>
      <c r="N662" s="508"/>
      <c r="O662" s="509"/>
      <c r="P662" s="509"/>
    </row>
    <row r="663" spans="1:16" ht="21.75" customHeight="1" x14ac:dyDescent="0.3">
      <c r="A663" s="504"/>
      <c r="B663" s="504"/>
      <c r="C663" s="504"/>
      <c r="D663" s="504"/>
      <c r="E663" s="506"/>
      <c r="F663" s="506"/>
      <c r="G663" s="506"/>
      <c r="H663" s="506"/>
      <c r="I663" s="506"/>
      <c r="J663" s="506"/>
      <c r="K663" s="507"/>
      <c r="L663" s="508"/>
      <c r="M663" s="508"/>
      <c r="N663" s="508"/>
      <c r="O663" s="509"/>
      <c r="P663" s="509"/>
    </row>
    <row r="664" spans="1:16" ht="21.75" customHeight="1" x14ac:dyDescent="0.3">
      <c r="A664" s="504"/>
      <c r="B664" s="504"/>
      <c r="C664" s="504"/>
      <c r="D664" s="504"/>
      <c r="E664" s="506"/>
      <c r="F664" s="506"/>
      <c r="G664" s="506"/>
      <c r="H664" s="506"/>
      <c r="I664" s="506"/>
      <c r="J664" s="506"/>
      <c r="K664" s="507"/>
      <c r="L664" s="508"/>
      <c r="M664" s="508"/>
      <c r="N664" s="508"/>
      <c r="O664" s="509"/>
      <c r="P664" s="509"/>
    </row>
    <row r="665" spans="1:16" ht="21.75" customHeight="1" x14ac:dyDescent="0.3">
      <c r="A665" s="504"/>
      <c r="B665" s="504"/>
      <c r="C665" s="504"/>
      <c r="D665" s="504"/>
      <c r="E665" s="506"/>
      <c r="F665" s="506"/>
      <c r="G665" s="506"/>
      <c r="H665" s="506"/>
      <c r="I665" s="506"/>
      <c r="J665" s="506"/>
      <c r="K665" s="507"/>
      <c r="L665" s="508"/>
      <c r="M665" s="508"/>
      <c r="N665" s="508"/>
      <c r="O665" s="509"/>
      <c r="P665" s="509"/>
    </row>
    <row r="666" spans="1:16" ht="21.75" customHeight="1" x14ac:dyDescent="0.3">
      <c r="A666" s="504"/>
      <c r="B666" s="504"/>
      <c r="C666" s="504"/>
      <c r="D666" s="504"/>
      <c r="E666" s="506"/>
      <c r="F666" s="506"/>
      <c r="G666" s="506"/>
      <c r="H666" s="506"/>
      <c r="I666" s="506"/>
      <c r="J666" s="506"/>
      <c r="K666" s="507"/>
      <c r="L666" s="508"/>
      <c r="M666" s="508"/>
      <c r="N666" s="508"/>
      <c r="O666" s="509"/>
      <c r="P666" s="509"/>
    </row>
    <row r="667" spans="1:16" ht="21.75" customHeight="1" x14ac:dyDescent="0.3">
      <c r="A667" s="504"/>
      <c r="B667" s="504"/>
      <c r="C667" s="504"/>
      <c r="D667" s="504"/>
      <c r="E667" s="506"/>
      <c r="F667" s="506"/>
      <c r="G667" s="506"/>
      <c r="H667" s="506"/>
      <c r="I667" s="506"/>
      <c r="J667" s="506"/>
      <c r="K667" s="507"/>
      <c r="L667" s="508"/>
      <c r="M667" s="508"/>
      <c r="N667" s="508"/>
      <c r="O667" s="509"/>
      <c r="P667" s="509"/>
    </row>
    <row r="668" spans="1:16" ht="21.75" customHeight="1" x14ac:dyDescent="0.3">
      <c r="A668" s="504"/>
      <c r="B668" s="504"/>
      <c r="C668" s="504"/>
      <c r="D668" s="504"/>
      <c r="E668" s="506"/>
      <c r="F668" s="506"/>
      <c r="G668" s="506"/>
      <c r="H668" s="506"/>
      <c r="I668" s="506"/>
      <c r="J668" s="506"/>
      <c r="K668" s="507"/>
      <c r="L668" s="508"/>
      <c r="M668" s="508"/>
      <c r="N668" s="508"/>
      <c r="O668" s="509"/>
      <c r="P668" s="509"/>
    </row>
    <row r="669" spans="1:16" ht="21.75" customHeight="1" x14ac:dyDescent="0.3">
      <c r="A669" s="504"/>
      <c r="B669" s="504"/>
      <c r="C669" s="504"/>
      <c r="D669" s="504"/>
      <c r="E669" s="506"/>
      <c r="F669" s="506"/>
      <c r="G669" s="506"/>
      <c r="H669" s="506"/>
      <c r="I669" s="506"/>
      <c r="J669" s="506"/>
      <c r="K669" s="507"/>
      <c r="L669" s="508"/>
      <c r="M669" s="508"/>
      <c r="N669" s="508"/>
      <c r="O669" s="509"/>
      <c r="P669" s="509"/>
    </row>
    <row r="670" spans="1:16" ht="21.75" customHeight="1" x14ac:dyDescent="0.3">
      <c r="A670" s="504"/>
      <c r="B670" s="504"/>
      <c r="C670" s="504"/>
      <c r="D670" s="504"/>
      <c r="E670" s="506"/>
      <c r="F670" s="506"/>
      <c r="G670" s="506"/>
      <c r="H670" s="506"/>
      <c r="I670" s="506"/>
      <c r="J670" s="506"/>
      <c r="K670" s="507"/>
      <c r="L670" s="508"/>
      <c r="M670" s="508"/>
      <c r="N670" s="508"/>
      <c r="O670" s="509"/>
      <c r="P670" s="509"/>
    </row>
    <row r="671" spans="1:16" ht="21.75" customHeight="1" x14ac:dyDescent="0.3">
      <c r="A671" s="504"/>
      <c r="B671" s="504"/>
      <c r="C671" s="504"/>
      <c r="D671" s="504"/>
      <c r="E671" s="506"/>
      <c r="F671" s="506"/>
      <c r="G671" s="506"/>
      <c r="H671" s="506"/>
      <c r="I671" s="506"/>
      <c r="J671" s="506"/>
      <c r="K671" s="507"/>
      <c r="L671" s="508"/>
      <c r="M671" s="508"/>
      <c r="N671" s="508"/>
      <c r="O671" s="509"/>
      <c r="P671" s="509"/>
    </row>
    <row r="672" spans="1:16" ht="21.75" customHeight="1" x14ac:dyDescent="0.3">
      <c r="A672" s="504"/>
      <c r="B672" s="504"/>
      <c r="C672" s="504"/>
      <c r="D672" s="504"/>
      <c r="E672" s="506"/>
      <c r="F672" s="506"/>
      <c r="G672" s="506"/>
      <c r="H672" s="506"/>
      <c r="I672" s="506"/>
      <c r="J672" s="506"/>
      <c r="K672" s="507"/>
      <c r="L672" s="508"/>
      <c r="M672" s="508"/>
      <c r="N672" s="508"/>
      <c r="O672" s="509"/>
      <c r="P672" s="509"/>
    </row>
    <row r="673" spans="1:16" ht="21.75" customHeight="1" x14ac:dyDescent="0.3">
      <c r="A673" s="504"/>
      <c r="B673" s="504"/>
      <c r="C673" s="504"/>
      <c r="D673" s="504"/>
      <c r="E673" s="506"/>
      <c r="F673" s="506"/>
      <c r="G673" s="506"/>
      <c r="H673" s="506"/>
      <c r="I673" s="506"/>
      <c r="J673" s="506"/>
      <c r="K673" s="507"/>
      <c r="L673" s="508"/>
      <c r="M673" s="508"/>
      <c r="N673" s="508"/>
      <c r="O673" s="509"/>
      <c r="P673" s="509"/>
    </row>
    <row r="674" spans="1:16" ht="21.75" customHeight="1" x14ac:dyDescent="0.3">
      <c r="A674" s="504"/>
      <c r="B674" s="504"/>
      <c r="C674" s="504"/>
      <c r="D674" s="504"/>
      <c r="E674" s="506"/>
      <c r="F674" s="506"/>
      <c r="G674" s="506"/>
      <c r="H674" s="506"/>
      <c r="I674" s="506"/>
      <c r="J674" s="506"/>
      <c r="K674" s="507"/>
      <c r="L674" s="508"/>
      <c r="M674" s="508"/>
      <c r="N674" s="508"/>
      <c r="O674" s="509"/>
      <c r="P674" s="509"/>
    </row>
    <row r="675" spans="1:16" ht="21.75" customHeight="1" x14ac:dyDescent="0.3">
      <c r="A675" s="504"/>
      <c r="B675" s="504"/>
      <c r="C675" s="504"/>
      <c r="D675" s="504"/>
      <c r="E675" s="506"/>
      <c r="F675" s="506"/>
      <c r="G675" s="506"/>
      <c r="H675" s="506"/>
      <c r="I675" s="506"/>
      <c r="J675" s="506"/>
      <c r="K675" s="507"/>
      <c r="L675" s="508"/>
      <c r="M675" s="508"/>
      <c r="N675" s="508"/>
      <c r="O675" s="509"/>
      <c r="P675" s="509"/>
    </row>
    <row r="676" spans="1:16" ht="21.75" customHeight="1" x14ac:dyDescent="0.3">
      <c r="A676" s="504"/>
      <c r="B676" s="504"/>
      <c r="C676" s="504"/>
      <c r="D676" s="504"/>
      <c r="E676" s="506"/>
      <c r="F676" s="506"/>
      <c r="G676" s="506"/>
      <c r="H676" s="506"/>
      <c r="I676" s="506"/>
      <c r="J676" s="506"/>
      <c r="K676" s="507"/>
      <c r="L676" s="508"/>
      <c r="M676" s="508"/>
      <c r="N676" s="508"/>
      <c r="O676" s="509"/>
      <c r="P676" s="509"/>
    </row>
    <row r="677" spans="1:16" ht="21.75" customHeight="1" x14ac:dyDescent="0.3">
      <c r="A677" s="504"/>
      <c r="B677" s="504"/>
      <c r="C677" s="504"/>
      <c r="D677" s="504"/>
      <c r="E677" s="506"/>
      <c r="F677" s="506"/>
      <c r="G677" s="506"/>
      <c r="H677" s="506"/>
      <c r="I677" s="506"/>
      <c r="J677" s="506"/>
      <c r="K677" s="507"/>
      <c r="L677" s="508"/>
      <c r="M677" s="508"/>
      <c r="N677" s="508"/>
      <c r="O677" s="509"/>
      <c r="P677" s="509"/>
    </row>
    <row r="678" spans="1:16" ht="21.75" customHeight="1" x14ac:dyDescent="0.3">
      <c r="A678" s="504"/>
      <c r="B678" s="504"/>
      <c r="C678" s="504"/>
      <c r="D678" s="504"/>
      <c r="E678" s="506"/>
      <c r="F678" s="506"/>
      <c r="G678" s="506"/>
      <c r="H678" s="506"/>
      <c r="I678" s="506"/>
      <c r="J678" s="506"/>
      <c r="K678" s="507"/>
      <c r="L678" s="508"/>
      <c r="M678" s="508"/>
      <c r="N678" s="508"/>
      <c r="O678" s="509"/>
      <c r="P678" s="509"/>
    </row>
    <row r="679" spans="1:16" ht="21.75" customHeight="1" x14ac:dyDescent="0.3">
      <c r="A679" s="504"/>
      <c r="B679" s="504"/>
      <c r="C679" s="504"/>
      <c r="D679" s="504"/>
      <c r="E679" s="506"/>
      <c r="F679" s="506"/>
      <c r="G679" s="506"/>
      <c r="H679" s="506"/>
      <c r="I679" s="506"/>
      <c r="J679" s="506"/>
      <c r="K679" s="507"/>
      <c r="L679" s="508"/>
      <c r="M679" s="508"/>
      <c r="N679" s="508"/>
      <c r="O679" s="509"/>
      <c r="P679" s="509"/>
    </row>
    <row r="680" spans="1:16" ht="21.75" customHeight="1" x14ac:dyDescent="0.3">
      <c r="A680" s="504"/>
      <c r="B680" s="504"/>
      <c r="C680" s="504"/>
      <c r="D680" s="504"/>
      <c r="E680" s="506"/>
      <c r="F680" s="506"/>
      <c r="G680" s="506"/>
      <c r="H680" s="506"/>
      <c r="I680" s="506"/>
      <c r="J680" s="506"/>
      <c r="K680" s="507"/>
      <c r="L680" s="508"/>
      <c r="M680" s="508"/>
      <c r="N680" s="508"/>
      <c r="O680" s="509"/>
      <c r="P680" s="509"/>
    </row>
    <row r="681" spans="1:16" ht="21.75" customHeight="1" x14ac:dyDescent="0.3">
      <c r="A681" s="504"/>
      <c r="B681" s="504"/>
      <c r="C681" s="504"/>
      <c r="D681" s="504"/>
      <c r="E681" s="506"/>
      <c r="F681" s="506"/>
      <c r="G681" s="506"/>
      <c r="H681" s="506"/>
      <c r="I681" s="506"/>
      <c r="J681" s="506"/>
      <c r="K681" s="507"/>
      <c r="L681" s="508"/>
      <c r="M681" s="508"/>
      <c r="N681" s="508"/>
      <c r="O681" s="509"/>
      <c r="P681" s="509"/>
    </row>
    <row r="682" spans="1:16" ht="21.75" customHeight="1" x14ac:dyDescent="0.3">
      <c r="A682" s="504"/>
      <c r="B682" s="504"/>
      <c r="C682" s="504"/>
      <c r="D682" s="504"/>
      <c r="E682" s="506"/>
      <c r="F682" s="506"/>
      <c r="G682" s="506"/>
      <c r="H682" s="506"/>
      <c r="I682" s="506"/>
      <c r="J682" s="506"/>
      <c r="K682" s="507"/>
      <c r="L682" s="508"/>
      <c r="M682" s="508"/>
      <c r="N682" s="508"/>
      <c r="O682" s="509"/>
      <c r="P682" s="509"/>
    </row>
    <row r="683" spans="1:16" ht="21.75" customHeight="1" x14ac:dyDescent="0.3">
      <c r="A683" s="504"/>
      <c r="B683" s="504"/>
      <c r="C683" s="504"/>
      <c r="D683" s="504"/>
      <c r="E683" s="506"/>
      <c r="F683" s="506"/>
      <c r="G683" s="506"/>
      <c r="H683" s="506"/>
      <c r="I683" s="506"/>
      <c r="J683" s="506"/>
      <c r="K683" s="507"/>
      <c r="L683" s="508"/>
      <c r="M683" s="508"/>
      <c r="N683" s="508"/>
      <c r="O683" s="509"/>
      <c r="P683" s="509"/>
    </row>
    <row r="684" spans="1:16" ht="21.75" customHeight="1" x14ac:dyDescent="0.3">
      <c r="A684" s="504"/>
      <c r="B684" s="504"/>
      <c r="C684" s="504"/>
      <c r="D684" s="504"/>
      <c r="E684" s="506"/>
      <c r="F684" s="506"/>
      <c r="G684" s="506"/>
      <c r="H684" s="506"/>
      <c r="I684" s="506"/>
      <c r="J684" s="506"/>
      <c r="K684" s="507"/>
      <c r="L684" s="508"/>
      <c r="M684" s="508"/>
      <c r="N684" s="508"/>
      <c r="O684" s="509"/>
      <c r="P684" s="509"/>
    </row>
    <row r="685" spans="1:16" ht="21.75" customHeight="1" x14ac:dyDescent="0.3">
      <c r="A685" s="504"/>
      <c r="B685" s="504"/>
      <c r="C685" s="504"/>
      <c r="D685" s="504"/>
      <c r="E685" s="506"/>
      <c r="F685" s="506"/>
      <c r="G685" s="506"/>
      <c r="H685" s="506"/>
      <c r="I685" s="506"/>
      <c r="J685" s="506"/>
      <c r="K685" s="507"/>
      <c r="L685" s="508"/>
      <c r="M685" s="508"/>
      <c r="N685" s="508"/>
      <c r="O685" s="509"/>
      <c r="P685" s="509"/>
    </row>
    <row r="686" spans="1:16" ht="21.75" customHeight="1" x14ac:dyDescent="0.3">
      <c r="A686" s="504"/>
      <c r="B686" s="504"/>
      <c r="C686" s="504"/>
      <c r="D686" s="504"/>
      <c r="E686" s="506"/>
      <c r="F686" s="506"/>
      <c r="G686" s="506"/>
      <c r="H686" s="506"/>
      <c r="I686" s="506"/>
      <c r="J686" s="506"/>
      <c r="K686" s="507"/>
      <c r="L686" s="508"/>
      <c r="M686" s="508"/>
      <c r="N686" s="508"/>
      <c r="O686" s="509"/>
      <c r="P686" s="509"/>
    </row>
    <row r="687" spans="1:16" ht="21.75" customHeight="1" x14ac:dyDescent="0.3">
      <c r="A687" s="504"/>
      <c r="B687" s="504"/>
      <c r="C687" s="504"/>
      <c r="D687" s="504"/>
      <c r="E687" s="506"/>
      <c r="F687" s="506"/>
      <c r="G687" s="506"/>
      <c r="H687" s="506"/>
      <c r="I687" s="506"/>
      <c r="J687" s="506"/>
      <c r="K687" s="507"/>
      <c r="L687" s="508"/>
      <c r="M687" s="508"/>
      <c r="N687" s="508"/>
      <c r="O687" s="509"/>
      <c r="P687" s="509"/>
    </row>
    <row r="688" spans="1:16" ht="21.75" customHeight="1" x14ac:dyDescent="0.3">
      <c r="A688" s="504"/>
      <c r="B688" s="504"/>
      <c r="C688" s="504"/>
      <c r="D688" s="504"/>
      <c r="E688" s="506"/>
      <c r="F688" s="506"/>
      <c r="G688" s="506"/>
      <c r="H688" s="506"/>
      <c r="I688" s="506"/>
      <c r="J688" s="506"/>
      <c r="K688" s="507"/>
      <c r="L688" s="508"/>
      <c r="M688" s="508"/>
      <c r="N688" s="508"/>
      <c r="O688" s="509"/>
      <c r="P688" s="509"/>
    </row>
    <row r="689" spans="1:16" ht="21.75" customHeight="1" x14ac:dyDescent="0.3">
      <c r="A689" s="504"/>
      <c r="B689" s="504"/>
      <c r="C689" s="504"/>
      <c r="D689" s="504"/>
      <c r="E689" s="506"/>
      <c r="F689" s="506"/>
      <c r="G689" s="506"/>
      <c r="H689" s="506"/>
      <c r="I689" s="506"/>
      <c r="J689" s="506"/>
      <c r="K689" s="507"/>
      <c r="L689" s="508"/>
      <c r="M689" s="508"/>
      <c r="N689" s="508"/>
      <c r="O689" s="509"/>
      <c r="P689" s="509"/>
    </row>
    <row r="690" spans="1:16" ht="21.75" customHeight="1" x14ac:dyDescent="0.3">
      <c r="A690" s="504"/>
      <c r="B690" s="504"/>
      <c r="C690" s="504"/>
      <c r="D690" s="504"/>
      <c r="E690" s="506"/>
      <c r="F690" s="506"/>
      <c r="G690" s="506"/>
      <c r="H690" s="506"/>
      <c r="I690" s="506"/>
      <c r="J690" s="506"/>
      <c r="K690" s="507"/>
      <c r="L690" s="508"/>
      <c r="M690" s="508"/>
      <c r="N690" s="508"/>
      <c r="O690" s="509"/>
      <c r="P690" s="509"/>
    </row>
    <row r="691" spans="1:16" ht="21.75" customHeight="1" x14ac:dyDescent="0.3">
      <c r="A691" s="504"/>
      <c r="B691" s="504"/>
      <c r="C691" s="504"/>
      <c r="D691" s="504"/>
      <c r="E691" s="506"/>
      <c r="F691" s="506"/>
      <c r="G691" s="506"/>
      <c r="H691" s="506"/>
      <c r="I691" s="506"/>
      <c r="J691" s="506"/>
      <c r="K691" s="507"/>
      <c r="L691" s="508"/>
      <c r="M691" s="508"/>
      <c r="N691" s="508"/>
      <c r="O691" s="509"/>
      <c r="P691" s="509"/>
    </row>
    <row r="692" spans="1:16" ht="21.75" customHeight="1" x14ac:dyDescent="0.3">
      <c r="A692" s="504"/>
      <c r="B692" s="504"/>
      <c r="C692" s="504"/>
      <c r="D692" s="504"/>
      <c r="E692" s="506"/>
      <c r="F692" s="506"/>
      <c r="G692" s="506"/>
      <c r="H692" s="506"/>
      <c r="I692" s="506"/>
      <c r="J692" s="506"/>
      <c r="K692" s="507"/>
      <c r="L692" s="508"/>
      <c r="M692" s="508"/>
      <c r="N692" s="508"/>
      <c r="O692" s="509"/>
      <c r="P692" s="509"/>
    </row>
    <row r="693" spans="1:16" ht="21.75" customHeight="1" x14ac:dyDescent="0.3">
      <c r="A693" s="504"/>
      <c r="B693" s="504"/>
      <c r="C693" s="504"/>
      <c r="D693" s="504"/>
      <c r="E693" s="506"/>
      <c r="F693" s="506"/>
      <c r="G693" s="506"/>
      <c r="H693" s="506"/>
      <c r="I693" s="506"/>
      <c r="J693" s="506"/>
      <c r="K693" s="507"/>
      <c r="L693" s="508"/>
      <c r="M693" s="508"/>
      <c r="N693" s="508"/>
      <c r="O693" s="509"/>
      <c r="P693" s="509"/>
    </row>
    <row r="694" spans="1:16" ht="21.75" customHeight="1" x14ac:dyDescent="0.3">
      <c r="A694" s="504"/>
      <c r="B694" s="504"/>
      <c r="C694" s="504"/>
      <c r="D694" s="504"/>
      <c r="E694" s="506"/>
      <c r="F694" s="506"/>
      <c r="G694" s="506"/>
      <c r="H694" s="506"/>
      <c r="I694" s="506"/>
      <c r="J694" s="506"/>
      <c r="K694" s="507"/>
      <c r="L694" s="508"/>
      <c r="M694" s="508"/>
      <c r="N694" s="508"/>
      <c r="O694" s="509"/>
      <c r="P694" s="509"/>
    </row>
    <row r="695" spans="1:16" ht="21.75" customHeight="1" x14ac:dyDescent="0.3">
      <c r="A695" s="504"/>
      <c r="B695" s="504"/>
      <c r="C695" s="504"/>
      <c r="D695" s="504"/>
      <c r="E695" s="506"/>
      <c r="F695" s="506"/>
      <c r="G695" s="506"/>
      <c r="H695" s="506"/>
      <c r="I695" s="506"/>
      <c r="J695" s="506"/>
      <c r="K695" s="507"/>
      <c r="L695" s="508"/>
      <c r="M695" s="508"/>
      <c r="N695" s="508"/>
      <c r="O695" s="509"/>
      <c r="P695" s="509"/>
    </row>
    <row r="696" spans="1:16" ht="21.75" customHeight="1" x14ac:dyDescent="0.3">
      <c r="A696" s="504"/>
      <c r="B696" s="504"/>
      <c r="C696" s="504"/>
      <c r="D696" s="504"/>
      <c r="E696" s="506"/>
      <c r="F696" s="506"/>
      <c r="G696" s="506"/>
      <c r="H696" s="506"/>
      <c r="I696" s="506"/>
      <c r="J696" s="506"/>
      <c r="K696" s="507"/>
      <c r="L696" s="508"/>
      <c r="M696" s="508"/>
      <c r="N696" s="508"/>
      <c r="O696" s="509"/>
      <c r="P696" s="509"/>
    </row>
    <row r="697" spans="1:16" ht="21.75" customHeight="1" x14ac:dyDescent="0.3">
      <c r="A697" s="504"/>
      <c r="B697" s="504"/>
      <c r="C697" s="504"/>
      <c r="D697" s="504"/>
      <c r="E697" s="506"/>
      <c r="F697" s="506"/>
      <c r="G697" s="506"/>
      <c r="H697" s="506"/>
      <c r="I697" s="506"/>
      <c r="J697" s="506"/>
      <c r="K697" s="507"/>
      <c r="L697" s="508"/>
      <c r="M697" s="508"/>
      <c r="N697" s="508"/>
      <c r="O697" s="509"/>
      <c r="P697" s="509"/>
    </row>
    <row r="698" spans="1:16" ht="21.75" customHeight="1" x14ac:dyDescent="0.3">
      <c r="A698" s="504"/>
      <c r="B698" s="504"/>
      <c r="C698" s="504"/>
      <c r="D698" s="504"/>
      <c r="E698" s="506"/>
      <c r="F698" s="506"/>
      <c r="G698" s="506"/>
      <c r="H698" s="506"/>
      <c r="I698" s="506"/>
      <c r="J698" s="506"/>
      <c r="K698" s="507"/>
      <c r="L698" s="508"/>
      <c r="M698" s="508"/>
      <c r="N698" s="508"/>
      <c r="O698" s="509"/>
      <c r="P698" s="509"/>
    </row>
    <row r="699" spans="1:16" ht="21.75" customHeight="1" x14ac:dyDescent="0.3">
      <c r="A699" s="504"/>
      <c r="B699" s="504"/>
      <c r="C699" s="504"/>
      <c r="D699" s="504"/>
      <c r="E699" s="506"/>
      <c r="F699" s="506"/>
      <c r="G699" s="506"/>
      <c r="H699" s="506"/>
      <c r="I699" s="506"/>
      <c r="J699" s="506"/>
      <c r="K699" s="507"/>
      <c r="L699" s="508"/>
      <c r="M699" s="508"/>
      <c r="N699" s="508"/>
      <c r="O699" s="509"/>
      <c r="P699" s="509"/>
    </row>
    <row r="700" spans="1:16" ht="21.75" customHeight="1" x14ac:dyDescent="0.3">
      <c r="A700" s="504"/>
      <c r="B700" s="504"/>
      <c r="C700" s="504"/>
      <c r="D700" s="504"/>
      <c r="E700" s="506"/>
      <c r="F700" s="506"/>
      <c r="G700" s="506"/>
      <c r="H700" s="506"/>
      <c r="I700" s="506"/>
      <c r="J700" s="506"/>
      <c r="K700" s="507"/>
      <c r="L700" s="508"/>
      <c r="M700" s="508"/>
      <c r="N700" s="508"/>
      <c r="O700" s="509"/>
      <c r="P700" s="509"/>
    </row>
    <row r="701" spans="1:16" ht="21.75" customHeight="1" x14ac:dyDescent="0.3">
      <c r="A701" s="504"/>
      <c r="B701" s="504"/>
      <c r="C701" s="504"/>
      <c r="D701" s="504"/>
      <c r="E701" s="506"/>
      <c r="F701" s="506"/>
      <c r="G701" s="506"/>
      <c r="H701" s="506"/>
      <c r="I701" s="506"/>
      <c r="J701" s="506"/>
      <c r="K701" s="507"/>
      <c r="L701" s="508"/>
      <c r="M701" s="508"/>
      <c r="N701" s="508"/>
      <c r="O701" s="509"/>
      <c r="P701" s="509"/>
    </row>
    <row r="702" spans="1:16" ht="21.75" customHeight="1" x14ac:dyDescent="0.3">
      <c r="A702" s="504"/>
      <c r="B702" s="504"/>
      <c r="C702" s="504"/>
      <c r="D702" s="504"/>
      <c r="E702" s="506"/>
      <c r="F702" s="506"/>
      <c r="G702" s="506"/>
      <c r="H702" s="506"/>
      <c r="I702" s="506"/>
      <c r="J702" s="506"/>
      <c r="K702" s="507"/>
      <c r="L702" s="508"/>
      <c r="M702" s="508"/>
      <c r="N702" s="508"/>
      <c r="O702" s="509"/>
      <c r="P702" s="509"/>
    </row>
    <row r="703" spans="1:16" ht="21.75" customHeight="1" x14ac:dyDescent="0.3">
      <c r="A703" s="504"/>
      <c r="B703" s="504"/>
      <c r="C703" s="504"/>
      <c r="D703" s="504"/>
      <c r="E703" s="506"/>
      <c r="F703" s="506"/>
      <c r="G703" s="506"/>
      <c r="H703" s="506"/>
      <c r="I703" s="506"/>
      <c r="J703" s="506"/>
      <c r="K703" s="507"/>
      <c r="L703" s="508"/>
      <c r="M703" s="508"/>
      <c r="N703" s="508"/>
      <c r="O703" s="509"/>
      <c r="P703" s="509"/>
    </row>
    <row r="704" spans="1:16" ht="21.75" customHeight="1" x14ac:dyDescent="0.3">
      <c r="A704" s="504"/>
      <c r="B704" s="504"/>
      <c r="C704" s="504"/>
      <c r="D704" s="504"/>
      <c r="E704" s="506"/>
      <c r="F704" s="506"/>
      <c r="G704" s="506"/>
      <c r="H704" s="506"/>
      <c r="I704" s="506"/>
      <c r="J704" s="506"/>
      <c r="K704" s="507"/>
      <c r="L704" s="508"/>
      <c r="M704" s="508"/>
      <c r="N704" s="508"/>
      <c r="O704" s="509"/>
      <c r="P704" s="509"/>
    </row>
    <row r="705" spans="1:16" ht="21.75" customHeight="1" x14ac:dyDescent="0.3">
      <c r="A705" s="504"/>
      <c r="B705" s="504"/>
      <c r="C705" s="504"/>
      <c r="D705" s="504"/>
      <c r="E705" s="506"/>
      <c r="F705" s="506"/>
      <c r="G705" s="506"/>
      <c r="H705" s="506"/>
      <c r="I705" s="506"/>
      <c r="J705" s="506"/>
      <c r="K705" s="507"/>
      <c r="L705" s="508"/>
      <c r="M705" s="508"/>
      <c r="N705" s="508"/>
      <c r="O705" s="509"/>
      <c r="P705" s="509"/>
    </row>
    <row r="706" spans="1:16" ht="21.75" customHeight="1" x14ac:dyDescent="0.3">
      <c r="A706" s="504"/>
      <c r="B706" s="504"/>
      <c r="C706" s="504"/>
      <c r="D706" s="504"/>
      <c r="E706" s="506"/>
      <c r="F706" s="506"/>
      <c r="G706" s="506"/>
      <c r="H706" s="506"/>
      <c r="I706" s="506"/>
      <c r="J706" s="506"/>
      <c r="K706" s="507"/>
      <c r="L706" s="508"/>
      <c r="M706" s="508"/>
      <c r="N706" s="508"/>
      <c r="O706" s="509"/>
      <c r="P706" s="509"/>
    </row>
    <row r="707" spans="1:16" ht="21.75" customHeight="1" x14ac:dyDescent="0.3">
      <c r="A707" s="504"/>
      <c r="B707" s="504"/>
      <c r="C707" s="504"/>
      <c r="D707" s="504"/>
      <c r="E707" s="506"/>
      <c r="F707" s="506"/>
      <c r="G707" s="506"/>
      <c r="H707" s="506"/>
      <c r="I707" s="506"/>
      <c r="J707" s="506"/>
      <c r="K707" s="507"/>
      <c r="L707" s="508"/>
      <c r="M707" s="508"/>
      <c r="N707" s="508"/>
      <c r="O707" s="509"/>
      <c r="P707" s="509"/>
    </row>
    <row r="708" spans="1:16" ht="21.75" customHeight="1" x14ac:dyDescent="0.3">
      <c r="A708" s="504"/>
      <c r="B708" s="504"/>
      <c r="C708" s="504"/>
      <c r="D708" s="504"/>
      <c r="E708" s="506"/>
      <c r="F708" s="506"/>
      <c r="G708" s="506"/>
      <c r="H708" s="506"/>
      <c r="I708" s="506"/>
      <c r="J708" s="506"/>
      <c r="K708" s="507"/>
      <c r="L708" s="508"/>
      <c r="M708" s="508"/>
      <c r="N708" s="508"/>
      <c r="O708" s="509"/>
      <c r="P708" s="509"/>
    </row>
    <row r="709" spans="1:16" ht="21.75" customHeight="1" x14ac:dyDescent="0.3">
      <c r="A709" s="504"/>
      <c r="B709" s="504"/>
      <c r="C709" s="504"/>
      <c r="D709" s="504"/>
      <c r="E709" s="506"/>
      <c r="F709" s="506"/>
      <c r="G709" s="506"/>
      <c r="H709" s="506"/>
      <c r="I709" s="506"/>
      <c r="J709" s="506"/>
      <c r="K709" s="507"/>
      <c r="L709" s="508"/>
      <c r="M709" s="508"/>
      <c r="N709" s="508"/>
      <c r="O709" s="509"/>
      <c r="P709" s="509"/>
    </row>
    <row r="710" spans="1:16" ht="21.75" customHeight="1" x14ac:dyDescent="0.3">
      <c r="A710" s="504"/>
      <c r="B710" s="504"/>
      <c r="C710" s="504"/>
      <c r="D710" s="504"/>
      <c r="E710" s="506"/>
      <c r="F710" s="506"/>
      <c r="G710" s="506"/>
      <c r="H710" s="506"/>
      <c r="I710" s="506"/>
      <c r="J710" s="506"/>
      <c r="K710" s="507"/>
      <c r="L710" s="508"/>
      <c r="M710" s="508"/>
      <c r="N710" s="508"/>
      <c r="O710" s="509"/>
      <c r="P710" s="509"/>
    </row>
    <row r="711" spans="1:16" ht="21.75" customHeight="1" x14ac:dyDescent="0.3">
      <c r="A711" s="504"/>
      <c r="B711" s="504"/>
      <c r="C711" s="504"/>
      <c r="D711" s="504"/>
      <c r="E711" s="506"/>
      <c r="F711" s="506"/>
      <c r="G711" s="506"/>
      <c r="H711" s="506"/>
      <c r="I711" s="506"/>
      <c r="J711" s="506"/>
      <c r="K711" s="507"/>
      <c r="L711" s="508"/>
      <c r="M711" s="508"/>
      <c r="N711" s="508"/>
      <c r="O711" s="509"/>
      <c r="P711" s="509"/>
    </row>
    <row r="712" spans="1:16" ht="21.75" customHeight="1" x14ac:dyDescent="0.3">
      <c r="A712" s="504"/>
      <c r="B712" s="504"/>
      <c r="C712" s="504"/>
      <c r="D712" s="504"/>
      <c r="E712" s="506"/>
      <c r="F712" s="506"/>
      <c r="G712" s="506"/>
      <c r="H712" s="506"/>
      <c r="I712" s="506"/>
      <c r="J712" s="506"/>
      <c r="K712" s="507"/>
      <c r="L712" s="508"/>
      <c r="M712" s="508"/>
      <c r="N712" s="508"/>
      <c r="O712" s="509"/>
      <c r="P712" s="509"/>
    </row>
    <row r="713" spans="1:16" ht="21.75" customHeight="1" x14ac:dyDescent="0.3">
      <c r="A713" s="504"/>
      <c r="B713" s="504"/>
      <c r="C713" s="504"/>
      <c r="D713" s="504"/>
      <c r="E713" s="506"/>
      <c r="F713" s="506"/>
      <c r="G713" s="506"/>
      <c r="H713" s="506"/>
      <c r="I713" s="506"/>
      <c r="J713" s="506"/>
      <c r="K713" s="507"/>
      <c r="L713" s="508"/>
      <c r="M713" s="508"/>
      <c r="N713" s="508"/>
      <c r="O713" s="509"/>
      <c r="P713" s="509"/>
    </row>
    <row r="714" spans="1:16" ht="21.75" customHeight="1" x14ac:dyDescent="0.3">
      <c r="A714" s="504"/>
      <c r="B714" s="504"/>
      <c r="C714" s="504"/>
      <c r="D714" s="504"/>
      <c r="E714" s="506"/>
      <c r="F714" s="506"/>
      <c r="G714" s="506"/>
      <c r="H714" s="506"/>
      <c r="I714" s="506"/>
      <c r="J714" s="506"/>
      <c r="K714" s="507"/>
      <c r="L714" s="508"/>
      <c r="M714" s="508"/>
      <c r="N714" s="508"/>
      <c r="O714" s="509"/>
      <c r="P714" s="509"/>
    </row>
    <row r="715" spans="1:16" ht="21.75" customHeight="1" x14ac:dyDescent="0.3">
      <c r="A715" s="504"/>
      <c r="B715" s="504"/>
      <c r="C715" s="504"/>
      <c r="D715" s="504"/>
      <c r="E715" s="506"/>
      <c r="F715" s="506"/>
      <c r="G715" s="506"/>
      <c r="H715" s="506"/>
      <c r="I715" s="506"/>
      <c r="J715" s="506"/>
      <c r="K715" s="507"/>
      <c r="L715" s="508"/>
      <c r="M715" s="508"/>
      <c r="N715" s="508"/>
      <c r="O715" s="509"/>
      <c r="P715" s="509"/>
    </row>
    <row r="716" spans="1:16" ht="21.75" customHeight="1" x14ac:dyDescent="0.3">
      <c r="A716" s="504"/>
      <c r="B716" s="504"/>
      <c r="C716" s="504"/>
      <c r="D716" s="504"/>
      <c r="E716" s="506"/>
      <c r="F716" s="506"/>
      <c r="G716" s="506"/>
      <c r="H716" s="506"/>
      <c r="I716" s="506"/>
      <c r="J716" s="506"/>
      <c r="K716" s="507"/>
      <c r="L716" s="508"/>
      <c r="M716" s="508"/>
      <c r="N716" s="508"/>
      <c r="O716" s="509"/>
      <c r="P716" s="509"/>
    </row>
    <row r="717" spans="1:16" ht="21.75" customHeight="1" x14ac:dyDescent="0.3">
      <c r="A717" s="504"/>
      <c r="B717" s="504"/>
      <c r="C717" s="504"/>
      <c r="D717" s="504"/>
      <c r="E717" s="506"/>
      <c r="F717" s="506"/>
      <c r="G717" s="506"/>
      <c r="H717" s="506"/>
      <c r="I717" s="506"/>
      <c r="J717" s="506"/>
      <c r="K717" s="507"/>
      <c r="L717" s="508"/>
      <c r="M717" s="508"/>
      <c r="N717" s="508"/>
      <c r="O717" s="509"/>
      <c r="P717" s="509"/>
    </row>
    <row r="718" spans="1:16" ht="21.75" customHeight="1" x14ac:dyDescent="0.3">
      <c r="A718" s="504"/>
      <c r="B718" s="504"/>
      <c r="C718" s="504"/>
      <c r="D718" s="504"/>
      <c r="E718" s="506"/>
      <c r="F718" s="506"/>
      <c r="G718" s="506"/>
      <c r="H718" s="506"/>
      <c r="I718" s="506"/>
      <c r="J718" s="506"/>
      <c r="K718" s="507"/>
      <c r="L718" s="508"/>
      <c r="M718" s="508"/>
      <c r="N718" s="508"/>
      <c r="O718" s="509"/>
      <c r="P718" s="509"/>
    </row>
    <row r="719" spans="1:16" ht="21.75" customHeight="1" x14ac:dyDescent="0.3">
      <c r="A719" s="504"/>
      <c r="B719" s="504"/>
      <c r="C719" s="504"/>
      <c r="D719" s="504"/>
      <c r="E719" s="506"/>
      <c r="F719" s="506"/>
      <c r="G719" s="506"/>
      <c r="H719" s="506"/>
      <c r="I719" s="506"/>
      <c r="J719" s="506"/>
      <c r="K719" s="507"/>
      <c r="L719" s="508"/>
      <c r="M719" s="508"/>
      <c r="N719" s="508"/>
      <c r="O719" s="509"/>
      <c r="P719" s="509"/>
    </row>
    <row r="720" spans="1:16" ht="21.75" customHeight="1" x14ac:dyDescent="0.3">
      <c r="A720" s="504"/>
      <c r="B720" s="504"/>
      <c r="C720" s="504"/>
      <c r="D720" s="504"/>
      <c r="E720" s="506"/>
      <c r="F720" s="506"/>
      <c r="G720" s="506"/>
      <c r="H720" s="506"/>
      <c r="I720" s="506"/>
      <c r="J720" s="506"/>
      <c r="K720" s="507"/>
      <c r="L720" s="508"/>
      <c r="M720" s="508"/>
      <c r="N720" s="508"/>
      <c r="O720" s="509"/>
      <c r="P720" s="509"/>
    </row>
    <row r="721" spans="1:16" ht="21.75" customHeight="1" x14ac:dyDescent="0.3">
      <c r="A721" s="504"/>
      <c r="B721" s="504"/>
      <c r="C721" s="504"/>
      <c r="D721" s="504"/>
      <c r="E721" s="506"/>
      <c r="F721" s="506"/>
      <c r="G721" s="506"/>
      <c r="H721" s="506"/>
      <c r="I721" s="506"/>
      <c r="J721" s="506"/>
      <c r="K721" s="507"/>
      <c r="L721" s="508"/>
      <c r="M721" s="508"/>
      <c r="N721" s="508"/>
      <c r="O721" s="509"/>
      <c r="P721" s="509"/>
    </row>
    <row r="722" spans="1:16" ht="21.75" customHeight="1" x14ac:dyDescent="0.3">
      <c r="A722" s="504"/>
      <c r="B722" s="504"/>
      <c r="C722" s="504"/>
      <c r="D722" s="504"/>
      <c r="E722" s="506"/>
      <c r="F722" s="506"/>
      <c r="G722" s="506"/>
      <c r="H722" s="506"/>
      <c r="I722" s="506"/>
      <c r="J722" s="506"/>
      <c r="K722" s="507"/>
      <c r="L722" s="508"/>
      <c r="M722" s="508"/>
      <c r="N722" s="508"/>
      <c r="O722" s="509"/>
      <c r="P722" s="509"/>
    </row>
    <row r="723" spans="1:16" ht="21.75" customHeight="1" x14ac:dyDescent="0.3">
      <c r="A723" s="504"/>
      <c r="B723" s="504"/>
      <c r="C723" s="504"/>
      <c r="D723" s="504"/>
      <c r="E723" s="506"/>
      <c r="F723" s="506"/>
      <c r="G723" s="506"/>
      <c r="H723" s="506"/>
      <c r="I723" s="506"/>
      <c r="J723" s="506"/>
      <c r="K723" s="507"/>
      <c r="L723" s="508"/>
      <c r="M723" s="508"/>
      <c r="N723" s="508"/>
      <c r="O723" s="509"/>
      <c r="P723" s="509"/>
    </row>
    <row r="724" spans="1:16" ht="21.75" customHeight="1" x14ac:dyDescent="0.3">
      <c r="A724" s="504"/>
      <c r="B724" s="504"/>
      <c r="C724" s="504"/>
      <c r="D724" s="504"/>
      <c r="E724" s="506"/>
      <c r="F724" s="506"/>
      <c r="G724" s="506"/>
      <c r="H724" s="506"/>
      <c r="I724" s="506"/>
      <c r="J724" s="506"/>
      <c r="K724" s="507"/>
      <c r="L724" s="508"/>
      <c r="M724" s="508"/>
      <c r="N724" s="508"/>
      <c r="O724" s="509"/>
      <c r="P724" s="509"/>
    </row>
    <row r="725" spans="1:16" ht="21.75" customHeight="1" x14ac:dyDescent="0.3">
      <c r="A725" s="504"/>
      <c r="B725" s="504"/>
      <c r="C725" s="504"/>
      <c r="D725" s="504"/>
      <c r="E725" s="506"/>
      <c r="F725" s="506"/>
      <c r="G725" s="506"/>
      <c r="H725" s="506"/>
      <c r="I725" s="506"/>
      <c r="J725" s="506"/>
      <c r="K725" s="507"/>
      <c r="L725" s="508"/>
      <c r="M725" s="508"/>
      <c r="N725" s="508"/>
      <c r="O725" s="509"/>
      <c r="P725" s="509"/>
    </row>
    <row r="726" spans="1:16" ht="21.75" customHeight="1" x14ac:dyDescent="0.3">
      <c r="A726" s="504"/>
      <c r="B726" s="504"/>
      <c r="C726" s="504"/>
      <c r="D726" s="504"/>
      <c r="E726" s="506"/>
      <c r="F726" s="506"/>
      <c r="G726" s="506"/>
      <c r="H726" s="506"/>
      <c r="I726" s="506"/>
      <c r="J726" s="506"/>
      <c r="K726" s="507"/>
      <c r="L726" s="508"/>
      <c r="M726" s="508"/>
      <c r="N726" s="508"/>
      <c r="O726" s="509"/>
      <c r="P726" s="509"/>
    </row>
    <row r="727" spans="1:16" ht="21.75" customHeight="1" x14ac:dyDescent="0.3">
      <c r="A727" s="504"/>
      <c r="B727" s="504"/>
      <c r="C727" s="504"/>
      <c r="D727" s="504"/>
      <c r="E727" s="506"/>
      <c r="F727" s="506"/>
      <c r="G727" s="506"/>
      <c r="H727" s="506"/>
      <c r="I727" s="506"/>
      <c r="J727" s="506"/>
      <c r="K727" s="507"/>
      <c r="L727" s="508"/>
      <c r="M727" s="508"/>
      <c r="N727" s="508"/>
      <c r="O727" s="509"/>
      <c r="P727" s="509"/>
    </row>
    <row r="728" spans="1:16" ht="21.75" customHeight="1" x14ac:dyDescent="0.3">
      <c r="A728" s="504"/>
      <c r="B728" s="504"/>
      <c r="C728" s="504"/>
      <c r="D728" s="504"/>
      <c r="E728" s="506"/>
      <c r="F728" s="506"/>
      <c r="G728" s="506"/>
      <c r="H728" s="506"/>
      <c r="I728" s="506"/>
      <c r="J728" s="506"/>
      <c r="K728" s="507"/>
      <c r="L728" s="508"/>
      <c r="M728" s="508"/>
      <c r="N728" s="508"/>
      <c r="O728" s="509"/>
      <c r="P728" s="509"/>
    </row>
    <row r="729" spans="1:16" ht="21.75" customHeight="1" x14ac:dyDescent="0.3">
      <c r="A729" s="504"/>
      <c r="B729" s="504"/>
      <c r="C729" s="504"/>
      <c r="D729" s="504"/>
      <c r="E729" s="506"/>
      <c r="F729" s="506"/>
      <c r="G729" s="506"/>
      <c r="H729" s="506"/>
      <c r="I729" s="506"/>
      <c r="J729" s="506"/>
      <c r="K729" s="507"/>
      <c r="L729" s="508"/>
      <c r="M729" s="508"/>
      <c r="N729" s="508"/>
      <c r="O729" s="509"/>
      <c r="P729" s="509"/>
    </row>
    <row r="730" spans="1:16" ht="21.75" customHeight="1" x14ac:dyDescent="0.3">
      <c r="A730" s="504"/>
      <c r="B730" s="504"/>
      <c r="C730" s="504"/>
      <c r="D730" s="504"/>
      <c r="E730" s="506"/>
      <c r="F730" s="506"/>
      <c r="G730" s="506"/>
      <c r="H730" s="506"/>
      <c r="I730" s="506"/>
      <c r="J730" s="506"/>
      <c r="K730" s="507"/>
      <c r="L730" s="508"/>
      <c r="M730" s="508"/>
      <c r="N730" s="508"/>
      <c r="O730" s="509"/>
      <c r="P730" s="509"/>
    </row>
    <row r="731" spans="1:16" ht="21.75" customHeight="1" x14ac:dyDescent="0.3">
      <c r="A731" s="504"/>
      <c r="B731" s="504"/>
      <c r="C731" s="504"/>
      <c r="D731" s="504"/>
      <c r="E731" s="506"/>
      <c r="F731" s="506"/>
      <c r="G731" s="506"/>
      <c r="H731" s="506"/>
      <c r="I731" s="506"/>
      <c r="J731" s="506"/>
      <c r="K731" s="507"/>
      <c r="L731" s="508"/>
      <c r="M731" s="508"/>
      <c r="N731" s="508"/>
      <c r="O731" s="509"/>
      <c r="P731" s="509"/>
    </row>
    <row r="732" spans="1:16" ht="21.75" customHeight="1" x14ac:dyDescent="0.3">
      <c r="A732" s="504"/>
      <c r="B732" s="504"/>
      <c r="C732" s="504"/>
      <c r="D732" s="504"/>
      <c r="E732" s="506"/>
      <c r="F732" s="506"/>
      <c r="G732" s="506"/>
      <c r="H732" s="506"/>
      <c r="I732" s="506"/>
      <c r="J732" s="506"/>
      <c r="K732" s="507"/>
      <c r="L732" s="508"/>
      <c r="M732" s="508"/>
      <c r="N732" s="508"/>
      <c r="O732" s="509"/>
      <c r="P732" s="509"/>
    </row>
    <row r="733" spans="1:16" ht="21.75" customHeight="1" x14ac:dyDescent="0.3">
      <c r="A733" s="504"/>
      <c r="B733" s="504"/>
      <c r="C733" s="504"/>
      <c r="D733" s="504"/>
      <c r="E733" s="506"/>
      <c r="F733" s="506"/>
      <c r="G733" s="506"/>
      <c r="H733" s="506"/>
      <c r="I733" s="506"/>
      <c r="J733" s="506"/>
      <c r="K733" s="507"/>
      <c r="L733" s="508"/>
      <c r="M733" s="508"/>
      <c r="N733" s="508"/>
      <c r="O733" s="509"/>
      <c r="P733" s="509"/>
    </row>
    <row r="734" spans="1:16" ht="21.75" customHeight="1" x14ac:dyDescent="0.3">
      <c r="A734" s="504"/>
      <c r="B734" s="504"/>
      <c r="C734" s="504"/>
      <c r="D734" s="504"/>
      <c r="E734" s="506"/>
      <c r="F734" s="506"/>
      <c r="G734" s="506"/>
      <c r="H734" s="506"/>
      <c r="I734" s="506"/>
      <c r="J734" s="506"/>
      <c r="K734" s="507"/>
      <c r="L734" s="508"/>
      <c r="M734" s="508"/>
      <c r="N734" s="508"/>
      <c r="O734" s="509"/>
      <c r="P734" s="509"/>
    </row>
    <row r="735" spans="1:16" ht="21.75" customHeight="1" x14ac:dyDescent="0.3">
      <c r="A735" s="504"/>
      <c r="B735" s="504"/>
      <c r="C735" s="504"/>
      <c r="D735" s="504"/>
      <c r="E735" s="506"/>
      <c r="F735" s="506"/>
      <c r="G735" s="506"/>
      <c r="H735" s="506"/>
      <c r="I735" s="506"/>
      <c r="J735" s="506"/>
      <c r="K735" s="507"/>
      <c r="L735" s="508"/>
      <c r="M735" s="508"/>
      <c r="N735" s="508"/>
      <c r="O735" s="509"/>
      <c r="P735" s="509"/>
    </row>
    <row r="736" spans="1:16" ht="21.75" customHeight="1" x14ac:dyDescent="0.3">
      <c r="A736" s="504"/>
      <c r="B736" s="504"/>
      <c r="C736" s="504"/>
      <c r="D736" s="504"/>
      <c r="E736" s="506"/>
      <c r="F736" s="506"/>
      <c r="G736" s="506"/>
      <c r="H736" s="506"/>
      <c r="I736" s="506"/>
      <c r="J736" s="506"/>
      <c r="K736" s="507"/>
      <c r="L736" s="508"/>
      <c r="M736" s="508"/>
      <c r="N736" s="508"/>
      <c r="O736" s="509"/>
      <c r="P736" s="509"/>
    </row>
    <row r="737" spans="1:16" ht="21.75" customHeight="1" x14ac:dyDescent="0.3">
      <c r="A737" s="504"/>
      <c r="B737" s="504"/>
      <c r="C737" s="504"/>
      <c r="D737" s="504"/>
      <c r="E737" s="506"/>
      <c r="F737" s="506"/>
      <c r="G737" s="506"/>
      <c r="H737" s="506"/>
      <c r="I737" s="506"/>
      <c r="J737" s="506"/>
      <c r="K737" s="507"/>
      <c r="L737" s="508"/>
      <c r="M737" s="508"/>
      <c r="N737" s="508"/>
      <c r="O737" s="509"/>
      <c r="P737" s="509"/>
    </row>
    <row r="738" spans="1:16" ht="21.75" customHeight="1" x14ac:dyDescent="0.3">
      <c r="A738" s="504"/>
      <c r="B738" s="504"/>
      <c r="C738" s="504"/>
      <c r="D738" s="504"/>
      <c r="E738" s="506"/>
      <c r="F738" s="506"/>
      <c r="G738" s="506"/>
      <c r="H738" s="506"/>
      <c r="I738" s="506"/>
      <c r="J738" s="506"/>
      <c r="K738" s="507"/>
      <c r="L738" s="508"/>
      <c r="M738" s="508"/>
      <c r="N738" s="508"/>
      <c r="O738" s="509"/>
      <c r="P738" s="509"/>
    </row>
    <row r="739" spans="1:16" ht="21.75" customHeight="1" x14ac:dyDescent="0.3">
      <c r="A739" s="504"/>
      <c r="B739" s="504"/>
      <c r="C739" s="504"/>
      <c r="D739" s="504"/>
      <c r="E739" s="506"/>
      <c r="F739" s="506"/>
      <c r="G739" s="506"/>
      <c r="H739" s="506"/>
      <c r="I739" s="506"/>
      <c r="J739" s="506"/>
      <c r="K739" s="507"/>
      <c r="L739" s="508"/>
      <c r="M739" s="508"/>
      <c r="N739" s="508"/>
      <c r="O739" s="509"/>
      <c r="P739" s="509"/>
    </row>
    <row r="740" spans="1:16" ht="21.75" customHeight="1" x14ac:dyDescent="0.3">
      <c r="A740" s="504"/>
      <c r="B740" s="504"/>
      <c r="C740" s="504"/>
      <c r="D740" s="504"/>
      <c r="E740" s="506"/>
      <c r="F740" s="506"/>
      <c r="G740" s="506"/>
      <c r="H740" s="506"/>
      <c r="I740" s="506"/>
      <c r="J740" s="506"/>
      <c r="K740" s="507"/>
      <c r="L740" s="508"/>
      <c r="M740" s="508"/>
      <c r="N740" s="508"/>
      <c r="O740" s="509"/>
      <c r="P740" s="509"/>
    </row>
    <row r="741" spans="1:16" ht="21.75" customHeight="1" x14ac:dyDescent="0.3">
      <c r="A741" s="504"/>
      <c r="B741" s="504"/>
      <c r="C741" s="504"/>
      <c r="D741" s="504"/>
      <c r="E741" s="506"/>
      <c r="F741" s="506"/>
      <c r="G741" s="506"/>
      <c r="H741" s="506"/>
      <c r="I741" s="506"/>
      <c r="J741" s="506"/>
      <c r="K741" s="507"/>
      <c r="L741" s="508"/>
      <c r="M741" s="508"/>
      <c r="N741" s="508"/>
      <c r="O741" s="509"/>
      <c r="P741" s="509"/>
    </row>
    <row r="742" spans="1:16" ht="21.75" customHeight="1" x14ac:dyDescent="0.3">
      <c r="A742" s="504"/>
      <c r="B742" s="504"/>
      <c r="C742" s="504"/>
      <c r="D742" s="504"/>
      <c r="E742" s="506"/>
      <c r="F742" s="506"/>
      <c r="G742" s="506"/>
      <c r="H742" s="506"/>
      <c r="I742" s="506"/>
      <c r="J742" s="506"/>
      <c r="K742" s="507"/>
      <c r="L742" s="508"/>
      <c r="M742" s="508"/>
      <c r="N742" s="508"/>
      <c r="O742" s="509"/>
      <c r="P742" s="509"/>
    </row>
    <row r="743" spans="1:16" ht="21.75" customHeight="1" x14ac:dyDescent="0.3">
      <c r="A743" s="504"/>
      <c r="B743" s="504"/>
      <c r="C743" s="504"/>
      <c r="D743" s="504"/>
      <c r="E743" s="506"/>
      <c r="F743" s="506"/>
      <c r="G743" s="506"/>
      <c r="H743" s="506"/>
      <c r="I743" s="506"/>
      <c r="J743" s="506"/>
      <c r="K743" s="507"/>
      <c r="L743" s="508"/>
      <c r="M743" s="508"/>
      <c r="N743" s="508"/>
      <c r="O743" s="509"/>
      <c r="P743" s="509"/>
    </row>
    <row r="744" spans="1:16" ht="21.75" customHeight="1" x14ac:dyDescent="0.3">
      <c r="A744" s="504"/>
      <c r="B744" s="504"/>
      <c r="C744" s="504"/>
      <c r="D744" s="504"/>
      <c r="E744" s="506"/>
      <c r="F744" s="506"/>
      <c r="G744" s="506"/>
      <c r="H744" s="506"/>
      <c r="I744" s="506"/>
      <c r="J744" s="506"/>
      <c r="K744" s="507"/>
      <c r="L744" s="508"/>
      <c r="M744" s="508"/>
      <c r="N744" s="508"/>
      <c r="O744" s="509"/>
      <c r="P744" s="509"/>
    </row>
    <row r="745" spans="1:16" ht="21.75" customHeight="1" x14ac:dyDescent="0.3">
      <c r="A745" s="504"/>
      <c r="B745" s="504"/>
      <c r="C745" s="504"/>
      <c r="D745" s="504"/>
      <c r="E745" s="506"/>
      <c r="F745" s="506"/>
      <c r="G745" s="506"/>
      <c r="H745" s="506"/>
      <c r="I745" s="506"/>
      <c r="J745" s="506"/>
      <c r="K745" s="507"/>
      <c r="L745" s="508"/>
      <c r="M745" s="508"/>
      <c r="N745" s="508"/>
      <c r="O745" s="509"/>
      <c r="P745" s="509"/>
    </row>
    <row r="746" spans="1:16" ht="21.75" customHeight="1" x14ac:dyDescent="0.3">
      <c r="A746" s="504"/>
      <c r="B746" s="504"/>
      <c r="C746" s="504"/>
      <c r="D746" s="504"/>
      <c r="E746" s="506"/>
      <c r="F746" s="506"/>
      <c r="G746" s="506"/>
      <c r="H746" s="506"/>
      <c r="I746" s="506"/>
      <c r="J746" s="506"/>
      <c r="K746" s="507"/>
      <c r="L746" s="508"/>
      <c r="M746" s="508"/>
      <c r="N746" s="508"/>
      <c r="O746" s="509"/>
      <c r="P746" s="509"/>
    </row>
    <row r="747" spans="1:16" ht="21.75" customHeight="1" x14ac:dyDescent="0.3">
      <c r="A747" s="504"/>
      <c r="B747" s="504"/>
      <c r="C747" s="504"/>
      <c r="D747" s="504"/>
      <c r="E747" s="506"/>
      <c r="F747" s="506"/>
      <c r="G747" s="506"/>
      <c r="H747" s="506"/>
      <c r="I747" s="506"/>
      <c r="J747" s="506"/>
      <c r="K747" s="507"/>
      <c r="L747" s="508"/>
      <c r="M747" s="508"/>
      <c r="N747" s="508"/>
      <c r="O747" s="509"/>
      <c r="P747" s="509"/>
    </row>
    <row r="748" spans="1:16" ht="21.75" customHeight="1" x14ac:dyDescent="0.3">
      <c r="A748" s="504"/>
      <c r="B748" s="504"/>
      <c r="C748" s="504"/>
      <c r="D748" s="504"/>
      <c r="E748" s="506"/>
      <c r="F748" s="506"/>
      <c r="G748" s="506"/>
      <c r="H748" s="506"/>
      <c r="I748" s="506"/>
      <c r="J748" s="506"/>
      <c r="K748" s="507"/>
      <c r="L748" s="508"/>
      <c r="M748" s="508"/>
      <c r="N748" s="508"/>
      <c r="O748" s="509"/>
      <c r="P748" s="509"/>
    </row>
    <row r="749" spans="1:16" ht="21.75" customHeight="1" x14ac:dyDescent="0.3">
      <c r="A749" s="504"/>
      <c r="B749" s="504"/>
      <c r="C749" s="504"/>
      <c r="D749" s="504"/>
      <c r="E749" s="506"/>
      <c r="F749" s="506"/>
      <c r="G749" s="506"/>
      <c r="H749" s="506"/>
      <c r="I749" s="506"/>
      <c r="J749" s="506"/>
      <c r="K749" s="507"/>
      <c r="L749" s="508"/>
      <c r="M749" s="508"/>
      <c r="N749" s="508"/>
      <c r="O749" s="509"/>
      <c r="P749" s="509"/>
    </row>
    <row r="750" spans="1:16" ht="21.75" customHeight="1" x14ac:dyDescent="0.3">
      <c r="A750" s="504"/>
      <c r="B750" s="504"/>
      <c r="C750" s="504"/>
      <c r="D750" s="504"/>
      <c r="E750" s="506"/>
      <c r="F750" s="506"/>
      <c r="G750" s="506"/>
      <c r="H750" s="506"/>
      <c r="I750" s="506"/>
      <c r="J750" s="506"/>
      <c r="K750" s="507"/>
      <c r="L750" s="508"/>
      <c r="M750" s="508"/>
      <c r="N750" s="508"/>
      <c r="O750" s="509"/>
      <c r="P750" s="509"/>
    </row>
    <row r="751" spans="1:16" ht="21.75" customHeight="1" x14ac:dyDescent="0.3">
      <c r="A751" s="504"/>
      <c r="B751" s="504"/>
      <c r="C751" s="504"/>
      <c r="D751" s="504"/>
      <c r="E751" s="506"/>
      <c r="F751" s="506"/>
      <c r="G751" s="506"/>
      <c r="H751" s="506"/>
      <c r="I751" s="506"/>
      <c r="J751" s="506"/>
      <c r="K751" s="507"/>
      <c r="L751" s="508"/>
      <c r="M751" s="508"/>
      <c r="N751" s="508"/>
      <c r="O751" s="509"/>
      <c r="P751" s="509"/>
    </row>
    <row r="752" spans="1:16" ht="21.75" customHeight="1" x14ac:dyDescent="0.3">
      <c r="A752" s="504"/>
      <c r="B752" s="504"/>
      <c r="C752" s="504"/>
      <c r="D752" s="504"/>
      <c r="E752" s="506"/>
      <c r="F752" s="506"/>
      <c r="G752" s="506"/>
      <c r="H752" s="506"/>
      <c r="I752" s="506"/>
      <c r="J752" s="506"/>
      <c r="K752" s="507"/>
      <c r="L752" s="508"/>
      <c r="M752" s="508"/>
      <c r="N752" s="508"/>
      <c r="O752" s="509"/>
      <c r="P752" s="509"/>
    </row>
    <row r="753" spans="1:16" ht="21.75" customHeight="1" x14ac:dyDescent="0.3">
      <c r="A753" s="504"/>
      <c r="B753" s="504"/>
      <c r="C753" s="504"/>
      <c r="D753" s="504"/>
      <c r="E753" s="506"/>
      <c r="F753" s="506"/>
      <c r="G753" s="506"/>
      <c r="H753" s="506"/>
      <c r="I753" s="506"/>
      <c r="J753" s="506"/>
      <c r="K753" s="507"/>
      <c r="L753" s="508"/>
      <c r="M753" s="508"/>
      <c r="N753" s="508"/>
      <c r="O753" s="509"/>
      <c r="P753" s="509"/>
    </row>
    <row r="754" spans="1:16" ht="21.75" customHeight="1" x14ac:dyDescent="0.3">
      <c r="A754" s="504"/>
      <c r="B754" s="504"/>
      <c r="C754" s="504"/>
      <c r="D754" s="504"/>
      <c r="E754" s="506"/>
      <c r="F754" s="506"/>
      <c r="G754" s="506"/>
      <c r="H754" s="506"/>
      <c r="I754" s="506"/>
      <c r="J754" s="506"/>
      <c r="K754" s="507"/>
      <c r="L754" s="508"/>
      <c r="M754" s="508"/>
      <c r="N754" s="508"/>
      <c r="O754" s="509"/>
      <c r="P754" s="509"/>
    </row>
    <row r="755" spans="1:16" ht="21.75" customHeight="1" x14ac:dyDescent="0.3">
      <c r="A755" s="504"/>
      <c r="B755" s="504"/>
      <c r="C755" s="504"/>
      <c r="D755" s="504"/>
      <c r="E755" s="506"/>
      <c r="F755" s="506"/>
      <c r="G755" s="506"/>
      <c r="H755" s="506"/>
      <c r="I755" s="506"/>
      <c r="J755" s="506"/>
      <c r="K755" s="507"/>
      <c r="L755" s="508"/>
      <c r="M755" s="508"/>
      <c r="N755" s="508"/>
      <c r="O755" s="509"/>
      <c r="P755" s="509"/>
    </row>
    <row r="756" spans="1:16" ht="21.75" customHeight="1" x14ac:dyDescent="0.3">
      <c r="A756" s="504"/>
      <c r="B756" s="504"/>
      <c r="C756" s="504"/>
      <c r="D756" s="504"/>
      <c r="E756" s="506"/>
      <c r="F756" s="506"/>
      <c r="G756" s="506"/>
      <c r="H756" s="506"/>
      <c r="I756" s="506"/>
      <c r="J756" s="506"/>
      <c r="K756" s="507"/>
      <c r="L756" s="508"/>
      <c r="M756" s="508"/>
      <c r="N756" s="508"/>
      <c r="O756" s="509"/>
      <c r="P756" s="509"/>
    </row>
    <row r="757" spans="1:16" ht="21.75" customHeight="1" x14ac:dyDescent="0.3">
      <c r="A757" s="504"/>
      <c r="B757" s="504"/>
      <c r="C757" s="504"/>
      <c r="D757" s="504"/>
      <c r="E757" s="506"/>
      <c r="F757" s="506"/>
      <c r="G757" s="506"/>
      <c r="H757" s="506"/>
      <c r="I757" s="506"/>
      <c r="J757" s="506"/>
      <c r="K757" s="507"/>
      <c r="L757" s="508"/>
      <c r="M757" s="508"/>
      <c r="N757" s="508"/>
      <c r="O757" s="509"/>
      <c r="P757" s="509"/>
    </row>
    <row r="758" spans="1:16" ht="21.75" customHeight="1" x14ac:dyDescent="0.3">
      <c r="A758" s="504"/>
      <c r="B758" s="504"/>
      <c r="C758" s="504"/>
      <c r="D758" s="504"/>
      <c r="E758" s="506"/>
      <c r="F758" s="506"/>
      <c r="G758" s="506"/>
      <c r="H758" s="506"/>
      <c r="I758" s="506"/>
      <c r="J758" s="506"/>
      <c r="K758" s="507"/>
      <c r="L758" s="508"/>
      <c r="M758" s="508"/>
      <c r="N758" s="508"/>
      <c r="O758" s="509"/>
      <c r="P758" s="509"/>
    </row>
    <row r="759" spans="1:16" ht="21.75" customHeight="1" x14ac:dyDescent="0.3">
      <c r="A759" s="504"/>
      <c r="B759" s="504"/>
      <c r="C759" s="504"/>
      <c r="D759" s="504"/>
      <c r="E759" s="506"/>
      <c r="F759" s="506"/>
      <c r="G759" s="506"/>
      <c r="H759" s="506"/>
      <c r="I759" s="506"/>
      <c r="J759" s="506"/>
      <c r="K759" s="507"/>
      <c r="L759" s="508"/>
      <c r="M759" s="508"/>
      <c r="N759" s="508"/>
      <c r="O759" s="509"/>
      <c r="P759" s="509"/>
    </row>
    <row r="760" spans="1:16" ht="21.75" customHeight="1" x14ac:dyDescent="0.3">
      <c r="A760" s="504"/>
      <c r="B760" s="504"/>
      <c r="C760" s="504"/>
      <c r="D760" s="504"/>
      <c r="E760" s="506"/>
      <c r="F760" s="506"/>
      <c r="G760" s="506"/>
      <c r="H760" s="506"/>
      <c r="I760" s="506"/>
      <c r="J760" s="506"/>
      <c r="K760" s="507"/>
      <c r="L760" s="508"/>
      <c r="M760" s="508"/>
      <c r="N760" s="508"/>
      <c r="O760" s="509"/>
      <c r="P760" s="509"/>
    </row>
    <row r="761" spans="1:16" ht="21.75" customHeight="1" x14ac:dyDescent="0.3">
      <c r="A761" s="504"/>
      <c r="B761" s="504"/>
      <c r="C761" s="504"/>
      <c r="D761" s="504"/>
      <c r="E761" s="506"/>
      <c r="F761" s="506"/>
      <c r="G761" s="506"/>
      <c r="H761" s="506"/>
      <c r="I761" s="506"/>
      <c r="J761" s="506"/>
      <c r="K761" s="507"/>
      <c r="L761" s="508"/>
      <c r="M761" s="508"/>
      <c r="N761" s="508"/>
      <c r="O761" s="509"/>
      <c r="P761" s="509"/>
    </row>
    <row r="762" spans="1:16" ht="21.75" customHeight="1" x14ac:dyDescent="0.3">
      <c r="A762" s="504"/>
      <c r="B762" s="504"/>
      <c r="C762" s="504"/>
      <c r="D762" s="504"/>
      <c r="E762" s="506"/>
      <c r="F762" s="506"/>
      <c r="G762" s="506"/>
      <c r="H762" s="506"/>
      <c r="I762" s="506"/>
      <c r="J762" s="506"/>
      <c r="K762" s="507"/>
      <c r="L762" s="508"/>
      <c r="M762" s="508"/>
      <c r="N762" s="508"/>
      <c r="O762" s="509"/>
      <c r="P762" s="509"/>
    </row>
    <row r="763" spans="1:16" ht="21.75" customHeight="1" x14ac:dyDescent="0.3">
      <c r="A763" s="504"/>
      <c r="B763" s="504"/>
      <c r="C763" s="504"/>
      <c r="D763" s="504"/>
      <c r="E763" s="506"/>
      <c r="F763" s="506"/>
      <c r="G763" s="506"/>
      <c r="H763" s="506"/>
      <c r="I763" s="506"/>
      <c r="J763" s="506"/>
      <c r="K763" s="507"/>
      <c r="L763" s="508"/>
      <c r="M763" s="508"/>
      <c r="N763" s="508"/>
      <c r="O763" s="509"/>
      <c r="P763" s="509"/>
    </row>
    <row r="764" spans="1:16" ht="21.75" customHeight="1" x14ac:dyDescent="0.3">
      <c r="A764" s="504"/>
      <c r="B764" s="504"/>
      <c r="C764" s="504"/>
      <c r="D764" s="504"/>
      <c r="E764" s="506"/>
      <c r="F764" s="506"/>
      <c r="G764" s="506"/>
      <c r="H764" s="506"/>
      <c r="I764" s="506"/>
      <c r="J764" s="506"/>
      <c r="K764" s="507"/>
      <c r="L764" s="508"/>
      <c r="M764" s="508"/>
      <c r="N764" s="508"/>
      <c r="O764" s="509"/>
      <c r="P764" s="509"/>
    </row>
    <row r="765" spans="1:16" ht="21.75" customHeight="1" x14ac:dyDescent="0.3">
      <c r="A765" s="504"/>
      <c r="B765" s="504"/>
      <c r="C765" s="504"/>
      <c r="D765" s="504"/>
      <c r="E765" s="506"/>
      <c r="F765" s="506"/>
      <c r="G765" s="506"/>
      <c r="H765" s="506"/>
      <c r="I765" s="506"/>
      <c r="J765" s="506"/>
      <c r="K765" s="507"/>
      <c r="L765" s="508"/>
      <c r="M765" s="508"/>
      <c r="N765" s="508"/>
      <c r="O765" s="509"/>
      <c r="P765" s="509"/>
    </row>
    <row r="766" spans="1:16" ht="21.75" customHeight="1" x14ac:dyDescent="0.3">
      <c r="A766" s="504"/>
      <c r="B766" s="504"/>
      <c r="C766" s="504"/>
      <c r="D766" s="504"/>
      <c r="E766" s="506"/>
      <c r="F766" s="506"/>
      <c r="G766" s="506"/>
      <c r="H766" s="506"/>
      <c r="I766" s="506"/>
      <c r="J766" s="506"/>
      <c r="K766" s="507"/>
      <c r="L766" s="508"/>
      <c r="M766" s="508"/>
      <c r="N766" s="508"/>
      <c r="O766" s="509"/>
      <c r="P766" s="509"/>
    </row>
    <row r="767" spans="1:16" ht="21.75" customHeight="1" x14ac:dyDescent="0.3">
      <c r="A767" s="504"/>
      <c r="B767" s="504"/>
      <c r="C767" s="504"/>
      <c r="D767" s="504"/>
      <c r="E767" s="506"/>
      <c r="F767" s="506"/>
      <c r="G767" s="506"/>
      <c r="H767" s="506"/>
      <c r="I767" s="506"/>
      <c r="J767" s="506"/>
      <c r="K767" s="507"/>
      <c r="L767" s="508"/>
      <c r="M767" s="508"/>
      <c r="N767" s="508"/>
      <c r="O767" s="509"/>
      <c r="P767" s="509"/>
    </row>
    <row r="768" spans="1:16" ht="21.75" customHeight="1" x14ac:dyDescent="0.3">
      <c r="A768" s="504"/>
      <c r="B768" s="504"/>
      <c r="C768" s="504"/>
      <c r="D768" s="504"/>
      <c r="E768" s="506"/>
      <c r="F768" s="506"/>
      <c r="G768" s="506"/>
      <c r="H768" s="506"/>
      <c r="I768" s="506"/>
      <c r="J768" s="506"/>
      <c r="K768" s="507"/>
      <c r="L768" s="508"/>
      <c r="M768" s="508"/>
      <c r="N768" s="508"/>
      <c r="O768" s="509"/>
      <c r="P768" s="509"/>
    </row>
    <row r="769" spans="1:16" ht="21.75" customHeight="1" x14ac:dyDescent="0.3">
      <c r="A769" s="504"/>
      <c r="B769" s="504"/>
      <c r="C769" s="504"/>
      <c r="D769" s="504"/>
      <c r="E769" s="506"/>
      <c r="F769" s="506"/>
      <c r="G769" s="506"/>
      <c r="H769" s="506"/>
      <c r="I769" s="506"/>
      <c r="J769" s="506"/>
      <c r="K769" s="507"/>
      <c r="L769" s="508"/>
      <c r="M769" s="508"/>
      <c r="N769" s="508"/>
      <c r="O769" s="509"/>
      <c r="P769" s="509"/>
    </row>
    <row r="770" spans="1:16" ht="21.75" customHeight="1" x14ac:dyDescent="0.3">
      <c r="A770" s="504"/>
      <c r="B770" s="504"/>
      <c r="C770" s="504"/>
      <c r="D770" s="504"/>
      <c r="E770" s="506"/>
      <c r="F770" s="506"/>
      <c r="G770" s="506"/>
      <c r="H770" s="506"/>
      <c r="I770" s="506"/>
      <c r="J770" s="506"/>
      <c r="K770" s="507"/>
      <c r="L770" s="508"/>
      <c r="M770" s="508"/>
      <c r="N770" s="508"/>
      <c r="O770" s="509"/>
      <c r="P770" s="509"/>
    </row>
    <row r="771" spans="1:16" ht="21.75" customHeight="1" x14ac:dyDescent="0.3">
      <c r="A771" s="504"/>
      <c r="B771" s="504"/>
      <c r="C771" s="504"/>
      <c r="D771" s="504"/>
      <c r="E771" s="506"/>
      <c r="F771" s="506"/>
      <c r="G771" s="506"/>
      <c r="H771" s="506"/>
      <c r="I771" s="506"/>
      <c r="J771" s="506"/>
      <c r="K771" s="507"/>
      <c r="L771" s="508"/>
      <c r="M771" s="508"/>
      <c r="N771" s="508"/>
      <c r="O771" s="509"/>
      <c r="P771" s="509"/>
    </row>
    <row r="772" spans="1:16" ht="21.75" customHeight="1" x14ac:dyDescent="0.3">
      <c r="A772" s="504"/>
      <c r="B772" s="504"/>
      <c r="C772" s="504"/>
      <c r="D772" s="504"/>
      <c r="E772" s="506"/>
      <c r="F772" s="506"/>
      <c r="G772" s="506"/>
      <c r="H772" s="506"/>
      <c r="I772" s="506"/>
      <c r="J772" s="506"/>
      <c r="K772" s="507"/>
      <c r="L772" s="508"/>
      <c r="M772" s="508"/>
      <c r="N772" s="508"/>
      <c r="O772" s="509"/>
      <c r="P772" s="509"/>
    </row>
    <row r="773" spans="1:16" ht="21.75" customHeight="1" x14ac:dyDescent="0.3">
      <c r="A773" s="504"/>
      <c r="B773" s="504"/>
      <c r="C773" s="504"/>
      <c r="D773" s="504"/>
      <c r="E773" s="506"/>
      <c r="F773" s="506"/>
      <c r="G773" s="506"/>
      <c r="H773" s="506"/>
      <c r="I773" s="506"/>
      <c r="J773" s="506"/>
      <c r="K773" s="507"/>
      <c r="L773" s="508"/>
      <c r="M773" s="508"/>
      <c r="N773" s="508"/>
      <c r="O773" s="509"/>
      <c r="P773" s="509"/>
    </row>
    <row r="774" spans="1:16" ht="21.75" customHeight="1" x14ac:dyDescent="0.3">
      <c r="A774" s="504"/>
      <c r="B774" s="504"/>
      <c r="C774" s="504"/>
      <c r="D774" s="504"/>
      <c r="E774" s="506"/>
      <c r="F774" s="506"/>
      <c r="G774" s="506"/>
      <c r="H774" s="506"/>
      <c r="I774" s="506"/>
      <c r="J774" s="506"/>
      <c r="K774" s="507"/>
      <c r="L774" s="508"/>
      <c r="M774" s="508"/>
      <c r="N774" s="508"/>
      <c r="O774" s="509"/>
      <c r="P774" s="509"/>
    </row>
    <row r="775" spans="1:16" ht="21.75" customHeight="1" x14ac:dyDescent="0.3">
      <c r="A775" s="504"/>
      <c r="B775" s="504"/>
      <c r="C775" s="504"/>
      <c r="D775" s="504"/>
      <c r="E775" s="506"/>
      <c r="F775" s="506"/>
      <c r="G775" s="506"/>
      <c r="H775" s="506"/>
      <c r="I775" s="506"/>
      <c r="J775" s="506"/>
      <c r="K775" s="507"/>
      <c r="L775" s="508"/>
      <c r="M775" s="508"/>
      <c r="N775" s="508"/>
      <c r="O775" s="509"/>
      <c r="P775" s="509"/>
    </row>
    <row r="776" spans="1:16" ht="21.75" customHeight="1" x14ac:dyDescent="0.3">
      <c r="A776" s="504"/>
      <c r="B776" s="504"/>
      <c r="C776" s="504"/>
      <c r="D776" s="504"/>
      <c r="E776" s="506"/>
      <c r="F776" s="506"/>
      <c r="G776" s="506"/>
      <c r="H776" s="506"/>
      <c r="I776" s="506"/>
      <c r="J776" s="506"/>
      <c r="K776" s="507"/>
      <c r="L776" s="508"/>
      <c r="M776" s="508"/>
      <c r="N776" s="508"/>
      <c r="O776" s="509"/>
      <c r="P776" s="509"/>
    </row>
    <row r="777" spans="1:16" ht="21.75" customHeight="1" x14ac:dyDescent="0.3">
      <c r="A777" s="504"/>
      <c r="B777" s="504"/>
      <c r="C777" s="504"/>
      <c r="D777" s="504"/>
      <c r="E777" s="506"/>
      <c r="F777" s="506"/>
      <c r="G777" s="506"/>
      <c r="H777" s="506"/>
      <c r="I777" s="506"/>
      <c r="J777" s="506"/>
      <c r="K777" s="507"/>
      <c r="L777" s="508"/>
      <c r="M777" s="508"/>
      <c r="N777" s="508"/>
      <c r="O777" s="509"/>
      <c r="P777" s="509"/>
    </row>
    <row r="778" spans="1:16" ht="21.75" customHeight="1" x14ac:dyDescent="0.3">
      <c r="A778" s="504"/>
      <c r="B778" s="504"/>
      <c r="C778" s="504"/>
      <c r="D778" s="504"/>
      <c r="E778" s="506"/>
      <c r="F778" s="506"/>
      <c r="G778" s="506"/>
      <c r="H778" s="506"/>
      <c r="I778" s="506"/>
      <c r="J778" s="506"/>
      <c r="K778" s="507"/>
      <c r="L778" s="508"/>
      <c r="M778" s="508"/>
      <c r="N778" s="508"/>
      <c r="O778" s="509"/>
      <c r="P778" s="509"/>
    </row>
    <row r="779" spans="1:16" ht="21.75" customHeight="1" x14ac:dyDescent="0.3">
      <c r="A779" s="504"/>
      <c r="B779" s="504"/>
      <c r="C779" s="504"/>
      <c r="D779" s="504"/>
      <c r="E779" s="506"/>
      <c r="F779" s="506"/>
      <c r="G779" s="506"/>
      <c r="H779" s="506"/>
      <c r="I779" s="506"/>
      <c r="J779" s="506"/>
      <c r="K779" s="507"/>
      <c r="L779" s="508"/>
      <c r="M779" s="508"/>
      <c r="N779" s="508"/>
      <c r="O779" s="509"/>
      <c r="P779" s="509"/>
    </row>
    <row r="780" spans="1:16" ht="21.75" customHeight="1" x14ac:dyDescent="0.3">
      <c r="A780" s="504"/>
      <c r="B780" s="504"/>
      <c r="C780" s="504"/>
      <c r="D780" s="504"/>
      <c r="E780" s="506"/>
      <c r="F780" s="506"/>
      <c r="G780" s="506"/>
      <c r="H780" s="506"/>
      <c r="I780" s="506"/>
      <c r="J780" s="506"/>
      <c r="K780" s="507"/>
      <c r="L780" s="508"/>
      <c r="M780" s="508"/>
      <c r="N780" s="508"/>
      <c r="O780" s="509"/>
      <c r="P780" s="509"/>
    </row>
    <row r="781" spans="1:16" ht="21.75" customHeight="1" x14ac:dyDescent="0.3">
      <c r="A781" s="504"/>
      <c r="B781" s="504"/>
      <c r="C781" s="504"/>
      <c r="D781" s="504"/>
      <c r="E781" s="506"/>
      <c r="F781" s="506"/>
      <c r="G781" s="506"/>
      <c r="H781" s="506"/>
      <c r="I781" s="506"/>
      <c r="J781" s="506"/>
      <c r="K781" s="507"/>
      <c r="L781" s="508"/>
      <c r="M781" s="508"/>
      <c r="N781" s="508"/>
      <c r="O781" s="509"/>
      <c r="P781" s="509"/>
    </row>
    <row r="782" spans="1:16" ht="21.75" customHeight="1" x14ac:dyDescent="0.3">
      <c r="A782" s="504"/>
      <c r="B782" s="504"/>
      <c r="C782" s="504"/>
      <c r="D782" s="504"/>
      <c r="E782" s="506"/>
      <c r="F782" s="506"/>
      <c r="G782" s="506"/>
      <c r="H782" s="506"/>
      <c r="I782" s="506"/>
      <c r="J782" s="506"/>
      <c r="K782" s="507"/>
      <c r="L782" s="508"/>
      <c r="M782" s="508"/>
      <c r="N782" s="508"/>
      <c r="O782" s="509"/>
      <c r="P782" s="509"/>
    </row>
    <row r="783" spans="1:16" ht="21.75" customHeight="1" x14ac:dyDescent="0.3">
      <c r="A783" s="504"/>
      <c r="B783" s="504"/>
      <c r="C783" s="504"/>
      <c r="D783" s="504"/>
      <c r="E783" s="506"/>
      <c r="F783" s="506"/>
      <c r="G783" s="506"/>
      <c r="H783" s="506"/>
      <c r="I783" s="506"/>
      <c r="J783" s="506"/>
      <c r="K783" s="507"/>
      <c r="L783" s="508"/>
      <c r="M783" s="508"/>
      <c r="N783" s="508"/>
      <c r="O783" s="509"/>
      <c r="P783" s="509"/>
    </row>
    <row r="784" spans="1:16" ht="21.75" customHeight="1" x14ac:dyDescent="0.3">
      <c r="A784" s="504"/>
      <c r="B784" s="504"/>
      <c r="C784" s="504"/>
      <c r="D784" s="504"/>
      <c r="E784" s="506"/>
      <c r="F784" s="506"/>
      <c r="G784" s="506"/>
      <c r="H784" s="506"/>
      <c r="I784" s="506"/>
      <c r="J784" s="506"/>
      <c r="K784" s="507"/>
      <c r="L784" s="508"/>
      <c r="M784" s="508"/>
      <c r="N784" s="508"/>
      <c r="O784" s="509"/>
      <c r="P784" s="509"/>
    </row>
    <row r="785" spans="1:16" ht="21.75" customHeight="1" x14ac:dyDescent="0.3">
      <c r="A785" s="504"/>
      <c r="B785" s="504"/>
      <c r="C785" s="504"/>
      <c r="D785" s="504"/>
      <c r="E785" s="506"/>
      <c r="F785" s="506"/>
      <c r="G785" s="506"/>
      <c r="H785" s="506"/>
      <c r="I785" s="506"/>
      <c r="J785" s="506"/>
      <c r="K785" s="507"/>
      <c r="L785" s="508"/>
      <c r="M785" s="508"/>
      <c r="N785" s="508"/>
      <c r="O785" s="509"/>
      <c r="P785" s="509"/>
    </row>
    <row r="786" spans="1:16" ht="21.75" customHeight="1" x14ac:dyDescent="0.3">
      <c r="A786" s="504"/>
      <c r="B786" s="504"/>
      <c r="C786" s="504"/>
      <c r="D786" s="504"/>
      <c r="E786" s="506"/>
      <c r="F786" s="506"/>
      <c r="G786" s="506"/>
      <c r="H786" s="506"/>
      <c r="I786" s="506"/>
      <c r="J786" s="506"/>
      <c r="K786" s="507"/>
      <c r="L786" s="508"/>
      <c r="M786" s="508"/>
      <c r="N786" s="508"/>
      <c r="O786" s="509"/>
      <c r="P786" s="509"/>
    </row>
    <row r="787" spans="1:16" ht="21.75" customHeight="1" x14ac:dyDescent="0.3">
      <c r="A787" s="504"/>
      <c r="B787" s="504"/>
      <c r="C787" s="504"/>
      <c r="D787" s="504"/>
      <c r="E787" s="506"/>
      <c r="F787" s="506"/>
      <c r="G787" s="506"/>
      <c r="H787" s="506"/>
      <c r="I787" s="506"/>
      <c r="J787" s="506"/>
      <c r="K787" s="507"/>
      <c r="L787" s="508"/>
      <c r="M787" s="508"/>
      <c r="N787" s="508"/>
      <c r="O787" s="509"/>
      <c r="P787" s="509"/>
    </row>
    <row r="788" spans="1:16" ht="21.75" customHeight="1" x14ac:dyDescent="0.3">
      <c r="A788" s="504"/>
      <c r="B788" s="504"/>
      <c r="C788" s="504"/>
      <c r="D788" s="504"/>
      <c r="E788" s="506"/>
      <c r="F788" s="506"/>
      <c r="G788" s="506"/>
      <c r="H788" s="506"/>
      <c r="I788" s="506"/>
      <c r="J788" s="506"/>
      <c r="K788" s="507"/>
      <c r="L788" s="508"/>
      <c r="M788" s="508"/>
      <c r="N788" s="508"/>
      <c r="O788" s="509"/>
      <c r="P788" s="509"/>
    </row>
    <row r="789" spans="1:16" ht="21.75" customHeight="1" x14ac:dyDescent="0.3">
      <c r="A789" s="504"/>
      <c r="B789" s="504"/>
      <c r="C789" s="504"/>
      <c r="D789" s="504"/>
      <c r="E789" s="506"/>
      <c r="F789" s="506"/>
      <c r="G789" s="506"/>
      <c r="H789" s="506"/>
      <c r="I789" s="506"/>
      <c r="J789" s="506"/>
      <c r="K789" s="507"/>
      <c r="L789" s="508"/>
      <c r="M789" s="508"/>
      <c r="N789" s="508"/>
      <c r="O789" s="509"/>
      <c r="P789" s="509"/>
    </row>
    <row r="790" spans="1:16" ht="21.75" customHeight="1" x14ac:dyDescent="0.3">
      <c r="A790" s="504"/>
      <c r="B790" s="504"/>
      <c r="C790" s="504"/>
      <c r="D790" s="504"/>
      <c r="E790" s="506"/>
      <c r="F790" s="506"/>
      <c r="G790" s="506"/>
      <c r="H790" s="506"/>
      <c r="I790" s="506"/>
      <c r="J790" s="506"/>
      <c r="K790" s="507"/>
      <c r="L790" s="508"/>
      <c r="M790" s="508"/>
      <c r="N790" s="508"/>
      <c r="O790" s="509"/>
      <c r="P790" s="509"/>
    </row>
    <row r="791" spans="1:16" ht="21.75" customHeight="1" x14ac:dyDescent="0.3">
      <c r="A791" s="504"/>
      <c r="B791" s="504"/>
      <c r="C791" s="504"/>
      <c r="D791" s="504"/>
      <c r="E791" s="506"/>
      <c r="F791" s="506"/>
      <c r="G791" s="506"/>
      <c r="H791" s="506"/>
      <c r="I791" s="506"/>
      <c r="J791" s="506"/>
      <c r="K791" s="507"/>
      <c r="L791" s="508"/>
      <c r="M791" s="508"/>
      <c r="N791" s="508"/>
      <c r="O791" s="509"/>
      <c r="P791" s="509"/>
    </row>
    <row r="792" spans="1:16" ht="21.75" customHeight="1" x14ac:dyDescent="0.3">
      <c r="A792" s="504"/>
      <c r="B792" s="504"/>
      <c r="C792" s="504"/>
      <c r="D792" s="504"/>
      <c r="E792" s="506"/>
      <c r="F792" s="506"/>
      <c r="G792" s="506"/>
      <c r="H792" s="506"/>
      <c r="I792" s="506"/>
      <c r="J792" s="506"/>
      <c r="K792" s="507"/>
      <c r="L792" s="508"/>
      <c r="M792" s="508"/>
      <c r="N792" s="508"/>
      <c r="O792" s="509"/>
      <c r="P792" s="509"/>
    </row>
    <row r="793" spans="1:16" ht="21.75" customHeight="1" x14ac:dyDescent="0.3">
      <c r="A793" s="504"/>
      <c r="B793" s="504"/>
      <c r="C793" s="504"/>
      <c r="D793" s="504"/>
      <c r="E793" s="506"/>
      <c r="F793" s="506"/>
      <c r="G793" s="506"/>
      <c r="H793" s="506"/>
      <c r="I793" s="506"/>
      <c r="J793" s="506"/>
      <c r="K793" s="507"/>
      <c r="L793" s="508"/>
      <c r="M793" s="508"/>
      <c r="N793" s="508"/>
      <c r="O793" s="509"/>
      <c r="P793" s="509"/>
    </row>
    <row r="794" spans="1:16" ht="21.75" customHeight="1" x14ac:dyDescent="0.3">
      <c r="A794" s="504"/>
      <c r="B794" s="504"/>
      <c r="C794" s="504"/>
      <c r="D794" s="504"/>
      <c r="E794" s="506"/>
      <c r="F794" s="506"/>
      <c r="G794" s="506"/>
      <c r="H794" s="506"/>
      <c r="I794" s="506"/>
      <c r="J794" s="506"/>
      <c r="K794" s="507"/>
      <c r="L794" s="508"/>
      <c r="M794" s="508"/>
      <c r="N794" s="508"/>
      <c r="O794" s="509"/>
      <c r="P794" s="509"/>
    </row>
    <row r="795" spans="1:16" ht="21.75" customHeight="1" x14ac:dyDescent="0.3">
      <c r="A795" s="504"/>
      <c r="B795" s="504"/>
      <c r="C795" s="504"/>
      <c r="D795" s="504"/>
      <c r="E795" s="506"/>
      <c r="F795" s="506"/>
      <c r="G795" s="506"/>
      <c r="H795" s="506"/>
      <c r="I795" s="506"/>
      <c r="J795" s="506"/>
      <c r="K795" s="507"/>
      <c r="L795" s="508"/>
      <c r="M795" s="508"/>
      <c r="N795" s="508"/>
      <c r="O795" s="509"/>
      <c r="P795" s="509"/>
    </row>
    <row r="796" spans="1:16" ht="21.75" customHeight="1" x14ac:dyDescent="0.3">
      <c r="A796" s="504"/>
      <c r="B796" s="504"/>
      <c r="C796" s="504"/>
      <c r="D796" s="504"/>
      <c r="E796" s="506"/>
      <c r="F796" s="506"/>
      <c r="G796" s="506"/>
      <c r="H796" s="506"/>
      <c r="I796" s="506"/>
      <c r="J796" s="506"/>
      <c r="K796" s="507"/>
      <c r="L796" s="508"/>
      <c r="M796" s="508"/>
      <c r="N796" s="508"/>
      <c r="O796" s="509"/>
      <c r="P796" s="509"/>
    </row>
    <row r="797" spans="1:16" ht="21.75" customHeight="1" x14ac:dyDescent="0.3">
      <c r="A797" s="504"/>
      <c r="B797" s="504"/>
      <c r="C797" s="504"/>
      <c r="D797" s="504"/>
      <c r="E797" s="506"/>
      <c r="F797" s="506"/>
      <c r="G797" s="506"/>
      <c r="H797" s="506"/>
      <c r="I797" s="506"/>
      <c r="J797" s="506"/>
      <c r="K797" s="507"/>
      <c r="L797" s="508"/>
      <c r="M797" s="508"/>
      <c r="N797" s="508"/>
      <c r="O797" s="509"/>
      <c r="P797" s="509"/>
    </row>
    <row r="798" spans="1:16" ht="21.75" customHeight="1" x14ac:dyDescent="0.3">
      <c r="A798" s="504"/>
      <c r="B798" s="504"/>
      <c r="C798" s="504"/>
      <c r="D798" s="504"/>
      <c r="E798" s="506"/>
      <c r="F798" s="506"/>
      <c r="G798" s="506"/>
      <c r="H798" s="506"/>
      <c r="I798" s="506"/>
      <c r="J798" s="506"/>
      <c r="K798" s="507"/>
      <c r="L798" s="508"/>
      <c r="M798" s="508"/>
      <c r="N798" s="508"/>
      <c r="O798" s="509"/>
      <c r="P798" s="509"/>
    </row>
    <row r="799" spans="1:16" ht="21.75" customHeight="1" x14ac:dyDescent="0.3">
      <c r="A799" s="504"/>
      <c r="B799" s="504"/>
      <c r="C799" s="504"/>
      <c r="D799" s="504"/>
      <c r="E799" s="506"/>
      <c r="F799" s="506"/>
      <c r="G799" s="506"/>
      <c r="H799" s="506"/>
      <c r="I799" s="506"/>
      <c r="J799" s="506"/>
      <c r="K799" s="507"/>
      <c r="L799" s="508"/>
      <c r="M799" s="508"/>
      <c r="N799" s="508"/>
      <c r="O799" s="509"/>
      <c r="P799" s="509"/>
    </row>
    <row r="800" spans="1:16" ht="21.75" customHeight="1" x14ac:dyDescent="0.3">
      <c r="A800" s="504"/>
      <c r="B800" s="504"/>
      <c r="C800" s="504"/>
      <c r="D800" s="504"/>
      <c r="E800" s="506"/>
      <c r="F800" s="506"/>
      <c r="G800" s="506"/>
      <c r="H800" s="506"/>
      <c r="I800" s="506"/>
      <c r="J800" s="506"/>
      <c r="K800" s="507"/>
      <c r="L800" s="508"/>
      <c r="M800" s="508"/>
      <c r="N800" s="508"/>
      <c r="O800" s="509"/>
      <c r="P800" s="509"/>
    </row>
    <row r="801" spans="1:16" ht="21.75" customHeight="1" x14ac:dyDescent="0.3">
      <c r="A801" s="504"/>
      <c r="B801" s="504"/>
      <c r="C801" s="504"/>
      <c r="D801" s="504"/>
      <c r="E801" s="506"/>
      <c r="F801" s="506"/>
      <c r="G801" s="506"/>
      <c r="H801" s="506"/>
      <c r="I801" s="506"/>
      <c r="J801" s="506"/>
      <c r="K801" s="507"/>
      <c r="L801" s="508"/>
      <c r="M801" s="508"/>
      <c r="N801" s="508"/>
      <c r="O801" s="509"/>
      <c r="P801" s="509"/>
    </row>
    <row r="802" spans="1:16" ht="21.75" customHeight="1" x14ac:dyDescent="0.3">
      <c r="A802" s="504"/>
      <c r="B802" s="504"/>
      <c r="C802" s="504"/>
      <c r="D802" s="504"/>
      <c r="E802" s="506"/>
      <c r="F802" s="506"/>
      <c r="G802" s="506"/>
      <c r="H802" s="506"/>
      <c r="I802" s="506"/>
      <c r="J802" s="506"/>
      <c r="K802" s="507"/>
      <c r="L802" s="508"/>
      <c r="M802" s="508"/>
      <c r="N802" s="508"/>
      <c r="O802" s="509"/>
      <c r="P802" s="509"/>
    </row>
    <row r="803" spans="1:16" ht="21.75" customHeight="1" x14ac:dyDescent="0.3">
      <c r="A803" s="504"/>
      <c r="B803" s="504"/>
      <c r="C803" s="504"/>
      <c r="D803" s="504"/>
      <c r="E803" s="506"/>
      <c r="F803" s="506"/>
      <c r="G803" s="506"/>
      <c r="H803" s="506"/>
      <c r="I803" s="506"/>
      <c r="J803" s="506"/>
      <c r="K803" s="507"/>
      <c r="L803" s="508"/>
      <c r="M803" s="508"/>
      <c r="N803" s="508"/>
      <c r="O803" s="509"/>
      <c r="P803" s="509"/>
    </row>
    <row r="804" spans="1:16" ht="21.75" customHeight="1" x14ac:dyDescent="0.3">
      <c r="A804" s="504"/>
      <c r="B804" s="504"/>
      <c r="C804" s="504"/>
      <c r="D804" s="504"/>
      <c r="E804" s="506"/>
      <c r="F804" s="506"/>
      <c r="G804" s="506"/>
      <c r="H804" s="506"/>
      <c r="I804" s="506"/>
      <c r="J804" s="506"/>
      <c r="K804" s="507"/>
      <c r="L804" s="508"/>
      <c r="M804" s="508"/>
      <c r="N804" s="508"/>
      <c r="O804" s="509"/>
      <c r="P804" s="509"/>
    </row>
    <row r="805" spans="1:16" ht="21.75" customHeight="1" x14ac:dyDescent="0.3">
      <c r="A805" s="504"/>
      <c r="B805" s="504"/>
      <c r="C805" s="504"/>
      <c r="D805" s="504"/>
      <c r="E805" s="506"/>
      <c r="F805" s="506"/>
      <c r="G805" s="506"/>
      <c r="H805" s="506"/>
      <c r="I805" s="506"/>
      <c r="J805" s="506"/>
      <c r="K805" s="507"/>
      <c r="L805" s="508"/>
      <c r="M805" s="508"/>
      <c r="N805" s="508"/>
      <c r="O805" s="509"/>
      <c r="P805" s="509"/>
    </row>
    <row r="806" spans="1:16" ht="21.75" customHeight="1" x14ac:dyDescent="0.3">
      <c r="A806" s="504"/>
      <c r="B806" s="504"/>
      <c r="C806" s="504"/>
      <c r="D806" s="504"/>
      <c r="E806" s="506"/>
      <c r="F806" s="506"/>
      <c r="G806" s="506"/>
      <c r="H806" s="506"/>
      <c r="I806" s="506"/>
      <c r="J806" s="506"/>
      <c r="K806" s="507"/>
      <c r="L806" s="508"/>
      <c r="M806" s="508"/>
      <c r="N806" s="508"/>
      <c r="O806" s="509"/>
      <c r="P806" s="509"/>
    </row>
    <row r="807" spans="1:16" ht="21.75" customHeight="1" x14ac:dyDescent="0.3">
      <c r="A807" s="504"/>
      <c r="B807" s="504"/>
      <c r="C807" s="504"/>
      <c r="D807" s="504"/>
      <c r="E807" s="506"/>
      <c r="F807" s="506"/>
      <c r="G807" s="506"/>
      <c r="H807" s="506"/>
      <c r="I807" s="506"/>
      <c r="J807" s="506"/>
      <c r="K807" s="507"/>
      <c r="L807" s="508"/>
      <c r="M807" s="508"/>
      <c r="N807" s="508"/>
      <c r="O807" s="509"/>
      <c r="P807" s="509"/>
    </row>
    <row r="808" spans="1:16" ht="21.75" customHeight="1" x14ac:dyDescent="0.3">
      <c r="A808" s="504"/>
      <c r="B808" s="504"/>
      <c r="C808" s="504"/>
      <c r="D808" s="504"/>
      <c r="E808" s="506"/>
      <c r="F808" s="506"/>
      <c r="G808" s="506"/>
      <c r="H808" s="506"/>
      <c r="I808" s="506"/>
      <c r="J808" s="506"/>
      <c r="K808" s="507"/>
      <c r="L808" s="508"/>
      <c r="M808" s="508"/>
      <c r="N808" s="508"/>
      <c r="O808" s="509"/>
      <c r="P808" s="509"/>
    </row>
    <row r="809" spans="1:16" ht="21.75" customHeight="1" x14ac:dyDescent="0.3">
      <c r="A809" s="504"/>
      <c r="B809" s="504"/>
      <c r="C809" s="504"/>
      <c r="D809" s="504"/>
      <c r="E809" s="506"/>
      <c r="F809" s="506"/>
      <c r="G809" s="506"/>
      <c r="H809" s="506"/>
      <c r="I809" s="506"/>
      <c r="J809" s="506"/>
      <c r="K809" s="507"/>
      <c r="L809" s="508"/>
      <c r="M809" s="508"/>
      <c r="N809" s="508"/>
      <c r="O809" s="509"/>
      <c r="P809" s="509"/>
    </row>
    <row r="810" spans="1:16" ht="21.75" customHeight="1" x14ac:dyDescent="0.3">
      <c r="A810" s="504"/>
      <c r="B810" s="504"/>
      <c r="C810" s="504"/>
      <c r="D810" s="504"/>
      <c r="E810" s="506"/>
      <c r="F810" s="506"/>
      <c r="G810" s="506"/>
      <c r="H810" s="506"/>
      <c r="I810" s="506"/>
      <c r="J810" s="506"/>
      <c r="K810" s="507"/>
      <c r="L810" s="508"/>
      <c r="M810" s="508"/>
      <c r="N810" s="508"/>
      <c r="O810" s="509"/>
      <c r="P810" s="509"/>
    </row>
    <row r="811" spans="1:16" ht="21.75" customHeight="1" x14ac:dyDescent="0.3">
      <c r="A811" s="504"/>
      <c r="B811" s="504"/>
      <c r="C811" s="504"/>
      <c r="D811" s="504"/>
      <c r="E811" s="506"/>
      <c r="F811" s="506"/>
      <c r="G811" s="506"/>
      <c r="H811" s="506"/>
      <c r="I811" s="506"/>
      <c r="J811" s="506"/>
      <c r="K811" s="507"/>
      <c r="L811" s="508"/>
      <c r="M811" s="508"/>
      <c r="N811" s="508"/>
      <c r="O811" s="509"/>
      <c r="P811" s="509"/>
    </row>
    <row r="812" spans="1:16" ht="21.75" customHeight="1" x14ac:dyDescent="0.3">
      <c r="A812" s="504"/>
      <c r="B812" s="504"/>
      <c r="C812" s="504"/>
      <c r="D812" s="504"/>
      <c r="E812" s="506"/>
      <c r="F812" s="506"/>
      <c r="G812" s="506"/>
      <c r="H812" s="506"/>
      <c r="I812" s="506"/>
      <c r="J812" s="506"/>
      <c r="K812" s="507"/>
      <c r="L812" s="508"/>
      <c r="M812" s="508"/>
      <c r="N812" s="508"/>
      <c r="O812" s="509"/>
      <c r="P812" s="509"/>
    </row>
    <row r="813" spans="1:16" ht="21.75" customHeight="1" x14ac:dyDescent="0.3">
      <c r="A813" s="504"/>
      <c r="B813" s="504"/>
      <c r="C813" s="504"/>
      <c r="D813" s="504"/>
      <c r="E813" s="506"/>
      <c r="F813" s="506"/>
      <c r="G813" s="506"/>
      <c r="H813" s="506"/>
      <c r="I813" s="506"/>
      <c r="J813" s="506"/>
      <c r="K813" s="507"/>
      <c r="L813" s="508"/>
      <c r="M813" s="508"/>
      <c r="N813" s="508"/>
      <c r="O813" s="509"/>
      <c r="P813" s="509"/>
    </row>
    <row r="814" spans="1:16" ht="21.75" customHeight="1" x14ac:dyDescent="0.3">
      <c r="A814" s="504"/>
      <c r="B814" s="504"/>
      <c r="C814" s="504"/>
      <c r="D814" s="504"/>
      <c r="E814" s="506"/>
      <c r="F814" s="506"/>
      <c r="G814" s="506"/>
      <c r="H814" s="506"/>
      <c r="I814" s="506"/>
      <c r="J814" s="506"/>
      <c r="K814" s="507"/>
      <c r="L814" s="508"/>
      <c r="M814" s="508"/>
      <c r="N814" s="508"/>
      <c r="O814" s="509"/>
      <c r="P814" s="509"/>
    </row>
    <row r="815" spans="1:16" ht="21.75" customHeight="1" x14ac:dyDescent="0.3">
      <c r="A815" s="504"/>
      <c r="B815" s="504"/>
      <c r="C815" s="504"/>
      <c r="D815" s="504"/>
      <c r="E815" s="506"/>
      <c r="F815" s="506"/>
      <c r="G815" s="506"/>
      <c r="H815" s="506"/>
      <c r="I815" s="506"/>
      <c r="J815" s="506"/>
      <c r="K815" s="507"/>
      <c r="L815" s="508"/>
      <c r="M815" s="508"/>
      <c r="N815" s="508"/>
      <c r="O815" s="509"/>
      <c r="P815" s="509"/>
    </row>
    <row r="816" spans="1:16" ht="21.75" customHeight="1" x14ac:dyDescent="0.3">
      <c r="A816" s="504"/>
      <c r="B816" s="504"/>
      <c r="C816" s="504"/>
      <c r="D816" s="504"/>
      <c r="E816" s="506"/>
      <c r="F816" s="506"/>
      <c r="G816" s="506"/>
      <c r="H816" s="506"/>
      <c r="I816" s="506"/>
      <c r="J816" s="506"/>
      <c r="K816" s="507"/>
      <c r="L816" s="508"/>
      <c r="M816" s="508"/>
      <c r="N816" s="508"/>
      <c r="O816" s="509"/>
      <c r="P816" s="509"/>
    </row>
    <row r="817" spans="1:16" ht="21.75" customHeight="1" x14ac:dyDescent="0.3">
      <c r="A817" s="504"/>
      <c r="B817" s="504"/>
      <c r="C817" s="504"/>
      <c r="D817" s="504"/>
      <c r="E817" s="506"/>
      <c r="F817" s="506"/>
      <c r="G817" s="506"/>
      <c r="H817" s="506"/>
      <c r="I817" s="506"/>
      <c r="J817" s="506"/>
      <c r="K817" s="507"/>
      <c r="L817" s="508"/>
      <c r="M817" s="508"/>
      <c r="N817" s="508"/>
      <c r="O817" s="509"/>
      <c r="P817" s="509"/>
    </row>
    <row r="818" spans="1:16" ht="21.75" customHeight="1" x14ac:dyDescent="0.3">
      <c r="A818" s="504"/>
      <c r="B818" s="504"/>
      <c r="C818" s="504"/>
      <c r="D818" s="504"/>
      <c r="E818" s="506"/>
      <c r="F818" s="506"/>
      <c r="G818" s="506"/>
      <c r="H818" s="506"/>
      <c r="I818" s="506"/>
      <c r="J818" s="506"/>
      <c r="K818" s="507"/>
      <c r="L818" s="508"/>
      <c r="M818" s="508"/>
      <c r="N818" s="508"/>
      <c r="O818" s="509"/>
      <c r="P818" s="509"/>
    </row>
    <row r="819" spans="1:16" ht="21.75" customHeight="1" x14ac:dyDescent="0.3">
      <c r="A819" s="504"/>
      <c r="B819" s="504"/>
      <c r="C819" s="504"/>
      <c r="D819" s="504"/>
      <c r="E819" s="506"/>
      <c r="F819" s="506"/>
      <c r="G819" s="506"/>
      <c r="H819" s="506"/>
      <c r="I819" s="506"/>
      <c r="J819" s="506"/>
      <c r="K819" s="507"/>
      <c r="L819" s="508"/>
      <c r="M819" s="508"/>
      <c r="N819" s="508"/>
      <c r="O819" s="509"/>
      <c r="P819" s="509"/>
    </row>
    <row r="820" spans="1:16" ht="21.75" customHeight="1" x14ac:dyDescent="0.3">
      <c r="A820" s="504"/>
      <c r="B820" s="504"/>
      <c r="C820" s="504"/>
      <c r="D820" s="504"/>
      <c r="E820" s="506"/>
      <c r="F820" s="506"/>
      <c r="G820" s="506"/>
      <c r="H820" s="506"/>
      <c r="I820" s="506"/>
      <c r="J820" s="506"/>
      <c r="K820" s="507"/>
      <c r="L820" s="508"/>
      <c r="M820" s="508"/>
      <c r="N820" s="508"/>
      <c r="O820" s="509"/>
      <c r="P820" s="509"/>
    </row>
    <row r="821" spans="1:16" ht="21.75" customHeight="1" x14ac:dyDescent="0.3">
      <c r="A821" s="504"/>
      <c r="B821" s="504"/>
      <c r="C821" s="504"/>
      <c r="D821" s="504"/>
      <c r="E821" s="506"/>
      <c r="F821" s="506"/>
      <c r="G821" s="506"/>
      <c r="H821" s="506"/>
      <c r="I821" s="506"/>
      <c r="J821" s="506"/>
      <c r="K821" s="507"/>
      <c r="L821" s="508"/>
      <c r="M821" s="508"/>
      <c r="N821" s="508"/>
      <c r="O821" s="509"/>
      <c r="P821" s="509"/>
    </row>
    <row r="822" spans="1:16" ht="21.75" customHeight="1" x14ac:dyDescent="0.3">
      <c r="A822" s="504"/>
      <c r="B822" s="504"/>
      <c r="C822" s="504"/>
      <c r="D822" s="504"/>
      <c r="E822" s="506"/>
      <c r="F822" s="506"/>
      <c r="G822" s="506"/>
      <c r="H822" s="506"/>
      <c r="I822" s="506"/>
      <c r="J822" s="506"/>
      <c r="K822" s="507"/>
      <c r="L822" s="508"/>
      <c r="M822" s="508"/>
      <c r="N822" s="508"/>
      <c r="O822" s="509"/>
      <c r="P822" s="509"/>
    </row>
    <row r="823" spans="1:16" ht="21.75" customHeight="1" x14ac:dyDescent="0.3">
      <c r="A823" s="504"/>
      <c r="B823" s="504"/>
      <c r="C823" s="504"/>
      <c r="D823" s="504"/>
      <c r="E823" s="506"/>
      <c r="F823" s="506"/>
      <c r="G823" s="506"/>
      <c r="H823" s="506"/>
      <c r="I823" s="506"/>
      <c r="J823" s="506"/>
      <c r="K823" s="507"/>
      <c r="L823" s="508"/>
      <c r="M823" s="508"/>
      <c r="N823" s="508"/>
      <c r="O823" s="509"/>
      <c r="P823" s="509"/>
    </row>
    <row r="824" spans="1:16" ht="21.75" customHeight="1" x14ac:dyDescent="0.3">
      <c r="A824" s="504"/>
      <c r="B824" s="504"/>
      <c r="C824" s="504"/>
      <c r="D824" s="504"/>
      <c r="E824" s="506"/>
      <c r="F824" s="506"/>
      <c r="G824" s="506"/>
      <c r="H824" s="506"/>
      <c r="I824" s="506"/>
      <c r="J824" s="506"/>
      <c r="K824" s="507"/>
      <c r="L824" s="508"/>
      <c r="M824" s="508"/>
      <c r="N824" s="508"/>
      <c r="O824" s="509"/>
      <c r="P824" s="509"/>
    </row>
    <row r="825" spans="1:16" ht="21.75" customHeight="1" x14ac:dyDescent="0.3">
      <c r="A825" s="504"/>
      <c r="B825" s="504"/>
      <c r="C825" s="504"/>
      <c r="D825" s="504"/>
      <c r="E825" s="506"/>
      <c r="F825" s="506"/>
      <c r="G825" s="506"/>
      <c r="H825" s="506"/>
      <c r="I825" s="506"/>
      <c r="J825" s="506"/>
      <c r="K825" s="507"/>
      <c r="L825" s="508"/>
      <c r="M825" s="508"/>
      <c r="N825" s="508"/>
      <c r="O825" s="509"/>
      <c r="P825" s="509"/>
    </row>
    <row r="826" spans="1:16" ht="21.75" customHeight="1" x14ac:dyDescent="0.3">
      <c r="A826" s="504"/>
      <c r="B826" s="504"/>
      <c r="C826" s="504"/>
      <c r="D826" s="504"/>
      <c r="E826" s="506"/>
      <c r="F826" s="506"/>
      <c r="G826" s="506"/>
      <c r="H826" s="506"/>
      <c r="I826" s="506"/>
      <c r="J826" s="506"/>
      <c r="K826" s="507"/>
      <c r="L826" s="508"/>
      <c r="M826" s="508"/>
      <c r="N826" s="508"/>
      <c r="O826" s="509"/>
      <c r="P826" s="509"/>
    </row>
    <row r="827" spans="1:16" ht="21.75" customHeight="1" x14ac:dyDescent="0.3">
      <c r="A827" s="504"/>
      <c r="B827" s="504"/>
      <c r="C827" s="504"/>
      <c r="D827" s="504"/>
      <c r="E827" s="506"/>
      <c r="F827" s="506"/>
      <c r="G827" s="506"/>
      <c r="H827" s="506"/>
      <c r="I827" s="506"/>
      <c r="J827" s="506"/>
      <c r="K827" s="507"/>
      <c r="L827" s="508"/>
      <c r="M827" s="508"/>
      <c r="N827" s="508"/>
      <c r="O827" s="509"/>
      <c r="P827" s="509"/>
    </row>
    <row r="828" spans="1:16" ht="21.75" customHeight="1" x14ac:dyDescent="0.3">
      <c r="A828" s="504"/>
      <c r="B828" s="504"/>
      <c r="C828" s="504"/>
      <c r="D828" s="504"/>
      <c r="E828" s="506"/>
      <c r="F828" s="506"/>
      <c r="G828" s="506"/>
      <c r="H828" s="506"/>
      <c r="I828" s="506"/>
      <c r="J828" s="506"/>
      <c r="K828" s="507"/>
      <c r="L828" s="508"/>
      <c r="M828" s="508"/>
      <c r="N828" s="508"/>
      <c r="O828" s="509"/>
      <c r="P828" s="509"/>
    </row>
    <row r="829" spans="1:16" ht="21.75" customHeight="1" x14ac:dyDescent="0.3">
      <c r="A829" s="504"/>
      <c r="B829" s="504"/>
      <c r="C829" s="504"/>
      <c r="D829" s="504"/>
      <c r="E829" s="506"/>
      <c r="F829" s="506"/>
      <c r="G829" s="506"/>
      <c r="H829" s="506"/>
      <c r="I829" s="506"/>
      <c r="J829" s="506"/>
      <c r="K829" s="507"/>
      <c r="L829" s="508"/>
      <c r="M829" s="508"/>
      <c r="N829" s="508"/>
      <c r="O829" s="509"/>
      <c r="P829" s="509"/>
    </row>
    <row r="830" spans="1:16" ht="21.75" customHeight="1" x14ac:dyDescent="0.3">
      <c r="A830" s="504"/>
      <c r="B830" s="504"/>
      <c r="C830" s="504"/>
      <c r="D830" s="504"/>
      <c r="E830" s="506"/>
      <c r="F830" s="506"/>
      <c r="G830" s="506"/>
      <c r="H830" s="506"/>
      <c r="I830" s="506"/>
      <c r="J830" s="506"/>
      <c r="K830" s="507"/>
      <c r="L830" s="508"/>
      <c r="M830" s="508"/>
      <c r="N830" s="508"/>
      <c r="O830" s="509"/>
      <c r="P830" s="509"/>
    </row>
    <row r="831" spans="1:16" ht="21.75" customHeight="1" x14ac:dyDescent="0.3">
      <c r="A831" s="504"/>
      <c r="B831" s="504"/>
      <c r="C831" s="504"/>
      <c r="D831" s="504"/>
      <c r="E831" s="506"/>
      <c r="F831" s="506"/>
      <c r="G831" s="506"/>
      <c r="H831" s="506"/>
      <c r="I831" s="506"/>
      <c r="J831" s="506"/>
      <c r="K831" s="507"/>
      <c r="L831" s="508"/>
      <c r="M831" s="508"/>
      <c r="N831" s="508"/>
      <c r="O831" s="509"/>
      <c r="P831" s="509"/>
    </row>
    <row r="832" spans="1:16" ht="21.75" customHeight="1" x14ac:dyDescent="0.3">
      <c r="A832" s="504"/>
      <c r="B832" s="504"/>
      <c r="C832" s="504"/>
      <c r="D832" s="504"/>
      <c r="E832" s="506"/>
      <c r="F832" s="506"/>
      <c r="G832" s="506"/>
      <c r="H832" s="506"/>
      <c r="I832" s="506"/>
      <c r="J832" s="506"/>
      <c r="K832" s="507"/>
      <c r="L832" s="508"/>
      <c r="M832" s="508"/>
      <c r="N832" s="508"/>
      <c r="O832" s="509"/>
      <c r="P832" s="509"/>
    </row>
    <row r="833" spans="1:16" ht="21.75" customHeight="1" x14ac:dyDescent="0.3">
      <c r="A833" s="504"/>
      <c r="B833" s="504"/>
      <c r="C833" s="504"/>
      <c r="D833" s="504"/>
      <c r="E833" s="506"/>
      <c r="F833" s="506"/>
      <c r="G833" s="506"/>
      <c r="H833" s="506"/>
      <c r="I833" s="506"/>
      <c r="J833" s="506"/>
      <c r="K833" s="507"/>
      <c r="L833" s="508"/>
      <c r="M833" s="508"/>
      <c r="N833" s="508"/>
      <c r="O833" s="509"/>
      <c r="P833" s="509"/>
    </row>
    <row r="834" spans="1:16" ht="21.75" customHeight="1" x14ac:dyDescent="0.3">
      <c r="A834" s="504"/>
      <c r="B834" s="504"/>
      <c r="C834" s="504"/>
      <c r="D834" s="504"/>
      <c r="E834" s="506"/>
      <c r="F834" s="506"/>
      <c r="G834" s="506"/>
      <c r="H834" s="506"/>
      <c r="I834" s="506"/>
      <c r="J834" s="506"/>
      <c r="K834" s="507"/>
      <c r="L834" s="508"/>
      <c r="M834" s="508"/>
      <c r="N834" s="508"/>
      <c r="O834" s="509"/>
      <c r="P834" s="509"/>
    </row>
    <row r="835" spans="1:16" ht="21.75" customHeight="1" x14ac:dyDescent="0.3">
      <c r="A835" s="504"/>
      <c r="B835" s="504"/>
      <c r="C835" s="504"/>
      <c r="D835" s="504"/>
      <c r="E835" s="506"/>
      <c r="F835" s="506"/>
      <c r="G835" s="506"/>
      <c r="H835" s="506"/>
      <c r="I835" s="506"/>
      <c r="J835" s="506"/>
      <c r="K835" s="507"/>
      <c r="L835" s="508"/>
      <c r="M835" s="508"/>
      <c r="N835" s="508"/>
      <c r="O835" s="509"/>
      <c r="P835" s="509"/>
    </row>
    <row r="836" spans="1:16" ht="21.75" customHeight="1" x14ac:dyDescent="0.3">
      <c r="A836" s="504"/>
      <c r="B836" s="504"/>
      <c r="C836" s="504"/>
      <c r="D836" s="504"/>
      <c r="E836" s="506"/>
      <c r="F836" s="506"/>
      <c r="G836" s="506"/>
      <c r="H836" s="506"/>
      <c r="I836" s="506"/>
      <c r="J836" s="506"/>
      <c r="K836" s="507"/>
      <c r="L836" s="508"/>
      <c r="M836" s="508"/>
      <c r="N836" s="508"/>
      <c r="O836" s="509"/>
      <c r="P836" s="509"/>
    </row>
    <row r="837" spans="1:16" ht="21.75" customHeight="1" x14ac:dyDescent="0.3">
      <c r="A837" s="504"/>
      <c r="B837" s="504"/>
      <c r="C837" s="504"/>
      <c r="D837" s="504"/>
      <c r="E837" s="506"/>
      <c r="F837" s="506"/>
      <c r="G837" s="506"/>
      <c r="H837" s="506"/>
      <c r="I837" s="506"/>
      <c r="J837" s="506"/>
      <c r="K837" s="507"/>
      <c r="L837" s="508"/>
      <c r="M837" s="508"/>
      <c r="N837" s="508"/>
      <c r="O837" s="509"/>
      <c r="P837" s="509"/>
    </row>
    <row r="838" spans="1:16" ht="21.75" customHeight="1" x14ac:dyDescent="0.3">
      <c r="A838" s="504"/>
      <c r="B838" s="504"/>
      <c r="C838" s="504"/>
      <c r="D838" s="504"/>
      <c r="E838" s="506"/>
      <c r="F838" s="506"/>
      <c r="G838" s="506"/>
      <c r="H838" s="506"/>
      <c r="I838" s="506"/>
      <c r="J838" s="506"/>
      <c r="K838" s="507"/>
      <c r="L838" s="508"/>
      <c r="M838" s="508"/>
      <c r="N838" s="508"/>
      <c r="O838" s="509"/>
      <c r="P838" s="509"/>
    </row>
    <row r="839" spans="1:16" ht="21.75" customHeight="1" x14ac:dyDescent="0.3">
      <c r="A839" s="504"/>
      <c r="B839" s="504"/>
      <c r="C839" s="504"/>
      <c r="D839" s="504"/>
      <c r="E839" s="506"/>
      <c r="F839" s="506"/>
      <c r="G839" s="506"/>
      <c r="H839" s="506"/>
      <c r="I839" s="506"/>
      <c r="J839" s="506"/>
      <c r="K839" s="507"/>
      <c r="L839" s="508"/>
      <c r="M839" s="508"/>
      <c r="N839" s="508"/>
      <c r="O839" s="509"/>
      <c r="P839" s="509"/>
    </row>
    <row r="840" spans="1:16" ht="21.75" customHeight="1" x14ac:dyDescent="0.3">
      <c r="A840" s="504"/>
      <c r="B840" s="504"/>
      <c r="C840" s="504"/>
      <c r="D840" s="504"/>
      <c r="E840" s="506"/>
      <c r="F840" s="506"/>
      <c r="G840" s="506"/>
      <c r="H840" s="506"/>
      <c r="I840" s="506"/>
      <c r="J840" s="506"/>
      <c r="K840" s="507"/>
      <c r="L840" s="508"/>
      <c r="M840" s="508"/>
      <c r="N840" s="508"/>
      <c r="O840" s="509"/>
      <c r="P840" s="509"/>
    </row>
    <row r="841" spans="1:16" ht="21.75" customHeight="1" x14ac:dyDescent="0.3">
      <c r="A841" s="504"/>
      <c r="B841" s="504"/>
      <c r="C841" s="504"/>
      <c r="D841" s="504"/>
      <c r="E841" s="506"/>
      <c r="F841" s="506"/>
      <c r="G841" s="506"/>
      <c r="H841" s="506"/>
      <c r="I841" s="506"/>
      <c r="J841" s="506"/>
      <c r="K841" s="507"/>
      <c r="L841" s="508"/>
      <c r="M841" s="508"/>
      <c r="N841" s="508"/>
      <c r="O841" s="509"/>
      <c r="P841" s="509"/>
    </row>
    <row r="842" spans="1:16" ht="21.75" customHeight="1" x14ac:dyDescent="0.3">
      <c r="A842" s="504"/>
      <c r="B842" s="504"/>
      <c r="C842" s="504"/>
      <c r="D842" s="504"/>
      <c r="E842" s="506"/>
      <c r="F842" s="506"/>
      <c r="G842" s="506"/>
      <c r="H842" s="506"/>
      <c r="I842" s="506"/>
      <c r="J842" s="506"/>
      <c r="K842" s="507"/>
      <c r="L842" s="508"/>
      <c r="M842" s="508"/>
      <c r="N842" s="508"/>
      <c r="O842" s="509"/>
      <c r="P842" s="509"/>
    </row>
    <row r="843" spans="1:16" ht="21.75" customHeight="1" x14ac:dyDescent="0.3">
      <c r="A843" s="504"/>
      <c r="B843" s="504"/>
      <c r="C843" s="504"/>
      <c r="D843" s="504"/>
      <c r="E843" s="506"/>
      <c r="F843" s="506"/>
      <c r="G843" s="506"/>
      <c r="H843" s="506"/>
      <c r="I843" s="506"/>
      <c r="J843" s="506"/>
      <c r="K843" s="507"/>
      <c r="L843" s="508"/>
      <c r="M843" s="508"/>
      <c r="N843" s="508"/>
      <c r="O843" s="509"/>
      <c r="P843" s="509"/>
    </row>
    <row r="844" spans="1:16" ht="21.75" customHeight="1" x14ac:dyDescent="0.3">
      <c r="A844" s="504"/>
      <c r="B844" s="504"/>
      <c r="C844" s="504"/>
      <c r="D844" s="504"/>
      <c r="E844" s="506"/>
      <c r="F844" s="506"/>
      <c r="G844" s="506"/>
      <c r="H844" s="506"/>
      <c r="I844" s="506"/>
      <c r="J844" s="506"/>
      <c r="K844" s="507"/>
      <c r="L844" s="508"/>
      <c r="M844" s="508"/>
      <c r="N844" s="508"/>
      <c r="O844" s="509"/>
      <c r="P844" s="509"/>
    </row>
    <row r="845" spans="1:16" ht="21.75" customHeight="1" x14ac:dyDescent="0.3">
      <c r="A845" s="504"/>
      <c r="B845" s="504"/>
      <c r="C845" s="504"/>
      <c r="D845" s="504"/>
      <c r="E845" s="506"/>
      <c r="F845" s="506"/>
      <c r="G845" s="506"/>
      <c r="H845" s="506"/>
      <c r="I845" s="506"/>
      <c r="J845" s="506"/>
      <c r="K845" s="507"/>
      <c r="L845" s="508"/>
      <c r="M845" s="508"/>
      <c r="N845" s="508"/>
      <c r="O845" s="509"/>
      <c r="P845" s="509"/>
    </row>
    <row r="846" spans="1:16" ht="21.75" customHeight="1" x14ac:dyDescent="0.3">
      <c r="A846" s="504"/>
      <c r="B846" s="504"/>
      <c r="C846" s="504"/>
      <c r="D846" s="504"/>
      <c r="E846" s="506"/>
      <c r="F846" s="506"/>
      <c r="G846" s="506"/>
      <c r="H846" s="506"/>
      <c r="I846" s="506"/>
      <c r="J846" s="506"/>
      <c r="K846" s="507"/>
      <c r="L846" s="508"/>
      <c r="M846" s="508"/>
      <c r="N846" s="508"/>
      <c r="O846" s="509"/>
      <c r="P846" s="509"/>
    </row>
    <row r="847" spans="1:16" ht="21.75" customHeight="1" x14ac:dyDescent="0.3">
      <c r="A847" s="504"/>
      <c r="B847" s="504"/>
      <c r="C847" s="504"/>
      <c r="D847" s="504"/>
      <c r="E847" s="506"/>
      <c r="F847" s="506"/>
      <c r="G847" s="506"/>
      <c r="H847" s="506"/>
      <c r="I847" s="506"/>
      <c r="J847" s="506"/>
      <c r="K847" s="507"/>
      <c r="L847" s="508"/>
      <c r="M847" s="508"/>
      <c r="N847" s="508"/>
      <c r="O847" s="509"/>
      <c r="P847" s="509"/>
    </row>
    <row r="848" spans="1:16" ht="21.75" customHeight="1" x14ac:dyDescent="0.3">
      <c r="A848" s="504"/>
      <c r="B848" s="504"/>
      <c r="C848" s="504"/>
      <c r="D848" s="504"/>
      <c r="E848" s="506"/>
      <c r="F848" s="506"/>
      <c r="G848" s="506"/>
      <c r="H848" s="506"/>
      <c r="I848" s="506"/>
      <c r="J848" s="506"/>
      <c r="K848" s="507"/>
      <c r="L848" s="508"/>
      <c r="M848" s="508"/>
      <c r="N848" s="508"/>
      <c r="O848" s="509"/>
      <c r="P848" s="509"/>
    </row>
    <row r="849" spans="1:16" ht="21.75" customHeight="1" x14ac:dyDescent="0.3">
      <c r="A849" s="504"/>
      <c r="B849" s="504"/>
      <c r="C849" s="504"/>
      <c r="D849" s="504"/>
      <c r="E849" s="506"/>
      <c r="F849" s="506"/>
      <c r="G849" s="506"/>
      <c r="H849" s="506"/>
      <c r="I849" s="506"/>
      <c r="J849" s="506"/>
      <c r="K849" s="507"/>
      <c r="L849" s="508"/>
      <c r="M849" s="508"/>
      <c r="N849" s="508"/>
      <c r="O849" s="509"/>
      <c r="P849" s="509"/>
    </row>
    <row r="850" spans="1:16" ht="21.75" customHeight="1" x14ac:dyDescent="0.3">
      <c r="A850" s="504"/>
      <c r="B850" s="504"/>
      <c r="C850" s="504"/>
      <c r="D850" s="504"/>
      <c r="E850" s="506"/>
      <c r="F850" s="506"/>
      <c r="G850" s="506"/>
      <c r="H850" s="506"/>
      <c r="I850" s="506"/>
      <c r="J850" s="506"/>
      <c r="K850" s="507"/>
      <c r="L850" s="508"/>
      <c r="M850" s="508"/>
      <c r="N850" s="508"/>
      <c r="O850" s="509"/>
      <c r="P850" s="509"/>
    </row>
    <row r="851" spans="1:16" ht="21.75" customHeight="1" x14ac:dyDescent="0.3">
      <c r="A851" s="504"/>
      <c r="B851" s="504"/>
      <c r="C851" s="504"/>
      <c r="D851" s="504"/>
      <c r="E851" s="506"/>
      <c r="F851" s="506"/>
      <c r="G851" s="506"/>
      <c r="H851" s="506"/>
      <c r="I851" s="506"/>
      <c r="J851" s="506"/>
      <c r="K851" s="507"/>
      <c r="L851" s="508"/>
      <c r="M851" s="508"/>
      <c r="N851" s="508"/>
      <c r="O851" s="509"/>
      <c r="P851" s="509"/>
    </row>
    <row r="852" spans="1:16" ht="21.75" customHeight="1" x14ac:dyDescent="0.3">
      <c r="A852" s="504"/>
      <c r="B852" s="504"/>
      <c r="C852" s="504"/>
      <c r="D852" s="504"/>
      <c r="E852" s="506"/>
      <c r="F852" s="506"/>
      <c r="G852" s="506"/>
      <c r="H852" s="506"/>
      <c r="I852" s="506"/>
      <c r="J852" s="506"/>
      <c r="K852" s="507"/>
      <c r="L852" s="508"/>
      <c r="M852" s="508"/>
      <c r="N852" s="508"/>
      <c r="O852" s="509"/>
      <c r="P852" s="509"/>
    </row>
    <row r="853" spans="1:16" ht="21.75" customHeight="1" x14ac:dyDescent="0.3">
      <c r="A853" s="504"/>
      <c r="B853" s="504"/>
      <c r="C853" s="504"/>
      <c r="D853" s="504"/>
      <c r="E853" s="506"/>
      <c r="F853" s="506"/>
      <c r="G853" s="506"/>
      <c r="H853" s="506"/>
      <c r="I853" s="506"/>
      <c r="J853" s="506"/>
      <c r="K853" s="507"/>
      <c r="L853" s="508"/>
      <c r="M853" s="508"/>
      <c r="N853" s="508"/>
      <c r="O853" s="509"/>
      <c r="P853" s="509"/>
    </row>
    <row r="854" spans="1:16" ht="21.75" customHeight="1" x14ac:dyDescent="0.3">
      <c r="A854" s="504"/>
      <c r="B854" s="504"/>
      <c r="C854" s="504"/>
      <c r="D854" s="504"/>
      <c r="E854" s="506"/>
      <c r="F854" s="506"/>
      <c r="G854" s="506"/>
      <c r="H854" s="506"/>
      <c r="I854" s="506"/>
      <c r="J854" s="506"/>
      <c r="K854" s="507"/>
      <c r="L854" s="508"/>
      <c r="M854" s="508"/>
      <c r="N854" s="508"/>
      <c r="O854" s="509"/>
      <c r="P854" s="509"/>
    </row>
    <row r="855" spans="1:16" ht="21.75" customHeight="1" x14ac:dyDescent="0.3">
      <c r="A855" s="504"/>
      <c r="B855" s="504"/>
      <c r="C855" s="504"/>
      <c r="D855" s="504"/>
      <c r="E855" s="506"/>
      <c r="F855" s="506"/>
      <c r="G855" s="506"/>
      <c r="H855" s="506"/>
      <c r="I855" s="506"/>
      <c r="J855" s="506"/>
      <c r="K855" s="507"/>
      <c r="L855" s="508"/>
      <c r="M855" s="508"/>
      <c r="N855" s="508"/>
      <c r="O855" s="509"/>
      <c r="P855" s="509"/>
    </row>
    <row r="856" spans="1:16" ht="21.75" customHeight="1" x14ac:dyDescent="0.3">
      <c r="A856" s="504"/>
      <c r="B856" s="504"/>
      <c r="C856" s="504"/>
      <c r="D856" s="504"/>
      <c r="E856" s="506"/>
      <c r="F856" s="506"/>
      <c r="G856" s="506"/>
      <c r="H856" s="506"/>
      <c r="I856" s="506"/>
      <c r="J856" s="506"/>
      <c r="K856" s="507"/>
      <c r="L856" s="508"/>
      <c r="M856" s="508"/>
      <c r="N856" s="508"/>
      <c r="O856" s="509"/>
      <c r="P856" s="509"/>
    </row>
    <row r="857" spans="1:16" ht="21.75" customHeight="1" x14ac:dyDescent="0.3">
      <c r="A857" s="504"/>
      <c r="B857" s="504"/>
      <c r="C857" s="504"/>
      <c r="D857" s="504"/>
      <c r="E857" s="506"/>
      <c r="F857" s="506"/>
      <c r="G857" s="506"/>
      <c r="H857" s="506"/>
      <c r="I857" s="506"/>
      <c r="J857" s="506"/>
      <c r="K857" s="507"/>
      <c r="L857" s="508"/>
      <c r="M857" s="508"/>
      <c r="N857" s="508"/>
      <c r="O857" s="509"/>
      <c r="P857" s="509"/>
    </row>
    <row r="858" spans="1:16" ht="21.75" customHeight="1" x14ac:dyDescent="0.3">
      <c r="A858" s="504"/>
      <c r="B858" s="504"/>
      <c r="C858" s="504"/>
      <c r="D858" s="504"/>
      <c r="E858" s="506"/>
      <c r="F858" s="506"/>
      <c r="G858" s="506"/>
      <c r="H858" s="506"/>
      <c r="I858" s="506"/>
      <c r="J858" s="506"/>
      <c r="K858" s="507"/>
      <c r="L858" s="508"/>
      <c r="M858" s="508"/>
      <c r="N858" s="508"/>
      <c r="O858" s="509"/>
      <c r="P858" s="509"/>
    </row>
    <row r="859" spans="1:16" ht="21.75" customHeight="1" x14ac:dyDescent="0.3">
      <c r="A859" s="504"/>
      <c r="B859" s="504"/>
      <c r="C859" s="504"/>
      <c r="D859" s="504"/>
      <c r="E859" s="506"/>
      <c r="F859" s="506"/>
      <c r="G859" s="506"/>
      <c r="H859" s="506"/>
      <c r="I859" s="506"/>
      <c r="J859" s="506"/>
      <c r="K859" s="507"/>
      <c r="L859" s="508"/>
      <c r="M859" s="508"/>
      <c r="N859" s="508"/>
      <c r="O859" s="509"/>
      <c r="P859" s="509"/>
    </row>
    <row r="860" spans="1:16" ht="21.75" customHeight="1" x14ac:dyDescent="0.3">
      <c r="A860" s="504"/>
      <c r="B860" s="504"/>
      <c r="C860" s="504"/>
      <c r="D860" s="504"/>
      <c r="E860" s="506"/>
      <c r="F860" s="506"/>
      <c r="G860" s="506"/>
      <c r="H860" s="506"/>
      <c r="I860" s="506"/>
      <c r="J860" s="506"/>
      <c r="K860" s="507"/>
      <c r="L860" s="508"/>
      <c r="M860" s="508"/>
      <c r="N860" s="508"/>
      <c r="O860" s="509"/>
      <c r="P860" s="509"/>
    </row>
    <row r="861" spans="1:16" ht="21.75" customHeight="1" x14ac:dyDescent="0.3">
      <c r="A861" s="504"/>
      <c r="B861" s="504"/>
      <c r="C861" s="504"/>
      <c r="D861" s="504"/>
      <c r="E861" s="506"/>
      <c r="F861" s="506"/>
      <c r="G861" s="506"/>
      <c r="H861" s="506"/>
      <c r="I861" s="506"/>
      <c r="J861" s="506"/>
      <c r="K861" s="507"/>
      <c r="L861" s="508"/>
      <c r="M861" s="508"/>
      <c r="N861" s="508"/>
      <c r="O861" s="509"/>
      <c r="P861" s="509"/>
    </row>
    <row r="862" spans="1:16" ht="21.75" customHeight="1" x14ac:dyDescent="0.3">
      <c r="A862" s="504"/>
      <c r="B862" s="504"/>
      <c r="C862" s="504"/>
      <c r="D862" s="504"/>
      <c r="E862" s="506"/>
      <c r="F862" s="506"/>
      <c r="G862" s="506"/>
      <c r="H862" s="506"/>
      <c r="I862" s="506"/>
      <c r="J862" s="506"/>
      <c r="K862" s="507"/>
      <c r="L862" s="508"/>
      <c r="M862" s="508"/>
      <c r="N862" s="508"/>
      <c r="O862" s="509"/>
      <c r="P862" s="509"/>
    </row>
    <row r="863" spans="1:16" ht="21.75" customHeight="1" x14ac:dyDescent="0.3">
      <c r="A863" s="504"/>
      <c r="B863" s="504"/>
      <c r="C863" s="504"/>
      <c r="D863" s="504"/>
      <c r="E863" s="506"/>
      <c r="F863" s="506"/>
      <c r="G863" s="506"/>
      <c r="H863" s="506"/>
      <c r="I863" s="506"/>
      <c r="J863" s="506"/>
      <c r="K863" s="507"/>
      <c r="L863" s="508"/>
      <c r="M863" s="508"/>
      <c r="N863" s="508"/>
      <c r="O863" s="509"/>
      <c r="P863" s="509"/>
    </row>
    <row r="864" spans="1:16" ht="21.75" customHeight="1" x14ac:dyDescent="0.3">
      <c r="A864" s="504"/>
      <c r="B864" s="504"/>
      <c r="C864" s="504"/>
      <c r="D864" s="504"/>
      <c r="E864" s="506"/>
      <c r="F864" s="506"/>
      <c r="G864" s="506"/>
      <c r="H864" s="506"/>
      <c r="I864" s="506"/>
      <c r="J864" s="506"/>
      <c r="K864" s="507"/>
      <c r="L864" s="508"/>
      <c r="M864" s="508"/>
      <c r="N864" s="508"/>
      <c r="O864" s="509"/>
      <c r="P864" s="509"/>
    </row>
    <row r="865" spans="1:16" ht="21.75" customHeight="1" x14ac:dyDescent="0.3">
      <c r="A865" s="504"/>
      <c r="B865" s="504"/>
      <c r="C865" s="504"/>
      <c r="D865" s="504"/>
      <c r="E865" s="506"/>
      <c r="F865" s="506"/>
      <c r="G865" s="506"/>
      <c r="H865" s="506"/>
      <c r="I865" s="506"/>
      <c r="J865" s="506"/>
      <c r="K865" s="507"/>
      <c r="L865" s="508"/>
      <c r="M865" s="508"/>
      <c r="N865" s="508"/>
      <c r="O865" s="509"/>
      <c r="P865" s="509"/>
    </row>
    <row r="866" spans="1:16" ht="21.75" customHeight="1" x14ac:dyDescent="0.3">
      <c r="A866" s="504"/>
      <c r="B866" s="504"/>
      <c r="C866" s="504"/>
      <c r="D866" s="504"/>
      <c r="E866" s="506"/>
      <c r="F866" s="506"/>
      <c r="G866" s="506"/>
      <c r="H866" s="506"/>
      <c r="I866" s="506"/>
      <c r="J866" s="506"/>
      <c r="K866" s="507"/>
      <c r="L866" s="508"/>
      <c r="M866" s="508"/>
      <c r="N866" s="508"/>
      <c r="O866" s="509"/>
      <c r="P866" s="509"/>
    </row>
    <row r="867" spans="1:16" ht="21.75" customHeight="1" x14ac:dyDescent="0.3">
      <c r="A867" s="504"/>
      <c r="B867" s="504"/>
      <c r="C867" s="504"/>
      <c r="D867" s="504"/>
      <c r="E867" s="506"/>
      <c r="F867" s="506"/>
      <c r="G867" s="506"/>
      <c r="H867" s="506"/>
      <c r="I867" s="506"/>
      <c r="J867" s="506"/>
      <c r="K867" s="507"/>
      <c r="L867" s="508"/>
      <c r="M867" s="508"/>
      <c r="N867" s="508"/>
      <c r="O867" s="509"/>
      <c r="P867" s="509"/>
    </row>
    <row r="868" spans="1:16" ht="21.75" customHeight="1" x14ac:dyDescent="0.3">
      <c r="A868" s="504"/>
      <c r="B868" s="504"/>
      <c r="C868" s="504"/>
      <c r="D868" s="504"/>
      <c r="E868" s="506"/>
      <c r="F868" s="506"/>
      <c r="G868" s="506"/>
      <c r="H868" s="506"/>
      <c r="I868" s="506"/>
      <c r="J868" s="506"/>
      <c r="K868" s="507"/>
      <c r="L868" s="508"/>
      <c r="M868" s="508"/>
      <c r="N868" s="508"/>
      <c r="O868" s="509"/>
      <c r="P868" s="509"/>
    </row>
    <row r="869" spans="1:16" ht="21.75" customHeight="1" x14ac:dyDescent="0.3">
      <c r="A869" s="504"/>
      <c r="B869" s="504"/>
      <c r="C869" s="504"/>
      <c r="D869" s="504"/>
      <c r="E869" s="506"/>
      <c r="F869" s="506"/>
      <c r="G869" s="506"/>
      <c r="H869" s="506"/>
      <c r="I869" s="506"/>
      <c r="J869" s="506"/>
      <c r="K869" s="507"/>
      <c r="L869" s="508"/>
      <c r="M869" s="508"/>
      <c r="N869" s="508"/>
      <c r="O869" s="509"/>
      <c r="P869" s="509"/>
    </row>
    <row r="870" spans="1:16" ht="21.75" customHeight="1" x14ac:dyDescent="0.3">
      <c r="A870" s="504"/>
      <c r="B870" s="504"/>
      <c r="C870" s="504"/>
      <c r="D870" s="504"/>
      <c r="E870" s="506"/>
      <c r="F870" s="506"/>
      <c r="G870" s="506"/>
      <c r="H870" s="506"/>
      <c r="I870" s="506"/>
      <c r="J870" s="506"/>
      <c r="K870" s="507"/>
      <c r="L870" s="508"/>
      <c r="M870" s="508"/>
      <c r="N870" s="508"/>
      <c r="O870" s="509"/>
      <c r="P870" s="509"/>
    </row>
    <row r="871" spans="1:16" ht="21.75" customHeight="1" x14ac:dyDescent="0.3">
      <c r="A871" s="504"/>
      <c r="B871" s="504"/>
      <c r="C871" s="504"/>
      <c r="D871" s="504"/>
      <c r="E871" s="506"/>
      <c r="F871" s="506"/>
      <c r="G871" s="506"/>
      <c r="H871" s="506"/>
      <c r="I871" s="506"/>
      <c r="J871" s="506"/>
      <c r="K871" s="507"/>
      <c r="L871" s="508"/>
      <c r="M871" s="508"/>
      <c r="N871" s="508"/>
      <c r="O871" s="509"/>
      <c r="P871" s="509"/>
    </row>
    <row r="872" spans="1:16" ht="21.75" customHeight="1" x14ac:dyDescent="0.3">
      <c r="A872" s="504"/>
      <c r="B872" s="504"/>
      <c r="C872" s="504"/>
      <c r="D872" s="504"/>
      <c r="E872" s="506"/>
      <c r="F872" s="506"/>
      <c r="G872" s="506"/>
      <c r="H872" s="506"/>
      <c r="I872" s="506"/>
      <c r="J872" s="506"/>
      <c r="K872" s="507"/>
      <c r="L872" s="508"/>
      <c r="M872" s="508"/>
      <c r="N872" s="508"/>
      <c r="O872" s="509"/>
      <c r="P872" s="509"/>
    </row>
    <row r="873" spans="1:16" ht="21.75" customHeight="1" x14ac:dyDescent="0.3">
      <c r="A873" s="504"/>
      <c r="B873" s="504"/>
      <c r="C873" s="504"/>
      <c r="D873" s="504"/>
      <c r="E873" s="506"/>
      <c r="F873" s="506"/>
      <c r="G873" s="506"/>
      <c r="H873" s="506"/>
      <c r="I873" s="506"/>
      <c r="J873" s="506"/>
      <c r="K873" s="507"/>
      <c r="L873" s="508"/>
      <c r="M873" s="508"/>
      <c r="N873" s="508"/>
      <c r="O873" s="509"/>
      <c r="P873" s="509"/>
    </row>
    <row r="874" spans="1:16" ht="21.75" customHeight="1" x14ac:dyDescent="0.3">
      <c r="A874" s="504"/>
      <c r="B874" s="504"/>
      <c r="C874" s="504"/>
      <c r="D874" s="504"/>
      <c r="E874" s="506"/>
      <c r="F874" s="506"/>
      <c r="G874" s="506"/>
      <c r="H874" s="506"/>
      <c r="I874" s="506"/>
      <c r="J874" s="506"/>
      <c r="K874" s="507"/>
      <c r="L874" s="508"/>
      <c r="M874" s="508"/>
      <c r="N874" s="508"/>
      <c r="O874" s="509"/>
      <c r="P874" s="509"/>
    </row>
    <row r="875" spans="1:16" ht="21.75" customHeight="1" x14ac:dyDescent="0.3">
      <c r="A875" s="504"/>
      <c r="B875" s="504"/>
      <c r="C875" s="504"/>
      <c r="D875" s="504"/>
      <c r="E875" s="506"/>
      <c r="F875" s="506"/>
      <c r="G875" s="506"/>
      <c r="H875" s="506"/>
      <c r="I875" s="506"/>
      <c r="J875" s="506"/>
      <c r="K875" s="507"/>
      <c r="L875" s="508"/>
      <c r="M875" s="508"/>
      <c r="N875" s="508"/>
      <c r="O875" s="509"/>
      <c r="P875" s="509"/>
    </row>
    <row r="876" spans="1:16" ht="21.75" customHeight="1" x14ac:dyDescent="0.3">
      <c r="A876" s="504"/>
      <c r="B876" s="504"/>
      <c r="C876" s="504"/>
      <c r="D876" s="504"/>
      <c r="E876" s="506"/>
      <c r="F876" s="506"/>
      <c r="G876" s="506"/>
      <c r="H876" s="506"/>
      <c r="I876" s="506"/>
      <c r="J876" s="506"/>
      <c r="K876" s="507"/>
      <c r="L876" s="508"/>
      <c r="M876" s="508"/>
      <c r="N876" s="508"/>
      <c r="O876" s="509"/>
      <c r="P876" s="509"/>
    </row>
    <row r="877" spans="1:16" ht="21.75" customHeight="1" x14ac:dyDescent="0.3">
      <c r="A877" s="504"/>
      <c r="B877" s="504"/>
      <c r="C877" s="504"/>
      <c r="D877" s="504"/>
      <c r="E877" s="506"/>
      <c r="F877" s="506"/>
      <c r="G877" s="506"/>
      <c r="H877" s="506"/>
      <c r="I877" s="506"/>
      <c r="J877" s="506"/>
      <c r="K877" s="507"/>
      <c r="L877" s="508"/>
      <c r="M877" s="508"/>
      <c r="N877" s="508"/>
      <c r="O877" s="509"/>
      <c r="P877" s="509"/>
    </row>
    <row r="878" spans="1:16" ht="21.75" customHeight="1" x14ac:dyDescent="0.3">
      <c r="A878" s="504"/>
      <c r="B878" s="504"/>
      <c r="C878" s="504"/>
      <c r="D878" s="504"/>
      <c r="E878" s="506"/>
      <c r="F878" s="506"/>
      <c r="G878" s="506"/>
      <c r="H878" s="506"/>
      <c r="I878" s="506"/>
      <c r="J878" s="506"/>
      <c r="K878" s="507"/>
      <c r="L878" s="508"/>
      <c r="M878" s="508"/>
      <c r="N878" s="508"/>
      <c r="O878" s="509"/>
      <c r="P878" s="509"/>
    </row>
    <row r="879" spans="1:16" ht="21.75" customHeight="1" x14ac:dyDescent="0.3">
      <c r="A879" s="504"/>
      <c r="B879" s="504"/>
      <c r="C879" s="504"/>
      <c r="D879" s="504"/>
      <c r="E879" s="506"/>
      <c r="F879" s="506"/>
      <c r="G879" s="506"/>
      <c r="H879" s="506"/>
      <c r="I879" s="506"/>
      <c r="J879" s="506"/>
      <c r="K879" s="507"/>
      <c r="L879" s="508"/>
      <c r="M879" s="508"/>
      <c r="N879" s="508"/>
      <c r="O879" s="509"/>
      <c r="P879" s="509"/>
    </row>
    <row r="880" spans="1:16" ht="21.75" customHeight="1" x14ac:dyDescent="0.3">
      <c r="A880" s="504"/>
      <c r="B880" s="504"/>
      <c r="C880" s="504"/>
      <c r="D880" s="504"/>
      <c r="E880" s="506"/>
      <c r="F880" s="506"/>
      <c r="G880" s="506"/>
      <c r="H880" s="506"/>
      <c r="I880" s="506"/>
      <c r="J880" s="506"/>
      <c r="K880" s="507"/>
      <c r="L880" s="508"/>
      <c r="M880" s="508"/>
      <c r="N880" s="508"/>
      <c r="O880" s="509"/>
      <c r="P880" s="509"/>
    </row>
    <row r="881" spans="1:16" ht="21.75" customHeight="1" x14ac:dyDescent="0.3">
      <c r="A881" s="504"/>
      <c r="B881" s="504"/>
      <c r="C881" s="504"/>
      <c r="D881" s="504"/>
      <c r="E881" s="506"/>
      <c r="F881" s="506"/>
      <c r="G881" s="506"/>
      <c r="H881" s="506"/>
      <c r="I881" s="506"/>
      <c r="J881" s="506"/>
      <c r="K881" s="507"/>
      <c r="L881" s="508"/>
      <c r="M881" s="508"/>
      <c r="N881" s="508"/>
      <c r="O881" s="509"/>
      <c r="P881" s="509"/>
    </row>
    <row r="882" spans="1:16" ht="21.75" customHeight="1" x14ac:dyDescent="0.3">
      <c r="A882" s="504"/>
      <c r="B882" s="504"/>
      <c r="C882" s="504"/>
      <c r="D882" s="504"/>
      <c r="E882" s="506"/>
      <c r="F882" s="506"/>
      <c r="G882" s="506"/>
      <c r="H882" s="506"/>
      <c r="I882" s="506"/>
      <c r="J882" s="506"/>
      <c r="K882" s="507"/>
      <c r="L882" s="508"/>
      <c r="M882" s="508"/>
      <c r="N882" s="508"/>
      <c r="O882" s="509"/>
      <c r="P882" s="509"/>
    </row>
    <row r="883" spans="1:16" ht="21.75" customHeight="1" x14ac:dyDescent="0.3">
      <c r="A883" s="504"/>
      <c r="B883" s="504"/>
      <c r="C883" s="504"/>
      <c r="D883" s="504"/>
      <c r="E883" s="506"/>
      <c r="F883" s="506"/>
      <c r="G883" s="506"/>
      <c r="H883" s="506"/>
      <c r="I883" s="506"/>
      <c r="J883" s="506"/>
      <c r="K883" s="507"/>
      <c r="L883" s="508"/>
      <c r="M883" s="508"/>
      <c r="N883" s="508"/>
      <c r="O883" s="509"/>
      <c r="P883" s="509"/>
    </row>
    <row r="884" spans="1:16" ht="21.75" customHeight="1" x14ac:dyDescent="0.3">
      <c r="A884" s="504"/>
      <c r="B884" s="504"/>
      <c r="C884" s="504"/>
      <c r="D884" s="504"/>
      <c r="E884" s="506"/>
      <c r="F884" s="506"/>
      <c r="G884" s="506"/>
      <c r="H884" s="506"/>
      <c r="I884" s="506"/>
      <c r="J884" s="506"/>
      <c r="K884" s="507"/>
      <c r="L884" s="508"/>
      <c r="M884" s="508"/>
      <c r="N884" s="508"/>
      <c r="O884" s="509"/>
      <c r="P884" s="509"/>
    </row>
    <row r="885" spans="1:16" ht="21.75" customHeight="1" x14ac:dyDescent="0.3">
      <c r="A885" s="504"/>
      <c r="B885" s="504"/>
      <c r="C885" s="504"/>
      <c r="D885" s="504"/>
      <c r="E885" s="506"/>
      <c r="F885" s="506"/>
      <c r="G885" s="506"/>
      <c r="H885" s="506"/>
      <c r="I885" s="506"/>
      <c r="J885" s="506"/>
      <c r="K885" s="507"/>
      <c r="L885" s="508"/>
      <c r="M885" s="508"/>
      <c r="N885" s="508"/>
      <c r="O885" s="509"/>
      <c r="P885" s="509"/>
    </row>
    <row r="886" spans="1:16" ht="21.75" customHeight="1" x14ac:dyDescent="0.3">
      <c r="A886" s="504"/>
      <c r="B886" s="504"/>
      <c r="C886" s="504"/>
      <c r="D886" s="504"/>
      <c r="E886" s="506"/>
      <c r="F886" s="506"/>
      <c r="G886" s="506"/>
      <c r="H886" s="506"/>
      <c r="I886" s="506"/>
      <c r="J886" s="506"/>
      <c r="K886" s="507"/>
      <c r="L886" s="508"/>
      <c r="M886" s="508"/>
      <c r="N886" s="508"/>
      <c r="O886" s="509"/>
      <c r="P886" s="509"/>
    </row>
    <row r="887" spans="1:16" ht="21.75" customHeight="1" x14ac:dyDescent="0.3">
      <c r="A887" s="504"/>
      <c r="B887" s="504"/>
      <c r="C887" s="504"/>
      <c r="D887" s="504"/>
      <c r="E887" s="506"/>
      <c r="F887" s="506"/>
      <c r="G887" s="506"/>
      <c r="H887" s="506"/>
      <c r="I887" s="506"/>
      <c r="J887" s="506"/>
      <c r="K887" s="507"/>
      <c r="L887" s="508"/>
      <c r="M887" s="508"/>
      <c r="N887" s="508"/>
      <c r="O887" s="509"/>
      <c r="P887" s="509"/>
    </row>
    <row r="888" spans="1:16" ht="21.75" customHeight="1" x14ac:dyDescent="0.3">
      <c r="A888" s="504"/>
      <c r="B888" s="504"/>
      <c r="C888" s="504"/>
      <c r="D888" s="504"/>
      <c r="E888" s="506"/>
      <c r="F888" s="506"/>
      <c r="G888" s="506"/>
      <c r="H888" s="506"/>
      <c r="I888" s="506"/>
      <c r="J888" s="506"/>
      <c r="K888" s="507"/>
      <c r="L888" s="508"/>
      <c r="M888" s="508"/>
      <c r="N888" s="508"/>
      <c r="O888" s="509"/>
      <c r="P888" s="509"/>
    </row>
    <row r="889" spans="1:16" ht="21.75" customHeight="1" x14ac:dyDescent="0.3">
      <c r="A889" s="504"/>
      <c r="B889" s="504"/>
      <c r="C889" s="504"/>
      <c r="D889" s="504"/>
      <c r="E889" s="506"/>
      <c r="F889" s="506"/>
      <c r="G889" s="506"/>
      <c r="H889" s="506"/>
      <c r="I889" s="506"/>
      <c r="J889" s="506"/>
      <c r="K889" s="507"/>
      <c r="L889" s="508"/>
      <c r="M889" s="508"/>
      <c r="N889" s="508"/>
      <c r="O889" s="509"/>
      <c r="P889" s="509"/>
    </row>
    <row r="890" spans="1:16" ht="21.75" customHeight="1" x14ac:dyDescent="0.3">
      <c r="A890" s="504"/>
      <c r="B890" s="504"/>
      <c r="C890" s="504"/>
      <c r="D890" s="504"/>
      <c r="E890" s="506"/>
      <c r="F890" s="506"/>
      <c r="G890" s="506"/>
      <c r="H890" s="506"/>
      <c r="I890" s="506"/>
      <c r="J890" s="506"/>
      <c r="K890" s="507"/>
      <c r="L890" s="508"/>
      <c r="M890" s="508"/>
      <c r="N890" s="508"/>
      <c r="O890" s="509"/>
      <c r="P890" s="509"/>
    </row>
    <row r="891" spans="1:16" ht="21.75" customHeight="1" x14ac:dyDescent="0.3">
      <c r="A891" s="504"/>
      <c r="B891" s="504"/>
      <c r="C891" s="504"/>
      <c r="D891" s="504"/>
      <c r="E891" s="506"/>
      <c r="F891" s="506"/>
      <c r="G891" s="506"/>
      <c r="H891" s="506"/>
      <c r="I891" s="506"/>
      <c r="J891" s="506"/>
      <c r="K891" s="507"/>
      <c r="L891" s="508"/>
      <c r="M891" s="508"/>
      <c r="N891" s="508"/>
      <c r="O891" s="509"/>
      <c r="P891" s="509"/>
    </row>
    <row r="892" spans="1:16" ht="21.75" customHeight="1" x14ac:dyDescent="0.3">
      <c r="A892" s="504"/>
      <c r="B892" s="504"/>
      <c r="C892" s="504"/>
      <c r="D892" s="504"/>
      <c r="E892" s="506"/>
      <c r="F892" s="506"/>
      <c r="G892" s="506"/>
      <c r="H892" s="506"/>
      <c r="I892" s="506"/>
      <c r="J892" s="506"/>
      <c r="K892" s="507"/>
      <c r="L892" s="508"/>
      <c r="M892" s="508"/>
      <c r="N892" s="508"/>
      <c r="O892" s="509"/>
      <c r="P892" s="509"/>
    </row>
    <row r="893" spans="1:16" ht="21.75" customHeight="1" x14ac:dyDescent="0.3">
      <c r="A893" s="504"/>
      <c r="B893" s="504"/>
      <c r="C893" s="504"/>
      <c r="D893" s="504"/>
      <c r="E893" s="506"/>
      <c r="F893" s="506"/>
      <c r="G893" s="506"/>
      <c r="H893" s="506"/>
      <c r="I893" s="506"/>
      <c r="J893" s="506"/>
      <c r="K893" s="507"/>
      <c r="L893" s="508"/>
      <c r="M893" s="508"/>
      <c r="N893" s="508"/>
      <c r="O893" s="509"/>
      <c r="P893" s="509"/>
    </row>
    <row r="894" spans="1:16" ht="21.75" customHeight="1" x14ac:dyDescent="0.3">
      <c r="A894" s="504"/>
      <c r="B894" s="504"/>
      <c r="C894" s="504"/>
      <c r="D894" s="504"/>
      <c r="E894" s="506"/>
      <c r="F894" s="506"/>
      <c r="G894" s="506"/>
      <c r="H894" s="506"/>
      <c r="I894" s="506"/>
      <c r="J894" s="506"/>
      <c r="K894" s="507"/>
      <c r="L894" s="508"/>
      <c r="M894" s="508"/>
      <c r="N894" s="508"/>
      <c r="O894" s="509"/>
      <c r="P894" s="509"/>
    </row>
    <row r="895" spans="1:16" ht="21.75" customHeight="1" x14ac:dyDescent="0.3">
      <c r="A895" s="504"/>
      <c r="B895" s="504"/>
      <c r="C895" s="504"/>
      <c r="D895" s="504"/>
      <c r="E895" s="506"/>
      <c r="F895" s="506"/>
      <c r="G895" s="506"/>
      <c r="H895" s="506"/>
      <c r="I895" s="506"/>
      <c r="J895" s="506"/>
      <c r="K895" s="507"/>
      <c r="L895" s="508"/>
      <c r="M895" s="508"/>
      <c r="N895" s="508"/>
      <c r="O895" s="509"/>
      <c r="P895" s="509"/>
    </row>
    <row r="896" spans="1:16" ht="21.75" customHeight="1" x14ac:dyDescent="0.3">
      <c r="A896" s="504"/>
      <c r="B896" s="504"/>
      <c r="C896" s="504"/>
      <c r="D896" s="504"/>
      <c r="E896" s="506"/>
      <c r="F896" s="506"/>
      <c r="G896" s="506"/>
      <c r="H896" s="506"/>
      <c r="I896" s="506"/>
      <c r="J896" s="506"/>
      <c r="K896" s="507"/>
      <c r="L896" s="508"/>
      <c r="M896" s="508"/>
      <c r="N896" s="508"/>
      <c r="O896" s="509"/>
      <c r="P896" s="509"/>
    </row>
    <row r="897" spans="1:16" ht="21.75" customHeight="1" x14ac:dyDescent="0.3">
      <c r="A897" s="504"/>
      <c r="B897" s="504"/>
      <c r="C897" s="504"/>
      <c r="D897" s="504"/>
      <c r="E897" s="506"/>
      <c r="F897" s="506"/>
      <c r="G897" s="506"/>
      <c r="H897" s="506"/>
      <c r="I897" s="506"/>
      <c r="J897" s="506"/>
      <c r="K897" s="507"/>
      <c r="L897" s="508"/>
      <c r="M897" s="508"/>
      <c r="N897" s="508"/>
      <c r="O897" s="509"/>
      <c r="P897" s="509"/>
    </row>
    <row r="898" spans="1:16" ht="21.75" customHeight="1" x14ac:dyDescent="0.3">
      <c r="A898" s="504"/>
      <c r="B898" s="504"/>
      <c r="C898" s="504"/>
      <c r="D898" s="504"/>
      <c r="E898" s="506"/>
      <c r="F898" s="506"/>
      <c r="G898" s="506"/>
      <c r="H898" s="506"/>
      <c r="I898" s="506"/>
      <c r="J898" s="506"/>
      <c r="K898" s="507"/>
      <c r="L898" s="508"/>
      <c r="M898" s="508"/>
      <c r="N898" s="508"/>
      <c r="O898" s="509"/>
      <c r="P898" s="509"/>
    </row>
    <row r="899" spans="1:16" ht="21.75" customHeight="1" x14ac:dyDescent="0.3">
      <c r="A899" s="504"/>
      <c r="B899" s="504"/>
      <c r="C899" s="504"/>
      <c r="D899" s="504"/>
      <c r="E899" s="506"/>
      <c r="F899" s="506"/>
      <c r="G899" s="506"/>
      <c r="H899" s="506"/>
      <c r="I899" s="506"/>
      <c r="J899" s="506"/>
      <c r="K899" s="507"/>
      <c r="L899" s="508"/>
      <c r="M899" s="508"/>
      <c r="N899" s="508"/>
      <c r="O899" s="509"/>
      <c r="P899" s="509"/>
    </row>
    <row r="900" spans="1:16" ht="21.75" customHeight="1" x14ac:dyDescent="0.3">
      <c r="A900" s="504"/>
      <c r="B900" s="504"/>
      <c r="C900" s="504"/>
      <c r="D900" s="504"/>
      <c r="E900" s="506"/>
      <c r="F900" s="506"/>
      <c r="G900" s="506"/>
      <c r="H900" s="506"/>
      <c r="I900" s="506"/>
      <c r="J900" s="506"/>
      <c r="K900" s="507"/>
      <c r="L900" s="508"/>
      <c r="M900" s="508"/>
      <c r="N900" s="508"/>
      <c r="O900" s="509"/>
      <c r="P900" s="509"/>
    </row>
    <row r="901" spans="1:16" ht="21.75" customHeight="1" x14ac:dyDescent="0.3">
      <c r="A901" s="504"/>
      <c r="B901" s="504"/>
      <c r="C901" s="504"/>
      <c r="D901" s="504"/>
      <c r="E901" s="506"/>
      <c r="F901" s="506"/>
      <c r="G901" s="506"/>
      <c r="H901" s="506"/>
      <c r="I901" s="506"/>
      <c r="J901" s="506"/>
      <c r="K901" s="507"/>
      <c r="L901" s="508"/>
      <c r="M901" s="508"/>
      <c r="N901" s="508"/>
      <c r="O901" s="509"/>
      <c r="P901" s="509"/>
    </row>
    <row r="902" spans="1:16" ht="21.75" customHeight="1" x14ac:dyDescent="0.3">
      <c r="A902" s="504"/>
      <c r="B902" s="504"/>
      <c r="C902" s="504"/>
      <c r="D902" s="504"/>
      <c r="E902" s="506"/>
      <c r="F902" s="506"/>
      <c r="G902" s="506"/>
      <c r="H902" s="506"/>
      <c r="I902" s="506"/>
      <c r="J902" s="506"/>
      <c r="K902" s="507"/>
      <c r="L902" s="508"/>
      <c r="M902" s="508"/>
      <c r="N902" s="508"/>
      <c r="O902" s="509"/>
      <c r="P902" s="509"/>
    </row>
    <row r="903" spans="1:16" ht="21.75" customHeight="1" x14ac:dyDescent="0.3">
      <c r="A903" s="504"/>
      <c r="B903" s="504"/>
      <c r="C903" s="504"/>
      <c r="D903" s="504"/>
      <c r="E903" s="506"/>
      <c r="F903" s="506"/>
      <c r="G903" s="506"/>
      <c r="H903" s="506"/>
      <c r="I903" s="506"/>
      <c r="J903" s="506"/>
      <c r="K903" s="507"/>
      <c r="L903" s="508"/>
      <c r="M903" s="508"/>
      <c r="N903" s="508"/>
      <c r="O903" s="509"/>
      <c r="P903" s="509"/>
    </row>
    <row r="904" spans="1:16" ht="21.75" customHeight="1" x14ac:dyDescent="0.3">
      <c r="A904" s="504"/>
      <c r="B904" s="504"/>
      <c r="C904" s="504"/>
      <c r="D904" s="504"/>
      <c r="E904" s="506"/>
      <c r="F904" s="506"/>
      <c r="G904" s="506"/>
      <c r="H904" s="506"/>
      <c r="I904" s="506"/>
      <c r="J904" s="506"/>
      <c r="K904" s="507"/>
      <c r="L904" s="508"/>
      <c r="M904" s="508"/>
      <c r="N904" s="508"/>
      <c r="O904" s="509"/>
      <c r="P904" s="509"/>
    </row>
    <row r="905" spans="1:16" ht="21.75" customHeight="1" x14ac:dyDescent="0.3">
      <c r="A905" s="504"/>
      <c r="B905" s="504"/>
      <c r="C905" s="504"/>
      <c r="D905" s="504"/>
      <c r="E905" s="506"/>
      <c r="F905" s="506"/>
      <c r="G905" s="506"/>
      <c r="H905" s="506"/>
      <c r="I905" s="506"/>
      <c r="J905" s="506"/>
      <c r="K905" s="507"/>
      <c r="L905" s="508"/>
      <c r="M905" s="508"/>
      <c r="N905" s="508"/>
      <c r="O905" s="509"/>
      <c r="P905" s="509"/>
    </row>
    <row r="906" spans="1:16" ht="21.75" customHeight="1" x14ac:dyDescent="0.3">
      <c r="A906" s="504"/>
      <c r="B906" s="504"/>
      <c r="C906" s="504"/>
      <c r="D906" s="504"/>
      <c r="E906" s="506"/>
      <c r="F906" s="506"/>
      <c r="G906" s="506"/>
      <c r="H906" s="506"/>
      <c r="I906" s="506"/>
      <c r="J906" s="506"/>
      <c r="K906" s="507"/>
      <c r="L906" s="508"/>
      <c r="M906" s="508"/>
      <c r="N906" s="508"/>
      <c r="O906" s="509"/>
      <c r="P906" s="509"/>
    </row>
    <row r="907" spans="1:16" ht="21.75" customHeight="1" x14ac:dyDescent="0.3">
      <c r="A907" s="504"/>
      <c r="B907" s="504"/>
      <c r="C907" s="504"/>
      <c r="D907" s="504"/>
      <c r="E907" s="506"/>
      <c r="F907" s="506"/>
      <c r="G907" s="506"/>
      <c r="H907" s="506"/>
      <c r="I907" s="506"/>
      <c r="J907" s="506"/>
      <c r="K907" s="507"/>
      <c r="L907" s="508"/>
      <c r="M907" s="508"/>
      <c r="N907" s="508"/>
      <c r="O907" s="509"/>
      <c r="P907" s="509"/>
    </row>
    <row r="908" spans="1:16" ht="21.75" customHeight="1" x14ac:dyDescent="0.3">
      <c r="A908" s="504"/>
      <c r="B908" s="504"/>
      <c r="C908" s="504"/>
      <c r="D908" s="504"/>
      <c r="E908" s="506"/>
      <c r="F908" s="506"/>
      <c r="G908" s="506"/>
      <c r="H908" s="506"/>
      <c r="I908" s="506"/>
      <c r="J908" s="506"/>
      <c r="K908" s="507"/>
      <c r="L908" s="508"/>
      <c r="M908" s="508"/>
      <c r="N908" s="508"/>
      <c r="O908" s="509"/>
      <c r="P908" s="509"/>
    </row>
    <row r="909" spans="1:16" ht="21.75" customHeight="1" x14ac:dyDescent="0.3">
      <c r="A909" s="504"/>
      <c r="B909" s="504"/>
      <c r="C909" s="504"/>
      <c r="D909" s="504"/>
      <c r="E909" s="506"/>
      <c r="F909" s="506"/>
      <c r="G909" s="506"/>
      <c r="H909" s="506"/>
      <c r="I909" s="506"/>
      <c r="J909" s="506"/>
      <c r="K909" s="507"/>
      <c r="L909" s="508"/>
      <c r="M909" s="508"/>
      <c r="N909" s="508"/>
      <c r="O909" s="509"/>
      <c r="P909" s="509"/>
    </row>
    <row r="910" spans="1:16" ht="21.75" customHeight="1" x14ac:dyDescent="0.3">
      <c r="A910" s="504"/>
      <c r="B910" s="504"/>
      <c r="C910" s="504"/>
      <c r="D910" s="504"/>
      <c r="E910" s="506"/>
      <c r="F910" s="506"/>
      <c r="G910" s="506"/>
      <c r="H910" s="506"/>
      <c r="I910" s="506"/>
      <c r="J910" s="506"/>
      <c r="K910" s="507"/>
      <c r="L910" s="508"/>
      <c r="M910" s="508"/>
      <c r="N910" s="508"/>
      <c r="O910" s="509"/>
      <c r="P910" s="509"/>
    </row>
    <row r="911" spans="1:16" ht="21.75" customHeight="1" x14ac:dyDescent="0.3">
      <c r="A911" s="504"/>
      <c r="B911" s="504"/>
      <c r="C911" s="504"/>
      <c r="D911" s="504"/>
      <c r="E911" s="506"/>
      <c r="F911" s="506"/>
      <c r="G911" s="506"/>
      <c r="H911" s="506"/>
      <c r="I911" s="506"/>
      <c r="J911" s="506"/>
      <c r="K911" s="507"/>
      <c r="L911" s="508"/>
      <c r="M911" s="508"/>
      <c r="N911" s="508"/>
      <c r="O911" s="509"/>
      <c r="P911" s="509"/>
    </row>
    <row r="912" spans="1:16" ht="21.75" customHeight="1" x14ac:dyDescent="0.3">
      <c r="A912" s="504"/>
      <c r="B912" s="504"/>
      <c r="C912" s="504"/>
      <c r="D912" s="504"/>
      <c r="E912" s="506"/>
      <c r="F912" s="506"/>
      <c r="G912" s="506"/>
      <c r="H912" s="506"/>
      <c r="I912" s="506"/>
      <c r="J912" s="506"/>
      <c r="K912" s="507"/>
      <c r="L912" s="508"/>
      <c r="M912" s="508"/>
      <c r="N912" s="508"/>
      <c r="O912" s="509"/>
      <c r="P912" s="509"/>
    </row>
    <row r="913" spans="1:16" ht="21.75" customHeight="1" x14ac:dyDescent="0.3">
      <c r="A913" s="504"/>
      <c r="B913" s="504"/>
      <c r="C913" s="504"/>
      <c r="D913" s="504"/>
      <c r="E913" s="506"/>
      <c r="F913" s="506"/>
      <c r="G913" s="506"/>
      <c r="H913" s="506"/>
      <c r="I913" s="506"/>
      <c r="J913" s="506"/>
      <c r="K913" s="507"/>
      <c r="L913" s="508"/>
      <c r="M913" s="508"/>
      <c r="N913" s="508"/>
      <c r="O913" s="509"/>
      <c r="P913" s="509"/>
    </row>
    <row r="914" spans="1:16" ht="21.75" customHeight="1" x14ac:dyDescent="0.3">
      <c r="A914" s="504"/>
      <c r="B914" s="504"/>
      <c r="C914" s="504"/>
      <c r="D914" s="504"/>
      <c r="E914" s="506"/>
      <c r="F914" s="506"/>
      <c r="G914" s="506"/>
      <c r="H914" s="506"/>
      <c r="I914" s="506"/>
      <c r="J914" s="506"/>
      <c r="K914" s="507"/>
      <c r="L914" s="508"/>
      <c r="M914" s="508"/>
      <c r="N914" s="508"/>
      <c r="O914" s="509"/>
      <c r="P914" s="509"/>
    </row>
    <row r="915" spans="1:16" ht="21.75" customHeight="1" x14ac:dyDescent="0.3">
      <c r="A915" s="504"/>
      <c r="B915" s="504"/>
      <c r="C915" s="504"/>
      <c r="D915" s="504"/>
      <c r="E915" s="506"/>
      <c r="F915" s="506"/>
      <c r="G915" s="506"/>
      <c r="H915" s="506"/>
      <c r="I915" s="506"/>
      <c r="J915" s="506"/>
      <c r="K915" s="507"/>
      <c r="L915" s="508"/>
      <c r="M915" s="508"/>
      <c r="N915" s="508"/>
      <c r="O915" s="509"/>
      <c r="P915" s="509"/>
    </row>
    <row r="916" spans="1:16" ht="21.75" customHeight="1" x14ac:dyDescent="0.3">
      <c r="A916" s="504"/>
      <c r="B916" s="504"/>
      <c r="C916" s="504"/>
      <c r="D916" s="504"/>
      <c r="E916" s="506"/>
      <c r="F916" s="506"/>
      <c r="G916" s="506"/>
      <c r="H916" s="506"/>
      <c r="I916" s="506"/>
      <c r="J916" s="506"/>
      <c r="K916" s="507"/>
      <c r="L916" s="508"/>
      <c r="M916" s="508"/>
      <c r="N916" s="508"/>
      <c r="O916" s="509"/>
      <c r="P916" s="509"/>
    </row>
    <row r="917" spans="1:16" ht="21.75" customHeight="1" x14ac:dyDescent="0.3">
      <c r="A917" s="504"/>
      <c r="B917" s="504"/>
      <c r="C917" s="504"/>
      <c r="D917" s="504"/>
      <c r="E917" s="506"/>
      <c r="F917" s="506"/>
      <c r="G917" s="506"/>
      <c r="H917" s="506"/>
      <c r="I917" s="506"/>
      <c r="J917" s="506"/>
      <c r="K917" s="507"/>
      <c r="L917" s="508"/>
      <c r="M917" s="508"/>
      <c r="N917" s="508"/>
      <c r="O917" s="509"/>
      <c r="P917" s="509"/>
    </row>
    <row r="918" spans="1:16" ht="21.75" customHeight="1" x14ac:dyDescent="0.3">
      <c r="A918" s="504"/>
      <c r="B918" s="504"/>
      <c r="C918" s="504"/>
      <c r="D918" s="504"/>
      <c r="E918" s="506"/>
      <c r="F918" s="506"/>
      <c r="G918" s="506"/>
      <c r="H918" s="506"/>
      <c r="I918" s="506"/>
      <c r="J918" s="506"/>
      <c r="K918" s="507"/>
      <c r="L918" s="508"/>
      <c r="M918" s="508"/>
      <c r="N918" s="508"/>
      <c r="O918" s="509"/>
      <c r="P918" s="509"/>
    </row>
    <row r="919" spans="1:16" ht="21.75" customHeight="1" x14ac:dyDescent="0.3">
      <c r="A919" s="504"/>
      <c r="B919" s="504"/>
      <c r="C919" s="504"/>
      <c r="D919" s="504"/>
      <c r="E919" s="506"/>
      <c r="F919" s="506"/>
      <c r="G919" s="506"/>
      <c r="H919" s="506"/>
      <c r="I919" s="506"/>
      <c r="J919" s="506"/>
      <c r="K919" s="507"/>
      <c r="L919" s="508"/>
      <c r="M919" s="508"/>
      <c r="N919" s="508"/>
      <c r="O919" s="509"/>
      <c r="P919" s="509"/>
    </row>
    <row r="920" spans="1:16" ht="21.75" customHeight="1" x14ac:dyDescent="0.3">
      <c r="A920" s="504"/>
      <c r="B920" s="504"/>
      <c r="C920" s="504"/>
      <c r="D920" s="504"/>
      <c r="E920" s="506"/>
      <c r="F920" s="506"/>
      <c r="G920" s="506"/>
      <c r="H920" s="506"/>
      <c r="I920" s="506"/>
      <c r="J920" s="506"/>
      <c r="K920" s="507"/>
      <c r="L920" s="508"/>
      <c r="M920" s="508"/>
      <c r="N920" s="508"/>
      <c r="O920" s="509"/>
      <c r="P920" s="509"/>
    </row>
    <row r="921" spans="1:16" ht="21.75" customHeight="1" x14ac:dyDescent="0.3">
      <c r="A921" s="504"/>
      <c r="B921" s="504"/>
      <c r="C921" s="504"/>
      <c r="D921" s="504"/>
      <c r="E921" s="506"/>
      <c r="F921" s="506"/>
      <c r="G921" s="506"/>
      <c r="H921" s="506"/>
      <c r="I921" s="506"/>
      <c r="J921" s="506"/>
      <c r="K921" s="507"/>
      <c r="L921" s="508"/>
      <c r="M921" s="508"/>
      <c r="N921" s="508"/>
      <c r="O921" s="509"/>
      <c r="P921" s="509"/>
    </row>
    <row r="922" spans="1:16" ht="21.75" customHeight="1" x14ac:dyDescent="0.3">
      <c r="A922" s="504"/>
      <c r="B922" s="504"/>
      <c r="C922" s="504"/>
      <c r="D922" s="504"/>
      <c r="E922" s="506"/>
      <c r="F922" s="506"/>
      <c r="G922" s="506"/>
      <c r="H922" s="506"/>
      <c r="I922" s="506"/>
      <c r="J922" s="506"/>
      <c r="K922" s="507"/>
      <c r="L922" s="508"/>
      <c r="M922" s="508"/>
      <c r="N922" s="508"/>
      <c r="O922" s="509"/>
      <c r="P922" s="509"/>
    </row>
    <row r="923" spans="1:16" ht="21.75" customHeight="1" x14ac:dyDescent="0.3">
      <c r="A923" s="504"/>
      <c r="B923" s="504"/>
      <c r="C923" s="504"/>
      <c r="D923" s="504"/>
      <c r="E923" s="506"/>
      <c r="F923" s="506"/>
      <c r="G923" s="506"/>
      <c r="H923" s="506"/>
      <c r="I923" s="506"/>
      <c r="J923" s="506"/>
      <c r="K923" s="507"/>
      <c r="L923" s="508"/>
      <c r="M923" s="508"/>
      <c r="N923" s="508"/>
      <c r="O923" s="509"/>
      <c r="P923" s="509"/>
    </row>
    <row r="924" spans="1:16" ht="21.75" customHeight="1" x14ac:dyDescent="0.3">
      <c r="A924" s="504"/>
      <c r="B924" s="504"/>
      <c r="C924" s="504"/>
      <c r="D924" s="504"/>
      <c r="E924" s="506"/>
      <c r="F924" s="506"/>
      <c r="G924" s="506"/>
      <c r="H924" s="506"/>
      <c r="I924" s="506"/>
      <c r="J924" s="506"/>
      <c r="K924" s="507"/>
      <c r="L924" s="508"/>
      <c r="M924" s="508"/>
      <c r="N924" s="508"/>
      <c r="O924" s="509"/>
      <c r="P924" s="509"/>
    </row>
    <row r="925" spans="1:16" ht="21.75" customHeight="1" x14ac:dyDescent="0.3">
      <c r="A925" s="504"/>
      <c r="B925" s="504"/>
      <c r="C925" s="504"/>
      <c r="D925" s="504"/>
      <c r="E925" s="506"/>
      <c r="F925" s="506"/>
      <c r="G925" s="506"/>
      <c r="H925" s="506"/>
      <c r="I925" s="506"/>
      <c r="J925" s="506"/>
      <c r="K925" s="507"/>
      <c r="L925" s="508"/>
      <c r="M925" s="508"/>
      <c r="N925" s="508"/>
      <c r="O925" s="509"/>
      <c r="P925" s="509"/>
    </row>
    <row r="926" spans="1:16" ht="21.75" customHeight="1" x14ac:dyDescent="0.3">
      <c r="A926" s="504"/>
      <c r="B926" s="504"/>
      <c r="C926" s="504"/>
      <c r="D926" s="504"/>
      <c r="E926" s="506"/>
      <c r="F926" s="506"/>
      <c r="G926" s="506"/>
      <c r="H926" s="506"/>
      <c r="I926" s="506"/>
      <c r="J926" s="506"/>
      <c r="K926" s="507"/>
      <c r="L926" s="508"/>
      <c r="M926" s="508"/>
      <c r="N926" s="508"/>
      <c r="O926" s="509"/>
      <c r="P926" s="509"/>
    </row>
    <row r="927" spans="1:16" ht="21.75" customHeight="1" x14ac:dyDescent="0.3">
      <c r="A927" s="504"/>
      <c r="B927" s="504"/>
      <c r="C927" s="504"/>
      <c r="D927" s="504"/>
      <c r="E927" s="506"/>
      <c r="F927" s="506"/>
      <c r="G927" s="506"/>
      <c r="H927" s="506"/>
      <c r="I927" s="506"/>
      <c r="J927" s="506"/>
      <c r="K927" s="507"/>
      <c r="L927" s="508"/>
      <c r="M927" s="508"/>
      <c r="N927" s="508"/>
      <c r="O927" s="509"/>
      <c r="P927" s="509"/>
    </row>
    <row r="928" spans="1:16" ht="21.75" customHeight="1" x14ac:dyDescent="0.3">
      <c r="A928" s="504"/>
      <c r="B928" s="504"/>
      <c r="C928" s="504"/>
      <c r="D928" s="504"/>
      <c r="E928" s="506"/>
      <c r="F928" s="506"/>
      <c r="G928" s="506"/>
      <c r="H928" s="506"/>
      <c r="I928" s="506"/>
      <c r="J928" s="506"/>
      <c r="K928" s="507"/>
      <c r="L928" s="508"/>
      <c r="M928" s="508"/>
      <c r="N928" s="508"/>
      <c r="O928" s="509"/>
      <c r="P928" s="509"/>
    </row>
    <row r="929" spans="1:16" ht="21.75" customHeight="1" x14ac:dyDescent="0.3">
      <c r="A929" s="504"/>
      <c r="B929" s="504"/>
      <c r="C929" s="504"/>
      <c r="D929" s="504"/>
      <c r="E929" s="506"/>
      <c r="F929" s="506"/>
      <c r="G929" s="506"/>
      <c r="H929" s="506"/>
      <c r="I929" s="506"/>
      <c r="J929" s="506"/>
      <c r="K929" s="507"/>
      <c r="L929" s="508"/>
      <c r="M929" s="508"/>
      <c r="N929" s="508"/>
      <c r="O929" s="509"/>
      <c r="P929" s="509"/>
    </row>
    <row r="930" spans="1:16" ht="21.75" customHeight="1" x14ac:dyDescent="0.3">
      <c r="A930" s="504"/>
      <c r="B930" s="504"/>
      <c r="C930" s="504"/>
      <c r="D930" s="504"/>
      <c r="E930" s="506"/>
      <c r="F930" s="506"/>
      <c r="G930" s="506"/>
      <c r="H930" s="506"/>
      <c r="I930" s="506"/>
      <c r="J930" s="506"/>
      <c r="K930" s="507"/>
      <c r="L930" s="508"/>
      <c r="M930" s="508"/>
      <c r="N930" s="508"/>
      <c r="O930" s="509"/>
      <c r="P930" s="509"/>
    </row>
    <row r="931" spans="1:16" ht="21.75" customHeight="1" x14ac:dyDescent="0.3">
      <c r="A931" s="504"/>
      <c r="B931" s="504"/>
      <c r="C931" s="504"/>
      <c r="D931" s="504"/>
      <c r="E931" s="506"/>
      <c r="F931" s="506"/>
      <c r="G931" s="506"/>
      <c r="H931" s="506"/>
      <c r="I931" s="506"/>
      <c r="J931" s="506"/>
      <c r="K931" s="507"/>
      <c r="L931" s="508"/>
      <c r="M931" s="508"/>
      <c r="N931" s="508"/>
      <c r="O931" s="509"/>
      <c r="P931" s="509"/>
    </row>
    <row r="932" spans="1:16" ht="21.75" customHeight="1" x14ac:dyDescent="0.3">
      <c r="A932" s="504"/>
      <c r="B932" s="504"/>
      <c r="C932" s="504"/>
      <c r="D932" s="504"/>
      <c r="E932" s="506"/>
      <c r="F932" s="506"/>
      <c r="G932" s="506"/>
      <c r="H932" s="506"/>
      <c r="I932" s="506"/>
      <c r="J932" s="506"/>
      <c r="K932" s="507"/>
      <c r="L932" s="508"/>
      <c r="M932" s="508"/>
      <c r="N932" s="508"/>
      <c r="O932" s="509"/>
      <c r="P932" s="509"/>
    </row>
    <row r="933" spans="1:16" ht="21.75" customHeight="1" x14ac:dyDescent="0.3">
      <c r="A933" s="504"/>
      <c r="B933" s="504"/>
      <c r="C933" s="504"/>
      <c r="D933" s="504"/>
      <c r="E933" s="506"/>
      <c r="F933" s="506"/>
      <c r="G933" s="506"/>
      <c r="H933" s="506"/>
      <c r="I933" s="506"/>
      <c r="J933" s="506"/>
      <c r="K933" s="507"/>
      <c r="L933" s="508"/>
      <c r="M933" s="508"/>
      <c r="N933" s="508"/>
      <c r="O933" s="509"/>
      <c r="P933" s="509"/>
    </row>
    <row r="934" spans="1:16" ht="21.75" customHeight="1" x14ac:dyDescent="0.3">
      <c r="A934" s="504"/>
      <c r="B934" s="504"/>
      <c r="C934" s="504"/>
      <c r="D934" s="504"/>
      <c r="E934" s="506"/>
      <c r="F934" s="506"/>
      <c r="G934" s="506"/>
      <c r="H934" s="506"/>
      <c r="I934" s="506"/>
      <c r="J934" s="506"/>
      <c r="K934" s="507"/>
      <c r="L934" s="508"/>
      <c r="M934" s="508"/>
      <c r="N934" s="508"/>
      <c r="O934" s="509"/>
      <c r="P934" s="509"/>
    </row>
    <row r="935" spans="1:16" ht="21.75" customHeight="1" x14ac:dyDescent="0.3">
      <c r="A935" s="504"/>
      <c r="B935" s="504"/>
      <c r="C935" s="504"/>
      <c r="D935" s="504"/>
      <c r="E935" s="506"/>
      <c r="F935" s="506"/>
      <c r="G935" s="506"/>
      <c r="H935" s="506"/>
      <c r="I935" s="506"/>
      <c r="J935" s="506"/>
      <c r="K935" s="507"/>
      <c r="L935" s="508"/>
      <c r="M935" s="508"/>
      <c r="N935" s="508"/>
      <c r="O935" s="509"/>
      <c r="P935" s="509"/>
    </row>
    <row r="936" spans="1:16" ht="21.75" customHeight="1" x14ac:dyDescent="0.3">
      <c r="A936" s="504"/>
      <c r="B936" s="504"/>
      <c r="C936" s="504"/>
      <c r="D936" s="504"/>
      <c r="E936" s="506"/>
      <c r="F936" s="506"/>
      <c r="G936" s="506"/>
      <c r="H936" s="506"/>
      <c r="I936" s="506"/>
      <c r="J936" s="506"/>
      <c r="K936" s="507"/>
      <c r="L936" s="508"/>
      <c r="M936" s="508"/>
      <c r="N936" s="508"/>
      <c r="O936" s="509"/>
      <c r="P936" s="509"/>
    </row>
    <row r="937" spans="1:16" ht="21.75" customHeight="1" x14ac:dyDescent="0.3">
      <c r="A937" s="504"/>
      <c r="B937" s="504"/>
      <c r="C937" s="504"/>
      <c r="D937" s="504"/>
      <c r="E937" s="506"/>
      <c r="F937" s="506"/>
      <c r="G937" s="506"/>
      <c r="H937" s="506"/>
      <c r="I937" s="506"/>
      <c r="J937" s="506"/>
      <c r="K937" s="507"/>
      <c r="L937" s="508"/>
      <c r="M937" s="508"/>
      <c r="N937" s="508"/>
      <c r="O937" s="509"/>
      <c r="P937" s="509"/>
    </row>
    <row r="938" spans="1:16" ht="21.75" customHeight="1" x14ac:dyDescent="0.3">
      <c r="A938" s="504"/>
      <c r="B938" s="504"/>
      <c r="C938" s="504"/>
      <c r="D938" s="504"/>
      <c r="E938" s="506"/>
      <c r="F938" s="506"/>
      <c r="G938" s="506"/>
      <c r="H938" s="506"/>
      <c r="I938" s="506"/>
      <c r="J938" s="506"/>
      <c r="K938" s="507"/>
      <c r="L938" s="508"/>
      <c r="M938" s="508"/>
      <c r="N938" s="508"/>
      <c r="O938" s="509"/>
      <c r="P938" s="509"/>
    </row>
    <row r="939" spans="1:16" ht="21.75" customHeight="1" x14ac:dyDescent="0.3">
      <c r="A939" s="504"/>
      <c r="B939" s="504"/>
      <c r="C939" s="504"/>
      <c r="D939" s="504"/>
      <c r="E939" s="506"/>
      <c r="F939" s="506"/>
      <c r="G939" s="506"/>
      <c r="H939" s="506"/>
      <c r="I939" s="506"/>
      <c r="J939" s="506"/>
      <c r="K939" s="507"/>
      <c r="L939" s="508"/>
      <c r="M939" s="508"/>
      <c r="N939" s="508"/>
      <c r="O939" s="509"/>
      <c r="P939" s="509"/>
    </row>
    <row r="940" spans="1:16" ht="21.75" customHeight="1" x14ac:dyDescent="0.3">
      <c r="A940" s="504"/>
      <c r="B940" s="504"/>
      <c r="C940" s="504"/>
      <c r="D940" s="504"/>
      <c r="E940" s="506"/>
      <c r="F940" s="506"/>
      <c r="G940" s="506"/>
      <c r="H940" s="506"/>
      <c r="I940" s="506"/>
      <c r="J940" s="506"/>
      <c r="K940" s="507"/>
      <c r="L940" s="508"/>
      <c r="M940" s="508"/>
      <c r="N940" s="508"/>
      <c r="O940" s="509"/>
      <c r="P940" s="509"/>
    </row>
    <row r="941" spans="1:16" ht="21.75" customHeight="1" x14ac:dyDescent="0.3">
      <c r="A941" s="504"/>
      <c r="B941" s="504"/>
      <c r="C941" s="504"/>
      <c r="D941" s="504"/>
      <c r="E941" s="506"/>
      <c r="F941" s="506"/>
      <c r="G941" s="506"/>
      <c r="H941" s="506"/>
      <c r="I941" s="506"/>
      <c r="J941" s="506"/>
      <c r="K941" s="507"/>
      <c r="L941" s="508"/>
      <c r="M941" s="508"/>
      <c r="N941" s="508"/>
      <c r="O941" s="509"/>
      <c r="P941" s="509"/>
    </row>
    <row r="942" spans="1:16" ht="21.75" customHeight="1" x14ac:dyDescent="0.3">
      <c r="A942" s="504"/>
      <c r="B942" s="504"/>
      <c r="C942" s="504"/>
      <c r="D942" s="504"/>
      <c r="E942" s="506"/>
      <c r="F942" s="506"/>
      <c r="G942" s="506"/>
      <c r="H942" s="506"/>
      <c r="I942" s="506"/>
      <c r="J942" s="506"/>
      <c r="K942" s="507"/>
      <c r="L942" s="508"/>
      <c r="M942" s="508"/>
      <c r="N942" s="508"/>
      <c r="O942" s="509"/>
      <c r="P942" s="509"/>
    </row>
    <row r="943" spans="1:16" ht="21.75" customHeight="1" x14ac:dyDescent="0.3">
      <c r="A943" s="504"/>
      <c r="B943" s="504"/>
      <c r="C943" s="504"/>
      <c r="D943" s="504"/>
      <c r="E943" s="506"/>
      <c r="F943" s="506"/>
      <c r="G943" s="506"/>
      <c r="H943" s="506"/>
      <c r="I943" s="506"/>
      <c r="J943" s="506"/>
      <c r="K943" s="507"/>
      <c r="L943" s="508"/>
      <c r="M943" s="508"/>
      <c r="N943" s="508"/>
      <c r="O943" s="509"/>
      <c r="P943" s="509"/>
    </row>
    <row r="944" spans="1:16" ht="21.75" customHeight="1" x14ac:dyDescent="0.3">
      <c r="A944" s="504"/>
      <c r="B944" s="504"/>
      <c r="C944" s="504"/>
      <c r="D944" s="504"/>
      <c r="E944" s="506"/>
      <c r="F944" s="506"/>
      <c r="G944" s="506"/>
      <c r="H944" s="506"/>
      <c r="I944" s="506"/>
      <c r="J944" s="506"/>
      <c r="K944" s="507"/>
      <c r="L944" s="508"/>
      <c r="M944" s="508"/>
      <c r="N944" s="508"/>
      <c r="O944" s="509"/>
      <c r="P944" s="509"/>
    </row>
    <row r="945" spans="1:16" ht="21.75" customHeight="1" x14ac:dyDescent="0.3">
      <c r="A945" s="504"/>
      <c r="B945" s="504"/>
      <c r="C945" s="504"/>
      <c r="D945" s="504"/>
      <c r="E945" s="506"/>
      <c r="F945" s="506"/>
      <c r="G945" s="506"/>
      <c r="H945" s="506"/>
      <c r="I945" s="506"/>
      <c r="J945" s="506"/>
      <c r="K945" s="507"/>
      <c r="L945" s="508"/>
      <c r="M945" s="508"/>
      <c r="N945" s="508"/>
      <c r="O945" s="509"/>
      <c r="P945" s="509"/>
    </row>
    <row r="946" spans="1:16" ht="21.75" customHeight="1" x14ac:dyDescent="0.3">
      <c r="A946" s="504"/>
      <c r="B946" s="504"/>
      <c r="C946" s="504"/>
      <c r="D946" s="504"/>
      <c r="E946" s="506"/>
      <c r="F946" s="506"/>
      <c r="G946" s="506"/>
      <c r="H946" s="506"/>
      <c r="I946" s="506"/>
      <c r="J946" s="506"/>
      <c r="K946" s="507"/>
      <c r="L946" s="508"/>
      <c r="M946" s="508"/>
      <c r="N946" s="508"/>
      <c r="O946" s="509"/>
      <c r="P946" s="509"/>
    </row>
    <row r="947" spans="1:16" ht="21.75" customHeight="1" x14ac:dyDescent="0.3">
      <c r="A947" s="504"/>
      <c r="B947" s="504"/>
      <c r="C947" s="504"/>
      <c r="D947" s="504"/>
      <c r="E947" s="506"/>
      <c r="F947" s="506"/>
      <c r="G947" s="506"/>
      <c r="H947" s="506"/>
      <c r="I947" s="506"/>
      <c r="J947" s="506"/>
      <c r="K947" s="507"/>
      <c r="L947" s="508"/>
      <c r="M947" s="508"/>
      <c r="N947" s="508"/>
      <c r="O947" s="509"/>
      <c r="P947" s="509"/>
    </row>
    <row r="948" spans="1:16" ht="21.75" customHeight="1" x14ac:dyDescent="0.3">
      <c r="A948" s="504"/>
      <c r="B948" s="504"/>
      <c r="C948" s="504"/>
      <c r="D948" s="504"/>
      <c r="E948" s="506"/>
      <c r="F948" s="506"/>
      <c r="G948" s="506"/>
      <c r="H948" s="506"/>
      <c r="I948" s="506"/>
      <c r="J948" s="506"/>
      <c r="K948" s="507"/>
      <c r="L948" s="508"/>
      <c r="M948" s="508"/>
      <c r="N948" s="508"/>
      <c r="O948" s="509"/>
      <c r="P948" s="509"/>
    </row>
    <row r="949" spans="1:16" ht="21.75" customHeight="1" x14ac:dyDescent="0.3">
      <c r="A949" s="504"/>
      <c r="B949" s="504"/>
      <c r="C949" s="504"/>
      <c r="D949" s="504"/>
      <c r="E949" s="506"/>
      <c r="F949" s="506"/>
      <c r="G949" s="506"/>
      <c r="H949" s="506"/>
      <c r="I949" s="506"/>
      <c r="J949" s="506"/>
      <c r="K949" s="507"/>
      <c r="L949" s="508"/>
      <c r="M949" s="508"/>
      <c r="N949" s="508"/>
      <c r="O949" s="509"/>
      <c r="P949" s="509"/>
    </row>
    <row r="950" spans="1:16" ht="21.75" customHeight="1" x14ac:dyDescent="0.3">
      <c r="A950" s="504"/>
      <c r="B950" s="504"/>
      <c r="C950" s="504"/>
      <c r="D950" s="504"/>
      <c r="E950" s="506"/>
      <c r="F950" s="506"/>
      <c r="G950" s="506"/>
      <c r="H950" s="506"/>
      <c r="I950" s="506"/>
      <c r="J950" s="506"/>
      <c r="K950" s="507"/>
      <c r="L950" s="508"/>
      <c r="M950" s="508"/>
      <c r="N950" s="508"/>
      <c r="O950" s="509"/>
      <c r="P950" s="509"/>
    </row>
    <row r="951" spans="1:16" ht="21.75" customHeight="1" x14ac:dyDescent="0.3">
      <c r="A951" s="504"/>
      <c r="B951" s="504"/>
      <c r="C951" s="504"/>
      <c r="D951" s="504"/>
      <c r="E951" s="506"/>
      <c r="F951" s="506"/>
      <c r="G951" s="506"/>
      <c r="H951" s="506"/>
      <c r="I951" s="506"/>
      <c r="J951" s="506"/>
      <c r="K951" s="507"/>
      <c r="L951" s="508"/>
      <c r="M951" s="508"/>
      <c r="N951" s="508"/>
      <c r="O951" s="509"/>
      <c r="P951" s="509"/>
    </row>
    <row r="952" spans="1:16" ht="21.75" customHeight="1" x14ac:dyDescent="0.3">
      <c r="A952" s="504"/>
      <c r="B952" s="504"/>
      <c r="C952" s="504"/>
      <c r="D952" s="504"/>
      <c r="E952" s="506"/>
      <c r="F952" s="506"/>
      <c r="G952" s="506"/>
      <c r="H952" s="506"/>
      <c r="I952" s="506"/>
      <c r="J952" s="506"/>
      <c r="K952" s="507"/>
      <c r="L952" s="508"/>
      <c r="M952" s="508"/>
      <c r="N952" s="508"/>
      <c r="O952" s="509"/>
      <c r="P952" s="509"/>
    </row>
    <row r="953" spans="1:16" ht="21.75" customHeight="1" x14ac:dyDescent="0.3">
      <c r="A953" s="504"/>
      <c r="B953" s="504"/>
      <c r="C953" s="504"/>
      <c r="D953" s="504"/>
      <c r="E953" s="506"/>
      <c r="F953" s="506"/>
      <c r="G953" s="506"/>
      <c r="H953" s="506"/>
      <c r="I953" s="506"/>
      <c r="J953" s="506"/>
      <c r="K953" s="507"/>
      <c r="L953" s="508"/>
      <c r="M953" s="508"/>
      <c r="N953" s="508"/>
      <c r="O953" s="509"/>
      <c r="P953" s="509"/>
    </row>
    <row r="954" spans="1:16" ht="21.75" customHeight="1" x14ac:dyDescent="0.3">
      <c r="A954" s="504"/>
      <c r="B954" s="504"/>
      <c r="C954" s="504"/>
      <c r="D954" s="504"/>
      <c r="E954" s="506"/>
      <c r="F954" s="506"/>
      <c r="G954" s="506"/>
      <c r="H954" s="506"/>
      <c r="I954" s="506"/>
      <c r="J954" s="506"/>
      <c r="K954" s="507"/>
      <c r="L954" s="508"/>
      <c r="M954" s="508"/>
      <c r="N954" s="508"/>
      <c r="O954" s="509"/>
      <c r="P954" s="509"/>
    </row>
    <row r="955" spans="1:16" ht="21.75" customHeight="1" x14ac:dyDescent="0.3">
      <c r="A955" s="504"/>
      <c r="B955" s="504"/>
      <c r="C955" s="504"/>
      <c r="D955" s="504"/>
      <c r="E955" s="506"/>
      <c r="F955" s="506"/>
      <c r="G955" s="506"/>
      <c r="H955" s="506"/>
      <c r="I955" s="506"/>
      <c r="J955" s="506"/>
      <c r="K955" s="507"/>
      <c r="L955" s="508"/>
      <c r="M955" s="508"/>
      <c r="N955" s="508"/>
      <c r="O955" s="509"/>
      <c r="P955" s="509"/>
    </row>
    <row r="956" spans="1:16" ht="21.75" customHeight="1" x14ac:dyDescent="0.3">
      <c r="A956" s="504"/>
      <c r="B956" s="504"/>
      <c r="C956" s="504"/>
      <c r="D956" s="504"/>
      <c r="E956" s="506"/>
      <c r="F956" s="506"/>
      <c r="G956" s="506"/>
      <c r="H956" s="506"/>
      <c r="I956" s="506"/>
      <c r="J956" s="506"/>
      <c r="K956" s="507"/>
      <c r="L956" s="508"/>
      <c r="M956" s="508"/>
      <c r="N956" s="508"/>
      <c r="O956" s="509"/>
      <c r="P956" s="509"/>
    </row>
    <row r="957" spans="1:16" ht="21.75" customHeight="1" x14ac:dyDescent="0.3">
      <c r="A957" s="504"/>
      <c r="B957" s="504"/>
      <c r="C957" s="504"/>
      <c r="D957" s="504"/>
      <c r="E957" s="506"/>
      <c r="F957" s="506"/>
      <c r="G957" s="506"/>
      <c r="H957" s="506"/>
      <c r="I957" s="506"/>
      <c r="J957" s="506"/>
      <c r="K957" s="507"/>
      <c r="L957" s="508"/>
      <c r="M957" s="508"/>
      <c r="N957" s="508"/>
      <c r="O957" s="509"/>
      <c r="P957" s="509"/>
    </row>
    <row r="958" spans="1:16" ht="21.75" customHeight="1" x14ac:dyDescent="0.3">
      <c r="A958" s="504"/>
      <c r="B958" s="504"/>
      <c r="C958" s="504"/>
      <c r="D958" s="504"/>
      <c r="E958" s="506"/>
      <c r="F958" s="506"/>
      <c r="G958" s="506"/>
      <c r="H958" s="506"/>
      <c r="I958" s="506"/>
      <c r="J958" s="506"/>
      <c r="K958" s="507"/>
      <c r="L958" s="508"/>
      <c r="M958" s="508"/>
      <c r="N958" s="508"/>
      <c r="O958" s="509"/>
      <c r="P958" s="509"/>
    </row>
    <row r="959" spans="1:16" ht="21.75" customHeight="1" x14ac:dyDescent="0.3">
      <c r="A959" s="504"/>
      <c r="B959" s="504"/>
      <c r="C959" s="504"/>
      <c r="D959" s="504"/>
      <c r="E959" s="506"/>
      <c r="F959" s="506"/>
      <c r="G959" s="506"/>
      <c r="H959" s="506"/>
      <c r="I959" s="506"/>
      <c r="J959" s="506"/>
      <c r="K959" s="507"/>
      <c r="L959" s="508"/>
      <c r="M959" s="508"/>
      <c r="N959" s="508"/>
      <c r="O959" s="509"/>
      <c r="P959" s="509"/>
    </row>
    <row r="960" spans="1:16" ht="21.75" customHeight="1" x14ac:dyDescent="0.3">
      <c r="A960" s="504"/>
      <c r="B960" s="504"/>
      <c r="C960" s="504"/>
      <c r="D960" s="504"/>
      <c r="E960" s="506"/>
      <c r="F960" s="506"/>
      <c r="G960" s="506"/>
      <c r="H960" s="506"/>
      <c r="I960" s="506"/>
      <c r="J960" s="506"/>
      <c r="K960" s="507"/>
      <c r="L960" s="508"/>
      <c r="M960" s="508"/>
      <c r="N960" s="508"/>
      <c r="O960" s="509"/>
      <c r="P960" s="509"/>
    </row>
    <row r="961" spans="1:16" ht="21.75" customHeight="1" x14ac:dyDescent="0.3">
      <c r="A961" s="504"/>
      <c r="B961" s="504"/>
      <c r="C961" s="504"/>
      <c r="D961" s="504"/>
      <c r="E961" s="506"/>
      <c r="F961" s="506"/>
      <c r="G961" s="506"/>
      <c r="H961" s="506"/>
      <c r="I961" s="506"/>
      <c r="J961" s="506"/>
      <c r="K961" s="507"/>
      <c r="L961" s="508"/>
      <c r="M961" s="508"/>
      <c r="N961" s="508"/>
      <c r="O961" s="509"/>
      <c r="P961" s="509"/>
    </row>
    <row r="962" spans="1:16" ht="21.75" customHeight="1" x14ac:dyDescent="0.3">
      <c r="A962" s="504"/>
      <c r="B962" s="504"/>
      <c r="C962" s="504"/>
      <c r="D962" s="504"/>
      <c r="E962" s="506"/>
      <c r="F962" s="506"/>
      <c r="G962" s="506"/>
      <c r="H962" s="506"/>
      <c r="I962" s="506"/>
      <c r="J962" s="506"/>
      <c r="K962" s="507"/>
      <c r="L962" s="508"/>
      <c r="M962" s="508"/>
      <c r="N962" s="508"/>
      <c r="O962" s="509"/>
      <c r="P962" s="509"/>
    </row>
    <row r="963" spans="1:16" ht="21.75" customHeight="1" x14ac:dyDescent="0.3">
      <c r="A963" s="504"/>
      <c r="B963" s="504"/>
      <c r="C963" s="504"/>
      <c r="D963" s="504"/>
      <c r="E963" s="506"/>
      <c r="F963" s="506"/>
      <c r="G963" s="506"/>
      <c r="H963" s="506"/>
      <c r="I963" s="506"/>
      <c r="J963" s="506"/>
      <c r="K963" s="507"/>
      <c r="L963" s="508"/>
      <c r="M963" s="508"/>
      <c r="N963" s="508"/>
      <c r="O963" s="509"/>
      <c r="P963" s="509"/>
    </row>
    <row r="964" spans="1:16" ht="21.75" customHeight="1" x14ac:dyDescent="0.3">
      <c r="A964" s="504"/>
      <c r="B964" s="504"/>
      <c r="C964" s="504"/>
      <c r="D964" s="504"/>
      <c r="E964" s="506"/>
      <c r="F964" s="506"/>
      <c r="G964" s="506"/>
      <c r="H964" s="506"/>
      <c r="I964" s="506"/>
      <c r="J964" s="506"/>
      <c r="K964" s="507"/>
      <c r="L964" s="508"/>
      <c r="M964" s="508"/>
      <c r="N964" s="508"/>
      <c r="O964" s="509"/>
      <c r="P964" s="509"/>
    </row>
    <row r="965" spans="1:16" ht="21.75" customHeight="1" x14ac:dyDescent="0.3">
      <c r="A965" s="504"/>
      <c r="B965" s="504"/>
      <c r="C965" s="504"/>
      <c r="D965" s="504"/>
      <c r="E965" s="506"/>
      <c r="F965" s="506"/>
      <c r="G965" s="506"/>
      <c r="H965" s="506"/>
      <c r="I965" s="506"/>
      <c r="J965" s="506"/>
      <c r="K965" s="507"/>
      <c r="L965" s="508"/>
      <c r="M965" s="508"/>
      <c r="N965" s="508"/>
      <c r="O965" s="509"/>
      <c r="P965" s="509"/>
    </row>
    <row r="966" spans="1:16" ht="21.75" customHeight="1" x14ac:dyDescent="0.3">
      <c r="A966" s="504"/>
      <c r="B966" s="504"/>
      <c r="C966" s="504"/>
      <c r="D966" s="504"/>
      <c r="E966" s="506"/>
      <c r="F966" s="506"/>
      <c r="G966" s="506"/>
      <c r="H966" s="506"/>
      <c r="I966" s="506"/>
      <c r="J966" s="506"/>
      <c r="K966" s="507"/>
      <c r="L966" s="508"/>
      <c r="M966" s="508"/>
      <c r="N966" s="508"/>
      <c r="O966" s="509"/>
      <c r="P966" s="509"/>
    </row>
    <row r="967" spans="1:16" ht="21.75" customHeight="1" x14ac:dyDescent="0.3">
      <c r="A967" s="504"/>
      <c r="B967" s="504"/>
      <c r="C967" s="504"/>
      <c r="D967" s="504"/>
      <c r="E967" s="506"/>
      <c r="F967" s="506"/>
      <c r="G967" s="506"/>
      <c r="H967" s="506"/>
      <c r="I967" s="506"/>
      <c r="J967" s="506"/>
      <c r="K967" s="507"/>
      <c r="L967" s="508"/>
      <c r="M967" s="508"/>
      <c r="N967" s="508"/>
      <c r="O967" s="509"/>
      <c r="P967" s="509"/>
    </row>
    <row r="968" spans="1:16" ht="21.75" customHeight="1" x14ac:dyDescent="0.3">
      <c r="A968" s="504"/>
      <c r="B968" s="504"/>
      <c r="C968" s="504"/>
      <c r="D968" s="504"/>
      <c r="E968" s="506"/>
      <c r="F968" s="506"/>
      <c r="G968" s="506"/>
      <c r="H968" s="506"/>
      <c r="I968" s="506"/>
      <c r="J968" s="506"/>
      <c r="K968" s="507"/>
      <c r="L968" s="508"/>
      <c r="M968" s="508"/>
      <c r="N968" s="508"/>
      <c r="O968" s="509"/>
      <c r="P968" s="509"/>
    </row>
    <row r="969" spans="1:16" ht="21.75" customHeight="1" x14ac:dyDescent="0.3">
      <c r="A969" s="504"/>
      <c r="B969" s="504"/>
      <c r="C969" s="504"/>
      <c r="D969" s="504"/>
      <c r="E969" s="506"/>
      <c r="F969" s="506"/>
      <c r="G969" s="506"/>
      <c r="H969" s="506"/>
      <c r="I969" s="506"/>
      <c r="J969" s="506"/>
      <c r="K969" s="507"/>
      <c r="L969" s="508"/>
      <c r="M969" s="508"/>
      <c r="N969" s="508"/>
      <c r="O969" s="509"/>
      <c r="P969" s="509"/>
    </row>
    <row r="970" spans="1:16" ht="21.75" customHeight="1" x14ac:dyDescent="0.3">
      <c r="A970" s="504"/>
      <c r="B970" s="504"/>
      <c r="C970" s="504"/>
      <c r="D970" s="504"/>
      <c r="E970" s="506"/>
      <c r="F970" s="506"/>
      <c r="G970" s="506"/>
      <c r="H970" s="506"/>
      <c r="I970" s="506"/>
      <c r="J970" s="506"/>
      <c r="K970" s="507"/>
      <c r="L970" s="508"/>
      <c r="M970" s="508"/>
      <c r="N970" s="508"/>
      <c r="O970" s="509"/>
      <c r="P970" s="509"/>
    </row>
    <row r="971" spans="1:16" ht="21.75" customHeight="1" x14ac:dyDescent="0.3">
      <c r="A971" s="504"/>
      <c r="B971" s="504"/>
      <c r="C971" s="504"/>
      <c r="D971" s="504"/>
      <c r="E971" s="506"/>
      <c r="F971" s="506"/>
      <c r="G971" s="506"/>
      <c r="H971" s="506"/>
      <c r="I971" s="506"/>
      <c r="J971" s="506"/>
      <c r="K971" s="507"/>
      <c r="L971" s="508"/>
      <c r="M971" s="508"/>
      <c r="N971" s="508"/>
      <c r="O971" s="509"/>
      <c r="P971" s="509"/>
    </row>
    <row r="972" spans="1:16" ht="21.75" customHeight="1" x14ac:dyDescent="0.3">
      <c r="A972" s="504"/>
      <c r="B972" s="504"/>
      <c r="C972" s="504"/>
      <c r="D972" s="504"/>
      <c r="E972" s="506"/>
      <c r="F972" s="506"/>
      <c r="G972" s="506"/>
      <c r="H972" s="506"/>
      <c r="I972" s="506"/>
      <c r="J972" s="506"/>
      <c r="K972" s="507"/>
      <c r="L972" s="508"/>
      <c r="M972" s="508"/>
      <c r="N972" s="508"/>
      <c r="O972" s="509"/>
      <c r="P972" s="509"/>
    </row>
    <row r="973" spans="1:16" ht="21.75" customHeight="1" x14ac:dyDescent="0.3">
      <c r="A973" s="504"/>
      <c r="B973" s="504"/>
      <c r="C973" s="504"/>
      <c r="D973" s="504"/>
      <c r="E973" s="506"/>
      <c r="F973" s="506"/>
      <c r="G973" s="506"/>
      <c r="H973" s="506"/>
      <c r="I973" s="506"/>
      <c r="J973" s="506"/>
      <c r="K973" s="507"/>
      <c r="L973" s="508"/>
      <c r="M973" s="508"/>
      <c r="N973" s="508"/>
      <c r="O973" s="509"/>
      <c r="P973" s="509"/>
    </row>
    <row r="974" spans="1:16" ht="21.75" customHeight="1" x14ac:dyDescent="0.3">
      <c r="A974" s="504"/>
      <c r="B974" s="504"/>
      <c r="C974" s="504"/>
      <c r="D974" s="504"/>
      <c r="E974" s="506"/>
      <c r="F974" s="506"/>
      <c r="G974" s="506"/>
      <c r="H974" s="506"/>
      <c r="I974" s="506"/>
      <c r="J974" s="506"/>
      <c r="K974" s="507"/>
      <c r="L974" s="508"/>
      <c r="M974" s="508"/>
      <c r="N974" s="508"/>
      <c r="O974" s="509"/>
      <c r="P974" s="509"/>
    </row>
    <row r="975" spans="1:16" ht="21.75" customHeight="1" x14ac:dyDescent="0.3">
      <c r="A975" s="504"/>
      <c r="B975" s="504"/>
      <c r="C975" s="504"/>
      <c r="D975" s="504"/>
      <c r="E975" s="506"/>
      <c r="F975" s="506"/>
      <c r="G975" s="506"/>
      <c r="H975" s="506"/>
      <c r="I975" s="506"/>
      <c r="J975" s="506"/>
      <c r="K975" s="507"/>
      <c r="L975" s="508"/>
      <c r="M975" s="508"/>
      <c r="N975" s="508"/>
      <c r="O975" s="509"/>
      <c r="P975" s="509"/>
    </row>
    <row r="976" spans="1:16" ht="21.75" customHeight="1" x14ac:dyDescent="0.3">
      <c r="A976" s="504"/>
      <c r="B976" s="504"/>
      <c r="C976" s="504"/>
      <c r="D976" s="504"/>
      <c r="E976" s="506"/>
      <c r="F976" s="506"/>
      <c r="G976" s="506"/>
      <c r="H976" s="506"/>
      <c r="I976" s="506"/>
      <c r="J976" s="506"/>
      <c r="K976" s="507"/>
      <c r="L976" s="508"/>
      <c r="M976" s="508"/>
      <c r="N976" s="508"/>
      <c r="O976" s="509"/>
      <c r="P976" s="509"/>
    </row>
    <row r="977" spans="1:16" ht="21.75" customHeight="1" x14ac:dyDescent="0.3">
      <c r="A977" s="504"/>
      <c r="B977" s="504"/>
      <c r="C977" s="504"/>
      <c r="D977" s="504"/>
      <c r="E977" s="506"/>
      <c r="F977" s="506"/>
      <c r="G977" s="506"/>
      <c r="H977" s="506"/>
      <c r="I977" s="506"/>
      <c r="J977" s="506"/>
      <c r="K977" s="507"/>
      <c r="L977" s="508"/>
      <c r="M977" s="508"/>
      <c r="N977" s="508"/>
      <c r="O977" s="509"/>
      <c r="P977" s="509"/>
    </row>
    <row r="978" spans="1:16" ht="21.75" customHeight="1" x14ac:dyDescent="0.3">
      <c r="A978" s="504"/>
      <c r="B978" s="504"/>
      <c r="C978" s="504"/>
      <c r="D978" s="504"/>
      <c r="E978" s="506"/>
      <c r="F978" s="506"/>
      <c r="G978" s="506"/>
      <c r="H978" s="506"/>
      <c r="I978" s="506"/>
      <c r="J978" s="506"/>
      <c r="K978" s="507"/>
      <c r="L978" s="508"/>
      <c r="M978" s="508"/>
      <c r="N978" s="508"/>
      <c r="O978" s="509"/>
      <c r="P978" s="509"/>
    </row>
    <row r="979" spans="1:16" ht="21.75" customHeight="1" x14ac:dyDescent="0.3">
      <c r="A979" s="504"/>
      <c r="B979" s="504"/>
      <c r="C979" s="504"/>
      <c r="D979" s="504"/>
      <c r="E979" s="506"/>
      <c r="F979" s="506"/>
      <c r="G979" s="506"/>
      <c r="H979" s="506"/>
      <c r="I979" s="506"/>
      <c r="J979" s="506"/>
      <c r="K979" s="507"/>
      <c r="L979" s="508"/>
      <c r="M979" s="508"/>
      <c r="N979" s="508"/>
      <c r="O979" s="509"/>
      <c r="P979" s="509"/>
    </row>
    <row r="980" spans="1:16" ht="21.75" customHeight="1" x14ac:dyDescent="0.3">
      <c r="A980" s="504"/>
      <c r="B980" s="504"/>
      <c r="C980" s="504"/>
      <c r="D980" s="504"/>
      <c r="E980" s="506"/>
      <c r="F980" s="506"/>
      <c r="G980" s="506"/>
      <c r="H980" s="506"/>
      <c r="I980" s="506"/>
      <c r="J980" s="506"/>
      <c r="K980" s="507"/>
      <c r="L980" s="508"/>
      <c r="M980" s="508"/>
      <c r="N980" s="508"/>
      <c r="O980" s="509"/>
      <c r="P980" s="509"/>
    </row>
    <row r="981" spans="1:16" ht="21.75" customHeight="1" x14ac:dyDescent="0.3">
      <c r="A981" s="504"/>
      <c r="B981" s="504"/>
      <c r="C981" s="504"/>
      <c r="D981" s="504"/>
      <c r="E981" s="506"/>
      <c r="F981" s="506"/>
      <c r="G981" s="506"/>
      <c r="H981" s="506"/>
      <c r="I981" s="506"/>
      <c r="J981" s="506"/>
      <c r="K981" s="507"/>
      <c r="L981" s="508"/>
      <c r="M981" s="508"/>
      <c r="N981" s="508"/>
      <c r="O981" s="509"/>
      <c r="P981" s="509"/>
    </row>
    <row r="982" spans="1:16" ht="21.75" customHeight="1" x14ac:dyDescent="0.3">
      <c r="A982" s="504"/>
      <c r="B982" s="504"/>
      <c r="C982" s="504"/>
      <c r="D982" s="504"/>
      <c r="E982" s="506"/>
      <c r="F982" s="506"/>
      <c r="G982" s="506"/>
      <c r="H982" s="506"/>
      <c r="I982" s="506"/>
      <c r="J982" s="506"/>
      <c r="K982" s="507"/>
      <c r="L982" s="508"/>
      <c r="M982" s="508"/>
      <c r="N982" s="508"/>
      <c r="O982" s="509"/>
      <c r="P982" s="509"/>
    </row>
    <row r="983" spans="1:16" ht="21.75" customHeight="1" x14ac:dyDescent="0.3">
      <c r="A983" s="504"/>
      <c r="B983" s="504"/>
      <c r="C983" s="504"/>
      <c r="D983" s="504"/>
      <c r="E983" s="506"/>
      <c r="F983" s="506"/>
      <c r="G983" s="506"/>
      <c r="H983" s="506"/>
      <c r="I983" s="506"/>
      <c r="J983" s="506"/>
      <c r="K983" s="507"/>
      <c r="L983" s="508"/>
      <c r="M983" s="508"/>
      <c r="N983" s="508"/>
      <c r="O983" s="509"/>
      <c r="P983" s="509"/>
    </row>
    <row r="984" spans="1:16" ht="21.75" customHeight="1" x14ac:dyDescent="0.3">
      <c r="A984" s="504"/>
      <c r="B984" s="504"/>
      <c r="C984" s="504"/>
      <c r="D984" s="504"/>
      <c r="E984" s="506"/>
      <c r="F984" s="506"/>
      <c r="G984" s="506"/>
      <c r="H984" s="506"/>
      <c r="I984" s="506"/>
      <c r="J984" s="506"/>
      <c r="K984" s="507"/>
      <c r="L984" s="508"/>
      <c r="M984" s="508"/>
      <c r="N984" s="508"/>
      <c r="O984" s="509"/>
      <c r="P984" s="509"/>
    </row>
    <row r="985" spans="1:16" ht="21.75" customHeight="1" x14ac:dyDescent="0.3">
      <c r="A985" s="504"/>
      <c r="B985" s="504"/>
      <c r="C985" s="504"/>
      <c r="D985" s="504"/>
      <c r="E985" s="506"/>
      <c r="F985" s="506"/>
      <c r="G985" s="506"/>
      <c r="H985" s="506"/>
      <c r="I985" s="506"/>
      <c r="J985" s="506"/>
      <c r="K985" s="507"/>
      <c r="L985" s="508"/>
      <c r="M985" s="508"/>
      <c r="N985" s="508"/>
      <c r="O985" s="509"/>
      <c r="P985" s="509"/>
    </row>
    <row r="986" spans="1:16" ht="21.75" customHeight="1" x14ac:dyDescent="0.3">
      <c r="A986" s="504"/>
      <c r="B986" s="504"/>
      <c r="C986" s="504"/>
      <c r="D986" s="504"/>
      <c r="E986" s="506"/>
      <c r="F986" s="506"/>
      <c r="G986" s="506"/>
      <c r="H986" s="506"/>
      <c r="I986" s="506"/>
      <c r="J986" s="506"/>
      <c r="K986" s="507"/>
      <c r="L986" s="508"/>
      <c r="M986" s="508"/>
      <c r="N986" s="508"/>
      <c r="O986" s="509"/>
      <c r="P986" s="509"/>
    </row>
    <row r="987" spans="1:16" ht="21.75" customHeight="1" x14ac:dyDescent="0.3">
      <c r="A987" s="504"/>
      <c r="B987" s="504"/>
      <c r="C987" s="504"/>
      <c r="D987" s="504"/>
      <c r="E987" s="506"/>
      <c r="F987" s="506"/>
      <c r="G987" s="506"/>
      <c r="H987" s="506"/>
      <c r="I987" s="506"/>
      <c r="J987" s="506"/>
      <c r="K987" s="507"/>
      <c r="L987" s="508"/>
      <c r="M987" s="508"/>
      <c r="N987" s="508"/>
      <c r="O987" s="509"/>
      <c r="P987" s="509"/>
    </row>
    <row r="988" spans="1:16" ht="21.75" customHeight="1" x14ac:dyDescent="0.3">
      <c r="A988" s="504"/>
      <c r="B988" s="504"/>
      <c r="C988" s="504"/>
      <c r="D988" s="504"/>
      <c r="E988" s="506"/>
      <c r="F988" s="506"/>
      <c r="G988" s="506"/>
      <c r="H988" s="506"/>
      <c r="I988" s="506"/>
      <c r="J988" s="506"/>
      <c r="K988" s="507"/>
      <c r="L988" s="508"/>
      <c r="M988" s="508"/>
      <c r="N988" s="508"/>
      <c r="O988" s="509"/>
      <c r="P988" s="509"/>
    </row>
    <row r="989" spans="1:16" ht="21.75" customHeight="1" x14ac:dyDescent="0.3">
      <c r="A989" s="504"/>
      <c r="B989" s="504"/>
      <c r="C989" s="504"/>
      <c r="D989" s="504"/>
      <c r="E989" s="506"/>
      <c r="F989" s="506"/>
      <c r="G989" s="506"/>
      <c r="H989" s="506"/>
      <c r="I989" s="506"/>
      <c r="J989" s="506"/>
      <c r="K989" s="507"/>
      <c r="L989" s="508"/>
      <c r="M989" s="508"/>
      <c r="N989" s="508"/>
      <c r="O989" s="509"/>
      <c r="P989" s="509"/>
    </row>
    <row r="990" spans="1:16" ht="21.75" customHeight="1" x14ac:dyDescent="0.3">
      <c r="A990" s="504"/>
      <c r="B990" s="504"/>
      <c r="C990" s="504"/>
      <c r="D990" s="504"/>
      <c r="E990" s="506"/>
      <c r="F990" s="506"/>
      <c r="G990" s="506"/>
      <c r="H990" s="506"/>
      <c r="I990" s="506"/>
      <c r="J990" s="506"/>
      <c r="K990" s="507"/>
      <c r="L990" s="508"/>
      <c r="M990" s="508"/>
      <c r="N990" s="508"/>
      <c r="O990" s="509"/>
      <c r="P990" s="509"/>
    </row>
    <row r="991" spans="1:16" ht="21.75" customHeight="1" x14ac:dyDescent="0.3">
      <c r="A991" s="504"/>
      <c r="B991" s="504"/>
      <c r="C991" s="504"/>
      <c r="D991" s="504"/>
      <c r="E991" s="506"/>
      <c r="F991" s="506"/>
      <c r="G991" s="506"/>
      <c r="H991" s="506"/>
      <c r="I991" s="506"/>
      <c r="J991" s="506"/>
      <c r="K991" s="507"/>
      <c r="L991" s="508"/>
      <c r="M991" s="508"/>
      <c r="N991" s="508"/>
      <c r="O991" s="509"/>
      <c r="P991" s="509"/>
    </row>
    <row r="992" spans="1:16" ht="21.75" customHeight="1" x14ac:dyDescent="0.3">
      <c r="A992" s="504"/>
      <c r="B992" s="504"/>
      <c r="C992" s="504"/>
      <c r="D992" s="504"/>
      <c r="E992" s="506"/>
      <c r="F992" s="506"/>
      <c r="G992" s="506"/>
      <c r="H992" s="506"/>
      <c r="I992" s="506"/>
      <c r="J992" s="506"/>
      <c r="K992" s="507"/>
      <c r="L992" s="508"/>
      <c r="M992" s="508"/>
      <c r="N992" s="508"/>
      <c r="O992" s="509"/>
      <c r="P992" s="509"/>
    </row>
    <row r="993" spans="1:16" ht="21.75" customHeight="1" x14ac:dyDescent="0.3">
      <c r="A993" s="504"/>
      <c r="B993" s="504"/>
      <c r="C993" s="504"/>
      <c r="D993" s="504"/>
      <c r="E993" s="506"/>
      <c r="F993" s="506"/>
      <c r="G993" s="506"/>
      <c r="H993" s="506"/>
      <c r="I993" s="506"/>
      <c r="J993" s="506"/>
      <c r="K993" s="507"/>
      <c r="L993" s="508"/>
      <c r="M993" s="508"/>
      <c r="N993" s="508"/>
      <c r="O993" s="509"/>
      <c r="P993" s="509"/>
    </row>
    <row r="994" spans="1:16" ht="21.75" customHeight="1" x14ac:dyDescent="0.3">
      <c r="A994" s="504"/>
      <c r="B994" s="504"/>
      <c r="C994" s="504"/>
      <c r="D994" s="504"/>
      <c r="E994" s="506"/>
      <c r="F994" s="506"/>
      <c r="G994" s="506"/>
      <c r="H994" s="506"/>
      <c r="I994" s="506"/>
      <c r="J994" s="506"/>
      <c r="K994" s="507"/>
      <c r="L994" s="508"/>
      <c r="M994" s="508"/>
      <c r="N994" s="508"/>
      <c r="O994" s="509"/>
      <c r="P994" s="509"/>
    </row>
    <row r="995" spans="1:16" ht="21.75" customHeight="1" x14ac:dyDescent="0.3">
      <c r="A995" s="504"/>
      <c r="B995" s="504"/>
      <c r="C995" s="504"/>
      <c r="D995" s="504"/>
      <c r="E995" s="506"/>
      <c r="F995" s="506"/>
      <c r="G995" s="506"/>
      <c r="H995" s="506"/>
      <c r="I995" s="506"/>
      <c r="J995" s="506"/>
      <c r="K995" s="507"/>
      <c r="L995" s="508"/>
      <c r="M995" s="508"/>
      <c r="N995" s="508"/>
      <c r="O995" s="509"/>
      <c r="P995" s="509"/>
    </row>
    <row r="996" spans="1:16" ht="21.75" customHeight="1" x14ac:dyDescent="0.3">
      <c r="A996" s="504"/>
      <c r="B996" s="504"/>
      <c r="C996" s="504"/>
      <c r="D996" s="504"/>
      <c r="E996" s="506"/>
      <c r="F996" s="506"/>
      <c r="G996" s="506"/>
      <c r="H996" s="506"/>
      <c r="I996" s="506"/>
      <c r="J996" s="506"/>
      <c r="K996" s="507"/>
      <c r="L996" s="508"/>
      <c r="M996" s="508"/>
      <c r="N996" s="508"/>
      <c r="O996" s="509"/>
      <c r="P996" s="509"/>
    </row>
    <row r="997" spans="1:16" ht="21.75" customHeight="1" x14ac:dyDescent="0.3">
      <c r="A997" s="504"/>
      <c r="B997" s="504"/>
      <c r="C997" s="504"/>
      <c r="D997" s="504"/>
      <c r="E997" s="506"/>
      <c r="F997" s="506"/>
      <c r="G997" s="506"/>
      <c r="H997" s="506"/>
      <c r="I997" s="506"/>
      <c r="J997" s="506"/>
      <c r="K997" s="507"/>
      <c r="L997" s="508"/>
      <c r="M997" s="508"/>
      <c r="N997" s="508"/>
      <c r="O997" s="509"/>
      <c r="P997" s="509"/>
    </row>
    <row r="998" spans="1:16" ht="21.75" customHeight="1" x14ac:dyDescent="0.3">
      <c r="A998" s="504"/>
      <c r="B998" s="504"/>
      <c r="C998" s="504"/>
      <c r="D998" s="504"/>
      <c r="E998" s="506"/>
      <c r="F998" s="506"/>
      <c r="G998" s="506"/>
      <c r="H998" s="506"/>
      <c r="I998" s="506"/>
      <c r="J998" s="506"/>
      <c r="K998" s="507"/>
      <c r="L998" s="508"/>
      <c r="M998" s="508"/>
      <c r="N998" s="508"/>
      <c r="O998" s="509"/>
      <c r="P998" s="509"/>
    </row>
    <row r="999" spans="1:16" ht="21.75" customHeight="1" x14ac:dyDescent="0.3">
      <c r="A999" s="504"/>
      <c r="B999" s="504"/>
      <c r="C999" s="504"/>
      <c r="D999" s="504"/>
      <c r="E999" s="506"/>
      <c r="F999" s="506"/>
      <c r="G999" s="506"/>
      <c r="H999" s="506"/>
      <c r="I999" s="506"/>
      <c r="J999" s="506"/>
      <c r="K999" s="507"/>
      <c r="L999" s="508"/>
      <c r="M999" s="508"/>
      <c r="N999" s="508"/>
      <c r="O999" s="509"/>
      <c r="P999" s="509"/>
    </row>
    <row r="1000" spans="1:16" ht="21.75" customHeight="1" x14ac:dyDescent="0.3">
      <c r="A1000" s="504"/>
      <c r="B1000" s="504"/>
      <c r="C1000" s="504"/>
      <c r="D1000" s="504"/>
      <c r="E1000" s="506"/>
      <c r="F1000" s="506"/>
      <c r="G1000" s="506"/>
      <c r="H1000" s="506"/>
      <c r="I1000" s="506"/>
      <c r="J1000" s="506"/>
      <c r="K1000" s="507"/>
      <c r="L1000" s="508"/>
      <c r="M1000" s="508"/>
      <c r="N1000" s="508"/>
      <c r="O1000" s="509"/>
      <c r="P1000" s="509"/>
    </row>
    <row r="1001" spans="1:16" ht="21.75" customHeight="1" x14ac:dyDescent="0.3">
      <c r="A1001" s="504"/>
      <c r="B1001" s="504"/>
      <c r="C1001" s="504"/>
      <c r="D1001" s="504"/>
      <c r="E1001" s="506"/>
      <c r="F1001" s="506"/>
      <c r="G1001" s="506"/>
      <c r="H1001" s="506"/>
      <c r="I1001" s="506"/>
      <c r="J1001" s="506"/>
      <c r="K1001" s="507"/>
      <c r="L1001" s="508"/>
      <c r="M1001" s="508"/>
      <c r="N1001" s="508"/>
      <c r="O1001" s="509"/>
      <c r="P1001" s="509"/>
    </row>
    <row r="1002" spans="1:16" ht="21.75" customHeight="1" x14ac:dyDescent="0.3">
      <c r="A1002" s="504"/>
      <c r="B1002" s="504"/>
      <c r="C1002" s="504"/>
      <c r="D1002" s="504"/>
      <c r="E1002" s="506"/>
      <c r="F1002" s="506"/>
      <c r="G1002" s="506"/>
      <c r="H1002" s="506"/>
      <c r="I1002" s="506"/>
      <c r="J1002" s="506"/>
      <c r="K1002" s="507"/>
      <c r="L1002" s="508"/>
      <c r="M1002" s="508"/>
      <c r="N1002" s="508"/>
      <c r="O1002" s="509"/>
      <c r="P1002" s="509"/>
    </row>
    <row r="1003" spans="1:16" ht="21.75" customHeight="1" x14ac:dyDescent="0.3">
      <c r="A1003" s="504"/>
      <c r="B1003" s="504"/>
      <c r="C1003" s="504"/>
      <c r="D1003" s="504"/>
      <c r="E1003" s="506"/>
      <c r="F1003" s="506"/>
      <c r="G1003" s="506"/>
      <c r="H1003" s="506"/>
      <c r="I1003" s="506"/>
      <c r="J1003" s="506"/>
      <c r="K1003" s="507"/>
      <c r="L1003" s="508"/>
      <c r="M1003" s="508"/>
      <c r="N1003" s="508"/>
      <c r="O1003" s="509"/>
      <c r="P1003" s="509"/>
    </row>
    <row r="1004" spans="1:16" ht="21.75" customHeight="1" x14ac:dyDescent="0.3">
      <c r="A1004" s="504"/>
      <c r="B1004" s="504"/>
      <c r="C1004" s="504"/>
      <c r="D1004" s="504"/>
      <c r="E1004" s="506"/>
      <c r="F1004" s="506"/>
      <c r="G1004" s="506"/>
      <c r="H1004" s="506"/>
      <c r="I1004" s="506"/>
      <c r="J1004" s="506"/>
      <c r="K1004" s="507"/>
      <c r="L1004" s="508"/>
      <c r="M1004" s="508"/>
      <c r="N1004" s="508"/>
      <c r="O1004" s="509"/>
      <c r="P1004" s="509"/>
    </row>
    <row r="1005" spans="1:16" ht="21.75" customHeight="1" x14ac:dyDescent="0.3">
      <c r="A1005" s="504"/>
      <c r="B1005" s="504"/>
      <c r="C1005" s="504"/>
      <c r="D1005" s="504"/>
      <c r="E1005" s="506"/>
      <c r="F1005" s="506"/>
      <c r="G1005" s="506"/>
      <c r="H1005" s="506"/>
      <c r="I1005" s="506"/>
      <c r="J1005" s="506"/>
      <c r="K1005" s="507"/>
      <c r="L1005" s="508"/>
      <c r="M1005" s="508"/>
      <c r="N1005" s="508"/>
      <c r="O1005" s="509"/>
      <c r="P1005" s="509"/>
    </row>
    <row r="1006" spans="1:16" ht="21.75" customHeight="1" x14ac:dyDescent="0.3">
      <c r="A1006" s="504"/>
      <c r="B1006" s="504"/>
      <c r="C1006" s="504"/>
      <c r="D1006" s="504"/>
      <c r="E1006" s="506"/>
      <c r="F1006" s="506"/>
      <c r="G1006" s="506"/>
      <c r="H1006" s="506"/>
      <c r="I1006" s="506"/>
      <c r="J1006" s="506"/>
      <c r="K1006" s="507"/>
      <c r="L1006" s="508"/>
      <c r="M1006" s="508"/>
      <c r="N1006" s="508"/>
      <c r="O1006" s="509"/>
      <c r="P1006" s="509"/>
    </row>
    <row r="1007" spans="1:16" ht="21.75" customHeight="1" x14ac:dyDescent="0.3">
      <c r="A1007" s="504"/>
      <c r="B1007" s="504"/>
      <c r="C1007" s="504"/>
      <c r="D1007" s="504"/>
      <c r="E1007" s="506"/>
      <c r="F1007" s="506"/>
      <c r="G1007" s="506"/>
      <c r="H1007" s="506"/>
      <c r="I1007" s="506"/>
      <c r="J1007" s="506"/>
      <c r="K1007" s="507"/>
      <c r="L1007" s="508"/>
      <c r="M1007" s="508"/>
      <c r="N1007" s="508"/>
      <c r="O1007" s="509"/>
      <c r="P1007" s="509"/>
    </row>
    <row r="1008" spans="1:16" ht="21.75" customHeight="1" x14ac:dyDescent="0.3">
      <c r="A1008" s="504"/>
      <c r="B1008" s="504"/>
      <c r="C1008" s="504"/>
      <c r="D1008" s="504"/>
      <c r="E1008" s="506"/>
      <c r="F1008" s="506"/>
      <c r="G1008" s="506"/>
      <c r="H1008" s="506"/>
      <c r="I1008" s="506"/>
      <c r="J1008" s="506"/>
      <c r="K1008" s="507"/>
      <c r="L1008" s="508"/>
      <c r="M1008" s="508"/>
      <c r="N1008" s="508"/>
      <c r="O1008" s="509"/>
      <c r="P1008" s="509"/>
    </row>
    <row r="1009" spans="1:16" ht="21.75" customHeight="1" x14ac:dyDescent="0.3">
      <c r="A1009" s="504"/>
      <c r="B1009" s="504"/>
      <c r="C1009" s="504"/>
      <c r="D1009" s="504"/>
      <c r="E1009" s="506"/>
      <c r="F1009" s="506"/>
      <c r="G1009" s="506"/>
      <c r="H1009" s="506"/>
      <c r="I1009" s="506"/>
      <c r="J1009" s="506"/>
      <c r="K1009" s="507"/>
      <c r="L1009" s="508"/>
      <c r="M1009" s="508"/>
      <c r="N1009" s="508"/>
      <c r="O1009" s="509"/>
      <c r="P1009" s="509"/>
    </row>
    <row r="1010" spans="1:16" ht="21.75" customHeight="1" x14ac:dyDescent="0.3">
      <c r="A1010" s="504"/>
      <c r="B1010" s="504"/>
      <c r="C1010" s="504"/>
      <c r="D1010" s="504"/>
      <c r="E1010" s="506"/>
      <c r="F1010" s="506"/>
      <c r="G1010" s="506"/>
      <c r="H1010" s="506"/>
      <c r="I1010" s="506"/>
      <c r="J1010" s="506"/>
      <c r="K1010" s="507"/>
      <c r="L1010" s="508"/>
      <c r="M1010" s="508"/>
      <c r="N1010" s="508"/>
      <c r="O1010" s="509"/>
      <c r="P1010" s="509"/>
    </row>
    <row r="1011" spans="1:16" ht="21.75" customHeight="1" x14ac:dyDescent="0.3">
      <c r="A1011" s="504"/>
      <c r="B1011" s="504"/>
      <c r="C1011" s="504"/>
      <c r="D1011" s="504"/>
      <c r="E1011" s="506"/>
      <c r="F1011" s="506"/>
      <c r="G1011" s="506"/>
      <c r="H1011" s="506"/>
      <c r="I1011" s="506"/>
      <c r="J1011" s="506"/>
      <c r="K1011" s="507"/>
      <c r="L1011" s="508"/>
      <c r="M1011" s="508"/>
      <c r="N1011" s="508"/>
      <c r="O1011" s="509"/>
      <c r="P1011" s="509"/>
    </row>
    <row r="1012" spans="1:16" ht="21.75" customHeight="1" x14ac:dyDescent="0.3">
      <c r="A1012" s="504"/>
      <c r="B1012" s="504"/>
      <c r="C1012" s="504"/>
      <c r="D1012" s="504"/>
      <c r="E1012" s="506"/>
      <c r="F1012" s="506"/>
      <c r="G1012" s="506"/>
      <c r="H1012" s="506"/>
      <c r="I1012" s="506"/>
      <c r="J1012" s="506"/>
      <c r="K1012" s="507"/>
      <c r="L1012" s="508"/>
      <c r="M1012" s="508"/>
      <c r="N1012" s="508"/>
      <c r="O1012" s="509"/>
      <c r="P1012" s="509"/>
    </row>
    <row r="1013" spans="1:16" ht="21.75" customHeight="1" x14ac:dyDescent="0.3">
      <c r="A1013" s="504"/>
      <c r="B1013" s="504"/>
      <c r="C1013" s="504"/>
      <c r="D1013" s="504"/>
      <c r="E1013" s="506"/>
      <c r="F1013" s="506"/>
      <c r="G1013" s="506"/>
      <c r="H1013" s="506"/>
      <c r="I1013" s="506"/>
      <c r="J1013" s="506"/>
      <c r="K1013" s="507"/>
      <c r="L1013" s="508"/>
      <c r="M1013" s="508"/>
      <c r="N1013" s="508"/>
      <c r="O1013" s="509"/>
      <c r="P1013" s="509"/>
    </row>
    <row r="1014" spans="1:16" ht="21.75" customHeight="1" x14ac:dyDescent="0.3">
      <c r="A1014" s="504"/>
      <c r="B1014" s="504"/>
      <c r="C1014" s="504"/>
      <c r="D1014" s="504"/>
      <c r="E1014" s="506"/>
      <c r="F1014" s="506"/>
      <c r="G1014" s="506"/>
      <c r="H1014" s="506"/>
      <c r="I1014" s="506"/>
      <c r="J1014" s="506"/>
      <c r="K1014" s="507"/>
      <c r="L1014" s="508"/>
      <c r="M1014" s="508"/>
      <c r="N1014" s="508"/>
      <c r="O1014" s="509"/>
      <c r="P1014" s="509"/>
    </row>
    <row r="1015" spans="1:16" ht="21.75" customHeight="1" x14ac:dyDescent="0.3">
      <c r="A1015" s="504"/>
      <c r="B1015" s="504"/>
      <c r="C1015" s="504"/>
      <c r="D1015" s="504"/>
      <c r="E1015" s="506"/>
      <c r="F1015" s="506"/>
      <c r="G1015" s="506"/>
      <c r="H1015" s="506"/>
      <c r="I1015" s="506"/>
      <c r="J1015" s="506"/>
      <c r="K1015" s="507"/>
      <c r="L1015" s="508"/>
      <c r="M1015" s="508"/>
      <c r="N1015" s="508"/>
      <c r="O1015" s="509"/>
      <c r="P1015" s="509"/>
    </row>
    <row r="1016" spans="1:16" ht="21.75" customHeight="1" x14ac:dyDescent="0.3">
      <c r="A1016" s="504"/>
      <c r="B1016" s="504"/>
      <c r="C1016" s="504"/>
      <c r="D1016" s="504"/>
      <c r="E1016" s="506"/>
      <c r="F1016" s="506"/>
      <c r="G1016" s="506"/>
      <c r="H1016" s="506"/>
      <c r="I1016" s="506"/>
      <c r="J1016" s="506"/>
      <c r="K1016" s="507"/>
      <c r="L1016" s="508"/>
      <c r="M1016" s="508"/>
      <c r="N1016" s="508"/>
      <c r="O1016" s="509"/>
      <c r="P1016" s="509"/>
    </row>
    <row r="1017" spans="1:16" ht="21.75" customHeight="1" x14ac:dyDescent="0.3">
      <c r="A1017" s="504"/>
      <c r="B1017" s="504"/>
      <c r="C1017" s="504"/>
      <c r="D1017" s="504"/>
      <c r="E1017" s="506"/>
      <c r="F1017" s="506"/>
      <c r="G1017" s="506"/>
      <c r="H1017" s="506"/>
      <c r="I1017" s="506"/>
      <c r="J1017" s="506"/>
      <c r="K1017" s="507"/>
      <c r="L1017" s="508"/>
      <c r="M1017" s="508"/>
      <c r="N1017" s="508"/>
      <c r="O1017" s="509"/>
      <c r="P1017" s="509"/>
    </row>
    <row r="1018" spans="1:16" ht="21.75" customHeight="1" x14ac:dyDescent="0.3">
      <c r="A1018" s="504"/>
      <c r="B1018" s="504"/>
      <c r="C1018" s="504"/>
      <c r="D1018" s="504"/>
      <c r="E1018" s="506"/>
      <c r="F1018" s="506"/>
      <c r="G1018" s="506"/>
      <c r="H1018" s="506"/>
      <c r="I1018" s="506"/>
      <c r="J1018" s="506"/>
      <c r="K1018" s="507"/>
      <c r="L1018" s="508"/>
      <c r="M1018" s="508"/>
      <c r="N1018" s="508"/>
      <c r="O1018" s="509"/>
      <c r="P1018" s="509"/>
    </row>
    <row r="1019" spans="1:16" ht="21.75" customHeight="1" x14ac:dyDescent="0.3">
      <c r="A1019" s="504"/>
      <c r="B1019" s="504"/>
      <c r="C1019" s="504"/>
      <c r="D1019" s="504"/>
      <c r="E1019" s="506"/>
      <c r="F1019" s="506"/>
      <c r="G1019" s="506"/>
      <c r="H1019" s="506"/>
      <c r="I1019" s="506"/>
      <c r="J1019" s="506"/>
      <c r="K1019" s="507"/>
      <c r="L1019" s="508"/>
      <c r="M1019" s="508"/>
      <c r="N1019" s="508"/>
      <c r="O1019" s="509"/>
      <c r="P1019" s="509"/>
    </row>
    <row r="1020" spans="1:16" ht="21.75" customHeight="1" x14ac:dyDescent="0.3">
      <c r="A1020" s="504"/>
      <c r="B1020" s="504"/>
      <c r="C1020" s="504"/>
      <c r="D1020" s="504"/>
      <c r="E1020" s="506"/>
      <c r="F1020" s="506"/>
      <c r="G1020" s="506"/>
      <c r="H1020" s="506"/>
      <c r="I1020" s="506"/>
      <c r="J1020" s="506"/>
      <c r="K1020" s="507"/>
      <c r="L1020" s="508"/>
      <c r="M1020" s="508"/>
      <c r="N1020" s="508"/>
      <c r="O1020" s="509"/>
      <c r="P1020" s="509"/>
    </row>
    <row r="1021" spans="1:16" ht="21.75" customHeight="1" x14ac:dyDescent="0.3">
      <c r="A1021" s="504"/>
      <c r="B1021" s="504"/>
      <c r="C1021" s="504"/>
      <c r="D1021" s="504"/>
      <c r="E1021" s="506"/>
      <c r="F1021" s="506"/>
      <c r="G1021" s="506"/>
      <c r="H1021" s="506"/>
      <c r="I1021" s="506"/>
      <c r="J1021" s="506"/>
      <c r="K1021" s="507"/>
      <c r="L1021" s="508"/>
      <c r="M1021" s="508"/>
      <c r="N1021" s="508"/>
      <c r="O1021" s="509"/>
      <c r="P1021" s="509"/>
    </row>
    <row r="1022" spans="1:16" ht="21.75" customHeight="1" x14ac:dyDescent="0.3">
      <c r="A1022" s="504"/>
      <c r="B1022" s="504"/>
      <c r="C1022" s="504"/>
      <c r="D1022" s="504"/>
      <c r="E1022" s="506"/>
      <c r="F1022" s="506"/>
      <c r="G1022" s="506"/>
      <c r="H1022" s="506"/>
      <c r="I1022" s="506"/>
      <c r="J1022" s="506"/>
      <c r="K1022" s="507"/>
      <c r="L1022" s="508"/>
      <c r="M1022" s="508"/>
      <c r="N1022" s="508"/>
      <c r="O1022" s="509"/>
      <c r="P1022" s="509"/>
    </row>
    <row r="1023" spans="1:16" ht="21.75" customHeight="1" x14ac:dyDescent="0.3">
      <c r="A1023" s="504"/>
      <c r="B1023" s="504"/>
      <c r="C1023" s="504"/>
      <c r="D1023" s="504"/>
      <c r="E1023" s="506"/>
      <c r="F1023" s="506"/>
      <c r="G1023" s="506"/>
      <c r="H1023" s="506"/>
      <c r="I1023" s="506"/>
      <c r="J1023" s="506"/>
      <c r="K1023" s="507"/>
      <c r="L1023" s="508"/>
      <c r="M1023" s="508"/>
      <c r="N1023" s="508"/>
      <c r="O1023" s="509"/>
      <c r="P1023" s="509"/>
    </row>
    <row r="1024" spans="1:16" ht="21.75" customHeight="1" x14ac:dyDescent="0.3">
      <c r="A1024" s="504"/>
      <c r="B1024" s="504"/>
      <c r="C1024" s="504"/>
      <c r="D1024" s="504"/>
      <c r="E1024" s="506"/>
      <c r="F1024" s="506"/>
      <c r="G1024" s="506"/>
      <c r="H1024" s="506"/>
      <c r="I1024" s="506"/>
      <c r="J1024" s="506"/>
      <c r="K1024" s="507"/>
      <c r="L1024" s="508"/>
      <c r="M1024" s="508"/>
      <c r="N1024" s="508"/>
      <c r="O1024" s="509"/>
      <c r="P1024" s="509"/>
    </row>
    <row r="1025" spans="1:16" ht="21.75" customHeight="1" x14ac:dyDescent="0.3">
      <c r="A1025" s="504"/>
      <c r="B1025" s="504"/>
      <c r="C1025" s="504"/>
      <c r="D1025" s="504"/>
      <c r="E1025" s="506"/>
      <c r="F1025" s="506"/>
      <c r="G1025" s="506"/>
      <c r="H1025" s="506"/>
      <c r="I1025" s="506"/>
      <c r="J1025" s="506"/>
      <c r="K1025" s="507"/>
      <c r="L1025" s="508"/>
      <c r="M1025" s="508"/>
      <c r="N1025" s="508"/>
      <c r="O1025" s="509"/>
      <c r="P1025" s="509"/>
    </row>
    <row r="1026" spans="1:16" ht="21.75" customHeight="1" x14ac:dyDescent="0.3">
      <c r="A1026" s="504"/>
      <c r="B1026" s="504"/>
      <c r="C1026" s="504"/>
      <c r="D1026" s="504"/>
      <c r="E1026" s="506"/>
      <c r="F1026" s="506"/>
      <c r="G1026" s="506"/>
      <c r="H1026" s="506"/>
      <c r="I1026" s="506"/>
      <c r="J1026" s="506"/>
      <c r="K1026" s="507"/>
      <c r="L1026" s="508"/>
      <c r="M1026" s="508"/>
      <c r="N1026" s="508"/>
      <c r="O1026" s="509"/>
      <c r="P1026" s="509"/>
    </row>
    <row r="1027" spans="1:16" ht="21.75" customHeight="1" x14ac:dyDescent="0.3">
      <c r="A1027" s="504"/>
      <c r="B1027" s="504"/>
      <c r="C1027" s="504"/>
      <c r="D1027" s="504"/>
      <c r="E1027" s="506"/>
      <c r="F1027" s="506"/>
      <c r="G1027" s="506"/>
      <c r="H1027" s="506"/>
      <c r="I1027" s="506"/>
      <c r="J1027" s="506"/>
      <c r="K1027" s="507"/>
      <c r="L1027" s="508"/>
      <c r="M1027" s="508"/>
      <c r="N1027" s="508"/>
      <c r="O1027" s="509"/>
      <c r="P1027" s="509"/>
    </row>
    <row r="1028" spans="1:16" ht="21.75" customHeight="1" x14ac:dyDescent="0.3">
      <c r="A1028" s="504"/>
      <c r="B1028" s="504"/>
      <c r="C1028" s="504"/>
      <c r="D1028" s="504"/>
      <c r="E1028" s="506"/>
      <c r="F1028" s="506"/>
      <c r="G1028" s="506"/>
      <c r="H1028" s="506"/>
      <c r="I1028" s="506"/>
      <c r="J1028" s="506"/>
      <c r="K1028" s="507"/>
      <c r="L1028" s="508"/>
      <c r="M1028" s="508"/>
      <c r="N1028" s="508"/>
      <c r="O1028" s="509"/>
      <c r="P1028" s="509"/>
    </row>
    <row r="1029" spans="1:16" ht="21.75" customHeight="1" x14ac:dyDescent="0.3">
      <c r="A1029" s="504"/>
      <c r="B1029" s="504"/>
      <c r="C1029" s="504"/>
      <c r="D1029" s="504"/>
      <c r="E1029" s="506"/>
      <c r="F1029" s="506"/>
      <c r="G1029" s="506"/>
      <c r="H1029" s="506"/>
      <c r="I1029" s="506"/>
      <c r="J1029" s="506"/>
      <c r="K1029" s="507"/>
      <c r="L1029" s="508"/>
      <c r="M1029" s="508"/>
      <c r="N1029" s="508"/>
      <c r="O1029" s="509"/>
      <c r="P1029" s="509"/>
    </row>
    <row r="1030" spans="1:16" ht="21.75" customHeight="1" x14ac:dyDescent="0.3">
      <c r="A1030" s="504"/>
      <c r="B1030" s="504"/>
      <c r="C1030" s="504"/>
      <c r="D1030" s="504"/>
      <c r="E1030" s="506"/>
      <c r="F1030" s="506"/>
      <c r="G1030" s="506"/>
      <c r="H1030" s="506"/>
      <c r="I1030" s="506"/>
      <c r="J1030" s="506"/>
      <c r="K1030" s="507"/>
      <c r="L1030" s="508"/>
      <c r="M1030" s="508"/>
      <c r="N1030" s="508"/>
      <c r="O1030" s="509"/>
      <c r="P1030" s="509"/>
    </row>
    <row r="1031" spans="1:16" ht="21.75" customHeight="1" x14ac:dyDescent="0.3">
      <c r="A1031" s="504"/>
      <c r="B1031" s="504"/>
      <c r="C1031" s="504"/>
      <c r="D1031" s="504"/>
      <c r="E1031" s="506"/>
      <c r="F1031" s="506"/>
      <c r="G1031" s="506"/>
      <c r="H1031" s="506"/>
      <c r="I1031" s="506"/>
      <c r="J1031" s="506"/>
      <c r="K1031" s="507"/>
      <c r="L1031" s="508"/>
      <c r="M1031" s="508"/>
      <c r="N1031" s="508"/>
      <c r="O1031" s="509"/>
      <c r="P1031" s="509"/>
    </row>
    <row r="1032" spans="1:16" ht="21.75" customHeight="1" x14ac:dyDescent="0.3">
      <c r="A1032" s="504"/>
      <c r="B1032" s="504"/>
      <c r="C1032" s="504"/>
      <c r="D1032" s="504"/>
      <c r="E1032" s="506"/>
      <c r="F1032" s="506"/>
      <c r="G1032" s="506"/>
      <c r="H1032" s="506"/>
      <c r="I1032" s="506"/>
      <c r="J1032" s="506"/>
      <c r="K1032" s="507"/>
      <c r="L1032" s="508"/>
      <c r="M1032" s="508"/>
      <c r="N1032" s="508"/>
      <c r="O1032" s="509"/>
      <c r="P1032" s="509"/>
    </row>
    <row r="1033" spans="1:16" ht="21.75" customHeight="1" x14ac:dyDescent="0.3">
      <c r="A1033" s="504"/>
      <c r="B1033" s="504"/>
      <c r="C1033" s="504"/>
      <c r="D1033" s="504"/>
      <c r="E1033" s="506"/>
      <c r="F1033" s="506"/>
      <c r="G1033" s="506"/>
      <c r="H1033" s="506"/>
      <c r="I1033" s="506"/>
      <c r="J1033" s="506"/>
      <c r="K1033" s="507"/>
      <c r="L1033" s="508"/>
      <c r="M1033" s="508"/>
      <c r="N1033" s="508"/>
      <c r="O1033" s="509"/>
      <c r="P1033" s="509"/>
    </row>
    <row r="1034" spans="1:16" ht="21.75" customHeight="1" x14ac:dyDescent="0.3">
      <c r="A1034" s="504"/>
      <c r="B1034" s="504"/>
      <c r="C1034" s="504"/>
      <c r="D1034" s="504"/>
      <c r="E1034" s="506"/>
      <c r="F1034" s="506"/>
      <c r="G1034" s="506"/>
      <c r="H1034" s="506"/>
      <c r="I1034" s="506"/>
      <c r="J1034" s="506"/>
      <c r="K1034" s="507"/>
      <c r="L1034" s="508"/>
      <c r="M1034" s="508"/>
      <c r="N1034" s="508"/>
      <c r="O1034" s="509"/>
      <c r="P1034" s="509"/>
    </row>
    <row r="1035" spans="1:16" ht="21.75" customHeight="1" x14ac:dyDescent="0.3">
      <c r="A1035" s="504"/>
      <c r="B1035" s="504"/>
      <c r="C1035" s="504"/>
      <c r="D1035" s="504"/>
      <c r="E1035" s="506"/>
      <c r="F1035" s="506"/>
      <c r="G1035" s="506"/>
      <c r="H1035" s="506"/>
      <c r="I1035" s="506"/>
      <c r="J1035" s="506"/>
      <c r="K1035" s="507"/>
      <c r="L1035" s="508"/>
      <c r="M1035" s="508"/>
      <c r="N1035" s="508"/>
      <c r="O1035" s="509"/>
      <c r="P1035" s="509"/>
    </row>
    <row r="1036" spans="1:16" ht="21.75" customHeight="1" x14ac:dyDescent="0.3">
      <c r="A1036" s="504"/>
      <c r="B1036" s="504"/>
      <c r="C1036" s="504"/>
      <c r="D1036" s="504"/>
      <c r="E1036" s="506"/>
      <c r="F1036" s="506"/>
      <c r="G1036" s="506"/>
      <c r="H1036" s="506"/>
      <c r="I1036" s="506"/>
      <c r="J1036" s="506"/>
      <c r="K1036" s="507"/>
      <c r="L1036" s="508"/>
      <c r="M1036" s="508"/>
      <c r="N1036" s="508"/>
      <c r="O1036" s="509"/>
      <c r="P1036" s="509"/>
    </row>
    <row r="1037" spans="1:16" ht="21.75" customHeight="1" x14ac:dyDescent="0.3">
      <c r="A1037" s="504"/>
      <c r="B1037" s="504"/>
      <c r="C1037" s="504"/>
      <c r="D1037" s="504"/>
      <c r="E1037" s="506"/>
      <c r="F1037" s="506"/>
      <c r="G1037" s="506"/>
      <c r="H1037" s="506"/>
      <c r="I1037" s="506"/>
      <c r="J1037" s="506"/>
      <c r="K1037" s="507"/>
      <c r="L1037" s="508"/>
      <c r="M1037" s="508"/>
      <c r="N1037" s="508"/>
      <c r="O1037" s="509"/>
      <c r="P1037" s="509"/>
    </row>
    <row r="1038" spans="1:16" ht="21.75" customHeight="1" x14ac:dyDescent="0.3">
      <c r="A1038" s="504"/>
      <c r="B1038" s="504"/>
      <c r="C1038" s="504"/>
      <c r="D1038" s="504"/>
      <c r="E1038" s="506"/>
      <c r="F1038" s="506"/>
      <c r="G1038" s="506"/>
      <c r="H1038" s="506"/>
      <c r="I1038" s="506"/>
      <c r="J1038" s="506"/>
      <c r="K1038" s="507"/>
      <c r="L1038" s="508"/>
      <c r="M1038" s="508"/>
      <c r="N1038" s="508"/>
      <c r="O1038" s="509"/>
      <c r="P1038" s="509"/>
    </row>
    <row r="1039" spans="1:16" ht="21.75" customHeight="1" x14ac:dyDescent="0.3">
      <c r="A1039" s="504"/>
      <c r="B1039" s="504"/>
      <c r="C1039" s="504"/>
      <c r="D1039" s="504"/>
      <c r="E1039" s="506"/>
      <c r="F1039" s="506"/>
      <c r="G1039" s="506"/>
      <c r="H1039" s="506"/>
      <c r="I1039" s="506"/>
      <c r="J1039" s="506"/>
      <c r="K1039" s="507"/>
      <c r="L1039" s="508"/>
      <c r="M1039" s="508"/>
      <c r="N1039" s="508"/>
      <c r="O1039" s="509"/>
      <c r="P1039" s="509"/>
    </row>
    <row r="1040" spans="1:16" ht="21.75" customHeight="1" x14ac:dyDescent="0.3">
      <c r="A1040" s="504"/>
      <c r="B1040" s="504"/>
      <c r="C1040" s="504"/>
      <c r="D1040" s="504"/>
      <c r="E1040" s="506"/>
      <c r="F1040" s="506"/>
      <c r="G1040" s="506"/>
      <c r="H1040" s="506"/>
      <c r="I1040" s="506"/>
      <c r="J1040" s="506"/>
      <c r="K1040" s="507"/>
      <c r="L1040" s="508"/>
      <c r="M1040" s="508"/>
      <c r="N1040" s="508"/>
      <c r="O1040" s="509"/>
      <c r="P1040" s="509"/>
    </row>
    <row r="1041" spans="1:16" ht="21.75" customHeight="1" x14ac:dyDescent="0.3">
      <c r="A1041" s="504"/>
      <c r="B1041" s="504"/>
      <c r="C1041" s="504"/>
      <c r="D1041" s="504"/>
      <c r="E1041" s="506"/>
      <c r="F1041" s="506"/>
      <c r="G1041" s="506"/>
      <c r="H1041" s="506"/>
      <c r="I1041" s="506"/>
      <c r="J1041" s="506"/>
      <c r="K1041" s="507"/>
      <c r="L1041" s="508"/>
      <c r="M1041" s="508"/>
      <c r="N1041" s="508"/>
      <c r="O1041" s="509"/>
      <c r="P1041" s="509"/>
    </row>
    <row r="1042" spans="1:16" ht="21.75" customHeight="1" x14ac:dyDescent="0.3">
      <c r="A1042" s="504"/>
      <c r="B1042" s="504"/>
      <c r="C1042" s="504"/>
      <c r="D1042" s="504"/>
      <c r="E1042" s="506"/>
      <c r="F1042" s="506"/>
      <c r="G1042" s="506"/>
      <c r="H1042" s="506"/>
      <c r="I1042" s="506"/>
      <c r="J1042" s="506"/>
      <c r="K1042" s="507"/>
      <c r="L1042" s="508"/>
      <c r="M1042" s="508"/>
      <c r="N1042" s="508"/>
      <c r="O1042" s="509"/>
      <c r="P1042" s="509"/>
    </row>
    <row r="1043" spans="1:16" ht="21.75" customHeight="1" x14ac:dyDescent="0.3">
      <c r="A1043" s="504"/>
      <c r="B1043" s="504"/>
      <c r="C1043" s="504"/>
      <c r="D1043" s="504"/>
      <c r="E1043" s="506"/>
      <c r="F1043" s="506"/>
      <c r="G1043" s="506"/>
      <c r="H1043" s="506"/>
      <c r="I1043" s="506"/>
      <c r="J1043" s="506"/>
      <c r="K1043" s="507"/>
      <c r="L1043" s="508"/>
      <c r="M1043" s="508"/>
      <c r="N1043" s="508"/>
      <c r="O1043" s="509"/>
      <c r="P1043" s="509"/>
    </row>
    <row r="1044" spans="1:16" ht="21.75" customHeight="1" x14ac:dyDescent="0.3">
      <c r="A1044" s="504"/>
      <c r="B1044" s="504"/>
      <c r="C1044" s="504"/>
      <c r="D1044" s="504"/>
      <c r="E1044" s="506"/>
      <c r="F1044" s="506"/>
      <c r="G1044" s="506"/>
      <c r="H1044" s="506"/>
      <c r="I1044" s="506"/>
      <c r="J1044" s="506"/>
      <c r="K1044" s="507"/>
      <c r="L1044" s="508"/>
      <c r="M1044" s="508"/>
      <c r="N1044" s="508"/>
      <c r="O1044" s="509"/>
      <c r="P1044" s="509"/>
    </row>
    <row r="1045" spans="1:16" ht="21.75" customHeight="1" x14ac:dyDescent="0.3">
      <c r="A1045" s="504"/>
      <c r="B1045" s="504"/>
      <c r="C1045" s="504"/>
      <c r="D1045" s="504"/>
      <c r="E1045" s="506"/>
      <c r="F1045" s="506"/>
      <c r="G1045" s="506"/>
      <c r="H1045" s="506"/>
      <c r="I1045" s="506"/>
      <c r="J1045" s="506"/>
      <c r="K1045" s="507"/>
      <c r="L1045" s="508"/>
      <c r="M1045" s="508"/>
      <c r="N1045" s="508"/>
      <c r="O1045" s="509"/>
      <c r="P1045" s="509"/>
    </row>
    <row r="1046" spans="1:16" ht="21.75" customHeight="1" x14ac:dyDescent="0.3">
      <c r="A1046" s="504"/>
      <c r="B1046" s="504"/>
      <c r="C1046" s="504"/>
      <c r="D1046" s="504"/>
      <c r="E1046" s="506"/>
      <c r="F1046" s="506"/>
      <c r="G1046" s="506"/>
      <c r="H1046" s="506"/>
      <c r="I1046" s="506"/>
      <c r="J1046" s="506"/>
      <c r="K1046" s="507"/>
      <c r="L1046" s="508"/>
      <c r="M1046" s="508"/>
      <c r="N1046" s="508"/>
      <c r="O1046" s="509"/>
      <c r="P1046" s="509"/>
    </row>
    <row r="1047" spans="1:16" ht="21.75" customHeight="1" x14ac:dyDescent="0.3">
      <c r="A1047" s="504"/>
      <c r="B1047" s="504"/>
      <c r="C1047" s="504"/>
      <c r="D1047" s="504"/>
      <c r="E1047" s="506"/>
      <c r="F1047" s="506"/>
      <c r="G1047" s="506"/>
      <c r="H1047" s="506"/>
      <c r="I1047" s="506"/>
      <c r="J1047" s="506"/>
      <c r="K1047" s="507"/>
      <c r="L1047" s="508"/>
      <c r="M1047" s="508"/>
      <c r="N1047" s="508"/>
      <c r="O1047" s="509"/>
      <c r="P1047" s="509"/>
    </row>
    <row r="1048" spans="1:16" ht="21.75" customHeight="1" x14ac:dyDescent="0.3">
      <c r="A1048" s="504"/>
      <c r="B1048" s="504"/>
      <c r="C1048" s="504"/>
      <c r="D1048" s="504"/>
      <c r="E1048" s="506"/>
      <c r="F1048" s="506"/>
      <c r="G1048" s="506"/>
      <c r="H1048" s="506"/>
      <c r="I1048" s="506"/>
      <c r="J1048" s="506"/>
      <c r="K1048" s="507"/>
      <c r="L1048" s="508"/>
      <c r="M1048" s="508"/>
      <c r="N1048" s="508"/>
      <c r="O1048" s="509"/>
      <c r="P1048" s="509"/>
    </row>
    <row r="1049" spans="1:16" ht="21.75" customHeight="1" x14ac:dyDescent="0.3">
      <c r="A1049" s="504"/>
      <c r="B1049" s="504"/>
      <c r="C1049" s="504"/>
      <c r="D1049" s="504"/>
      <c r="E1049" s="506"/>
      <c r="F1049" s="506"/>
      <c r="G1049" s="506"/>
      <c r="H1049" s="506"/>
      <c r="I1049" s="506"/>
      <c r="J1049" s="506"/>
      <c r="K1049" s="507"/>
      <c r="L1049" s="508"/>
      <c r="M1049" s="508"/>
      <c r="N1049" s="508"/>
      <c r="O1049" s="509"/>
      <c r="P1049" s="509"/>
    </row>
    <row r="1050" spans="1:16" ht="21.75" customHeight="1" x14ac:dyDescent="0.3">
      <c r="A1050" s="504"/>
      <c r="B1050" s="504"/>
      <c r="C1050" s="504"/>
      <c r="D1050" s="504"/>
      <c r="E1050" s="506"/>
      <c r="F1050" s="506"/>
      <c r="G1050" s="506"/>
      <c r="H1050" s="506"/>
      <c r="I1050" s="506"/>
      <c r="J1050" s="506"/>
      <c r="K1050" s="507"/>
      <c r="L1050" s="508"/>
      <c r="M1050" s="508"/>
      <c r="N1050" s="508"/>
      <c r="O1050" s="509"/>
      <c r="P1050" s="509"/>
    </row>
    <row r="1051" spans="1:16" ht="21.75" customHeight="1" x14ac:dyDescent="0.3">
      <c r="A1051" s="504"/>
      <c r="B1051" s="504"/>
      <c r="C1051" s="504"/>
      <c r="D1051" s="504"/>
      <c r="E1051" s="506"/>
      <c r="F1051" s="506"/>
      <c r="G1051" s="506"/>
      <c r="H1051" s="506"/>
      <c r="I1051" s="506"/>
      <c r="J1051" s="506"/>
      <c r="K1051" s="507"/>
      <c r="L1051" s="508"/>
      <c r="M1051" s="508"/>
      <c r="N1051" s="508"/>
      <c r="O1051" s="509"/>
      <c r="P1051" s="509"/>
    </row>
    <row r="1052" spans="1:16" ht="21.75" customHeight="1" x14ac:dyDescent="0.3">
      <c r="A1052" s="504"/>
      <c r="B1052" s="504"/>
      <c r="C1052" s="504"/>
      <c r="D1052" s="504"/>
      <c r="E1052" s="506"/>
      <c r="F1052" s="506"/>
      <c r="G1052" s="506"/>
      <c r="H1052" s="506"/>
      <c r="I1052" s="506"/>
      <c r="J1052" s="506"/>
      <c r="K1052" s="507"/>
      <c r="L1052" s="508"/>
      <c r="M1052" s="508"/>
      <c r="N1052" s="508"/>
      <c r="O1052" s="509"/>
      <c r="P1052" s="509"/>
    </row>
    <row r="1053" spans="1:16" ht="21.75" customHeight="1" x14ac:dyDescent="0.3">
      <c r="A1053" s="504"/>
      <c r="B1053" s="504"/>
      <c r="C1053" s="504"/>
      <c r="D1053" s="504"/>
      <c r="E1053" s="506"/>
      <c r="F1053" s="506"/>
      <c r="G1053" s="506"/>
      <c r="H1053" s="506"/>
      <c r="I1053" s="506"/>
      <c r="J1053" s="506"/>
      <c r="K1053" s="507"/>
      <c r="L1053" s="508"/>
      <c r="M1053" s="508"/>
      <c r="N1053" s="508"/>
      <c r="O1053" s="509"/>
      <c r="P1053" s="509"/>
    </row>
    <row r="1054" spans="1:16" ht="21.75" customHeight="1" x14ac:dyDescent="0.3">
      <c r="A1054" s="504"/>
      <c r="B1054" s="504"/>
      <c r="C1054" s="504"/>
      <c r="D1054" s="504"/>
      <c r="E1054" s="506"/>
      <c r="F1054" s="506"/>
      <c r="G1054" s="506"/>
      <c r="H1054" s="506"/>
      <c r="I1054" s="506"/>
      <c r="J1054" s="506"/>
      <c r="K1054" s="507"/>
      <c r="L1054" s="508"/>
      <c r="M1054" s="508"/>
      <c r="N1054" s="508"/>
      <c r="O1054" s="509"/>
      <c r="P1054" s="509"/>
    </row>
    <row r="1055" spans="1:16" ht="21.75" customHeight="1" x14ac:dyDescent="0.3">
      <c r="A1055" s="504"/>
      <c r="B1055" s="504"/>
      <c r="C1055" s="504"/>
      <c r="D1055" s="504"/>
      <c r="E1055" s="506"/>
      <c r="F1055" s="506"/>
      <c r="G1055" s="506"/>
      <c r="H1055" s="506"/>
      <c r="I1055" s="506"/>
      <c r="J1055" s="506"/>
      <c r="K1055" s="507"/>
      <c r="L1055" s="508"/>
      <c r="M1055" s="508"/>
      <c r="N1055" s="508"/>
      <c r="O1055" s="509"/>
      <c r="P1055" s="509"/>
    </row>
    <row r="1056" spans="1:16" ht="21.75" customHeight="1" x14ac:dyDescent="0.3">
      <c r="A1056" s="504"/>
      <c r="B1056" s="504"/>
      <c r="C1056" s="504"/>
      <c r="D1056" s="504"/>
      <c r="E1056" s="506"/>
      <c r="F1056" s="506"/>
      <c r="G1056" s="506"/>
      <c r="H1056" s="506"/>
      <c r="I1056" s="506"/>
      <c r="J1056" s="506"/>
      <c r="K1056" s="507"/>
      <c r="L1056" s="508"/>
      <c r="M1056" s="508"/>
      <c r="N1056" s="508"/>
      <c r="O1056" s="509"/>
      <c r="P1056" s="509"/>
    </row>
    <row r="1057" spans="1:16" ht="21.75" customHeight="1" x14ac:dyDescent="0.3">
      <c r="A1057" s="504"/>
      <c r="B1057" s="504"/>
      <c r="C1057" s="504"/>
      <c r="D1057" s="504"/>
      <c r="E1057" s="506"/>
      <c r="F1057" s="506"/>
      <c r="G1057" s="506"/>
      <c r="H1057" s="506"/>
      <c r="I1057" s="506"/>
      <c r="J1057" s="506"/>
      <c r="K1057" s="507"/>
      <c r="L1057" s="508"/>
      <c r="M1057" s="508"/>
      <c r="N1057" s="508"/>
      <c r="O1057" s="509"/>
      <c r="P1057" s="509"/>
    </row>
    <row r="1058" spans="1:16" ht="21.75" customHeight="1" x14ac:dyDescent="0.3">
      <c r="A1058" s="504"/>
      <c r="B1058" s="504"/>
      <c r="C1058" s="504"/>
      <c r="D1058" s="504"/>
      <c r="E1058" s="506"/>
      <c r="F1058" s="506"/>
      <c r="G1058" s="506"/>
      <c r="H1058" s="506"/>
      <c r="I1058" s="506"/>
      <c r="J1058" s="506"/>
      <c r="K1058" s="507"/>
      <c r="L1058" s="508"/>
      <c r="M1058" s="508"/>
      <c r="N1058" s="508"/>
      <c r="O1058" s="509"/>
      <c r="P1058" s="509"/>
    </row>
    <row r="1059" spans="1:16" ht="21.75" customHeight="1" x14ac:dyDescent="0.3">
      <c r="A1059" s="504"/>
      <c r="B1059" s="504"/>
      <c r="C1059" s="504"/>
      <c r="D1059" s="504"/>
      <c r="E1059" s="506"/>
      <c r="F1059" s="506"/>
      <c r="G1059" s="506"/>
      <c r="H1059" s="506"/>
      <c r="I1059" s="506"/>
      <c r="J1059" s="506"/>
      <c r="K1059" s="507"/>
      <c r="L1059" s="508"/>
      <c r="M1059" s="508"/>
      <c r="N1059" s="508"/>
      <c r="O1059" s="509"/>
      <c r="P1059" s="509"/>
    </row>
    <row r="1060" spans="1:16" ht="21.75" customHeight="1" x14ac:dyDescent="0.3">
      <c r="A1060" s="504"/>
      <c r="B1060" s="504"/>
      <c r="C1060" s="504"/>
      <c r="D1060" s="504"/>
      <c r="E1060" s="506"/>
      <c r="F1060" s="506"/>
      <c r="G1060" s="506"/>
      <c r="H1060" s="506"/>
      <c r="I1060" s="506"/>
      <c r="J1060" s="506"/>
      <c r="K1060" s="507"/>
      <c r="L1060" s="508"/>
      <c r="M1060" s="508"/>
      <c r="N1060" s="508"/>
      <c r="O1060" s="509"/>
      <c r="P1060" s="509"/>
    </row>
    <row r="1061" spans="1:16" ht="21.75" customHeight="1" x14ac:dyDescent="0.3">
      <c r="A1061" s="504"/>
      <c r="B1061" s="504"/>
      <c r="C1061" s="504"/>
      <c r="D1061" s="504"/>
      <c r="E1061" s="506"/>
      <c r="F1061" s="506"/>
      <c r="G1061" s="506"/>
      <c r="H1061" s="506"/>
      <c r="I1061" s="506"/>
      <c r="J1061" s="506"/>
      <c r="K1061" s="507"/>
      <c r="L1061" s="508"/>
      <c r="M1061" s="508"/>
      <c r="N1061" s="508"/>
      <c r="O1061" s="509"/>
      <c r="P1061" s="509"/>
    </row>
    <row r="1062" spans="1:16" ht="21.75" customHeight="1" x14ac:dyDescent="0.3">
      <c r="A1062" s="504"/>
      <c r="B1062" s="504"/>
      <c r="C1062" s="504"/>
      <c r="D1062" s="504"/>
      <c r="E1062" s="506"/>
      <c r="F1062" s="506"/>
      <c r="G1062" s="506"/>
      <c r="H1062" s="506"/>
      <c r="I1062" s="506"/>
      <c r="J1062" s="506"/>
      <c r="K1062" s="507"/>
      <c r="L1062" s="508"/>
      <c r="M1062" s="508"/>
      <c r="N1062" s="508"/>
      <c r="O1062" s="509"/>
      <c r="P1062" s="509"/>
    </row>
    <row r="1063" spans="1:16" ht="21.75" customHeight="1" x14ac:dyDescent="0.3">
      <c r="A1063" s="504"/>
      <c r="B1063" s="504"/>
      <c r="C1063" s="504"/>
      <c r="D1063" s="504"/>
      <c r="E1063" s="506"/>
      <c r="F1063" s="506"/>
      <c r="G1063" s="506"/>
      <c r="H1063" s="506"/>
      <c r="I1063" s="506"/>
      <c r="J1063" s="506"/>
      <c r="K1063" s="507"/>
      <c r="L1063" s="508"/>
      <c r="M1063" s="508"/>
      <c r="N1063" s="508"/>
      <c r="O1063" s="509"/>
      <c r="P1063" s="509"/>
    </row>
    <row r="1064" spans="1:16" ht="21.75" customHeight="1" x14ac:dyDescent="0.3">
      <c r="A1064" s="504"/>
      <c r="B1064" s="504"/>
      <c r="C1064" s="504"/>
      <c r="D1064" s="504"/>
      <c r="E1064" s="506"/>
      <c r="F1064" s="506"/>
      <c r="G1064" s="506"/>
      <c r="H1064" s="506"/>
      <c r="I1064" s="506"/>
      <c r="J1064" s="506"/>
      <c r="K1064" s="507"/>
      <c r="L1064" s="508"/>
      <c r="M1064" s="508"/>
      <c r="N1064" s="508"/>
      <c r="O1064" s="509"/>
      <c r="P1064" s="509"/>
    </row>
    <row r="1065" spans="1:16" ht="21.75" customHeight="1" x14ac:dyDescent="0.3">
      <c r="A1065" s="504"/>
      <c r="B1065" s="504"/>
      <c r="C1065" s="504"/>
      <c r="D1065" s="504"/>
      <c r="E1065" s="506"/>
      <c r="F1065" s="506"/>
      <c r="G1065" s="506"/>
      <c r="H1065" s="506"/>
      <c r="I1065" s="506"/>
      <c r="J1065" s="506"/>
      <c r="K1065" s="507"/>
      <c r="L1065" s="508"/>
      <c r="M1065" s="508"/>
      <c r="N1065" s="508"/>
      <c r="O1065" s="509"/>
      <c r="P1065" s="509"/>
    </row>
    <row r="1066" spans="1:16" ht="21.75" customHeight="1" x14ac:dyDescent="0.3">
      <c r="A1066" s="504"/>
      <c r="B1066" s="504"/>
      <c r="C1066" s="504"/>
      <c r="D1066" s="504"/>
      <c r="E1066" s="506"/>
      <c r="F1066" s="506"/>
      <c r="G1066" s="506"/>
      <c r="H1066" s="506"/>
      <c r="I1066" s="506"/>
      <c r="J1066" s="506"/>
      <c r="K1066" s="507"/>
      <c r="L1066" s="508"/>
      <c r="M1066" s="508"/>
      <c r="N1066" s="508"/>
      <c r="O1066" s="509"/>
      <c r="P1066" s="509"/>
    </row>
    <row r="1067" spans="1:16" ht="21.75" customHeight="1" x14ac:dyDescent="0.3">
      <c r="A1067" s="504"/>
      <c r="B1067" s="504"/>
      <c r="C1067" s="504"/>
      <c r="D1067" s="504"/>
      <c r="E1067" s="506"/>
      <c r="F1067" s="506"/>
      <c r="G1067" s="506"/>
      <c r="H1067" s="506"/>
      <c r="I1067" s="506"/>
      <c r="J1067" s="506"/>
      <c r="K1067" s="507"/>
      <c r="L1067" s="508"/>
      <c r="M1067" s="508"/>
      <c r="N1067" s="508"/>
      <c r="O1067" s="509"/>
      <c r="P1067" s="509"/>
    </row>
    <row r="1068" spans="1:16" ht="21.75" customHeight="1" x14ac:dyDescent="0.3">
      <c r="A1068" s="504"/>
      <c r="B1068" s="504"/>
      <c r="C1068" s="504"/>
      <c r="D1068" s="504"/>
      <c r="E1068" s="506"/>
      <c r="F1068" s="506"/>
      <c r="G1068" s="506"/>
      <c r="H1068" s="506"/>
      <c r="I1068" s="506"/>
      <c r="J1068" s="506"/>
      <c r="K1068" s="507"/>
      <c r="L1068" s="508"/>
      <c r="M1068" s="508"/>
      <c r="N1068" s="508"/>
      <c r="O1068" s="509"/>
      <c r="P1068" s="509"/>
    </row>
    <row r="1069" spans="1:16" ht="21.75" customHeight="1" x14ac:dyDescent="0.3">
      <c r="A1069" s="504"/>
      <c r="B1069" s="504"/>
      <c r="C1069" s="504"/>
      <c r="D1069" s="504"/>
      <c r="E1069" s="506"/>
      <c r="F1069" s="506"/>
      <c r="G1069" s="506"/>
      <c r="H1069" s="506"/>
      <c r="I1069" s="506"/>
      <c r="J1069" s="506"/>
      <c r="K1069" s="507"/>
      <c r="L1069" s="508"/>
      <c r="M1069" s="508"/>
      <c r="N1069" s="508"/>
      <c r="O1069" s="509"/>
      <c r="P1069" s="509"/>
    </row>
    <row r="1070" spans="1:16" ht="21.75" customHeight="1" x14ac:dyDescent="0.3">
      <c r="A1070" s="504"/>
      <c r="B1070" s="504"/>
      <c r="C1070" s="504"/>
      <c r="D1070" s="504"/>
      <c r="E1070" s="506"/>
      <c r="F1070" s="506"/>
      <c r="G1070" s="506"/>
      <c r="H1070" s="506"/>
      <c r="I1070" s="506"/>
      <c r="J1070" s="506"/>
      <c r="K1070" s="507"/>
      <c r="L1070" s="508"/>
      <c r="M1070" s="508"/>
      <c r="N1070" s="508"/>
      <c r="O1070" s="509"/>
      <c r="P1070" s="509"/>
    </row>
    <row r="1071" spans="1:16" ht="21.75" customHeight="1" x14ac:dyDescent="0.3">
      <c r="A1071" s="504"/>
      <c r="B1071" s="504"/>
      <c r="C1071" s="504"/>
      <c r="D1071" s="504"/>
      <c r="E1071" s="506"/>
      <c r="F1071" s="506"/>
      <c r="G1071" s="506"/>
      <c r="H1071" s="506"/>
      <c r="I1071" s="506"/>
      <c r="J1071" s="506"/>
      <c r="K1071" s="507"/>
      <c r="L1071" s="508"/>
      <c r="M1071" s="508"/>
      <c r="N1071" s="508"/>
      <c r="O1071" s="509"/>
      <c r="P1071" s="509"/>
    </row>
    <row r="1072" spans="1:16" ht="21.75" customHeight="1" x14ac:dyDescent="0.3">
      <c r="A1072" s="504"/>
      <c r="B1072" s="504"/>
      <c r="C1072" s="504"/>
      <c r="D1072" s="504"/>
      <c r="E1072" s="506"/>
      <c r="F1072" s="506"/>
      <c r="G1072" s="506"/>
      <c r="H1072" s="506"/>
      <c r="I1072" s="506"/>
      <c r="J1072" s="506"/>
      <c r="K1072" s="507"/>
      <c r="L1072" s="508"/>
      <c r="M1072" s="508"/>
      <c r="N1072" s="508"/>
      <c r="O1072" s="509"/>
      <c r="P1072" s="509"/>
    </row>
    <row r="1073" spans="1:16" ht="21.75" customHeight="1" x14ac:dyDescent="0.3">
      <c r="A1073" s="504"/>
      <c r="B1073" s="504"/>
      <c r="C1073" s="504"/>
      <c r="D1073" s="504"/>
      <c r="E1073" s="506"/>
      <c r="F1073" s="506"/>
      <c r="G1073" s="506"/>
      <c r="H1073" s="506"/>
      <c r="I1073" s="506"/>
      <c r="J1073" s="506"/>
      <c r="K1073" s="507"/>
      <c r="L1073" s="508"/>
      <c r="M1073" s="508"/>
      <c r="N1073" s="508"/>
      <c r="O1073" s="509"/>
      <c r="P1073" s="509"/>
    </row>
    <row r="1074" spans="1:16" ht="21.75" customHeight="1" x14ac:dyDescent="0.3">
      <c r="A1074" s="504"/>
      <c r="B1074" s="504"/>
      <c r="C1074" s="504"/>
      <c r="D1074" s="504"/>
      <c r="E1074" s="506"/>
      <c r="F1074" s="506"/>
      <c r="G1074" s="506"/>
      <c r="H1074" s="506"/>
      <c r="I1074" s="506"/>
      <c r="J1074" s="506"/>
      <c r="K1074" s="507"/>
      <c r="L1074" s="508"/>
      <c r="M1074" s="508"/>
      <c r="N1074" s="508"/>
      <c r="O1074" s="509"/>
      <c r="P1074" s="509"/>
    </row>
    <row r="1075" spans="1:16" ht="21.75" customHeight="1" x14ac:dyDescent="0.3">
      <c r="A1075" s="504"/>
      <c r="B1075" s="504"/>
      <c r="C1075" s="504"/>
      <c r="D1075" s="504"/>
      <c r="E1075" s="506"/>
      <c r="F1075" s="506"/>
      <c r="G1075" s="506"/>
      <c r="H1075" s="506"/>
      <c r="I1075" s="506"/>
      <c r="J1075" s="506"/>
      <c r="K1075" s="507"/>
      <c r="L1075" s="508"/>
      <c r="M1075" s="508"/>
      <c r="N1075" s="508"/>
      <c r="O1075" s="509"/>
      <c r="P1075" s="509"/>
    </row>
    <row r="1076" spans="1:16" ht="21.75" customHeight="1" x14ac:dyDescent="0.3">
      <c r="A1076" s="504"/>
      <c r="B1076" s="504"/>
      <c r="C1076" s="504"/>
      <c r="D1076" s="504"/>
      <c r="E1076" s="506"/>
      <c r="F1076" s="506"/>
      <c r="G1076" s="506"/>
      <c r="H1076" s="506"/>
      <c r="I1076" s="506"/>
      <c r="J1076" s="506"/>
      <c r="K1076" s="507"/>
      <c r="L1076" s="508"/>
      <c r="M1076" s="508"/>
      <c r="N1076" s="508"/>
      <c r="O1076" s="509"/>
      <c r="P1076" s="509"/>
    </row>
    <row r="1077" spans="1:16" ht="21.75" customHeight="1" x14ac:dyDescent="0.3">
      <c r="A1077" s="504"/>
      <c r="B1077" s="504"/>
      <c r="C1077" s="504"/>
      <c r="D1077" s="504"/>
      <c r="E1077" s="506"/>
      <c r="F1077" s="506"/>
      <c r="G1077" s="506"/>
      <c r="H1077" s="506"/>
      <c r="I1077" s="506"/>
      <c r="J1077" s="506"/>
      <c r="K1077" s="507"/>
      <c r="L1077" s="508"/>
      <c r="M1077" s="508"/>
      <c r="N1077" s="508"/>
      <c r="O1077" s="509"/>
      <c r="P1077" s="509"/>
    </row>
    <row r="1078" spans="1:16" ht="21.75" customHeight="1" x14ac:dyDescent="0.3">
      <c r="A1078" s="504"/>
      <c r="B1078" s="504"/>
      <c r="C1078" s="504"/>
      <c r="D1078" s="504"/>
      <c r="E1078" s="506"/>
      <c r="F1078" s="506"/>
      <c r="G1078" s="506"/>
      <c r="H1078" s="506"/>
      <c r="I1078" s="506"/>
      <c r="J1078" s="506"/>
      <c r="K1078" s="507"/>
      <c r="L1078" s="508"/>
      <c r="M1078" s="508"/>
      <c r="N1078" s="508"/>
      <c r="O1078" s="509"/>
      <c r="P1078" s="509"/>
    </row>
    <row r="1079" spans="1:16" ht="21.75" customHeight="1" x14ac:dyDescent="0.3">
      <c r="A1079" s="504"/>
      <c r="B1079" s="504"/>
      <c r="C1079" s="504"/>
      <c r="D1079" s="504"/>
      <c r="E1079" s="506"/>
      <c r="F1079" s="506"/>
      <c r="G1079" s="506"/>
      <c r="H1079" s="506"/>
      <c r="I1079" s="506"/>
      <c r="J1079" s="506"/>
      <c r="K1079" s="507"/>
      <c r="L1079" s="508"/>
      <c r="M1079" s="508"/>
      <c r="N1079" s="508"/>
      <c r="O1079" s="509"/>
      <c r="P1079" s="509"/>
    </row>
    <row r="1080" spans="1:16" ht="21.75" customHeight="1" x14ac:dyDescent="0.3">
      <c r="A1080" s="504"/>
      <c r="B1080" s="504"/>
      <c r="C1080" s="504"/>
      <c r="D1080" s="504"/>
      <c r="E1080" s="506"/>
      <c r="F1080" s="506"/>
      <c r="G1080" s="506"/>
      <c r="H1080" s="506"/>
      <c r="I1080" s="506"/>
      <c r="J1080" s="506"/>
      <c r="K1080" s="507"/>
      <c r="L1080" s="508"/>
      <c r="M1080" s="508"/>
      <c r="N1080" s="508"/>
      <c r="O1080" s="509"/>
      <c r="P1080" s="509"/>
    </row>
    <row r="1081" spans="1:16" ht="21.75" customHeight="1" x14ac:dyDescent="0.3">
      <c r="A1081" s="504"/>
      <c r="B1081" s="504"/>
      <c r="C1081" s="504"/>
      <c r="D1081" s="504"/>
      <c r="E1081" s="506"/>
      <c r="F1081" s="506"/>
      <c r="G1081" s="506"/>
      <c r="H1081" s="506"/>
      <c r="I1081" s="506"/>
      <c r="J1081" s="506"/>
      <c r="K1081" s="507"/>
      <c r="L1081" s="508"/>
      <c r="M1081" s="508"/>
      <c r="N1081" s="508"/>
      <c r="O1081" s="509"/>
      <c r="P1081" s="509"/>
    </row>
    <row r="1082" spans="1:16" ht="21.75" customHeight="1" x14ac:dyDescent="0.3">
      <c r="A1082" s="504"/>
      <c r="B1082" s="504"/>
      <c r="C1082" s="504"/>
      <c r="D1082" s="504"/>
      <c r="E1082" s="506"/>
      <c r="F1082" s="506"/>
      <c r="G1082" s="506"/>
      <c r="H1082" s="506"/>
      <c r="I1082" s="506"/>
      <c r="J1082" s="506"/>
      <c r="K1082" s="507"/>
      <c r="L1082" s="508"/>
      <c r="M1082" s="508"/>
      <c r="N1082" s="508"/>
      <c r="O1082" s="509"/>
      <c r="P1082" s="509"/>
    </row>
    <row r="1083" spans="1:16" ht="21.75" customHeight="1" x14ac:dyDescent="0.3">
      <c r="A1083" s="504"/>
      <c r="B1083" s="504"/>
      <c r="C1083" s="504"/>
      <c r="D1083" s="504"/>
      <c r="E1083" s="506"/>
      <c r="F1083" s="506"/>
      <c r="G1083" s="506"/>
      <c r="H1083" s="506"/>
      <c r="I1083" s="506"/>
      <c r="J1083" s="506"/>
      <c r="K1083" s="507"/>
      <c r="L1083" s="508"/>
      <c r="M1083" s="508"/>
      <c r="N1083" s="508"/>
      <c r="O1083" s="509"/>
      <c r="P1083" s="509"/>
    </row>
    <row r="1084" spans="1:16" ht="21.75" customHeight="1" x14ac:dyDescent="0.3">
      <c r="A1084" s="504"/>
      <c r="B1084" s="504"/>
      <c r="C1084" s="504"/>
      <c r="D1084" s="504"/>
      <c r="E1084" s="506"/>
      <c r="F1084" s="506"/>
      <c r="G1084" s="506"/>
      <c r="H1084" s="506"/>
      <c r="I1084" s="506"/>
      <c r="J1084" s="506"/>
      <c r="K1084" s="507"/>
      <c r="L1084" s="508"/>
      <c r="M1084" s="508"/>
      <c r="N1084" s="508"/>
      <c r="O1084" s="509"/>
      <c r="P1084" s="509"/>
    </row>
    <row r="1085" spans="1:16" ht="21.75" customHeight="1" x14ac:dyDescent="0.3">
      <c r="A1085" s="504"/>
      <c r="B1085" s="504"/>
      <c r="C1085" s="504"/>
      <c r="D1085" s="504"/>
      <c r="E1085" s="506"/>
      <c r="F1085" s="506"/>
      <c r="G1085" s="506"/>
      <c r="H1085" s="506"/>
      <c r="I1085" s="506"/>
      <c r="J1085" s="506"/>
      <c r="K1085" s="507"/>
      <c r="L1085" s="508"/>
      <c r="M1085" s="508"/>
      <c r="N1085" s="508"/>
      <c r="O1085" s="509"/>
      <c r="P1085" s="509"/>
    </row>
    <row r="1086" spans="1:16" ht="21.75" customHeight="1" x14ac:dyDescent="0.3">
      <c r="A1086" s="504"/>
      <c r="B1086" s="504"/>
      <c r="C1086" s="504"/>
      <c r="D1086" s="504"/>
      <c r="E1086" s="506"/>
      <c r="F1086" s="506"/>
      <c r="G1086" s="506"/>
      <c r="H1086" s="506"/>
      <c r="I1086" s="506"/>
      <c r="J1086" s="506"/>
      <c r="K1086" s="507"/>
      <c r="L1086" s="508"/>
      <c r="M1086" s="508"/>
      <c r="N1086" s="508"/>
      <c r="O1086" s="509"/>
      <c r="P1086" s="509"/>
    </row>
    <row r="1087" spans="1:16" ht="21.75" customHeight="1" x14ac:dyDescent="0.3">
      <c r="A1087" s="504"/>
      <c r="B1087" s="504"/>
      <c r="C1087" s="504"/>
      <c r="D1087" s="504"/>
      <c r="E1087" s="506"/>
      <c r="F1087" s="506"/>
      <c r="G1087" s="506"/>
      <c r="H1087" s="506"/>
      <c r="I1087" s="506"/>
      <c r="J1087" s="506"/>
      <c r="K1087" s="507"/>
      <c r="L1087" s="508"/>
      <c r="M1087" s="508"/>
      <c r="N1087" s="508"/>
      <c r="O1087" s="509"/>
      <c r="P1087" s="509"/>
    </row>
    <row r="1088" spans="1:16" ht="21.75" customHeight="1" x14ac:dyDescent="0.3">
      <c r="A1088" s="504"/>
      <c r="B1088" s="504"/>
      <c r="C1088" s="504"/>
      <c r="D1088" s="504"/>
      <c r="E1088" s="506"/>
      <c r="F1088" s="506"/>
      <c r="G1088" s="506"/>
      <c r="H1088" s="506"/>
      <c r="I1088" s="506"/>
      <c r="J1088" s="506"/>
      <c r="K1088" s="507"/>
      <c r="L1088" s="508"/>
      <c r="M1088" s="508"/>
      <c r="N1088" s="508"/>
      <c r="O1088" s="509"/>
      <c r="P1088" s="509"/>
    </row>
    <row r="1089" spans="1:16" ht="21.75" customHeight="1" x14ac:dyDescent="0.3">
      <c r="A1089" s="504"/>
      <c r="B1089" s="504"/>
      <c r="C1089" s="504"/>
      <c r="D1089" s="504"/>
      <c r="E1089" s="506"/>
      <c r="F1089" s="506"/>
      <c r="G1089" s="506"/>
      <c r="H1089" s="506"/>
      <c r="I1089" s="506"/>
      <c r="J1089" s="506"/>
      <c r="K1089" s="507"/>
      <c r="L1089" s="508"/>
      <c r="M1089" s="508"/>
      <c r="N1089" s="508"/>
      <c r="O1089" s="509"/>
      <c r="P1089" s="509"/>
    </row>
    <row r="1090" spans="1:16" ht="21.75" customHeight="1" x14ac:dyDescent="0.3">
      <c r="A1090" s="504"/>
      <c r="B1090" s="504"/>
      <c r="C1090" s="504"/>
      <c r="D1090" s="504"/>
      <c r="E1090" s="506"/>
      <c r="F1090" s="506"/>
      <c r="G1090" s="506"/>
      <c r="H1090" s="506"/>
      <c r="I1090" s="506"/>
      <c r="J1090" s="506"/>
      <c r="K1090" s="507"/>
      <c r="L1090" s="508"/>
      <c r="M1090" s="508"/>
      <c r="N1090" s="508"/>
      <c r="O1090" s="509"/>
      <c r="P1090" s="509"/>
    </row>
    <row r="1091" spans="1:16" ht="21.75" customHeight="1" x14ac:dyDescent="0.3">
      <c r="A1091" s="504"/>
      <c r="B1091" s="504"/>
      <c r="C1091" s="504"/>
      <c r="D1091" s="504"/>
      <c r="E1091" s="506"/>
      <c r="F1091" s="506"/>
      <c r="G1091" s="506"/>
      <c r="H1091" s="506"/>
      <c r="I1091" s="506"/>
      <c r="J1091" s="506"/>
      <c r="K1091" s="507"/>
      <c r="L1091" s="508"/>
      <c r="M1091" s="508"/>
      <c r="N1091" s="508"/>
      <c r="O1091" s="509"/>
      <c r="P1091" s="509"/>
    </row>
    <row r="1092" spans="1:16" ht="21.75" customHeight="1" x14ac:dyDescent="0.3">
      <c r="A1092" s="504"/>
      <c r="B1092" s="504"/>
      <c r="C1092" s="504"/>
      <c r="D1092" s="504"/>
      <c r="E1092" s="506"/>
      <c r="F1092" s="506"/>
      <c r="G1092" s="506"/>
      <c r="H1092" s="506"/>
      <c r="I1092" s="506"/>
      <c r="J1092" s="506"/>
      <c r="K1092" s="507"/>
      <c r="L1092" s="508"/>
      <c r="M1092" s="508"/>
      <c r="N1092" s="508"/>
      <c r="O1092" s="509"/>
      <c r="P1092" s="509"/>
    </row>
    <row r="1093" spans="1:16" ht="21.75" customHeight="1" x14ac:dyDescent="0.3">
      <c r="A1093" s="504"/>
      <c r="B1093" s="504"/>
      <c r="C1093" s="504"/>
      <c r="D1093" s="504"/>
      <c r="E1093" s="506"/>
      <c r="F1093" s="506"/>
      <c r="G1093" s="506"/>
      <c r="H1093" s="506"/>
      <c r="I1093" s="506"/>
      <c r="J1093" s="506"/>
      <c r="K1093" s="507"/>
      <c r="L1093" s="508"/>
      <c r="M1093" s="508"/>
      <c r="N1093" s="508"/>
      <c r="O1093" s="509"/>
      <c r="P1093" s="509"/>
    </row>
    <row r="1094" spans="1:16" ht="21.75" customHeight="1" x14ac:dyDescent="0.3">
      <c r="A1094" s="504"/>
      <c r="B1094" s="504"/>
      <c r="C1094" s="504"/>
      <c r="D1094" s="504"/>
      <c r="E1094" s="506"/>
      <c r="F1094" s="506"/>
      <c r="G1094" s="506"/>
      <c r="H1094" s="506"/>
      <c r="I1094" s="506"/>
      <c r="J1094" s="506"/>
      <c r="K1094" s="507"/>
      <c r="L1094" s="508"/>
      <c r="M1094" s="508"/>
      <c r="N1094" s="508"/>
      <c r="O1094" s="509"/>
      <c r="P1094" s="509"/>
    </row>
    <row r="1095" spans="1:16" ht="21.75" customHeight="1" x14ac:dyDescent="0.3">
      <c r="A1095" s="504"/>
      <c r="B1095" s="504"/>
      <c r="C1095" s="504"/>
      <c r="D1095" s="504"/>
      <c r="E1095" s="506"/>
      <c r="F1095" s="506"/>
      <c r="G1095" s="506"/>
      <c r="H1095" s="506"/>
      <c r="I1095" s="506"/>
      <c r="J1095" s="506"/>
      <c r="K1095" s="507"/>
      <c r="L1095" s="508"/>
      <c r="M1095" s="508"/>
      <c r="N1095" s="508"/>
      <c r="O1095" s="509"/>
      <c r="P1095" s="509"/>
    </row>
    <row r="1096" spans="1:16" ht="21.75" customHeight="1" x14ac:dyDescent="0.3">
      <c r="A1096" s="504"/>
      <c r="B1096" s="504"/>
      <c r="C1096" s="504"/>
      <c r="D1096" s="504"/>
      <c r="E1096" s="506"/>
      <c r="F1096" s="506"/>
      <c r="G1096" s="506"/>
      <c r="H1096" s="506"/>
      <c r="I1096" s="506"/>
      <c r="J1096" s="506"/>
      <c r="K1096" s="507"/>
      <c r="L1096" s="508"/>
      <c r="M1096" s="508"/>
      <c r="N1096" s="508"/>
      <c r="O1096" s="509"/>
      <c r="P1096" s="509"/>
    </row>
    <row r="1097" spans="1:16" ht="21.75" customHeight="1" x14ac:dyDescent="0.3">
      <c r="A1097" s="504"/>
      <c r="B1097" s="504"/>
      <c r="C1097" s="504"/>
      <c r="D1097" s="504"/>
      <c r="E1097" s="506"/>
      <c r="F1097" s="506"/>
      <c r="G1097" s="506"/>
      <c r="H1097" s="506"/>
      <c r="I1097" s="506"/>
      <c r="J1097" s="506"/>
      <c r="K1097" s="507"/>
      <c r="L1097" s="508"/>
      <c r="M1097" s="508"/>
      <c r="N1097" s="508"/>
      <c r="O1097" s="509"/>
      <c r="P1097" s="509"/>
    </row>
    <row r="1098" spans="1:16" ht="21.75" customHeight="1" x14ac:dyDescent="0.3">
      <c r="A1098" s="504"/>
      <c r="B1098" s="504"/>
      <c r="C1098" s="504"/>
      <c r="D1098" s="504"/>
      <c r="E1098" s="506"/>
      <c r="F1098" s="506"/>
      <c r="G1098" s="506"/>
      <c r="H1098" s="506"/>
      <c r="I1098" s="506"/>
      <c r="J1098" s="506"/>
      <c r="K1098" s="507"/>
      <c r="L1098" s="508"/>
      <c r="M1098" s="508"/>
      <c r="N1098" s="508"/>
      <c r="O1098" s="509"/>
      <c r="P1098" s="509"/>
    </row>
    <row r="1099" spans="1:16" ht="21.75" customHeight="1" x14ac:dyDescent="0.3">
      <c r="A1099" s="504"/>
      <c r="B1099" s="504"/>
      <c r="C1099" s="504"/>
      <c r="D1099" s="504"/>
      <c r="E1099" s="506"/>
      <c r="F1099" s="506"/>
      <c r="G1099" s="506"/>
      <c r="H1099" s="506"/>
      <c r="I1099" s="506"/>
      <c r="J1099" s="506"/>
      <c r="K1099" s="507"/>
      <c r="L1099" s="508"/>
      <c r="M1099" s="508"/>
      <c r="N1099" s="508"/>
      <c r="O1099" s="509"/>
      <c r="P1099" s="509"/>
    </row>
    <row r="1100" spans="1:16" ht="21.75" customHeight="1" x14ac:dyDescent="0.3">
      <c r="A1100" s="504"/>
      <c r="B1100" s="504"/>
      <c r="C1100" s="504"/>
      <c r="D1100" s="504"/>
      <c r="E1100" s="506"/>
      <c r="F1100" s="506"/>
      <c r="G1100" s="506"/>
      <c r="H1100" s="506"/>
      <c r="I1100" s="506"/>
      <c r="J1100" s="506"/>
      <c r="K1100" s="507"/>
      <c r="L1100" s="508"/>
      <c r="M1100" s="508"/>
      <c r="N1100" s="508"/>
      <c r="O1100" s="509"/>
      <c r="P1100" s="509"/>
    </row>
    <row r="1101" spans="1:16" ht="21.75" customHeight="1" x14ac:dyDescent="0.3">
      <c r="A1101" s="504"/>
      <c r="B1101" s="504"/>
      <c r="C1101" s="504"/>
      <c r="D1101" s="504"/>
      <c r="E1101" s="506"/>
      <c r="F1101" s="506"/>
      <c r="G1101" s="506"/>
      <c r="H1101" s="506"/>
      <c r="I1101" s="506"/>
      <c r="J1101" s="506"/>
      <c r="K1101" s="507"/>
      <c r="L1101" s="508"/>
      <c r="M1101" s="508"/>
      <c r="N1101" s="508"/>
      <c r="O1101" s="509"/>
      <c r="P1101" s="509"/>
    </row>
    <row r="1102" spans="1:16" ht="21.75" customHeight="1" x14ac:dyDescent="0.3">
      <c r="A1102" s="504"/>
      <c r="B1102" s="504"/>
      <c r="C1102" s="504"/>
      <c r="D1102" s="504"/>
      <c r="E1102" s="506"/>
      <c r="F1102" s="506"/>
      <c r="G1102" s="506"/>
      <c r="H1102" s="506"/>
      <c r="I1102" s="506"/>
      <c r="J1102" s="506"/>
      <c r="K1102" s="507"/>
      <c r="L1102" s="508"/>
      <c r="M1102" s="508"/>
      <c r="N1102" s="508"/>
      <c r="O1102" s="509"/>
      <c r="P1102" s="509"/>
    </row>
    <row r="1103" spans="1:16" ht="21.75" customHeight="1" x14ac:dyDescent="0.3">
      <c r="A1103" s="504"/>
      <c r="B1103" s="504"/>
      <c r="C1103" s="504"/>
      <c r="D1103" s="504"/>
      <c r="E1103" s="506"/>
      <c r="F1103" s="506"/>
      <c r="G1103" s="506"/>
      <c r="H1103" s="506"/>
      <c r="I1103" s="506"/>
      <c r="J1103" s="506"/>
      <c r="K1103" s="507"/>
      <c r="L1103" s="508"/>
      <c r="M1103" s="508"/>
      <c r="N1103" s="508"/>
      <c r="O1103" s="509"/>
      <c r="P1103" s="509"/>
    </row>
    <row r="1104" spans="1:16" ht="21.75" customHeight="1" x14ac:dyDescent="0.3">
      <c r="A1104" s="504"/>
      <c r="B1104" s="504"/>
      <c r="C1104" s="504"/>
      <c r="D1104" s="504"/>
      <c r="E1104" s="506"/>
      <c r="F1104" s="506"/>
      <c r="G1104" s="506"/>
      <c r="H1104" s="506"/>
      <c r="I1104" s="506"/>
      <c r="J1104" s="506"/>
      <c r="K1104" s="507"/>
      <c r="L1104" s="508"/>
      <c r="M1104" s="508"/>
      <c r="N1104" s="508"/>
      <c r="O1104" s="509"/>
      <c r="P1104" s="509"/>
    </row>
    <row r="1105" spans="1:16" ht="21.75" customHeight="1" x14ac:dyDescent="0.3">
      <c r="A1105" s="504"/>
      <c r="B1105" s="504"/>
      <c r="C1105" s="504"/>
      <c r="D1105" s="504"/>
      <c r="E1105" s="506"/>
      <c r="F1105" s="506"/>
      <c r="G1105" s="506"/>
      <c r="H1105" s="506"/>
      <c r="I1105" s="506"/>
      <c r="J1105" s="506"/>
      <c r="K1105" s="507"/>
      <c r="L1105" s="508"/>
      <c r="M1105" s="508"/>
      <c r="N1105" s="508"/>
      <c r="O1105" s="509"/>
      <c r="P1105" s="509"/>
    </row>
    <row r="1106" spans="1:16" ht="21.75" customHeight="1" x14ac:dyDescent="0.3">
      <c r="A1106" s="504"/>
      <c r="B1106" s="504"/>
      <c r="C1106" s="504"/>
      <c r="D1106" s="504"/>
      <c r="E1106" s="506"/>
      <c r="F1106" s="506"/>
      <c r="G1106" s="506"/>
      <c r="H1106" s="506"/>
      <c r="I1106" s="506"/>
      <c r="J1106" s="506"/>
      <c r="K1106" s="507"/>
      <c r="L1106" s="508"/>
      <c r="M1106" s="508"/>
      <c r="N1106" s="508"/>
      <c r="O1106" s="509"/>
      <c r="P1106" s="509"/>
    </row>
    <row r="1107" spans="1:16" ht="21.75" customHeight="1" x14ac:dyDescent="0.3">
      <c r="A1107" s="504"/>
      <c r="B1107" s="504"/>
      <c r="C1107" s="504"/>
      <c r="D1107" s="504"/>
      <c r="E1107" s="506"/>
      <c r="F1107" s="506"/>
      <c r="G1107" s="506"/>
      <c r="H1107" s="506"/>
      <c r="I1107" s="506"/>
      <c r="J1107" s="506"/>
      <c r="K1107" s="507"/>
      <c r="L1107" s="508"/>
      <c r="M1107" s="508"/>
      <c r="N1107" s="508"/>
      <c r="O1107" s="509"/>
      <c r="P1107" s="509"/>
    </row>
    <row r="1108" spans="1:16" ht="21.75" customHeight="1" x14ac:dyDescent="0.3">
      <c r="A1108" s="504"/>
      <c r="B1108" s="504"/>
      <c r="C1108" s="504"/>
      <c r="D1108" s="504"/>
      <c r="E1108" s="506"/>
      <c r="F1108" s="506"/>
      <c r="G1108" s="506"/>
      <c r="H1108" s="506"/>
      <c r="I1108" s="506"/>
      <c r="J1108" s="506"/>
      <c r="K1108" s="507"/>
      <c r="L1108" s="508"/>
      <c r="M1108" s="508"/>
      <c r="N1108" s="508"/>
      <c r="O1108" s="509"/>
      <c r="P1108" s="509"/>
    </row>
    <row r="1109" spans="1:16" ht="21.75" customHeight="1" x14ac:dyDescent="0.3">
      <c r="A1109" s="504"/>
      <c r="B1109" s="504"/>
      <c r="C1109" s="504"/>
      <c r="D1109" s="504"/>
      <c r="E1109" s="506"/>
      <c r="F1109" s="506"/>
      <c r="G1109" s="506"/>
      <c r="H1109" s="506"/>
      <c r="I1109" s="506"/>
      <c r="J1109" s="506"/>
      <c r="K1109" s="507"/>
      <c r="L1109" s="508"/>
      <c r="M1109" s="508"/>
      <c r="N1109" s="508"/>
      <c r="O1109" s="509"/>
      <c r="P1109" s="509"/>
    </row>
    <row r="1110" spans="1:16" ht="21.75" customHeight="1" x14ac:dyDescent="0.3">
      <c r="A1110" s="504"/>
      <c r="B1110" s="504"/>
      <c r="C1110" s="504"/>
      <c r="D1110" s="504"/>
      <c r="E1110" s="506"/>
      <c r="F1110" s="506"/>
      <c r="G1110" s="506"/>
      <c r="H1110" s="506"/>
      <c r="I1110" s="506"/>
      <c r="J1110" s="506"/>
      <c r="K1110" s="507"/>
      <c r="L1110" s="508"/>
      <c r="M1110" s="508"/>
      <c r="N1110" s="508"/>
      <c r="O1110" s="509"/>
      <c r="P1110" s="509"/>
    </row>
    <row r="1111" spans="1:16" ht="21.75" customHeight="1" x14ac:dyDescent="0.3">
      <c r="A1111" s="504"/>
      <c r="B1111" s="504"/>
      <c r="C1111" s="504"/>
      <c r="D1111" s="504"/>
      <c r="E1111" s="506"/>
      <c r="F1111" s="506"/>
      <c r="G1111" s="506"/>
      <c r="H1111" s="506"/>
      <c r="I1111" s="506"/>
      <c r="J1111" s="506"/>
      <c r="K1111" s="507"/>
      <c r="L1111" s="508"/>
      <c r="M1111" s="508"/>
      <c r="N1111" s="508"/>
      <c r="O1111" s="509"/>
      <c r="P1111" s="509"/>
    </row>
    <row r="1112" spans="1:16" ht="21.75" customHeight="1" x14ac:dyDescent="0.3">
      <c r="A1112" s="504"/>
      <c r="B1112" s="504"/>
      <c r="C1112" s="504"/>
      <c r="D1112" s="504"/>
      <c r="E1112" s="506"/>
      <c r="F1112" s="506"/>
      <c r="G1112" s="506"/>
      <c r="H1112" s="506"/>
      <c r="I1112" s="506"/>
      <c r="J1112" s="506"/>
      <c r="K1112" s="507"/>
      <c r="L1112" s="508"/>
      <c r="M1112" s="508"/>
      <c r="N1112" s="508"/>
      <c r="O1112" s="509"/>
      <c r="P1112" s="509"/>
    </row>
    <row r="1113" spans="1:16" ht="21.75" customHeight="1" x14ac:dyDescent="0.3">
      <c r="A1113" s="504"/>
      <c r="B1113" s="504"/>
      <c r="C1113" s="504"/>
      <c r="D1113" s="504"/>
      <c r="E1113" s="506"/>
      <c r="F1113" s="506"/>
      <c r="G1113" s="506"/>
      <c r="H1113" s="506"/>
      <c r="I1113" s="506"/>
      <c r="J1113" s="506"/>
      <c r="K1113" s="507"/>
      <c r="L1113" s="508"/>
      <c r="M1113" s="508"/>
      <c r="N1113" s="508"/>
      <c r="O1113" s="509"/>
      <c r="P1113" s="509"/>
    </row>
    <row r="1114" spans="1:16" ht="21.75" customHeight="1" x14ac:dyDescent="0.3">
      <c r="A1114" s="504"/>
      <c r="B1114" s="504"/>
      <c r="C1114" s="504"/>
      <c r="D1114" s="504"/>
      <c r="E1114" s="506"/>
      <c r="F1114" s="506"/>
      <c r="G1114" s="506"/>
      <c r="H1114" s="506"/>
      <c r="I1114" s="506"/>
      <c r="J1114" s="506"/>
      <c r="K1114" s="507"/>
      <c r="L1114" s="508"/>
      <c r="M1114" s="508"/>
      <c r="N1114" s="508"/>
      <c r="O1114" s="509"/>
      <c r="P1114" s="509"/>
    </row>
    <row r="1115" spans="1:16" ht="21.75" customHeight="1" x14ac:dyDescent="0.3">
      <c r="A1115" s="504"/>
      <c r="B1115" s="504"/>
      <c r="C1115" s="504"/>
      <c r="D1115" s="504"/>
      <c r="E1115" s="506"/>
      <c r="F1115" s="506"/>
      <c r="G1115" s="506"/>
      <c r="H1115" s="506"/>
      <c r="I1115" s="506"/>
      <c r="J1115" s="506"/>
      <c r="K1115" s="507"/>
      <c r="L1115" s="508"/>
      <c r="M1115" s="508"/>
      <c r="N1115" s="508"/>
      <c r="O1115" s="509"/>
      <c r="P1115" s="509"/>
    </row>
    <row r="1116" spans="1:16" ht="21.75" customHeight="1" x14ac:dyDescent="0.3">
      <c r="A1116" s="504"/>
      <c r="B1116" s="504"/>
      <c r="C1116" s="504"/>
      <c r="D1116" s="504"/>
      <c r="E1116" s="506"/>
      <c r="F1116" s="506"/>
      <c r="G1116" s="506"/>
      <c r="H1116" s="506"/>
      <c r="I1116" s="506"/>
      <c r="J1116" s="506"/>
      <c r="K1116" s="507"/>
      <c r="L1116" s="508"/>
      <c r="M1116" s="508"/>
      <c r="N1116" s="508"/>
      <c r="O1116" s="509"/>
      <c r="P1116" s="509"/>
    </row>
    <row r="1117" spans="1:16" ht="21.75" customHeight="1" x14ac:dyDescent="0.3">
      <c r="A1117" s="504"/>
      <c r="B1117" s="504"/>
      <c r="C1117" s="504"/>
      <c r="D1117" s="504"/>
      <c r="E1117" s="506"/>
      <c r="F1117" s="506"/>
      <c r="G1117" s="506"/>
      <c r="H1117" s="506"/>
      <c r="I1117" s="506"/>
      <c r="J1117" s="506"/>
      <c r="K1117" s="507"/>
      <c r="L1117" s="508"/>
      <c r="M1117" s="508"/>
      <c r="N1117" s="508"/>
      <c r="O1117" s="509"/>
      <c r="P1117" s="509"/>
    </row>
    <row r="1118" spans="1:16" ht="21.75" customHeight="1" x14ac:dyDescent="0.3">
      <c r="A1118" s="504"/>
      <c r="B1118" s="504"/>
      <c r="C1118" s="504"/>
      <c r="D1118" s="504"/>
      <c r="E1118" s="506"/>
      <c r="F1118" s="506"/>
      <c r="G1118" s="506"/>
      <c r="H1118" s="506"/>
      <c r="I1118" s="506"/>
      <c r="J1118" s="506"/>
      <c r="K1118" s="507"/>
      <c r="L1118" s="508"/>
      <c r="M1118" s="508"/>
      <c r="N1118" s="508"/>
      <c r="O1118" s="509"/>
      <c r="P1118" s="509"/>
    </row>
    <row r="1119" spans="1:16" ht="21.75" customHeight="1" x14ac:dyDescent="0.3">
      <c r="A1119" s="504"/>
      <c r="B1119" s="504"/>
      <c r="C1119" s="504"/>
      <c r="D1119" s="504"/>
      <c r="E1119" s="506"/>
      <c r="F1119" s="506"/>
      <c r="G1119" s="506"/>
      <c r="H1119" s="506"/>
      <c r="I1119" s="506"/>
      <c r="J1119" s="506"/>
      <c r="K1119" s="507"/>
      <c r="L1119" s="508"/>
      <c r="M1119" s="508"/>
      <c r="N1119" s="508"/>
      <c r="O1119" s="509"/>
      <c r="P1119" s="509"/>
    </row>
    <row r="1120" spans="1:16" ht="21.75" customHeight="1" x14ac:dyDescent="0.3">
      <c r="A1120" s="504"/>
      <c r="B1120" s="504"/>
      <c r="C1120" s="504"/>
      <c r="D1120" s="504"/>
      <c r="E1120" s="506"/>
      <c r="F1120" s="506"/>
      <c r="G1120" s="506"/>
      <c r="H1120" s="506"/>
      <c r="I1120" s="506"/>
      <c r="J1120" s="506"/>
      <c r="K1120" s="507"/>
      <c r="L1120" s="508"/>
      <c r="M1120" s="508"/>
      <c r="N1120" s="508"/>
      <c r="O1120" s="509"/>
      <c r="P1120" s="509"/>
    </row>
    <row r="1121" spans="1:16" ht="21.75" customHeight="1" x14ac:dyDescent="0.3">
      <c r="A1121" s="504"/>
      <c r="B1121" s="504"/>
      <c r="C1121" s="504"/>
      <c r="D1121" s="504"/>
      <c r="E1121" s="506"/>
      <c r="F1121" s="506"/>
      <c r="G1121" s="506"/>
      <c r="H1121" s="506"/>
      <c r="I1121" s="506"/>
      <c r="J1121" s="506"/>
      <c r="K1121" s="507"/>
      <c r="L1121" s="508"/>
      <c r="M1121" s="508"/>
      <c r="N1121" s="508"/>
      <c r="O1121" s="509"/>
      <c r="P1121" s="509"/>
    </row>
    <row r="1122" spans="1:16" ht="21.75" customHeight="1" x14ac:dyDescent="0.3">
      <c r="A1122" s="504"/>
      <c r="B1122" s="504"/>
      <c r="C1122" s="504"/>
      <c r="D1122" s="504"/>
      <c r="E1122" s="506"/>
      <c r="F1122" s="506"/>
      <c r="G1122" s="506"/>
      <c r="H1122" s="506"/>
      <c r="I1122" s="506"/>
      <c r="J1122" s="506"/>
      <c r="K1122" s="507"/>
      <c r="L1122" s="508"/>
      <c r="M1122" s="508"/>
      <c r="N1122" s="508"/>
      <c r="O1122" s="509"/>
      <c r="P1122" s="509"/>
    </row>
    <row r="1123" spans="1:16" ht="21.75" customHeight="1" x14ac:dyDescent="0.3">
      <c r="A1123" s="504"/>
      <c r="B1123" s="504"/>
      <c r="C1123" s="504"/>
      <c r="D1123" s="504"/>
      <c r="E1123" s="506"/>
      <c r="F1123" s="506"/>
      <c r="G1123" s="506"/>
      <c r="H1123" s="506"/>
      <c r="I1123" s="506"/>
      <c r="J1123" s="506"/>
      <c r="K1123" s="507"/>
      <c r="L1123" s="508"/>
      <c r="M1123" s="508"/>
      <c r="N1123" s="508"/>
      <c r="O1123" s="509"/>
      <c r="P1123" s="509"/>
    </row>
    <row r="1124" spans="1:16" ht="21.75" customHeight="1" x14ac:dyDescent="0.3">
      <c r="A1124" s="504"/>
      <c r="B1124" s="504"/>
      <c r="C1124" s="504"/>
      <c r="D1124" s="504"/>
      <c r="E1124" s="506"/>
      <c r="F1124" s="506"/>
      <c r="G1124" s="506"/>
      <c r="H1124" s="506"/>
      <c r="I1124" s="506"/>
      <c r="J1124" s="506"/>
      <c r="K1124" s="507"/>
      <c r="L1124" s="508"/>
      <c r="M1124" s="508"/>
      <c r="N1124" s="508"/>
      <c r="O1124" s="509"/>
      <c r="P1124" s="509"/>
    </row>
    <row r="1125" spans="1:16" ht="21.75" customHeight="1" x14ac:dyDescent="0.3">
      <c r="A1125" s="504"/>
      <c r="B1125" s="504"/>
      <c r="C1125" s="504"/>
      <c r="D1125" s="504"/>
      <c r="E1125" s="506"/>
      <c r="F1125" s="506"/>
      <c r="G1125" s="506"/>
      <c r="H1125" s="506"/>
      <c r="I1125" s="506"/>
      <c r="J1125" s="506"/>
      <c r="K1125" s="507"/>
      <c r="L1125" s="508"/>
      <c r="M1125" s="508"/>
      <c r="N1125" s="508"/>
      <c r="O1125" s="509"/>
      <c r="P1125" s="509"/>
    </row>
    <row r="1126" spans="1:16" ht="21.75" customHeight="1" x14ac:dyDescent="0.3">
      <c r="A1126" s="504"/>
      <c r="B1126" s="504"/>
      <c r="C1126" s="504"/>
      <c r="D1126" s="504"/>
      <c r="E1126" s="506"/>
      <c r="F1126" s="506"/>
      <c r="G1126" s="506"/>
      <c r="H1126" s="506"/>
      <c r="I1126" s="506"/>
      <c r="J1126" s="506"/>
      <c r="K1126" s="507"/>
      <c r="L1126" s="508"/>
      <c r="M1126" s="508"/>
      <c r="N1126" s="508"/>
      <c r="O1126" s="509"/>
      <c r="P1126" s="509"/>
    </row>
    <row r="1127" spans="1:16" ht="21.75" customHeight="1" x14ac:dyDescent="0.3">
      <c r="A1127" s="504"/>
      <c r="B1127" s="504"/>
      <c r="C1127" s="504"/>
      <c r="D1127" s="504"/>
      <c r="E1127" s="506"/>
      <c r="F1127" s="506"/>
      <c r="G1127" s="506"/>
      <c r="H1127" s="506"/>
      <c r="I1127" s="506"/>
      <c r="J1127" s="506"/>
      <c r="K1127" s="507"/>
      <c r="L1127" s="508"/>
      <c r="M1127" s="508"/>
      <c r="N1127" s="508"/>
      <c r="O1127" s="509"/>
      <c r="P1127" s="509"/>
    </row>
    <row r="1128" spans="1:16" ht="21.75" customHeight="1" x14ac:dyDescent="0.3">
      <c r="A1128" s="504"/>
      <c r="B1128" s="504"/>
      <c r="C1128" s="504"/>
      <c r="D1128" s="504"/>
      <c r="E1128" s="506"/>
      <c r="F1128" s="506"/>
      <c r="G1128" s="506"/>
      <c r="H1128" s="506"/>
      <c r="I1128" s="506"/>
      <c r="J1128" s="506"/>
      <c r="K1128" s="507"/>
      <c r="L1128" s="508"/>
      <c r="M1128" s="508"/>
      <c r="N1128" s="508"/>
      <c r="O1128" s="509"/>
      <c r="P1128" s="509"/>
    </row>
    <row r="1129" spans="1:16" ht="21.75" customHeight="1" x14ac:dyDescent="0.3">
      <c r="A1129" s="504"/>
      <c r="B1129" s="504"/>
      <c r="C1129" s="504"/>
      <c r="D1129" s="504"/>
      <c r="E1129" s="506"/>
      <c r="F1129" s="506"/>
      <c r="G1129" s="506"/>
      <c r="H1129" s="506"/>
      <c r="I1129" s="506"/>
      <c r="J1129" s="506"/>
      <c r="K1129" s="507"/>
      <c r="L1129" s="508"/>
      <c r="M1129" s="508"/>
      <c r="N1129" s="508"/>
      <c r="O1129" s="509"/>
      <c r="P1129" s="509"/>
    </row>
    <row r="1130" spans="1:16" ht="21.75" customHeight="1" x14ac:dyDescent="0.3">
      <c r="A1130" s="504"/>
      <c r="B1130" s="504"/>
      <c r="C1130" s="504"/>
      <c r="D1130" s="504"/>
      <c r="E1130" s="506"/>
      <c r="F1130" s="506"/>
      <c r="G1130" s="506"/>
      <c r="H1130" s="506"/>
      <c r="I1130" s="506"/>
      <c r="J1130" s="506"/>
      <c r="K1130" s="507"/>
      <c r="L1130" s="508"/>
      <c r="M1130" s="508"/>
      <c r="N1130" s="508"/>
      <c r="O1130" s="509"/>
      <c r="P1130" s="509"/>
    </row>
    <row r="1131" spans="1:16" ht="21.75" customHeight="1" x14ac:dyDescent="0.3">
      <c r="A1131" s="504"/>
      <c r="B1131" s="504"/>
      <c r="C1131" s="504"/>
      <c r="D1131" s="504"/>
      <c r="E1131" s="506"/>
      <c r="F1131" s="506"/>
      <c r="G1131" s="506"/>
      <c r="H1131" s="506"/>
      <c r="I1131" s="506"/>
      <c r="J1131" s="506"/>
      <c r="K1131" s="507"/>
      <c r="L1131" s="508"/>
      <c r="M1131" s="508"/>
      <c r="N1131" s="508"/>
      <c r="O1131" s="509"/>
      <c r="P1131" s="509"/>
    </row>
    <row r="1132" spans="1:16" ht="21.75" customHeight="1" x14ac:dyDescent="0.3">
      <c r="A1132" s="504"/>
      <c r="B1132" s="504"/>
      <c r="C1132" s="504"/>
      <c r="D1132" s="504"/>
      <c r="E1132" s="506"/>
      <c r="F1132" s="506"/>
      <c r="G1132" s="506"/>
      <c r="H1132" s="506"/>
      <c r="I1132" s="506"/>
      <c r="J1132" s="506"/>
      <c r="K1132" s="507"/>
      <c r="L1132" s="508"/>
      <c r="M1132" s="508"/>
      <c r="N1132" s="508"/>
      <c r="O1132" s="509"/>
      <c r="P1132" s="509"/>
    </row>
    <row r="1133" spans="1:16" ht="21.75" customHeight="1" x14ac:dyDescent="0.3">
      <c r="A1133" s="504"/>
      <c r="B1133" s="504"/>
      <c r="C1133" s="504"/>
      <c r="D1133" s="504"/>
      <c r="E1133" s="506"/>
      <c r="F1133" s="506"/>
      <c r="G1133" s="506"/>
      <c r="H1133" s="506"/>
      <c r="I1133" s="506"/>
      <c r="J1133" s="506"/>
      <c r="K1133" s="507"/>
      <c r="L1133" s="508"/>
      <c r="M1133" s="508"/>
      <c r="N1133" s="508"/>
      <c r="O1133" s="509"/>
      <c r="P1133" s="509"/>
    </row>
    <row r="1134" spans="1:16" ht="21.75" customHeight="1" x14ac:dyDescent="0.3">
      <c r="A1134" s="504"/>
      <c r="B1134" s="504"/>
      <c r="C1134" s="504"/>
      <c r="D1134" s="504"/>
      <c r="E1134" s="506"/>
      <c r="F1134" s="506"/>
      <c r="G1134" s="506"/>
      <c r="H1134" s="506"/>
      <c r="I1134" s="506"/>
      <c r="J1134" s="506"/>
      <c r="K1134" s="507"/>
      <c r="L1134" s="508"/>
      <c r="M1134" s="508"/>
      <c r="N1134" s="508"/>
      <c r="O1134" s="509"/>
      <c r="P1134" s="509"/>
    </row>
    <row r="1135" spans="1:16" ht="21.75" customHeight="1" x14ac:dyDescent="0.3">
      <c r="A1135" s="504"/>
      <c r="B1135" s="504"/>
      <c r="C1135" s="504"/>
      <c r="D1135" s="504"/>
      <c r="E1135" s="506"/>
      <c r="F1135" s="506"/>
      <c r="G1135" s="506"/>
      <c r="H1135" s="506"/>
      <c r="I1135" s="506"/>
      <c r="J1135" s="506"/>
      <c r="K1135" s="507"/>
      <c r="L1135" s="508"/>
      <c r="M1135" s="508"/>
      <c r="N1135" s="508"/>
      <c r="O1135" s="509"/>
      <c r="P1135" s="509"/>
    </row>
    <row r="1136" spans="1:16" ht="21.75" customHeight="1" x14ac:dyDescent="0.3">
      <c r="A1136" s="504"/>
      <c r="B1136" s="504"/>
      <c r="C1136" s="504"/>
      <c r="D1136" s="504"/>
      <c r="E1136" s="506"/>
      <c r="F1136" s="506"/>
      <c r="G1136" s="506"/>
      <c r="H1136" s="506"/>
      <c r="I1136" s="506"/>
      <c r="J1136" s="506"/>
      <c r="K1136" s="507"/>
      <c r="L1136" s="508"/>
      <c r="M1136" s="508"/>
      <c r="N1136" s="508"/>
      <c r="O1136" s="509"/>
      <c r="P1136" s="509"/>
    </row>
    <row r="1137" spans="1:16" ht="21.75" customHeight="1" x14ac:dyDescent="0.3">
      <c r="A1137" s="504"/>
      <c r="B1137" s="504"/>
      <c r="C1137" s="504"/>
      <c r="D1137" s="504"/>
      <c r="E1137" s="506"/>
      <c r="F1137" s="506"/>
      <c r="G1137" s="506"/>
      <c r="H1137" s="506"/>
      <c r="I1137" s="506"/>
      <c r="J1137" s="506"/>
      <c r="K1137" s="507"/>
      <c r="L1137" s="508"/>
      <c r="M1137" s="508"/>
      <c r="N1137" s="508"/>
      <c r="O1137" s="509"/>
      <c r="P1137" s="509"/>
    </row>
    <row r="1138" spans="1:16" ht="21.75" customHeight="1" x14ac:dyDescent="0.3">
      <c r="A1138" s="504"/>
      <c r="B1138" s="504"/>
      <c r="C1138" s="504"/>
      <c r="D1138" s="504"/>
      <c r="E1138" s="506"/>
      <c r="F1138" s="506"/>
      <c r="G1138" s="506"/>
      <c r="H1138" s="506"/>
      <c r="I1138" s="506"/>
      <c r="J1138" s="506"/>
      <c r="K1138" s="507"/>
      <c r="L1138" s="508"/>
      <c r="M1138" s="508"/>
      <c r="N1138" s="508"/>
      <c r="O1138" s="509"/>
      <c r="P1138" s="509"/>
    </row>
    <row r="1139" spans="1:16" ht="21.75" customHeight="1" x14ac:dyDescent="0.3">
      <c r="A1139" s="504"/>
      <c r="B1139" s="504"/>
      <c r="C1139" s="504"/>
      <c r="D1139" s="504"/>
      <c r="E1139" s="506"/>
      <c r="F1139" s="506"/>
      <c r="G1139" s="506"/>
      <c r="H1139" s="506"/>
      <c r="I1139" s="506"/>
      <c r="J1139" s="506"/>
      <c r="K1139" s="507"/>
      <c r="L1139" s="508"/>
      <c r="M1139" s="508"/>
      <c r="N1139" s="508"/>
      <c r="O1139" s="509"/>
      <c r="P1139" s="509"/>
    </row>
    <row r="1140" spans="1:16" ht="21.75" customHeight="1" x14ac:dyDescent="0.3">
      <c r="A1140" s="504"/>
      <c r="B1140" s="504"/>
      <c r="C1140" s="504"/>
      <c r="D1140" s="504"/>
      <c r="E1140" s="506"/>
      <c r="F1140" s="506"/>
      <c r="G1140" s="506"/>
      <c r="H1140" s="506"/>
      <c r="I1140" s="506"/>
      <c r="J1140" s="506"/>
      <c r="K1140" s="507"/>
      <c r="L1140" s="508"/>
      <c r="M1140" s="508"/>
      <c r="N1140" s="508"/>
      <c r="O1140" s="509"/>
      <c r="P1140" s="509"/>
    </row>
    <row r="1141" spans="1:16" ht="21.75" customHeight="1" x14ac:dyDescent="0.3">
      <c r="A1141" s="504"/>
      <c r="B1141" s="504"/>
      <c r="C1141" s="504"/>
      <c r="D1141" s="504"/>
      <c r="E1141" s="506"/>
      <c r="F1141" s="506"/>
      <c r="G1141" s="506"/>
      <c r="H1141" s="506"/>
      <c r="I1141" s="506"/>
      <c r="J1141" s="506"/>
      <c r="K1141" s="507"/>
      <c r="L1141" s="508"/>
      <c r="M1141" s="508"/>
      <c r="N1141" s="508"/>
      <c r="O1141" s="509"/>
      <c r="P1141" s="509"/>
    </row>
    <row r="1142" spans="1:16" ht="21.75" customHeight="1" x14ac:dyDescent="0.3">
      <c r="A1142" s="504"/>
      <c r="B1142" s="504"/>
      <c r="C1142" s="504"/>
      <c r="D1142" s="504"/>
      <c r="E1142" s="506"/>
      <c r="F1142" s="506"/>
      <c r="G1142" s="506"/>
      <c r="H1142" s="506"/>
      <c r="I1142" s="506"/>
      <c r="J1142" s="506"/>
      <c r="K1142" s="507"/>
      <c r="L1142" s="508"/>
      <c r="M1142" s="508"/>
      <c r="N1142" s="508"/>
      <c r="O1142" s="509"/>
      <c r="P1142" s="509"/>
    </row>
    <row r="1143" spans="1:16" ht="21.75" customHeight="1" x14ac:dyDescent="0.3">
      <c r="A1143" s="504"/>
      <c r="B1143" s="504"/>
      <c r="C1143" s="504"/>
      <c r="D1143" s="504"/>
      <c r="E1143" s="506"/>
      <c r="F1143" s="506"/>
      <c r="G1143" s="506"/>
      <c r="H1143" s="506"/>
      <c r="I1143" s="506"/>
      <c r="J1143" s="506"/>
      <c r="K1143" s="507"/>
      <c r="L1143" s="508"/>
      <c r="M1143" s="508"/>
      <c r="N1143" s="508"/>
      <c r="O1143" s="509"/>
      <c r="P1143" s="509"/>
    </row>
  </sheetData>
  <mergeCells count="49">
    <mergeCell ref="D310:G310"/>
    <mergeCell ref="D317:E317"/>
    <mergeCell ref="D329:G329"/>
    <mergeCell ref="D336:E336"/>
    <mergeCell ref="D140:G140"/>
    <mergeCell ref="D147:E147"/>
    <mergeCell ref="D220:G220"/>
    <mergeCell ref="D227:E227"/>
    <mergeCell ref="D250:G250"/>
    <mergeCell ref="D257:E257"/>
    <mergeCell ref="D271:G271"/>
    <mergeCell ref="D118:G118"/>
    <mergeCell ref="D125:E125"/>
    <mergeCell ref="D278:E278"/>
    <mergeCell ref="D290:G290"/>
    <mergeCell ref="D297:E297"/>
    <mergeCell ref="D60:E60"/>
    <mergeCell ref="D66:G66"/>
    <mergeCell ref="D73:E73"/>
    <mergeCell ref="D94:G94"/>
    <mergeCell ref="D101:E101"/>
    <mergeCell ref="D44:F44"/>
    <mergeCell ref="D48:E48"/>
    <mergeCell ref="B52:G52"/>
    <mergeCell ref="D53:G53"/>
    <mergeCell ref="D56:F56"/>
    <mergeCell ref="D31:F31"/>
    <mergeCell ref="D35:E35"/>
    <mergeCell ref="A38:G38"/>
    <mergeCell ref="B39:G39"/>
    <mergeCell ref="D41:G41"/>
    <mergeCell ref="D18:G18"/>
    <mergeCell ref="D21:F21"/>
    <mergeCell ref="D25:E25"/>
    <mergeCell ref="A27:G27"/>
    <mergeCell ref="D28:G28"/>
    <mergeCell ref="A7:G7"/>
    <mergeCell ref="D8:G8"/>
    <mergeCell ref="D11:F11"/>
    <mergeCell ref="D15:E15"/>
    <mergeCell ref="A17:G17"/>
    <mergeCell ref="H5:H6"/>
    <mergeCell ref="I5:K5"/>
    <mergeCell ref="L5:M5"/>
    <mergeCell ref="N5:P5"/>
    <mergeCell ref="A5:G6"/>
    <mergeCell ref="A1:P1"/>
    <mergeCell ref="A2:P2"/>
    <mergeCell ref="A3:P3"/>
  </mergeCells>
  <printOptions horizontalCentered="1"/>
  <pageMargins left="0.23622047244094491" right="0.27559055118110237" top="0.31496062992125984" bottom="0.39370078740157483" header="0" footer="0"/>
  <pageSetup paperSize="9" scale="39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46" max="16383" man="1"/>
    <brk id="326" max="16383" man="1"/>
    <brk id="400" max="16383" man="1"/>
    <brk id="486" max="16383" man="1"/>
    <brk id="563" max="16383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J7" sqref="J7"/>
      <selection pane="bottomLeft" activeCell="M569" sqref="M569"/>
    </sheetView>
  </sheetViews>
  <sheetFormatPr defaultColWidth="12.6640625" defaultRowHeight="15" customHeight="1" x14ac:dyDescent="0.3"/>
  <cols>
    <col min="1" max="3" width="2.75" customWidth="1"/>
    <col min="4" max="6" width="5" customWidth="1"/>
    <col min="7" max="7" width="70.9140625" customWidth="1"/>
    <col min="8" max="8" width="9.5" customWidth="1"/>
    <col min="9" max="10" width="13.9140625" customWidth="1"/>
    <col min="11" max="11" width="10.08203125" bestFit="1" customWidth="1"/>
    <col min="12" max="12" width="16.33203125" bestFit="1" customWidth="1"/>
    <col min="13" max="13" width="17.6640625" customWidth="1"/>
    <col min="14" max="14" width="19.5" customWidth="1"/>
    <col min="15" max="15" width="16.5" customWidth="1"/>
    <col min="16" max="16" width="18" customWidth="1"/>
  </cols>
  <sheetData>
    <row r="1" spans="1:16" ht="18" customHeight="1" x14ac:dyDescent="0.3">
      <c r="A1" s="512" t="s">
        <v>0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</row>
    <row r="2" spans="1:16" ht="18" customHeight="1" x14ac:dyDescent="0.3">
      <c r="A2" s="512" t="s">
        <v>262</v>
      </c>
      <c r="B2" s="512"/>
      <c r="C2" s="512"/>
      <c r="D2" s="512"/>
      <c r="E2" s="512"/>
      <c r="F2" s="512"/>
      <c r="G2" s="512"/>
      <c r="H2" s="512"/>
      <c r="I2" s="512"/>
      <c r="J2" s="512"/>
      <c r="K2" s="512"/>
      <c r="L2" s="512"/>
      <c r="M2" s="512"/>
      <c r="N2" s="512"/>
      <c r="O2" s="512"/>
      <c r="P2" s="512"/>
    </row>
    <row r="3" spans="1:16" ht="18" customHeight="1" x14ac:dyDescent="0.3">
      <c r="A3" s="512" t="s">
        <v>272</v>
      </c>
      <c r="B3" s="512"/>
      <c r="C3" s="512"/>
      <c r="D3" s="512"/>
      <c r="E3" s="512"/>
      <c r="F3" s="512"/>
      <c r="G3" s="512"/>
      <c r="H3" s="512"/>
      <c r="I3" s="512"/>
      <c r="J3" s="512"/>
      <c r="K3" s="512"/>
      <c r="L3" s="512"/>
      <c r="M3" s="512"/>
      <c r="N3" s="512"/>
      <c r="O3" s="512"/>
      <c r="P3" s="512"/>
    </row>
    <row r="4" spans="1:16" ht="33.75" customHeight="1" x14ac:dyDescent="0.3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3">
      <c r="A5" s="520" t="s">
        <v>2</v>
      </c>
      <c r="B5" s="521"/>
      <c r="C5" s="521"/>
      <c r="D5" s="521"/>
      <c r="E5" s="521"/>
      <c r="F5" s="521"/>
      <c r="G5" s="522"/>
      <c r="H5" s="513" t="s">
        <v>3</v>
      </c>
      <c r="I5" s="515" t="s">
        <v>4</v>
      </c>
      <c r="J5" s="516"/>
      <c r="K5" s="517"/>
      <c r="L5" s="518" t="s">
        <v>5</v>
      </c>
      <c r="M5" s="517"/>
      <c r="N5" s="519" t="s">
        <v>6</v>
      </c>
      <c r="O5" s="516"/>
      <c r="P5" s="517"/>
    </row>
    <row r="6" spans="1:16" ht="21.75" customHeight="1" x14ac:dyDescent="0.3">
      <c r="A6" s="523"/>
      <c r="B6" s="524"/>
      <c r="C6" s="524"/>
      <c r="D6" s="524"/>
      <c r="E6" s="524"/>
      <c r="F6" s="524"/>
      <c r="G6" s="525"/>
      <c r="H6" s="514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45">
      <c r="A7" s="526" t="s">
        <v>15</v>
      </c>
      <c r="B7" s="516"/>
      <c r="C7" s="516"/>
      <c r="D7" s="516"/>
      <c r="E7" s="516"/>
      <c r="F7" s="516"/>
      <c r="G7" s="517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45">
      <c r="A8" s="17"/>
      <c r="B8" s="18"/>
      <c r="C8" s="19" t="s">
        <v>16</v>
      </c>
      <c r="D8" s="527" t="s">
        <v>17</v>
      </c>
      <c r="E8" s="528"/>
      <c r="F8" s="528"/>
      <c r="G8" s="528"/>
      <c r="H8" s="20" t="s">
        <v>12</v>
      </c>
      <c r="I8" s="21"/>
      <c r="J8" s="21"/>
      <c r="K8" s="22"/>
      <c r="L8" s="23">
        <f t="shared" ref="L8:N8" ca="1" si="0">L9+L10</f>
        <v>5328760</v>
      </c>
      <c r="M8" s="23">
        <f t="shared" ca="1" si="0"/>
        <v>1549065</v>
      </c>
      <c r="N8" s="23">
        <f t="shared" ca="1" si="0"/>
        <v>1393763.31</v>
      </c>
      <c r="O8" s="22">
        <f t="shared" ref="O8:O16" ca="1" si="1">IF(L8&gt;0,N8*100/L8,0)</f>
        <v>26.155490395514153</v>
      </c>
      <c r="P8" s="22">
        <f t="shared" ref="P8:P16" ca="1" si="2">IF(M8&gt;0,N8*100/M8,0)</f>
        <v>89.974488481761583</v>
      </c>
    </row>
    <row r="9" spans="1:16" ht="21.75" customHeight="1" x14ac:dyDescent="0.45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45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5328760</v>
      </c>
      <c r="M10" s="30">
        <f t="shared" ca="1" si="4"/>
        <v>1549065</v>
      </c>
      <c r="N10" s="30">
        <f t="shared" ca="1" si="4"/>
        <v>1393763.31</v>
      </c>
      <c r="O10" s="29">
        <f t="shared" ca="1" si="1"/>
        <v>26.155490395514153</v>
      </c>
      <c r="P10" s="29">
        <f t="shared" ca="1" si="2"/>
        <v>89.974488481761583</v>
      </c>
    </row>
    <row r="11" spans="1:16" ht="21.75" customHeight="1" x14ac:dyDescent="0.45">
      <c r="A11" s="31"/>
      <c r="B11" s="32"/>
      <c r="C11" s="33" t="s">
        <v>16</v>
      </c>
      <c r="D11" s="529" t="s">
        <v>20</v>
      </c>
      <c r="E11" s="530"/>
      <c r="F11" s="530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45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5116360</v>
      </c>
      <c r="M12" s="38">
        <f t="shared" ca="1" si="6"/>
        <v>1336665</v>
      </c>
      <c r="N12" s="38">
        <f t="shared" ca="1" si="6"/>
        <v>1273763.31</v>
      </c>
      <c r="O12" s="38">
        <f t="shared" ca="1" si="1"/>
        <v>24.895889069572899</v>
      </c>
      <c r="P12" s="38">
        <f t="shared" ca="1" si="2"/>
        <v>95.294132037571117</v>
      </c>
    </row>
    <row r="13" spans="1:16" ht="21.75" customHeight="1" x14ac:dyDescent="0.45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1833600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45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3282760</v>
      </c>
      <c r="M14" s="38">
        <f t="shared" si="8"/>
        <v>0</v>
      </c>
      <c r="N14" s="38">
        <f t="shared" ca="1" si="8"/>
        <v>277573.30999999994</v>
      </c>
      <c r="O14" s="38">
        <f t="shared" ca="1" si="1"/>
        <v>8.4554859325689335</v>
      </c>
      <c r="P14" s="38">
        <f t="shared" si="2"/>
        <v>0</v>
      </c>
    </row>
    <row r="15" spans="1:16" ht="21.75" customHeight="1" x14ac:dyDescent="0.45">
      <c r="A15" s="31"/>
      <c r="B15" s="32"/>
      <c r="C15" s="33" t="s">
        <v>16</v>
      </c>
      <c r="D15" s="529" t="s">
        <v>23</v>
      </c>
      <c r="E15" s="530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45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212400</v>
      </c>
      <c r="M16" s="38">
        <f t="shared" ca="1" si="10"/>
        <v>212400</v>
      </c>
      <c r="N16" s="38">
        <f t="shared" ca="1" si="10"/>
        <v>120000</v>
      </c>
      <c r="O16" s="49">
        <f t="shared" ca="1" si="1"/>
        <v>56.497175141242941</v>
      </c>
      <c r="P16" s="49">
        <f t="shared" ca="1" si="2"/>
        <v>56.497175141242941</v>
      </c>
    </row>
    <row r="17" spans="1:16" ht="21.75" customHeight="1" x14ac:dyDescent="0.45">
      <c r="A17" s="526" t="s">
        <v>24</v>
      </c>
      <c r="B17" s="516"/>
      <c r="C17" s="516"/>
      <c r="D17" s="516"/>
      <c r="E17" s="516"/>
      <c r="F17" s="516"/>
      <c r="G17" s="517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45">
      <c r="A18" s="17"/>
      <c r="B18" s="18"/>
      <c r="C18" s="19" t="s">
        <v>16</v>
      </c>
      <c r="D18" s="527" t="s">
        <v>17</v>
      </c>
      <c r="E18" s="528"/>
      <c r="F18" s="528"/>
      <c r="G18" s="528"/>
      <c r="H18" s="20" t="s">
        <v>12</v>
      </c>
      <c r="I18" s="21"/>
      <c r="J18" s="21"/>
      <c r="K18" s="22"/>
      <c r="L18" s="23">
        <f t="shared" ref="L18:N18" ca="1" si="11">L19+L20</f>
        <v>2719825</v>
      </c>
      <c r="M18" s="23">
        <f t="shared" ca="1" si="11"/>
        <v>1549065</v>
      </c>
      <c r="N18" s="23">
        <f t="shared" ca="1" si="11"/>
        <v>1116190</v>
      </c>
      <c r="O18" s="22">
        <f t="shared" ref="O18:O20" ca="1" si="12">IF(L18&gt;0,N18*100/L18,0)</f>
        <v>41.039037438070466</v>
      </c>
      <c r="P18" s="22">
        <f t="shared" ref="P18:P26" ca="1" si="13">IF(M18&gt;0,N18*100/M18,0)</f>
        <v>72.055723936697305</v>
      </c>
    </row>
    <row r="19" spans="1:16" ht="21.75" customHeight="1" x14ac:dyDescent="0.45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45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2719825</v>
      </c>
      <c r="M20" s="30">
        <f t="shared" ca="1" si="15"/>
        <v>1549065</v>
      </c>
      <c r="N20" s="30">
        <f t="shared" ca="1" si="15"/>
        <v>1116190</v>
      </c>
      <c r="O20" s="29">
        <f t="shared" ca="1" si="12"/>
        <v>41.039037438070466</v>
      </c>
      <c r="P20" s="29">
        <f t="shared" ca="1" si="13"/>
        <v>72.055723936697305</v>
      </c>
    </row>
    <row r="21" spans="1:16" ht="21.75" customHeight="1" x14ac:dyDescent="0.45">
      <c r="A21" s="31"/>
      <c r="B21" s="32"/>
      <c r="C21" s="33" t="s">
        <v>16</v>
      </c>
      <c r="D21" s="529" t="s">
        <v>20</v>
      </c>
      <c r="E21" s="530"/>
      <c r="F21" s="530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45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2507425</v>
      </c>
      <c r="M22" s="41">
        <f t="shared" ca="1" si="18"/>
        <v>1336665</v>
      </c>
      <c r="N22" s="38">
        <f t="shared" ca="1" si="18"/>
        <v>996190</v>
      </c>
      <c r="O22" s="38">
        <f t="shared" ca="1" si="17"/>
        <v>39.729603078855796</v>
      </c>
      <c r="P22" s="38">
        <f t="shared" ca="1" si="13"/>
        <v>74.528023102273195</v>
      </c>
    </row>
    <row r="23" spans="1:16" ht="21.75" customHeight="1" x14ac:dyDescent="0.45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1833600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45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673825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45">
      <c r="A25" s="31"/>
      <c r="B25" s="32"/>
      <c r="C25" s="33" t="s">
        <v>16</v>
      </c>
      <c r="D25" s="529" t="s">
        <v>23</v>
      </c>
      <c r="E25" s="530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45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212400</v>
      </c>
      <c r="M26" s="49">
        <f t="shared" ca="1" si="22"/>
        <v>212400</v>
      </c>
      <c r="N26" s="49">
        <f t="shared" ca="1" si="22"/>
        <v>120000</v>
      </c>
      <c r="O26" s="49">
        <f t="shared" ca="1" si="17"/>
        <v>56.497175141242941</v>
      </c>
      <c r="P26" s="49">
        <f t="shared" ca="1" si="13"/>
        <v>56.497175141242941</v>
      </c>
    </row>
    <row r="27" spans="1:16" ht="21.75" customHeight="1" x14ac:dyDescent="0.45">
      <c r="A27" s="526" t="s">
        <v>25</v>
      </c>
      <c r="B27" s="516"/>
      <c r="C27" s="516"/>
      <c r="D27" s="516"/>
      <c r="E27" s="516"/>
      <c r="F27" s="516"/>
      <c r="G27" s="517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45">
      <c r="A28" s="17"/>
      <c r="B28" s="18"/>
      <c r="C28" s="19" t="s">
        <v>16</v>
      </c>
      <c r="D28" s="527" t="s">
        <v>17</v>
      </c>
      <c r="E28" s="528"/>
      <c r="F28" s="528"/>
      <c r="G28" s="528"/>
      <c r="H28" s="20" t="s">
        <v>12</v>
      </c>
      <c r="I28" s="21"/>
      <c r="J28" s="21"/>
      <c r="K28" s="22"/>
      <c r="L28" s="23">
        <f t="shared" ref="L28:N28" ca="1" si="23">L29+L30</f>
        <v>2608935</v>
      </c>
      <c r="M28" s="23">
        <f t="shared" si="23"/>
        <v>0</v>
      </c>
      <c r="N28" s="23">
        <f t="shared" ca="1" si="23"/>
        <v>277573.30999999994</v>
      </c>
      <c r="O28" s="22">
        <f t="shared" ref="O28:O30" ca="1" si="24">IF(L28&gt;0,N28*100/L28,0)</f>
        <v>10.639334057766863</v>
      </c>
      <c r="P28" s="22">
        <f t="shared" ref="P28:P37" si="25">IF(M28&gt;0,N28*100/M28,0)</f>
        <v>0</v>
      </c>
    </row>
    <row r="29" spans="1:16" ht="21.75" customHeight="1" x14ac:dyDescent="0.45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45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2608935</v>
      </c>
      <c r="M30" s="30">
        <f t="shared" si="27"/>
        <v>0</v>
      </c>
      <c r="N30" s="30">
        <f t="shared" ca="1" si="27"/>
        <v>277573.30999999994</v>
      </c>
      <c r="O30" s="29">
        <f t="shared" ca="1" si="24"/>
        <v>10.639334057766863</v>
      </c>
      <c r="P30" s="29">
        <f t="shared" si="25"/>
        <v>0</v>
      </c>
    </row>
    <row r="31" spans="1:16" ht="21.75" customHeight="1" x14ac:dyDescent="0.45">
      <c r="A31" s="31"/>
      <c r="B31" s="32"/>
      <c r="C31" s="33" t="s">
        <v>16</v>
      </c>
      <c r="D31" s="529" t="s">
        <v>20</v>
      </c>
      <c r="E31" s="530"/>
      <c r="F31" s="530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45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2608935</v>
      </c>
      <c r="M32" s="38">
        <f t="shared" si="30"/>
        <v>0</v>
      </c>
      <c r="N32" s="38">
        <f t="shared" ca="1" si="30"/>
        <v>277573.30999999994</v>
      </c>
      <c r="O32" s="38">
        <f t="shared" ca="1" si="29"/>
        <v>10.639334057766863</v>
      </c>
      <c r="P32" s="38">
        <f t="shared" si="25"/>
        <v>0</v>
      </c>
    </row>
    <row r="33" spans="1:16" ht="21.75" customHeight="1" x14ac:dyDescent="0.45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45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2608935</v>
      </c>
      <c r="M34" s="38">
        <f t="shared" si="32"/>
        <v>0</v>
      </c>
      <c r="N34" s="38">
        <f t="shared" ca="1" si="32"/>
        <v>277573.30999999994</v>
      </c>
      <c r="O34" s="38">
        <f t="shared" ca="1" si="29"/>
        <v>10.639334057766863</v>
      </c>
      <c r="P34" s="38">
        <f t="shared" si="25"/>
        <v>0</v>
      </c>
    </row>
    <row r="35" spans="1:16" ht="21.75" customHeight="1" x14ac:dyDescent="0.45">
      <c r="A35" s="31"/>
      <c r="B35" s="32"/>
      <c r="C35" s="33" t="s">
        <v>16</v>
      </c>
      <c r="D35" s="529" t="s">
        <v>23</v>
      </c>
      <c r="E35" s="530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45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3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2719825</v>
      </c>
      <c r="M37" s="54">
        <f t="shared" ca="1" si="33"/>
        <v>1549065</v>
      </c>
      <c r="N37" s="54">
        <f t="shared" ca="1" si="33"/>
        <v>1116190</v>
      </c>
      <c r="O37" s="55">
        <f t="shared" ca="1" si="29"/>
        <v>41.039037438070466</v>
      </c>
      <c r="P37" s="55">
        <f t="shared" ca="1" si="25"/>
        <v>72.055723936697305</v>
      </c>
    </row>
    <row r="38" spans="1:16" ht="21.75" customHeight="1" x14ac:dyDescent="0.45">
      <c r="A38" s="531" t="s">
        <v>27</v>
      </c>
      <c r="B38" s="516"/>
      <c r="C38" s="516"/>
      <c r="D38" s="516"/>
      <c r="E38" s="516"/>
      <c r="F38" s="516"/>
      <c r="G38" s="517"/>
      <c r="H38" s="56"/>
      <c r="I38" s="57"/>
      <c r="J38" s="57"/>
      <c r="K38" s="58"/>
      <c r="L38" s="59"/>
      <c r="M38" s="59"/>
      <c r="N38" s="59"/>
      <c r="O38" s="59"/>
      <c r="P38" s="59"/>
    </row>
    <row r="39" spans="1:16" ht="21.75" customHeight="1" x14ac:dyDescent="0.45">
      <c r="A39" s="60"/>
      <c r="B39" s="532" t="s">
        <v>28</v>
      </c>
      <c r="C39" s="528"/>
      <c r="D39" s="528"/>
      <c r="E39" s="528"/>
      <c r="F39" s="528"/>
      <c r="G39" s="528"/>
      <c r="H39" s="61"/>
      <c r="I39" s="62"/>
      <c r="J39" s="62"/>
      <c r="K39" s="63"/>
      <c r="L39" s="64"/>
      <c r="M39" s="64"/>
      <c r="N39" s="64"/>
      <c r="O39" s="63"/>
      <c r="P39" s="63"/>
    </row>
    <row r="40" spans="1:16" ht="21.75" customHeight="1" x14ac:dyDescent="0.45">
      <c r="A40" s="65"/>
      <c r="B40" s="66" t="s">
        <v>29</v>
      </c>
      <c r="C40" s="67"/>
      <c r="D40" s="67"/>
      <c r="E40" s="67"/>
      <c r="F40" s="67"/>
      <c r="G40" s="67"/>
      <c r="H40" s="68"/>
      <c r="I40" s="69"/>
      <c r="J40" s="69"/>
      <c r="K40" s="70"/>
      <c r="L40" s="71"/>
      <c r="M40" s="71"/>
      <c r="N40" s="71"/>
      <c r="O40" s="70"/>
      <c r="P40" s="70"/>
    </row>
    <row r="41" spans="1:16" ht="21.75" customHeight="1" x14ac:dyDescent="0.45">
      <c r="A41" s="72"/>
      <c r="B41" s="73"/>
      <c r="C41" s="74" t="s">
        <v>16</v>
      </c>
      <c r="D41" s="533" t="s">
        <v>17</v>
      </c>
      <c r="E41" s="530"/>
      <c r="F41" s="530"/>
      <c r="G41" s="530"/>
      <c r="H41" s="75" t="s">
        <v>12</v>
      </c>
      <c r="I41" s="76"/>
      <c r="J41" s="76"/>
      <c r="K41" s="77"/>
      <c r="L41" s="78">
        <f t="shared" ref="L41:N41" ca="1" si="34">L42+L43</f>
        <v>644400</v>
      </c>
      <c r="M41" s="78">
        <f t="shared" ca="1" si="34"/>
        <v>322200</v>
      </c>
      <c r="N41" s="78">
        <f t="shared" ca="1" si="34"/>
        <v>244417</v>
      </c>
      <c r="O41" s="77">
        <f t="shared" ref="O41:O43" ca="1" si="35">IF(L41&gt;0,N41*100/L41,0)</f>
        <v>37.929391682184978</v>
      </c>
      <c r="P41" s="77">
        <f t="shared" ref="P41:P43" ca="1" si="36">IF(M41&gt;0,N41*100/M41,0)</f>
        <v>75.858783364369955</v>
      </c>
    </row>
    <row r="42" spans="1:16" ht="21.75" customHeight="1" x14ac:dyDescent="0.45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45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644400</v>
      </c>
      <c r="M43" s="78">
        <f t="shared" ca="1" si="38"/>
        <v>322200</v>
      </c>
      <c r="N43" s="78">
        <f t="shared" ca="1" si="38"/>
        <v>244417</v>
      </c>
      <c r="O43" s="77">
        <f t="shared" ca="1" si="35"/>
        <v>37.929391682184978</v>
      </c>
      <c r="P43" s="77">
        <f t="shared" ca="1" si="36"/>
        <v>75.858783364369955</v>
      </c>
    </row>
    <row r="44" spans="1:16" ht="21.75" customHeight="1" x14ac:dyDescent="0.45">
      <c r="A44" s="79"/>
      <c r="B44" s="80"/>
      <c r="C44" s="81" t="s">
        <v>16</v>
      </c>
      <c r="D44" s="534" t="s">
        <v>20</v>
      </c>
      <c r="E44" s="530"/>
      <c r="F44" s="530"/>
      <c r="G44" s="82" t="s">
        <v>18</v>
      </c>
      <c r="H44" s="83" t="s">
        <v>12</v>
      </c>
      <c r="I44" s="84"/>
      <c r="J44" s="84"/>
      <c r="K44" s="85"/>
      <c r="L44" s="86">
        <v>0</v>
      </c>
      <c r="M44" s="510"/>
      <c r="N44" s="511"/>
      <c r="O44" s="511"/>
      <c r="P44" s="511"/>
    </row>
    <row r="45" spans="1:16" ht="21.75" customHeight="1" x14ac:dyDescent="0.45">
      <c r="A45" s="79"/>
      <c r="B45" s="80"/>
      <c r="C45" s="80"/>
      <c r="D45" s="80"/>
      <c r="E45" s="88"/>
      <c r="F45" s="89"/>
      <c r="G45" s="82" t="s">
        <v>19</v>
      </c>
      <c r="H45" s="83" t="s">
        <v>12</v>
      </c>
      <c r="I45" s="84"/>
      <c r="J45" s="84"/>
      <c r="K45" s="85"/>
      <c r="L45" s="38">
        <f ca="1">L46+L47</f>
        <v>644400</v>
      </c>
      <c r="M45" s="49">
        <f ca="1">IFERROR(__xludf.DUMMYFUNCTION("IMPORTRANGE(""https://docs.google.com/spreadsheets/d/1Yj_ptqi66GCucihVvJfMjLAmec39IyEx_6qawtMGysU/edit?usp=sharing"",""สบก!Q32"")"),322200)</f>
        <v>322200</v>
      </c>
      <c r="N45" s="49">
        <f ca="1">IFERROR(__xludf.DUMMYFUNCTION("IMPORTRANGE(""https://docs.google.com/spreadsheets/d/1Yj_ptqi66GCucihVvJfMjLAmec39IyEx_6qawtMGysU/edit?usp=sharing"",""สบก!R32"")"),244417)</f>
        <v>244417</v>
      </c>
      <c r="O45" s="38">
        <f ca="1">IF(L45&gt;0,N45*100/L45,0)</f>
        <v>37.929391682184978</v>
      </c>
      <c r="P45" s="38">
        <f ca="1">IF(M45&gt;0,N45*100/M45,0)</f>
        <v>75.858783364369955</v>
      </c>
    </row>
    <row r="46" spans="1:16" ht="21.75" customHeight="1" x14ac:dyDescent="0.45">
      <c r="A46" s="79"/>
      <c r="B46" s="80"/>
      <c r="C46" s="80"/>
      <c r="D46" s="80"/>
      <c r="E46" s="88"/>
      <c r="F46" s="88"/>
      <c r="G46" s="82" t="s">
        <v>21</v>
      </c>
      <c r="H46" s="83" t="s">
        <v>12</v>
      </c>
      <c r="I46" s="84"/>
      <c r="J46" s="84"/>
      <c r="K46" s="85"/>
      <c r="L46" s="49">
        <f ca="1">IFERROR(__xludf.DUMMYFUNCTION("IMPORTRANGE(""https://docs.google.com/spreadsheets/d/1Yj_ptqi66GCucihVvJfMjLAmec39IyEx_6qawtMGysU/edit?usp=sharing"",""สบก!M32"")"),644400)</f>
        <v>644400</v>
      </c>
      <c r="M46" s="41"/>
      <c r="N46" s="38"/>
      <c r="O46" s="38"/>
      <c r="P46" s="38"/>
    </row>
    <row r="47" spans="1:16" ht="21.75" customHeight="1" x14ac:dyDescent="0.45">
      <c r="A47" s="79"/>
      <c r="B47" s="80"/>
      <c r="C47" s="80"/>
      <c r="D47" s="80"/>
      <c r="E47" s="88"/>
      <c r="F47" s="88"/>
      <c r="G47" s="82" t="s">
        <v>22</v>
      </c>
      <c r="H47" s="83" t="s">
        <v>12</v>
      </c>
      <c r="I47" s="84"/>
      <c r="J47" s="84"/>
      <c r="K47" s="85"/>
      <c r="L47" s="49">
        <f ca="1">IFERROR(__xludf.DUMMYFUNCTION("IMPORTRANGE(""https://docs.google.com/spreadsheets/d/1Yj_ptqi66GCucihVvJfMjLAmec39IyEx_6qawtMGysU/edit?usp=sharing"",""สบก!N32"")"),0)</f>
        <v>0</v>
      </c>
      <c r="M47" s="41"/>
      <c r="N47" s="38"/>
      <c r="O47" s="38"/>
      <c r="P47" s="38"/>
    </row>
    <row r="48" spans="1:16" ht="21.75" customHeight="1" x14ac:dyDescent="0.45">
      <c r="A48" s="79"/>
      <c r="B48" s="80"/>
      <c r="C48" s="81" t="s">
        <v>16</v>
      </c>
      <c r="D48" s="534" t="s">
        <v>23</v>
      </c>
      <c r="E48" s="530"/>
      <c r="F48" s="88"/>
      <c r="G48" s="82" t="s">
        <v>18</v>
      </c>
      <c r="H48" s="83" t="s">
        <v>12</v>
      </c>
      <c r="I48" s="84"/>
      <c r="J48" s="84"/>
      <c r="K48" s="85"/>
      <c r="L48" s="50">
        <v>0</v>
      </c>
      <c r="M48" s="41"/>
      <c r="N48" s="41"/>
      <c r="O48" s="41"/>
      <c r="P48" s="41"/>
    </row>
    <row r="49" spans="1:16" ht="21.75" customHeight="1" x14ac:dyDescent="0.45">
      <c r="A49" s="90"/>
      <c r="B49" s="91"/>
      <c r="C49" s="91"/>
      <c r="D49" s="91"/>
      <c r="E49" s="92"/>
      <c r="F49" s="92"/>
      <c r="G49" s="93" t="s">
        <v>19</v>
      </c>
      <c r="H49" s="94" t="s">
        <v>12</v>
      </c>
      <c r="I49" s="95"/>
      <c r="J49" s="95"/>
      <c r="K49" s="96"/>
      <c r="L49" s="49">
        <f ca="1">IFERROR(__xludf.DUMMYFUNCTION("IMPORTRANGE(""https://docs.google.com/spreadsheets/d/1Yj_ptqi66GCucihVvJfMjLAmec39IyEx_6qawtMGysU/edit?usp=sharing"",""สบก!O32"")"),0)</f>
        <v>0</v>
      </c>
      <c r="M49" s="49"/>
      <c r="N49" s="49">
        <f ca="1">IFERROR(__xludf.DUMMYFUNCTION("IMPORTRANGE(""https://docs.google.com/spreadsheets/d/1Yj_ptqi66GCucihVvJfMjLAmec39IyEx_6qawtMGysU/edit?usp=sharing"",""สบก!S32"")"),0)</f>
        <v>0</v>
      </c>
      <c r="O49" s="49">
        <f ca="1">IF(L49&gt;0,N49*100/L49,0)</f>
        <v>0</v>
      </c>
      <c r="P49" s="49"/>
    </row>
    <row r="50" spans="1:16" ht="21.75" customHeight="1" x14ac:dyDescent="0.45">
      <c r="A50" s="97" t="s">
        <v>30</v>
      </c>
      <c r="B50" s="98"/>
      <c r="C50" s="98"/>
      <c r="D50" s="98"/>
      <c r="E50" s="98"/>
      <c r="F50" s="98"/>
      <c r="G50" s="98"/>
      <c r="H50" s="99"/>
      <c r="I50" s="100"/>
      <c r="J50" s="100"/>
      <c r="K50" s="101"/>
      <c r="L50" s="102"/>
      <c r="M50" s="102"/>
      <c r="N50" s="102"/>
      <c r="O50" s="101"/>
      <c r="P50" s="101"/>
    </row>
    <row r="51" spans="1:16" ht="21.75" customHeight="1" x14ac:dyDescent="0.45">
      <c r="A51" s="103"/>
      <c r="B51" s="104" t="s">
        <v>31</v>
      </c>
      <c r="C51" s="104"/>
      <c r="D51" s="104"/>
      <c r="E51" s="104"/>
      <c r="F51" s="104"/>
      <c r="G51" s="104"/>
      <c r="H51" s="105"/>
      <c r="I51" s="106"/>
      <c r="J51" s="106"/>
      <c r="K51" s="107"/>
      <c r="L51" s="108"/>
      <c r="M51" s="108"/>
      <c r="N51" s="108"/>
      <c r="O51" s="107"/>
      <c r="P51" s="107"/>
    </row>
    <row r="52" spans="1:16" ht="21.75" customHeight="1" x14ac:dyDescent="0.45">
      <c r="A52" s="109"/>
      <c r="B52" s="535" t="s">
        <v>32</v>
      </c>
      <c r="C52" s="530"/>
      <c r="D52" s="530"/>
      <c r="E52" s="530"/>
      <c r="F52" s="530"/>
      <c r="G52" s="530"/>
      <c r="H52" s="110"/>
      <c r="I52" s="111"/>
      <c r="J52" s="111"/>
      <c r="K52" s="112"/>
      <c r="L52" s="113"/>
      <c r="M52" s="113"/>
      <c r="N52" s="113"/>
      <c r="O52" s="112"/>
      <c r="P52" s="112"/>
    </row>
    <row r="53" spans="1:16" ht="21.75" customHeight="1" x14ac:dyDescent="0.45">
      <c r="A53" s="114"/>
      <c r="B53" s="115"/>
      <c r="C53" s="116" t="s">
        <v>16</v>
      </c>
      <c r="D53" s="536" t="s">
        <v>17</v>
      </c>
      <c r="E53" s="530"/>
      <c r="F53" s="530"/>
      <c r="G53" s="530"/>
      <c r="H53" s="117" t="s">
        <v>12</v>
      </c>
      <c r="I53" s="118"/>
      <c r="J53" s="118"/>
      <c r="K53" s="119"/>
      <c r="L53" s="120">
        <f t="shared" ref="L53:N53" ca="1" si="39">L54+L55</f>
        <v>566000</v>
      </c>
      <c r="M53" s="120">
        <f t="shared" ca="1" si="39"/>
        <v>292000</v>
      </c>
      <c r="N53" s="120">
        <f t="shared" ca="1" si="39"/>
        <v>216265</v>
      </c>
      <c r="O53" s="119">
        <f t="shared" ref="O53:O55" ca="1" si="40">IF(L53&gt;0,N53*100/L53,0)</f>
        <v>38.209363957597176</v>
      </c>
      <c r="P53" s="119">
        <f t="shared" ref="P53:P55" ca="1" si="41">IF(M53&gt;0,N53*100/M53,0)</f>
        <v>74.063356164383563</v>
      </c>
    </row>
    <row r="54" spans="1:16" ht="21.75" customHeight="1" x14ac:dyDescent="0.45">
      <c r="A54" s="114"/>
      <c r="B54" s="115"/>
      <c r="C54" s="115"/>
      <c r="D54" s="115"/>
      <c r="E54" s="115"/>
      <c r="F54" s="115"/>
      <c r="G54" s="116" t="s">
        <v>18</v>
      </c>
      <c r="H54" s="117" t="s">
        <v>12</v>
      </c>
      <c r="I54" s="118"/>
      <c r="J54" s="118"/>
      <c r="K54" s="119"/>
      <c r="L54" s="120">
        <f t="shared" ref="L54:N54" si="42">L56+L60</f>
        <v>0</v>
      </c>
      <c r="M54" s="120">
        <f t="shared" si="42"/>
        <v>0</v>
      </c>
      <c r="N54" s="120">
        <f t="shared" si="42"/>
        <v>0</v>
      </c>
      <c r="O54" s="119">
        <f t="shared" si="40"/>
        <v>0</v>
      </c>
      <c r="P54" s="119">
        <f t="shared" si="41"/>
        <v>0</v>
      </c>
    </row>
    <row r="55" spans="1:16" ht="21.75" customHeight="1" x14ac:dyDescent="0.45">
      <c r="A55" s="114"/>
      <c r="B55" s="115"/>
      <c r="C55" s="115"/>
      <c r="D55" s="115"/>
      <c r="E55" s="115"/>
      <c r="F55" s="115"/>
      <c r="G55" s="116" t="s">
        <v>19</v>
      </c>
      <c r="H55" s="117" t="s">
        <v>12</v>
      </c>
      <c r="I55" s="118"/>
      <c r="J55" s="118"/>
      <c r="K55" s="119"/>
      <c r="L55" s="120">
        <f t="shared" ref="L55:N55" ca="1" si="43">L57+L61</f>
        <v>566000</v>
      </c>
      <c r="M55" s="120">
        <f t="shared" ca="1" si="43"/>
        <v>292000</v>
      </c>
      <c r="N55" s="120">
        <f t="shared" ca="1" si="43"/>
        <v>216265</v>
      </c>
      <c r="O55" s="119">
        <f t="shared" ca="1" si="40"/>
        <v>38.209363957597176</v>
      </c>
      <c r="P55" s="119">
        <f t="shared" ca="1" si="41"/>
        <v>74.063356164383563</v>
      </c>
    </row>
    <row r="56" spans="1:16" ht="21.75" customHeight="1" x14ac:dyDescent="0.45">
      <c r="A56" s="79"/>
      <c r="B56" s="80"/>
      <c r="C56" s="81" t="s">
        <v>16</v>
      </c>
      <c r="D56" s="534" t="s">
        <v>20</v>
      </c>
      <c r="E56" s="530"/>
      <c r="F56" s="530"/>
      <c r="G56" s="82" t="s">
        <v>18</v>
      </c>
      <c r="H56" s="83" t="s">
        <v>12</v>
      </c>
      <c r="I56" s="84"/>
      <c r="J56" s="84"/>
      <c r="K56" s="85"/>
      <c r="L56" s="511">
        <v>0</v>
      </c>
      <c r="M56" s="510"/>
      <c r="N56" s="511"/>
      <c r="O56" s="511"/>
      <c r="P56" s="511"/>
    </row>
    <row r="57" spans="1:16" ht="21.75" customHeight="1" x14ac:dyDescent="0.45">
      <c r="A57" s="79"/>
      <c r="B57" s="80"/>
      <c r="C57" s="80"/>
      <c r="D57" s="80"/>
      <c r="E57" s="88"/>
      <c r="F57" s="89"/>
      <c r="G57" s="82" t="s">
        <v>19</v>
      </c>
      <c r="H57" s="83" t="s">
        <v>12</v>
      </c>
      <c r="I57" s="84"/>
      <c r="J57" s="84"/>
      <c r="K57" s="85"/>
      <c r="L57" s="38">
        <f ca="1">L58+L59</f>
        <v>566000</v>
      </c>
      <c r="M57" s="49">
        <f ca="1">IFERROR(__xludf.DUMMYFUNCTION("IMPORTRANGE(""https://docs.google.com/spreadsheets/d/1Yj_ptqi66GCucihVvJfMjLAmec39IyEx_6qawtMGysU/edit?usp=sharing"",""สบก!Z32"")"),292000)</f>
        <v>292000</v>
      </c>
      <c r="N57" s="49">
        <f ca="1">IFERROR(__xludf.DUMMYFUNCTION("IMPORTRANGE(""https://docs.google.com/spreadsheets/d/1Yj_ptqi66GCucihVvJfMjLAmec39IyEx_6qawtMGysU/edit?usp=sharing"",""สบก!AA32"")"),216265)</f>
        <v>216265</v>
      </c>
      <c r="O57" s="38">
        <f ca="1">IF(L57&gt;0,N57*100/L57,0)</f>
        <v>38.209363957597176</v>
      </c>
      <c r="P57" s="38">
        <f ca="1">IF(M57&gt;0,N57*100/M57,0)</f>
        <v>74.063356164383563</v>
      </c>
    </row>
    <row r="58" spans="1:16" ht="21.75" customHeight="1" x14ac:dyDescent="0.45">
      <c r="A58" s="79"/>
      <c r="B58" s="80"/>
      <c r="C58" s="80"/>
      <c r="D58" s="80"/>
      <c r="E58" s="88"/>
      <c r="F58" s="88"/>
      <c r="G58" s="82" t="s">
        <v>21</v>
      </c>
      <c r="H58" s="83" t="s">
        <v>12</v>
      </c>
      <c r="I58" s="84"/>
      <c r="J58" s="84"/>
      <c r="K58" s="85"/>
      <c r="L58" s="49">
        <f ca="1">IFERROR(__xludf.DUMMYFUNCTION("IMPORTRANGE(""https://docs.google.com/spreadsheets/d/1Yj_ptqi66GCucihVvJfMjLAmec39IyEx_6qawtMGysU/edit?usp=sharing"",""สบก!V32"")"),566000)</f>
        <v>566000</v>
      </c>
      <c r="M58" s="41"/>
      <c r="N58" s="38"/>
      <c r="O58" s="38"/>
      <c r="P58" s="38"/>
    </row>
    <row r="59" spans="1:16" ht="21.75" customHeight="1" x14ac:dyDescent="0.45">
      <c r="A59" s="79"/>
      <c r="B59" s="80"/>
      <c r="C59" s="80"/>
      <c r="D59" s="80"/>
      <c r="E59" s="88"/>
      <c r="F59" s="88"/>
      <c r="G59" s="82" t="s">
        <v>22</v>
      </c>
      <c r="H59" s="83" t="s">
        <v>12</v>
      </c>
      <c r="I59" s="84"/>
      <c r="J59" s="84"/>
      <c r="K59" s="85"/>
      <c r="L59" s="49">
        <f ca="1">IFERROR(__xludf.DUMMYFUNCTION("IMPORTRANGE(""https://docs.google.com/spreadsheets/d/1Yj_ptqi66GCucihVvJfMjLAmec39IyEx_6qawtMGysU/edit?usp=sharing"",""สบก!W32"")"),0)</f>
        <v>0</v>
      </c>
      <c r="M59" s="41"/>
      <c r="N59" s="38"/>
      <c r="O59" s="38"/>
      <c r="P59" s="38"/>
    </row>
    <row r="60" spans="1:16" ht="21.75" customHeight="1" x14ac:dyDescent="0.45">
      <c r="A60" s="79"/>
      <c r="B60" s="80"/>
      <c r="C60" s="81" t="s">
        <v>16</v>
      </c>
      <c r="D60" s="534" t="s">
        <v>23</v>
      </c>
      <c r="E60" s="530"/>
      <c r="F60" s="88"/>
      <c r="G60" s="82" t="s">
        <v>18</v>
      </c>
      <c r="H60" s="83" t="s">
        <v>12</v>
      </c>
      <c r="I60" s="84"/>
      <c r="J60" s="84"/>
      <c r="K60" s="85"/>
      <c r="L60" s="50">
        <v>0</v>
      </c>
      <c r="M60" s="41"/>
      <c r="N60" s="41"/>
      <c r="O60" s="41"/>
      <c r="P60" s="41"/>
    </row>
    <row r="61" spans="1:16" ht="21.75" customHeight="1" x14ac:dyDescent="0.45">
      <c r="A61" s="90"/>
      <c r="B61" s="91"/>
      <c r="C61" s="91"/>
      <c r="D61" s="91"/>
      <c r="E61" s="92"/>
      <c r="F61" s="92"/>
      <c r="G61" s="93" t="s">
        <v>19</v>
      </c>
      <c r="H61" s="94" t="s">
        <v>12</v>
      </c>
      <c r="I61" s="95"/>
      <c r="J61" s="95"/>
      <c r="K61" s="96"/>
      <c r="L61" s="49">
        <f ca="1">IFERROR(__xludf.DUMMYFUNCTION("IMPORTRANGE(""https://docs.google.com/spreadsheets/d/1Yj_ptqi66GCucihVvJfMjLAmec39IyEx_6qawtMGysU/edit?usp=sharing"",""สบก!X32"")"),0)</f>
        <v>0</v>
      </c>
      <c r="M61" s="49"/>
      <c r="N61" s="49">
        <f ca="1">IFERROR(__xludf.DUMMYFUNCTION("IMPORTRANGE(""https://docs.google.com/spreadsheets/d/1Yj_ptqi66GCucihVvJfMjLAmec39IyEx_6qawtMGysU/edit?usp=sharing"",""สบก!AB32"")"),0)</f>
        <v>0</v>
      </c>
      <c r="O61" s="49">
        <f ca="1">IF(L61&gt;0,N61*100/L61,0)</f>
        <v>0</v>
      </c>
      <c r="P61" s="49"/>
    </row>
    <row r="62" spans="1:16" ht="21.75" customHeight="1" x14ac:dyDescent="0.3">
      <c r="A62" s="121" t="s">
        <v>33</v>
      </c>
      <c r="B62" s="122"/>
      <c r="C62" s="122"/>
      <c r="D62" s="122"/>
      <c r="E62" s="123"/>
      <c r="F62" s="123"/>
      <c r="G62" s="123"/>
      <c r="H62" s="124"/>
      <c r="I62" s="125"/>
      <c r="J62" s="125"/>
      <c r="K62" s="126"/>
      <c r="L62" s="127"/>
      <c r="M62" s="127"/>
      <c r="N62" s="127"/>
      <c r="O62" s="127"/>
      <c r="P62" s="127"/>
    </row>
    <row r="63" spans="1:16" ht="21.75" customHeight="1" x14ac:dyDescent="0.3">
      <c r="A63" s="128" t="s">
        <v>34</v>
      </c>
      <c r="B63" s="129"/>
      <c r="C63" s="130"/>
      <c r="D63" s="129"/>
      <c r="E63" s="131"/>
      <c r="F63" s="131"/>
      <c r="G63" s="131"/>
      <c r="H63" s="132"/>
      <c r="I63" s="133"/>
      <c r="J63" s="133"/>
      <c r="K63" s="134"/>
      <c r="L63" s="135"/>
      <c r="M63" s="135"/>
      <c r="N63" s="135"/>
      <c r="O63" s="136"/>
      <c r="P63" s="136"/>
    </row>
    <row r="64" spans="1:16" ht="21.75" customHeight="1" x14ac:dyDescent="0.3">
      <c r="A64" s="137"/>
      <c r="B64" s="138" t="s">
        <v>35</v>
      </c>
      <c r="C64" s="138"/>
      <c r="D64" s="139"/>
      <c r="E64" s="138"/>
      <c r="F64" s="138"/>
      <c r="G64" s="138"/>
      <c r="H64" s="140" t="s">
        <v>36</v>
      </c>
      <c r="I64" s="141">
        <f ca="1">IFERROR(__xludf.DUMMYFUNCTION("IMPORTRANGE(""https://docs.google.com/spreadsheets/d/11923uPwbBZFjjGgGUA6NLw09EwE0CqkOc4q9oUmW1yo/edit?usp=sharing"",""ลำปาง!I9"")"),0)</f>
        <v>0</v>
      </c>
      <c r="J64" s="141">
        <f ca="1">IFERROR(__xludf.DUMMYFUNCTION("IMPORTRANGE(""https://docs.google.com/spreadsheets/d/11923uPwbBZFjjGgGUA6NLw09EwE0CqkOc4q9oUmW1yo/edit?usp=sharing"",""ลำปาง!J9"")"),0)</f>
        <v>0</v>
      </c>
      <c r="K64" s="142">
        <f t="shared" ref="K64:K65" ca="1" si="44">IF(I64&gt;0,J64*100/I64,0)</f>
        <v>0</v>
      </c>
      <c r="L64" s="143"/>
      <c r="M64" s="143"/>
      <c r="N64" s="144"/>
      <c r="O64" s="142"/>
      <c r="P64" s="142"/>
    </row>
    <row r="65" spans="1:16" ht="21.75" customHeight="1" x14ac:dyDescent="0.3">
      <c r="A65" s="137"/>
      <c r="B65" s="138"/>
      <c r="C65" s="138"/>
      <c r="D65" s="139"/>
      <c r="E65" s="138"/>
      <c r="F65" s="138"/>
      <c r="G65" s="138"/>
      <c r="H65" s="140" t="s">
        <v>37</v>
      </c>
      <c r="I65" s="141">
        <f ca="1">IFERROR(__xludf.DUMMYFUNCTION("IMPORTRANGE(""https://docs.google.com/spreadsheets/d/11923uPwbBZFjjGgGUA6NLw09EwE0CqkOc4q9oUmW1yo/edit?usp=sharing"",""ลำปาง!I10"")"),0)</f>
        <v>0</v>
      </c>
      <c r="J65" s="141">
        <f ca="1">IFERROR(__xludf.DUMMYFUNCTION("IMPORTRANGE(""https://docs.google.com/spreadsheets/d/11923uPwbBZFjjGgGUA6NLw09EwE0CqkOc4q9oUmW1yo/edit?usp=sharing"",""ลำปาง!J10"")"),0)</f>
        <v>0</v>
      </c>
      <c r="K65" s="142">
        <f t="shared" ca="1" si="44"/>
        <v>0</v>
      </c>
      <c r="L65" s="144"/>
      <c r="M65" s="144"/>
      <c r="N65" s="144"/>
      <c r="O65" s="142"/>
      <c r="P65" s="142"/>
    </row>
    <row r="66" spans="1:16" ht="21.75" customHeight="1" x14ac:dyDescent="0.45">
      <c r="A66" s="145"/>
      <c r="B66" s="146"/>
      <c r="C66" s="147" t="s">
        <v>16</v>
      </c>
      <c r="D66" s="537" t="s">
        <v>17</v>
      </c>
      <c r="E66" s="528"/>
      <c r="F66" s="528"/>
      <c r="G66" s="528"/>
      <c r="H66" s="148" t="s">
        <v>12</v>
      </c>
      <c r="I66" s="149"/>
      <c r="J66" s="149"/>
      <c r="K66" s="150"/>
      <c r="L66" s="151">
        <f t="shared" ref="L66:N66" ca="1" si="45">L67+L68</f>
        <v>0</v>
      </c>
      <c r="M66" s="151">
        <f t="shared" ca="1" si="45"/>
        <v>0</v>
      </c>
      <c r="N66" s="151">
        <f t="shared" ca="1" si="45"/>
        <v>0</v>
      </c>
      <c r="O66" s="150">
        <f t="shared" ref="O66:O68" ca="1" si="46">IF(L66&gt;0,N66*100/L66,0)</f>
        <v>0</v>
      </c>
      <c r="P66" s="150">
        <f t="shared" ref="P66:P68" ca="1" si="47">IF(M66&gt;0,N66*100/M66,0)</f>
        <v>0</v>
      </c>
    </row>
    <row r="67" spans="1:16" ht="21.75" customHeight="1" x14ac:dyDescent="0.45">
      <c r="A67" s="152"/>
      <c r="B67" s="32"/>
      <c r="C67" s="32"/>
      <c r="D67" s="32"/>
      <c r="E67" s="32"/>
      <c r="F67" s="32"/>
      <c r="G67" s="33" t="s">
        <v>18</v>
      </c>
      <c r="H67" s="153" t="s">
        <v>12</v>
      </c>
      <c r="I67" s="154"/>
      <c r="J67" s="154"/>
      <c r="K67" s="155"/>
      <c r="L67" s="87">
        <f t="shared" ref="L67:N67" si="48">L69+L73</f>
        <v>0</v>
      </c>
      <c r="M67" s="87">
        <f t="shared" si="48"/>
        <v>0</v>
      </c>
      <c r="N67" s="87">
        <f t="shared" si="48"/>
        <v>0</v>
      </c>
      <c r="O67" s="155">
        <f t="shared" si="46"/>
        <v>0</v>
      </c>
      <c r="P67" s="155">
        <f t="shared" si="47"/>
        <v>0</v>
      </c>
    </row>
    <row r="68" spans="1:16" ht="21.75" customHeight="1" x14ac:dyDescent="0.45">
      <c r="A68" s="152"/>
      <c r="B68" s="32"/>
      <c r="C68" s="32"/>
      <c r="D68" s="32"/>
      <c r="E68" s="32"/>
      <c r="F68" s="32"/>
      <c r="G68" s="33" t="s">
        <v>19</v>
      </c>
      <c r="H68" s="153" t="s">
        <v>12</v>
      </c>
      <c r="I68" s="154"/>
      <c r="J68" s="154"/>
      <c r="K68" s="155"/>
      <c r="L68" s="87">
        <f t="shared" ref="L68:N68" ca="1" si="49">L70+L74</f>
        <v>0</v>
      </c>
      <c r="M68" s="87">
        <f t="shared" ca="1" si="49"/>
        <v>0</v>
      </c>
      <c r="N68" s="87">
        <f t="shared" ca="1" si="49"/>
        <v>0</v>
      </c>
      <c r="O68" s="155">
        <f t="shared" ca="1" si="46"/>
        <v>0</v>
      </c>
      <c r="P68" s="155">
        <f t="shared" ca="1" si="47"/>
        <v>0</v>
      </c>
    </row>
    <row r="69" spans="1:16" ht="21.75" customHeight="1" x14ac:dyDescent="0.3">
      <c r="A69" s="156"/>
      <c r="B69" s="157"/>
      <c r="C69" s="157" t="s">
        <v>16</v>
      </c>
      <c r="D69" s="158" t="s">
        <v>38</v>
      </c>
      <c r="E69" s="159"/>
      <c r="F69" s="159"/>
      <c r="G69" s="160" t="s">
        <v>39</v>
      </c>
      <c r="H69" s="161" t="s">
        <v>12</v>
      </c>
      <c r="I69" s="162" t="s">
        <v>40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3">
      <c r="A70" s="156"/>
      <c r="B70" s="157"/>
      <c r="C70" s="157"/>
      <c r="D70" s="166"/>
      <c r="E70" s="159"/>
      <c r="F70" s="159" t="s">
        <v>40</v>
      </c>
      <c r="G70" s="160" t="s">
        <v>41</v>
      </c>
      <c r="H70" s="161" t="s">
        <v>12</v>
      </c>
      <c r="I70" s="162"/>
      <c r="J70" s="162"/>
      <c r="K70" s="163"/>
      <c r="L70" s="167">
        <f ca="1">L71+L72</f>
        <v>0</v>
      </c>
      <c r="M70" s="167">
        <f ca="1">IFERROR(__xludf.DUMMYFUNCTION("IMPORTRANGE(""https://docs.google.com/spreadsheets/d/1Yj_ptqi66GCucihVvJfMjLAmec39IyEx_6qawtMGysU/edit?usp=sharing"",""สบก!AI32"")"),0)</f>
        <v>0</v>
      </c>
      <c r="N70" s="168">
        <f ca="1">IFERROR(__xludf.DUMMYFUNCTION("IMPORTRANGE(""https://docs.google.com/spreadsheets/d/1Yj_ptqi66GCucihVvJfMjLAmec39IyEx_6qawtMGysU/edit?usp=sharing"",""สบก!AJ32"")"),0)</f>
        <v>0</v>
      </c>
      <c r="O70" s="168">
        <f ca="1">IF(L70&gt;0,N70*100/L70,0)</f>
        <v>0</v>
      </c>
      <c r="P70" s="168">
        <f ca="1">IF(M70&gt;0,N70*100/M70,0)</f>
        <v>0</v>
      </c>
    </row>
    <row r="71" spans="1:16" ht="21.75" customHeight="1" x14ac:dyDescent="0.3">
      <c r="A71" s="156"/>
      <c r="B71" s="157"/>
      <c r="C71" s="157"/>
      <c r="D71" s="166"/>
      <c r="E71" s="159"/>
      <c r="F71" s="159"/>
      <c r="G71" s="169" t="s">
        <v>42</v>
      </c>
      <c r="H71" s="161" t="s">
        <v>12</v>
      </c>
      <c r="I71" s="162"/>
      <c r="J71" s="162"/>
      <c r="K71" s="163"/>
      <c r="L71" s="167">
        <f ca="1">IFERROR(__xludf.DUMMYFUNCTION("IMPORTRANGE(""https://docs.google.com/spreadsheets/d/1Yj_ptqi66GCucihVvJfMjLAmec39IyEx_6qawtMGysU/edit?usp=sharing"",""สบก!AE32"")"),0)</f>
        <v>0</v>
      </c>
      <c r="M71" s="167"/>
      <c r="N71" s="167"/>
      <c r="O71" s="168"/>
      <c r="P71" s="168"/>
    </row>
    <row r="72" spans="1:16" ht="21.75" customHeight="1" x14ac:dyDescent="0.3">
      <c r="A72" s="156"/>
      <c r="B72" s="157"/>
      <c r="C72" s="157"/>
      <c r="D72" s="166"/>
      <c r="E72" s="159"/>
      <c r="F72" s="159"/>
      <c r="G72" s="169" t="s">
        <v>43</v>
      </c>
      <c r="H72" s="161" t="s">
        <v>12</v>
      </c>
      <c r="I72" s="162"/>
      <c r="J72" s="162"/>
      <c r="K72" s="163"/>
      <c r="L72" s="167">
        <f ca="1">IFERROR(__xludf.DUMMYFUNCTION("IMPORTRANGE(""https://docs.google.com/spreadsheets/d/1Yj_ptqi66GCucihVvJfMjLAmec39IyEx_6qawtMGysU/edit?usp=sharing"",""สบก!AF32"")"),0)</f>
        <v>0</v>
      </c>
      <c r="M72" s="167"/>
      <c r="N72" s="167"/>
      <c r="O72" s="168"/>
      <c r="P72" s="168"/>
    </row>
    <row r="73" spans="1:16" ht="21.75" customHeight="1" x14ac:dyDescent="0.45">
      <c r="A73" s="170"/>
      <c r="B73" s="80"/>
      <c r="C73" s="81" t="s">
        <v>16</v>
      </c>
      <c r="D73" s="534" t="s">
        <v>23</v>
      </c>
      <c r="E73" s="530"/>
      <c r="F73" s="88"/>
      <c r="G73" s="82" t="s">
        <v>18</v>
      </c>
      <c r="H73" s="171" t="s">
        <v>12</v>
      </c>
      <c r="I73" s="84"/>
      <c r="J73" s="84"/>
      <c r="K73" s="85"/>
      <c r="L73" s="41">
        <v>0</v>
      </c>
      <c r="M73" s="41"/>
      <c r="N73" s="41"/>
      <c r="O73" s="41"/>
      <c r="P73" s="41"/>
    </row>
    <row r="74" spans="1:16" ht="21.75" customHeight="1" x14ac:dyDescent="0.45">
      <c r="A74" s="172"/>
      <c r="B74" s="91"/>
      <c r="C74" s="91"/>
      <c r="D74" s="173"/>
      <c r="E74" s="92"/>
      <c r="F74" s="92"/>
      <c r="G74" s="93" t="s">
        <v>19</v>
      </c>
      <c r="H74" s="174" t="s">
        <v>12</v>
      </c>
      <c r="I74" s="95"/>
      <c r="J74" s="95"/>
      <c r="K74" s="96"/>
      <c r="L74" s="49">
        <f ca="1">IFERROR(__xludf.DUMMYFUNCTION("IMPORTRANGE(""https://docs.google.com/spreadsheets/d/1Yj_ptqi66GCucihVvJfMjLAmec39IyEx_6qawtMGysU/edit?usp=sharing"",""สบก!AG32"")"),0)</f>
        <v>0</v>
      </c>
      <c r="M74" s="49"/>
      <c r="N74" s="49">
        <f ca="1">IFERROR(__xludf.DUMMYFUNCTION("IMPORTRANGE(""https://docs.google.com/spreadsheets/d/1Yj_ptqi66GCucihVvJfMjLAmec39IyEx_6qawtMGysU/edit?usp=sharing"",""สบก!AK32"")"),0)</f>
        <v>0</v>
      </c>
      <c r="O74" s="49">
        <f ca="1">IF(L74&gt;0,N74*100/L74,0)</f>
        <v>0</v>
      </c>
      <c r="P74" s="49"/>
    </row>
    <row r="75" spans="1:16" ht="21.75" customHeight="1" x14ac:dyDescent="0.3">
      <c r="A75" s="175"/>
      <c r="B75" s="176"/>
      <c r="C75" s="157" t="s">
        <v>16</v>
      </c>
      <c r="D75" s="177" t="s">
        <v>44</v>
      </c>
      <c r="E75" s="178"/>
      <c r="F75" s="178"/>
      <c r="G75" s="179"/>
      <c r="H75" s="180"/>
      <c r="I75" s="162"/>
      <c r="J75" s="162"/>
      <c r="K75" s="163"/>
      <c r="L75" s="181"/>
      <c r="M75" s="181"/>
      <c r="N75" s="181"/>
      <c r="O75" s="181"/>
      <c r="P75" s="181"/>
    </row>
    <row r="76" spans="1:16" ht="21.75" customHeight="1" x14ac:dyDescent="0.3">
      <c r="A76" s="175"/>
      <c r="B76" s="176"/>
      <c r="C76" s="176"/>
      <c r="D76" s="182">
        <v>1</v>
      </c>
      <c r="E76" s="183" t="s">
        <v>45</v>
      </c>
      <c r="F76" s="184"/>
      <c r="G76" s="185"/>
      <c r="H76" s="186"/>
      <c r="I76" s="187"/>
      <c r="J76" s="188">
        <f ca="1">IFERROR(__xludf.DUMMYFUNCTION("IMPORTRANGE(""https://docs.google.com/spreadsheets/d/11923uPwbBZFjjGgGUA6NLw09EwE0CqkOc4q9oUmW1yo/edit?usp=sharing"",""ลำปาง!J16"")"),0)</f>
        <v>0</v>
      </c>
      <c r="K76" s="163"/>
      <c r="L76" s="181"/>
      <c r="M76" s="181"/>
      <c r="N76" s="181"/>
      <c r="O76" s="181"/>
      <c r="P76" s="181"/>
    </row>
    <row r="77" spans="1:16" ht="21.75" customHeight="1" x14ac:dyDescent="0.3">
      <c r="A77" s="175"/>
      <c r="B77" s="176"/>
      <c r="C77" s="176"/>
      <c r="D77" s="189">
        <v>2</v>
      </c>
      <c r="E77" s="190" t="s">
        <v>46</v>
      </c>
      <c r="F77" s="191"/>
      <c r="G77" s="192"/>
      <c r="H77" s="186"/>
      <c r="I77" s="187"/>
      <c r="J77" s="188">
        <f ca="1">IFERROR(__xludf.DUMMYFUNCTION("IMPORTRANGE(""https://docs.google.com/spreadsheets/d/11923uPwbBZFjjGgGUA6NLw09EwE0CqkOc4q9oUmW1yo/edit?usp=sharing"",""ลำปาง!J17"")"),0)</f>
        <v>0</v>
      </c>
      <c r="K77" s="163"/>
      <c r="L77" s="181" t="s">
        <v>40</v>
      </c>
      <c r="M77" s="181"/>
      <c r="N77" s="181" t="s">
        <v>40</v>
      </c>
      <c r="O77" s="181"/>
      <c r="P77" s="181"/>
    </row>
    <row r="78" spans="1:16" ht="21.75" customHeight="1" x14ac:dyDescent="0.3">
      <c r="A78" s="175"/>
      <c r="B78" s="176"/>
      <c r="C78" s="176"/>
      <c r="D78" s="193"/>
      <c r="E78" s="194" t="s">
        <v>47</v>
      </c>
      <c r="F78" s="195"/>
      <c r="G78" s="196"/>
      <c r="H78" s="186"/>
      <c r="I78" s="187"/>
      <c r="J78" s="188">
        <f ca="1">IFERROR(__xludf.DUMMYFUNCTION("IMPORTRANGE(""https://docs.google.com/spreadsheets/d/11923uPwbBZFjjGgGUA6NLw09EwE0CqkOc4q9oUmW1yo/edit?usp=sharing"",""ลำปาง!J18"")"),0)</f>
        <v>0</v>
      </c>
      <c r="K78" s="163"/>
      <c r="L78" s="181"/>
      <c r="M78" s="181"/>
      <c r="N78" s="181"/>
      <c r="O78" s="181"/>
      <c r="P78" s="181"/>
    </row>
    <row r="79" spans="1:16" ht="21.75" customHeight="1" x14ac:dyDescent="0.3">
      <c r="A79" s="175"/>
      <c r="B79" s="176"/>
      <c r="C79" s="176"/>
      <c r="D79" s="193"/>
      <c r="E79" s="194" t="s">
        <v>48</v>
      </c>
      <c r="F79" s="195"/>
      <c r="G79" s="196"/>
      <c r="H79" s="186"/>
      <c r="I79" s="187"/>
      <c r="J79" s="197">
        <f ca="1">IFERROR(__xludf.DUMMYFUNCTION("IMPORTRANGE(""https://docs.google.com/spreadsheets/d/11923uPwbBZFjjGgGUA6NLw09EwE0CqkOc4q9oUmW1yo/edit?usp=sharing"",""ลำปาง!J19"")"),0)</f>
        <v>0</v>
      </c>
      <c r="K79" s="163"/>
      <c r="L79" s="181"/>
      <c r="M79" s="181"/>
      <c r="N79" s="181"/>
      <c r="O79" s="181"/>
      <c r="P79" s="181"/>
    </row>
    <row r="80" spans="1:16" ht="21.75" customHeight="1" x14ac:dyDescent="0.3">
      <c r="A80" s="175"/>
      <c r="B80" s="176"/>
      <c r="C80" s="176"/>
      <c r="D80" s="193"/>
      <c r="E80" s="198"/>
      <c r="F80" s="194" t="s">
        <v>49</v>
      </c>
      <c r="G80" s="195"/>
      <c r="H80" s="199" t="s">
        <v>36</v>
      </c>
      <c r="I80" s="200">
        <f ca="1">IFERROR(__xludf.DUMMYFUNCTION("IMPORTRANGE(""https://docs.google.com/spreadsheets/d/11923uPwbBZFjjGgGUA6NLw09EwE0CqkOc4q9oUmW1yo/edit?usp=sharing"",""ลำปาง!I20"")"),0)</f>
        <v>0</v>
      </c>
      <c r="J80" s="200">
        <f ca="1">IFERROR(__xludf.DUMMYFUNCTION("IMPORTRANGE(""https://docs.google.com/spreadsheets/d/11923uPwbBZFjjGgGUA6NLw09EwE0CqkOc4q9oUmW1yo/edit?usp=sharing"",""ลำปาง!J20"")"),0)</f>
        <v>0</v>
      </c>
      <c r="K80" s="201">
        <f t="shared" ref="K80:K88" ca="1" si="50">IF(I80&gt;0,J80*100/I80,0)</f>
        <v>0</v>
      </c>
      <c r="L80" s="181"/>
      <c r="M80" s="181"/>
      <c r="N80" s="181"/>
      <c r="O80" s="181"/>
      <c r="P80" s="181"/>
    </row>
    <row r="81" spans="1:16" ht="21.75" customHeight="1" x14ac:dyDescent="0.3">
      <c r="A81" s="175"/>
      <c r="B81" s="176"/>
      <c r="C81" s="176"/>
      <c r="D81" s="193"/>
      <c r="E81" s="198"/>
      <c r="F81" s="195"/>
      <c r="G81" s="196"/>
      <c r="H81" s="199" t="s">
        <v>37</v>
      </c>
      <c r="I81" s="200">
        <f ca="1">IFERROR(__xludf.DUMMYFUNCTION("IMPORTRANGE(""https://docs.google.com/spreadsheets/d/11923uPwbBZFjjGgGUA6NLw09EwE0CqkOc4q9oUmW1yo/edit?usp=sharing"",""ลำปาง!I21"")"),0)</f>
        <v>0</v>
      </c>
      <c r="J81" s="200">
        <f ca="1">IFERROR(__xludf.DUMMYFUNCTION("IMPORTRANGE(""https://docs.google.com/spreadsheets/d/11923uPwbBZFjjGgGUA6NLw09EwE0CqkOc4q9oUmW1yo/edit?usp=sharing"",""ลำปาง!J21"")"),0)</f>
        <v>0</v>
      </c>
      <c r="K81" s="201">
        <f t="shared" ca="1" si="50"/>
        <v>0</v>
      </c>
      <c r="L81" s="181"/>
      <c r="M81" s="181"/>
      <c r="N81" s="181"/>
      <c r="O81" s="181"/>
      <c r="P81" s="181"/>
    </row>
    <row r="82" spans="1:16" ht="21.75" customHeight="1" x14ac:dyDescent="0.3">
      <c r="A82" s="175"/>
      <c r="B82" s="176"/>
      <c r="C82" s="176"/>
      <c r="D82" s="193"/>
      <c r="E82" s="198"/>
      <c r="F82" s="195"/>
      <c r="G82" s="195" t="s">
        <v>50</v>
      </c>
      <c r="H82" s="180" t="s">
        <v>36</v>
      </c>
      <c r="I82" s="202">
        <f ca="1">IFERROR(__xludf.DUMMYFUNCTION("IMPORTRANGE(""https://docs.google.com/spreadsheets/d/11923uPwbBZFjjGgGUA6NLw09EwE0CqkOc4q9oUmW1yo/edit?usp=sharing"",""ลำปาง!I22"")"),0)</f>
        <v>0</v>
      </c>
      <c r="J82" s="203">
        <f ca="1">IFERROR(__xludf.DUMMYFUNCTION("IMPORTRANGE(""https://docs.google.com/spreadsheets/d/11923uPwbBZFjjGgGUA6NLw09EwE0CqkOc4q9oUmW1yo/edit?usp=sharing"",""ลำปาง!J22"")"),0)</f>
        <v>0</v>
      </c>
      <c r="K82" s="163">
        <f t="shared" ca="1" si="50"/>
        <v>0</v>
      </c>
      <c r="L82" s="181"/>
      <c r="M82" s="181"/>
      <c r="N82" s="181"/>
      <c r="O82" s="181"/>
      <c r="P82" s="181"/>
    </row>
    <row r="83" spans="1:16" ht="21.75" customHeight="1" x14ac:dyDescent="0.3">
      <c r="A83" s="175"/>
      <c r="B83" s="176"/>
      <c r="C83" s="176"/>
      <c r="D83" s="193"/>
      <c r="E83" s="198"/>
      <c r="F83" s="195"/>
      <c r="G83" s="196"/>
      <c r="H83" s="180" t="s">
        <v>37</v>
      </c>
      <c r="I83" s="202">
        <f ca="1">IFERROR(__xludf.DUMMYFUNCTION("IMPORTRANGE(""https://docs.google.com/spreadsheets/d/11923uPwbBZFjjGgGUA6NLw09EwE0CqkOc4q9oUmW1yo/edit?usp=sharing"",""ลำปาง!I23"")"),0)</f>
        <v>0</v>
      </c>
      <c r="J83" s="203">
        <f ca="1">IFERROR(__xludf.DUMMYFUNCTION("IMPORTRANGE(""https://docs.google.com/spreadsheets/d/11923uPwbBZFjjGgGUA6NLw09EwE0CqkOc4q9oUmW1yo/edit?usp=sharing"",""ลำปาง!J23"")"),0)</f>
        <v>0</v>
      </c>
      <c r="K83" s="163">
        <f t="shared" ca="1" si="50"/>
        <v>0</v>
      </c>
      <c r="L83" s="181"/>
      <c r="M83" s="181"/>
      <c r="N83" s="181"/>
      <c r="O83" s="181"/>
      <c r="P83" s="181"/>
    </row>
    <row r="84" spans="1:16" ht="21.75" customHeight="1" x14ac:dyDescent="0.3">
      <c r="A84" s="175"/>
      <c r="B84" s="176"/>
      <c r="C84" s="176"/>
      <c r="D84" s="193"/>
      <c r="E84" s="198"/>
      <c r="F84" s="195"/>
      <c r="G84" s="195" t="s">
        <v>51</v>
      </c>
      <c r="H84" s="180" t="s">
        <v>36</v>
      </c>
      <c r="I84" s="202">
        <f ca="1">IFERROR(__xludf.DUMMYFUNCTION("IMPORTRANGE(""https://docs.google.com/spreadsheets/d/11923uPwbBZFjjGgGUA6NLw09EwE0CqkOc4q9oUmW1yo/edit?usp=sharing"",""ลำปาง!I24"")"),0)</f>
        <v>0</v>
      </c>
      <c r="J84" s="188">
        <f ca="1">IFERROR(__xludf.DUMMYFUNCTION("IMPORTRANGE(""https://docs.google.com/spreadsheets/d/11923uPwbBZFjjGgGUA6NLw09EwE0CqkOc4q9oUmW1yo/edit?usp=sharing"",""ลำปาง!J24"")"),0)</f>
        <v>0</v>
      </c>
      <c r="K84" s="163">
        <f t="shared" ca="1" si="50"/>
        <v>0</v>
      </c>
      <c r="L84" s="181"/>
      <c r="M84" s="181"/>
      <c r="N84" s="181"/>
      <c r="O84" s="181"/>
      <c r="P84" s="181"/>
    </row>
    <row r="85" spans="1:16" ht="21.75" customHeight="1" x14ac:dyDescent="0.3">
      <c r="A85" s="175"/>
      <c r="B85" s="176"/>
      <c r="C85" s="176"/>
      <c r="D85" s="193"/>
      <c r="E85" s="198"/>
      <c r="F85" s="195"/>
      <c r="G85" s="196"/>
      <c r="H85" s="180" t="s">
        <v>37</v>
      </c>
      <c r="I85" s="202">
        <f ca="1">IFERROR(__xludf.DUMMYFUNCTION("IMPORTRANGE(""https://docs.google.com/spreadsheets/d/11923uPwbBZFjjGgGUA6NLw09EwE0CqkOc4q9oUmW1yo/edit?usp=sharing"",""ลำปาง!I25"")"),0)</f>
        <v>0</v>
      </c>
      <c r="J85" s="188">
        <f ca="1">IFERROR(__xludf.DUMMYFUNCTION("IMPORTRANGE(""https://docs.google.com/spreadsheets/d/11923uPwbBZFjjGgGUA6NLw09EwE0CqkOc4q9oUmW1yo/edit?usp=sharing"",""ลำปาง!J25"")"),0)</f>
        <v>0</v>
      </c>
      <c r="K85" s="163">
        <f t="shared" ca="1" si="50"/>
        <v>0</v>
      </c>
      <c r="L85" s="181"/>
      <c r="M85" s="181"/>
      <c r="N85" s="181"/>
      <c r="O85" s="181"/>
      <c r="P85" s="181"/>
    </row>
    <row r="86" spans="1:16" ht="21.75" customHeight="1" x14ac:dyDescent="0.3">
      <c r="A86" s="175"/>
      <c r="B86" s="176"/>
      <c r="C86" s="176"/>
      <c r="D86" s="193"/>
      <c r="E86" s="198"/>
      <c r="F86" s="195"/>
      <c r="G86" s="195" t="s">
        <v>52</v>
      </c>
      <c r="H86" s="180" t="s">
        <v>36</v>
      </c>
      <c r="I86" s="202">
        <f ca="1">IFERROR(__xludf.DUMMYFUNCTION("IMPORTRANGE(""https://docs.google.com/spreadsheets/d/11923uPwbBZFjjGgGUA6NLw09EwE0CqkOc4q9oUmW1yo/edit?usp=sharing"",""ลำปาง!I26"")"),0)</f>
        <v>0</v>
      </c>
      <c r="J86" s="203">
        <f ca="1">IFERROR(__xludf.DUMMYFUNCTION("IMPORTRANGE(""https://docs.google.com/spreadsheets/d/11923uPwbBZFjjGgGUA6NLw09EwE0CqkOc4q9oUmW1yo/edit?usp=sharing"",""ลำปาง!J26"")"),0)</f>
        <v>0</v>
      </c>
      <c r="K86" s="163">
        <f t="shared" ca="1" si="50"/>
        <v>0</v>
      </c>
      <c r="L86" s="181"/>
      <c r="M86" s="181"/>
      <c r="N86" s="181"/>
      <c r="O86" s="181"/>
      <c r="P86" s="181"/>
    </row>
    <row r="87" spans="1:16" ht="21.75" customHeight="1" x14ac:dyDescent="0.3">
      <c r="A87" s="175"/>
      <c r="B87" s="176"/>
      <c r="C87" s="176"/>
      <c r="D87" s="193"/>
      <c r="E87" s="198"/>
      <c r="F87" s="195"/>
      <c r="G87" s="196"/>
      <c r="H87" s="180" t="s">
        <v>37</v>
      </c>
      <c r="I87" s="202">
        <f ca="1">IFERROR(__xludf.DUMMYFUNCTION("IMPORTRANGE(""https://docs.google.com/spreadsheets/d/11923uPwbBZFjjGgGUA6NLw09EwE0CqkOc4q9oUmW1yo/edit?usp=sharing"",""ลำปาง!I27"")"),0)</f>
        <v>0</v>
      </c>
      <c r="J87" s="203">
        <f ca="1">IFERROR(__xludf.DUMMYFUNCTION("IMPORTRANGE(""https://docs.google.com/spreadsheets/d/11923uPwbBZFjjGgGUA6NLw09EwE0CqkOc4q9oUmW1yo/edit?usp=sharing"",""ลำปาง!J27"")"),0)</f>
        <v>0</v>
      </c>
      <c r="K87" s="163">
        <f t="shared" ca="1" si="50"/>
        <v>0</v>
      </c>
      <c r="L87" s="181"/>
      <c r="M87" s="181"/>
      <c r="N87" s="181"/>
      <c r="O87" s="181"/>
      <c r="P87" s="181"/>
    </row>
    <row r="88" spans="1:16" ht="21.75" customHeight="1" x14ac:dyDescent="0.3">
      <c r="A88" s="175"/>
      <c r="B88" s="176"/>
      <c r="C88" s="176"/>
      <c r="D88" s="193"/>
      <c r="E88" s="198"/>
      <c r="F88" s="204" t="s">
        <v>53</v>
      </c>
      <c r="G88" s="195"/>
      <c r="H88" s="180" t="s">
        <v>37</v>
      </c>
      <c r="I88" s="202">
        <f ca="1">IFERROR(__xludf.DUMMYFUNCTION("IMPORTRANGE(""https://docs.google.com/spreadsheets/d/11923uPwbBZFjjGgGUA6NLw09EwE0CqkOc4q9oUmW1yo/edit?usp=sharing"",""ลำปาง!I28"")"),0)</f>
        <v>0</v>
      </c>
      <c r="J88" s="203">
        <f ca="1">IFERROR(__xludf.DUMMYFUNCTION("IMPORTRANGE(""https://docs.google.com/spreadsheets/d/11923uPwbBZFjjGgGUA6NLw09EwE0CqkOc4q9oUmW1yo/edit?usp=sharing"",""ลำปาง!J28"")"),0)</f>
        <v>0</v>
      </c>
      <c r="K88" s="163">
        <f t="shared" ca="1" si="50"/>
        <v>0</v>
      </c>
      <c r="L88" s="181"/>
      <c r="M88" s="181"/>
      <c r="N88" s="181"/>
      <c r="O88" s="181"/>
      <c r="P88" s="181"/>
    </row>
    <row r="89" spans="1:16" ht="21.75" customHeight="1" x14ac:dyDescent="0.3">
      <c r="A89" s="175"/>
      <c r="B89" s="176"/>
      <c r="C89" s="176"/>
      <c r="D89" s="193"/>
      <c r="E89" s="194" t="s">
        <v>54</v>
      </c>
      <c r="F89" s="195"/>
      <c r="G89" s="196"/>
      <c r="H89" s="186"/>
      <c r="I89" s="187"/>
      <c r="J89" s="197">
        <f ca="1">IFERROR(__xludf.DUMMYFUNCTION("IMPORTRANGE(""https://docs.google.com/spreadsheets/d/11923uPwbBZFjjGgGUA6NLw09EwE0CqkOc4q9oUmW1yo/edit?usp=sharing"",""ลำปาง!J29"")"),0)</f>
        <v>0</v>
      </c>
      <c r="K89" s="163"/>
      <c r="L89" s="181"/>
      <c r="M89" s="181"/>
      <c r="N89" s="181"/>
      <c r="O89" s="181"/>
      <c r="P89" s="181"/>
    </row>
    <row r="90" spans="1:16" ht="21.75" customHeight="1" x14ac:dyDescent="0.3">
      <c r="A90" s="175"/>
      <c r="B90" s="176"/>
      <c r="C90" s="176"/>
      <c r="D90" s="205">
        <v>3</v>
      </c>
      <c r="E90" s="206" t="s">
        <v>55</v>
      </c>
      <c r="F90" s="207"/>
      <c r="G90" s="208"/>
      <c r="H90" s="186"/>
      <c r="I90" s="187"/>
      <c r="J90" s="209">
        <f ca="1">IFERROR(__xludf.DUMMYFUNCTION("IMPORTRANGE(""https://docs.google.com/spreadsheets/d/11923uPwbBZFjjGgGUA6NLw09EwE0CqkOc4q9oUmW1yo/edit?usp=sharing"",""ลำปาง!J30"")"),0)</f>
        <v>0</v>
      </c>
      <c r="K90" s="163"/>
      <c r="L90" s="181"/>
      <c r="M90" s="181"/>
      <c r="N90" s="181"/>
      <c r="O90" s="181"/>
      <c r="P90" s="181"/>
    </row>
    <row r="91" spans="1:16" ht="21.75" customHeight="1" x14ac:dyDescent="0.3">
      <c r="A91" s="210" t="s">
        <v>56</v>
      </c>
      <c r="B91" s="211"/>
      <c r="C91" s="212"/>
      <c r="D91" s="211"/>
      <c r="E91" s="213"/>
      <c r="F91" s="213"/>
      <c r="G91" s="214"/>
      <c r="H91" s="215"/>
      <c r="I91" s="216"/>
      <c r="J91" s="216"/>
      <c r="K91" s="217"/>
      <c r="L91" s="218"/>
      <c r="M91" s="218"/>
      <c r="N91" s="218"/>
      <c r="O91" s="219"/>
      <c r="P91" s="219"/>
    </row>
    <row r="92" spans="1:16" ht="21.75" customHeight="1" x14ac:dyDescent="0.3">
      <c r="A92" s="137"/>
      <c r="B92" s="138" t="s">
        <v>57</v>
      </c>
      <c r="C92" s="138"/>
      <c r="D92" s="139"/>
      <c r="E92" s="138"/>
      <c r="F92" s="138"/>
      <c r="G92" s="220"/>
      <c r="H92" s="140" t="s">
        <v>37</v>
      </c>
      <c r="I92" s="141">
        <f ca="1">IFERROR(__xludf.DUMMYFUNCTION("IMPORTRANGE(""https://docs.google.com/spreadsheets/d/11923uPwbBZFjjGgGUA6NLw09EwE0CqkOc4q9oUmW1yo/edit?usp=sharing"",""ลำปาง!I32"")"),4)</f>
        <v>4</v>
      </c>
      <c r="J92" s="141">
        <f ca="1">IFERROR(__xludf.DUMMYFUNCTION("IMPORTRANGE(""https://docs.google.com/spreadsheets/d/11923uPwbBZFjjGgGUA6NLw09EwE0CqkOc4q9oUmW1yo/edit?usp=sharing"",""ลำปาง!J32"")"),0)</f>
        <v>0</v>
      </c>
      <c r="K92" s="142">
        <f t="shared" ref="K92:K93" ca="1" si="51">IF(I92&gt;0,J92*100/I92,0)</f>
        <v>0</v>
      </c>
      <c r="L92" s="221"/>
      <c r="M92" s="221"/>
      <c r="N92" s="222"/>
      <c r="O92" s="142"/>
      <c r="P92" s="142"/>
    </row>
    <row r="93" spans="1:16" ht="21.75" customHeight="1" x14ac:dyDescent="0.3">
      <c r="A93" s="137"/>
      <c r="B93" s="138"/>
      <c r="C93" s="138"/>
      <c r="D93" s="139" t="s">
        <v>58</v>
      </c>
      <c r="E93" s="138"/>
      <c r="F93" s="138"/>
      <c r="G93" s="220"/>
      <c r="H93" s="140" t="s">
        <v>59</v>
      </c>
      <c r="I93" s="141">
        <f ca="1">IFERROR(__xludf.DUMMYFUNCTION("IMPORTRANGE(""https://docs.google.com/spreadsheets/d/11923uPwbBZFjjGgGUA6NLw09EwE0CqkOc4q9oUmW1yo/edit?usp=sharing"",""ลำปาง!I33"")"),1)</f>
        <v>1</v>
      </c>
      <c r="J93" s="141">
        <f ca="1">IFERROR(__xludf.DUMMYFUNCTION("IMPORTRANGE(""https://docs.google.com/spreadsheets/d/11923uPwbBZFjjGgGUA6NLw09EwE0CqkOc4q9oUmW1yo/edit?usp=sharing"",""ลำปาง!J33"")"),0)</f>
        <v>0</v>
      </c>
      <c r="K93" s="142">
        <f t="shared" ca="1" si="51"/>
        <v>0</v>
      </c>
      <c r="L93" s="222"/>
      <c r="M93" s="222"/>
      <c r="N93" s="222"/>
      <c r="O93" s="142"/>
      <c r="P93" s="142"/>
    </row>
    <row r="94" spans="1:16" ht="21.75" customHeight="1" x14ac:dyDescent="0.45">
      <c r="A94" s="145"/>
      <c r="B94" s="146"/>
      <c r="C94" s="147" t="s">
        <v>16</v>
      </c>
      <c r="D94" s="537" t="s">
        <v>17</v>
      </c>
      <c r="E94" s="528"/>
      <c r="F94" s="528"/>
      <c r="G94" s="528"/>
      <c r="H94" s="148" t="s">
        <v>12</v>
      </c>
      <c r="I94" s="162"/>
      <c r="J94" s="162"/>
      <c r="K94" s="163"/>
      <c r="L94" s="151">
        <f t="shared" ref="L94:N94" ca="1" si="52">L95+L96</f>
        <v>214500</v>
      </c>
      <c r="M94" s="151">
        <f t="shared" ca="1" si="52"/>
        <v>161130</v>
      </c>
      <c r="N94" s="151">
        <f t="shared" ca="1" si="52"/>
        <v>18290</v>
      </c>
      <c r="O94" s="150">
        <f t="shared" ref="O94:O96" ca="1" si="53">IF(L94&gt;0,N94*100/L94,0)</f>
        <v>8.5268065268065261</v>
      </c>
      <c r="P94" s="150">
        <f t="shared" ref="P94:P96" ca="1" si="54">IF(M94&gt;0,N94*100/M94,0)</f>
        <v>11.351082976478621</v>
      </c>
    </row>
    <row r="95" spans="1:16" ht="21.75" customHeight="1" x14ac:dyDescent="0.45">
      <c r="A95" s="152"/>
      <c r="B95" s="32"/>
      <c r="C95" s="32"/>
      <c r="D95" s="32"/>
      <c r="E95" s="32"/>
      <c r="F95" s="32"/>
      <c r="G95" s="33" t="s">
        <v>18</v>
      </c>
      <c r="H95" s="153" t="s">
        <v>12</v>
      </c>
      <c r="I95" s="162"/>
      <c r="J95" s="162"/>
      <c r="K95" s="163"/>
      <c r="L95" s="87">
        <f t="shared" ref="L95:N95" si="55">L97+L101</f>
        <v>0</v>
      </c>
      <c r="M95" s="87">
        <f t="shared" si="55"/>
        <v>0</v>
      </c>
      <c r="N95" s="87">
        <f t="shared" si="55"/>
        <v>0</v>
      </c>
      <c r="O95" s="155">
        <f t="shared" si="53"/>
        <v>0</v>
      </c>
      <c r="P95" s="155">
        <f t="shared" si="54"/>
        <v>0</v>
      </c>
    </row>
    <row r="96" spans="1:16" ht="21.75" customHeight="1" x14ac:dyDescent="0.45">
      <c r="A96" s="152"/>
      <c r="B96" s="32"/>
      <c r="C96" s="32"/>
      <c r="D96" s="32"/>
      <c r="E96" s="32"/>
      <c r="F96" s="32"/>
      <c r="G96" s="33" t="s">
        <v>19</v>
      </c>
      <c r="H96" s="153" t="s">
        <v>12</v>
      </c>
      <c r="I96" s="162"/>
      <c r="J96" s="162"/>
      <c r="K96" s="163"/>
      <c r="L96" s="87">
        <f t="shared" ref="L96:N96" ca="1" si="56">L98+L102</f>
        <v>214500</v>
      </c>
      <c r="M96" s="87">
        <f t="shared" ca="1" si="56"/>
        <v>161130</v>
      </c>
      <c r="N96" s="87">
        <f t="shared" ca="1" si="56"/>
        <v>18290</v>
      </c>
      <c r="O96" s="155">
        <f t="shared" ca="1" si="53"/>
        <v>8.5268065268065261</v>
      </c>
      <c r="P96" s="155">
        <f t="shared" ca="1" si="54"/>
        <v>11.351082976478621</v>
      </c>
    </row>
    <row r="97" spans="1:16" ht="21.75" customHeight="1" x14ac:dyDescent="0.3">
      <c r="A97" s="156"/>
      <c r="B97" s="157"/>
      <c r="C97" s="157" t="s">
        <v>16</v>
      </c>
      <c r="D97" s="158" t="s">
        <v>38</v>
      </c>
      <c r="E97" s="159"/>
      <c r="F97" s="159"/>
      <c r="G97" s="160" t="s">
        <v>39</v>
      </c>
      <c r="H97" s="161" t="s">
        <v>12</v>
      </c>
      <c r="I97" s="162" t="s">
        <v>40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3">
      <c r="A98" s="156"/>
      <c r="B98" s="157"/>
      <c r="C98" s="157"/>
      <c r="D98" s="166"/>
      <c r="E98" s="159"/>
      <c r="F98" s="159" t="s">
        <v>40</v>
      </c>
      <c r="G98" s="160" t="s">
        <v>41</v>
      </c>
      <c r="H98" s="161" t="s">
        <v>12</v>
      </c>
      <c r="I98" s="162"/>
      <c r="J98" s="162"/>
      <c r="K98" s="163"/>
      <c r="L98" s="167">
        <f ca="1">L99+L100</f>
        <v>122100</v>
      </c>
      <c r="M98" s="167">
        <f ca="1">IFERROR(__xludf.DUMMYFUNCTION("IMPORTRANGE(""https://docs.google.com/spreadsheets/d/1Yj_ptqi66GCucihVvJfMjLAmec39IyEx_6qawtMGysU/edit?usp=sharing"",""สบก!AR32"")"),68730)</f>
        <v>68730</v>
      </c>
      <c r="N98" s="168">
        <f ca="1">IFERROR(__xludf.DUMMYFUNCTION("IMPORTRANGE(""https://docs.google.com/spreadsheets/d/1Yj_ptqi66GCucihVvJfMjLAmec39IyEx_6qawtMGysU/edit?usp=sharing"",""สบก!AS32"")"),18290)</f>
        <v>18290</v>
      </c>
      <c r="O98" s="168">
        <f ca="1">IF(L98&gt;0,N98*100/L98,0)</f>
        <v>14.97952497952498</v>
      </c>
      <c r="P98" s="168">
        <f ca="1">IF(M98&gt;0,N98*100/M98,0)</f>
        <v>26.611377855376109</v>
      </c>
    </row>
    <row r="99" spans="1:16" ht="21.75" customHeight="1" x14ac:dyDescent="0.3">
      <c r="A99" s="156"/>
      <c r="B99" s="157"/>
      <c r="C99" s="157"/>
      <c r="D99" s="166"/>
      <c r="E99" s="159"/>
      <c r="F99" s="159"/>
      <c r="G99" s="169" t="s">
        <v>42</v>
      </c>
      <c r="H99" s="161" t="s">
        <v>12</v>
      </c>
      <c r="I99" s="162"/>
      <c r="J99" s="162"/>
      <c r="K99" s="163"/>
      <c r="L99" s="167">
        <f ca="1">IFERROR(__xludf.DUMMYFUNCTION("IMPORTRANGE(""https://docs.google.com/spreadsheets/d/1Yj_ptqi66GCucihVvJfMjLAmec39IyEx_6qawtMGysU/edit?usp=sharing"",""สบก!AN32"")"),0)</f>
        <v>0</v>
      </c>
      <c r="M99" s="167"/>
      <c r="N99" s="167"/>
      <c r="O99" s="168"/>
      <c r="P99" s="168"/>
    </row>
    <row r="100" spans="1:16" ht="21.75" customHeight="1" x14ac:dyDescent="0.3">
      <c r="A100" s="156"/>
      <c r="B100" s="157"/>
      <c r="C100" s="157"/>
      <c r="D100" s="166"/>
      <c r="E100" s="159"/>
      <c r="F100" s="159"/>
      <c r="G100" s="169" t="s">
        <v>43</v>
      </c>
      <c r="H100" s="161" t="s">
        <v>12</v>
      </c>
      <c r="I100" s="162"/>
      <c r="J100" s="187"/>
      <c r="K100" s="223"/>
      <c r="L100" s="167">
        <f ca="1">IFERROR(__xludf.DUMMYFUNCTION("IMPORTRANGE(""https://docs.google.com/spreadsheets/d/1Yj_ptqi66GCucihVvJfMjLAmec39IyEx_6qawtMGysU/edit?usp=sharing"",""สบก!AO32"")"),122100)</f>
        <v>122100</v>
      </c>
      <c r="M100" s="167"/>
      <c r="N100" s="167"/>
      <c r="O100" s="168"/>
      <c r="P100" s="168"/>
    </row>
    <row r="101" spans="1:16" ht="21.75" customHeight="1" x14ac:dyDescent="0.45">
      <c r="A101" s="170"/>
      <c r="B101" s="80"/>
      <c r="C101" s="81" t="s">
        <v>16</v>
      </c>
      <c r="D101" s="534" t="s">
        <v>23</v>
      </c>
      <c r="E101" s="530"/>
      <c r="F101" s="88"/>
      <c r="G101" s="82" t="s">
        <v>18</v>
      </c>
      <c r="H101" s="171" t="s">
        <v>12</v>
      </c>
      <c r="I101" s="187"/>
      <c r="J101" s="187"/>
      <c r="K101" s="223"/>
      <c r="L101" s="41">
        <v>0</v>
      </c>
      <c r="M101" s="41"/>
      <c r="N101" s="41"/>
      <c r="O101" s="41"/>
      <c r="P101" s="41"/>
    </row>
    <row r="102" spans="1:16" ht="21.75" customHeight="1" x14ac:dyDescent="0.45">
      <c r="A102" s="172"/>
      <c r="B102" s="91"/>
      <c r="C102" s="91"/>
      <c r="D102" s="173"/>
      <c r="E102" s="92"/>
      <c r="F102" s="92"/>
      <c r="G102" s="93" t="s">
        <v>19</v>
      </c>
      <c r="H102" s="174" t="s">
        <v>12</v>
      </c>
      <c r="I102" s="187"/>
      <c r="J102" s="187"/>
      <c r="K102" s="223"/>
      <c r="L102" s="49">
        <f ca="1">IFERROR(__xludf.DUMMYFUNCTION("IMPORTRANGE(""https://docs.google.com/spreadsheets/d/1Yj_ptqi66GCucihVvJfMjLAmec39IyEx_6qawtMGysU/edit?usp=sharing"",""สบก!AP32"")"),92400)</f>
        <v>92400</v>
      </c>
      <c r="M102" s="49">
        <f ca="1">L102</f>
        <v>92400</v>
      </c>
      <c r="N102" s="49">
        <f ca="1">IFERROR(__xludf.DUMMYFUNCTION("IMPORTRANGE(""https://docs.google.com/spreadsheets/d/1Yj_ptqi66GCucihVvJfMjLAmec39IyEx_6qawtMGysU/edit?usp=sharing"",""สบก!AT32"")"),0)</f>
        <v>0</v>
      </c>
      <c r="O102" s="49">
        <f ca="1">IF(L102&gt;0,N102*100/L102,0)</f>
        <v>0</v>
      </c>
      <c r="P102" s="49">
        <f ca="1">IF(M102&gt;0,N102*100/M102,0)</f>
        <v>0</v>
      </c>
    </row>
    <row r="103" spans="1:16" ht="21.75" customHeight="1" x14ac:dyDescent="0.3">
      <c r="A103" s="175"/>
      <c r="B103" s="176"/>
      <c r="C103" s="157" t="s">
        <v>16</v>
      </c>
      <c r="D103" s="177" t="s">
        <v>44</v>
      </c>
      <c r="E103" s="178"/>
      <c r="F103" s="178"/>
      <c r="G103" s="179"/>
      <c r="H103" s="180"/>
      <c r="I103" s="162"/>
      <c r="J103" s="187"/>
      <c r="K103" s="223"/>
      <c r="L103" s="168"/>
      <c r="M103" s="168"/>
      <c r="N103" s="168"/>
      <c r="O103" s="181"/>
      <c r="P103" s="181"/>
    </row>
    <row r="104" spans="1:16" ht="21.75" customHeight="1" x14ac:dyDescent="0.3">
      <c r="A104" s="175"/>
      <c r="B104" s="176"/>
      <c r="C104" s="176"/>
      <c r="D104" s="182">
        <v>1</v>
      </c>
      <c r="E104" s="183" t="s">
        <v>45</v>
      </c>
      <c r="F104" s="184"/>
      <c r="G104" s="185"/>
      <c r="H104" s="186"/>
      <c r="I104" s="187"/>
      <c r="J104" s="187">
        <f ca="1">IFERROR(__xludf.DUMMYFUNCTION("IMPORTRANGE(""https://docs.google.com/spreadsheets/d/11923uPwbBZFjjGgGUA6NLw09EwE0CqkOc4q9oUmW1yo/edit?usp=sharing"",""ลำปาง!J39"")"),0)</f>
        <v>0</v>
      </c>
      <c r="K104" s="223"/>
      <c r="L104" s="168"/>
      <c r="M104" s="168"/>
      <c r="N104" s="168"/>
      <c r="O104" s="181"/>
      <c r="P104" s="181"/>
    </row>
    <row r="105" spans="1:16" ht="21.75" customHeight="1" x14ac:dyDescent="0.3">
      <c r="A105" s="175"/>
      <c r="B105" s="176"/>
      <c r="C105" s="176"/>
      <c r="D105" s="189">
        <v>2</v>
      </c>
      <c r="E105" s="190" t="s">
        <v>46</v>
      </c>
      <c r="F105" s="191"/>
      <c r="G105" s="192"/>
      <c r="H105" s="186"/>
      <c r="I105" s="187"/>
      <c r="J105" s="187">
        <f ca="1">IFERROR(__xludf.DUMMYFUNCTION("IMPORTRANGE(""https://docs.google.com/spreadsheets/d/11923uPwbBZFjjGgGUA6NLw09EwE0CqkOc4q9oUmW1yo/edit?usp=sharing"",""ลำปาง!J40"")"),1)</f>
        <v>1</v>
      </c>
      <c r="K105" s="223"/>
      <c r="L105" s="168" t="s">
        <v>40</v>
      </c>
      <c r="M105" s="168"/>
      <c r="N105" s="168" t="s">
        <v>40</v>
      </c>
      <c r="O105" s="181"/>
      <c r="P105" s="181"/>
    </row>
    <row r="106" spans="1:16" ht="21.75" customHeight="1" x14ac:dyDescent="0.3">
      <c r="A106" s="175"/>
      <c r="B106" s="176"/>
      <c r="C106" s="176"/>
      <c r="D106" s="193"/>
      <c r="E106" s="194" t="s">
        <v>47</v>
      </c>
      <c r="F106" s="195"/>
      <c r="G106" s="196"/>
      <c r="H106" s="186"/>
      <c r="I106" s="187"/>
      <c r="J106" s="187">
        <f ca="1">IFERROR(__xludf.DUMMYFUNCTION("IMPORTRANGE(""https://docs.google.com/spreadsheets/d/11923uPwbBZFjjGgGUA6NLw09EwE0CqkOc4q9oUmW1yo/edit?usp=sharing"",""ลำปาง!J41"")"),0)</f>
        <v>0</v>
      </c>
      <c r="K106" s="223"/>
      <c r="L106" s="168"/>
      <c r="M106" s="168"/>
      <c r="N106" s="168"/>
      <c r="O106" s="181"/>
      <c r="P106" s="181"/>
    </row>
    <row r="107" spans="1:16" ht="21.75" customHeight="1" x14ac:dyDescent="0.3">
      <c r="A107" s="175"/>
      <c r="B107" s="176"/>
      <c r="C107" s="176"/>
      <c r="D107" s="193"/>
      <c r="E107" s="194" t="s">
        <v>48</v>
      </c>
      <c r="F107" s="195"/>
      <c r="G107" s="196"/>
      <c r="H107" s="186"/>
      <c r="I107" s="187"/>
      <c r="J107" s="187">
        <f ca="1">IFERROR(__xludf.DUMMYFUNCTION("IMPORTRANGE(""https://docs.google.com/spreadsheets/d/11923uPwbBZFjjGgGUA6NLw09EwE0CqkOc4q9oUmW1yo/edit?usp=sharing"",""ลำปาง!J42"")"),0)</f>
        <v>0</v>
      </c>
      <c r="K107" s="223"/>
      <c r="L107" s="168"/>
      <c r="M107" s="168"/>
      <c r="N107" s="168"/>
      <c r="O107" s="181"/>
      <c r="P107" s="181"/>
    </row>
    <row r="108" spans="1:16" ht="21.75" customHeight="1" x14ac:dyDescent="0.3">
      <c r="A108" s="175"/>
      <c r="B108" s="176"/>
      <c r="C108" s="176"/>
      <c r="D108" s="193"/>
      <c r="E108" s="195"/>
      <c r="F108" s="195" t="s">
        <v>60</v>
      </c>
      <c r="G108" s="195"/>
      <c r="H108" s="180" t="s">
        <v>61</v>
      </c>
      <c r="I108" s="202">
        <f ca="1">IFERROR(__xludf.DUMMYFUNCTION("IMPORTRANGE(""https://docs.google.com/spreadsheets/d/11923uPwbBZFjjGgGUA6NLw09EwE0CqkOc4q9oUmW1yo/edit?usp=sharing"",""ลำปาง!I43"")"),1)</f>
        <v>1</v>
      </c>
      <c r="J108" s="203">
        <f ca="1">IFERROR(__xludf.DUMMYFUNCTION("IMPORTRANGE(""https://docs.google.com/spreadsheets/d/11923uPwbBZFjjGgGUA6NLw09EwE0CqkOc4q9oUmW1yo/edit?usp=sharing"",""ลำปาง!J43"")"),0)</f>
        <v>0</v>
      </c>
      <c r="K108" s="223">
        <f t="shared" ref="K108:K113" ca="1" si="57">IF(I108&gt;0,J108*100/I108,0)</f>
        <v>0</v>
      </c>
      <c r="L108" s="168"/>
      <c r="M108" s="168"/>
      <c r="N108" s="168"/>
      <c r="O108" s="181"/>
      <c r="P108" s="181"/>
    </row>
    <row r="109" spans="1:16" ht="21.75" customHeight="1" x14ac:dyDescent="0.3">
      <c r="A109" s="175"/>
      <c r="B109" s="176"/>
      <c r="C109" s="176"/>
      <c r="D109" s="193"/>
      <c r="E109" s="198"/>
      <c r="F109" s="194" t="s">
        <v>62</v>
      </c>
      <c r="G109" s="195"/>
      <c r="H109" s="180" t="s">
        <v>37</v>
      </c>
      <c r="I109" s="202">
        <f ca="1">IFERROR(__xludf.DUMMYFUNCTION("IMPORTRANGE(""https://docs.google.com/spreadsheets/d/11923uPwbBZFjjGgGUA6NLw09EwE0CqkOc4q9oUmW1yo/edit?usp=sharing"",""ลำปาง!I44"")"),4)</f>
        <v>4</v>
      </c>
      <c r="J109" s="203">
        <f ca="1">IFERROR(__xludf.DUMMYFUNCTION("IMPORTRANGE(""https://docs.google.com/spreadsheets/d/11923uPwbBZFjjGgGUA6NLw09EwE0CqkOc4q9oUmW1yo/edit?usp=sharing"",""ลำปาง!J44"")"),0)</f>
        <v>0</v>
      </c>
      <c r="K109" s="223">
        <f t="shared" ca="1" si="57"/>
        <v>0</v>
      </c>
      <c r="L109" s="168"/>
      <c r="M109" s="168"/>
      <c r="N109" s="168"/>
      <c r="O109" s="181"/>
      <c r="P109" s="181"/>
    </row>
    <row r="110" spans="1:16" ht="21.75" customHeight="1" x14ac:dyDescent="0.3">
      <c r="A110" s="175"/>
      <c r="B110" s="176"/>
      <c r="C110" s="176"/>
      <c r="D110" s="193"/>
      <c r="E110" s="198"/>
      <c r="F110" s="195"/>
      <c r="G110" s="224" t="s">
        <v>63</v>
      </c>
      <c r="H110" s="180" t="s">
        <v>37</v>
      </c>
      <c r="I110" s="202">
        <f ca="1">IFERROR(__xludf.DUMMYFUNCTION("IMPORTRANGE(""https://docs.google.com/spreadsheets/d/11923uPwbBZFjjGgGUA6NLw09EwE0CqkOc4q9oUmW1yo/edit?usp=sharing"",""ลำปาง!I45"")"),4)</f>
        <v>4</v>
      </c>
      <c r="J110" s="203">
        <f ca="1">IFERROR(__xludf.DUMMYFUNCTION("IMPORTRANGE(""https://docs.google.com/spreadsheets/d/11923uPwbBZFjjGgGUA6NLw09EwE0CqkOc4q9oUmW1yo/edit?usp=sharing"",""ลำปาง!J45"")"),4)</f>
        <v>4</v>
      </c>
      <c r="K110" s="223">
        <f t="shared" ca="1" si="57"/>
        <v>100</v>
      </c>
      <c r="L110" s="168"/>
      <c r="M110" s="168"/>
      <c r="N110" s="168"/>
      <c r="O110" s="181"/>
      <c r="P110" s="181"/>
    </row>
    <row r="111" spans="1:16" ht="21.75" customHeight="1" x14ac:dyDescent="0.3">
      <c r="A111" s="175"/>
      <c r="B111" s="176"/>
      <c r="C111" s="176"/>
      <c r="D111" s="193"/>
      <c r="E111" s="198"/>
      <c r="F111" s="195"/>
      <c r="G111" s="224" t="s">
        <v>64</v>
      </c>
      <c r="H111" s="180" t="s">
        <v>37</v>
      </c>
      <c r="I111" s="202">
        <f ca="1">IFERROR(__xludf.DUMMYFUNCTION("IMPORTRANGE(""https://docs.google.com/spreadsheets/d/11923uPwbBZFjjGgGUA6NLw09EwE0CqkOc4q9oUmW1yo/edit?usp=sharing"",""ลำปาง!I46"")"),4)</f>
        <v>4</v>
      </c>
      <c r="J111" s="203">
        <f ca="1">IFERROR(__xludf.DUMMYFUNCTION("IMPORTRANGE(""https://docs.google.com/spreadsheets/d/11923uPwbBZFjjGgGUA6NLw09EwE0CqkOc4q9oUmW1yo/edit?usp=sharing"",""ลำปาง!J46"")"),0)</f>
        <v>0</v>
      </c>
      <c r="K111" s="223">
        <f t="shared" ca="1" si="57"/>
        <v>0</v>
      </c>
      <c r="L111" s="168"/>
      <c r="M111" s="168"/>
      <c r="N111" s="168"/>
      <c r="O111" s="181"/>
      <c r="P111" s="181"/>
    </row>
    <row r="112" spans="1:16" ht="21.75" customHeight="1" x14ac:dyDescent="0.3">
      <c r="A112" s="175"/>
      <c r="B112" s="176"/>
      <c r="C112" s="176"/>
      <c r="D112" s="193"/>
      <c r="E112" s="198"/>
      <c r="F112" s="195"/>
      <c r="G112" s="225" t="s">
        <v>65</v>
      </c>
      <c r="H112" s="180" t="s">
        <v>37</v>
      </c>
      <c r="I112" s="202">
        <f ca="1">IFERROR(__xludf.DUMMYFUNCTION("IMPORTRANGE(""https://docs.google.com/spreadsheets/d/11923uPwbBZFjjGgGUA6NLw09EwE0CqkOc4q9oUmW1yo/edit?usp=sharing"",""ลำปาง!I47"")"),4)</f>
        <v>4</v>
      </c>
      <c r="J112" s="203">
        <f ca="1">IFERROR(__xludf.DUMMYFUNCTION("IMPORTRANGE(""https://docs.google.com/spreadsheets/d/11923uPwbBZFjjGgGUA6NLw09EwE0CqkOc4q9oUmW1yo/edit?usp=sharing"",""ลำปาง!J47"")"),0)</f>
        <v>0</v>
      </c>
      <c r="K112" s="223">
        <f t="shared" ca="1" si="57"/>
        <v>0</v>
      </c>
      <c r="L112" s="168"/>
      <c r="M112" s="168"/>
      <c r="N112" s="168"/>
      <c r="O112" s="181"/>
      <c r="P112" s="181"/>
    </row>
    <row r="113" spans="1:16" ht="21.75" customHeight="1" x14ac:dyDescent="0.3">
      <c r="A113" s="175"/>
      <c r="B113" s="176"/>
      <c r="C113" s="176"/>
      <c r="D113" s="193"/>
      <c r="E113" s="198"/>
      <c r="F113" s="195" t="s">
        <v>66</v>
      </c>
      <c r="G113" s="195"/>
      <c r="H113" s="180" t="s">
        <v>59</v>
      </c>
      <c r="I113" s="202">
        <f ca="1">IFERROR(__xludf.DUMMYFUNCTION("IMPORTRANGE(""https://docs.google.com/spreadsheets/d/11923uPwbBZFjjGgGUA6NLw09EwE0CqkOc4q9oUmW1yo/edit?usp=sharing"",""ลำปาง!I48"")"),1)</f>
        <v>1</v>
      </c>
      <c r="J113" s="203">
        <f ca="1">IFERROR(__xludf.DUMMYFUNCTION("IMPORTRANGE(""https://docs.google.com/spreadsheets/d/11923uPwbBZFjjGgGUA6NLw09EwE0CqkOc4q9oUmW1yo/edit?usp=sharing"",""ลำปาง!J48"")"),0)</f>
        <v>0</v>
      </c>
      <c r="K113" s="223">
        <f t="shared" ca="1" si="57"/>
        <v>0</v>
      </c>
      <c r="L113" s="168"/>
      <c r="M113" s="168"/>
      <c r="N113" s="168"/>
      <c r="O113" s="181"/>
      <c r="P113" s="181"/>
    </row>
    <row r="114" spans="1:16" ht="21.75" customHeight="1" x14ac:dyDescent="0.3">
      <c r="A114" s="175"/>
      <c r="B114" s="176"/>
      <c r="C114" s="176"/>
      <c r="D114" s="193"/>
      <c r="E114" s="194" t="s">
        <v>54</v>
      </c>
      <c r="F114" s="195"/>
      <c r="G114" s="196"/>
      <c r="H114" s="186"/>
      <c r="I114" s="187"/>
      <c r="J114" s="187">
        <f ca="1">IFERROR(__xludf.DUMMYFUNCTION("IMPORTRANGE(""https://docs.google.com/spreadsheets/d/11923uPwbBZFjjGgGUA6NLw09EwE0CqkOc4q9oUmW1yo/edit?usp=sharing"",""ลำปาง!J49"")"),0)</f>
        <v>0</v>
      </c>
      <c r="K114" s="223"/>
      <c r="L114" s="168"/>
      <c r="M114" s="168"/>
      <c r="N114" s="168"/>
      <c r="O114" s="181"/>
      <c r="P114" s="181"/>
    </row>
    <row r="115" spans="1:16" ht="21.75" customHeight="1" x14ac:dyDescent="0.3">
      <c r="A115" s="175"/>
      <c r="B115" s="176"/>
      <c r="C115" s="176"/>
      <c r="D115" s="205">
        <v>3</v>
      </c>
      <c r="E115" s="206" t="s">
        <v>55</v>
      </c>
      <c r="F115" s="207"/>
      <c r="G115" s="208"/>
      <c r="H115" s="186"/>
      <c r="I115" s="187"/>
      <c r="J115" s="226">
        <f ca="1">IFERROR(__xludf.DUMMYFUNCTION("IMPORTRANGE(""https://docs.google.com/spreadsheets/d/11923uPwbBZFjjGgGUA6NLw09EwE0CqkOc4q9oUmW1yo/edit?usp=sharing"",""ลำปาง!J50"")"),0)</f>
        <v>0</v>
      </c>
      <c r="K115" s="223"/>
      <c r="L115" s="168"/>
      <c r="M115" s="168"/>
      <c r="N115" s="168"/>
      <c r="O115" s="181"/>
      <c r="P115" s="181"/>
    </row>
    <row r="116" spans="1:16" ht="21.75" customHeight="1" x14ac:dyDescent="0.3">
      <c r="A116" s="210" t="s">
        <v>67</v>
      </c>
      <c r="B116" s="227"/>
      <c r="C116" s="228"/>
      <c r="D116" s="227"/>
      <c r="E116" s="229"/>
      <c r="F116" s="229"/>
      <c r="G116" s="230"/>
      <c r="H116" s="215"/>
      <c r="I116" s="216"/>
      <c r="J116" s="216"/>
      <c r="K116" s="217"/>
      <c r="L116" s="218"/>
      <c r="M116" s="218"/>
      <c r="N116" s="218"/>
      <c r="O116" s="219"/>
      <c r="P116" s="219"/>
    </row>
    <row r="117" spans="1:16" ht="21.75" customHeight="1" x14ac:dyDescent="0.3">
      <c r="A117" s="137"/>
      <c r="B117" s="138" t="s">
        <v>68</v>
      </c>
      <c r="C117" s="231"/>
      <c r="D117" s="139"/>
      <c r="E117" s="138"/>
      <c r="F117" s="138"/>
      <c r="G117" s="220"/>
      <c r="H117" s="140" t="s">
        <v>37</v>
      </c>
      <c r="I117" s="141">
        <f ca="1">IFERROR(__xludf.DUMMYFUNCTION("IMPORTRANGE(""https://docs.google.com/spreadsheets/d/11923uPwbBZFjjGgGUA6NLw09EwE0CqkOc4q9oUmW1yo/edit?usp=sharing"",""ลำปาง!I52"")"),0)</f>
        <v>0</v>
      </c>
      <c r="J117" s="141">
        <f ca="1">IFERROR(__xludf.DUMMYFUNCTION("IMPORTRANGE(""https://docs.google.com/spreadsheets/d/11923uPwbBZFjjGgGUA6NLw09EwE0CqkOc4q9oUmW1yo/edit?usp=sharing"",""ลำปาง!J52"")"),0)</f>
        <v>0</v>
      </c>
      <c r="K117" s="142">
        <f ca="1">IF(I117&gt;0,J117*100/I117,0)</f>
        <v>0</v>
      </c>
      <c r="L117" s="143"/>
      <c r="M117" s="143"/>
      <c r="N117" s="144"/>
      <c r="O117" s="142"/>
      <c r="P117" s="142"/>
    </row>
    <row r="118" spans="1:16" ht="21.75" customHeight="1" x14ac:dyDescent="0.45">
      <c r="A118" s="145"/>
      <c r="B118" s="146"/>
      <c r="C118" s="147" t="s">
        <v>16</v>
      </c>
      <c r="D118" s="537" t="s">
        <v>17</v>
      </c>
      <c r="E118" s="528"/>
      <c r="F118" s="528"/>
      <c r="G118" s="528"/>
      <c r="H118" s="148" t="s">
        <v>12</v>
      </c>
      <c r="I118" s="162"/>
      <c r="J118" s="162"/>
      <c r="K118" s="163"/>
      <c r="L118" s="151">
        <f t="shared" ref="L118:N118" ca="1" si="58">L119+L120</f>
        <v>0</v>
      </c>
      <c r="M118" s="151">
        <f t="shared" ca="1" si="58"/>
        <v>0</v>
      </c>
      <c r="N118" s="151">
        <f t="shared" ca="1" si="58"/>
        <v>0</v>
      </c>
      <c r="O118" s="150">
        <f t="shared" ref="O118:O120" ca="1" si="59">IF(L118&gt;0,N118*100/L118,0)</f>
        <v>0</v>
      </c>
      <c r="P118" s="150">
        <f t="shared" ref="P118:P120" ca="1" si="60">IF(M118&gt;0,N118*100/M118,0)</f>
        <v>0</v>
      </c>
    </row>
    <row r="119" spans="1:16" ht="21.75" customHeight="1" x14ac:dyDescent="0.45">
      <c r="A119" s="152"/>
      <c r="B119" s="32"/>
      <c r="C119" s="32"/>
      <c r="D119" s="32"/>
      <c r="E119" s="32"/>
      <c r="F119" s="32"/>
      <c r="G119" s="33" t="s">
        <v>18</v>
      </c>
      <c r="H119" s="153" t="s">
        <v>12</v>
      </c>
      <c r="I119" s="162"/>
      <c r="J119" s="162"/>
      <c r="K119" s="163"/>
      <c r="L119" s="87">
        <f t="shared" ref="L119:N119" si="61">L121+L125</f>
        <v>0</v>
      </c>
      <c r="M119" s="87">
        <f t="shared" si="61"/>
        <v>0</v>
      </c>
      <c r="N119" s="87">
        <f t="shared" si="61"/>
        <v>0</v>
      </c>
      <c r="O119" s="155">
        <f t="shared" si="59"/>
        <v>0</v>
      </c>
      <c r="P119" s="155">
        <f t="shared" si="60"/>
        <v>0</v>
      </c>
    </row>
    <row r="120" spans="1:16" ht="21.75" customHeight="1" x14ac:dyDescent="0.45">
      <c r="A120" s="152"/>
      <c r="B120" s="32"/>
      <c r="C120" s="32"/>
      <c r="D120" s="32"/>
      <c r="E120" s="32"/>
      <c r="F120" s="32"/>
      <c r="G120" s="33" t="s">
        <v>19</v>
      </c>
      <c r="H120" s="153" t="s">
        <v>12</v>
      </c>
      <c r="I120" s="162"/>
      <c r="J120" s="162"/>
      <c r="K120" s="163"/>
      <c r="L120" s="87">
        <f t="shared" ref="L120:N120" ca="1" si="62">L122+L126</f>
        <v>0</v>
      </c>
      <c r="M120" s="87">
        <f t="shared" ca="1" si="62"/>
        <v>0</v>
      </c>
      <c r="N120" s="87">
        <f t="shared" ca="1" si="62"/>
        <v>0</v>
      </c>
      <c r="O120" s="155">
        <f t="shared" ca="1" si="59"/>
        <v>0</v>
      </c>
      <c r="P120" s="155">
        <f t="shared" ca="1" si="60"/>
        <v>0</v>
      </c>
    </row>
    <row r="121" spans="1:16" ht="21.75" customHeight="1" x14ac:dyDescent="0.3">
      <c r="A121" s="156"/>
      <c r="B121" s="157"/>
      <c r="C121" s="157" t="s">
        <v>16</v>
      </c>
      <c r="D121" s="158" t="s">
        <v>38</v>
      </c>
      <c r="E121" s="159"/>
      <c r="F121" s="159"/>
      <c r="G121" s="160" t="s">
        <v>39</v>
      </c>
      <c r="H121" s="161" t="s">
        <v>12</v>
      </c>
      <c r="I121" s="162" t="s">
        <v>40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3">
      <c r="A122" s="156"/>
      <c r="B122" s="157"/>
      <c r="C122" s="157"/>
      <c r="D122" s="166"/>
      <c r="E122" s="159"/>
      <c r="F122" s="159" t="s">
        <v>40</v>
      </c>
      <c r="G122" s="160" t="s">
        <v>41</v>
      </c>
      <c r="H122" s="161" t="s">
        <v>12</v>
      </c>
      <c r="I122" s="162"/>
      <c r="J122" s="162"/>
      <c r="K122" s="163"/>
      <c r="L122" s="167">
        <f ca="1">L123+L124</f>
        <v>0</v>
      </c>
      <c r="M122" s="167">
        <f ca="1">IFERROR(__xludf.DUMMYFUNCTION("IMPORTRANGE(""https://docs.google.com/spreadsheets/d/1Yj_ptqi66GCucihVvJfMjLAmec39IyEx_6qawtMGysU/edit?usp=sharing"",""สบก!BA32"")"),0)</f>
        <v>0</v>
      </c>
      <c r="N122" s="168">
        <f ca="1">IFERROR(__xludf.DUMMYFUNCTION("IMPORTRANGE(""https://docs.google.com/spreadsheets/d/1Yj_ptqi66GCucihVvJfMjLAmec39IyEx_6qawtMGysU/edit?usp=sharing"",""สบก!BB32"")"),0)</f>
        <v>0</v>
      </c>
      <c r="O122" s="168">
        <f ca="1">IF(L122&gt;0,N122*100/L122,0)</f>
        <v>0</v>
      </c>
      <c r="P122" s="168">
        <f ca="1">IF(M122&gt;0,N122*100/M122,0)</f>
        <v>0</v>
      </c>
    </row>
    <row r="123" spans="1:16" ht="21.75" customHeight="1" x14ac:dyDescent="0.3">
      <c r="A123" s="156"/>
      <c r="B123" s="157"/>
      <c r="C123" s="157"/>
      <c r="D123" s="166"/>
      <c r="E123" s="159"/>
      <c r="F123" s="159"/>
      <c r="G123" s="169" t="s">
        <v>42</v>
      </c>
      <c r="H123" s="161" t="s">
        <v>12</v>
      </c>
      <c r="I123" s="162"/>
      <c r="J123" s="162"/>
      <c r="K123" s="163"/>
      <c r="L123" s="167">
        <f ca="1">IFERROR(__xludf.DUMMYFUNCTION("IMPORTRANGE(""https://docs.google.com/spreadsheets/d/1Yj_ptqi66GCucihVvJfMjLAmec39IyEx_6qawtMGysU/edit?usp=sharing"",""สบก!AW32"")"),0)</f>
        <v>0</v>
      </c>
      <c r="M123" s="167"/>
      <c r="N123" s="167"/>
      <c r="O123" s="168"/>
      <c r="P123" s="168"/>
    </row>
    <row r="124" spans="1:16" ht="21.75" customHeight="1" x14ac:dyDescent="0.3">
      <c r="A124" s="156"/>
      <c r="B124" s="157"/>
      <c r="C124" s="157"/>
      <c r="D124" s="166"/>
      <c r="E124" s="159"/>
      <c r="F124" s="159"/>
      <c r="G124" s="169" t="s">
        <v>43</v>
      </c>
      <c r="H124" s="161" t="s">
        <v>12</v>
      </c>
      <c r="I124" s="162"/>
      <c r="J124" s="187"/>
      <c r="K124" s="223"/>
      <c r="L124" s="167">
        <f ca="1">IFERROR(__xludf.DUMMYFUNCTION("IMPORTRANGE(""https://docs.google.com/spreadsheets/d/1Yj_ptqi66GCucihVvJfMjLAmec39IyEx_6qawtMGysU/edit?usp=sharing"",""สบก!AX32"")"),0)</f>
        <v>0</v>
      </c>
      <c r="M124" s="167"/>
      <c r="N124" s="167"/>
      <c r="O124" s="168"/>
      <c r="P124" s="168"/>
    </row>
    <row r="125" spans="1:16" ht="21.75" customHeight="1" x14ac:dyDescent="0.45">
      <c r="A125" s="170"/>
      <c r="B125" s="80"/>
      <c r="C125" s="81" t="s">
        <v>16</v>
      </c>
      <c r="D125" s="534" t="s">
        <v>23</v>
      </c>
      <c r="E125" s="530"/>
      <c r="F125" s="88"/>
      <c r="G125" s="82" t="s">
        <v>18</v>
      </c>
      <c r="H125" s="171" t="s">
        <v>12</v>
      </c>
      <c r="I125" s="187"/>
      <c r="J125" s="187"/>
      <c r="K125" s="223"/>
      <c r="L125" s="41">
        <v>0</v>
      </c>
      <c r="M125" s="41"/>
      <c r="N125" s="41"/>
      <c r="O125" s="41"/>
      <c r="P125" s="41"/>
    </row>
    <row r="126" spans="1:16" ht="21.75" customHeight="1" x14ac:dyDescent="0.45">
      <c r="A126" s="172"/>
      <c r="B126" s="91"/>
      <c r="C126" s="91"/>
      <c r="D126" s="173"/>
      <c r="E126" s="92"/>
      <c r="F126" s="92"/>
      <c r="G126" s="93" t="s">
        <v>19</v>
      </c>
      <c r="H126" s="174" t="s">
        <v>12</v>
      </c>
      <c r="I126" s="187"/>
      <c r="J126" s="187"/>
      <c r="K126" s="223"/>
      <c r="L126" s="49">
        <f ca="1">IFERROR(__xludf.DUMMYFUNCTION("IMPORTRANGE(""https://docs.google.com/spreadsheets/d/1Yj_ptqi66GCucihVvJfMjLAmec39IyEx_6qawtMGysU/edit?usp=sharing"",""สบก!AY32"")"),0)</f>
        <v>0</v>
      </c>
      <c r="M126" s="49"/>
      <c r="N126" s="49">
        <f ca="1">IFERROR(__xludf.DUMMYFUNCTION("IMPORTRANGE(""https://docs.google.com/spreadsheets/d/1Yj_ptqi66GCucihVvJfMjLAmec39IyEx_6qawtMGysU/edit?usp=sharing"",""สบก!BC32"")"),0)</f>
        <v>0</v>
      </c>
      <c r="O126" s="49">
        <f ca="1">IF(L126&gt;0,N126*100/L126,0)</f>
        <v>0</v>
      </c>
      <c r="P126" s="49"/>
    </row>
    <row r="127" spans="1:16" ht="21.75" customHeight="1" x14ac:dyDescent="0.3">
      <c r="A127" s="175"/>
      <c r="B127" s="176"/>
      <c r="C127" s="157" t="s">
        <v>16</v>
      </c>
      <c r="D127" s="232" t="s">
        <v>263</v>
      </c>
      <c r="E127" s="178"/>
      <c r="F127" s="178"/>
      <c r="G127" s="179"/>
      <c r="H127" s="180"/>
      <c r="I127" s="162"/>
      <c r="J127" s="187"/>
      <c r="K127" s="223"/>
      <c r="L127" s="168"/>
      <c r="M127" s="168"/>
      <c r="N127" s="168"/>
      <c r="O127" s="181"/>
      <c r="P127" s="181"/>
    </row>
    <row r="128" spans="1:16" ht="21.75" customHeight="1" x14ac:dyDescent="0.3">
      <c r="A128" s="175"/>
      <c r="B128" s="176"/>
      <c r="C128" s="176"/>
      <c r="D128" s="182">
        <v>1</v>
      </c>
      <c r="E128" s="183" t="s">
        <v>45</v>
      </c>
      <c r="F128" s="184"/>
      <c r="G128" s="185"/>
      <c r="H128" s="186"/>
      <c r="I128" s="187"/>
      <c r="J128" s="203">
        <f ca="1">IFERROR(__xludf.DUMMYFUNCTION("IMPORTRANGE(""https://docs.google.com/spreadsheets/d/11923uPwbBZFjjGgGUA6NLw09EwE0CqkOc4q9oUmW1yo/edit?usp=sharing"",""ลำปาง!J58"")"),0)</f>
        <v>0</v>
      </c>
      <c r="K128" s="223"/>
      <c r="L128" s="168"/>
      <c r="M128" s="168"/>
      <c r="N128" s="168"/>
      <c r="O128" s="181"/>
      <c r="P128" s="181"/>
    </row>
    <row r="129" spans="1:16" ht="21.75" customHeight="1" x14ac:dyDescent="0.3">
      <c r="A129" s="175"/>
      <c r="B129" s="176"/>
      <c r="C129" s="176"/>
      <c r="D129" s="189">
        <v>2</v>
      </c>
      <c r="E129" s="190" t="s">
        <v>46</v>
      </c>
      <c r="F129" s="191"/>
      <c r="G129" s="192"/>
      <c r="H129" s="186"/>
      <c r="I129" s="187"/>
      <c r="J129" s="187">
        <f ca="1">IFERROR(__xludf.DUMMYFUNCTION("IMPORTRANGE(""https://docs.google.com/spreadsheets/d/11923uPwbBZFjjGgGUA6NLw09EwE0CqkOc4q9oUmW1yo/edit?usp=sharing"",""ลำปาง!J59"")"),0)</f>
        <v>0</v>
      </c>
      <c r="K129" s="223"/>
      <c r="L129" s="168" t="s">
        <v>40</v>
      </c>
      <c r="M129" s="168"/>
      <c r="N129" s="168" t="s">
        <v>40</v>
      </c>
      <c r="O129" s="181"/>
      <c r="P129" s="181"/>
    </row>
    <row r="130" spans="1:16" ht="21.75" customHeight="1" x14ac:dyDescent="0.3">
      <c r="A130" s="175"/>
      <c r="B130" s="176"/>
      <c r="C130" s="176"/>
      <c r="D130" s="193"/>
      <c r="E130" s="194" t="s">
        <v>47</v>
      </c>
      <c r="F130" s="195"/>
      <c r="G130" s="196"/>
      <c r="H130" s="186"/>
      <c r="I130" s="187"/>
      <c r="J130" s="187">
        <f ca="1">IFERROR(__xludf.DUMMYFUNCTION("IMPORTRANGE(""https://docs.google.com/spreadsheets/d/11923uPwbBZFjjGgGUA6NLw09EwE0CqkOc4q9oUmW1yo/edit?usp=sharing"",""ลำปาง!J60"")"),0)</f>
        <v>0</v>
      </c>
      <c r="K130" s="223"/>
      <c r="L130" s="168"/>
      <c r="M130" s="168"/>
      <c r="N130" s="168"/>
      <c r="O130" s="181"/>
      <c r="P130" s="181"/>
    </row>
    <row r="131" spans="1:16" ht="21.75" customHeight="1" x14ac:dyDescent="0.3">
      <c r="A131" s="175"/>
      <c r="B131" s="176"/>
      <c r="C131" s="176"/>
      <c r="D131" s="193"/>
      <c r="E131" s="194" t="s">
        <v>48</v>
      </c>
      <c r="F131" s="195"/>
      <c r="G131" s="196"/>
      <c r="H131" s="186"/>
      <c r="I131" s="187"/>
      <c r="J131" s="187">
        <f ca="1">IFERROR(__xludf.DUMMYFUNCTION("IMPORTRANGE(""https://docs.google.com/spreadsheets/d/11923uPwbBZFjjGgGUA6NLw09EwE0CqkOc4q9oUmW1yo/edit?usp=sharing"",""ลำปาง!J61"")"),0)</f>
        <v>0</v>
      </c>
      <c r="K131" s="223"/>
      <c r="L131" s="168"/>
      <c r="M131" s="168"/>
      <c r="N131" s="168"/>
      <c r="O131" s="181"/>
      <c r="P131" s="181"/>
    </row>
    <row r="132" spans="1:16" ht="21.75" customHeight="1" x14ac:dyDescent="0.3">
      <c r="A132" s="175"/>
      <c r="B132" s="176"/>
      <c r="C132" s="176"/>
      <c r="D132" s="193"/>
      <c r="E132" s="198"/>
      <c r="F132" s="194" t="s">
        <v>70</v>
      </c>
      <c r="G132" s="196"/>
      <c r="H132" s="180" t="s">
        <v>37</v>
      </c>
      <c r="I132" s="187">
        <f ca="1">IFERROR(__xludf.DUMMYFUNCTION("IMPORTRANGE(""https://docs.google.com/spreadsheets/d/11923uPwbBZFjjGgGUA6NLw09EwE0CqkOc4q9oUmW1yo/edit?usp=sharing"",""ลำปาง!I62"")"),0)</f>
        <v>0</v>
      </c>
      <c r="J132" s="203">
        <f ca="1">IFERROR(__xludf.DUMMYFUNCTION("IMPORTRANGE(""https://docs.google.com/spreadsheets/d/11923uPwbBZFjjGgGUA6NLw09EwE0CqkOc4q9oUmW1yo/edit?usp=sharing"",""ลำปาง!J62"")"),0)</f>
        <v>0</v>
      </c>
      <c r="K132" s="223">
        <f t="shared" ref="K132:K133" ca="1" si="63">IF(I132&gt;0,J132*100/I132,0)</f>
        <v>0</v>
      </c>
      <c r="L132" s="168"/>
      <c r="M132" s="168"/>
      <c r="N132" s="168"/>
      <c r="O132" s="181"/>
      <c r="P132" s="181"/>
    </row>
    <row r="133" spans="1:16" ht="21.75" customHeight="1" x14ac:dyDescent="0.3">
      <c r="A133" s="175"/>
      <c r="B133" s="176"/>
      <c r="C133" s="176"/>
      <c r="D133" s="193"/>
      <c r="E133" s="198"/>
      <c r="F133" s="194" t="s">
        <v>71</v>
      </c>
      <c r="G133" s="196"/>
      <c r="H133" s="180" t="s">
        <v>37</v>
      </c>
      <c r="I133" s="187">
        <f ca="1">IFERROR(__xludf.DUMMYFUNCTION("IMPORTRANGE(""https://docs.google.com/spreadsheets/d/11923uPwbBZFjjGgGUA6NLw09EwE0CqkOc4q9oUmW1yo/edit?usp=sharing"",""ลำปาง!I63"")"),0)</f>
        <v>0</v>
      </c>
      <c r="J133" s="203">
        <f ca="1">IFERROR(__xludf.DUMMYFUNCTION("IMPORTRANGE(""https://docs.google.com/spreadsheets/d/11923uPwbBZFjjGgGUA6NLw09EwE0CqkOc4q9oUmW1yo/edit?usp=sharing"",""ลำปาง!J63"")"),0)</f>
        <v>0</v>
      </c>
      <c r="K133" s="223">
        <f t="shared" ca="1" si="63"/>
        <v>0</v>
      </c>
      <c r="L133" s="168"/>
      <c r="M133" s="168"/>
      <c r="N133" s="168"/>
      <c r="O133" s="181"/>
      <c r="P133" s="181"/>
    </row>
    <row r="134" spans="1:16" ht="21.75" customHeight="1" x14ac:dyDescent="0.3">
      <c r="A134" s="175"/>
      <c r="B134" s="176"/>
      <c r="C134" s="176"/>
      <c r="D134" s="193"/>
      <c r="E134" s="194" t="s">
        <v>54</v>
      </c>
      <c r="F134" s="195"/>
      <c r="G134" s="196"/>
      <c r="H134" s="186"/>
      <c r="I134" s="187"/>
      <c r="J134" s="187">
        <f ca="1">IFERROR(__xludf.DUMMYFUNCTION("IMPORTRANGE(""https://docs.google.com/spreadsheets/d/11923uPwbBZFjjGgGUA6NLw09EwE0CqkOc4q9oUmW1yo/edit?usp=sharing"",""ลำปาง!J64"")"),0)</f>
        <v>0</v>
      </c>
      <c r="K134" s="223"/>
      <c r="L134" s="168"/>
      <c r="M134" s="168"/>
      <c r="N134" s="168"/>
      <c r="O134" s="181"/>
      <c r="P134" s="181"/>
    </row>
    <row r="135" spans="1:16" ht="21.75" customHeight="1" x14ac:dyDescent="0.3">
      <c r="A135" s="233"/>
      <c r="B135" s="234"/>
      <c r="C135" s="234"/>
      <c r="D135" s="235">
        <v>3</v>
      </c>
      <c r="E135" s="236" t="s">
        <v>55</v>
      </c>
      <c r="F135" s="237"/>
      <c r="G135" s="238"/>
      <c r="H135" s="239"/>
      <c r="I135" s="240"/>
      <c r="J135" s="241">
        <f ca="1">IFERROR(__xludf.DUMMYFUNCTION("IMPORTRANGE(""https://docs.google.com/spreadsheets/d/11923uPwbBZFjjGgGUA6NLw09EwE0CqkOc4q9oUmW1yo/edit?usp=sharing"",""ลำปาง!J65"")"),0)</f>
        <v>0</v>
      </c>
      <c r="K135" s="242"/>
      <c r="L135" s="243"/>
      <c r="M135" s="243"/>
      <c r="N135" s="243"/>
      <c r="O135" s="244"/>
      <c r="P135" s="244"/>
    </row>
    <row r="136" spans="1:16" ht="21.75" customHeight="1" x14ac:dyDescent="0.3">
      <c r="A136" s="245" t="s">
        <v>72</v>
      </c>
      <c r="B136" s="246"/>
      <c r="C136" s="246"/>
      <c r="D136" s="246"/>
      <c r="E136" s="247"/>
      <c r="F136" s="247"/>
      <c r="G136" s="248"/>
      <c r="H136" s="249"/>
      <c r="I136" s="250"/>
      <c r="J136" s="250"/>
      <c r="K136" s="251"/>
      <c r="L136" s="252"/>
      <c r="M136" s="252"/>
      <c r="N136" s="252"/>
      <c r="O136" s="252"/>
      <c r="P136" s="252"/>
    </row>
    <row r="137" spans="1:16" ht="21.75" customHeight="1" x14ac:dyDescent="0.3">
      <c r="A137" s="253" t="s">
        <v>73</v>
      </c>
      <c r="B137" s="254"/>
      <c r="C137" s="254"/>
      <c r="D137" s="255"/>
      <c r="E137" s="255"/>
      <c r="F137" s="255"/>
      <c r="G137" s="256"/>
      <c r="H137" s="257"/>
      <c r="I137" s="258"/>
      <c r="J137" s="258"/>
      <c r="K137" s="259"/>
      <c r="L137" s="259"/>
      <c r="M137" s="259"/>
      <c r="N137" s="259"/>
      <c r="O137" s="260"/>
      <c r="P137" s="260"/>
    </row>
    <row r="138" spans="1:16" ht="21.75" customHeight="1" x14ac:dyDescent="0.3">
      <c r="A138" s="261"/>
      <c r="B138" s="262" t="s">
        <v>74</v>
      </c>
      <c r="C138" s="263"/>
      <c r="D138" s="262"/>
      <c r="E138" s="262"/>
      <c r="F138" s="262"/>
      <c r="G138" s="264"/>
      <c r="H138" s="265" t="s">
        <v>37</v>
      </c>
      <c r="I138" s="266">
        <f ca="1">IFERROR(__xludf.DUMMYFUNCTION("IMPORTRANGE(""https://docs.google.com/spreadsheets/d/11923uPwbBZFjjGgGUA6NLw09EwE0CqkOc4q9oUmW1yo/edit?usp=sharing"",""ลำปาง!I68"")"),0)</f>
        <v>0</v>
      </c>
      <c r="J138" s="266">
        <f ca="1">IFERROR(__xludf.DUMMYFUNCTION("IMPORTRANGE(""https://docs.google.com/spreadsheets/d/11923uPwbBZFjjGgGUA6NLw09EwE0CqkOc4q9oUmW1yo/edit?usp=sharing"",""ลำปาง!J68"")"),0)</f>
        <v>0</v>
      </c>
      <c r="K138" s="267">
        <f ca="1">IF(I138&gt;0,J138*100/I138,0)</f>
        <v>0</v>
      </c>
      <c r="L138" s="268"/>
      <c r="M138" s="268"/>
      <c r="N138" s="268"/>
      <c r="O138" s="267"/>
      <c r="P138" s="267"/>
    </row>
    <row r="139" spans="1:16" ht="21.75" customHeight="1" x14ac:dyDescent="0.3">
      <c r="A139" s="261"/>
      <c r="B139" s="262" t="s">
        <v>75</v>
      </c>
      <c r="C139" s="263"/>
      <c r="D139" s="262"/>
      <c r="E139" s="262"/>
      <c r="F139" s="262"/>
      <c r="G139" s="264"/>
      <c r="H139" s="265"/>
      <c r="I139" s="266"/>
      <c r="J139" s="266"/>
      <c r="K139" s="267"/>
      <c r="L139" s="268"/>
      <c r="M139" s="268"/>
      <c r="N139" s="268"/>
      <c r="O139" s="267"/>
      <c r="P139" s="267"/>
    </row>
    <row r="140" spans="1:16" ht="21.75" customHeight="1" x14ac:dyDescent="0.45">
      <c r="A140" s="145"/>
      <c r="B140" s="146"/>
      <c r="C140" s="147" t="s">
        <v>16</v>
      </c>
      <c r="D140" s="537" t="s">
        <v>17</v>
      </c>
      <c r="E140" s="528"/>
      <c r="F140" s="528"/>
      <c r="G140" s="528"/>
      <c r="H140" s="148" t="s">
        <v>12</v>
      </c>
      <c r="I140" s="162"/>
      <c r="J140" s="162"/>
      <c r="K140" s="163"/>
      <c r="L140" s="151">
        <f t="shared" ref="L140:N140" ca="1" si="64">L141+L142</f>
        <v>69000</v>
      </c>
      <c r="M140" s="151">
        <f t="shared" ca="1" si="64"/>
        <v>53750</v>
      </c>
      <c r="N140" s="151">
        <f t="shared" ca="1" si="64"/>
        <v>43336</v>
      </c>
      <c r="O140" s="150">
        <f t="shared" ref="O140:O142" ca="1" si="65">IF(L140&gt;0,N140*100/L140,0)</f>
        <v>62.805797101449272</v>
      </c>
      <c r="P140" s="150">
        <f t="shared" ref="P140:P142" ca="1" si="66">IF(M140&gt;0,N140*100/M140,0)</f>
        <v>80.625116279069772</v>
      </c>
    </row>
    <row r="141" spans="1:16" ht="21.75" customHeight="1" x14ac:dyDescent="0.45">
      <c r="A141" s="152"/>
      <c r="B141" s="32"/>
      <c r="C141" s="32"/>
      <c r="D141" s="32"/>
      <c r="E141" s="32"/>
      <c r="F141" s="32"/>
      <c r="G141" s="33" t="s">
        <v>18</v>
      </c>
      <c r="H141" s="153" t="s">
        <v>12</v>
      </c>
      <c r="I141" s="162"/>
      <c r="J141" s="162"/>
      <c r="K141" s="163"/>
      <c r="L141" s="87">
        <f t="shared" ref="L141:N141" si="67">L143+L147</f>
        <v>0</v>
      </c>
      <c r="M141" s="87">
        <f t="shared" si="67"/>
        <v>0</v>
      </c>
      <c r="N141" s="87">
        <f t="shared" si="67"/>
        <v>0</v>
      </c>
      <c r="O141" s="155">
        <f t="shared" si="65"/>
        <v>0</v>
      </c>
      <c r="P141" s="155">
        <f t="shared" si="66"/>
        <v>0</v>
      </c>
    </row>
    <row r="142" spans="1:16" ht="21.75" customHeight="1" x14ac:dyDescent="0.45">
      <c r="A142" s="152"/>
      <c r="B142" s="32"/>
      <c r="C142" s="32"/>
      <c r="D142" s="32"/>
      <c r="E142" s="32"/>
      <c r="F142" s="32"/>
      <c r="G142" s="33" t="s">
        <v>19</v>
      </c>
      <c r="H142" s="153" t="s">
        <v>12</v>
      </c>
      <c r="I142" s="162"/>
      <c r="J142" s="162"/>
      <c r="K142" s="163"/>
      <c r="L142" s="87">
        <f t="shared" ref="L142:N142" ca="1" si="68">L144+L148</f>
        <v>69000</v>
      </c>
      <c r="M142" s="87">
        <f t="shared" ca="1" si="68"/>
        <v>53750</v>
      </c>
      <c r="N142" s="87">
        <f t="shared" ca="1" si="68"/>
        <v>43336</v>
      </c>
      <c r="O142" s="155">
        <f t="shared" ca="1" si="65"/>
        <v>62.805797101449272</v>
      </c>
      <c r="P142" s="155">
        <f t="shared" ca="1" si="66"/>
        <v>80.625116279069772</v>
      </c>
    </row>
    <row r="143" spans="1:16" ht="21.75" customHeight="1" x14ac:dyDescent="0.3">
      <c r="A143" s="156"/>
      <c r="B143" s="157"/>
      <c r="C143" s="157" t="s">
        <v>16</v>
      </c>
      <c r="D143" s="158" t="s">
        <v>38</v>
      </c>
      <c r="E143" s="159"/>
      <c r="F143" s="159"/>
      <c r="G143" s="160" t="s">
        <v>39</v>
      </c>
      <c r="H143" s="161" t="s">
        <v>12</v>
      </c>
      <c r="I143" s="162" t="s">
        <v>40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3">
      <c r="A144" s="156"/>
      <c r="B144" s="157"/>
      <c r="C144" s="157"/>
      <c r="D144" s="166"/>
      <c r="E144" s="159"/>
      <c r="F144" s="159" t="s">
        <v>40</v>
      </c>
      <c r="G144" s="160" t="s">
        <v>41</v>
      </c>
      <c r="H144" s="161" t="s">
        <v>12</v>
      </c>
      <c r="I144" s="162"/>
      <c r="J144" s="162"/>
      <c r="K144" s="163"/>
      <c r="L144" s="167">
        <f ca="1">L145+L146</f>
        <v>69000</v>
      </c>
      <c r="M144" s="167">
        <f ca="1">IFERROR(__xludf.DUMMYFUNCTION("IMPORTRANGE(""https://docs.google.com/spreadsheets/d/1Yj_ptqi66GCucihVvJfMjLAmec39IyEx_6qawtMGysU/edit?usp=sharing"",""สบก!BJ32"")"),53750)</f>
        <v>53750</v>
      </c>
      <c r="N144" s="168">
        <f ca="1">IFERROR(__xludf.DUMMYFUNCTION("IMPORTRANGE(""https://docs.google.com/spreadsheets/d/1Yj_ptqi66GCucihVvJfMjLAmec39IyEx_6qawtMGysU/edit?usp=sharing"",""สบก!BK32"")"),43336)</f>
        <v>43336</v>
      </c>
      <c r="O144" s="168">
        <f ca="1">IF(L144&gt;0,N144*100/L144,0)</f>
        <v>62.805797101449272</v>
      </c>
      <c r="P144" s="168">
        <f ca="1">IF(M144&gt;0,N144*100/M144,0)</f>
        <v>80.625116279069772</v>
      </c>
    </row>
    <row r="145" spans="1:16" ht="21.75" customHeight="1" x14ac:dyDescent="0.3">
      <c r="A145" s="156"/>
      <c r="B145" s="157"/>
      <c r="C145" s="157"/>
      <c r="D145" s="166"/>
      <c r="E145" s="159"/>
      <c r="F145" s="159"/>
      <c r="G145" s="169" t="s">
        <v>42</v>
      </c>
      <c r="H145" s="161" t="s">
        <v>12</v>
      </c>
      <c r="I145" s="162"/>
      <c r="J145" s="162"/>
      <c r="K145" s="163"/>
      <c r="L145" s="167">
        <f ca="1">IFERROR(__xludf.DUMMYFUNCTION("IMPORTRANGE(""https://docs.google.com/spreadsheets/d/1Yj_ptqi66GCucihVvJfMjLAmec39IyEx_6qawtMGysU/edit?usp=sharing"",""สบก!BF32"")"),0)</f>
        <v>0</v>
      </c>
      <c r="M145" s="167"/>
      <c r="N145" s="167"/>
      <c r="O145" s="168"/>
      <c r="P145" s="168"/>
    </row>
    <row r="146" spans="1:16" ht="21.75" customHeight="1" x14ac:dyDescent="0.3">
      <c r="A146" s="156"/>
      <c r="B146" s="157"/>
      <c r="C146" s="157"/>
      <c r="D146" s="166"/>
      <c r="E146" s="159"/>
      <c r="F146" s="159"/>
      <c r="G146" s="169" t="s">
        <v>43</v>
      </c>
      <c r="H146" s="161" t="s">
        <v>12</v>
      </c>
      <c r="I146" s="162"/>
      <c r="J146" s="162"/>
      <c r="K146" s="163"/>
      <c r="L146" s="167">
        <f ca="1">IFERROR(__xludf.DUMMYFUNCTION("IMPORTRANGE(""https://docs.google.com/spreadsheets/d/1Yj_ptqi66GCucihVvJfMjLAmec39IyEx_6qawtMGysU/edit?usp=sharing"",""สบก!BG32"")"),69000)</f>
        <v>69000</v>
      </c>
      <c r="M146" s="167"/>
      <c r="N146" s="167"/>
      <c r="O146" s="168"/>
      <c r="P146" s="168"/>
    </row>
    <row r="147" spans="1:16" ht="21.75" customHeight="1" x14ac:dyDescent="0.45">
      <c r="A147" s="170"/>
      <c r="B147" s="80"/>
      <c r="C147" s="81" t="s">
        <v>16</v>
      </c>
      <c r="D147" s="534" t="s">
        <v>23</v>
      </c>
      <c r="E147" s="530"/>
      <c r="F147" s="88"/>
      <c r="G147" s="82" t="s">
        <v>18</v>
      </c>
      <c r="H147" s="171" t="s">
        <v>12</v>
      </c>
      <c r="I147" s="187"/>
      <c r="J147" s="187"/>
      <c r="K147" s="223"/>
      <c r="L147" s="41">
        <v>0</v>
      </c>
      <c r="M147" s="41"/>
      <c r="N147" s="41"/>
      <c r="O147" s="41"/>
      <c r="P147" s="41"/>
    </row>
    <row r="148" spans="1:16" ht="21.75" customHeight="1" x14ac:dyDescent="0.45">
      <c r="A148" s="172"/>
      <c r="B148" s="91"/>
      <c r="C148" s="91"/>
      <c r="D148" s="173"/>
      <c r="E148" s="92"/>
      <c r="F148" s="92"/>
      <c r="G148" s="93" t="s">
        <v>19</v>
      </c>
      <c r="H148" s="174" t="s">
        <v>12</v>
      </c>
      <c r="I148" s="187"/>
      <c r="J148" s="187"/>
      <c r="K148" s="223"/>
      <c r="L148" s="49">
        <f ca="1">IFERROR(__xludf.DUMMYFUNCTION("IMPORTRANGE(""https://docs.google.com/spreadsheets/d/1Yj_ptqi66GCucihVvJfMjLAmec39IyEx_6qawtMGysU/edit?usp=sharing"",""สบก!BH32"")"),0)</f>
        <v>0</v>
      </c>
      <c r="M148" s="49"/>
      <c r="N148" s="49">
        <f ca="1">IFERROR(__xludf.DUMMYFUNCTION("IMPORTRANGE(""https://docs.google.com/spreadsheets/d/1Yj_ptqi66GCucihVvJfMjLAmec39IyEx_6qawtMGysU/edit?usp=sharing"",""สบก!BL32"")"),0)</f>
        <v>0</v>
      </c>
      <c r="O148" s="49">
        <f ca="1">IF(L148&gt;0,N148*100/L148,0)</f>
        <v>0</v>
      </c>
      <c r="P148" s="49"/>
    </row>
    <row r="149" spans="1:16" ht="21.75" customHeight="1" x14ac:dyDescent="0.3">
      <c r="A149" s="269"/>
      <c r="B149" s="270"/>
      <c r="C149" s="271" t="s">
        <v>76</v>
      </c>
      <c r="D149" s="271"/>
      <c r="E149" s="271"/>
      <c r="F149" s="271"/>
      <c r="G149" s="272"/>
      <c r="H149" s="273" t="s">
        <v>77</v>
      </c>
      <c r="I149" s="274">
        <f ca="1">IFERROR(__xludf.DUMMYFUNCTION("IMPORTRANGE(""https://docs.google.com/spreadsheets/d/11923uPwbBZFjjGgGUA6NLw09EwE0CqkOc4q9oUmW1yo/edit?usp=sharing"",""ลำปาง!I74"")"),4)</f>
        <v>4</v>
      </c>
      <c r="J149" s="274">
        <f ca="1">IFERROR(__xludf.DUMMYFUNCTION("IMPORTRANGE(""https://docs.google.com/spreadsheets/d/11923uPwbBZFjjGgGUA6NLw09EwE0CqkOc4q9oUmW1yo/edit?usp=sharing"",""ลำปาง!J74"")"),1)</f>
        <v>1</v>
      </c>
      <c r="K149" s="275">
        <f ca="1">IF(I149&gt;0,J149*100/I149,0)</f>
        <v>25</v>
      </c>
      <c r="L149" s="276"/>
      <c r="M149" s="276"/>
      <c r="N149" s="276"/>
      <c r="O149" s="276"/>
      <c r="P149" s="276"/>
    </row>
    <row r="150" spans="1:16" ht="21.75" customHeight="1" x14ac:dyDescent="0.3">
      <c r="A150" s="156"/>
      <c r="B150" s="157"/>
      <c r="C150" s="157" t="s">
        <v>16</v>
      </c>
      <c r="D150" s="158" t="s">
        <v>38</v>
      </c>
      <c r="E150" s="159"/>
      <c r="F150" s="159"/>
      <c r="G150" s="160" t="s">
        <v>39</v>
      </c>
      <c r="H150" s="161" t="s">
        <v>12</v>
      </c>
      <c r="I150" s="162" t="s">
        <v>40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3">
      <c r="A151" s="156"/>
      <c r="B151" s="157"/>
      <c r="C151" s="157"/>
      <c r="D151" s="166"/>
      <c r="E151" s="159"/>
      <c r="F151" s="159" t="s">
        <v>40</v>
      </c>
      <c r="G151" s="160" t="s">
        <v>41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3">
      <c r="A152" s="156"/>
      <c r="B152" s="157"/>
      <c r="C152" s="157"/>
      <c r="D152" s="166"/>
      <c r="E152" s="159"/>
      <c r="F152" s="159"/>
      <c r="G152" s="169" t="s">
        <v>43</v>
      </c>
      <c r="H152" s="161" t="s">
        <v>12</v>
      </c>
      <c r="I152" s="162"/>
      <c r="J152" s="162"/>
      <c r="K152" s="163"/>
      <c r="L152" s="168"/>
      <c r="M152" s="168"/>
      <c r="N152" s="167"/>
      <c r="O152" s="168"/>
      <c r="P152" s="168"/>
    </row>
    <row r="153" spans="1:16" ht="21.75" customHeight="1" x14ac:dyDescent="0.3">
      <c r="A153" s="175"/>
      <c r="B153" s="176"/>
      <c r="C153" s="157" t="s">
        <v>16</v>
      </c>
      <c r="D153" s="177" t="s">
        <v>44</v>
      </c>
      <c r="E153" s="178"/>
      <c r="F153" s="178"/>
      <c r="G153" s="179"/>
      <c r="H153" s="180"/>
      <c r="I153" s="162"/>
      <c r="J153" s="162"/>
      <c r="K153" s="163"/>
      <c r="L153" s="181"/>
      <c r="M153" s="181"/>
      <c r="N153" s="181"/>
      <c r="O153" s="181"/>
      <c r="P153" s="181"/>
    </row>
    <row r="154" spans="1:16" ht="21.75" customHeight="1" x14ac:dyDescent="0.3">
      <c r="A154" s="175"/>
      <c r="B154" s="176"/>
      <c r="C154" s="176"/>
      <c r="D154" s="182">
        <v>1</v>
      </c>
      <c r="E154" s="183" t="s">
        <v>45</v>
      </c>
      <c r="F154" s="184"/>
      <c r="G154" s="185"/>
      <c r="H154" s="186"/>
      <c r="I154" s="187"/>
      <c r="J154" s="188">
        <f ca="1">IFERROR(__xludf.DUMMYFUNCTION("IMPORTRANGE(""https://docs.google.com/spreadsheets/d/11923uPwbBZFjjGgGUA6NLw09EwE0CqkOc4q9oUmW1yo/edit?usp=sharing"",""ลำปาง!J79"")"),0)</f>
        <v>0</v>
      </c>
      <c r="K154" s="163"/>
      <c r="L154" s="181"/>
      <c r="M154" s="181"/>
      <c r="N154" s="181"/>
      <c r="O154" s="181"/>
      <c r="P154" s="181"/>
    </row>
    <row r="155" spans="1:16" ht="21.75" customHeight="1" x14ac:dyDescent="0.3">
      <c r="A155" s="175"/>
      <c r="B155" s="176"/>
      <c r="C155" s="176"/>
      <c r="D155" s="189">
        <v>2</v>
      </c>
      <c r="E155" s="190" t="s">
        <v>46</v>
      </c>
      <c r="F155" s="191"/>
      <c r="G155" s="192"/>
      <c r="H155" s="186"/>
      <c r="I155" s="187"/>
      <c r="J155" s="197">
        <f ca="1">IFERROR(__xludf.DUMMYFUNCTION("IMPORTRANGE(""https://docs.google.com/spreadsheets/d/11923uPwbBZFjjGgGUA6NLw09EwE0CqkOc4q9oUmW1yo/edit?usp=sharing"",""ลำปาง!J80"")"),1)</f>
        <v>1</v>
      </c>
      <c r="K155" s="163"/>
      <c r="L155" s="181"/>
      <c r="M155" s="181"/>
      <c r="N155" s="181"/>
      <c r="O155" s="181"/>
      <c r="P155" s="181"/>
    </row>
    <row r="156" spans="1:16" ht="21.75" customHeight="1" x14ac:dyDescent="0.3">
      <c r="A156" s="175"/>
      <c r="B156" s="176"/>
      <c r="C156" s="176"/>
      <c r="D156" s="193"/>
      <c r="E156" s="194" t="s">
        <v>47</v>
      </c>
      <c r="F156" s="195"/>
      <c r="G156" s="196"/>
      <c r="H156" s="186"/>
      <c r="I156" s="187"/>
      <c r="J156" s="197">
        <f ca="1">IFERROR(__xludf.DUMMYFUNCTION("IMPORTRANGE(""https://docs.google.com/spreadsheets/d/11923uPwbBZFjjGgGUA6NLw09EwE0CqkOc4q9oUmW1yo/edit?usp=sharing"",""ลำปาง!J81"")"),0)</f>
        <v>0</v>
      </c>
      <c r="K156" s="163"/>
      <c r="L156" s="181"/>
      <c r="M156" s="181"/>
      <c r="N156" s="181"/>
      <c r="O156" s="181"/>
      <c r="P156" s="181"/>
    </row>
    <row r="157" spans="1:16" ht="21.75" customHeight="1" x14ac:dyDescent="0.3">
      <c r="A157" s="175"/>
      <c r="B157" s="176"/>
      <c r="C157" s="176"/>
      <c r="D157" s="193"/>
      <c r="E157" s="194" t="s">
        <v>48</v>
      </c>
      <c r="F157" s="195"/>
      <c r="G157" s="196"/>
      <c r="H157" s="186"/>
      <c r="I157" s="187"/>
      <c r="J157" s="197">
        <f ca="1">IFERROR(__xludf.DUMMYFUNCTION("IMPORTRANGE(""https://docs.google.com/spreadsheets/d/11923uPwbBZFjjGgGUA6NLw09EwE0CqkOc4q9oUmW1yo/edit?usp=sharing"",""ลำปาง!J82"")"),0)</f>
        <v>0</v>
      </c>
      <c r="K157" s="163"/>
      <c r="L157" s="181"/>
      <c r="M157" s="181"/>
      <c r="N157" s="181"/>
      <c r="O157" s="181"/>
      <c r="P157" s="181"/>
    </row>
    <row r="158" spans="1:16" ht="21.75" customHeight="1" x14ac:dyDescent="0.3">
      <c r="A158" s="175"/>
      <c r="B158" s="176"/>
      <c r="C158" s="176"/>
      <c r="D158" s="193"/>
      <c r="E158" s="198"/>
      <c r="F158" s="194" t="s">
        <v>78</v>
      </c>
      <c r="G158" s="196"/>
      <c r="H158" s="180" t="s">
        <v>77</v>
      </c>
      <c r="I158" s="187">
        <f ca="1">IFERROR(__xludf.DUMMYFUNCTION("IMPORTRANGE(""https://docs.google.com/spreadsheets/d/11923uPwbBZFjjGgGUA6NLw09EwE0CqkOc4q9oUmW1yo/edit?usp=sharing"",""ลำปาง!I83"")"),4)</f>
        <v>4</v>
      </c>
      <c r="J158" s="188">
        <f ca="1">IFERROR(__xludf.DUMMYFUNCTION("IMPORTRANGE(""https://docs.google.com/spreadsheets/d/11923uPwbBZFjjGgGUA6NLw09EwE0CqkOc4q9oUmW1yo/edit?usp=sharing"",""ลำปาง!J83"")"),1)</f>
        <v>1</v>
      </c>
      <c r="K158" s="163">
        <f ca="1">IF(I158&gt;0,J158*100/I158,0)</f>
        <v>25</v>
      </c>
      <c r="L158" s="181"/>
      <c r="M158" s="181"/>
      <c r="N158" s="181"/>
      <c r="O158" s="181"/>
      <c r="P158" s="181"/>
    </row>
    <row r="159" spans="1:16" ht="21.75" customHeight="1" x14ac:dyDescent="0.3">
      <c r="A159" s="175"/>
      <c r="B159" s="176"/>
      <c r="C159" s="176"/>
      <c r="D159" s="193"/>
      <c r="E159" s="195"/>
      <c r="F159" s="277" t="s">
        <v>79</v>
      </c>
      <c r="G159" s="196"/>
      <c r="H159" s="278" t="s">
        <v>37</v>
      </c>
      <c r="I159" s="187"/>
      <c r="J159" s="203">
        <f ca="1">IFERROR(__xludf.DUMMYFUNCTION("IMPORTRANGE(""https://docs.google.com/spreadsheets/d/11923uPwbBZFjjGgGUA6NLw09EwE0CqkOc4q9oUmW1yo/edit?usp=sharing"",""ลำปาง!J84"")"),34)</f>
        <v>34</v>
      </c>
      <c r="K159" s="163"/>
      <c r="L159" s="181"/>
      <c r="M159" s="181"/>
      <c r="N159" s="181"/>
      <c r="O159" s="181"/>
      <c r="P159" s="181"/>
    </row>
    <row r="160" spans="1:16" ht="21.75" customHeight="1" x14ac:dyDescent="0.45">
      <c r="A160" s="175"/>
      <c r="B160" s="176"/>
      <c r="C160" s="176"/>
      <c r="D160" s="193"/>
      <c r="E160" s="195"/>
      <c r="F160" s="195"/>
      <c r="G160" s="279" t="s">
        <v>80</v>
      </c>
      <c r="H160" s="278" t="s">
        <v>37</v>
      </c>
      <c r="I160" s="187"/>
      <c r="J160" s="280">
        <f ca="1">IFERROR(__xludf.DUMMYFUNCTION("IMPORTRANGE(""https://docs.google.com/spreadsheets/d/11923uPwbBZFjjGgGUA6NLw09EwE0CqkOc4q9oUmW1yo/edit?usp=sharing"",""ลำปาง!J85"")"),34)</f>
        <v>34</v>
      </c>
      <c r="K160" s="163"/>
      <c r="L160" s="181"/>
      <c r="M160" s="181"/>
      <c r="N160" s="181"/>
      <c r="O160" s="181"/>
      <c r="P160" s="181"/>
    </row>
    <row r="161" spans="1:16" ht="21.75" customHeight="1" x14ac:dyDescent="0.45">
      <c r="A161" s="175"/>
      <c r="B161" s="176"/>
      <c r="C161" s="176"/>
      <c r="D161" s="193"/>
      <c r="E161" s="195"/>
      <c r="F161" s="195"/>
      <c r="G161" s="279" t="s">
        <v>81</v>
      </c>
      <c r="H161" s="278" t="s">
        <v>37</v>
      </c>
      <c r="I161" s="187"/>
      <c r="J161" s="280">
        <f ca="1">IFERROR(__xludf.DUMMYFUNCTION("IMPORTRANGE(""https://docs.google.com/spreadsheets/d/11923uPwbBZFjjGgGUA6NLw09EwE0CqkOc4q9oUmW1yo/edit?usp=sharing"",""ลำปาง!J86"")"),0)</f>
        <v>0</v>
      </c>
      <c r="K161" s="163"/>
      <c r="L161" s="181"/>
      <c r="M161" s="181"/>
      <c r="N161" s="181"/>
      <c r="O161" s="181"/>
      <c r="P161" s="181"/>
    </row>
    <row r="162" spans="1:16" ht="21.75" customHeight="1" x14ac:dyDescent="0.3">
      <c r="A162" s="175"/>
      <c r="B162" s="176"/>
      <c r="C162" s="176"/>
      <c r="D162" s="193"/>
      <c r="E162" s="194" t="s">
        <v>54</v>
      </c>
      <c r="F162" s="195"/>
      <c r="G162" s="196"/>
      <c r="H162" s="186"/>
      <c r="I162" s="187"/>
      <c r="J162" s="197">
        <f ca="1">IFERROR(__xludf.DUMMYFUNCTION("IMPORTRANGE(""https://docs.google.com/spreadsheets/d/11923uPwbBZFjjGgGUA6NLw09EwE0CqkOc4q9oUmW1yo/edit?usp=sharing"",""ลำปาง!J87"")"),0)</f>
        <v>0</v>
      </c>
      <c r="K162" s="163"/>
      <c r="L162" s="181"/>
      <c r="M162" s="181"/>
      <c r="N162" s="181"/>
      <c r="O162" s="181"/>
      <c r="P162" s="181"/>
    </row>
    <row r="163" spans="1:16" ht="21.75" customHeight="1" x14ac:dyDescent="0.3">
      <c r="A163" s="175"/>
      <c r="B163" s="176"/>
      <c r="C163" s="176"/>
      <c r="D163" s="205">
        <v>3</v>
      </c>
      <c r="E163" s="206" t="s">
        <v>55</v>
      </c>
      <c r="F163" s="207"/>
      <c r="G163" s="208"/>
      <c r="H163" s="186"/>
      <c r="I163" s="187"/>
      <c r="J163" s="209">
        <f ca="1">IFERROR(__xludf.DUMMYFUNCTION("IMPORTRANGE(""https://docs.google.com/spreadsheets/d/11923uPwbBZFjjGgGUA6NLw09EwE0CqkOc4q9oUmW1yo/edit?usp=sharing"",""ลำปาง!J88"")"),0)</f>
        <v>0</v>
      </c>
      <c r="K163" s="163"/>
      <c r="L163" s="181"/>
      <c r="M163" s="181"/>
      <c r="N163" s="181"/>
      <c r="O163" s="181"/>
      <c r="P163" s="181"/>
    </row>
    <row r="164" spans="1:16" ht="21.75" customHeight="1" x14ac:dyDescent="0.3">
      <c r="A164" s="269"/>
      <c r="B164" s="270"/>
      <c r="C164" s="271" t="s">
        <v>82</v>
      </c>
      <c r="D164" s="271"/>
      <c r="E164" s="271"/>
      <c r="F164" s="271"/>
      <c r="G164" s="272"/>
      <c r="H164" s="281" t="s">
        <v>83</v>
      </c>
      <c r="I164" s="282">
        <f ca="1">IFERROR(__xludf.DUMMYFUNCTION("IMPORTRANGE(""https://docs.google.com/spreadsheets/d/11923uPwbBZFjjGgGUA6NLw09EwE0CqkOc4q9oUmW1yo/edit?usp=sharing"",""ลำปาง!I89"")"),3)</f>
        <v>3</v>
      </c>
      <c r="J164" s="282">
        <f ca="1">IFERROR(__xludf.DUMMYFUNCTION("IMPORTRANGE(""https://docs.google.com/spreadsheets/d/11923uPwbBZFjjGgGUA6NLw09EwE0CqkOc4q9oUmW1yo/edit?usp=sharing"",""ลำปาง!J89"")"),3)</f>
        <v>3</v>
      </c>
      <c r="K164" s="283">
        <f ca="1">IF(I164&gt;0,J164*100/I164,0)</f>
        <v>100</v>
      </c>
      <c r="L164" s="276"/>
      <c r="M164" s="276"/>
      <c r="N164" s="276"/>
      <c r="O164" s="276"/>
      <c r="P164" s="276"/>
    </row>
    <row r="165" spans="1:16" ht="21.75" customHeight="1" x14ac:dyDescent="0.3">
      <c r="A165" s="156"/>
      <c r="B165" s="157"/>
      <c r="C165" s="157" t="s">
        <v>16</v>
      </c>
      <c r="D165" s="158" t="s">
        <v>38</v>
      </c>
      <c r="E165" s="159"/>
      <c r="F165" s="159"/>
      <c r="G165" s="160" t="s">
        <v>39</v>
      </c>
      <c r="H165" s="161" t="s">
        <v>12</v>
      </c>
      <c r="I165" s="162" t="s">
        <v>40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3">
      <c r="A166" s="156"/>
      <c r="B166" s="157"/>
      <c r="C166" s="157"/>
      <c r="D166" s="166"/>
      <c r="E166" s="159"/>
      <c r="F166" s="159" t="s">
        <v>40</v>
      </c>
      <c r="G166" s="160" t="s">
        <v>41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3">
      <c r="A167" s="156"/>
      <c r="B167" s="157"/>
      <c r="C167" s="157"/>
      <c r="D167" s="166"/>
      <c r="E167" s="159"/>
      <c r="F167" s="159"/>
      <c r="G167" s="169" t="s">
        <v>43</v>
      </c>
      <c r="H167" s="161" t="s">
        <v>12</v>
      </c>
      <c r="I167" s="162"/>
      <c r="J167" s="162"/>
      <c r="K167" s="163"/>
      <c r="L167" s="168"/>
      <c r="M167" s="168"/>
      <c r="N167" s="167"/>
      <c r="O167" s="168"/>
      <c r="P167" s="168"/>
    </row>
    <row r="168" spans="1:16" ht="21.75" customHeight="1" x14ac:dyDescent="0.3">
      <c r="A168" s="175"/>
      <c r="B168" s="176"/>
      <c r="C168" s="157" t="s">
        <v>16</v>
      </c>
      <c r="D168" s="177" t="s">
        <v>44</v>
      </c>
      <c r="E168" s="178"/>
      <c r="F168" s="178"/>
      <c r="G168" s="179"/>
      <c r="H168" s="180"/>
      <c r="I168" s="162"/>
      <c r="J168" s="162"/>
      <c r="K168" s="163"/>
      <c r="L168" s="181"/>
      <c r="M168" s="181"/>
      <c r="N168" s="181"/>
      <c r="O168" s="181"/>
      <c r="P168" s="181"/>
    </row>
    <row r="169" spans="1:16" ht="21.75" customHeight="1" x14ac:dyDescent="0.3">
      <c r="A169" s="175"/>
      <c r="B169" s="176"/>
      <c r="C169" s="176"/>
      <c r="D169" s="182">
        <v>1</v>
      </c>
      <c r="E169" s="183" t="s">
        <v>45</v>
      </c>
      <c r="F169" s="184"/>
      <c r="G169" s="185"/>
      <c r="H169" s="186"/>
      <c r="I169" s="187"/>
      <c r="J169" s="188">
        <f ca="1">IFERROR(__xludf.DUMMYFUNCTION("IMPORTRANGE(""https://docs.google.com/spreadsheets/d/11923uPwbBZFjjGgGUA6NLw09EwE0CqkOc4q9oUmW1yo/edit?usp=sharing"",""ลำปาง!J94"")"),0)</f>
        <v>0</v>
      </c>
      <c r="K169" s="163"/>
      <c r="L169" s="181"/>
      <c r="M169" s="181"/>
      <c r="N169" s="181"/>
      <c r="O169" s="181"/>
      <c r="P169" s="181"/>
    </row>
    <row r="170" spans="1:16" ht="21.75" customHeight="1" x14ac:dyDescent="0.3">
      <c r="A170" s="175"/>
      <c r="B170" s="176"/>
      <c r="C170" s="176"/>
      <c r="D170" s="189">
        <v>2</v>
      </c>
      <c r="E170" s="190" t="s">
        <v>46</v>
      </c>
      <c r="F170" s="191"/>
      <c r="G170" s="192"/>
      <c r="H170" s="186"/>
      <c r="I170" s="187"/>
      <c r="J170" s="197">
        <f ca="1">IFERROR(__xludf.DUMMYFUNCTION("IMPORTRANGE(""https://docs.google.com/spreadsheets/d/11923uPwbBZFjjGgGUA6NLw09EwE0CqkOc4q9oUmW1yo/edit?usp=sharing"",""ลำปาง!J95"")"),1)</f>
        <v>1</v>
      </c>
      <c r="K170" s="163"/>
      <c r="L170" s="181"/>
      <c r="M170" s="181"/>
      <c r="N170" s="181"/>
      <c r="O170" s="181"/>
      <c r="P170" s="181"/>
    </row>
    <row r="171" spans="1:16" ht="21.75" customHeight="1" x14ac:dyDescent="0.3">
      <c r="A171" s="175"/>
      <c r="B171" s="176"/>
      <c r="C171" s="176"/>
      <c r="D171" s="193"/>
      <c r="E171" s="194" t="s">
        <v>47</v>
      </c>
      <c r="F171" s="195"/>
      <c r="G171" s="196"/>
      <c r="H171" s="186"/>
      <c r="I171" s="187"/>
      <c r="J171" s="197">
        <f ca="1">IFERROR(__xludf.DUMMYFUNCTION("IMPORTRANGE(""https://docs.google.com/spreadsheets/d/11923uPwbBZFjjGgGUA6NLw09EwE0CqkOc4q9oUmW1yo/edit?usp=sharing"",""ลำปาง!J96"")"),1)</f>
        <v>1</v>
      </c>
      <c r="K171" s="163"/>
      <c r="L171" s="181"/>
      <c r="M171" s="181"/>
      <c r="N171" s="181"/>
      <c r="O171" s="181"/>
      <c r="P171" s="181"/>
    </row>
    <row r="172" spans="1:16" ht="21.75" customHeight="1" x14ac:dyDescent="0.3">
      <c r="A172" s="175"/>
      <c r="B172" s="176"/>
      <c r="C172" s="176"/>
      <c r="D172" s="193"/>
      <c r="E172" s="194" t="s">
        <v>48</v>
      </c>
      <c r="F172" s="195"/>
      <c r="G172" s="196"/>
      <c r="H172" s="186"/>
      <c r="I172" s="187"/>
      <c r="J172" s="197">
        <f ca="1">IFERROR(__xludf.DUMMYFUNCTION("IMPORTRANGE(""https://docs.google.com/spreadsheets/d/11923uPwbBZFjjGgGUA6NLw09EwE0CqkOc4q9oUmW1yo/edit?usp=sharing"",""ลำปาง!J97"")"),1)</f>
        <v>1</v>
      </c>
      <c r="K172" s="163"/>
      <c r="L172" s="181"/>
      <c r="M172" s="181"/>
      <c r="N172" s="181"/>
      <c r="O172" s="181"/>
      <c r="P172" s="181"/>
    </row>
    <row r="173" spans="1:16" ht="21.75" customHeight="1" x14ac:dyDescent="0.3">
      <c r="A173" s="175"/>
      <c r="B173" s="176"/>
      <c r="C173" s="176"/>
      <c r="D173" s="193"/>
      <c r="E173" s="198"/>
      <c r="F173" s="204" t="s">
        <v>84</v>
      </c>
      <c r="G173" s="196"/>
      <c r="H173" s="180" t="s">
        <v>83</v>
      </c>
      <c r="I173" s="187">
        <f ca="1">IFERROR(__xludf.DUMMYFUNCTION("IMPORTRANGE(""https://docs.google.com/spreadsheets/d/11923uPwbBZFjjGgGUA6NLw09EwE0CqkOc4q9oUmW1yo/edit?usp=sharing"",""ลำปาง!I98"")"),3)</f>
        <v>3</v>
      </c>
      <c r="J173" s="188">
        <f ca="1">IFERROR(__xludf.DUMMYFUNCTION("IMPORTRANGE(""https://docs.google.com/spreadsheets/d/11923uPwbBZFjjGgGUA6NLw09EwE0CqkOc4q9oUmW1yo/edit?usp=sharing"",""ลำปาง!J98"")"),3)</f>
        <v>3</v>
      </c>
      <c r="K173" s="163">
        <f ca="1">IF(I173&gt;0,J173*100/I173,0)</f>
        <v>100</v>
      </c>
      <c r="L173" s="168"/>
      <c r="M173" s="168"/>
      <c r="N173" s="167"/>
      <c r="O173" s="168"/>
      <c r="P173" s="168"/>
    </row>
    <row r="174" spans="1:16" ht="21.75" customHeight="1" x14ac:dyDescent="0.3">
      <c r="A174" s="175"/>
      <c r="B174" s="176"/>
      <c r="C174" s="176"/>
      <c r="D174" s="193"/>
      <c r="E174" s="194" t="s">
        <v>54</v>
      </c>
      <c r="F174" s="195"/>
      <c r="G174" s="196"/>
      <c r="H174" s="186"/>
      <c r="I174" s="187"/>
      <c r="J174" s="197">
        <f ca="1">IFERROR(__xludf.DUMMYFUNCTION("IMPORTRANGE(""https://docs.google.com/spreadsheets/d/11923uPwbBZFjjGgGUA6NLw09EwE0CqkOc4q9oUmW1yo/edit?usp=sharing"",""ลำปาง!J99"")"),0)</f>
        <v>0</v>
      </c>
      <c r="K174" s="163"/>
      <c r="L174" s="181"/>
      <c r="M174" s="181"/>
      <c r="N174" s="181"/>
      <c r="O174" s="181"/>
      <c r="P174" s="181"/>
    </row>
    <row r="175" spans="1:16" ht="21.75" customHeight="1" x14ac:dyDescent="0.3">
      <c r="A175" s="175"/>
      <c r="B175" s="176"/>
      <c r="C175" s="176"/>
      <c r="D175" s="205">
        <v>3</v>
      </c>
      <c r="E175" s="206" t="s">
        <v>55</v>
      </c>
      <c r="F175" s="207"/>
      <c r="G175" s="208"/>
      <c r="H175" s="186"/>
      <c r="I175" s="187"/>
      <c r="J175" s="209">
        <f ca="1">IFERROR(__xludf.DUMMYFUNCTION("IMPORTRANGE(""https://docs.google.com/spreadsheets/d/11923uPwbBZFjjGgGUA6NLw09EwE0CqkOc4q9oUmW1yo/edit?usp=sharing"",""ลำปาง!J100"")"),0)</f>
        <v>0</v>
      </c>
      <c r="K175" s="163"/>
      <c r="L175" s="181"/>
      <c r="M175" s="181"/>
      <c r="N175" s="181"/>
      <c r="O175" s="181"/>
      <c r="P175" s="181"/>
    </row>
    <row r="176" spans="1:16" ht="21.75" customHeight="1" x14ac:dyDescent="0.3">
      <c r="A176" s="269"/>
      <c r="B176" s="270"/>
      <c r="C176" s="271" t="s">
        <v>85</v>
      </c>
      <c r="D176" s="271"/>
      <c r="E176" s="271"/>
      <c r="F176" s="271"/>
      <c r="G176" s="272"/>
      <c r="H176" s="281" t="s">
        <v>83</v>
      </c>
      <c r="I176" s="282">
        <f ca="1">IFERROR(__xludf.DUMMYFUNCTION("IMPORTRANGE(""https://docs.google.com/spreadsheets/d/11923uPwbBZFjjGgGUA6NLw09EwE0CqkOc4q9oUmW1yo/edit?usp=sharing"",""ลำปาง!I101"")"),0)</f>
        <v>0</v>
      </c>
      <c r="J176" s="282">
        <f ca="1">IFERROR(__xludf.DUMMYFUNCTION("IMPORTRANGE(""https://docs.google.com/spreadsheets/d/11923uPwbBZFjjGgGUA6NLw09EwE0CqkOc4q9oUmW1yo/edit?usp=sharing"",""ลำปาง!J101"")"),0)</f>
        <v>0</v>
      </c>
      <c r="K176" s="283">
        <f ca="1">IF(I176&gt;0,J176*100/I176,0)</f>
        <v>0</v>
      </c>
      <c r="L176" s="276"/>
      <c r="M176" s="276"/>
      <c r="N176" s="276"/>
      <c r="O176" s="276"/>
      <c r="P176" s="276"/>
    </row>
    <row r="177" spans="1:16" ht="21.75" customHeight="1" x14ac:dyDescent="0.3">
      <c r="A177" s="156"/>
      <c r="B177" s="157"/>
      <c r="C177" s="157" t="s">
        <v>16</v>
      </c>
      <c r="D177" s="158" t="s">
        <v>38</v>
      </c>
      <c r="E177" s="159"/>
      <c r="F177" s="159"/>
      <c r="G177" s="160" t="s">
        <v>39</v>
      </c>
      <c r="H177" s="161" t="s">
        <v>12</v>
      </c>
      <c r="I177" s="162" t="s">
        <v>40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3">
      <c r="A178" s="156"/>
      <c r="B178" s="157"/>
      <c r="C178" s="157"/>
      <c r="D178" s="166"/>
      <c r="E178" s="159"/>
      <c r="F178" s="159" t="s">
        <v>40</v>
      </c>
      <c r="G178" s="160" t="s">
        <v>41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3">
      <c r="A179" s="156"/>
      <c r="B179" s="157"/>
      <c r="C179" s="157"/>
      <c r="D179" s="166"/>
      <c r="E179" s="159"/>
      <c r="F179" s="159"/>
      <c r="G179" s="169" t="s">
        <v>43</v>
      </c>
      <c r="H179" s="161" t="s">
        <v>12</v>
      </c>
      <c r="I179" s="162"/>
      <c r="J179" s="187"/>
      <c r="K179" s="223"/>
      <c r="L179" s="168"/>
      <c r="M179" s="168"/>
      <c r="N179" s="167"/>
      <c r="O179" s="168"/>
      <c r="P179" s="168"/>
    </row>
    <row r="180" spans="1:16" ht="21.75" customHeight="1" x14ac:dyDescent="0.3">
      <c r="A180" s="175"/>
      <c r="B180" s="176"/>
      <c r="C180" s="157" t="s">
        <v>16</v>
      </c>
      <c r="D180" s="177" t="s">
        <v>44</v>
      </c>
      <c r="E180" s="178"/>
      <c r="F180" s="178"/>
      <c r="G180" s="179"/>
      <c r="H180" s="180"/>
      <c r="I180" s="162"/>
      <c r="J180" s="187"/>
      <c r="K180" s="223"/>
      <c r="L180" s="168"/>
      <c r="M180" s="168"/>
      <c r="N180" s="168"/>
      <c r="O180" s="181"/>
      <c r="P180" s="181"/>
    </row>
    <row r="181" spans="1:16" ht="21.75" customHeight="1" x14ac:dyDescent="0.3">
      <c r="A181" s="175"/>
      <c r="B181" s="176"/>
      <c r="C181" s="176"/>
      <c r="D181" s="182">
        <v>1</v>
      </c>
      <c r="E181" s="183" t="s">
        <v>45</v>
      </c>
      <c r="F181" s="184"/>
      <c r="G181" s="185"/>
      <c r="H181" s="186"/>
      <c r="I181" s="187"/>
      <c r="J181" s="187">
        <f ca="1">IFERROR(__xludf.DUMMYFUNCTION("IMPORTRANGE(""https://docs.google.com/spreadsheets/d/11923uPwbBZFjjGgGUA6NLw09EwE0CqkOc4q9oUmW1yo/edit?usp=sharing"",""ลำปาง!J106"")"),0)</f>
        <v>0</v>
      </c>
      <c r="K181" s="223"/>
      <c r="L181" s="168"/>
      <c r="M181" s="168"/>
      <c r="N181" s="168"/>
      <c r="O181" s="181"/>
      <c r="P181" s="181"/>
    </row>
    <row r="182" spans="1:16" ht="21.75" customHeight="1" x14ac:dyDescent="0.3">
      <c r="A182" s="175"/>
      <c r="B182" s="176"/>
      <c r="C182" s="176"/>
      <c r="D182" s="189">
        <v>2</v>
      </c>
      <c r="E182" s="190" t="s">
        <v>46</v>
      </c>
      <c r="F182" s="191"/>
      <c r="G182" s="192"/>
      <c r="H182" s="186"/>
      <c r="I182" s="187"/>
      <c r="J182" s="187">
        <f ca="1">IFERROR(__xludf.DUMMYFUNCTION("IMPORTRANGE(""https://docs.google.com/spreadsheets/d/11923uPwbBZFjjGgGUA6NLw09EwE0CqkOc4q9oUmW1yo/edit?usp=sharing"",""ลำปาง!J107"")"),0)</f>
        <v>0</v>
      </c>
      <c r="K182" s="223"/>
      <c r="L182" s="168"/>
      <c r="M182" s="168"/>
      <c r="N182" s="168"/>
      <c r="O182" s="181"/>
      <c r="P182" s="181"/>
    </row>
    <row r="183" spans="1:16" ht="21.75" customHeight="1" x14ac:dyDescent="0.3">
      <c r="A183" s="175"/>
      <c r="B183" s="176"/>
      <c r="C183" s="176"/>
      <c r="D183" s="193"/>
      <c r="E183" s="194" t="s">
        <v>47</v>
      </c>
      <c r="F183" s="195"/>
      <c r="G183" s="196"/>
      <c r="H183" s="186"/>
      <c r="I183" s="187"/>
      <c r="J183" s="187">
        <f ca="1">IFERROR(__xludf.DUMMYFUNCTION("IMPORTRANGE(""https://docs.google.com/spreadsheets/d/11923uPwbBZFjjGgGUA6NLw09EwE0CqkOc4q9oUmW1yo/edit?usp=sharing"",""ลำปาง!J108"")"),0)</f>
        <v>0</v>
      </c>
      <c r="K183" s="223"/>
      <c r="L183" s="168"/>
      <c r="M183" s="168"/>
      <c r="N183" s="168"/>
      <c r="O183" s="181"/>
      <c r="P183" s="181"/>
    </row>
    <row r="184" spans="1:16" ht="21.75" customHeight="1" x14ac:dyDescent="0.3">
      <c r="A184" s="175"/>
      <c r="B184" s="176"/>
      <c r="C184" s="176"/>
      <c r="D184" s="193"/>
      <c r="E184" s="194" t="s">
        <v>48</v>
      </c>
      <c r="F184" s="195"/>
      <c r="G184" s="196"/>
      <c r="H184" s="186"/>
      <c r="I184" s="187"/>
      <c r="J184" s="187">
        <f ca="1">IFERROR(__xludf.DUMMYFUNCTION("IMPORTRANGE(""https://docs.google.com/spreadsheets/d/11923uPwbBZFjjGgGUA6NLw09EwE0CqkOc4q9oUmW1yo/edit?usp=sharing"",""ลำปาง!J109"")"),0)</f>
        <v>0</v>
      </c>
      <c r="K184" s="223"/>
      <c r="L184" s="168"/>
      <c r="M184" s="168"/>
      <c r="N184" s="168"/>
      <c r="O184" s="181"/>
      <c r="P184" s="181"/>
    </row>
    <row r="185" spans="1:16" ht="21.75" customHeight="1" x14ac:dyDescent="0.3">
      <c r="A185" s="175"/>
      <c r="B185" s="176"/>
      <c r="C185" s="176"/>
      <c r="D185" s="193"/>
      <c r="E185" s="198"/>
      <c r="F185" s="194" t="s">
        <v>86</v>
      </c>
      <c r="G185" s="196"/>
      <c r="H185" s="180" t="s">
        <v>83</v>
      </c>
      <c r="I185" s="187">
        <f ca="1">IFERROR(__xludf.DUMMYFUNCTION("IMPORTRANGE(""https://docs.google.com/spreadsheets/d/11923uPwbBZFjjGgGUA6NLw09EwE0CqkOc4q9oUmW1yo/edit?usp=sharing"",""ลำปาง!I110"")"),0)</f>
        <v>0</v>
      </c>
      <c r="J185" s="203">
        <f ca="1">IFERROR(__xludf.DUMMYFUNCTION("IMPORTRANGE(""https://docs.google.com/spreadsheets/d/11923uPwbBZFjjGgGUA6NLw09EwE0CqkOc4q9oUmW1yo/edit?usp=sharing"",""ลำปาง!J110"")"),0)</f>
        <v>0</v>
      </c>
      <c r="K185" s="223">
        <f t="shared" ref="K185:K186" ca="1" si="69">IF(I185&gt;0,J185*100/I185,0)</f>
        <v>0</v>
      </c>
      <c r="L185" s="168"/>
      <c r="M185" s="168"/>
      <c r="N185" s="167"/>
      <c r="O185" s="168"/>
      <c r="P185" s="168"/>
    </row>
    <row r="186" spans="1:16" ht="21.75" customHeight="1" x14ac:dyDescent="0.3">
      <c r="A186" s="175"/>
      <c r="B186" s="176"/>
      <c r="C186" s="176"/>
      <c r="D186" s="193"/>
      <c r="E186" s="198"/>
      <c r="F186" s="194" t="s">
        <v>87</v>
      </c>
      <c r="G186" s="196"/>
      <c r="H186" s="180" t="s">
        <v>83</v>
      </c>
      <c r="I186" s="187">
        <f ca="1">IFERROR(__xludf.DUMMYFUNCTION("IMPORTRANGE(""https://docs.google.com/spreadsheets/d/11923uPwbBZFjjGgGUA6NLw09EwE0CqkOc4q9oUmW1yo/edit?usp=sharing"",""ลำปาง!I111"")"),0)</f>
        <v>0</v>
      </c>
      <c r="J186" s="203">
        <f ca="1">IFERROR(__xludf.DUMMYFUNCTION("IMPORTRANGE(""https://docs.google.com/spreadsheets/d/11923uPwbBZFjjGgGUA6NLw09EwE0CqkOc4q9oUmW1yo/edit?usp=sharing"",""ลำปาง!J111"")"),0)</f>
        <v>0</v>
      </c>
      <c r="K186" s="223">
        <f t="shared" ca="1" si="69"/>
        <v>0</v>
      </c>
      <c r="L186" s="168"/>
      <c r="M186" s="168"/>
      <c r="N186" s="167"/>
      <c r="O186" s="168"/>
      <c r="P186" s="168"/>
    </row>
    <row r="187" spans="1:16" ht="21.75" customHeight="1" x14ac:dyDescent="0.3">
      <c r="A187" s="175"/>
      <c r="B187" s="176"/>
      <c r="C187" s="176"/>
      <c r="D187" s="193"/>
      <c r="E187" s="194" t="s">
        <v>54</v>
      </c>
      <c r="F187" s="195"/>
      <c r="G187" s="196"/>
      <c r="H187" s="186"/>
      <c r="I187" s="187"/>
      <c r="J187" s="187">
        <f ca="1">IFERROR(__xludf.DUMMYFUNCTION("IMPORTRANGE(""https://docs.google.com/spreadsheets/d/11923uPwbBZFjjGgGUA6NLw09EwE0CqkOc4q9oUmW1yo/edit?usp=sharing"",""ลำปาง!J112"")"),0)</f>
        <v>0</v>
      </c>
      <c r="K187" s="223"/>
      <c r="L187" s="168"/>
      <c r="M187" s="168"/>
      <c r="N187" s="168"/>
      <c r="O187" s="181"/>
      <c r="P187" s="181"/>
    </row>
    <row r="188" spans="1:16" ht="21.75" customHeight="1" x14ac:dyDescent="0.3">
      <c r="A188" s="175"/>
      <c r="B188" s="176"/>
      <c r="C188" s="176"/>
      <c r="D188" s="205">
        <v>3</v>
      </c>
      <c r="E188" s="206" t="s">
        <v>55</v>
      </c>
      <c r="F188" s="207"/>
      <c r="G188" s="208"/>
      <c r="H188" s="186"/>
      <c r="I188" s="187"/>
      <c r="J188" s="226">
        <f ca="1">IFERROR(__xludf.DUMMYFUNCTION("IMPORTRANGE(""https://docs.google.com/spreadsheets/d/11923uPwbBZFjjGgGUA6NLw09EwE0CqkOc4q9oUmW1yo/edit?usp=sharing"",""ลำปาง!J113"")"),0)</f>
        <v>0</v>
      </c>
      <c r="K188" s="223"/>
      <c r="L188" s="168"/>
      <c r="M188" s="168"/>
      <c r="N188" s="168"/>
      <c r="O188" s="181"/>
      <c r="P188" s="181"/>
    </row>
    <row r="189" spans="1:16" ht="21.75" customHeight="1" x14ac:dyDescent="0.3">
      <c r="A189" s="269"/>
      <c r="B189" s="270"/>
      <c r="C189" s="271" t="s">
        <v>88</v>
      </c>
      <c r="D189" s="271"/>
      <c r="E189" s="271"/>
      <c r="F189" s="271"/>
      <c r="G189" s="272"/>
      <c r="H189" s="284" t="s">
        <v>89</v>
      </c>
      <c r="I189" s="282">
        <f ca="1">IFERROR(__xludf.DUMMYFUNCTION("IMPORTRANGE(""https://docs.google.com/spreadsheets/d/11923uPwbBZFjjGgGUA6NLw09EwE0CqkOc4q9oUmW1yo/edit?usp=sharing"",""ลำปาง!I114"")"),50000)</f>
        <v>50000</v>
      </c>
      <c r="J189" s="282">
        <f ca="1">IFERROR(__xludf.DUMMYFUNCTION("IMPORTRANGE(""https://docs.google.com/spreadsheets/d/11923uPwbBZFjjGgGUA6NLw09EwE0CqkOc4q9oUmW1yo/edit?usp=sharing"",""ลำปาง!J114"")"),0)</f>
        <v>0</v>
      </c>
      <c r="K189" s="283">
        <f ca="1">IF(I189&gt;0,J189*100/I189,0)</f>
        <v>0</v>
      </c>
      <c r="L189" s="276"/>
      <c r="M189" s="276"/>
      <c r="N189" s="276"/>
      <c r="O189" s="276"/>
      <c r="P189" s="276"/>
    </row>
    <row r="190" spans="1:16" ht="21.75" customHeight="1" x14ac:dyDescent="0.3">
      <c r="A190" s="156"/>
      <c r="B190" s="157"/>
      <c r="C190" s="157" t="s">
        <v>16</v>
      </c>
      <c r="D190" s="158" t="s">
        <v>38</v>
      </c>
      <c r="E190" s="159"/>
      <c r="F190" s="159"/>
      <c r="G190" s="160" t="s">
        <v>39</v>
      </c>
      <c r="H190" s="161" t="s">
        <v>12</v>
      </c>
      <c r="I190" s="162" t="s">
        <v>40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3">
      <c r="A191" s="156"/>
      <c r="B191" s="157"/>
      <c r="C191" s="157"/>
      <c r="D191" s="166"/>
      <c r="E191" s="159"/>
      <c r="F191" s="159" t="s">
        <v>40</v>
      </c>
      <c r="G191" s="160" t="s">
        <v>41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3">
      <c r="A192" s="156"/>
      <c r="B192" s="157"/>
      <c r="C192" s="157"/>
      <c r="D192" s="166"/>
      <c r="E192" s="159"/>
      <c r="F192" s="159"/>
      <c r="G192" s="169" t="s">
        <v>43</v>
      </c>
      <c r="H192" s="161" t="s">
        <v>12</v>
      </c>
      <c r="I192" s="162"/>
      <c r="J192" s="162"/>
      <c r="K192" s="163"/>
      <c r="L192" s="168"/>
      <c r="M192" s="168"/>
      <c r="N192" s="167"/>
      <c r="O192" s="168"/>
      <c r="P192" s="168"/>
    </row>
    <row r="193" spans="1:16" ht="21.75" customHeight="1" x14ac:dyDescent="0.3">
      <c r="A193" s="175"/>
      <c r="B193" s="176"/>
      <c r="C193" s="157" t="s">
        <v>16</v>
      </c>
      <c r="D193" s="177" t="s">
        <v>44</v>
      </c>
      <c r="E193" s="178"/>
      <c r="F193" s="178"/>
      <c r="G193" s="179"/>
      <c r="H193" s="180"/>
      <c r="I193" s="162"/>
      <c r="J193" s="162"/>
      <c r="K193" s="163"/>
      <c r="L193" s="181"/>
      <c r="M193" s="181"/>
      <c r="N193" s="181"/>
      <c r="O193" s="181"/>
      <c r="P193" s="181"/>
    </row>
    <row r="194" spans="1:16" ht="21.75" customHeight="1" x14ac:dyDescent="0.3">
      <c r="A194" s="175"/>
      <c r="B194" s="176"/>
      <c r="C194" s="176"/>
      <c r="D194" s="182">
        <v>1</v>
      </c>
      <c r="E194" s="183" t="s">
        <v>45</v>
      </c>
      <c r="F194" s="184"/>
      <c r="G194" s="185"/>
      <c r="H194" s="186"/>
      <c r="I194" s="187"/>
      <c r="J194" s="197">
        <f ca="1">IFERROR(__xludf.DUMMYFUNCTION("IMPORTRANGE(""https://docs.google.com/spreadsheets/d/11923uPwbBZFjjGgGUA6NLw09EwE0CqkOc4q9oUmW1yo/edit?usp=sharing"",""ลำปาง!J119"")"),0)</f>
        <v>0</v>
      </c>
      <c r="K194" s="163"/>
      <c r="L194" s="181"/>
      <c r="M194" s="181"/>
      <c r="N194" s="181"/>
      <c r="O194" s="181"/>
      <c r="P194" s="181"/>
    </row>
    <row r="195" spans="1:16" ht="21.75" customHeight="1" x14ac:dyDescent="0.3">
      <c r="A195" s="175"/>
      <c r="B195" s="176"/>
      <c r="C195" s="176"/>
      <c r="D195" s="189">
        <v>2</v>
      </c>
      <c r="E195" s="190" t="s">
        <v>46</v>
      </c>
      <c r="F195" s="191"/>
      <c r="G195" s="192"/>
      <c r="H195" s="186"/>
      <c r="I195" s="187"/>
      <c r="J195" s="188">
        <f ca="1">IFERROR(__xludf.DUMMYFUNCTION("IMPORTRANGE(""https://docs.google.com/spreadsheets/d/11923uPwbBZFjjGgGUA6NLw09EwE0CqkOc4q9oUmW1yo/edit?usp=sharing"",""ลำปาง!J120"")"),1)</f>
        <v>1</v>
      </c>
      <c r="K195" s="163"/>
      <c r="L195" s="181"/>
      <c r="M195" s="181"/>
      <c r="N195" s="181"/>
      <c r="O195" s="181"/>
      <c r="P195" s="181"/>
    </row>
    <row r="196" spans="1:16" ht="21.75" customHeight="1" x14ac:dyDescent="0.3">
      <c r="A196" s="175"/>
      <c r="B196" s="176"/>
      <c r="C196" s="176"/>
      <c r="D196" s="193"/>
      <c r="E196" s="194" t="s">
        <v>47</v>
      </c>
      <c r="F196" s="195"/>
      <c r="G196" s="196"/>
      <c r="H196" s="186"/>
      <c r="I196" s="187"/>
      <c r="J196" s="188">
        <f ca="1">IFERROR(__xludf.DUMMYFUNCTION("IMPORTRANGE(""https://docs.google.com/spreadsheets/d/11923uPwbBZFjjGgGUA6NLw09EwE0CqkOc4q9oUmW1yo/edit?usp=sharing"",""ลำปาง!J121"")"),0)</f>
        <v>0</v>
      </c>
      <c r="K196" s="163"/>
      <c r="L196" s="181"/>
      <c r="M196" s="181"/>
      <c r="N196" s="181"/>
      <c r="O196" s="181"/>
      <c r="P196" s="181"/>
    </row>
    <row r="197" spans="1:16" ht="21.75" customHeight="1" x14ac:dyDescent="0.3">
      <c r="A197" s="175"/>
      <c r="B197" s="176"/>
      <c r="C197" s="176"/>
      <c r="D197" s="193"/>
      <c r="E197" s="194" t="s">
        <v>48</v>
      </c>
      <c r="F197" s="195"/>
      <c r="G197" s="196"/>
      <c r="H197" s="186"/>
      <c r="I197" s="187"/>
      <c r="J197" s="197">
        <f ca="1">IFERROR(__xludf.DUMMYFUNCTION("IMPORTRANGE(""https://docs.google.com/spreadsheets/d/11923uPwbBZFjjGgGUA6NLw09EwE0CqkOc4q9oUmW1yo/edit?usp=sharing"",""ลำปาง!J122"")"),0)</f>
        <v>0</v>
      </c>
      <c r="K197" s="163"/>
      <c r="L197" s="181"/>
      <c r="M197" s="181"/>
      <c r="N197" s="181"/>
      <c r="O197" s="181"/>
      <c r="P197" s="181"/>
    </row>
    <row r="198" spans="1:16" ht="21.75" customHeight="1" x14ac:dyDescent="0.3">
      <c r="A198" s="175"/>
      <c r="B198" s="176"/>
      <c r="C198" s="176"/>
      <c r="D198" s="193"/>
      <c r="E198" s="195"/>
      <c r="F198" s="195" t="s">
        <v>90</v>
      </c>
      <c r="G198" s="196"/>
      <c r="H198" s="180"/>
      <c r="I198" s="187"/>
      <c r="J198" s="187"/>
      <c r="K198" s="163"/>
      <c r="L198" s="181"/>
      <c r="M198" s="181"/>
      <c r="N198" s="181"/>
      <c r="O198" s="181"/>
      <c r="P198" s="181"/>
    </row>
    <row r="199" spans="1:16" ht="21.75" customHeight="1" x14ac:dyDescent="0.3">
      <c r="A199" s="175"/>
      <c r="B199" s="176"/>
      <c r="C199" s="176"/>
      <c r="D199" s="193"/>
      <c r="E199" s="198"/>
      <c r="F199" s="195"/>
      <c r="G199" s="194" t="s">
        <v>91</v>
      </c>
      <c r="H199" s="180" t="s">
        <v>89</v>
      </c>
      <c r="I199" s="187">
        <f ca="1">IFERROR(__xludf.DUMMYFUNCTION("IMPORTRANGE(""https://docs.google.com/spreadsheets/d/11923uPwbBZFjjGgGUA6NLw09EwE0CqkOc4q9oUmW1yo/edit?usp=sharing"",""ลำปาง!I124"")"),50000)</f>
        <v>50000</v>
      </c>
      <c r="J199" s="188">
        <f ca="1">IFERROR(__xludf.DUMMYFUNCTION("IMPORTRANGE(""https://docs.google.com/spreadsheets/d/11923uPwbBZFjjGgGUA6NLw09EwE0CqkOc4q9oUmW1yo/edit?usp=sharing"",""ลำปาง!J124"")"),0)</f>
        <v>0</v>
      </c>
      <c r="K199" s="163">
        <f t="shared" ref="K199:K201" ca="1" si="70">IF(I199&gt;0,J199*100/I199,0)</f>
        <v>0</v>
      </c>
      <c r="L199" s="181"/>
      <c r="M199" s="181"/>
      <c r="N199" s="181"/>
      <c r="O199" s="181"/>
      <c r="P199" s="181"/>
    </row>
    <row r="200" spans="1:16" ht="21.75" customHeight="1" x14ac:dyDescent="0.3">
      <c r="A200" s="175"/>
      <c r="B200" s="176"/>
      <c r="C200" s="176"/>
      <c r="D200" s="193"/>
      <c r="E200" s="198"/>
      <c r="F200" s="195"/>
      <c r="G200" s="194" t="s">
        <v>92</v>
      </c>
      <c r="H200" s="180" t="s">
        <v>89</v>
      </c>
      <c r="I200" s="187">
        <f ca="1">IFERROR(__xludf.DUMMYFUNCTION("IMPORTRANGE(""https://docs.google.com/spreadsheets/d/11923uPwbBZFjjGgGUA6NLw09EwE0CqkOc4q9oUmW1yo/edit?usp=sharing"",""ลำปาง!I125"")"),50000)</f>
        <v>50000</v>
      </c>
      <c r="J200" s="188">
        <f ca="1">IFERROR(__xludf.DUMMYFUNCTION("IMPORTRANGE(""https://docs.google.com/spreadsheets/d/11923uPwbBZFjjGgGUA6NLw09EwE0CqkOc4q9oUmW1yo/edit?usp=sharing"",""ลำปาง!J125"")"),0)</f>
        <v>0</v>
      </c>
      <c r="K200" s="163">
        <f t="shared" ca="1" si="70"/>
        <v>0</v>
      </c>
      <c r="L200" s="168"/>
      <c r="M200" s="168"/>
      <c r="N200" s="167"/>
      <c r="O200" s="168"/>
      <c r="P200" s="168"/>
    </row>
    <row r="201" spans="1:16" ht="21.75" customHeight="1" x14ac:dyDescent="0.3">
      <c r="A201" s="175"/>
      <c r="B201" s="176"/>
      <c r="C201" s="176"/>
      <c r="D201" s="193"/>
      <c r="E201" s="198"/>
      <c r="F201" s="195" t="s">
        <v>93</v>
      </c>
      <c r="G201" s="196"/>
      <c r="H201" s="180" t="s">
        <v>37</v>
      </c>
      <c r="I201" s="187">
        <f ca="1">IFERROR(__xludf.DUMMYFUNCTION("IMPORTRANGE(""https://docs.google.com/spreadsheets/d/11923uPwbBZFjjGgGUA6NLw09EwE0CqkOc4q9oUmW1yo/edit?usp=sharing"",""ลำปาง!I126"")"),0)</f>
        <v>0</v>
      </c>
      <c r="J201" s="188">
        <f ca="1">IFERROR(__xludf.DUMMYFUNCTION("IMPORTRANGE(""https://docs.google.com/spreadsheets/d/11923uPwbBZFjjGgGUA6NLw09EwE0CqkOc4q9oUmW1yo/edit?usp=sharing"",""ลำปาง!J126"")"),0)</f>
        <v>0</v>
      </c>
      <c r="K201" s="163">
        <f t="shared" ca="1" si="70"/>
        <v>0</v>
      </c>
      <c r="L201" s="168"/>
      <c r="M201" s="168"/>
      <c r="N201" s="167"/>
      <c r="O201" s="168"/>
      <c r="P201" s="168"/>
    </row>
    <row r="202" spans="1:16" ht="21.75" customHeight="1" x14ac:dyDescent="0.3">
      <c r="A202" s="175"/>
      <c r="B202" s="176"/>
      <c r="C202" s="176"/>
      <c r="D202" s="193"/>
      <c r="E202" s="194" t="s">
        <v>54</v>
      </c>
      <c r="F202" s="195"/>
      <c r="G202" s="196"/>
      <c r="H202" s="186"/>
      <c r="I202" s="187"/>
      <c r="J202" s="197">
        <f ca="1">IFERROR(__xludf.DUMMYFUNCTION("IMPORTRANGE(""https://docs.google.com/spreadsheets/d/11923uPwbBZFjjGgGUA6NLw09EwE0CqkOc4q9oUmW1yo/edit?usp=sharing"",""ลำปาง!J127"")"),0)</f>
        <v>0</v>
      </c>
      <c r="K202" s="163"/>
      <c r="L202" s="181"/>
      <c r="M202" s="181"/>
      <c r="N202" s="181"/>
      <c r="O202" s="181"/>
      <c r="P202" s="181"/>
    </row>
    <row r="203" spans="1:16" ht="21.75" customHeight="1" x14ac:dyDescent="0.3">
      <c r="A203" s="233"/>
      <c r="B203" s="234"/>
      <c r="C203" s="234"/>
      <c r="D203" s="235">
        <v>3</v>
      </c>
      <c r="E203" s="236" t="s">
        <v>55</v>
      </c>
      <c r="F203" s="237"/>
      <c r="G203" s="238"/>
      <c r="H203" s="239"/>
      <c r="I203" s="240"/>
      <c r="J203" s="285">
        <f ca="1">IFERROR(__xludf.DUMMYFUNCTION("IMPORTRANGE(""https://docs.google.com/spreadsheets/d/11923uPwbBZFjjGgGUA6NLw09EwE0CqkOc4q9oUmW1yo/edit?usp=sharing"",""ลำปาง!J128"")"),0)</f>
        <v>0</v>
      </c>
      <c r="K203" s="286"/>
      <c r="L203" s="244"/>
      <c r="M203" s="244"/>
      <c r="N203" s="244"/>
      <c r="O203" s="244"/>
      <c r="P203" s="244"/>
    </row>
    <row r="204" spans="1:16" ht="21.75" customHeight="1" x14ac:dyDescent="0.3">
      <c r="A204" s="269"/>
      <c r="B204" s="270"/>
      <c r="C204" s="287" t="s">
        <v>94</v>
      </c>
      <c r="D204" s="271"/>
      <c r="E204" s="271"/>
      <c r="F204" s="271"/>
      <c r="G204" s="272"/>
      <c r="H204" s="284" t="s">
        <v>37</v>
      </c>
      <c r="I204" s="282">
        <f ca="1">IFERROR(__xludf.DUMMYFUNCTION("IMPORTRANGE(""https://docs.google.com/spreadsheets/d/11923uPwbBZFjjGgGUA6NLw09EwE0CqkOc4q9oUmW1yo/edit?usp=sharing"",""ลำปาง!I129"")"),0)</f>
        <v>0</v>
      </c>
      <c r="J204" s="282">
        <f ca="1">IFERROR(__xludf.DUMMYFUNCTION("IMPORTRANGE(""https://docs.google.com/spreadsheets/d/11923uPwbBZFjjGgGUA6NLw09EwE0CqkOc4q9oUmW1yo/edit?usp=sharing"",""ลำปาง!J129"")"),0)</f>
        <v>0</v>
      </c>
      <c r="K204" s="283">
        <f ca="1">IF(I204&gt;0,J204*100/I204,0)</f>
        <v>0</v>
      </c>
      <c r="L204" s="276"/>
      <c r="M204" s="276"/>
      <c r="N204" s="276"/>
      <c r="O204" s="276"/>
      <c r="P204" s="276"/>
    </row>
    <row r="205" spans="1:16" ht="21.75" customHeight="1" x14ac:dyDescent="0.3">
      <c r="A205" s="156"/>
      <c r="B205" s="157"/>
      <c r="C205" s="157" t="s">
        <v>16</v>
      </c>
      <c r="D205" s="158" t="s">
        <v>38</v>
      </c>
      <c r="E205" s="159"/>
      <c r="F205" s="159"/>
      <c r="G205" s="160" t="s">
        <v>39</v>
      </c>
      <c r="H205" s="161" t="s">
        <v>12</v>
      </c>
      <c r="I205" s="162" t="s">
        <v>40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3">
      <c r="A206" s="156"/>
      <c r="B206" s="157"/>
      <c r="C206" s="157"/>
      <c r="D206" s="166"/>
      <c r="E206" s="159"/>
      <c r="F206" s="159" t="s">
        <v>40</v>
      </c>
      <c r="G206" s="160" t="s">
        <v>41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3">
      <c r="A207" s="156"/>
      <c r="B207" s="157"/>
      <c r="C207" s="157"/>
      <c r="D207" s="166"/>
      <c r="E207" s="159"/>
      <c r="F207" s="159"/>
      <c r="G207" s="169" t="s">
        <v>43</v>
      </c>
      <c r="H207" s="161" t="s">
        <v>12</v>
      </c>
      <c r="I207" s="162"/>
      <c r="J207" s="187"/>
      <c r="K207" s="223"/>
      <c r="L207" s="168"/>
      <c r="M207" s="168"/>
      <c r="N207" s="167"/>
      <c r="O207" s="168"/>
      <c r="P207" s="168"/>
    </row>
    <row r="208" spans="1:16" ht="21.75" customHeight="1" x14ac:dyDescent="0.3">
      <c r="A208" s="175"/>
      <c r="B208" s="176"/>
      <c r="C208" s="157" t="s">
        <v>16</v>
      </c>
      <c r="D208" s="177" t="s">
        <v>44</v>
      </c>
      <c r="E208" s="178"/>
      <c r="F208" s="178"/>
      <c r="G208" s="179"/>
      <c r="H208" s="180"/>
      <c r="I208" s="162"/>
      <c r="J208" s="187"/>
      <c r="K208" s="223"/>
      <c r="L208" s="168"/>
      <c r="M208" s="168"/>
      <c r="N208" s="168"/>
      <c r="O208" s="181"/>
      <c r="P208" s="181"/>
    </row>
    <row r="209" spans="1:16" ht="21.75" customHeight="1" x14ac:dyDescent="0.3">
      <c r="A209" s="175"/>
      <c r="B209" s="176"/>
      <c r="C209" s="176"/>
      <c r="D209" s="182">
        <v>1</v>
      </c>
      <c r="E209" s="183" t="s">
        <v>45</v>
      </c>
      <c r="F209" s="184"/>
      <c r="G209" s="185"/>
      <c r="H209" s="186"/>
      <c r="I209" s="187"/>
      <c r="J209" s="187">
        <f ca="1">IFERROR(__xludf.DUMMYFUNCTION("IMPORTRANGE(""https://docs.google.com/spreadsheets/d/11923uPwbBZFjjGgGUA6NLw09EwE0CqkOc4q9oUmW1yo/edit?usp=sharing"",""ลำปาง!J134"")"),0)</f>
        <v>0</v>
      </c>
      <c r="K209" s="223"/>
      <c r="L209" s="168"/>
      <c r="M209" s="168"/>
      <c r="N209" s="168"/>
      <c r="O209" s="181"/>
      <c r="P209" s="181"/>
    </row>
    <row r="210" spans="1:16" ht="21.75" customHeight="1" x14ac:dyDescent="0.3">
      <c r="A210" s="175"/>
      <c r="B210" s="176"/>
      <c r="C210" s="176"/>
      <c r="D210" s="189">
        <v>2</v>
      </c>
      <c r="E210" s="190" t="s">
        <v>46</v>
      </c>
      <c r="F210" s="191"/>
      <c r="G210" s="192"/>
      <c r="H210" s="186"/>
      <c r="I210" s="187"/>
      <c r="J210" s="187">
        <f ca="1">IFERROR(__xludf.DUMMYFUNCTION("IMPORTRANGE(""https://docs.google.com/spreadsheets/d/11923uPwbBZFjjGgGUA6NLw09EwE0CqkOc4q9oUmW1yo/edit?usp=sharing"",""ลำปาง!J135"")"),0)</f>
        <v>0</v>
      </c>
      <c r="K210" s="223"/>
      <c r="L210" s="168"/>
      <c r="M210" s="168"/>
      <c r="N210" s="168"/>
      <c r="O210" s="181"/>
      <c r="P210" s="181"/>
    </row>
    <row r="211" spans="1:16" ht="21.75" customHeight="1" x14ac:dyDescent="0.3">
      <c r="A211" s="175"/>
      <c r="B211" s="176"/>
      <c r="C211" s="176"/>
      <c r="D211" s="193"/>
      <c r="E211" s="194" t="s">
        <v>47</v>
      </c>
      <c r="F211" s="195"/>
      <c r="G211" s="196"/>
      <c r="H211" s="186"/>
      <c r="I211" s="187"/>
      <c r="J211" s="187">
        <f ca="1">IFERROR(__xludf.DUMMYFUNCTION("IMPORTRANGE(""https://docs.google.com/spreadsheets/d/11923uPwbBZFjjGgGUA6NLw09EwE0CqkOc4q9oUmW1yo/edit?usp=sharing"",""ลำปาง!J136"")"),0)</f>
        <v>0</v>
      </c>
      <c r="K211" s="223"/>
      <c r="L211" s="168"/>
      <c r="M211" s="168"/>
      <c r="N211" s="168"/>
      <c r="O211" s="181"/>
      <c r="P211" s="181"/>
    </row>
    <row r="212" spans="1:16" ht="21.75" customHeight="1" x14ac:dyDescent="0.3">
      <c r="A212" s="175"/>
      <c r="B212" s="176"/>
      <c r="C212" s="176"/>
      <c r="D212" s="193"/>
      <c r="E212" s="194" t="s">
        <v>48</v>
      </c>
      <c r="F212" s="195"/>
      <c r="G212" s="196"/>
      <c r="H212" s="186"/>
      <c r="I212" s="187"/>
      <c r="J212" s="187">
        <f ca="1">IFERROR(__xludf.DUMMYFUNCTION("IMPORTRANGE(""https://docs.google.com/spreadsheets/d/11923uPwbBZFjjGgGUA6NLw09EwE0CqkOc4q9oUmW1yo/edit?usp=sharing"",""ลำปาง!J137"")"),0)</f>
        <v>0</v>
      </c>
      <c r="K212" s="223"/>
      <c r="L212" s="168"/>
      <c r="M212" s="168"/>
      <c r="N212" s="168"/>
      <c r="O212" s="181"/>
      <c r="P212" s="181"/>
    </row>
    <row r="213" spans="1:16" ht="21.75" customHeight="1" x14ac:dyDescent="0.3">
      <c r="A213" s="175"/>
      <c r="B213" s="176"/>
      <c r="C213" s="176"/>
      <c r="D213" s="193"/>
      <c r="E213" s="198"/>
      <c r="F213" s="195" t="s">
        <v>95</v>
      </c>
      <c r="G213" s="196"/>
      <c r="H213" s="180" t="s">
        <v>37</v>
      </c>
      <c r="I213" s="187">
        <f ca="1">IFERROR(__xludf.DUMMYFUNCTION("IMPORTRANGE(""https://docs.google.com/spreadsheets/d/11923uPwbBZFjjGgGUA6NLw09EwE0CqkOc4q9oUmW1yo/edit?usp=sharing"",""ลำปาง!I138"")"),0)</f>
        <v>0</v>
      </c>
      <c r="J213" s="203">
        <f ca="1">IFERROR(__xludf.DUMMYFUNCTION("IMPORTRANGE(""https://docs.google.com/spreadsheets/d/11923uPwbBZFjjGgGUA6NLw09EwE0CqkOc4q9oUmW1yo/edit?usp=sharing"",""ลำปาง!J138"")"),0)</f>
        <v>0</v>
      </c>
      <c r="K213" s="223">
        <f ca="1">IF(I213&gt;0,J213*100/I213,0)</f>
        <v>0</v>
      </c>
      <c r="L213" s="168"/>
      <c r="M213" s="168"/>
      <c r="N213" s="167"/>
      <c r="O213" s="168"/>
      <c r="P213" s="168"/>
    </row>
    <row r="214" spans="1:16" ht="21.75" customHeight="1" x14ac:dyDescent="0.3">
      <c r="A214" s="175"/>
      <c r="B214" s="176"/>
      <c r="C214" s="176"/>
      <c r="D214" s="193"/>
      <c r="E214" s="198"/>
      <c r="F214" s="194" t="s">
        <v>53</v>
      </c>
      <c r="G214" s="196"/>
      <c r="H214" s="180"/>
      <c r="I214" s="187"/>
      <c r="J214" s="187"/>
      <c r="K214" s="223"/>
      <c r="L214" s="168"/>
      <c r="M214" s="168"/>
      <c r="N214" s="168"/>
      <c r="O214" s="181"/>
      <c r="P214" s="181"/>
    </row>
    <row r="215" spans="1:16" ht="21.75" customHeight="1" x14ac:dyDescent="0.3">
      <c r="A215" s="175"/>
      <c r="B215" s="176"/>
      <c r="C215" s="176"/>
      <c r="D215" s="193"/>
      <c r="E215" s="198"/>
      <c r="F215" s="195"/>
      <c r="G215" s="225" t="s">
        <v>96</v>
      </c>
      <c r="H215" s="180" t="s">
        <v>37</v>
      </c>
      <c r="I215" s="187">
        <f ca="1">IFERROR(__xludf.DUMMYFUNCTION("IMPORTRANGE(""https://docs.google.com/spreadsheets/d/11923uPwbBZFjjGgGUA6NLw09EwE0CqkOc4q9oUmW1yo/edit?usp=sharing"",""ลำปาง!I140"")"),0)</f>
        <v>0</v>
      </c>
      <c r="J215" s="203">
        <f ca="1">IFERROR(__xludf.DUMMYFUNCTION("IMPORTRANGE(""https://docs.google.com/spreadsheets/d/11923uPwbBZFjjGgGUA6NLw09EwE0CqkOc4q9oUmW1yo/edit?usp=sharing"",""ลำปาง!J140"")"),0)</f>
        <v>0</v>
      </c>
      <c r="K215" s="223">
        <f t="shared" ref="K215:K216" ca="1" si="71">IF(I215&gt;0,J215*100/I215,0)</f>
        <v>0</v>
      </c>
      <c r="L215" s="168"/>
      <c r="M215" s="168"/>
      <c r="N215" s="167"/>
      <c r="O215" s="168"/>
      <c r="P215" s="168"/>
    </row>
    <row r="216" spans="1:16" ht="21.75" customHeight="1" x14ac:dyDescent="0.3">
      <c r="A216" s="175"/>
      <c r="B216" s="176"/>
      <c r="C216" s="176"/>
      <c r="D216" s="193"/>
      <c r="E216" s="198"/>
      <c r="F216" s="195"/>
      <c r="G216" s="225" t="s">
        <v>97</v>
      </c>
      <c r="H216" s="180" t="s">
        <v>59</v>
      </c>
      <c r="I216" s="187">
        <f ca="1">IFERROR(__xludf.DUMMYFUNCTION("IMPORTRANGE(""https://docs.google.com/spreadsheets/d/11923uPwbBZFjjGgGUA6NLw09EwE0CqkOc4q9oUmW1yo/edit?usp=sharing"",""ลำปาง!I141"")"),0)</f>
        <v>0</v>
      </c>
      <c r="J216" s="203">
        <f ca="1">IFERROR(__xludf.DUMMYFUNCTION("IMPORTRANGE(""https://docs.google.com/spreadsheets/d/11923uPwbBZFjjGgGUA6NLw09EwE0CqkOc4q9oUmW1yo/edit?usp=sharing"",""ลำปาง!J141"")"),0)</f>
        <v>0</v>
      </c>
      <c r="K216" s="223">
        <f t="shared" ca="1" si="71"/>
        <v>0</v>
      </c>
      <c r="L216" s="168"/>
      <c r="M216" s="168"/>
      <c r="N216" s="167"/>
      <c r="O216" s="168"/>
      <c r="P216" s="168"/>
    </row>
    <row r="217" spans="1:16" ht="21.75" customHeight="1" x14ac:dyDescent="0.3">
      <c r="A217" s="175"/>
      <c r="B217" s="176"/>
      <c r="C217" s="176"/>
      <c r="D217" s="193"/>
      <c r="E217" s="194" t="s">
        <v>54</v>
      </c>
      <c r="F217" s="195"/>
      <c r="G217" s="196"/>
      <c r="H217" s="186"/>
      <c r="I217" s="187"/>
      <c r="J217" s="187">
        <f ca="1">IFERROR(__xludf.DUMMYFUNCTION("IMPORTRANGE(""https://docs.google.com/spreadsheets/d/11923uPwbBZFjjGgGUA6NLw09EwE0CqkOc4q9oUmW1yo/edit?usp=sharing"",""ลำปาง!J142"")"),0)</f>
        <v>0</v>
      </c>
      <c r="K217" s="223"/>
      <c r="L217" s="168"/>
      <c r="M217" s="168"/>
      <c r="N217" s="168"/>
      <c r="O217" s="181"/>
      <c r="P217" s="181"/>
    </row>
    <row r="218" spans="1:16" ht="21.75" customHeight="1" x14ac:dyDescent="0.3">
      <c r="A218" s="233"/>
      <c r="B218" s="234"/>
      <c r="C218" s="234"/>
      <c r="D218" s="235">
        <v>3</v>
      </c>
      <c r="E218" s="236" t="s">
        <v>55</v>
      </c>
      <c r="F218" s="237"/>
      <c r="G218" s="238"/>
      <c r="H218" s="239"/>
      <c r="I218" s="240"/>
      <c r="J218" s="241">
        <f ca="1">IFERROR(__xludf.DUMMYFUNCTION("IMPORTRANGE(""https://docs.google.com/spreadsheets/d/11923uPwbBZFjjGgGUA6NLw09EwE0CqkOc4q9oUmW1yo/edit?usp=sharing"",""ลำปาง!J143"")"),0)</f>
        <v>0</v>
      </c>
      <c r="K218" s="242"/>
      <c r="L218" s="243"/>
      <c r="M218" s="243"/>
      <c r="N218" s="243"/>
      <c r="O218" s="244"/>
      <c r="P218" s="244"/>
    </row>
    <row r="219" spans="1:16" ht="21.75" customHeight="1" x14ac:dyDescent="0.3">
      <c r="A219" s="261"/>
      <c r="B219" s="262" t="s">
        <v>98</v>
      </c>
      <c r="C219" s="263"/>
      <c r="D219" s="262"/>
      <c r="E219" s="262"/>
      <c r="F219" s="262"/>
      <c r="G219" s="264"/>
      <c r="H219" s="265" t="s">
        <v>37</v>
      </c>
      <c r="I219" s="266">
        <f ca="1">IFERROR(__xludf.DUMMYFUNCTION("IMPORTRANGE(""https://docs.google.com/spreadsheets/d/11923uPwbBZFjjGgGUA6NLw09EwE0CqkOc4q9oUmW1yo/edit?usp=sharing"",""ลำปาง!I144"")"),15)</f>
        <v>15</v>
      </c>
      <c r="J219" s="266">
        <f ca="1">IFERROR(__xludf.DUMMYFUNCTION("IMPORTRANGE(""https://docs.google.com/spreadsheets/d/11923uPwbBZFjjGgGUA6NLw09EwE0CqkOc4q9oUmW1yo/edit?usp=sharing"",""ลำปาง!J144"")"),15)</f>
        <v>15</v>
      </c>
      <c r="K219" s="267">
        <f ca="1">IF(I219&gt;0,J219*100/I219,0)</f>
        <v>100</v>
      </c>
      <c r="L219" s="268"/>
      <c r="M219" s="268"/>
      <c r="N219" s="268"/>
      <c r="O219" s="267"/>
      <c r="P219" s="267"/>
    </row>
    <row r="220" spans="1:16" ht="21.75" customHeight="1" x14ac:dyDescent="0.45">
      <c r="A220" s="145"/>
      <c r="B220" s="146"/>
      <c r="C220" s="147" t="s">
        <v>16</v>
      </c>
      <c r="D220" s="537" t="s">
        <v>17</v>
      </c>
      <c r="E220" s="528"/>
      <c r="F220" s="528"/>
      <c r="G220" s="528"/>
      <c r="H220" s="148" t="s">
        <v>12</v>
      </c>
      <c r="I220" s="162"/>
      <c r="J220" s="162"/>
      <c r="K220" s="163"/>
      <c r="L220" s="151">
        <f t="shared" ref="L220:N220" ca="1" si="72">L221+L222</f>
        <v>21125</v>
      </c>
      <c r="M220" s="151">
        <f t="shared" ca="1" si="72"/>
        <v>21125</v>
      </c>
      <c r="N220" s="151">
        <f t="shared" ca="1" si="72"/>
        <v>21125</v>
      </c>
      <c r="O220" s="150">
        <f t="shared" ref="O220:O222" ca="1" si="73">IF(L220&gt;0,N220*100/L220,0)</f>
        <v>100</v>
      </c>
      <c r="P220" s="150">
        <f t="shared" ref="P220:P222" ca="1" si="74">IF(M220&gt;0,N220*100/M220,0)</f>
        <v>100</v>
      </c>
    </row>
    <row r="221" spans="1:16" ht="21.75" customHeight="1" x14ac:dyDescent="0.45">
      <c r="A221" s="152"/>
      <c r="B221" s="32"/>
      <c r="C221" s="32"/>
      <c r="D221" s="32"/>
      <c r="E221" s="32"/>
      <c r="F221" s="32"/>
      <c r="G221" s="33" t="s">
        <v>18</v>
      </c>
      <c r="H221" s="153" t="s">
        <v>12</v>
      </c>
      <c r="I221" s="162"/>
      <c r="J221" s="162"/>
      <c r="K221" s="163"/>
      <c r="L221" s="87">
        <f t="shared" ref="L221:N221" si="75">L223+L227</f>
        <v>0</v>
      </c>
      <c r="M221" s="87">
        <f t="shared" si="75"/>
        <v>0</v>
      </c>
      <c r="N221" s="87">
        <f t="shared" si="75"/>
        <v>0</v>
      </c>
      <c r="O221" s="155">
        <f t="shared" si="73"/>
        <v>0</v>
      </c>
      <c r="P221" s="155">
        <f t="shared" si="74"/>
        <v>0</v>
      </c>
    </row>
    <row r="222" spans="1:16" ht="21.75" customHeight="1" x14ac:dyDescent="0.45">
      <c r="A222" s="152"/>
      <c r="B222" s="32"/>
      <c r="C222" s="32"/>
      <c r="D222" s="32"/>
      <c r="E222" s="32"/>
      <c r="F222" s="32"/>
      <c r="G222" s="33" t="s">
        <v>19</v>
      </c>
      <c r="H222" s="153" t="s">
        <v>12</v>
      </c>
      <c r="I222" s="162"/>
      <c r="J222" s="162"/>
      <c r="K222" s="163"/>
      <c r="L222" s="87">
        <f t="shared" ref="L222:N222" ca="1" si="76">L224+L228</f>
        <v>21125</v>
      </c>
      <c r="M222" s="87">
        <f t="shared" ca="1" si="76"/>
        <v>21125</v>
      </c>
      <c r="N222" s="87">
        <f t="shared" ca="1" si="76"/>
        <v>21125</v>
      </c>
      <c r="O222" s="155">
        <f t="shared" ca="1" si="73"/>
        <v>100</v>
      </c>
      <c r="P222" s="155">
        <f t="shared" ca="1" si="74"/>
        <v>100</v>
      </c>
    </row>
    <row r="223" spans="1:16" ht="21.75" customHeight="1" x14ac:dyDescent="0.3">
      <c r="A223" s="156"/>
      <c r="B223" s="157"/>
      <c r="C223" s="157" t="s">
        <v>16</v>
      </c>
      <c r="D223" s="158" t="s">
        <v>38</v>
      </c>
      <c r="E223" s="159"/>
      <c r="F223" s="159"/>
      <c r="G223" s="160" t="s">
        <v>39</v>
      </c>
      <c r="H223" s="161" t="s">
        <v>12</v>
      </c>
      <c r="I223" s="162" t="s">
        <v>40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3">
      <c r="A224" s="156"/>
      <c r="B224" s="157"/>
      <c r="C224" s="157"/>
      <c r="D224" s="166"/>
      <c r="E224" s="159"/>
      <c r="F224" s="159" t="s">
        <v>40</v>
      </c>
      <c r="G224" s="160" t="s">
        <v>41</v>
      </c>
      <c r="H224" s="161" t="s">
        <v>12</v>
      </c>
      <c r="I224" s="162"/>
      <c r="J224" s="162"/>
      <c r="K224" s="163"/>
      <c r="L224" s="167">
        <f ca="1">L225+L226</f>
        <v>21125</v>
      </c>
      <c r="M224" s="167">
        <f ca="1">IFERROR(__xludf.DUMMYFUNCTION("IMPORTRANGE(""https://docs.google.com/spreadsheets/d/1Yj_ptqi66GCucihVvJfMjLAmec39IyEx_6qawtMGysU/edit?usp=sharing"",""สบก!BS32"")"),21125)</f>
        <v>21125</v>
      </c>
      <c r="N224" s="168">
        <f ca="1">IFERROR(__xludf.DUMMYFUNCTION("IMPORTRANGE(""https://docs.google.com/spreadsheets/d/1Yj_ptqi66GCucihVvJfMjLAmec39IyEx_6qawtMGysU/edit?usp=sharing"",""สบก!BT32"")"),21125)</f>
        <v>21125</v>
      </c>
      <c r="O224" s="168">
        <f ca="1">IF(L224&gt;0,N224*100/L224,0)</f>
        <v>100</v>
      </c>
      <c r="P224" s="168">
        <f ca="1">IF(M224&gt;0,N224*100/M224,0)</f>
        <v>100</v>
      </c>
    </row>
    <row r="225" spans="1:16" ht="21.75" customHeight="1" x14ac:dyDescent="0.3">
      <c r="A225" s="156"/>
      <c r="B225" s="157"/>
      <c r="C225" s="157"/>
      <c r="D225" s="166"/>
      <c r="E225" s="159"/>
      <c r="F225" s="159"/>
      <c r="G225" s="169" t="s">
        <v>42</v>
      </c>
      <c r="H225" s="161" t="s">
        <v>12</v>
      </c>
      <c r="I225" s="162"/>
      <c r="J225" s="162"/>
      <c r="K225" s="163"/>
      <c r="L225" s="167">
        <f ca="1">IFERROR(__xludf.DUMMYFUNCTION("IMPORTRANGE(""https://docs.google.com/spreadsheets/d/1Yj_ptqi66GCucihVvJfMjLAmec39IyEx_6qawtMGysU/edit?usp=sharing"",""สบก!BO32"")"),0)</f>
        <v>0</v>
      </c>
      <c r="M225" s="167"/>
      <c r="N225" s="167"/>
      <c r="O225" s="168"/>
      <c r="P225" s="168"/>
    </row>
    <row r="226" spans="1:16" ht="21.75" customHeight="1" x14ac:dyDescent="0.3">
      <c r="A226" s="156"/>
      <c r="B226" s="157"/>
      <c r="C226" s="157"/>
      <c r="D226" s="166"/>
      <c r="E226" s="159"/>
      <c r="F226" s="159"/>
      <c r="G226" s="169" t="s">
        <v>43</v>
      </c>
      <c r="H226" s="161" t="s">
        <v>12</v>
      </c>
      <c r="I226" s="162"/>
      <c r="J226" s="162"/>
      <c r="K226" s="163"/>
      <c r="L226" s="167">
        <f ca="1">IFERROR(__xludf.DUMMYFUNCTION("IMPORTRANGE(""https://docs.google.com/spreadsheets/d/1Yj_ptqi66GCucihVvJfMjLAmec39IyEx_6qawtMGysU/edit?usp=sharing"",""สบก!BP32"")"),21125)</f>
        <v>21125</v>
      </c>
      <c r="M226" s="167"/>
      <c r="N226" s="167"/>
      <c r="O226" s="168"/>
      <c r="P226" s="168"/>
    </row>
    <row r="227" spans="1:16" ht="21.75" customHeight="1" x14ac:dyDescent="0.45">
      <c r="A227" s="170"/>
      <c r="B227" s="80"/>
      <c r="C227" s="81" t="s">
        <v>16</v>
      </c>
      <c r="D227" s="534" t="s">
        <v>23</v>
      </c>
      <c r="E227" s="530"/>
      <c r="F227" s="88"/>
      <c r="G227" s="82" t="s">
        <v>18</v>
      </c>
      <c r="H227" s="171" t="s">
        <v>12</v>
      </c>
      <c r="I227" s="200"/>
      <c r="J227" s="200"/>
      <c r="K227" s="288"/>
      <c r="L227" s="41">
        <v>0</v>
      </c>
      <c r="M227" s="41"/>
      <c r="N227" s="41"/>
      <c r="O227" s="41"/>
      <c r="P227" s="41"/>
    </row>
    <row r="228" spans="1:16" ht="21.75" customHeight="1" x14ac:dyDescent="0.45">
      <c r="A228" s="172"/>
      <c r="B228" s="91"/>
      <c r="C228" s="91"/>
      <c r="D228" s="173"/>
      <c r="E228" s="92"/>
      <c r="F228" s="92"/>
      <c r="G228" s="93" t="s">
        <v>19</v>
      </c>
      <c r="H228" s="174" t="s">
        <v>12</v>
      </c>
      <c r="I228" s="200"/>
      <c r="J228" s="200"/>
      <c r="K228" s="288"/>
      <c r="L228" s="49">
        <f ca="1">IFERROR(__xludf.DUMMYFUNCTION("IMPORTRANGE(""https://docs.google.com/spreadsheets/d/1Yj_ptqi66GCucihVvJfMjLAmec39IyEx_6qawtMGysU/edit?usp=sharing"",""สบก!BQ32"")"),0)</f>
        <v>0</v>
      </c>
      <c r="M228" s="49"/>
      <c r="N228" s="49">
        <f ca="1">IFERROR(__xludf.DUMMYFUNCTION("IMPORTRANGE(""https://docs.google.com/spreadsheets/d/1Yj_ptqi66GCucihVvJfMjLAmec39IyEx_6qawtMGysU/edit?usp=sharing"",""สบก!BU32"")"),0)</f>
        <v>0</v>
      </c>
      <c r="O228" s="49">
        <f ca="1">IF(L228&gt;0,N228*100/L228,0)</f>
        <v>0</v>
      </c>
      <c r="P228" s="49"/>
    </row>
    <row r="229" spans="1:16" ht="21.75" customHeight="1" x14ac:dyDescent="0.3">
      <c r="A229" s="175"/>
      <c r="B229" s="289"/>
      <c r="C229" s="263" t="s">
        <v>99</v>
      </c>
      <c r="D229" s="262"/>
      <c r="E229" s="262"/>
      <c r="F229" s="262"/>
      <c r="G229" s="264"/>
      <c r="H229" s="265" t="s">
        <v>37</v>
      </c>
      <c r="I229" s="266">
        <f ca="1">IFERROR(__xludf.DUMMYFUNCTION("IMPORTRANGE(""https://docs.google.com/spreadsheets/d/11923uPwbBZFjjGgGUA6NLw09EwE0CqkOc4q9oUmW1yo/edit?usp=sharing"",""ลำปาง!I149"")"),15)</f>
        <v>15</v>
      </c>
      <c r="J229" s="266">
        <f ca="1">IFERROR(__xludf.DUMMYFUNCTION("IMPORTRANGE(""https://docs.google.com/spreadsheets/d/11923uPwbBZFjjGgGUA6NLw09EwE0CqkOc4q9oUmW1yo/edit?usp=sharing"",""ลำปาง!J149"")"),15)</f>
        <v>15</v>
      </c>
      <c r="K229" s="267">
        <f ca="1">IF(I229&gt;0,J229*100/I229,0)</f>
        <v>100</v>
      </c>
      <c r="L229" s="290"/>
      <c r="M229" s="290"/>
      <c r="N229" s="290"/>
      <c r="O229" s="290"/>
      <c r="P229" s="290"/>
    </row>
    <row r="230" spans="1:16" ht="21.75" customHeight="1" x14ac:dyDescent="0.3">
      <c r="A230" s="175"/>
      <c r="B230" s="176"/>
      <c r="C230" s="157" t="s">
        <v>16</v>
      </c>
      <c r="D230" s="177" t="s">
        <v>44</v>
      </c>
      <c r="E230" s="178"/>
      <c r="F230" s="178"/>
      <c r="G230" s="179"/>
      <c r="H230" s="180"/>
      <c r="I230" s="162"/>
      <c r="J230" s="162"/>
      <c r="K230" s="163"/>
      <c r="L230" s="181"/>
      <c r="M230" s="181"/>
      <c r="N230" s="181"/>
      <c r="O230" s="181"/>
      <c r="P230" s="181"/>
    </row>
    <row r="231" spans="1:16" ht="21.75" customHeight="1" x14ac:dyDescent="0.3">
      <c r="A231" s="175"/>
      <c r="B231" s="176"/>
      <c r="C231" s="176"/>
      <c r="D231" s="182">
        <v>1</v>
      </c>
      <c r="E231" s="183" t="s">
        <v>45</v>
      </c>
      <c r="F231" s="184"/>
      <c r="G231" s="185"/>
      <c r="H231" s="186"/>
      <c r="I231" s="187"/>
      <c r="J231" s="197">
        <f ca="1">IFERROR(__xludf.DUMMYFUNCTION("IMPORTRANGE(""https://docs.google.com/spreadsheets/d/11923uPwbBZFjjGgGUA6NLw09EwE0CqkOc4q9oUmW1yo/edit?usp=sharing"",""ลำปาง!J151"")"),0)</f>
        <v>0</v>
      </c>
      <c r="K231" s="163"/>
      <c r="L231" s="181"/>
      <c r="M231" s="181"/>
      <c r="N231" s="181"/>
      <c r="O231" s="181"/>
      <c r="P231" s="181"/>
    </row>
    <row r="232" spans="1:16" ht="21.75" customHeight="1" x14ac:dyDescent="0.3">
      <c r="A232" s="175"/>
      <c r="B232" s="176"/>
      <c r="C232" s="176"/>
      <c r="D232" s="189">
        <v>2</v>
      </c>
      <c r="E232" s="190" t="s">
        <v>46</v>
      </c>
      <c r="F232" s="191"/>
      <c r="G232" s="192"/>
      <c r="H232" s="186"/>
      <c r="I232" s="187"/>
      <c r="J232" s="188">
        <f ca="1">IFERROR(__xludf.DUMMYFUNCTION("IMPORTRANGE(""https://docs.google.com/spreadsheets/d/11923uPwbBZFjjGgGUA6NLw09EwE0CqkOc4q9oUmW1yo/edit?usp=sharing"",""ลำปาง!J152"")"),1)</f>
        <v>1</v>
      </c>
      <c r="K232" s="163"/>
      <c r="L232" s="181" t="s">
        <v>40</v>
      </c>
      <c r="M232" s="181"/>
      <c r="N232" s="181" t="s">
        <v>40</v>
      </c>
      <c r="O232" s="181"/>
      <c r="P232" s="181"/>
    </row>
    <row r="233" spans="1:16" ht="21.75" customHeight="1" x14ac:dyDescent="0.3">
      <c r="A233" s="175"/>
      <c r="B233" s="176"/>
      <c r="C233" s="176"/>
      <c r="D233" s="193"/>
      <c r="E233" s="194" t="s">
        <v>47</v>
      </c>
      <c r="F233" s="195"/>
      <c r="G233" s="196"/>
      <c r="H233" s="186"/>
      <c r="I233" s="187"/>
      <c r="J233" s="188">
        <f ca="1">IFERROR(__xludf.DUMMYFUNCTION("IMPORTRANGE(""https://docs.google.com/spreadsheets/d/11923uPwbBZFjjGgGUA6NLw09EwE0CqkOc4q9oUmW1yo/edit?usp=sharing"",""ลำปาง!J153"")"),1)</f>
        <v>1</v>
      </c>
      <c r="K233" s="163"/>
      <c r="L233" s="181"/>
      <c r="M233" s="181"/>
      <c r="N233" s="181"/>
      <c r="O233" s="181"/>
      <c r="P233" s="181"/>
    </row>
    <row r="234" spans="1:16" ht="21.75" customHeight="1" x14ac:dyDescent="0.3">
      <c r="A234" s="175"/>
      <c r="B234" s="176"/>
      <c r="C234" s="176"/>
      <c r="D234" s="193"/>
      <c r="E234" s="194" t="s">
        <v>48</v>
      </c>
      <c r="F234" s="195"/>
      <c r="G234" s="196"/>
      <c r="H234" s="186"/>
      <c r="I234" s="187"/>
      <c r="J234" s="197">
        <f ca="1">IFERROR(__xludf.DUMMYFUNCTION("IMPORTRANGE(""https://docs.google.com/spreadsheets/d/11923uPwbBZFjjGgGUA6NLw09EwE0CqkOc4q9oUmW1yo/edit?usp=sharing"",""ลำปาง!J154"")"),1)</f>
        <v>1</v>
      </c>
      <c r="K234" s="163"/>
      <c r="L234" s="181"/>
      <c r="M234" s="181"/>
      <c r="N234" s="181"/>
      <c r="O234" s="181"/>
      <c r="P234" s="181"/>
    </row>
    <row r="235" spans="1:16" ht="21.75" customHeight="1" x14ac:dyDescent="0.3">
      <c r="A235" s="175"/>
      <c r="B235" s="176"/>
      <c r="C235" s="176"/>
      <c r="D235" s="193"/>
      <c r="E235" s="198"/>
      <c r="F235" s="195"/>
      <c r="G235" s="291" t="s">
        <v>70</v>
      </c>
      <c r="H235" s="186" t="s">
        <v>37</v>
      </c>
      <c r="I235" s="187">
        <f ca="1">IFERROR(__xludf.DUMMYFUNCTION("IMPORTRANGE(""https://docs.google.com/spreadsheets/d/11923uPwbBZFjjGgGUA6NLw09EwE0CqkOc4q9oUmW1yo/edit?usp=sharing"",""ลำปาง!I155"")"),15)</f>
        <v>15</v>
      </c>
      <c r="J235" s="188">
        <f ca="1">IFERROR(__xludf.DUMMYFUNCTION("IMPORTRANGE(""https://docs.google.com/spreadsheets/d/11923uPwbBZFjjGgGUA6NLw09EwE0CqkOc4q9oUmW1yo/edit?usp=sharing"",""ลำปาง!J155"")"),15)</f>
        <v>15</v>
      </c>
      <c r="K235" s="163">
        <f ca="1">IF(I235&gt;0,J235*100/I235,0)</f>
        <v>100</v>
      </c>
      <c r="L235" s="181"/>
      <c r="M235" s="181"/>
      <c r="N235" s="181"/>
      <c r="O235" s="181"/>
      <c r="P235" s="181"/>
    </row>
    <row r="236" spans="1:16" ht="21.75" customHeight="1" x14ac:dyDescent="0.3">
      <c r="A236" s="175"/>
      <c r="B236" s="176"/>
      <c r="C236" s="176"/>
      <c r="D236" s="193"/>
      <c r="E236" s="194" t="s">
        <v>54</v>
      </c>
      <c r="F236" s="195"/>
      <c r="G236" s="196"/>
      <c r="H236" s="186"/>
      <c r="I236" s="187"/>
      <c r="J236" s="197">
        <f ca="1">IFERROR(__xludf.DUMMYFUNCTION("IMPORTRANGE(""https://docs.google.com/spreadsheets/d/11923uPwbBZFjjGgGUA6NLw09EwE0CqkOc4q9oUmW1yo/edit?usp=sharing"",""ลำปาง!J156"")"),0)</f>
        <v>0</v>
      </c>
      <c r="K236" s="163"/>
      <c r="L236" s="181"/>
      <c r="M236" s="181"/>
      <c r="N236" s="181"/>
      <c r="O236" s="181"/>
      <c r="P236" s="181"/>
    </row>
    <row r="237" spans="1:16" ht="21.75" customHeight="1" x14ac:dyDescent="0.3">
      <c r="A237" s="175"/>
      <c r="B237" s="176"/>
      <c r="C237" s="176"/>
      <c r="D237" s="205">
        <v>3</v>
      </c>
      <c r="E237" s="206" t="s">
        <v>55</v>
      </c>
      <c r="F237" s="207"/>
      <c r="G237" s="208"/>
      <c r="H237" s="186"/>
      <c r="I237" s="187"/>
      <c r="J237" s="209">
        <f ca="1">IFERROR(__xludf.DUMMYFUNCTION("IMPORTRANGE(""https://docs.google.com/spreadsheets/d/11923uPwbBZFjjGgGUA6NLw09EwE0CqkOc4q9oUmW1yo/edit?usp=sharing"",""ลำปาง!J157"")"),0)</f>
        <v>0</v>
      </c>
      <c r="K237" s="163"/>
      <c r="L237" s="181"/>
      <c r="M237" s="181"/>
      <c r="N237" s="181"/>
      <c r="O237" s="181"/>
      <c r="P237" s="181"/>
    </row>
    <row r="238" spans="1:16" ht="21.75" customHeight="1" x14ac:dyDescent="0.3">
      <c r="A238" s="175"/>
      <c r="B238" s="176"/>
      <c r="C238" s="263" t="s">
        <v>100</v>
      </c>
      <c r="D238" s="292"/>
      <c r="E238" s="262"/>
      <c r="F238" s="262"/>
      <c r="G238" s="264"/>
      <c r="H238" s="265" t="s">
        <v>37</v>
      </c>
      <c r="I238" s="266">
        <f ca="1">IFERROR(__xludf.DUMMYFUNCTION("IMPORTRANGE(""https://docs.google.com/spreadsheets/d/11923uPwbBZFjjGgGUA6NLw09EwE0CqkOc4q9oUmW1yo/edit?usp=sharing"",""ลำปาง!I158"")"),0)</f>
        <v>0</v>
      </c>
      <c r="J238" s="266">
        <f ca="1">IFERROR(__xludf.DUMMYFUNCTION("IMPORTRANGE(""https://docs.google.com/spreadsheets/d/11923uPwbBZFjjGgGUA6NLw09EwE0CqkOc4q9oUmW1yo/edit?usp=sharing"",""ลำปาง!J158"")"),0)</f>
        <v>0</v>
      </c>
      <c r="K238" s="267">
        <f ca="1">IF(I238&gt;0,J238*100/I238,0)</f>
        <v>0</v>
      </c>
      <c r="L238" s="181"/>
      <c r="M238" s="181"/>
      <c r="N238" s="181"/>
      <c r="O238" s="181"/>
      <c r="P238" s="181"/>
    </row>
    <row r="239" spans="1:16" ht="21.75" customHeight="1" x14ac:dyDescent="0.3">
      <c r="A239" s="175"/>
      <c r="B239" s="176"/>
      <c r="C239" s="157" t="s">
        <v>16</v>
      </c>
      <c r="D239" s="177" t="s">
        <v>44</v>
      </c>
      <c r="E239" s="178"/>
      <c r="F239" s="178"/>
      <c r="G239" s="179"/>
      <c r="H239" s="180"/>
      <c r="I239" s="162"/>
      <c r="J239" s="162"/>
      <c r="K239" s="163"/>
      <c r="L239" s="181"/>
      <c r="M239" s="181"/>
      <c r="N239" s="181"/>
      <c r="O239" s="181"/>
      <c r="P239" s="181"/>
    </row>
    <row r="240" spans="1:16" ht="21.75" customHeight="1" x14ac:dyDescent="0.3">
      <c r="A240" s="175"/>
      <c r="B240" s="176"/>
      <c r="C240" s="176"/>
      <c r="D240" s="182">
        <v>1</v>
      </c>
      <c r="E240" s="183" t="s">
        <v>45</v>
      </c>
      <c r="F240" s="184"/>
      <c r="G240" s="185"/>
      <c r="H240" s="186"/>
      <c r="I240" s="187"/>
      <c r="J240" s="187" t="str">
        <f ca="1">IFERROR(__xludf.DUMMYFUNCTION("IMPORTRANGE(""https://docs.google.com/spreadsheets/d/11923uPwbBZFjjGgGUA6NLw09EwE0CqkOc4q9oUmW1yo/edit?usp=sharing"",""ลำปาง!J159"")"),"")</f>
        <v/>
      </c>
      <c r="K240" s="163"/>
      <c r="L240" s="181"/>
      <c r="M240" s="181"/>
      <c r="N240" s="181"/>
      <c r="O240" s="181"/>
      <c r="P240" s="181"/>
    </row>
    <row r="241" spans="1:16" ht="21.75" customHeight="1" x14ac:dyDescent="0.3">
      <c r="A241" s="175"/>
      <c r="B241" s="176"/>
      <c r="C241" s="176"/>
      <c r="D241" s="189">
        <v>2</v>
      </c>
      <c r="E241" s="190" t="s">
        <v>46</v>
      </c>
      <c r="F241" s="191"/>
      <c r="G241" s="192"/>
      <c r="H241" s="186"/>
      <c r="I241" s="187"/>
      <c r="J241" s="187">
        <f ca="1">IFERROR(__xludf.DUMMYFUNCTION("IMPORTRANGE(""https://docs.google.com/spreadsheets/d/11923uPwbBZFjjGgGUA6NLw09EwE0CqkOc4q9oUmW1yo/edit?usp=sharing"",""ลำปาง!J161"")"),0)</f>
        <v>0</v>
      </c>
      <c r="K241" s="163"/>
      <c r="L241" s="181" t="s">
        <v>40</v>
      </c>
      <c r="M241" s="181"/>
      <c r="N241" s="181" t="s">
        <v>40</v>
      </c>
      <c r="O241" s="181"/>
      <c r="P241" s="181"/>
    </row>
    <row r="242" spans="1:16" ht="21.75" customHeight="1" x14ac:dyDescent="0.3">
      <c r="A242" s="175"/>
      <c r="B242" s="176"/>
      <c r="C242" s="176"/>
      <c r="D242" s="193"/>
      <c r="E242" s="194" t="s">
        <v>47</v>
      </c>
      <c r="F242" s="195"/>
      <c r="G242" s="196"/>
      <c r="H242" s="186"/>
      <c r="I242" s="187"/>
      <c r="J242" s="187">
        <f ca="1">IFERROR(__xludf.DUMMYFUNCTION("IMPORTRANGE(""https://docs.google.com/spreadsheets/d/11923uPwbBZFjjGgGUA6NLw09EwE0CqkOc4q9oUmW1yo/edit?usp=sharing"",""ลำปาง!J162"")"),0)</f>
        <v>0</v>
      </c>
      <c r="K242" s="163"/>
      <c r="L242" s="181"/>
      <c r="M242" s="181"/>
      <c r="N242" s="181"/>
      <c r="O242" s="181"/>
      <c r="P242" s="181"/>
    </row>
    <row r="243" spans="1:16" ht="21.75" customHeight="1" x14ac:dyDescent="0.3">
      <c r="A243" s="175"/>
      <c r="B243" s="176"/>
      <c r="C243" s="176"/>
      <c r="D243" s="193"/>
      <c r="E243" s="194" t="s">
        <v>48</v>
      </c>
      <c r="F243" s="195"/>
      <c r="G243" s="196"/>
      <c r="H243" s="186"/>
      <c r="I243" s="187"/>
      <c r="J243" s="187">
        <f ca="1">IFERROR(__xludf.DUMMYFUNCTION("IMPORTRANGE(""https://docs.google.com/spreadsheets/d/11923uPwbBZFjjGgGUA6NLw09EwE0CqkOc4q9oUmW1yo/edit?usp=sharing"",""ลำปาง!J163"")"),0)</f>
        <v>0</v>
      </c>
      <c r="K243" s="163"/>
      <c r="L243" s="181"/>
      <c r="M243" s="181"/>
      <c r="N243" s="181"/>
      <c r="O243" s="181"/>
      <c r="P243" s="181"/>
    </row>
    <row r="244" spans="1:16" ht="21.75" customHeight="1" x14ac:dyDescent="0.3">
      <c r="A244" s="175"/>
      <c r="B244" s="176"/>
      <c r="C244" s="176"/>
      <c r="D244" s="193"/>
      <c r="E244" s="195"/>
      <c r="F244" s="194" t="s">
        <v>101</v>
      </c>
      <c r="G244" s="195"/>
      <c r="H244" s="186" t="s">
        <v>37</v>
      </c>
      <c r="I244" s="203">
        <f ca="1">IFERROR(__xludf.DUMMYFUNCTION("IMPORTRANGE(""https://docs.google.com/spreadsheets/d/11923uPwbBZFjjGgGUA6NLw09EwE0CqkOc4q9oUmW1yo/edit?usp=sharing"",""ลำปาง!I164"")"),0)</f>
        <v>0</v>
      </c>
      <c r="J244" s="187">
        <f ca="1">IFERROR(__xludf.DUMMYFUNCTION("IMPORTRANGE(""https://docs.google.com/spreadsheets/d/11923uPwbBZFjjGgGUA6NLw09EwE0CqkOc4q9oUmW1yo/edit?usp=sharing"",""ลำปาง!J164"")"),0)</f>
        <v>0</v>
      </c>
      <c r="K244" s="163">
        <f ca="1">IF(I244&gt;0,J244*100/I244,0)</f>
        <v>0</v>
      </c>
      <c r="L244" s="181"/>
      <c r="M244" s="181"/>
      <c r="N244" s="181"/>
      <c r="O244" s="181"/>
      <c r="P244" s="181"/>
    </row>
    <row r="245" spans="1:16" ht="21.75" customHeight="1" x14ac:dyDescent="0.3">
      <c r="A245" s="175"/>
      <c r="B245" s="176"/>
      <c r="C245" s="176"/>
      <c r="D245" s="193"/>
      <c r="E245" s="194" t="s">
        <v>54</v>
      </c>
      <c r="F245" s="195"/>
      <c r="G245" s="196"/>
      <c r="H245" s="186"/>
      <c r="I245" s="187"/>
      <c r="J245" s="187">
        <f ca="1">IFERROR(__xludf.DUMMYFUNCTION("IMPORTRANGE(""https://docs.google.com/spreadsheets/d/11923uPwbBZFjjGgGUA6NLw09EwE0CqkOc4q9oUmW1yo/edit?usp=sharing"",""ลำปาง!J165"")"),0)</f>
        <v>0</v>
      </c>
      <c r="K245" s="163"/>
      <c r="L245" s="181"/>
      <c r="M245" s="181"/>
      <c r="N245" s="181"/>
      <c r="O245" s="181"/>
      <c r="P245" s="181"/>
    </row>
    <row r="246" spans="1:16" ht="21.75" customHeight="1" x14ac:dyDescent="0.3">
      <c r="A246" s="233"/>
      <c r="B246" s="234"/>
      <c r="C246" s="234"/>
      <c r="D246" s="235">
        <v>3</v>
      </c>
      <c r="E246" s="236" t="s">
        <v>55</v>
      </c>
      <c r="F246" s="237"/>
      <c r="G246" s="238"/>
      <c r="H246" s="239"/>
      <c r="I246" s="240"/>
      <c r="J246" s="241">
        <f ca="1">IFERROR(__xludf.DUMMYFUNCTION("IMPORTRANGE(""https://docs.google.com/spreadsheets/d/11923uPwbBZFjjGgGUA6NLw09EwE0CqkOc4q9oUmW1yo/edit?usp=sharing"",""ลำปาง!J166"")"),0)</f>
        <v>0</v>
      </c>
      <c r="K246" s="286"/>
      <c r="L246" s="244"/>
      <c r="M246" s="244"/>
      <c r="N246" s="244"/>
      <c r="O246" s="244"/>
      <c r="P246" s="244"/>
    </row>
    <row r="247" spans="1:16" ht="21.75" customHeight="1" x14ac:dyDescent="0.3">
      <c r="A247" s="293" t="s">
        <v>102</v>
      </c>
      <c r="B247" s="294"/>
      <c r="C247" s="294"/>
      <c r="D247" s="294"/>
      <c r="E247" s="295"/>
      <c r="F247" s="295"/>
      <c r="G247" s="296"/>
      <c r="H247" s="297"/>
      <c r="I247" s="298"/>
      <c r="J247" s="298"/>
      <c r="K247" s="299"/>
      <c r="L247" s="300"/>
      <c r="M247" s="300"/>
      <c r="N247" s="300"/>
      <c r="O247" s="301"/>
      <c r="P247" s="301"/>
    </row>
    <row r="248" spans="1:16" ht="21.75" customHeight="1" x14ac:dyDescent="0.3">
      <c r="A248" s="302" t="s">
        <v>103</v>
      </c>
      <c r="B248" s="303"/>
      <c r="C248" s="303"/>
      <c r="D248" s="304"/>
      <c r="E248" s="304"/>
      <c r="F248" s="304"/>
      <c r="G248" s="305"/>
      <c r="H248" s="306"/>
      <c r="I248" s="307"/>
      <c r="J248" s="307"/>
      <c r="K248" s="308"/>
      <c r="L248" s="308"/>
      <c r="M248" s="308"/>
      <c r="N248" s="308"/>
      <c r="O248" s="309"/>
      <c r="P248" s="309"/>
    </row>
    <row r="249" spans="1:16" ht="21.75" customHeight="1" x14ac:dyDescent="0.3">
      <c r="A249" s="310"/>
      <c r="B249" s="311" t="s">
        <v>104</v>
      </c>
      <c r="C249" s="311"/>
      <c r="D249" s="311"/>
      <c r="E249" s="311"/>
      <c r="F249" s="311"/>
      <c r="G249" s="312"/>
      <c r="H249" s="313" t="s">
        <v>37</v>
      </c>
      <c r="I249" s="314">
        <f ca="1">IFERROR(__xludf.DUMMYFUNCTION("IMPORTRANGE(""https://docs.google.com/spreadsheets/d/11923uPwbBZFjjGgGUA6NLw09EwE0CqkOc4q9oUmW1yo/edit?usp=sharing"",""ลำปาง!I169"")"),0)</f>
        <v>0</v>
      </c>
      <c r="J249" s="314">
        <f ca="1">IFERROR(__xludf.DUMMYFUNCTION("IMPORTRANGE(""https://docs.google.com/spreadsheets/d/11923uPwbBZFjjGgGUA6NLw09EwE0CqkOc4q9oUmW1yo/edit?usp=sharing"",""ลำปาง!J169"")"),0)</f>
        <v>0</v>
      </c>
      <c r="K249" s="315">
        <f ca="1">IF(I249&gt;0,J249*100/I249,0)</f>
        <v>0</v>
      </c>
      <c r="L249" s="316"/>
      <c r="M249" s="316"/>
      <c r="N249" s="316"/>
      <c r="O249" s="315"/>
      <c r="P249" s="315"/>
    </row>
    <row r="250" spans="1:16" ht="21.75" customHeight="1" x14ac:dyDescent="0.45">
      <c r="A250" s="145"/>
      <c r="B250" s="146"/>
      <c r="C250" s="147" t="s">
        <v>16</v>
      </c>
      <c r="D250" s="537" t="s">
        <v>17</v>
      </c>
      <c r="E250" s="528"/>
      <c r="F250" s="528"/>
      <c r="G250" s="528"/>
      <c r="H250" s="148" t="s">
        <v>12</v>
      </c>
      <c r="I250" s="162"/>
      <c r="J250" s="162"/>
      <c r="K250" s="163"/>
      <c r="L250" s="151">
        <f t="shared" ref="L250:N250" ca="1" si="77">L251+L252</f>
        <v>0</v>
      </c>
      <c r="M250" s="151">
        <f t="shared" ca="1" si="77"/>
        <v>0</v>
      </c>
      <c r="N250" s="151">
        <f t="shared" ca="1" si="77"/>
        <v>0</v>
      </c>
      <c r="O250" s="150">
        <f t="shared" ref="O250:O252" ca="1" si="78">IF(L250&gt;0,N250*100/L250,0)</f>
        <v>0</v>
      </c>
      <c r="P250" s="150">
        <f t="shared" ref="P250:P252" ca="1" si="79">IF(M250&gt;0,N250*100/M250,0)</f>
        <v>0</v>
      </c>
    </row>
    <row r="251" spans="1:16" ht="21.75" customHeight="1" x14ac:dyDescent="0.45">
      <c r="A251" s="152"/>
      <c r="B251" s="32"/>
      <c r="C251" s="32"/>
      <c r="D251" s="32"/>
      <c r="E251" s="32"/>
      <c r="F251" s="32"/>
      <c r="G251" s="33" t="s">
        <v>18</v>
      </c>
      <c r="H251" s="153" t="s">
        <v>12</v>
      </c>
      <c r="I251" s="162"/>
      <c r="J251" s="162"/>
      <c r="K251" s="163"/>
      <c r="L251" s="87">
        <f t="shared" ref="L251:N251" si="80">L253+L257</f>
        <v>0</v>
      </c>
      <c r="M251" s="87">
        <f t="shared" si="80"/>
        <v>0</v>
      </c>
      <c r="N251" s="87">
        <f t="shared" si="80"/>
        <v>0</v>
      </c>
      <c r="O251" s="155">
        <f t="shared" si="78"/>
        <v>0</v>
      </c>
      <c r="P251" s="155">
        <f t="shared" si="79"/>
        <v>0</v>
      </c>
    </row>
    <row r="252" spans="1:16" ht="21.75" customHeight="1" x14ac:dyDescent="0.45">
      <c r="A252" s="152"/>
      <c r="B252" s="32"/>
      <c r="C252" s="32"/>
      <c r="D252" s="32"/>
      <c r="E252" s="32"/>
      <c r="F252" s="32"/>
      <c r="G252" s="33" t="s">
        <v>19</v>
      </c>
      <c r="H252" s="153" t="s">
        <v>12</v>
      </c>
      <c r="I252" s="162"/>
      <c r="J252" s="162"/>
      <c r="K252" s="163"/>
      <c r="L252" s="87">
        <f t="shared" ref="L252:N252" ca="1" si="81">L254+L258</f>
        <v>0</v>
      </c>
      <c r="M252" s="87">
        <f t="shared" ca="1" si="81"/>
        <v>0</v>
      </c>
      <c r="N252" s="87">
        <f t="shared" ca="1" si="81"/>
        <v>0</v>
      </c>
      <c r="O252" s="155">
        <f t="shared" ca="1" si="78"/>
        <v>0</v>
      </c>
      <c r="P252" s="155">
        <f t="shared" ca="1" si="79"/>
        <v>0</v>
      </c>
    </row>
    <row r="253" spans="1:16" ht="21.75" customHeight="1" x14ac:dyDescent="0.3">
      <c r="A253" s="156"/>
      <c r="B253" s="157"/>
      <c r="C253" s="157" t="s">
        <v>16</v>
      </c>
      <c r="D253" s="158" t="s">
        <v>38</v>
      </c>
      <c r="E253" s="159"/>
      <c r="F253" s="159"/>
      <c r="G253" s="160" t="s">
        <v>39</v>
      </c>
      <c r="H253" s="161" t="s">
        <v>12</v>
      </c>
      <c r="I253" s="162" t="s">
        <v>40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3">
      <c r="A254" s="156"/>
      <c r="B254" s="157"/>
      <c r="C254" s="157"/>
      <c r="D254" s="166"/>
      <c r="E254" s="159"/>
      <c r="F254" s="159" t="s">
        <v>40</v>
      </c>
      <c r="G254" s="160" t="s">
        <v>41</v>
      </c>
      <c r="H254" s="161" t="s">
        <v>12</v>
      </c>
      <c r="I254" s="162"/>
      <c r="J254" s="162"/>
      <c r="K254" s="163"/>
      <c r="L254" s="167">
        <f ca="1">L255+L256</f>
        <v>0</v>
      </c>
      <c r="M254" s="167">
        <f ca="1">IFERROR(__xludf.DUMMYFUNCTION("IMPORTRANGE(""https://docs.google.com/spreadsheets/d/1Yj_ptqi66GCucihVvJfMjLAmec39IyEx_6qawtMGysU/edit?usp=sharing"",""สบก!CB32"")"),0)</f>
        <v>0</v>
      </c>
      <c r="N254" s="168">
        <f ca="1">IFERROR(__xludf.DUMMYFUNCTION("IMPORTRANGE(""https://docs.google.com/spreadsheets/d/1Yj_ptqi66GCucihVvJfMjLAmec39IyEx_6qawtMGysU/edit?usp=sharing"",""สบก!CC32"")"),0)</f>
        <v>0</v>
      </c>
      <c r="O254" s="168">
        <f ca="1">IF(L254&gt;0,N254*100/L254,0)</f>
        <v>0</v>
      </c>
      <c r="P254" s="168">
        <f ca="1">IF(M254&gt;0,N254*100/M254,0)</f>
        <v>0</v>
      </c>
    </row>
    <row r="255" spans="1:16" ht="21.75" customHeight="1" x14ac:dyDescent="0.3">
      <c r="A255" s="156"/>
      <c r="B255" s="157"/>
      <c r="C255" s="157"/>
      <c r="D255" s="166"/>
      <c r="E255" s="159"/>
      <c r="F255" s="159"/>
      <c r="G255" s="169" t="s">
        <v>42</v>
      </c>
      <c r="H255" s="161" t="s">
        <v>12</v>
      </c>
      <c r="I255" s="162"/>
      <c r="J255" s="162"/>
      <c r="K255" s="163"/>
      <c r="L255" s="167">
        <f ca="1">IFERROR(__xludf.DUMMYFUNCTION("IMPORTRANGE(""https://docs.google.com/spreadsheets/d/1Yj_ptqi66GCucihVvJfMjLAmec39IyEx_6qawtMGysU/edit?usp=sharing"",""สบก!BX32"")"),0)</f>
        <v>0</v>
      </c>
      <c r="M255" s="167"/>
      <c r="N255" s="167"/>
      <c r="O255" s="168"/>
      <c r="P255" s="168"/>
    </row>
    <row r="256" spans="1:16" ht="21.75" customHeight="1" x14ac:dyDescent="0.3">
      <c r="A256" s="156"/>
      <c r="B256" s="157"/>
      <c r="C256" s="157"/>
      <c r="D256" s="166"/>
      <c r="E256" s="159"/>
      <c r="F256" s="159"/>
      <c r="G256" s="169" t="s">
        <v>43</v>
      </c>
      <c r="H256" s="161" t="s">
        <v>12</v>
      </c>
      <c r="I256" s="162"/>
      <c r="J256" s="162"/>
      <c r="K256" s="163"/>
      <c r="L256" s="167">
        <f ca="1">IFERROR(__xludf.DUMMYFUNCTION("IMPORTRANGE(""https://docs.google.com/spreadsheets/d/1Yj_ptqi66GCucihVvJfMjLAmec39IyEx_6qawtMGysU/edit?usp=sharing"",""สบก!BY32"")"),0)</f>
        <v>0</v>
      </c>
      <c r="M256" s="167"/>
      <c r="N256" s="167"/>
      <c r="O256" s="168"/>
      <c r="P256" s="168"/>
    </row>
    <row r="257" spans="1:16" ht="21.75" customHeight="1" x14ac:dyDescent="0.45">
      <c r="A257" s="170"/>
      <c r="B257" s="80"/>
      <c r="C257" s="81" t="s">
        <v>16</v>
      </c>
      <c r="D257" s="534" t="s">
        <v>23</v>
      </c>
      <c r="E257" s="530"/>
      <c r="F257" s="88"/>
      <c r="G257" s="82" t="s">
        <v>18</v>
      </c>
      <c r="H257" s="171" t="s">
        <v>12</v>
      </c>
      <c r="I257" s="162"/>
      <c r="J257" s="162"/>
      <c r="K257" s="163"/>
      <c r="L257" s="41">
        <v>0</v>
      </c>
      <c r="M257" s="41"/>
      <c r="N257" s="41"/>
      <c r="O257" s="41"/>
      <c r="P257" s="41"/>
    </row>
    <row r="258" spans="1:16" ht="21.75" customHeight="1" x14ac:dyDescent="0.45">
      <c r="A258" s="172"/>
      <c r="B258" s="91"/>
      <c r="C258" s="91"/>
      <c r="D258" s="173"/>
      <c r="E258" s="92"/>
      <c r="F258" s="92"/>
      <c r="G258" s="93" t="s">
        <v>19</v>
      </c>
      <c r="H258" s="174" t="s">
        <v>12</v>
      </c>
      <c r="I258" s="162"/>
      <c r="J258" s="162"/>
      <c r="K258" s="163"/>
      <c r="L258" s="49">
        <f ca="1">IFERROR(__xludf.DUMMYFUNCTION("IMPORTRANGE(""https://docs.google.com/spreadsheets/d/1Yj_ptqi66GCucihVvJfMjLAmec39IyEx_6qawtMGysU/edit?usp=sharing"",""สบก!BZ32"")"),0)</f>
        <v>0</v>
      </c>
      <c r="M258" s="49"/>
      <c r="N258" s="49">
        <f ca="1">IFERROR(__xludf.DUMMYFUNCTION("IMPORTRANGE(""https://docs.google.com/spreadsheets/d/1Yj_ptqi66GCucihVvJfMjLAmec39IyEx_6qawtMGysU/edit?usp=sharing"",""สบก!CD32"")"),0)</f>
        <v>0</v>
      </c>
      <c r="O258" s="49">
        <f ca="1">IF(L258&gt;0,N258*100/L258,0)</f>
        <v>0</v>
      </c>
      <c r="P258" s="49"/>
    </row>
    <row r="259" spans="1:16" ht="21.75" customHeight="1" x14ac:dyDescent="0.3">
      <c r="A259" s="175"/>
      <c r="B259" s="176"/>
      <c r="C259" s="157" t="s">
        <v>16</v>
      </c>
      <c r="D259" s="177" t="s">
        <v>44</v>
      </c>
      <c r="E259" s="178"/>
      <c r="F259" s="178"/>
      <c r="G259" s="179"/>
      <c r="H259" s="180"/>
      <c r="I259" s="162"/>
      <c r="J259" s="162"/>
      <c r="K259" s="163"/>
      <c r="L259" s="181"/>
      <c r="M259" s="181"/>
      <c r="N259" s="181"/>
      <c r="O259" s="181"/>
      <c r="P259" s="181"/>
    </row>
    <row r="260" spans="1:16" ht="21.75" customHeight="1" x14ac:dyDescent="0.3">
      <c r="A260" s="175"/>
      <c r="B260" s="176"/>
      <c r="C260" s="176"/>
      <c r="D260" s="182">
        <v>1</v>
      </c>
      <c r="E260" s="183" t="s">
        <v>45</v>
      </c>
      <c r="F260" s="184"/>
      <c r="G260" s="185"/>
      <c r="H260" s="186"/>
      <c r="I260" s="187"/>
      <c r="J260" s="188">
        <f ca="1">IFERROR(__xludf.DUMMYFUNCTION("IMPORTRANGE(""https://docs.google.com/spreadsheets/d/11923uPwbBZFjjGgGUA6NLw09EwE0CqkOc4q9oUmW1yo/edit?usp=sharing"",""ลำปาง!J175"")"),0)</f>
        <v>0</v>
      </c>
      <c r="K260" s="163"/>
      <c r="L260" s="181"/>
      <c r="M260" s="181"/>
      <c r="N260" s="181"/>
      <c r="O260" s="181"/>
      <c r="P260" s="181"/>
    </row>
    <row r="261" spans="1:16" ht="21.75" customHeight="1" x14ac:dyDescent="0.3">
      <c r="A261" s="175"/>
      <c r="B261" s="176"/>
      <c r="C261" s="176"/>
      <c r="D261" s="189">
        <v>2</v>
      </c>
      <c r="E261" s="190" t="s">
        <v>46</v>
      </c>
      <c r="F261" s="191"/>
      <c r="G261" s="192"/>
      <c r="H261" s="186"/>
      <c r="I261" s="187"/>
      <c r="J261" s="197">
        <f ca="1">IFERROR(__xludf.DUMMYFUNCTION("IMPORTRANGE(""https://docs.google.com/spreadsheets/d/11923uPwbBZFjjGgGUA6NLw09EwE0CqkOc4q9oUmW1yo/edit?usp=sharing"",""ลำปาง!J176"")"),0)</f>
        <v>0</v>
      </c>
      <c r="K261" s="163"/>
      <c r="L261" s="181" t="s">
        <v>40</v>
      </c>
      <c r="M261" s="181"/>
      <c r="N261" s="181" t="s">
        <v>40</v>
      </c>
      <c r="O261" s="181"/>
      <c r="P261" s="181"/>
    </row>
    <row r="262" spans="1:16" ht="21.75" customHeight="1" x14ac:dyDescent="0.3">
      <c r="A262" s="175"/>
      <c r="B262" s="176"/>
      <c r="C262" s="176"/>
      <c r="D262" s="193"/>
      <c r="E262" s="194" t="s">
        <v>47</v>
      </c>
      <c r="F262" s="195"/>
      <c r="G262" s="196"/>
      <c r="H262" s="186"/>
      <c r="I262" s="187"/>
      <c r="J262" s="197">
        <f ca="1">IFERROR(__xludf.DUMMYFUNCTION("IMPORTRANGE(""https://docs.google.com/spreadsheets/d/11923uPwbBZFjjGgGUA6NLw09EwE0CqkOc4q9oUmW1yo/edit?usp=sharing"",""ลำปาง!J177"")"),0)</f>
        <v>0</v>
      </c>
      <c r="K262" s="163"/>
      <c r="L262" s="181"/>
      <c r="M262" s="181"/>
      <c r="N262" s="181"/>
      <c r="O262" s="181"/>
      <c r="P262" s="181"/>
    </row>
    <row r="263" spans="1:16" ht="21.75" customHeight="1" x14ac:dyDescent="0.3">
      <c r="A263" s="175"/>
      <c r="B263" s="176"/>
      <c r="C263" s="176"/>
      <c r="D263" s="193"/>
      <c r="E263" s="194" t="s">
        <v>48</v>
      </c>
      <c r="F263" s="195"/>
      <c r="G263" s="196"/>
      <c r="H263" s="186"/>
      <c r="I263" s="187"/>
      <c r="J263" s="197">
        <f ca="1">IFERROR(__xludf.DUMMYFUNCTION("IMPORTRANGE(""https://docs.google.com/spreadsheets/d/11923uPwbBZFjjGgGUA6NLw09EwE0CqkOc4q9oUmW1yo/edit?usp=sharing"",""ลำปาง!J178"")"),0)</f>
        <v>0</v>
      </c>
      <c r="K263" s="163"/>
      <c r="L263" s="181"/>
      <c r="M263" s="181"/>
      <c r="N263" s="181"/>
      <c r="O263" s="181"/>
      <c r="P263" s="181"/>
    </row>
    <row r="264" spans="1:16" ht="21.75" customHeight="1" x14ac:dyDescent="0.3">
      <c r="A264" s="175"/>
      <c r="B264" s="176"/>
      <c r="C264" s="176"/>
      <c r="D264" s="193"/>
      <c r="E264" s="198"/>
      <c r="F264" s="194" t="s">
        <v>105</v>
      </c>
      <c r="G264" s="196"/>
      <c r="H264" s="180" t="s">
        <v>59</v>
      </c>
      <c r="I264" s="187">
        <f ca="1">IFERROR(__xludf.DUMMYFUNCTION("IMPORTRANGE(""https://docs.google.com/spreadsheets/d/11923uPwbBZFjjGgGUA6NLw09EwE0CqkOc4q9oUmW1yo/edit?usp=sharing"",""ลำปาง!I179"")"),0)</f>
        <v>0</v>
      </c>
      <c r="J264" s="188">
        <f ca="1">IFERROR(__xludf.DUMMYFUNCTION("IMPORTRANGE(""https://docs.google.com/spreadsheets/d/11923uPwbBZFjjGgGUA6NLw09EwE0CqkOc4q9oUmW1yo/edit?usp=sharing"",""ลำปาง!J179"")"),0)</f>
        <v>0</v>
      </c>
      <c r="K264" s="163">
        <f t="shared" ref="K264:K267" ca="1" si="82">IF(I264&gt;0,J264*100/I264,0)</f>
        <v>0</v>
      </c>
      <c r="L264" s="181"/>
      <c r="M264" s="181"/>
      <c r="N264" s="181"/>
      <c r="O264" s="181"/>
      <c r="P264" s="181"/>
    </row>
    <row r="265" spans="1:16" ht="21.75" customHeight="1" x14ac:dyDescent="0.3">
      <c r="A265" s="175"/>
      <c r="B265" s="176"/>
      <c r="C265" s="176"/>
      <c r="D265" s="193"/>
      <c r="E265" s="198"/>
      <c r="F265" s="194" t="s">
        <v>106</v>
      </c>
      <c r="G265" s="196"/>
      <c r="H265" s="180" t="s">
        <v>37</v>
      </c>
      <c r="I265" s="187">
        <f ca="1">IFERROR(__xludf.DUMMYFUNCTION("IMPORTRANGE(""https://docs.google.com/spreadsheets/d/11923uPwbBZFjjGgGUA6NLw09EwE0CqkOc4q9oUmW1yo/edit?usp=sharing"",""ลำปาง!I180"")"),0)</f>
        <v>0</v>
      </c>
      <c r="J265" s="188">
        <f ca="1">IFERROR(__xludf.DUMMYFUNCTION("IMPORTRANGE(""https://docs.google.com/spreadsheets/d/11923uPwbBZFjjGgGUA6NLw09EwE0CqkOc4q9oUmW1yo/edit?usp=sharing"",""ลำปาง!J180"")"),0)</f>
        <v>0</v>
      </c>
      <c r="K265" s="163">
        <f t="shared" ca="1" si="82"/>
        <v>0</v>
      </c>
      <c r="L265" s="181"/>
      <c r="M265" s="181"/>
      <c r="N265" s="181"/>
      <c r="O265" s="181"/>
      <c r="P265" s="181"/>
    </row>
    <row r="266" spans="1:16" ht="21.75" customHeight="1" x14ac:dyDescent="0.3">
      <c r="A266" s="175"/>
      <c r="B266" s="176"/>
      <c r="C266" s="176"/>
      <c r="D266" s="193"/>
      <c r="E266" s="198"/>
      <c r="F266" s="194" t="s">
        <v>107</v>
      </c>
      <c r="G266" s="196"/>
      <c r="H266" s="180" t="s">
        <v>37</v>
      </c>
      <c r="I266" s="187">
        <f ca="1">IFERROR(__xludf.DUMMYFUNCTION("IMPORTRANGE(""https://docs.google.com/spreadsheets/d/11923uPwbBZFjjGgGUA6NLw09EwE0CqkOc4q9oUmW1yo/edit?usp=sharing"",""ลำปาง!I181"")"),0)</f>
        <v>0</v>
      </c>
      <c r="J266" s="188">
        <f ca="1">IFERROR(__xludf.DUMMYFUNCTION("IMPORTRANGE(""https://docs.google.com/spreadsheets/d/11923uPwbBZFjjGgGUA6NLw09EwE0CqkOc4q9oUmW1yo/edit?usp=sharing"",""ลำปาง!J181"")"),0)</f>
        <v>0</v>
      </c>
      <c r="K266" s="163">
        <f t="shared" ca="1" si="82"/>
        <v>0</v>
      </c>
      <c r="L266" s="181"/>
      <c r="M266" s="181"/>
      <c r="N266" s="181"/>
      <c r="O266" s="181"/>
      <c r="P266" s="181"/>
    </row>
    <row r="267" spans="1:16" ht="21.75" customHeight="1" x14ac:dyDescent="0.3">
      <c r="A267" s="175"/>
      <c r="B267" s="176"/>
      <c r="C267" s="176"/>
      <c r="D267" s="193"/>
      <c r="E267" s="198"/>
      <c r="F267" s="194" t="s">
        <v>108</v>
      </c>
      <c r="G267" s="196"/>
      <c r="H267" s="180" t="s">
        <v>37</v>
      </c>
      <c r="I267" s="187">
        <f ca="1">IFERROR(__xludf.DUMMYFUNCTION("IMPORTRANGE(""https://docs.google.com/spreadsheets/d/11923uPwbBZFjjGgGUA6NLw09EwE0CqkOc4q9oUmW1yo/edit?usp=sharing"",""ลำปาง!I182"")"),0)</f>
        <v>0</v>
      </c>
      <c r="J267" s="188">
        <f ca="1">IFERROR(__xludf.DUMMYFUNCTION("IMPORTRANGE(""https://docs.google.com/spreadsheets/d/11923uPwbBZFjjGgGUA6NLw09EwE0CqkOc4q9oUmW1yo/edit?usp=sharing"",""ลำปาง!J182"")"),0)</f>
        <v>0</v>
      </c>
      <c r="K267" s="163">
        <f t="shared" ca="1" si="82"/>
        <v>0</v>
      </c>
      <c r="L267" s="181"/>
      <c r="M267" s="181"/>
      <c r="N267" s="181"/>
      <c r="O267" s="181"/>
      <c r="P267" s="181"/>
    </row>
    <row r="268" spans="1:16" ht="21.75" customHeight="1" x14ac:dyDescent="0.3">
      <c r="A268" s="175"/>
      <c r="B268" s="176"/>
      <c r="C268" s="176"/>
      <c r="D268" s="193"/>
      <c r="E268" s="194" t="s">
        <v>54</v>
      </c>
      <c r="F268" s="195"/>
      <c r="G268" s="196"/>
      <c r="H268" s="186"/>
      <c r="I268" s="187"/>
      <c r="J268" s="197">
        <f ca="1">IFERROR(__xludf.DUMMYFUNCTION("IMPORTRANGE(""https://docs.google.com/spreadsheets/d/11923uPwbBZFjjGgGUA6NLw09EwE0CqkOc4q9oUmW1yo/edit?usp=sharing"",""ลำปาง!J183"")"),0)</f>
        <v>0</v>
      </c>
      <c r="K268" s="163"/>
      <c r="L268" s="181"/>
      <c r="M268" s="181"/>
      <c r="N268" s="181"/>
      <c r="O268" s="181"/>
      <c r="P268" s="181"/>
    </row>
    <row r="269" spans="1:16" ht="21.75" customHeight="1" x14ac:dyDescent="0.3">
      <c r="A269" s="233"/>
      <c r="B269" s="234"/>
      <c r="C269" s="234"/>
      <c r="D269" s="235">
        <v>3</v>
      </c>
      <c r="E269" s="236" t="s">
        <v>55</v>
      </c>
      <c r="F269" s="237"/>
      <c r="G269" s="238"/>
      <c r="H269" s="239"/>
      <c r="I269" s="240"/>
      <c r="J269" s="285">
        <f ca="1">IFERROR(__xludf.DUMMYFUNCTION("IMPORTRANGE(""https://docs.google.com/spreadsheets/d/11923uPwbBZFjjGgGUA6NLw09EwE0CqkOc4q9oUmW1yo/edit?usp=sharing"",""ลำปาง!J184"")"),0)</f>
        <v>0</v>
      </c>
      <c r="K269" s="286"/>
      <c r="L269" s="244"/>
      <c r="M269" s="244"/>
      <c r="N269" s="244"/>
      <c r="O269" s="244"/>
      <c r="P269" s="244"/>
    </row>
    <row r="270" spans="1:16" ht="21.75" customHeight="1" x14ac:dyDescent="0.3">
      <c r="A270" s="310"/>
      <c r="B270" s="311" t="s">
        <v>109</v>
      </c>
      <c r="C270" s="311"/>
      <c r="D270" s="311"/>
      <c r="E270" s="311"/>
      <c r="F270" s="311"/>
      <c r="G270" s="312"/>
      <c r="H270" s="313" t="s">
        <v>37</v>
      </c>
      <c r="I270" s="314">
        <f ca="1">IFERROR(__xludf.DUMMYFUNCTION("IMPORTRANGE(""https://docs.google.com/spreadsheets/d/11923uPwbBZFjjGgGUA6NLw09EwE0CqkOc4q9oUmW1yo/edit?usp=sharing"",""ลำปาง!I185"")"),15)</f>
        <v>15</v>
      </c>
      <c r="J270" s="314">
        <f ca="1">IFERROR(__xludf.DUMMYFUNCTION("IMPORTRANGE(""https://docs.google.com/spreadsheets/d/11923uPwbBZFjjGgGUA6NLw09EwE0CqkOc4q9oUmW1yo/edit?usp=sharing"",""ลำปาง!J185"")"),0)</f>
        <v>0</v>
      </c>
      <c r="K270" s="315">
        <f ca="1">IF(I270&gt;0,J270*100/I270,0)</f>
        <v>0</v>
      </c>
      <c r="L270" s="316"/>
      <c r="M270" s="316"/>
      <c r="N270" s="316"/>
      <c r="O270" s="315"/>
      <c r="P270" s="315"/>
    </row>
    <row r="271" spans="1:16" ht="21.75" customHeight="1" x14ac:dyDescent="0.45">
      <c r="A271" s="145"/>
      <c r="B271" s="146"/>
      <c r="C271" s="147" t="s">
        <v>16</v>
      </c>
      <c r="D271" s="537" t="s">
        <v>17</v>
      </c>
      <c r="E271" s="528"/>
      <c r="F271" s="528"/>
      <c r="G271" s="528"/>
      <c r="H271" s="148" t="s">
        <v>12</v>
      </c>
      <c r="I271" s="162"/>
      <c r="J271" s="162"/>
      <c r="K271" s="163"/>
      <c r="L271" s="151">
        <f t="shared" ref="L271:N271" ca="1" si="83">L272+L273</f>
        <v>187200</v>
      </c>
      <c r="M271" s="151">
        <f t="shared" ca="1" si="83"/>
        <v>98250</v>
      </c>
      <c r="N271" s="151">
        <f t="shared" ca="1" si="83"/>
        <v>48477</v>
      </c>
      <c r="O271" s="150">
        <f t="shared" ref="O271:O273" ca="1" si="84">IF(L271&gt;0,N271*100/L271,0)</f>
        <v>25.895833333333332</v>
      </c>
      <c r="P271" s="150">
        <f t="shared" ref="P271:P273" ca="1" si="85">IF(M271&gt;0,N271*100/M271,0)</f>
        <v>49.340458015267174</v>
      </c>
    </row>
    <row r="272" spans="1:16" ht="21.75" customHeight="1" x14ac:dyDescent="0.45">
      <c r="A272" s="152"/>
      <c r="B272" s="32"/>
      <c r="C272" s="32"/>
      <c r="D272" s="32"/>
      <c r="E272" s="32"/>
      <c r="F272" s="32"/>
      <c r="G272" s="33" t="s">
        <v>18</v>
      </c>
      <c r="H272" s="153" t="s">
        <v>12</v>
      </c>
      <c r="I272" s="162"/>
      <c r="J272" s="162"/>
      <c r="K272" s="163"/>
      <c r="L272" s="87">
        <f t="shared" ref="L272:N272" si="86">L274+L278</f>
        <v>0</v>
      </c>
      <c r="M272" s="87">
        <f t="shared" si="86"/>
        <v>0</v>
      </c>
      <c r="N272" s="87">
        <f t="shared" si="86"/>
        <v>0</v>
      </c>
      <c r="O272" s="155">
        <f t="shared" si="84"/>
        <v>0</v>
      </c>
      <c r="P272" s="155">
        <f t="shared" si="85"/>
        <v>0</v>
      </c>
    </row>
    <row r="273" spans="1:16" ht="21.75" customHeight="1" x14ac:dyDescent="0.45">
      <c r="A273" s="152"/>
      <c r="B273" s="32"/>
      <c r="C273" s="32"/>
      <c r="D273" s="32"/>
      <c r="E273" s="32"/>
      <c r="F273" s="32"/>
      <c r="G273" s="33" t="s">
        <v>19</v>
      </c>
      <c r="H273" s="153" t="s">
        <v>12</v>
      </c>
      <c r="I273" s="162"/>
      <c r="J273" s="162"/>
      <c r="K273" s="163"/>
      <c r="L273" s="87">
        <f t="shared" ref="L273:N273" ca="1" si="87">L275+L279</f>
        <v>187200</v>
      </c>
      <c r="M273" s="87">
        <f t="shared" ca="1" si="87"/>
        <v>98250</v>
      </c>
      <c r="N273" s="87">
        <f t="shared" ca="1" si="87"/>
        <v>48477</v>
      </c>
      <c r="O273" s="155">
        <f t="shared" ca="1" si="84"/>
        <v>25.895833333333332</v>
      </c>
      <c r="P273" s="155">
        <f t="shared" ca="1" si="85"/>
        <v>49.340458015267174</v>
      </c>
    </row>
    <row r="274" spans="1:16" ht="21.75" customHeight="1" x14ac:dyDescent="0.3">
      <c r="A274" s="156"/>
      <c r="B274" s="157"/>
      <c r="C274" s="157" t="s">
        <v>16</v>
      </c>
      <c r="D274" s="158" t="s">
        <v>38</v>
      </c>
      <c r="E274" s="159"/>
      <c r="F274" s="159"/>
      <c r="G274" s="160" t="s">
        <v>39</v>
      </c>
      <c r="H274" s="161" t="s">
        <v>12</v>
      </c>
      <c r="I274" s="162" t="s">
        <v>40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3">
      <c r="A275" s="156"/>
      <c r="B275" s="157"/>
      <c r="C275" s="157"/>
      <c r="D275" s="166"/>
      <c r="E275" s="159"/>
      <c r="F275" s="159" t="s">
        <v>40</v>
      </c>
      <c r="G275" s="160" t="s">
        <v>41</v>
      </c>
      <c r="H275" s="161" t="s">
        <v>12</v>
      </c>
      <c r="I275" s="162"/>
      <c r="J275" s="162"/>
      <c r="K275" s="163"/>
      <c r="L275" s="167">
        <f ca="1">L276+L277</f>
        <v>187200</v>
      </c>
      <c r="M275" s="167">
        <f ca="1">IFERROR(__xludf.DUMMYFUNCTION("IMPORTRANGE(""https://docs.google.com/spreadsheets/d/1Yj_ptqi66GCucihVvJfMjLAmec39IyEx_6qawtMGysU/edit?usp=sharing"",""สบก!CK32"")"),98250)</f>
        <v>98250</v>
      </c>
      <c r="N275" s="168">
        <f ca="1">IFERROR(__xludf.DUMMYFUNCTION("IMPORTRANGE(""https://docs.google.com/spreadsheets/d/1Yj_ptqi66GCucihVvJfMjLAmec39IyEx_6qawtMGysU/edit?usp=sharing"",""สบก!CL32"")"),48477)</f>
        <v>48477</v>
      </c>
      <c r="O275" s="168">
        <f ca="1">IF(L275&gt;0,N275*100/L275,0)</f>
        <v>25.895833333333332</v>
      </c>
      <c r="P275" s="168">
        <f ca="1">IF(M275&gt;0,N275*100/M275,0)</f>
        <v>49.340458015267174</v>
      </c>
    </row>
    <row r="276" spans="1:16" ht="21.75" customHeight="1" x14ac:dyDescent="0.3">
      <c r="A276" s="156"/>
      <c r="B276" s="157"/>
      <c r="C276" s="157"/>
      <c r="D276" s="166"/>
      <c r="E276" s="159"/>
      <c r="F276" s="159"/>
      <c r="G276" s="169" t="s">
        <v>42</v>
      </c>
      <c r="H276" s="161" t="s">
        <v>12</v>
      </c>
      <c r="I276" s="162"/>
      <c r="J276" s="162"/>
      <c r="K276" s="163"/>
      <c r="L276" s="167">
        <f ca="1">IFERROR(__xludf.DUMMYFUNCTION("IMPORTRANGE(""https://docs.google.com/spreadsheets/d/1Yj_ptqi66GCucihVvJfMjLAmec39IyEx_6qawtMGysU/edit?usp=sharing"",""สบก!CG32"")"),132000)</f>
        <v>132000</v>
      </c>
      <c r="M276" s="167"/>
      <c r="N276" s="167"/>
      <c r="O276" s="168"/>
      <c r="P276" s="168"/>
    </row>
    <row r="277" spans="1:16" ht="21.75" customHeight="1" x14ac:dyDescent="0.3">
      <c r="A277" s="156"/>
      <c r="B277" s="157"/>
      <c r="C277" s="157"/>
      <c r="D277" s="166"/>
      <c r="E277" s="159"/>
      <c r="F277" s="159"/>
      <c r="G277" s="169" t="s">
        <v>43</v>
      </c>
      <c r="H277" s="161" t="s">
        <v>12</v>
      </c>
      <c r="I277" s="162"/>
      <c r="J277" s="162"/>
      <c r="K277" s="163"/>
      <c r="L277" s="167">
        <f ca="1">IFERROR(__xludf.DUMMYFUNCTION("IMPORTRANGE(""https://docs.google.com/spreadsheets/d/1Yj_ptqi66GCucihVvJfMjLAmec39IyEx_6qawtMGysU/edit?usp=sharing"",""สบก!CH32"")"),55200)</f>
        <v>55200</v>
      </c>
      <c r="M277" s="167"/>
      <c r="N277" s="167"/>
      <c r="O277" s="168"/>
      <c r="P277" s="168"/>
    </row>
    <row r="278" spans="1:16" ht="21.75" customHeight="1" x14ac:dyDescent="0.45">
      <c r="A278" s="170"/>
      <c r="B278" s="80"/>
      <c r="C278" s="81" t="s">
        <v>16</v>
      </c>
      <c r="D278" s="534" t="s">
        <v>23</v>
      </c>
      <c r="E278" s="530"/>
      <c r="F278" s="88"/>
      <c r="G278" s="82" t="s">
        <v>18</v>
      </c>
      <c r="H278" s="171" t="s">
        <v>12</v>
      </c>
      <c r="I278" s="162"/>
      <c r="J278" s="162"/>
      <c r="K278" s="163"/>
      <c r="L278" s="41">
        <v>0</v>
      </c>
      <c r="M278" s="41"/>
      <c r="N278" s="41"/>
      <c r="O278" s="41"/>
      <c r="P278" s="41"/>
    </row>
    <row r="279" spans="1:16" ht="21.75" customHeight="1" x14ac:dyDescent="0.45">
      <c r="A279" s="172"/>
      <c r="B279" s="91"/>
      <c r="C279" s="91"/>
      <c r="D279" s="173"/>
      <c r="E279" s="92"/>
      <c r="F279" s="92"/>
      <c r="G279" s="93" t="s">
        <v>19</v>
      </c>
      <c r="H279" s="174" t="s">
        <v>12</v>
      </c>
      <c r="I279" s="162"/>
      <c r="J279" s="162"/>
      <c r="K279" s="163"/>
      <c r="L279" s="49">
        <f ca="1">IFERROR(__xludf.DUMMYFUNCTION("IMPORTRANGE(""https://docs.google.com/spreadsheets/d/1Yj_ptqi66GCucihVvJfMjLAmec39IyEx_6qawtMGysU/edit?usp=sharing"",""สบก!CI32"")"),0)</f>
        <v>0</v>
      </c>
      <c r="M279" s="49"/>
      <c r="N279" s="49">
        <f ca="1">IFERROR(__xludf.DUMMYFUNCTION("IMPORTRANGE(""https://docs.google.com/spreadsheets/d/1Yj_ptqi66GCucihVvJfMjLAmec39IyEx_6qawtMGysU/edit?usp=sharing"",""สบก!CM32"")"),0)</f>
        <v>0</v>
      </c>
      <c r="O279" s="49">
        <f ca="1">IF(L279&gt;0,N279*100/L279,0)</f>
        <v>0</v>
      </c>
      <c r="P279" s="49"/>
    </row>
    <row r="280" spans="1:16" ht="21.75" customHeight="1" x14ac:dyDescent="0.3">
      <c r="A280" s="175"/>
      <c r="B280" s="176"/>
      <c r="C280" s="157" t="s">
        <v>16</v>
      </c>
      <c r="D280" s="177" t="s">
        <v>44</v>
      </c>
      <c r="E280" s="178"/>
      <c r="F280" s="178"/>
      <c r="G280" s="179"/>
      <c r="H280" s="180"/>
      <c r="I280" s="162"/>
      <c r="J280" s="162"/>
      <c r="K280" s="163"/>
      <c r="L280" s="181"/>
      <c r="M280" s="181"/>
      <c r="N280" s="181"/>
      <c r="O280" s="181"/>
      <c r="P280" s="181"/>
    </row>
    <row r="281" spans="1:16" ht="21.75" customHeight="1" x14ac:dyDescent="0.3">
      <c r="A281" s="175"/>
      <c r="B281" s="176"/>
      <c r="C281" s="176"/>
      <c r="D281" s="182">
        <v>1</v>
      </c>
      <c r="E281" s="183" t="s">
        <v>45</v>
      </c>
      <c r="F281" s="184"/>
      <c r="G281" s="185"/>
      <c r="H281" s="186"/>
      <c r="I281" s="187"/>
      <c r="J281" s="188">
        <f ca="1">IFERROR(__xludf.DUMMYFUNCTION("IMPORTRANGE(""https://docs.google.com/spreadsheets/d/11923uPwbBZFjjGgGUA6NLw09EwE0CqkOc4q9oUmW1yo/edit?usp=sharing"",""ลำปาง!J191"")"),0)</f>
        <v>0</v>
      </c>
      <c r="K281" s="163"/>
      <c r="L281" s="181"/>
      <c r="M281" s="181"/>
      <c r="N281" s="181"/>
      <c r="O281" s="181"/>
      <c r="P281" s="181"/>
    </row>
    <row r="282" spans="1:16" ht="21.75" customHeight="1" x14ac:dyDescent="0.3">
      <c r="A282" s="175"/>
      <c r="B282" s="176"/>
      <c r="C282" s="176"/>
      <c r="D282" s="189">
        <v>2</v>
      </c>
      <c r="E282" s="190" t="s">
        <v>46</v>
      </c>
      <c r="F282" s="191"/>
      <c r="G282" s="192"/>
      <c r="H282" s="186"/>
      <c r="I282" s="187"/>
      <c r="J282" s="197">
        <f ca="1">IFERROR(__xludf.DUMMYFUNCTION("IMPORTRANGE(""https://docs.google.com/spreadsheets/d/11923uPwbBZFjjGgGUA6NLw09EwE0CqkOc4q9oUmW1yo/edit?usp=sharing"",""ลำปาง!J192"")"),1)</f>
        <v>1</v>
      </c>
      <c r="K282" s="163"/>
      <c r="L282" s="181"/>
      <c r="M282" s="181"/>
      <c r="N282" s="181"/>
      <c r="O282" s="181"/>
      <c r="P282" s="181"/>
    </row>
    <row r="283" spans="1:16" ht="21.75" customHeight="1" x14ac:dyDescent="0.3">
      <c r="A283" s="175"/>
      <c r="B283" s="176"/>
      <c r="C283" s="176"/>
      <c r="D283" s="193"/>
      <c r="E283" s="194" t="s">
        <v>47</v>
      </c>
      <c r="F283" s="195"/>
      <c r="G283" s="196"/>
      <c r="H283" s="186"/>
      <c r="I283" s="187"/>
      <c r="J283" s="197">
        <f ca="1">IFERROR(__xludf.DUMMYFUNCTION("IMPORTRANGE(""https://docs.google.com/spreadsheets/d/11923uPwbBZFjjGgGUA6NLw09EwE0CqkOc4q9oUmW1yo/edit?usp=sharing"",""ลำปาง!J193"")"),1)</f>
        <v>1</v>
      </c>
      <c r="K283" s="163"/>
      <c r="L283" s="181"/>
      <c r="M283" s="181"/>
      <c r="N283" s="181"/>
      <c r="O283" s="181"/>
      <c r="P283" s="181"/>
    </row>
    <row r="284" spans="1:16" ht="21.75" customHeight="1" x14ac:dyDescent="0.3">
      <c r="A284" s="175"/>
      <c r="B284" s="176"/>
      <c r="C284" s="176"/>
      <c r="D284" s="193"/>
      <c r="E284" s="194" t="s">
        <v>48</v>
      </c>
      <c r="F284" s="195"/>
      <c r="G284" s="196"/>
      <c r="H284" s="186"/>
      <c r="I284" s="187"/>
      <c r="J284" s="197">
        <f ca="1">IFERROR(__xludf.DUMMYFUNCTION("IMPORTRANGE(""https://docs.google.com/spreadsheets/d/11923uPwbBZFjjGgGUA6NLw09EwE0CqkOc4q9oUmW1yo/edit?usp=sharing"",""ลำปาง!J194"")"),0)</f>
        <v>0</v>
      </c>
      <c r="K284" s="163"/>
      <c r="L284" s="181"/>
      <c r="M284" s="181"/>
      <c r="N284" s="181"/>
      <c r="O284" s="181"/>
      <c r="P284" s="181"/>
    </row>
    <row r="285" spans="1:16" ht="21.75" customHeight="1" x14ac:dyDescent="0.3">
      <c r="A285" s="175"/>
      <c r="B285" s="176"/>
      <c r="C285" s="176"/>
      <c r="D285" s="193"/>
      <c r="E285" s="195"/>
      <c r="F285" s="194" t="s">
        <v>110</v>
      </c>
      <c r="G285" s="196"/>
      <c r="H285" s="186" t="s">
        <v>37</v>
      </c>
      <c r="I285" s="187">
        <f ca="1">IFERROR(__xludf.DUMMYFUNCTION("IMPORTRANGE(""https://docs.google.com/spreadsheets/d/11923uPwbBZFjjGgGUA6NLw09EwE0CqkOc4q9oUmW1yo/edit?usp=sharing"",""ลำปาง!I195"")"),15)</f>
        <v>15</v>
      </c>
      <c r="J285" s="188">
        <f ca="1">IFERROR(__xludf.DUMMYFUNCTION("IMPORTRANGE(""https://docs.google.com/spreadsheets/d/11923uPwbBZFjjGgGUA6NLw09EwE0CqkOc4q9oUmW1yo/edit?usp=sharing"",""ลำปาง!J195"")"),0)</f>
        <v>0</v>
      </c>
      <c r="K285" s="163">
        <f ca="1">IF(I285&gt;0,J285*100/I285,0)</f>
        <v>0</v>
      </c>
      <c r="L285" s="181"/>
      <c r="M285" s="181"/>
      <c r="N285" s="181"/>
      <c r="O285" s="181"/>
      <c r="P285" s="181"/>
    </row>
    <row r="286" spans="1:16" ht="21.75" customHeight="1" x14ac:dyDescent="0.3">
      <c r="A286" s="175"/>
      <c r="B286" s="176"/>
      <c r="C286" s="176"/>
      <c r="D286" s="193"/>
      <c r="E286" s="194" t="s">
        <v>54</v>
      </c>
      <c r="F286" s="195"/>
      <c r="G286" s="196"/>
      <c r="H286" s="186"/>
      <c r="I286" s="187"/>
      <c r="J286" s="197">
        <f ca="1">IFERROR(__xludf.DUMMYFUNCTION("IMPORTRANGE(""https://docs.google.com/spreadsheets/d/11923uPwbBZFjjGgGUA6NLw09EwE0CqkOc4q9oUmW1yo/edit?usp=sharing"",""ลำปาง!J196"")"),0)</f>
        <v>0</v>
      </c>
      <c r="K286" s="163"/>
      <c r="L286" s="181"/>
      <c r="M286" s="181"/>
      <c r="N286" s="181"/>
      <c r="O286" s="181"/>
      <c r="P286" s="181"/>
    </row>
    <row r="287" spans="1:16" ht="21.75" customHeight="1" x14ac:dyDescent="0.3">
      <c r="A287" s="175"/>
      <c r="B287" s="176"/>
      <c r="C287" s="176"/>
      <c r="D287" s="205">
        <v>3</v>
      </c>
      <c r="E287" s="206" t="s">
        <v>55</v>
      </c>
      <c r="F287" s="207"/>
      <c r="G287" s="208"/>
      <c r="H287" s="186"/>
      <c r="I287" s="187"/>
      <c r="J287" s="209">
        <f ca="1">IFERROR(__xludf.DUMMYFUNCTION("IMPORTRANGE(""https://docs.google.com/spreadsheets/d/11923uPwbBZFjjGgGUA6NLw09EwE0CqkOc4q9oUmW1yo/edit?usp=sharing"",""ลำปาง!J197"")"),0)</f>
        <v>0</v>
      </c>
      <c r="K287" s="163"/>
      <c r="L287" s="181"/>
      <c r="M287" s="181"/>
      <c r="N287" s="181"/>
      <c r="O287" s="181"/>
      <c r="P287" s="181"/>
    </row>
    <row r="288" spans="1:16" ht="21.75" customHeight="1" x14ac:dyDescent="0.3">
      <c r="A288" s="302" t="s">
        <v>111</v>
      </c>
      <c r="B288" s="303"/>
      <c r="C288" s="303"/>
      <c r="D288" s="304"/>
      <c r="E288" s="303"/>
      <c r="F288" s="303"/>
      <c r="G288" s="317"/>
      <c r="H288" s="318"/>
      <c r="I288" s="319"/>
      <c r="J288" s="319"/>
      <c r="K288" s="320"/>
      <c r="L288" s="320"/>
      <c r="M288" s="320"/>
      <c r="N288" s="320"/>
      <c r="O288" s="309"/>
      <c r="P288" s="309"/>
    </row>
    <row r="289" spans="1:16" ht="21.75" customHeight="1" x14ac:dyDescent="0.3">
      <c r="A289" s="321"/>
      <c r="B289" s="311" t="s">
        <v>112</v>
      </c>
      <c r="C289" s="322"/>
      <c r="D289" s="323"/>
      <c r="E289" s="311"/>
      <c r="F289" s="311"/>
      <c r="G289" s="312"/>
      <c r="H289" s="313" t="s">
        <v>37</v>
      </c>
      <c r="I289" s="314">
        <f ca="1">IFERROR(__xludf.DUMMYFUNCTION("IMPORTRANGE(""https://docs.google.com/spreadsheets/d/11923uPwbBZFjjGgGUA6NLw09EwE0CqkOc4q9oUmW1yo/edit?usp=sharing"",""ลำปาง!I199"")"),0)</f>
        <v>0</v>
      </c>
      <c r="J289" s="314">
        <f ca="1">IFERROR(__xludf.DUMMYFUNCTION("IMPORTRANGE(""https://docs.google.com/spreadsheets/d/11923uPwbBZFjjGgGUA6NLw09EwE0CqkOc4q9oUmW1yo/edit?usp=sharing"",""ลำปาง!J199"")"),0)</f>
        <v>0</v>
      </c>
      <c r="K289" s="315">
        <f ca="1">IF(I289&gt;0,J289*100/I289,0)</f>
        <v>0</v>
      </c>
      <c r="L289" s="316"/>
      <c r="M289" s="316"/>
      <c r="N289" s="316"/>
      <c r="O289" s="315"/>
      <c r="P289" s="315"/>
    </row>
    <row r="290" spans="1:16" ht="21.75" customHeight="1" x14ac:dyDescent="0.45">
      <c r="A290" s="145"/>
      <c r="B290" s="146"/>
      <c r="C290" s="147" t="s">
        <v>16</v>
      </c>
      <c r="D290" s="537" t="s">
        <v>17</v>
      </c>
      <c r="E290" s="528"/>
      <c r="F290" s="528"/>
      <c r="G290" s="528"/>
      <c r="H290" s="148" t="s">
        <v>12</v>
      </c>
      <c r="I290" s="187"/>
      <c r="J290" s="187"/>
      <c r="K290" s="223"/>
      <c r="L290" s="151">
        <f t="shared" ref="L290:N290" ca="1" si="88">L291+L292</f>
        <v>0</v>
      </c>
      <c r="M290" s="151">
        <f t="shared" ca="1" si="88"/>
        <v>0</v>
      </c>
      <c r="N290" s="151">
        <f t="shared" ca="1" si="88"/>
        <v>0</v>
      </c>
      <c r="O290" s="150">
        <f t="shared" ref="O290:O292" ca="1" si="89">IF(L290&gt;0,N290*100/L290,0)</f>
        <v>0</v>
      </c>
      <c r="P290" s="150">
        <f t="shared" ref="P290:P292" ca="1" si="90">IF(M290&gt;0,N290*100/M290,0)</f>
        <v>0</v>
      </c>
    </row>
    <row r="291" spans="1:16" ht="21.75" customHeight="1" x14ac:dyDescent="0.45">
      <c r="A291" s="152"/>
      <c r="B291" s="32"/>
      <c r="C291" s="32"/>
      <c r="D291" s="32"/>
      <c r="E291" s="32"/>
      <c r="F291" s="32"/>
      <c r="G291" s="33" t="s">
        <v>18</v>
      </c>
      <c r="H291" s="153" t="s">
        <v>12</v>
      </c>
      <c r="I291" s="187"/>
      <c r="J291" s="187"/>
      <c r="K291" s="223"/>
      <c r="L291" s="87">
        <f t="shared" ref="L291:N291" si="91">L293+L297</f>
        <v>0</v>
      </c>
      <c r="M291" s="87">
        <f t="shared" si="91"/>
        <v>0</v>
      </c>
      <c r="N291" s="87">
        <f t="shared" si="91"/>
        <v>0</v>
      </c>
      <c r="O291" s="155">
        <f t="shared" si="89"/>
        <v>0</v>
      </c>
      <c r="P291" s="155">
        <f t="shared" si="90"/>
        <v>0</v>
      </c>
    </row>
    <row r="292" spans="1:16" ht="21.75" customHeight="1" x14ac:dyDescent="0.45">
      <c r="A292" s="152"/>
      <c r="B292" s="32"/>
      <c r="C292" s="32"/>
      <c r="D292" s="32"/>
      <c r="E292" s="32"/>
      <c r="F292" s="32"/>
      <c r="G292" s="33" t="s">
        <v>19</v>
      </c>
      <c r="H292" s="153" t="s">
        <v>12</v>
      </c>
      <c r="I292" s="187"/>
      <c r="J292" s="187"/>
      <c r="K292" s="223"/>
      <c r="L292" s="87">
        <f t="shared" ref="L292:N292" ca="1" si="92">L294+L298</f>
        <v>0</v>
      </c>
      <c r="M292" s="87">
        <f t="shared" ca="1" si="92"/>
        <v>0</v>
      </c>
      <c r="N292" s="87">
        <f t="shared" ca="1" si="92"/>
        <v>0</v>
      </c>
      <c r="O292" s="155">
        <f t="shared" ca="1" si="89"/>
        <v>0</v>
      </c>
      <c r="P292" s="155">
        <f t="shared" ca="1" si="90"/>
        <v>0</v>
      </c>
    </row>
    <row r="293" spans="1:16" ht="21.75" customHeight="1" x14ac:dyDescent="0.3">
      <c r="A293" s="156"/>
      <c r="B293" s="157"/>
      <c r="C293" s="157" t="s">
        <v>16</v>
      </c>
      <c r="D293" s="158" t="s">
        <v>38</v>
      </c>
      <c r="E293" s="159"/>
      <c r="F293" s="159"/>
      <c r="G293" s="160" t="s">
        <v>39</v>
      </c>
      <c r="H293" s="161" t="s">
        <v>12</v>
      </c>
      <c r="I293" s="187" t="s">
        <v>40</v>
      </c>
      <c r="J293" s="187"/>
      <c r="K293" s="223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3">
      <c r="A294" s="156"/>
      <c r="B294" s="157"/>
      <c r="C294" s="157"/>
      <c r="D294" s="166"/>
      <c r="E294" s="159"/>
      <c r="F294" s="159" t="s">
        <v>40</v>
      </c>
      <c r="G294" s="160" t="s">
        <v>41</v>
      </c>
      <c r="H294" s="161" t="s">
        <v>12</v>
      </c>
      <c r="I294" s="187"/>
      <c r="J294" s="187"/>
      <c r="K294" s="223"/>
      <c r="L294" s="167">
        <f ca="1">L295+L296</f>
        <v>0</v>
      </c>
      <c r="M294" s="167">
        <f ca="1">IFERROR(__xludf.DUMMYFUNCTION("IMPORTRANGE(""https://docs.google.com/spreadsheets/d/1Yj_ptqi66GCucihVvJfMjLAmec39IyEx_6qawtMGysU/edit?usp=sharing"",""สบก!CT32"")"),0)</f>
        <v>0</v>
      </c>
      <c r="N294" s="168">
        <f ca="1">IFERROR(__xludf.DUMMYFUNCTION("IMPORTRANGE(""https://docs.google.com/spreadsheets/d/1Yj_ptqi66GCucihVvJfMjLAmec39IyEx_6qawtMGysU/edit?usp=sharing"",""สบก!CU32"")"),0)</f>
        <v>0</v>
      </c>
      <c r="O294" s="168">
        <f ca="1">IF(L294&gt;0,N294*100/L294,0)</f>
        <v>0</v>
      </c>
      <c r="P294" s="168">
        <f ca="1">IF(M294&gt;0,N294*100/M294,0)</f>
        <v>0</v>
      </c>
    </row>
    <row r="295" spans="1:16" ht="21.75" customHeight="1" x14ac:dyDescent="0.3">
      <c r="A295" s="156"/>
      <c r="B295" s="157"/>
      <c r="C295" s="157"/>
      <c r="D295" s="166"/>
      <c r="E295" s="159"/>
      <c r="F295" s="159"/>
      <c r="G295" s="169" t="s">
        <v>42</v>
      </c>
      <c r="H295" s="161" t="s">
        <v>12</v>
      </c>
      <c r="I295" s="187"/>
      <c r="J295" s="187"/>
      <c r="K295" s="223"/>
      <c r="L295" s="167">
        <f ca="1">IFERROR(__xludf.DUMMYFUNCTION("IMPORTRANGE(""https://docs.google.com/spreadsheets/d/1Yj_ptqi66GCucihVvJfMjLAmec39IyEx_6qawtMGysU/edit?usp=sharing"",""สบก!CP32"")"),0)</f>
        <v>0</v>
      </c>
      <c r="M295" s="167"/>
      <c r="N295" s="167"/>
      <c r="O295" s="168"/>
      <c r="P295" s="168"/>
    </row>
    <row r="296" spans="1:16" ht="21.75" customHeight="1" x14ac:dyDescent="0.3">
      <c r="A296" s="156"/>
      <c r="B296" s="157"/>
      <c r="C296" s="157"/>
      <c r="D296" s="166"/>
      <c r="E296" s="159"/>
      <c r="F296" s="159"/>
      <c r="G296" s="169" t="s">
        <v>43</v>
      </c>
      <c r="H296" s="161" t="s">
        <v>12</v>
      </c>
      <c r="I296" s="187"/>
      <c r="J296" s="187"/>
      <c r="K296" s="223"/>
      <c r="L296" s="167">
        <f ca="1">IFERROR(__xludf.DUMMYFUNCTION("IMPORTRANGE(""https://docs.google.com/spreadsheets/d/1Yj_ptqi66GCucihVvJfMjLAmec39IyEx_6qawtMGysU/edit?usp=sharing"",""สบก!CQ32"")"),0)</f>
        <v>0</v>
      </c>
      <c r="M296" s="167"/>
      <c r="N296" s="167"/>
      <c r="O296" s="168"/>
      <c r="P296" s="168"/>
    </row>
    <row r="297" spans="1:16" ht="21.75" customHeight="1" x14ac:dyDescent="0.45">
      <c r="A297" s="170"/>
      <c r="B297" s="80"/>
      <c r="C297" s="81" t="s">
        <v>16</v>
      </c>
      <c r="D297" s="534" t="s">
        <v>23</v>
      </c>
      <c r="E297" s="530"/>
      <c r="F297" s="88"/>
      <c r="G297" s="82" t="s">
        <v>18</v>
      </c>
      <c r="H297" s="171" t="s">
        <v>12</v>
      </c>
      <c r="I297" s="187"/>
      <c r="J297" s="187"/>
      <c r="K297" s="223"/>
      <c r="L297" s="41">
        <v>0</v>
      </c>
      <c r="M297" s="41"/>
      <c r="N297" s="41"/>
      <c r="O297" s="41"/>
      <c r="P297" s="41"/>
    </row>
    <row r="298" spans="1:16" ht="21.75" customHeight="1" x14ac:dyDescent="0.45">
      <c r="A298" s="172"/>
      <c r="B298" s="91"/>
      <c r="C298" s="91"/>
      <c r="D298" s="173"/>
      <c r="E298" s="92"/>
      <c r="F298" s="92"/>
      <c r="G298" s="93" t="s">
        <v>19</v>
      </c>
      <c r="H298" s="174" t="s">
        <v>12</v>
      </c>
      <c r="I298" s="187"/>
      <c r="J298" s="187"/>
      <c r="K298" s="223"/>
      <c r="L298" s="49">
        <f ca="1">IFERROR(__xludf.DUMMYFUNCTION("IMPORTRANGE(""https://docs.google.com/spreadsheets/d/1Yj_ptqi66GCucihVvJfMjLAmec39IyEx_6qawtMGysU/edit?usp=sharing"",""สบก!CR32"")"),0)</f>
        <v>0</v>
      </c>
      <c r="M298" s="49"/>
      <c r="N298" s="49">
        <f ca="1">IFERROR(__xludf.DUMMYFUNCTION("IMPORTRANGE(""https://docs.google.com/spreadsheets/d/1Yj_ptqi66GCucihVvJfMjLAmec39IyEx_6qawtMGysU/edit?usp=sharing"",""สบก!CV32"")"),0)</f>
        <v>0</v>
      </c>
      <c r="O298" s="49">
        <f ca="1">IF(L298&gt;0,N298*100/L298,0)</f>
        <v>0</v>
      </c>
      <c r="P298" s="49"/>
    </row>
    <row r="299" spans="1:16" ht="21.75" customHeight="1" x14ac:dyDescent="0.3">
      <c r="A299" s="175"/>
      <c r="B299" s="176"/>
      <c r="C299" s="157" t="s">
        <v>16</v>
      </c>
      <c r="D299" s="177" t="s">
        <v>44</v>
      </c>
      <c r="E299" s="178"/>
      <c r="F299" s="178"/>
      <c r="G299" s="179"/>
      <c r="H299" s="180"/>
      <c r="I299" s="187"/>
      <c r="J299" s="187"/>
      <c r="K299" s="223"/>
      <c r="L299" s="168"/>
      <c r="M299" s="168"/>
      <c r="N299" s="168"/>
      <c r="O299" s="181"/>
      <c r="P299" s="181"/>
    </row>
    <row r="300" spans="1:16" ht="21.75" customHeight="1" x14ac:dyDescent="0.3">
      <c r="A300" s="175"/>
      <c r="B300" s="176"/>
      <c r="C300" s="176"/>
      <c r="D300" s="182">
        <v>1</v>
      </c>
      <c r="E300" s="183" t="s">
        <v>45</v>
      </c>
      <c r="F300" s="184"/>
      <c r="G300" s="185"/>
      <c r="H300" s="186"/>
      <c r="I300" s="187"/>
      <c r="J300" s="187">
        <f ca="1">IFERROR(__xludf.DUMMYFUNCTION("IMPORTRANGE(""https://docs.google.com/spreadsheets/d/11923uPwbBZFjjGgGUA6NLw09EwE0CqkOc4q9oUmW1yo/edit?usp=sharing"",""ลำปาง!J205"")"),0)</f>
        <v>0</v>
      </c>
      <c r="K300" s="223"/>
      <c r="L300" s="168"/>
      <c r="M300" s="168"/>
      <c r="N300" s="168"/>
      <c r="O300" s="181"/>
      <c r="P300" s="181"/>
    </row>
    <row r="301" spans="1:16" ht="21.75" customHeight="1" x14ac:dyDescent="0.3">
      <c r="A301" s="175"/>
      <c r="B301" s="176"/>
      <c r="C301" s="176"/>
      <c r="D301" s="189">
        <v>2</v>
      </c>
      <c r="E301" s="190" t="s">
        <v>46</v>
      </c>
      <c r="F301" s="191"/>
      <c r="G301" s="192"/>
      <c r="H301" s="186"/>
      <c r="I301" s="187"/>
      <c r="J301" s="187">
        <f ca="1">IFERROR(__xludf.DUMMYFUNCTION("IMPORTRANGE(""https://docs.google.com/spreadsheets/d/11923uPwbBZFjjGgGUA6NLw09EwE0CqkOc4q9oUmW1yo/edit?usp=sharing"",""ลำปาง!J206"")"),0)</f>
        <v>0</v>
      </c>
      <c r="K301" s="223"/>
      <c r="L301" s="168" t="s">
        <v>40</v>
      </c>
      <c r="M301" s="168"/>
      <c r="N301" s="168" t="s">
        <v>40</v>
      </c>
      <c r="O301" s="181"/>
      <c r="P301" s="181"/>
    </row>
    <row r="302" spans="1:16" ht="21.75" customHeight="1" x14ac:dyDescent="0.3">
      <c r="A302" s="175"/>
      <c r="B302" s="176"/>
      <c r="C302" s="176"/>
      <c r="D302" s="193"/>
      <c r="E302" s="194" t="s">
        <v>47</v>
      </c>
      <c r="F302" s="195"/>
      <c r="G302" s="196"/>
      <c r="H302" s="186"/>
      <c r="I302" s="187"/>
      <c r="J302" s="187">
        <f ca="1">IFERROR(__xludf.DUMMYFUNCTION("IMPORTRANGE(""https://docs.google.com/spreadsheets/d/11923uPwbBZFjjGgGUA6NLw09EwE0CqkOc4q9oUmW1yo/edit?usp=sharing"",""ลำปาง!J207"")"),0)</f>
        <v>0</v>
      </c>
      <c r="K302" s="223"/>
      <c r="L302" s="168"/>
      <c r="M302" s="168"/>
      <c r="N302" s="168"/>
      <c r="O302" s="181"/>
      <c r="P302" s="181"/>
    </row>
    <row r="303" spans="1:16" ht="21.75" customHeight="1" x14ac:dyDescent="0.3">
      <c r="A303" s="175"/>
      <c r="B303" s="176"/>
      <c r="C303" s="176"/>
      <c r="D303" s="193"/>
      <c r="E303" s="194" t="s">
        <v>48</v>
      </c>
      <c r="F303" s="195"/>
      <c r="G303" s="196"/>
      <c r="H303" s="186"/>
      <c r="I303" s="187"/>
      <c r="J303" s="187">
        <f ca="1">IFERROR(__xludf.DUMMYFUNCTION("IMPORTRANGE(""https://docs.google.com/spreadsheets/d/11923uPwbBZFjjGgGUA6NLw09EwE0CqkOc4q9oUmW1yo/edit?usp=sharing"",""ลำปาง!J208"")"),0)</f>
        <v>0</v>
      </c>
      <c r="K303" s="223"/>
      <c r="L303" s="168"/>
      <c r="M303" s="168"/>
      <c r="N303" s="168"/>
      <c r="O303" s="181"/>
      <c r="P303" s="181"/>
    </row>
    <row r="304" spans="1:16" ht="21.75" customHeight="1" x14ac:dyDescent="0.3">
      <c r="A304" s="175"/>
      <c r="B304" s="176"/>
      <c r="C304" s="176"/>
      <c r="D304" s="193"/>
      <c r="E304" s="198"/>
      <c r="F304" s="194" t="s">
        <v>113</v>
      </c>
      <c r="G304" s="196"/>
      <c r="H304" s="180" t="s">
        <v>37</v>
      </c>
      <c r="I304" s="187">
        <f ca="1">IFERROR(__xludf.DUMMYFUNCTION("IMPORTRANGE(""https://docs.google.com/spreadsheets/d/11923uPwbBZFjjGgGUA6NLw09EwE0CqkOc4q9oUmW1yo/edit?usp=sharing"",""ลำปาง!I209"")"),0)</f>
        <v>0</v>
      </c>
      <c r="J304" s="203">
        <f ca="1">IFERROR(__xludf.DUMMYFUNCTION("IMPORTRANGE(""https://docs.google.com/spreadsheets/d/11923uPwbBZFjjGgGUA6NLw09EwE0CqkOc4q9oUmW1yo/edit?usp=sharing"",""ลำปาง!J209"")"),0)</f>
        <v>0</v>
      </c>
      <c r="K304" s="223">
        <f ca="1">IF(I304&gt;0,J304*100/I304,0)</f>
        <v>0</v>
      </c>
      <c r="L304" s="168"/>
      <c r="M304" s="168"/>
      <c r="N304" s="168"/>
      <c r="O304" s="181"/>
      <c r="P304" s="181"/>
    </row>
    <row r="305" spans="1:16" ht="21.75" customHeight="1" x14ac:dyDescent="0.3">
      <c r="A305" s="175"/>
      <c r="B305" s="176"/>
      <c r="C305" s="176"/>
      <c r="D305" s="193"/>
      <c r="E305" s="198"/>
      <c r="F305" s="194" t="s">
        <v>114</v>
      </c>
      <c r="G305" s="196"/>
      <c r="H305" s="180"/>
      <c r="I305" s="187"/>
      <c r="J305" s="187"/>
      <c r="K305" s="223"/>
      <c r="L305" s="168"/>
      <c r="M305" s="168"/>
      <c r="N305" s="168"/>
      <c r="O305" s="181"/>
      <c r="P305" s="181"/>
    </row>
    <row r="306" spans="1:16" ht="21.75" customHeight="1" x14ac:dyDescent="0.3">
      <c r="A306" s="175"/>
      <c r="B306" s="176"/>
      <c r="C306" s="176"/>
      <c r="D306" s="193"/>
      <c r="E306" s="198"/>
      <c r="F306" s="195" t="s">
        <v>53</v>
      </c>
      <c r="G306" s="196"/>
      <c r="H306" s="180" t="s">
        <v>37</v>
      </c>
      <c r="I306" s="187">
        <f ca="1">IFERROR(__xludf.DUMMYFUNCTION("IMPORTRANGE(""https://docs.google.com/spreadsheets/d/11923uPwbBZFjjGgGUA6NLw09EwE0CqkOc4q9oUmW1yo/edit?usp=sharing"",""ลำปาง!I211"")"),0)</f>
        <v>0</v>
      </c>
      <c r="J306" s="203">
        <f ca="1">IFERROR(__xludf.DUMMYFUNCTION("IMPORTRANGE(""https://docs.google.com/spreadsheets/d/11923uPwbBZFjjGgGUA6NLw09EwE0CqkOc4q9oUmW1yo/edit?usp=sharing"",""ลำปาง!J211"")"),0)</f>
        <v>0</v>
      </c>
      <c r="K306" s="223">
        <f ca="1">IF(I306&gt;0,J306*100/I306,0)</f>
        <v>0</v>
      </c>
      <c r="L306" s="168"/>
      <c r="M306" s="168"/>
      <c r="N306" s="168"/>
      <c r="O306" s="181"/>
      <c r="P306" s="181"/>
    </row>
    <row r="307" spans="1:16" ht="21.75" customHeight="1" x14ac:dyDescent="0.3">
      <c r="A307" s="175"/>
      <c r="B307" s="176"/>
      <c r="C307" s="176"/>
      <c r="D307" s="193"/>
      <c r="E307" s="194" t="s">
        <v>54</v>
      </c>
      <c r="F307" s="195"/>
      <c r="G307" s="196"/>
      <c r="H307" s="186"/>
      <c r="I307" s="187"/>
      <c r="J307" s="187">
        <f ca="1">IFERROR(__xludf.DUMMYFUNCTION("IMPORTRANGE(""https://docs.google.com/spreadsheets/d/11923uPwbBZFjjGgGUA6NLw09EwE0CqkOc4q9oUmW1yo/edit?usp=sharing"",""ลำปาง!J212"")"),0)</f>
        <v>0</v>
      </c>
      <c r="K307" s="223"/>
      <c r="L307" s="168"/>
      <c r="M307" s="168"/>
      <c r="N307" s="168"/>
      <c r="O307" s="181"/>
      <c r="P307" s="181"/>
    </row>
    <row r="308" spans="1:16" ht="21.75" customHeight="1" x14ac:dyDescent="0.3">
      <c r="A308" s="175"/>
      <c r="B308" s="176"/>
      <c r="C308" s="176"/>
      <c r="D308" s="205">
        <v>3</v>
      </c>
      <c r="E308" s="206" t="s">
        <v>55</v>
      </c>
      <c r="F308" s="207"/>
      <c r="G308" s="208"/>
      <c r="H308" s="186"/>
      <c r="I308" s="187"/>
      <c r="J308" s="324">
        <f ca="1">IFERROR(__xludf.DUMMYFUNCTION("IMPORTRANGE(""https://docs.google.com/spreadsheets/d/11923uPwbBZFjjGgGUA6NLw09EwE0CqkOc4q9oUmW1yo/edit?usp=sharing"",""ลำปาง!J213"")"),0)</f>
        <v>0</v>
      </c>
      <c r="K308" s="223"/>
      <c r="L308" s="168"/>
      <c r="M308" s="168"/>
      <c r="N308" s="168"/>
      <c r="O308" s="181"/>
      <c r="P308" s="181"/>
    </row>
    <row r="309" spans="1:16" ht="21.75" customHeight="1" x14ac:dyDescent="0.3">
      <c r="A309" s="325"/>
      <c r="B309" s="326" t="s">
        <v>115</v>
      </c>
      <c r="C309" s="327"/>
      <c r="D309" s="328"/>
      <c r="E309" s="326"/>
      <c r="F309" s="326"/>
      <c r="G309" s="329"/>
      <c r="H309" s="330" t="s">
        <v>116</v>
      </c>
      <c r="I309" s="331">
        <f ca="1">IFERROR(__xludf.DUMMYFUNCTION("IMPORTRANGE(""https://docs.google.com/spreadsheets/d/11923uPwbBZFjjGgGUA6NLw09EwE0CqkOc4q9oUmW1yo/edit?usp=sharing"",""ลำปาง!I214"")"),0)</f>
        <v>0</v>
      </c>
      <c r="J309" s="331">
        <f ca="1">IFERROR(__xludf.DUMMYFUNCTION("IMPORTRANGE(""https://docs.google.com/spreadsheets/d/11923uPwbBZFjjGgGUA6NLw09EwE0CqkOc4q9oUmW1yo/edit?usp=sharing"",""ลำปาง!J214"")"),0)</f>
        <v>0</v>
      </c>
      <c r="K309" s="332">
        <f ca="1">IF(I309&gt;0,J309*100/I309,0)</f>
        <v>0</v>
      </c>
      <c r="L309" s="333"/>
      <c r="M309" s="333"/>
      <c r="N309" s="333"/>
      <c r="O309" s="332"/>
      <c r="P309" s="332"/>
    </row>
    <row r="310" spans="1:16" ht="21.75" customHeight="1" x14ac:dyDescent="0.45">
      <c r="A310" s="145"/>
      <c r="B310" s="146"/>
      <c r="C310" s="147" t="s">
        <v>16</v>
      </c>
      <c r="D310" s="537" t="s">
        <v>17</v>
      </c>
      <c r="E310" s="528"/>
      <c r="F310" s="528"/>
      <c r="G310" s="528"/>
      <c r="H310" s="148" t="s">
        <v>12</v>
      </c>
      <c r="I310" s="334"/>
      <c r="J310" s="334"/>
      <c r="K310" s="335"/>
      <c r="L310" s="151">
        <f t="shared" ref="L310:N310" ca="1" si="93">L311+L312</f>
        <v>0</v>
      </c>
      <c r="M310" s="151">
        <f t="shared" ca="1" si="93"/>
        <v>0</v>
      </c>
      <c r="N310" s="151">
        <f t="shared" ca="1" si="93"/>
        <v>0</v>
      </c>
      <c r="O310" s="150">
        <f t="shared" ref="O310:O312" ca="1" si="94">IF(L310&gt;0,N310*100/L310,0)</f>
        <v>0</v>
      </c>
      <c r="P310" s="150">
        <f t="shared" ref="P310:P312" ca="1" si="95">IF(M310&gt;0,N310*100/M310,0)</f>
        <v>0</v>
      </c>
    </row>
    <row r="311" spans="1:16" ht="21.75" customHeight="1" x14ac:dyDescent="0.45">
      <c r="A311" s="152"/>
      <c r="B311" s="32"/>
      <c r="C311" s="32"/>
      <c r="D311" s="32"/>
      <c r="E311" s="32"/>
      <c r="F311" s="32"/>
      <c r="G311" s="33" t="s">
        <v>18</v>
      </c>
      <c r="H311" s="153" t="s">
        <v>12</v>
      </c>
      <c r="I311" s="334"/>
      <c r="J311" s="334"/>
      <c r="K311" s="335"/>
      <c r="L311" s="87">
        <f t="shared" ref="L311:N311" si="96">L313+L317</f>
        <v>0</v>
      </c>
      <c r="M311" s="87">
        <f t="shared" si="96"/>
        <v>0</v>
      </c>
      <c r="N311" s="87">
        <f t="shared" si="96"/>
        <v>0</v>
      </c>
      <c r="O311" s="155">
        <f t="shared" si="94"/>
        <v>0</v>
      </c>
      <c r="P311" s="155">
        <f t="shared" si="95"/>
        <v>0</v>
      </c>
    </row>
    <row r="312" spans="1:16" ht="21.75" customHeight="1" x14ac:dyDescent="0.45">
      <c r="A312" s="152"/>
      <c r="B312" s="32"/>
      <c r="C312" s="32"/>
      <c r="D312" s="32"/>
      <c r="E312" s="32"/>
      <c r="F312" s="32"/>
      <c r="G312" s="33" t="s">
        <v>19</v>
      </c>
      <c r="H312" s="153" t="s">
        <v>12</v>
      </c>
      <c r="I312" s="334"/>
      <c r="J312" s="334"/>
      <c r="K312" s="335"/>
      <c r="L312" s="87">
        <f t="shared" ref="L312:N312" ca="1" si="97">L314+L318</f>
        <v>0</v>
      </c>
      <c r="M312" s="87">
        <f t="shared" ca="1" si="97"/>
        <v>0</v>
      </c>
      <c r="N312" s="87">
        <f t="shared" ca="1" si="97"/>
        <v>0</v>
      </c>
      <c r="O312" s="155">
        <f t="shared" ca="1" si="94"/>
        <v>0</v>
      </c>
      <c r="P312" s="155">
        <f t="shared" ca="1" si="95"/>
        <v>0</v>
      </c>
    </row>
    <row r="313" spans="1:16" ht="21.75" customHeight="1" x14ac:dyDescent="0.3">
      <c r="A313" s="156"/>
      <c r="B313" s="157"/>
      <c r="C313" s="157" t="s">
        <v>16</v>
      </c>
      <c r="D313" s="158" t="s">
        <v>38</v>
      </c>
      <c r="E313" s="159"/>
      <c r="F313" s="159"/>
      <c r="G313" s="160" t="s">
        <v>39</v>
      </c>
      <c r="H313" s="161" t="s">
        <v>12</v>
      </c>
      <c r="I313" s="162" t="s">
        <v>40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3">
      <c r="A314" s="156"/>
      <c r="B314" s="157"/>
      <c r="C314" s="157"/>
      <c r="D314" s="166"/>
      <c r="E314" s="159"/>
      <c r="F314" s="159" t="s">
        <v>40</v>
      </c>
      <c r="G314" s="160" t="s">
        <v>41</v>
      </c>
      <c r="H314" s="161" t="s">
        <v>12</v>
      </c>
      <c r="I314" s="162"/>
      <c r="J314" s="162"/>
      <c r="K314" s="163"/>
      <c r="L314" s="167">
        <f ca="1">L315+L316</f>
        <v>0</v>
      </c>
      <c r="M314" s="167">
        <f ca="1">IFERROR(__xludf.DUMMYFUNCTION("IMPORTRANGE(""https://docs.google.com/spreadsheets/d/1Yj_ptqi66GCucihVvJfMjLAmec39IyEx_6qawtMGysU/edit?usp=sharing"",""สบก!DC32"")"),0)</f>
        <v>0</v>
      </c>
      <c r="N314" s="168">
        <f ca="1">IFERROR(__xludf.DUMMYFUNCTION("IMPORTRANGE(""https://docs.google.com/spreadsheets/d/1Yj_ptqi66GCucihVvJfMjLAmec39IyEx_6qawtMGysU/edit?usp=sharing"",""สบก!DD32"")"),0)</f>
        <v>0</v>
      </c>
      <c r="O314" s="168">
        <f ca="1">IF(L314&gt;0,N314*100/L314,0)</f>
        <v>0</v>
      </c>
      <c r="P314" s="168">
        <f ca="1">IF(M314&gt;0,N314*100/M314,0)</f>
        <v>0</v>
      </c>
    </row>
    <row r="315" spans="1:16" ht="21.75" customHeight="1" x14ac:dyDescent="0.3">
      <c r="A315" s="156"/>
      <c r="B315" s="157"/>
      <c r="C315" s="157"/>
      <c r="D315" s="166"/>
      <c r="E315" s="159"/>
      <c r="F315" s="159"/>
      <c r="G315" s="169" t="s">
        <v>42</v>
      </c>
      <c r="H315" s="161" t="s">
        <v>12</v>
      </c>
      <c r="I315" s="162"/>
      <c r="J315" s="162"/>
      <c r="K315" s="163"/>
      <c r="L315" s="167">
        <f ca="1">IFERROR(__xludf.DUMMYFUNCTION("IMPORTRANGE(""https://docs.google.com/spreadsheets/d/1Yj_ptqi66GCucihVvJfMjLAmec39IyEx_6qawtMGysU/edit?usp=sharing"",""สบก!CY32"")"),0)</f>
        <v>0</v>
      </c>
      <c r="M315" s="167"/>
      <c r="N315" s="167"/>
      <c r="O315" s="168"/>
      <c r="P315" s="168"/>
    </row>
    <row r="316" spans="1:16" ht="21.75" customHeight="1" x14ac:dyDescent="0.3">
      <c r="A316" s="156"/>
      <c r="B316" s="157"/>
      <c r="C316" s="157"/>
      <c r="D316" s="166"/>
      <c r="E316" s="159"/>
      <c r="F316" s="159"/>
      <c r="G316" s="169" t="s">
        <v>43</v>
      </c>
      <c r="H316" s="161" t="s">
        <v>12</v>
      </c>
      <c r="I316" s="162"/>
      <c r="J316" s="187"/>
      <c r="K316" s="223"/>
      <c r="L316" s="167">
        <f ca="1">IFERROR(__xludf.DUMMYFUNCTION("IMPORTRANGE(""https://docs.google.com/spreadsheets/d/1Yj_ptqi66GCucihVvJfMjLAmec39IyEx_6qawtMGysU/edit?usp=sharing"",""สบก!CZ32"")"),0)</f>
        <v>0</v>
      </c>
      <c r="M316" s="167"/>
      <c r="N316" s="167"/>
      <c r="O316" s="168"/>
      <c r="P316" s="168"/>
    </row>
    <row r="317" spans="1:16" ht="21.75" customHeight="1" x14ac:dyDescent="0.45">
      <c r="A317" s="170"/>
      <c r="B317" s="80"/>
      <c r="C317" s="81" t="s">
        <v>16</v>
      </c>
      <c r="D317" s="534" t="s">
        <v>23</v>
      </c>
      <c r="E317" s="530"/>
      <c r="F317" s="88"/>
      <c r="G317" s="82" t="s">
        <v>18</v>
      </c>
      <c r="H317" s="171" t="s">
        <v>12</v>
      </c>
      <c r="I317" s="162"/>
      <c r="J317" s="187"/>
      <c r="K317" s="223"/>
      <c r="L317" s="41">
        <v>0</v>
      </c>
      <c r="M317" s="41"/>
      <c r="N317" s="41"/>
      <c r="O317" s="41"/>
      <c r="P317" s="41"/>
    </row>
    <row r="318" spans="1:16" ht="21.75" customHeight="1" x14ac:dyDescent="0.45">
      <c r="A318" s="172"/>
      <c r="B318" s="91"/>
      <c r="C318" s="91"/>
      <c r="D318" s="173"/>
      <c r="E318" s="92"/>
      <c r="F318" s="92"/>
      <c r="G318" s="93" t="s">
        <v>19</v>
      </c>
      <c r="H318" s="174" t="s">
        <v>12</v>
      </c>
      <c r="I318" s="162"/>
      <c r="J318" s="187"/>
      <c r="K318" s="223"/>
      <c r="L318" s="49">
        <f ca="1">IFERROR(__xludf.DUMMYFUNCTION("IMPORTRANGE(""https://docs.google.com/spreadsheets/d/1Yj_ptqi66GCucihVvJfMjLAmec39IyEx_6qawtMGysU/edit?usp=sharing"",""สบก!DA32"")"),0)</f>
        <v>0</v>
      </c>
      <c r="M318" s="49"/>
      <c r="N318" s="49">
        <f ca="1">IFERROR(__xludf.DUMMYFUNCTION("IMPORTRANGE(""https://docs.google.com/spreadsheets/d/1Yj_ptqi66GCucihVvJfMjLAmec39IyEx_6qawtMGysU/edit?usp=sharing"",""สบก!DE32"")"),0)</f>
        <v>0</v>
      </c>
      <c r="O318" s="49">
        <f ca="1">IF(L318&gt;0,N318*100/L318,0)</f>
        <v>0</v>
      </c>
      <c r="P318" s="49"/>
    </row>
    <row r="319" spans="1:16" ht="21.75" customHeight="1" x14ac:dyDescent="0.3">
      <c r="A319" s="175"/>
      <c r="B319" s="176"/>
      <c r="C319" s="157" t="s">
        <v>16</v>
      </c>
      <c r="D319" s="177" t="s">
        <v>44</v>
      </c>
      <c r="E319" s="178"/>
      <c r="F319" s="178"/>
      <c r="G319" s="179"/>
      <c r="H319" s="180"/>
      <c r="I319" s="162"/>
      <c r="J319" s="187"/>
      <c r="K319" s="223"/>
      <c r="L319" s="168"/>
      <c r="M319" s="168"/>
      <c r="N319" s="168"/>
      <c r="O319" s="181"/>
      <c r="P319" s="181"/>
    </row>
    <row r="320" spans="1:16" ht="21.75" customHeight="1" x14ac:dyDescent="0.3">
      <c r="A320" s="175"/>
      <c r="B320" s="176"/>
      <c r="C320" s="176"/>
      <c r="D320" s="182">
        <v>1</v>
      </c>
      <c r="E320" s="183" t="s">
        <v>45</v>
      </c>
      <c r="F320" s="184"/>
      <c r="G320" s="185"/>
      <c r="H320" s="186"/>
      <c r="I320" s="187"/>
      <c r="J320" s="187">
        <f ca="1">IFERROR(__xludf.DUMMYFUNCTION("IMPORTRANGE(""https://docs.google.com/spreadsheets/d/11923uPwbBZFjjGgGUA6NLw09EwE0CqkOc4q9oUmW1yo/edit?usp=sharing"",""ลำปาง!J220"")"),0)</f>
        <v>0</v>
      </c>
      <c r="K320" s="223"/>
      <c r="L320" s="168"/>
      <c r="M320" s="168"/>
      <c r="N320" s="168"/>
      <c r="O320" s="181"/>
      <c r="P320" s="181"/>
    </row>
    <row r="321" spans="1:16" ht="21.75" customHeight="1" x14ac:dyDescent="0.3">
      <c r="A321" s="175"/>
      <c r="B321" s="176"/>
      <c r="C321" s="176"/>
      <c r="D321" s="189">
        <v>2</v>
      </c>
      <c r="E321" s="190" t="s">
        <v>46</v>
      </c>
      <c r="F321" s="191"/>
      <c r="G321" s="192"/>
      <c r="H321" s="186"/>
      <c r="I321" s="187"/>
      <c r="J321" s="187">
        <f ca="1">IFERROR(__xludf.DUMMYFUNCTION("IMPORTRANGE(""https://docs.google.com/spreadsheets/d/11923uPwbBZFjjGgGUA6NLw09EwE0CqkOc4q9oUmW1yo/edit?usp=sharing"",""ลำปาง!J221"")"),0)</f>
        <v>0</v>
      </c>
      <c r="K321" s="223"/>
      <c r="L321" s="168" t="s">
        <v>40</v>
      </c>
      <c r="M321" s="168"/>
      <c r="N321" s="168" t="s">
        <v>40</v>
      </c>
      <c r="O321" s="181"/>
      <c r="P321" s="181"/>
    </row>
    <row r="322" spans="1:16" ht="21.75" customHeight="1" x14ac:dyDescent="0.3">
      <c r="A322" s="175"/>
      <c r="B322" s="176"/>
      <c r="C322" s="176"/>
      <c r="D322" s="193"/>
      <c r="E322" s="194" t="s">
        <v>47</v>
      </c>
      <c r="F322" s="195"/>
      <c r="G322" s="196"/>
      <c r="H322" s="186"/>
      <c r="I322" s="187"/>
      <c r="J322" s="187">
        <f ca="1">IFERROR(__xludf.DUMMYFUNCTION("IMPORTRANGE(""https://docs.google.com/spreadsheets/d/11923uPwbBZFjjGgGUA6NLw09EwE0CqkOc4q9oUmW1yo/edit?usp=sharing"",""ลำปาง!J222"")"),0)</f>
        <v>0</v>
      </c>
      <c r="K322" s="223"/>
      <c r="L322" s="168"/>
      <c r="M322" s="168"/>
      <c r="N322" s="168"/>
      <c r="O322" s="181"/>
      <c r="P322" s="181"/>
    </row>
    <row r="323" spans="1:16" ht="21.75" customHeight="1" x14ac:dyDescent="0.3">
      <c r="A323" s="175"/>
      <c r="B323" s="176"/>
      <c r="C323" s="176"/>
      <c r="D323" s="193"/>
      <c r="E323" s="194" t="s">
        <v>48</v>
      </c>
      <c r="F323" s="195"/>
      <c r="G323" s="196"/>
      <c r="H323" s="186"/>
      <c r="I323" s="187"/>
      <c r="J323" s="187">
        <f ca="1">IFERROR(__xludf.DUMMYFUNCTION("IMPORTRANGE(""https://docs.google.com/spreadsheets/d/11923uPwbBZFjjGgGUA6NLw09EwE0CqkOc4q9oUmW1yo/edit?usp=sharing"",""ลำปาง!J223"")"),0)</f>
        <v>0</v>
      </c>
      <c r="K323" s="223"/>
      <c r="L323" s="168"/>
      <c r="M323" s="168"/>
      <c r="N323" s="168"/>
      <c r="O323" s="181"/>
      <c r="P323" s="181"/>
    </row>
    <row r="324" spans="1:16" ht="21.75" customHeight="1" x14ac:dyDescent="0.3">
      <c r="A324" s="175"/>
      <c r="B324" s="176"/>
      <c r="C324" s="176"/>
      <c r="D324" s="193"/>
      <c r="E324" s="198"/>
      <c r="F324" s="194" t="s">
        <v>117</v>
      </c>
      <c r="G324" s="196"/>
      <c r="H324" s="186" t="s">
        <v>116</v>
      </c>
      <c r="I324" s="187">
        <f ca="1">IFERROR(__xludf.DUMMYFUNCTION("IMPORTRANGE(""https://docs.google.com/spreadsheets/d/11923uPwbBZFjjGgGUA6NLw09EwE0CqkOc4q9oUmW1yo/edit?usp=sharing"",""ลำปาง!I224"")"),0)</f>
        <v>0</v>
      </c>
      <c r="J324" s="203">
        <f ca="1">IFERROR(__xludf.DUMMYFUNCTION("IMPORTRANGE(""https://docs.google.com/spreadsheets/d/11923uPwbBZFjjGgGUA6NLw09EwE0CqkOc4q9oUmW1yo/edit?usp=sharing"",""ลำปาง!J224"")"),0)</f>
        <v>0</v>
      </c>
      <c r="K324" s="223">
        <f ca="1">IF(I324&gt;0,J324*100/I324,0)</f>
        <v>0</v>
      </c>
      <c r="L324" s="168"/>
      <c r="M324" s="168"/>
      <c r="N324" s="168"/>
      <c r="O324" s="181"/>
      <c r="P324" s="181"/>
    </row>
    <row r="325" spans="1:16" ht="21.75" customHeight="1" x14ac:dyDescent="0.3">
      <c r="A325" s="175"/>
      <c r="B325" s="176"/>
      <c r="C325" s="176"/>
      <c r="D325" s="193"/>
      <c r="E325" s="194" t="s">
        <v>54</v>
      </c>
      <c r="F325" s="195"/>
      <c r="G325" s="196"/>
      <c r="H325" s="186"/>
      <c r="I325" s="187"/>
      <c r="J325" s="187">
        <f ca="1">IFERROR(__xludf.DUMMYFUNCTION("IMPORTRANGE(""https://docs.google.com/spreadsheets/d/11923uPwbBZFjjGgGUA6NLw09EwE0CqkOc4q9oUmW1yo/edit?usp=sharing"",""ลำปาง!J225"")"),0)</f>
        <v>0</v>
      </c>
      <c r="K325" s="223"/>
      <c r="L325" s="168"/>
      <c r="M325" s="168"/>
      <c r="N325" s="168"/>
      <c r="O325" s="181"/>
      <c r="P325" s="181"/>
    </row>
    <row r="326" spans="1:16" ht="21.75" customHeight="1" x14ac:dyDescent="0.3">
      <c r="A326" s="175"/>
      <c r="B326" s="176"/>
      <c r="C326" s="176"/>
      <c r="D326" s="205">
        <v>3</v>
      </c>
      <c r="E326" s="206" t="s">
        <v>55</v>
      </c>
      <c r="F326" s="207"/>
      <c r="G326" s="208"/>
      <c r="H326" s="186"/>
      <c r="I326" s="187"/>
      <c r="J326" s="226">
        <f ca="1">IFERROR(__xludf.DUMMYFUNCTION("IMPORTRANGE(""https://docs.google.com/spreadsheets/d/11923uPwbBZFjjGgGUA6NLw09EwE0CqkOc4q9oUmW1yo/edit?usp=sharing"",""ลำปาง!J226"")"),0)</f>
        <v>0</v>
      </c>
      <c r="K326" s="223"/>
      <c r="L326" s="168"/>
      <c r="M326" s="168"/>
      <c r="N326" s="168"/>
      <c r="O326" s="181"/>
      <c r="P326" s="181"/>
    </row>
    <row r="327" spans="1:16" ht="21.75" customHeight="1" x14ac:dyDescent="0.3">
      <c r="A327" s="302" t="s">
        <v>118</v>
      </c>
      <c r="B327" s="303"/>
      <c r="C327" s="303"/>
      <c r="D327" s="304"/>
      <c r="E327" s="303"/>
      <c r="F327" s="303"/>
      <c r="G327" s="317"/>
      <c r="H327" s="306"/>
      <c r="I327" s="307"/>
      <c r="J327" s="307"/>
      <c r="K327" s="308"/>
      <c r="L327" s="308"/>
      <c r="M327" s="308"/>
      <c r="N327" s="308"/>
      <c r="O327" s="309"/>
      <c r="P327" s="309"/>
    </row>
    <row r="328" spans="1:16" ht="21.75" customHeight="1" x14ac:dyDescent="0.3">
      <c r="A328" s="310"/>
      <c r="B328" s="336" t="s">
        <v>119</v>
      </c>
      <c r="C328" s="323"/>
      <c r="D328" s="311"/>
      <c r="E328" s="311"/>
      <c r="F328" s="311"/>
      <c r="G328" s="312"/>
      <c r="H328" s="313" t="s">
        <v>37</v>
      </c>
      <c r="I328" s="337">
        <f ca="1">IFERROR(__xludf.DUMMYFUNCTION("IMPORTRANGE(""https://docs.google.com/spreadsheets/d/11923uPwbBZFjjGgGUA6NLw09EwE0CqkOc4q9oUmW1yo/edit?usp=sharing"",""ลำปาง!I228"")"),400)</f>
        <v>400</v>
      </c>
      <c r="J328" s="337">
        <f ca="1">IFERROR(__xludf.DUMMYFUNCTION("IMPORTRANGE(""https://docs.google.com/spreadsheets/d/11923uPwbBZFjjGgGUA6NLw09EwE0CqkOc4q9oUmW1yo/edit?usp=sharing"",""ลำปาง!J228"")"),147)</f>
        <v>147</v>
      </c>
      <c r="K328" s="315">
        <f ca="1">IF(I328&gt;0,J328*100/I328,0)</f>
        <v>36.75</v>
      </c>
      <c r="L328" s="316"/>
      <c r="M328" s="316"/>
      <c r="N328" s="316"/>
      <c r="O328" s="315"/>
      <c r="P328" s="315"/>
    </row>
    <row r="329" spans="1:16" ht="21.75" customHeight="1" x14ac:dyDescent="0.45">
      <c r="A329" s="145"/>
      <c r="B329" s="146"/>
      <c r="C329" s="147" t="s">
        <v>16</v>
      </c>
      <c r="D329" s="537" t="s">
        <v>17</v>
      </c>
      <c r="E329" s="528"/>
      <c r="F329" s="528"/>
      <c r="G329" s="528"/>
      <c r="H329" s="148" t="s">
        <v>12</v>
      </c>
      <c r="I329" s="162"/>
      <c r="J329" s="162"/>
      <c r="K329" s="163"/>
      <c r="L329" s="151">
        <f t="shared" ref="L329:N329" ca="1" si="98">L330+L331</f>
        <v>1017600</v>
      </c>
      <c r="M329" s="151">
        <f t="shared" ca="1" si="98"/>
        <v>600610</v>
      </c>
      <c r="N329" s="151">
        <f t="shared" ca="1" si="98"/>
        <v>524280</v>
      </c>
      <c r="O329" s="150">
        <f t="shared" ref="O329:O331" ca="1" si="99">IF(L329&gt;0,N329*100/L329,0)</f>
        <v>51.52122641509434</v>
      </c>
      <c r="P329" s="150">
        <f t="shared" ref="P329:P331" ca="1" si="100">IF(M329&gt;0,N329*100/M329,0)</f>
        <v>87.291253891876593</v>
      </c>
    </row>
    <row r="330" spans="1:16" ht="21.75" customHeight="1" x14ac:dyDescent="0.45">
      <c r="A330" s="152"/>
      <c r="B330" s="32"/>
      <c r="C330" s="32"/>
      <c r="D330" s="32"/>
      <c r="E330" s="32"/>
      <c r="F330" s="32"/>
      <c r="G330" s="33" t="s">
        <v>18</v>
      </c>
      <c r="H330" s="153" t="s">
        <v>12</v>
      </c>
      <c r="I330" s="162"/>
      <c r="J330" s="162"/>
      <c r="K330" s="163"/>
      <c r="L330" s="87">
        <f t="shared" ref="L330:N330" si="101">L332+L336</f>
        <v>0</v>
      </c>
      <c r="M330" s="87">
        <f t="shared" si="101"/>
        <v>0</v>
      </c>
      <c r="N330" s="87">
        <f t="shared" si="101"/>
        <v>0</v>
      </c>
      <c r="O330" s="155">
        <f t="shared" si="99"/>
        <v>0</v>
      </c>
      <c r="P330" s="155">
        <f t="shared" si="100"/>
        <v>0</v>
      </c>
    </row>
    <row r="331" spans="1:16" ht="21.75" customHeight="1" x14ac:dyDescent="0.45">
      <c r="A331" s="152"/>
      <c r="B331" s="32"/>
      <c r="C331" s="32"/>
      <c r="D331" s="32"/>
      <c r="E331" s="32"/>
      <c r="F331" s="32"/>
      <c r="G331" s="33" t="s">
        <v>19</v>
      </c>
      <c r="H331" s="153" t="s">
        <v>12</v>
      </c>
      <c r="I331" s="162"/>
      <c r="J331" s="162"/>
      <c r="K331" s="163"/>
      <c r="L331" s="87">
        <f t="shared" ref="L331:N331" ca="1" si="102">L333+L337</f>
        <v>1017600</v>
      </c>
      <c r="M331" s="87">
        <f t="shared" ca="1" si="102"/>
        <v>600610</v>
      </c>
      <c r="N331" s="87">
        <f t="shared" ca="1" si="102"/>
        <v>524280</v>
      </c>
      <c r="O331" s="155">
        <f t="shared" ca="1" si="99"/>
        <v>51.52122641509434</v>
      </c>
      <c r="P331" s="155">
        <f t="shared" ca="1" si="100"/>
        <v>87.291253891876593</v>
      </c>
    </row>
    <row r="332" spans="1:16" ht="21.75" customHeight="1" x14ac:dyDescent="0.3">
      <c r="A332" s="156"/>
      <c r="B332" s="157"/>
      <c r="C332" s="157" t="s">
        <v>16</v>
      </c>
      <c r="D332" s="158" t="s">
        <v>38</v>
      </c>
      <c r="E332" s="159"/>
      <c r="F332" s="159"/>
      <c r="G332" s="160" t="s">
        <v>39</v>
      </c>
      <c r="H332" s="161" t="s">
        <v>12</v>
      </c>
      <c r="I332" s="162" t="s">
        <v>40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3">
      <c r="A333" s="156"/>
      <c r="B333" s="157"/>
      <c r="C333" s="157"/>
      <c r="D333" s="166"/>
      <c r="E333" s="159"/>
      <c r="F333" s="159" t="s">
        <v>40</v>
      </c>
      <c r="G333" s="160" t="s">
        <v>41</v>
      </c>
      <c r="H333" s="161" t="s">
        <v>12</v>
      </c>
      <c r="I333" s="162"/>
      <c r="J333" s="162"/>
      <c r="K333" s="163"/>
      <c r="L333" s="167">
        <f ca="1">L334+L335</f>
        <v>897600</v>
      </c>
      <c r="M333" s="167">
        <f ca="1">IFERROR(__xludf.DUMMYFUNCTION("IMPORTRANGE(""https://docs.google.com/spreadsheets/d/1Yj_ptqi66GCucihVvJfMjLAmec39IyEx_6qawtMGysU/edit?usp=sharing"",""สบก!DL32"")"),480610)</f>
        <v>480610</v>
      </c>
      <c r="N333" s="168">
        <f ca="1">IFERROR(__xludf.DUMMYFUNCTION("IMPORTRANGE(""https://docs.google.com/spreadsheets/d/1Yj_ptqi66GCucihVvJfMjLAmec39IyEx_6qawtMGysU/edit?usp=sharing"",""สบก!DM32"")"),404280)</f>
        <v>404280</v>
      </c>
      <c r="O333" s="168">
        <f ca="1">IF(L333&gt;0,N333*100/L333,0)</f>
        <v>45.040106951871657</v>
      </c>
      <c r="P333" s="168">
        <f ca="1">IF(M333&gt;0,N333*100/M333,0)</f>
        <v>84.11809991469174</v>
      </c>
    </row>
    <row r="334" spans="1:16" ht="21.75" customHeight="1" x14ac:dyDescent="0.3">
      <c r="A334" s="156"/>
      <c r="B334" s="157"/>
      <c r="C334" s="157"/>
      <c r="D334" s="166"/>
      <c r="E334" s="159"/>
      <c r="F334" s="159"/>
      <c r="G334" s="169" t="s">
        <v>42</v>
      </c>
      <c r="H334" s="161" t="s">
        <v>12</v>
      </c>
      <c r="I334" s="162"/>
      <c r="J334" s="162"/>
      <c r="K334" s="163"/>
      <c r="L334" s="167">
        <f ca="1">IFERROR(__xludf.DUMMYFUNCTION("IMPORTRANGE(""https://docs.google.com/spreadsheets/d/1Yj_ptqi66GCucihVvJfMjLAmec39IyEx_6qawtMGysU/edit?usp=sharing"",""สบก!DH32"")"),491200)</f>
        <v>491200</v>
      </c>
      <c r="M334" s="167"/>
      <c r="N334" s="167"/>
      <c r="O334" s="168"/>
      <c r="P334" s="168"/>
    </row>
    <row r="335" spans="1:16" ht="21.75" customHeight="1" x14ac:dyDescent="0.3">
      <c r="A335" s="156"/>
      <c r="B335" s="157"/>
      <c r="C335" s="157"/>
      <c r="D335" s="166"/>
      <c r="E335" s="159"/>
      <c r="F335" s="159"/>
      <c r="G335" s="169" t="s">
        <v>43</v>
      </c>
      <c r="H335" s="161" t="s">
        <v>12</v>
      </c>
      <c r="I335" s="162"/>
      <c r="J335" s="162"/>
      <c r="K335" s="163"/>
      <c r="L335" s="167">
        <f ca="1">IFERROR(__xludf.DUMMYFUNCTION("IMPORTRANGE(""https://docs.google.com/spreadsheets/d/1Yj_ptqi66GCucihVvJfMjLAmec39IyEx_6qawtMGysU/edit?usp=sharing"",""สบก!DI32"")"),406400)</f>
        <v>406400</v>
      </c>
      <c r="M335" s="167"/>
      <c r="N335" s="167"/>
      <c r="O335" s="168"/>
      <c r="P335" s="168"/>
    </row>
    <row r="336" spans="1:16" ht="21.75" customHeight="1" x14ac:dyDescent="0.45">
      <c r="A336" s="170"/>
      <c r="B336" s="80"/>
      <c r="C336" s="81" t="s">
        <v>16</v>
      </c>
      <c r="D336" s="534" t="s">
        <v>23</v>
      </c>
      <c r="E336" s="530"/>
      <c r="F336" s="88"/>
      <c r="G336" s="82" t="s">
        <v>18</v>
      </c>
      <c r="H336" s="171" t="s">
        <v>12</v>
      </c>
      <c r="I336" s="162"/>
      <c r="J336" s="162"/>
      <c r="K336" s="163"/>
      <c r="L336" s="41">
        <v>0</v>
      </c>
      <c r="M336" s="41"/>
      <c r="N336" s="41"/>
      <c r="O336" s="41"/>
      <c r="P336" s="41"/>
    </row>
    <row r="337" spans="1:16" ht="21.75" customHeight="1" x14ac:dyDescent="0.45">
      <c r="A337" s="172"/>
      <c r="B337" s="91"/>
      <c r="C337" s="91"/>
      <c r="D337" s="173"/>
      <c r="E337" s="92"/>
      <c r="F337" s="92"/>
      <c r="G337" s="93" t="s">
        <v>19</v>
      </c>
      <c r="H337" s="174" t="s">
        <v>12</v>
      </c>
      <c r="I337" s="162"/>
      <c r="J337" s="162"/>
      <c r="K337" s="163"/>
      <c r="L337" s="49">
        <f ca="1">IFERROR(__xludf.DUMMYFUNCTION("IMPORTRANGE(""https://docs.google.com/spreadsheets/d/1Yj_ptqi66GCucihVvJfMjLAmec39IyEx_6qawtMGysU/edit?usp=sharing"",""สบก!DJ32"")"),120000)</f>
        <v>120000</v>
      </c>
      <c r="M337" s="49">
        <f ca="1">L337</f>
        <v>120000</v>
      </c>
      <c r="N337" s="49">
        <f ca="1">IFERROR(__xludf.DUMMYFUNCTION("IMPORTRANGE(""https://docs.google.com/spreadsheets/d/1Yj_ptqi66GCucihVvJfMjLAmec39IyEx_6qawtMGysU/edit?usp=sharing"",""สบก!DN32"")"),120000)</f>
        <v>120000</v>
      </c>
      <c r="O337" s="49">
        <f ca="1">IF(L337&gt;0,N337*100/L337,0)</f>
        <v>100</v>
      </c>
      <c r="P337" s="49">
        <f ca="1">IF(M337&gt;0,N337*100/M337,0)</f>
        <v>100</v>
      </c>
    </row>
    <row r="338" spans="1:16" ht="21.75" customHeight="1" x14ac:dyDescent="0.3">
      <c r="A338" s="175"/>
      <c r="B338" s="289"/>
      <c r="C338" s="338" t="s">
        <v>120</v>
      </c>
      <c r="D338" s="195"/>
      <c r="E338" s="195"/>
      <c r="F338" s="195"/>
      <c r="G338" s="196"/>
      <c r="H338" s="180"/>
      <c r="I338" s="339"/>
      <c r="J338" s="339"/>
      <c r="K338" s="340"/>
      <c r="L338" s="181"/>
      <c r="M338" s="181"/>
      <c r="N338" s="181"/>
      <c r="O338" s="341"/>
      <c r="P338" s="341"/>
    </row>
    <row r="339" spans="1:16" ht="21.75" customHeight="1" x14ac:dyDescent="0.3">
      <c r="A339" s="175"/>
      <c r="B339" s="289"/>
      <c r="C339" s="176"/>
      <c r="D339" s="195"/>
      <c r="E339" s="194" t="s">
        <v>121</v>
      </c>
      <c r="F339" s="195"/>
      <c r="G339" s="196"/>
      <c r="H339" s="342" t="s">
        <v>37</v>
      </c>
      <c r="I339" s="203">
        <f ca="1">IFERROR(__xludf.DUMMYFUNCTION("IMPORTRANGE(""https://docs.google.com/spreadsheets/d/11923uPwbBZFjjGgGUA6NLw09EwE0CqkOc4q9oUmW1yo/edit?usp=sharing"",""ลำปาง!I234"")"),0)</f>
        <v>0</v>
      </c>
      <c r="J339" s="187">
        <f ca="1">IFERROR(__xludf.DUMMYFUNCTION("IMPORTRANGE(""https://docs.google.com/spreadsheets/d/11923uPwbBZFjjGgGUA6NLw09EwE0CqkOc4q9oUmW1yo/edit?usp=sharing"",""ลำปาง!J234"")"),215)</f>
        <v>215</v>
      </c>
      <c r="K339" s="340">
        <f t="shared" ref="K339:K346" ca="1" si="103">IF(I339&gt;0,J339*100/I339,0)</f>
        <v>0</v>
      </c>
      <c r="L339" s="181"/>
      <c r="M339" s="181"/>
      <c r="N339" s="181"/>
      <c r="O339" s="341"/>
      <c r="P339" s="341"/>
    </row>
    <row r="340" spans="1:16" ht="21.75" customHeight="1" x14ac:dyDescent="0.3">
      <c r="A340" s="175"/>
      <c r="B340" s="289"/>
      <c r="C340" s="176"/>
      <c r="D340" s="195"/>
      <c r="E340" s="195"/>
      <c r="F340" s="195"/>
      <c r="G340" s="196"/>
      <c r="H340" s="342" t="s">
        <v>122</v>
      </c>
      <c r="I340" s="187">
        <f ca="1">IFERROR(__xludf.DUMMYFUNCTION("IMPORTRANGE(""https://docs.google.com/spreadsheets/d/11923uPwbBZFjjGgGUA6NLw09EwE0CqkOc4q9oUmW1yo/edit?usp=sharing"",""ลำปาง!I235"")"),1700)</f>
        <v>1700</v>
      </c>
      <c r="J340" s="187">
        <f ca="1">IFERROR(__xludf.DUMMYFUNCTION("IMPORTRANGE(""https://docs.google.com/spreadsheets/d/11923uPwbBZFjjGgGUA6NLw09EwE0CqkOc4q9oUmW1yo/edit?usp=sharing"",""ลำปาง!J235"")"),1171.37)</f>
        <v>1171.3699999999999</v>
      </c>
      <c r="K340" s="340">
        <f t="shared" ca="1" si="103"/>
        <v>68.904117647058811</v>
      </c>
      <c r="L340" s="181"/>
      <c r="M340" s="181"/>
      <c r="N340" s="181"/>
      <c r="O340" s="341"/>
      <c r="P340" s="341"/>
    </row>
    <row r="341" spans="1:16" ht="21.75" customHeight="1" x14ac:dyDescent="0.3">
      <c r="A341" s="175"/>
      <c r="B341" s="289"/>
      <c r="C341" s="176"/>
      <c r="D341" s="195"/>
      <c r="E341" s="194" t="s">
        <v>123</v>
      </c>
      <c r="F341" s="195"/>
      <c r="G341" s="196"/>
      <c r="H341" s="180" t="s">
        <v>37</v>
      </c>
      <c r="I341" s="187">
        <f ca="1">IFERROR(__xludf.DUMMYFUNCTION("IMPORTRANGE(""https://docs.google.com/spreadsheets/d/11923uPwbBZFjjGgGUA6NLw09EwE0CqkOc4q9oUmW1yo/edit?usp=sharing"",""ลำปาง!I236"")"),400)</f>
        <v>400</v>
      </c>
      <c r="J341" s="187">
        <f ca="1">IFERROR(__xludf.DUMMYFUNCTION("IMPORTRANGE(""https://docs.google.com/spreadsheets/d/11923uPwbBZFjjGgGUA6NLw09EwE0CqkOc4q9oUmW1yo/edit?usp=sharing"",""ลำปาง!J236"")"),262)</f>
        <v>262</v>
      </c>
      <c r="K341" s="340">
        <f t="shared" ca="1" si="103"/>
        <v>65.5</v>
      </c>
      <c r="L341" s="181"/>
      <c r="M341" s="181"/>
      <c r="N341" s="181"/>
      <c r="O341" s="341"/>
      <c r="P341" s="341"/>
    </row>
    <row r="342" spans="1:16" ht="21.75" customHeight="1" x14ac:dyDescent="0.3">
      <c r="A342" s="175"/>
      <c r="B342" s="289"/>
      <c r="C342" s="176"/>
      <c r="D342" s="195"/>
      <c r="E342" s="195"/>
      <c r="F342" s="195"/>
      <c r="G342" s="196"/>
      <c r="H342" s="180" t="s">
        <v>122</v>
      </c>
      <c r="I342" s="343">
        <f ca="1">IFERROR(__xludf.DUMMYFUNCTION("IMPORTRANGE(""https://docs.google.com/spreadsheets/d/11923uPwbBZFjjGgGUA6NLw09EwE0CqkOc4q9oUmW1yo/edit?usp=sharing"",""ลำปาง!I237"")"),0)</f>
        <v>0</v>
      </c>
      <c r="J342" s="187">
        <f ca="1">IFERROR(__xludf.DUMMYFUNCTION("IMPORTRANGE(""https://docs.google.com/spreadsheets/d/11923uPwbBZFjjGgGUA6NLw09EwE0CqkOc4q9oUmW1yo/edit?usp=sharing"",""ลำปาง!J237"")"),1503.96)</f>
        <v>1503.96</v>
      </c>
      <c r="K342" s="340">
        <f t="shared" ca="1" si="103"/>
        <v>0</v>
      </c>
      <c r="L342" s="181"/>
      <c r="M342" s="181"/>
      <c r="N342" s="181"/>
      <c r="O342" s="341"/>
      <c r="P342" s="341"/>
    </row>
    <row r="343" spans="1:16" ht="21.75" customHeight="1" x14ac:dyDescent="0.3">
      <c r="A343" s="175"/>
      <c r="B343" s="289"/>
      <c r="C343" s="176"/>
      <c r="D343" s="195"/>
      <c r="E343" s="194" t="s">
        <v>124</v>
      </c>
      <c r="F343" s="195"/>
      <c r="G343" s="196"/>
      <c r="H343" s="180" t="s">
        <v>37</v>
      </c>
      <c r="I343" s="187">
        <f ca="1">IFERROR(__xludf.DUMMYFUNCTION("IMPORTRANGE(""https://docs.google.com/spreadsheets/d/11923uPwbBZFjjGgGUA6NLw09EwE0CqkOc4q9oUmW1yo/edit?usp=sharing"",""ลำปาง!I238"")"),400)</f>
        <v>400</v>
      </c>
      <c r="J343" s="187">
        <f ca="1">IFERROR(__xludf.DUMMYFUNCTION("IMPORTRANGE(""https://docs.google.com/spreadsheets/d/11923uPwbBZFjjGgGUA6NLw09EwE0CqkOc4q9oUmW1yo/edit?usp=sharing"",""ลำปาง!J238"")"),1)</f>
        <v>1</v>
      </c>
      <c r="K343" s="340">
        <f t="shared" ca="1" si="103"/>
        <v>0.25</v>
      </c>
      <c r="L343" s="181"/>
      <c r="M343" s="181"/>
      <c r="N343" s="181"/>
      <c r="O343" s="341"/>
      <c r="P343" s="341"/>
    </row>
    <row r="344" spans="1:16" ht="21.75" customHeight="1" x14ac:dyDescent="0.3">
      <c r="A344" s="175"/>
      <c r="B344" s="289"/>
      <c r="C344" s="176"/>
      <c r="D344" s="195"/>
      <c r="E344" s="195"/>
      <c r="F344" s="195"/>
      <c r="G344" s="196"/>
      <c r="H344" s="180" t="s">
        <v>122</v>
      </c>
      <c r="I344" s="343">
        <f ca="1">IFERROR(__xludf.DUMMYFUNCTION("IMPORTRANGE(""https://docs.google.com/spreadsheets/d/11923uPwbBZFjjGgGUA6NLw09EwE0CqkOc4q9oUmW1yo/edit?usp=sharing"",""ลำปาง!I239"")"),0)</f>
        <v>0</v>
      </c>
      <c r="J344" s="187">
        <f ca="1">IFERROR(__xludf.DUMMYFUNCTION("IMPORTRANGE(""https://docs.google.com/spreadsheets/d/11923uPwbBZFjjGgGUA6NLw09EwE0CqkOc4q9oUmW1yo/edit?usp=sharing"",""ลำปาง!J239"")"),1.13)</f>
        <v>1.1299999999999999</v>
      </c>
      <c r="K344" s="340">
        <f t="shared" ca="1" si="103"/>
        <v>0</v>
      </c>
      <c r="L344" s="181"/>
      <c r="M344" s="181"/>
      <c r="N344" s="181"/>
      <c r="O344" s="341"/>
      <c r="P344" s="341"/>
    </row>
    <row r="345" spans="1:16" ht="21.75" customHeight="1" x14ac:dyDescent="0.3">
      <c r="A345" s="175"/>
      <c r="B345" s="289"/>
      <c r="C345" s="176"/>
      <c r="D345" s="195"/>
      <c r="E345" s="194" t="s">
        <v>125</v>
      </c>
      <c r="F345" s="195"/>
      <c r="G345" s="196"/>
      <c r="H345" s="180" t="s">
        <v>37</v>
      </c>
      <c r="I345" s="187">
        <f ca="1">IFERROR(__xludf.DUMMYFUNCTION("IMPORTRANGE(""https://docs.google.com/spreadsheets/d/11923uPwbBZFjjGgGUA6NLw09EwE0CqkOc4q9oUmW1yo/edit?usp=sharing"",""ลำปาง!I240"")"),400)</f>
        <v>400</v>
      </c>
      <c r="J345" s="187">
        <f ca="1">IFERROR(__xludf.DUMMYFUNCTION("IMPORTRANGE(""https://docs.google.com/spreadsheets/d/11923uPwbBZFjjGgGUA6NLw09EwE0CqkOc4q9oUmW1yo/edit?usp=sharing"",""ลำปาง!J240"")"),147)</f>
        <v>147</v>
      </c>
      <c r="K345" s="340">
        <f t="shared" ca="1" si="103"/>
        <v>36.75</v>
      </c>
      <c r="L345" s="181"/>
      <c r="M345" s="181"/>
      <c r="N345" s="181"/>
      <c r="O345" s="341"/>
      <c r="P345" s="341"/>
    </row>
    <row r="346" spans="1:16" ht="21.75" customHeight="1" x14ac:dyDescent="0.3">
      <c r="A346" s="233"/>
      <c r="B346" s="344"/>
      <c r="C346" s="234"/>
      <c r="D346" s="344"/>
      <c r="E346" s="345"/>
      <c r="F346" s="345"/>
      <c r="G346" s="346"/>
      <c r="H346" s="347" t="s">
        <v>122</v>
      </c>
      <c r="I346" s="348">
        <f ca="1">IFERROR(__xludf.DUMMYFUNCTION("IMPORTRANGE(""https://docs.google.com/spreadsheets/d/11923uPwbBZFjjGgGUA6NLw09EwE0CqkOc4q9oUmW1yo/edit?usp=sharing"",""ลำปาง!I241"")"),0)</f>
        <v>0</v>
      </c>
      <c r="J346" s="187">
        <f ca="1">IFERROR(__xludf.DUMMYFUNCTION("IMPORTRANGE(""https://docs.google.com/spreadsheets/d/11923uPwbBZFjjGgGUA6NLw09EwE0CqkOc4q9oUmW1yo/edit?usp=sharing"",""ลำปาง!J241"")"),780.75)</f>
        <v>780.75</v>
      </c>
      <c r="K346" s="349">
        <f t="shared" ca="1" si="103"/>
        <v>0</v>
      </c>
      <c r="L346" s="244"/>
      <c r="M346" s="244"/>
      <c r="N346" s="244"/>
      <c r="O346" s="350"/>
      <c r="P346" s="350"/>
    </row>
    <row r="347" spans="1:16" ht="21.75" customHeight="1" x14ac:dyDescent="0.3">
      <c r="A347" s="351" t="s">
        <v>126</v>
      </c>
      <c r="B347" s="352"/>
      <c r="C347" s="352"/>
      <c r="D347" s="352"/>
      <c r="E347" s="352"/>
      <c r="F347" s="352"/>
      <c r="G347" s="353"/>
      <c r="H347" s="354"/>
      <c r="I347" s="355"/>
      <c r="J347" s="355"/>
      <c r="K347" s="356"/>
      <c r="L347" s="356">
        <f ca="1">IFERROR(__xludf.DUMMYFUNCTION("IMPORTRANGE(""https://docs.google.com/spreadsheets/d/11923uPwbBZFjjGgGUA6NLw09EwE0CqkOc4q9oUmW1yo/edit?usp=sharing"",""ลำปาง!L242"")"),2608935)</f>
        <v>2608935</v>
      </c>
      <c r="M347" s="356"/>
      <c r="N347" s="356">
        <f ca="1">IFERROR(__xludf.DUMMYFUNCTION("IMPORTRANGE(""https://docs.google.com/spreadsheets/d/11923uPwbBZFjjGgGUA6NLw09EwE0CqkOc4q9oUmW1yo/edit?usp=sharing"",""ลำปาง!M242"")"),277573.31)</f>
        <v>277573.31</v>
      </c>
      <c r="O347" s="356">
        <f ca="1">+IF(L347&gt;0,N347*100/L347,0)</f>
        <v>10.639334057766867</v>
      </c>
      <c r="P347" s="356"/>
    </row>
    <row r="348" spans="1:16" ht="21.75" customHeight="1" x14ac:dyDescent="0.3">
      <c r="A348" s="357" t="s">
        <v>127</v>
      </c>
      <c r="B348" s="358"/>
      <c r="C348" s="358"/>
      <c r="D348" s="358"/>
      <c r="E348" s="358"/>
      <c r="F348" s="358"/>
      <c r="G348" s="359"/>
      <c r="H348" s="360"/>
      <c r="I348" s="361"/>
      <c r="J348" s="361"/>
      <c r="K348" s="362"/>
      <c r="L348" s="362"/>
      <c r="M348" s="362"/>
      <c r="N348" s="362"/>
      <c r="O348" s="363"/>
      <c r="P348" s="363"/>
    </row>
    <row r="349" spans="1:16" ht="21.75" customHeight="1" x14ac:dyDescent="0.3">
      <c r="A349" s="364"/>
      <c r="B349" s="365">
        <v>1</v>
      </c>
      <c r="C349" s="366" t="s">
        <v>128</v>
      </c>
      <c r="D349" s="366"/>
      <c r="E349" s="366"/>
      <c r="F349" s="366"/>
      <c r="G349" s="367"/>
      <c r="H349" s="368" t="s">
        <v>122</v>
      </c>
      <c r="I349" s="369">
        <f ca="1">IFERROR(__xludf.DUMMYFUNCTION("IMPORTRANGE(""https://docs.google.com/spreadsheets/d/11923uPwbBZFjjGgGUA6NLw09EwE0CqkOc4q9oUmW1yo/edit?usp=sharing"",""ลำปาง!I244"")"),50)</f>
        <v>50</v>
      </c>
      <c r="J349" s="369">
        <f ca="1">IFERROR(__xludf.DUMMYFUNCTION("IMPORTRANGE(""https://docs.google.com/spreadsheets/d/11923uPwbBZFjjGgGUA6NLw09EwE0CqkOc4q9oUmW1yo/edit?usp=sharing"",""ลำปาง!J244"")"),0)</f>
        <v>0</v>
      </c>
      <c r="K349" s="370">
        <f t="shared" ref="K349:K350" ca="1" si="104">IF(I349&gt;0,J349*100/I349,0)</f>
        <v>0</v>
      </c>
      <c r="L349" s="371">
        <f ca="1">IFERROR(__xludf.DUMMYFUNCTION("IMPORTRANGE(""https://docs.google.com/spreadsheets/d/11923uPwbBZFjjGgGUA6NLw09EwE0CqkOc4q9oUmW1yo/edit?usp=sharing"",""ลำปาง!L244"")"),230720)</f>
        <v>230720</v>
      </c>
      <c r="M349" s="371"/>
      <c r="N349" s="371">
        <f ca="1">IFERROR(__xludf.DUMMYFUNCTION("IMPORTRANGE(""https://docs.google.com/spreadsheets/d/11923uPwbBZFjjGgGUA6NLw09EwE0CqkOc4q9oUmW1yo/edit?usp=sharing"",""ลำปาง!M244"")"),37600.04)</f>
        <v>37600.04</v>
      </c>
      <c r="O349" s="371">
        <f ca="1">+IF(L349&gt;0,N349*100/L349,0)</f>
        <v>16.296827323162276</v>
      </c>
      <c r="P349" s="371"/>
    </row>
    <row r="350" spans="1:16" ht="21.75" customHeight="1" x14ac:dyDescent="0.3">
      <c r="A350" s="364"/>
      <c r="B350" s="365"/>
      <c r="C350" s="366"/>
      <c r="D350" s="366"/>
      <c r="E350" s="366"/>
      <c r="F350" s="366"/>
      <c r="G350" s="367"/>
      <c r="H350" s="368" t="s">
        <v>37</v>
      </c>
      <c r="I350" s="369">
        <f ca="1">IFERROR(__xludf.DUMMYFUNCTION("IMPORTRANGE(""https://docs.google.com/spreadsheets/d/11923uPwbBZFjjGgGUA6NLw09EwE0CqkOc4q9oUmW1yo/edit?usp=sharing"",""ลำปาง!I245"")"),10)</f>
        <v>10</v>
      </c>
      <c r="J350" s="369">
        <f ca="1">IFERROR(__xludf.DUMMYFUNCTION("IMPORTRANGE(""https://docs.google.com/spreadsheets/d/11923uPwbBZFjjGgGUA6NLw09EwE0CqkOc4q9oUmW1yo/edit?usp=sharing"",""ลำปาง!J245"")"),0)</f>
        <v>0</v>
      </c>
      <c r="K350" s="370">
        <f t="shared" ca="1" si="104"/>
        <v>0</v>
      </c>
      <c r="L350" s="371"/>
      <c r="M350" s="371"/>
      <c r="N350" s="371"/>
      <c r="O350" s="371"/>
      <c r="P350" s="371"/>
    </row>
    <row r="351" spans="1:16" ht="21.75" customHeight="1" x14ac:dyDescent="0.3">
      <c r="A351" s="156"/>
      <c r="B351" s="157"/>
      <c r="C351" s="157" t="s">
        <v>16</v>
      </c>
      <c r="D351" s="158" t="s">
        <v>38</v>
      </c>
      <c r="E351" s="159"/>
      <c r="F351" s="159"/>
      <c r="G351" s="160" t="s">
        <v>39</v>
      </c>
      <c r="H351" s="161" t="s">
        <v>12</v>
      </c>
      <c r="I351" s="162" t="s">
        <v>40</v>
      </c>
      <c r="J351" s="162"/>
      <c r="K351" s="163"/>
      <c r="L351" s="164">
        <f ca="1">IFERROR(__xludf.DUMMYFUNCTION("IMPORTRANGE(""https://docs.google.com/spreadsheets/d/11923uPwbBZFjjGgGUA6NLw09EwE0CqkOc4q9oUmW1yo/edit?usp=sharing"",""ลำปาง!L246"")"),0)</f>
        <v>0</v>
      </c>
      <c r="M351" s="164"/>
      <c r="N351" s="164">
        <f ca="1">IFERROR(__xludf.DUMMYFUNCTION("IMPORTRANGE(""https://docs.google.com/spreadsheets/d/11923uPwbBZFjjGgGUA6NLw09EwE0CqkOc4q9oUmW1yo/edit?usp=sharing"",""ลำปาง!M246"")"),0)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3">
      <c r="A352" s="156"/>
      <c r="B352" s="157"/>
      <c r="C352" s="157"/>
      <c r="D352" s="166"/>
      <c r="E352" s="159"/>
      <c r="F352" s="159" t="s">
        <v>40</v>
      </c>
      <c r="G352" s="160" t="s">
        <v>41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IFERROR(__xludf.DUMMYFUNCTION("IMPORTRANGE(""https://docs.google.com/spreadsheets/d/11923uPwbBZFjjGgGUA6NLw09EwE0CqkOc4q9oUmW1yo/edit?usp=sharing"",""ลำปาง!L247"")"),230720)</f>
        <v>230720</v>
      </c>
      <c r="M352" s="165"/>
      <c r="N352" s="164">
        <f ca="1">IFERROR(__xludf.DUMMYFUNCTION("IMPORTRANGE(""https://docs.google.com/spreadsheets/d/11923uPwbBZFjjGgGUA6NLw09EwE0CqkOc4q9oUmW1yo/edit?usp=sharing"",""ลำปาง!M247"")"),37600.04)</f>
        <v>37600.04</v>
      </c>
      <c r="O352" s="165">
        <f t="shared" ca="1" si="105"/>
        <v>16.296827323162276</v>
      </c>
      <c r="P352" s="165"/>
    </row>
    <row r="353" spans="1:16" ht="21.75" customHeight="1" x14ac:dyDescent="0.3">
      <c r="A353" s="156"/>
      <c r="B353" s="157"/>
      <c r="C353" s="157"/>
      <c r="D353" s="166"/>
      <c r="E353" s="159"/>
      <c r="F353" s="159"/>
      <c r="G353" s="372" t="s">
        <v>129</v>
      </c>
      <c r="H353" s="161" t="s">
        <v>12</v>
      </c>
      <c r="I353" s="162"/>
      <c r="J353" s="162"/>
      <c r="K353" s="163"/>
      <c r="L353" s="168">
        <f ca="1">IFERROR(__xludf.DUMMYFUNCTION("IMPORTRANGE(""https://docs.google.com/spreadsheets/d/11923uPwbBZFjjGgGUA6NLw09EwE0CqkOc4q9oUmW1yo/edit?usp=sharing"",""ลำปาง!L248"")"),0)</f>
        <v>0</v>
      </c>
      <c r="M353" s="168"/>
      <c r="N353" s="168">
        <f ca="1">IFERROR(__xludf.DUMMYFUNCTION("IMPORTRANGE(""https://docs.google.com/spreadsheets/d/11923uPwbBZFjjGgGUA6NLw09EwE0CqkOc4q9oUmW1yo/edit?usp=sharing"",""ลำปาง!M248"")"),0)</f>
        <v>0</v>
      </c>
      <c r="O353" s="168">
        <f t="shared" ca="1" si="105"/>
        <v>0</v>
      </c>
      <c r="P353" s="168"/>
    </row>
    <row r="354" spans="1:16" ht="21.75" customHeight="1" x14ac:dyDescent="0.3">
      <c r="A354" s="156"/>
      <c r="B354" s="157"/>
      <c r="C354" s="157"/>
      <c r="D354" s="166"/>
      <c r="E354" s="159"/>
      <c r="F354" s="159"/>
      <c r="G354" s="372" t="s">
        <v>130</v>
      </c>
      <c r="H354" s="161" t="s">
        <v>12</v>
      </c>
      <c r="I354" s="162"/>
      <c r="J354" s="162"/>
      <c r="K354" s="163"/>
      <c r="L354" s="168">
        <f ca="1">IFERROR(__xludf.DUMMYFUNCTION("IMPORTRANGE(""https://docs.google.com/spreadsheets/d/11923uPwbBZFjjGgGUA6NLw09EwE0CqkOc4q9oUmW1yo/edit?usp=sharing"",""ลำปาง!L249"")"),230720)</f>
        <v>230720</v>
      </c>
      <c r="M354" s="168"/>
      <c r="N354" s="167">
        <f ca="1">IFERROR(__xludf.DUMMYFUNCTION("IMPORTRANGE(""https://docs.google.com/spreadsheets/d/11923uPwbBZFjjGgGUA6NLw09EwE0CqkOc4q9oUmW1yo/edit?usp=sharing"",""ลำปาง!M249"")"),37600.04)</f>
        <v>37600.04</v>
      </c>
      <c r="O354" s="168">
        <f t="shared" ca="1" si="105"/>
        <v>16.296827323162276</v>
      </c>
      <c r="P354" s="168"/>
    </row>
    <row r="355" spans="1:16" ht="21.75" customHeight="1" x14ac:dyDescent="0.3">
      <c r="A355" s="373"/>
      <c r="B355" s="374"/>
      <c r="C355" s="157"/>
      <c r="D355" s="375"/>
      <c r="E355" s="159"/>
      <c r="F355" s="159"/>
      <c r="G355" s="376" t="s">
        <v>131</v>
      </c>
      <c r="H355" s="161" t="s">
        <v>12</v>
      </c>
      <c r="I355" s="187"/>
      <c r="J355" s="187"/>
      <c r="K355" s="223"/>
      <c r="L355" s="168"/>
      <c r="M355" s="168"/>
      <c r="N355" s="377">
        <f ca="1">IFERROR(__xludf.DUMMYFUNCTION("IMPORTRANGE(""https://docs.google.com/spreadsheets/d/11923uPwbBZFjjGgGUA6NLw09EwE0CqkOc4q9oUmW1yo/edit?usp=sharing"",""ลำปาง!M250"")"),5320)</f>
        <v>5320</v>
      </c>
      <c r="O355" s="168"/>
      <c r="P355" s="168"/>
    </row>
    <row r="356" spans="1:16" ht="21.75" customHeight="1" x14ac:dyDescent="0.3">
      <c r="A356" s="373"/>
      <c r="B356" s="374"/>
      <c r="C356" s="157"/>
      <c r="D356" s="375"/>
      <c r="E356" s="159"/>
      <c r="F356" s="159"/>
      <c r="G356" s="376" t="s">
        <v>132</v>
      </c>
      <c r="H356" s="161" t="s">
        <v>12</v>
      </c>
      <c r="I356" s="187"/>
      <c r="J356" s="187"/>
      <c r="K356" s="223"/>
      <c r="L356" s="168"/>
      <c r="M356" s="168"/>
      <c r="N356" s="377">
        <f ca="1">IFERROR(__xludf.DUMMYFUNCTION("IMPORTRANGE(""https://docs.google.com/spreadsheets/d/11923uPwbBZFjjGgGUA6NLw09EwE0CqkOc4q9oUmW1yo/edit?usp=sharing"",""ลำปาง!M251"")"),0)</f>
        <v>0</v>
      </c>
      <c r="O356" s="168"/>
      <c r="P356" s="168"/>
    </row>
    <row r="357" spans="1:16" ht="21.75" customHeight="1" x14ac:dyDescent="0.3">
      <c r="A357" s="373"/>
      <c r="B357" s="374"/>
      <c r="C357" s="157"/>
      <c r="D357" s="375"/>
      <c r="E357" s="159"/>
      <c r="F357" s="159"/>
      <c r="G357" s="376" t="s">
        <v>133</v>
      </c>
      <c r="H357" s="161" t="s">
        <v>12</v>
      </c>
      <c r="I357" s="187"/>
      <c r="J357" s="187"/>
      <c r="K357" s="223"/>
      <c r="L357" s="168"/>
      <c r="M357" s="168"/>
      <c r="N357" s="377">
        <f ca="1">IFERROR(__xludf.DUMMYFUNCTION("IMPORTRANGE(""https://docs.google.com/spreadsheets/d/11923uPwbBZFjjGgGUA6NLw09EwE0CqkOc4q9oUmW1yo/edit?usp=sharing"",""ลำปาง!M252"")"),30800.04)</f>
        <v>30800.04</v>
      </c>
      <c r="O357" s="168"/>
      <c r="P357" s="168"/>
    </row>
    <row r="358" spans="1:16" ht="21.75" customHeight="1" x14ac:dyDescent="0.3">
      <c r="A358" s="373"/>
      <c r="B358" s="374"/>
      <c r="C358" s="157"/>
      <c r="D358" s="375"/>
      <c r="E358" s="159"/>
      <c r="F358" s="159"/>
      <c r="G358" s="376" t="s">
        <v>134</v>
      </c>
      <c r="H358" s="161" t="s">
        <v>12</v>
      </c>
      <c r="I358" s="187"/>
      <c r="J358" s="187"/>
      <c r="K358" s="223"/>
      <c r="L358" s="168"/>
      <c r="M358" s="168"/>
      <c r="N358" s="377">
        <f ca="1">IFERROR(__xludf.DUMMYFUNCTION("IMPORTRANGE(""https://docs.google.com/spreadsheets/d/11923uPwbBZFjjGgGUA6NLw09EwE0CqkOc4q9oUmW1yo/edit?usp=sharing"",""ลำปาง!M253"")"),1480)</f>
        <v>1480</v>
      </c>
      <c r="O358" s="168"/>
      <c r="P358" s="168"/>
    </row>
    <row r="359" spans="1:16" ht="21.75" customHeight="1" x14ac:dyDescent="0.3">
      <c r="A359" s="175"/>
      <c r="B359" s="176"/>
      <c r="C359" s="157" t="s">
        <v>16</v>
      </c>
      <c r="D359" s="177" t="s">
        <v>44</v>
      </c>
      <c r="E359" s="178"/>
      <c r="F359" s="178"/>
      <c r="G359" s="179"/>
      <c r="H359" s="180"/>
      <c r="I359" s="162"/>
      <c r="J359" s="162"/>
      <c r="K359" s="163"/>
      <c r="L359" s="181"/>
      <c r="M359" s="181"/>
      <c r="N359" s="181"/>
      <c r="O359" s="181"/>
      <c r="P359" s="181"/>
    </row>
    <row r="360" spans="1:16" ht="21.75" customHeight="1" x14ac:dyDescent="0.3">
      <c r="A360" s="175"/>
      <c r="B360" s="176"/>
      <c r="C360" s="176"/>
      <c r="D360" s="182">
        <v>1</v>
      </c>
      <c r="E360" s="183" t="s">
        <v>45</v>
      </c>
      <c r="F360" s="184"/>
      <c r="G360" s="185"/>
      <c r="H360" s="186"/>
      <c r="I360" s="187"/>
      <c r="J360" s="197">
        <f ca="1">IFERROR(__xludf.DUMMYFUNCTION("IMPORTRANGE(""https://docs.google.com/spreadsheets/d/11923uPwbBZFjjGgGUA6NLw09EwE0CqkOc4q9oUmW1yo/edit?usp=sharing"",""ลำปาง!J255"")"),0)</f>
        <v>0</v>
      </c>
      <c r="K360" s="163"/>
      <c r="L360" s="181"/>
      <c r="M360" s="181"/>
      <c r="N360" s="181"/>
      <c r="O360" s="181"/>
      <c r="P360" s="181"/>
    </row>
    <row r="361" spans="1:16" ht="21.75" customHeight="1" x14ac:dyDescent="0.3">
      <c r="A361" s="175"/>
      <c r="B361" s="176"/>
      <c r="C361" s="176"/>
      <c r="D361" s="189">
        <v>2</v>
      </c>
      <c r="E361" s="190" t="s">
        <v>46</v>
      </c>
      <c r="F361" s="191"/>
      <c r="G361" s="192"/>
      <c r="H361" s="186"/>
      <c r="I361" s="187"/>
      <c r="J361" s="188">
        <f ca="1">IFERROR(__xludf.DUMMYFUNCTION("IMPORTRANGE(""https://docs.google.com/spreadsheets/d/11923uPwbBZFjjGgGUA6NLw09EwE0CqkOc4q9oUmW1yo/edit?usp=sharing"",""ลำปาง!J256"")"),1)</f>
        <v>1</v>
      </c>
      <c r="K361" s="163"/>
      <c r="L361" s="181" t="s">
        <v>40</v>
      </c>
      <c r="M361" s="181"/>
      <c r="N361" s="181" t="s">
        <v>40</v>
      </c>
      <c r="O361" s="181"/>
      <c r="P361" s="181"/>
    </row>
    <row r="362" spans="1:16" ht="21.75" customHeight="1" x14ac:dyDescent="0.3">
      <c r="A362" s="175"/>
      <c r="B362" s="176"/>
      <c r="C362" s="176"/>
      <c r="D362" s="193"/>
      <c r="E362" s="194" t="s">
        <v>47</v>
      </c>
      <c r="F362" s="195"/>
      <c r="G362" s="196"/>
      <c r="H362" s="186"/>
      <c r="I362" s="187"/>
      <c r="J362" s="188">
        <f ca="1">IFERROR(__xludf.DUMMYFUNCTION("IMPORTRANGE(""https://docs.google.com/spreadsheets/d/11923uPwbBZFjjGgGUA6NLw09EwE0CqkOc4q9oUmW1yo/edit?usp=sharing"",""ลำปาง!J257"")"),1)</f>
        <v>1</v>
      </c>
      <c r="K362" s="163"/>
      <c r="L362" s="181"/>
      <c r="M362" s="181"/>
      <c r="N362" s="181"/>
      <c r="O362" s="181"/>
      <c r="P362" s="181"/>
    </row>
    <row r="363" spans="1:16" ht="21.75" customHeight="1" x14ac:dyDescent="0.3">
      <c r="A363" s="175"/>
      <c r="B363" s="176"/>
      <c r="C363" s="176"/>
      <c r="D363" s="193"/>
      <c r="E363" s="194" t="s">
        <v>48</v>
      </c>
      <c r="F363" s="195"/>
      <c r="G363" s="196"/>
      <c r="H363" s="186"/>
      <c r="I363" s="187"/>
      <c r="J363" s="197">
        <f ca="1">IFERROR(__xludf.DUMMYFUNCTION("IMPORTRANGE(""https://docs.google.com/spreadsheets/d/11923uPwbBZFjjGgGUA6NLw09EwE0CqkOc4q9oUmW1yo/edit?usp=sharing"",""ลำปาง!J258"")"),1)</f>
        <v>1</v>
      </c>
      <c r="K363" s="163"/>
      <c r="L363" s="181"/>
      <c r="M363" s="181"/>
      <c r="N363" s="181"/>
      <c r="O363" s="181"/>
      <c r="P363" s="181"/>
    </row>
    <row r="364" spans="1:16" ht="21.75" hidden="1" customHeight="1" x14ac:dyDescent="0.3">
      <c r="A364" s="175"/>
      <c r="B364" s="176"/>
      <c r="C364" s="176"/>
      <c r="D364" s="193"/>
      <c r="E364" s="198"/>
      <c r="F364" s="194" t="s">
        <v>70</v>
      </c>
      <c r="G364" s="196"/>
      <c r="H364" s="180"/>
      <c r="I364" s="187"/>
      <c r="J364" s="187">
        <f ca="1">IFERROR(__xludf.DUMMYFUNCTION("IMPORTRANGE(""https://docs.google.com/spreadsheets/d/11923uPwbBZFjjGgGUA6NLw09EwE0CqkOc4q9oUmW1yo/edit?usp=sharing"",""ลำปาง!J166"")"),0)</f>
        <v>0</v>
      </c>
      <c r="K364" s="163"/>
      <c r="L364" s="181"/>
      <c r="M364" s="181"/>
      <c r="N364" s="181"/>
      <c r="O364" s="181"/>
      <c r="P364" s="181"/>
    </row>
    <row r="365" spans="1:16" ht="21.75" hidden="1" customHeight="1" x14ac:dyDescent="0.3">
      <c r="A365" s="175"/>
      <c r="B365" s="176"/>
      <c r="C365" s="176"/>
      <c r="D365" s="193"/>
      <c r="E365" s="198"/>
      <c r="F365" s="195"/>
      <c r="G365" s="225" t="s">
        <v>135</v>
      </c>
      <c r="H365" s="180" t="s">
        <v>37</v>
      </c>
      <c r="I365" s="187">
        <f ca="1">IFERROR(__xludf.DUMMYFUNCTION("IMPORTRANGE(""https://docs.google.com/spreadsheets/d/1C3CXT74ZlgGe6_JY_1olB1XN4rF0dxEuIIF-xsYjHgg/edit?usp=sharing"",""งบกองทุน!f63"")"),0)</f>
        <v>0</v>
      </c>
      <c r="J365" s="187">
        <f ca="1">IFERROR(__xludf.DUMMYFUNCTION("IMPORTRANGE(""https://docs.google.com/spreadsheets/d/11923uPwbBZFjjGgGUA6NLw09EwE0CqkOc4q9oUmW1yo/edit?usp=sharing"",""ลำปาง!J166"")"),0)</f>
        <v>0</v>
      </c>
      <c r="K365" s="163">
        <f ca="1">IF(I365&gt;0,J365*100/I365,0)</f>
        <v>0</v>
      </c>
      <c r="L365" s="181"/>
      <c r="M365" s="181"/>
      <c r="N365" s="181"/>
      <c r="O365" s="181"/>
      <c r="P365" s="181"/>
    </row>
    <row r="366" spans="1:16" ht="21.75" hidden="1" customHeight="1" x14ac:dyDescent="0.3">
      <c r="A366" s="175"/>
      <c r="B366" s="176"/>
      <c r="C366" s="176"/>
      <c r="D366" s="193"/>
      <c r="E366" s="198"/>
      <c r="F366" s="195"/>
      <c r="G366" s="196" t="s">
        <v>136</v>
      </c>
      <c r="H366" s="180"/>
      <c r="I366" s="162"/>
      <c r="J366" s="187">
        <f ca="1">IFERROR(__xludf.DUMMYFUNCTION("IMPORTRANGE(""https://docs.google.com/spreadsheets/d/11923uPwbBZFjjGgGUA6NLw09EwE0CqkOc4q9oUmW1yo/edit?usp=sharing"",""ลำปาง!J166"")"),0)</f>
        <v>0</v>
      </c>
      <c r="K366" s="163"/>
      <c r="L366" s="181"/>
      <c r="M366" s="181"/>
      <c r="N366" s="181"/>
      <c r="O366" s="181"/>
      <c r="P366" s="181"/>
    </row>
    <row r="367" spans="1:16" ht="21.75" hidden="1" customHeight="1" x14ac:dyDescent="0.3">
      <c r="A367" s="175"/>
      <c r="B367" s="176"/>
      <c r="C367" s="176"/>
      <c r="D367" s="193"/>
      <c r="E367" s="198"/>
      <c r="F367" s="195"/>
      <c r="G367" s="225" t="s">
        <v>137</v>
      </c>
      <c r="H367" s="186" t="s">
        <v>122</v>
      </c>
      <c r="I367" s="187">
        <f ca="1">SUM(I369,I371)</f>
        <v>0</v>
      </c>
      <c r="J367" s="187">
        <f ca="1">IFERROR(__xludf.DUMMYFUNCTION("IMPORTRANGE(""https://docs.google.com/spreadsheets/d/11923uPwbBZFjjGgGUA6NLw09EwE0CqkOc4q9oUmW1yo/edit?usp=sharing"",""ลำปาง!J166"")"),0)</f>
        <v>0</v>
      </c>
      <c r="K367" s="163">
        <f t="shared" ref="K367:K373" ca="1" si="106">IF(I367&gt;0,J367*100/I367,0)</f>
        <v>0</v>
      </c>
      <c r="L367" s="181"/>
      <c r="M367" s="181"/>
      <c r="N367" s="181"/>
      <c r="O367" s="181"/>
      <c r="P367" s="181"/>
    </row>
    <row r="368" spans="1:16" ht="21.75" customHeight="1" x14ac:dyDescent="0.3">
      <c r="A368" s="175"/>
      <c r="B368" s="176"/>
      <c r="C368" s="176"/>
      <c r="D368" s="193"/>
      <c r="E368" s="198"/>
      <c r="F368" s="378" t="s">
        <v>138</v>
      </c>
      <c r="G368" s="379"/>
      <c r="H368" s="186" t="s">
        <v>37</v>
      </c>
      <c r="I368" s="162">
        <f ca="1">IFERROR(__xludf.DUMMYFUNCTION("IMPORTRANGE(""https://docs.google.com/spreadsheets/d/11923uPwbBZFjjGgGUA6NLw09EwE0CqkOc4q9oUmW1yo/edit?usp=sharing"",""ลำปาง!I263"")"),10)</f>
        <v>10</v>
      </c>
      <c r="J368" s="187">
        <f ca="1">IFERROR(__xludf.DUMMYFUNCTION("IMPORTRANGE(""https://docs.google.com/spreadsheets/d/11923uPwbBZFjjGgGUA6NLw09EwE0CqkOc4q9oUmW1yo/edit?usp=sharing"",""ลำปาง!J263"")"),0)</f>
        <v>0</v>
      </c>
      <c r="K368" s="163">
        <f t="shared" ca="1" si="106"/>
        <v>0</v>
      </c>
      <c r="L368" s="181"/>
      <c r="M368" s="181"/>
      <c r="N368" s="181"/>
      <c r="O368" s="181"/>
      <c r="P368" s="181"/>
    </row>
    <row r="369" spans="1:16" ht="21.75" hidden="1" customHeight="1" x14ac:dyDescent="0.3">
      <c r="A369" s="175"/>
      <c r="B369" s="176"/>
      <c r="C369" s="176"/>
      <c r="D369" s="193"/>
      <c r="E369" s="198"/>
      <c r="F369" s="195"/>
      <c r="G369" s="379"/>
      <c r="H369" s="180" t="s">
        <v>122</v>
      </c>
      <c r="I369" s="162">
        <f ca="1">IFERROR(__xludf.DUMMYFUNCTION("IMPORTRANGE(""https://docs.google.com/spreadsheets/d/11923uPwbBZFjjGgGUA6NLw09EwE0CqkOc4q9oUmW1yo/edit?usp=sharing"",""ลำปาง!I164"")"),0)</f>
        <v>0</v>
      </c>
      <c r="J369" s="203">
        <f ca="1">IFERROR(__xludf.DUMMYFUNCTION("IMPORTRANGE(""https://docs.google.com/spreadsheets/d/11923uPwbBZFjjGgGUA6NLw09EwE0CqkOc4q9oUmW1yo/edit?usp=sharing"",""ลำปาง!J164"")"),0)</f>
        <v>0</v>
      </c>
      <c r="K369" s="163">
        <f t="shared" ca="1" si="106"/>
        <v>0</v>
      </c>
      <c r="L369" s="181"/>
      <c r="M369" s="181"/>
      <c r="N369" s="181"/>
      <c r="O369" s="181"/>
      <c r="P369" s="181"/>
    </row>
    <row r="370" spans="1:16" ht="21.75" customHeight="1" x14ac:dyDescent="0.3">
      <c r="A370" s="175"/>
      <c r="B370" s="176"/>
      <c r="C370" s="176"/>
      <c r="D370" s="193"/>
      <c r="E370" s="198"/>
      <c r="F370" s="195"/>
      <c r="G370" s="378" t="s">
        <v>139</v>
      </c>
      <c r="H370" s="180" t="s">
        <v>37</v>
      </c>
      <c r="I370" s="162">
        <f ca="1">IFERROR(__xludf.DUMMYFUNCTION("IMPORTRANGE(""https://docs.google.com/spreadsheets/d/11923uPwbBZFjjGgGUA6NLw09EwE0CqkOc4q9oUmW1yo/edit?usp=sharing"",""ลำปาง!I265"")"),10)</f>
        <v>10</v>
      </c>
      <c r="J370" s="203">
        <f ca="1">IFERROR(__xludf.DUMMYFUNCTION("IMPORTRANGE(""https://docs.google.com/spreadsheets/d/11923uPwbBZFjjGgGUA6NLw09EwE0CqkOc4q9oUmW1yo/edit?usp=sharing"",""ลำปาง!J265"")"),14)</f>
        <v>14</v>
      </c>
      <c r="K370" s="163">
        <f t="shared" ca="1" si="106"/>
        <v>140</v>
      </c>
      <c r="L370" s="181"/>
      <c r="M370" s="181"/>
      <c r="N370" s="181"/>
      <c r="O370" s="181"/>
      <c r="P370" s="181"/>
    </row>
    <row r="371" spans="1:16" ht="21.75" hidden="1" customHeight="1" x14ac:dyDescent="0.3">
      <c r="A371" s="175"/>
      <c r="B371" s="176"/>
      <c r="C371" s="176"/>
      <c r="D371" s="193"/>
      <c r="E371" s="198"/>
      <c r="F371" s="195"/>
      <c r="G371" s="379"/>
      <c r="H371" s="180" t="s">
        <v>122</v>
      </c>
      <c r="I371" s="162">
        <f ca="1">IFERROR(__xludf.DUMMYFUNCTION("IMPORTRANGE(""https://docs.google.com/spreadsheets/d/11923uPwbBZFjjGgGUA6NLw09EwE0CqkOc4q9oUmW1yo/edit?usp=sharing"",""ลำปาง!I164"")"),0)</f>
        <v>0</v>
      </c>
      <c r="J371" s="188">
        <f ca="1">IFERROR(__xludf.DUMMYFUNCTION("IMPORTRANGE(""https://docs.google.com/spreadsheets/d/11923uPwbBZFjjGgGUA6NLw09EwE0CqkOc4q9oUmW1yo/edit?usp=sharing"",""ลำปาง!J164"")"),0)</f>
        <v>0</v>
      </c>
      <c r="K371" s="163">
        <f t="shared" ca="1" si="106"/>
        <v>0</v>
      </c>
      <c r="L371" s="181"/>
      <c r="M371" s="181"/>
      <c r="N371" s="181"/>
      <c r="O371" s="181"/>
      <c r="P371" s="181"/>
    </row>
    <row r="372" spans="1:16" ht="21.75" customHeight="1" x14ac:dyDescent="0.3">
      <c r="A372" s="175"/>
      <c r="B372" s="176"/>
      <c r="C372" s="176"/>
      <c r="D372" s="193"/>
      <c r="E372" s="198"/>
      <c r="F372" s="195"/>
      <c r="G372" s="378" t="s">
        <v>140</v>
      </c>
      <c r="H372" s="180" t="s">
        <v>37</v>
      </c>
      <c r="I372" s="162">
        <f ca="1">IFERROR(__xludf.DUMMYFUNCTION("IMPORTRANGE(""https://docs.google.com/spreadsheets/d/11923uPwbBZFjjGgGUA6NLw09EwE0CqkOc4q9oUmW1yo/edit?usp=sharing"",""ลำปาง!I267"")"),10)</f>
        <v>10</v>
      </c>
      <c r="J372" s="188">
        <f ca="1">IFERROR(__xludf.DUMMYFUNCTION("IMPORTRANGE(""https://docs.google.com/spreadsheets/d/11923uPwbBZFjjGgGUA6NLw09EwE0CqkOc4q9oUmW1yo/edit?usp=sharing"",""ลำปาง!J267"")"),0)</f>
        <v>0</v>
      </c>
      <c r="K372" s="163">
        <f t="shared" ca="1" si="106"/>
        <v>0</v>
      </c>
      <c r="L372" s="181"/>
      <c r="M372" s="181"/>
      <c r="N372" s="181"/>
      <c r="O372" s="181"/>
      <c r="P372" s="181"/>
    </row>
    <row r="373" spans="1:16" ht="21.75" hidden="1" customHeight="1" x14ac:dyDescent="0.3">
      <c r="A373" s="175"/>
      <c r="B373" s="176"/>
      <c r="C373" s="176"/>
      <c r="D373" s="193"/>
      <c r="E373" s="198"/>
      <c r="F373" s="195"/>
      <c r="G373" s="225" t="s">
        <v>141</v>
      </c>
      <c r="H373" s="180" t="s">
        <v>37</v>
      </c>
      <c r="I373" s="187">
        <f ca="1">IFERROR(__xludf.DUMMYFUNCTION("IMPORTRANGE(""https://docs.google.com/spreadsheets/d/11923uPwbBZFjjGgGUA6NLw09EwE0CqkOc4q9oUmW1yo/edit?usp=sharing"",""ลำปาง!I164"")"),0)</f>
        <v>0</v>
      </c>
      <c r="J373" s="203">
        <f ca="1">IFERROR(__xludf.DUMMYFUNCTION("IMPORTRANGE(""https://docs.google.com/spreadsheets/d/11923uPwbBZFjjGgGUA6NLw09EwE0CqkOc4q9oUmW1yo/edit?usp=sharing"",""ลำปาง!J164"")"),0)</f>
        <v>0</v>
      </c>
      <c r="K373" s="163">
        <f t="shared" ca="1" si="106"/>
        <v>0</v>
      </c>
      <c r="L373" s="181"/>
      <c r="M373" s="181"/>
      <c r="N373" s="181"/>
      <c r="O373" s="181"/>
      <c r="P373" s="181"/>
    </row>
    <row r="374" spans="1:16" ht="21.75" hidden="1" customHeight="1" x14ac:dyDescent="0.3">
      <c r="A374" s="175"/>
      <c r="B374" s="176"/>
      <c r="C374" s="176"/>
      <c r="D374" s="193"/>
      <c r="E374" s="198"/>
      <c r="F374" s="195"/>
      <c r="G374" s="196" t="s">
        <v>142</v>
      </c>
      <c r="H374" s="180"/>
      <c r="I374" s="187">
        <f ca="1">IFERROR(__xludf.DUMMYFUNCTION("IMPORTRANGE(""https://docs.google.com/spreadsheets/d/11923uPwbBZFjjGgGUA6NLw09EwE0CqkOc4q9oUmW1yo/edit?usp=sharing"",""ลำปาง!I164"")"),0)</f>
        <v>0</v>
      </c>
      <c r="J374" s="187">
        <f ca="1">IFERROR(__xludf.DUMMYFUNCTION("IMPORTRANGE(""https://docs.google.com/spreadsheets/d/11923uPwbBZFjjGgGUA6NLw09EwE0CqkOc4q9oUmW1yo/edit?usp=sharing"",""ลำปาง!J164"")"),0)</f>
        <v>0</v>
      </c>
      <c r="K374" s="163"/>
      <c r="L374" s="181"/>
      <c r="M374" s="181"/>
      <c r="N374" s="181"/>
      <c r="O374" s="181"/>
      <c r="P374" s="181"/>
    </row>
    <row r="375" spans="1:16" ht="21.75" customHeight="1" x14ac:dyDescent="0.3">
      <c r="A375" s="175"/>
      <c r="B375" s="176"/>
      <c r="C375" s="176"/>
      <c r="D375" s="193"/>
      <c r="E375" s="195"/>
      <c r="F375" s="204" t="s">
        <v>53</v>
      </c>
      <c r="G375" s="196"/>
      <c r="H375" s="278" t="s">
        <v>122</v>
      </c>
      <c r="I375" s="187">
        <f ca="1">IFERROR(__xludf.DUMMYFUNCTION("IMPORTRANGE(""https://docs.google.com/spreadsheets/d/11923uPwbBZFjjGgGUA6NLw09EwE0CqkOc4q9oUmW1yo/edit?usp=sharing"",""ลำปาง!I270"")"),50)</f>
        <v>50</v>
      </c>
      <c r="J375" s="187">
        <f ca="1">IFERROR(__xludf.DUMMYFUNCTION("IMPORTRANGE(""https://docs.google.com/spreadsheets/d/11923uPwbBZFjjGgGUA6NLw09EwE0CqkOc4q9oUmW1yo/edit?usp=sharing"",""ลำปาง!J270"")"),0)</f>
        <v>0</v>
      </c>
      <c r="K375" s="163">
        <f t="shared" ref="K375:K377" ca="1" si="107">IF(I375&gt;0,J375*100/I375,0)</f>
        <v>0</v>
      </c>
      <c r="L375" s="181"/>
      <c r="M375" s="181"/>
      <c r="N375" s="181"/>
      <c r="O375" s="181"/>
      <c r="P375" s="181"/>
    </row>
    <row r="376" spans="1:16" ht="21.75" customHeight="1" x14ac:dyDescent="0.3">
      <c r="A376" s="175"/>
      <c r="B376" s="176"/>
      <c r="C376" s="176"/>
      <c r="D376" s="193"/>
      <c r="E376" s="195"/>
      <c r="F376" s="195"/>
      <c r="G376" s="279" t="s">
        <v>143</v>
      </c>
      <c r="H376" s="278" t="s">
        <v>122</v>
      </c>
      <c r="I376" s="187">
        <f ca="1">IFERROR(__xludf.DUMMYFUNCTION("IMPORTRANGE(""https://docs.google.com/spreadsheets/d/11923uPwbBZFjjGgGUA6NLw09EwE0CqkOc4q9oUmW1yo/edit?usp=sharing"",""ลำปาง!I271"")"),0)</f>
        <v>0</v>
      </c>
      <c r="J376" s="188">
        <f ca="1">IFERROR(__xludf.DUMMYFUNCTION("IMPORTRANGE(""https://docs.google.com/spreadsheets/d/11923uPwbBZFjjGgGUA6NLw09EwE0CqkOc4q9oUmW1yo/edit?usp=sharing"",""ลำปาง!J271"")"),0)</f>
        <v>0</v>
      </c>
      <c r="K376" s="163">
        <f t="shared" ca="1" si="107"/>
        <v>0</v>
      </c>
      <c r="L376" s="181"/>
      <c r="M376" s="181"/>
      <c r="N376" s="181"/>
      <c r="O376" s="181"/>
      <c r="P376" s="181"/>
    </row>
    <row r="377" spans="1:16" ht="21.75" customHeight="1" x14ac:dyDescent="0.3">
      <c r="A377" s="175"/>
      <c r="B377" s="176"/>
      <c r="C377" s="176"/>
      <c r="D377" s="193"/>
      <c r="E377" s="195"/>
      <c r="F377" s="195"/>
      <c r="G377" s="279" t="s">
        <v>144</v>
      </c>
      <c r="H377" s="278" t="s">
        <v>122</v>
      </c>
      <c r="I377" s="187">
        <f ca="1">IFERROR(__xludf.DUMMYFUNCTION("IMPORTRANGE(""https://docs.google.com/spreadsheets/d/11923uPwbBZFjjGgGUA6NLw09EwE0CqkOc4q9oUmW1yo/edit?usp=sharing"",""ลำปาง!I272"")"),50)</f>
        <v>50</v>
      </c>
      <c r="J377" s="203">
        <f ca="1">IFERROR(__xludf.DUMMYFUNCTION("IMPORTRANGE(""https://docs.google.com/spreadsheets/d/11923uPwbBZFjjGgGUA6NLw09EwE0CqkOc4q9oUmW1yo/edit?usp=sharing"",""ลำปาง!J272"")"),0)</f>
        <v>0</v>
      </c>
      <c r="K377" s="163">
        <f t="shared" ca="1" si="107"/>
        <v>0</v>
      </c>
      <c r="L377" s="181"/>
      <c r="M377" s="181"/>
      <c r="N377" s="181"/>
      <c r="O377" s="181"/>
      <c r="P377" s="181"/>
    </row>
    <row r="378" spans="1:16" ht="21.75" customHeight="1" x14ac:dyDescent="0.3">
      <c r="A378" s="175"/>
      <c r="B378" s="176"/>
      <c r="C378" s="176"/>
      <c r="D378" s="193"/>
      <c r="E378" s="194" t="s">
        <v>54</v>
      </c>
      <c r="F378" s="195"/>
      <c r="G378" s="196"/>
      <c r="H378" s="186"/>
      <c r="I378" s="187"/>
      <c r="J378" s="197">
        <f ca="1">IFERROR(__xludf.DUMMYFUNCTION("IMPORTRANGE(""https://docs.google.com/spreadsheets/d/11923uPwbBZFjjGgGUA6NLw09EwE0CqkOc4q9oUmW1yo/edit?usp=sharing"",""ลำปาง!J273"")"),0)</f>
        <v>0</v>
      </c>
      <c r="K378" s="163"/>
      <c r="L378" s="181"/>
      <c r="M378" s="181"/>
      <c r="N378" s="181"/>
      <c r="O378" s="181"/>
      <c r="P378" s="181"/>
    </row>
    <row r="379" spans="1:16" ht="21.75" customHeight="1" x14ac:dyDescent="0.3">
      <c r="A379" s="175"/>
      <c r="B379" s="176"/>
      <c r="C379" s="176"/>
      <c r="D379" s="205">
        <v>3</v>
      </c>
      <c r="E379" s="206" t="s">
        <v>55</v>
      </c>
      <c r="F379" s="207"/>
      <c r="G379" s="208"/>
      <c r="H379" s="186"/>
      <c r="I379" s="187"/>
      <c r="J379" s="209">
        <f ca="1">IFERROR(__xludf.DUMMYFUNCTION("IMPORTRANGE(""https://docs.google.com/spreadsheets/d/11923uPwbBZFjjGgGUA6NLw09EwE0CqkOc4q9oUmW1yo/edit?usp=sharing"",""ลำปาง!J274"")"),0)</f>
        <v>0</v>
      </c>
      <c r="K379" s="163"/>
      <c r="L379" s="181"/>
      <c r="M379" s="181"/>
      <c r="N379" s="181"/>
      <c r="O379" s="181"/>
      <c r="P379" s="181"/>
    </row>
    <row r="380" spans="1:16" ht="21.75" customHeight="1" x14ac:dyDescent="0.3">
      <c r="A380" s="364"/>
      <c r="B380" s="365">
        <v>2</v>
      </c>
      <c r="C380" s="366" t="s">
        <v>145</v>
      </c>
      <c r="D380" s="366"/>
      <c r="E380" s="380"/>
      <c r="F380" s="380"/>
      <c r="G380" s="381"/>
      <c r="H380" s="368" t="s">
        <v>122</v>
      </c>
      <c r="I380" s="369">
        <f ca="1">IFERROR(__xludf.DUMMYFUNCTION("IMPORTRANGE(""https://docs.google.com/spreadsheets/d/11923uPwbBZFjjGgGUA6NLw09EwE0CqkOc4q9oUmW1yo/edit?usp=sharing"",""ลำปาง!I275"")"),1000)</f>
        <v>1000</v>
      </c>
      <c r="J380" s="369">
        <f ca="1">IFERROR(__xludf.DUMMYFUNCTION("IMPORTRANGE(""https://docs.google.com/spreadsheets/d/11923uPwbBZFjjGgGUA6NLw09EwE0CqkOc4q9oUmW1yo/edit?usp=sharing"",""ลำปาง!J275"")"),0)</f>
        <v>0</v>
      </c>
      <c r="K380" s="370">
        <f t="shared" ref="K380:K381" ca="1" si="108">IF(I380&gt;0,J380*100/I380,0)</f>
        <v>0</v>
      </c>
      <c r="L380" s="371">
        <f ca="1">IFERROR(__xludf.DUMMYFUNCTION("IMPORTRANGE(""https://docs.google.com/spreadsheets/d/11923uPwbBZFjjGgGUA6NLw09EwE0CqkOc4q9oUmW1yo/edit?usp=sharing"",""ลำปาง!L275"")"),1028520)</f>
        <v>1028520</v>
      </c>
      <c r="M380" s="371"/>
      <c r="N380" s="371">
        <f ca="1">IFERROR(__xludf.DUMMYFUNCTION("IMPORTRANGE(""https://docs.google.com/spreadsheets/d/11923uPwbBZFjjGgGUA6NLw09EwE0CqkOc4q9oUmW1yo/edit?usp=sharing"",""ลำปาง!M275"")"),42446.7)</f>
        <v>42446.7</v>
      </c>
      <c r="O380" s="371">
        <f ca="1">+IF(L380&gt;0,N380*100/L380,0)</f>
        <v>4.1269688484424218</v>
      </c>
      <c r="P380" s="371"/>
    </row>
    <row r="381" spans="1:16" ht="21.75" customHeight="1" x14ac:dyDescent="0.3">
      <c r="A381" s="364"/>
      <c r="B381" s="365"/>
      <c r="C381" s="366"/>
      <c r="D381" s="382"/>
      <c r="E381" s="383"/>
      <c r="F381" s="383"/>
      <c r="G381" s="384"/>
      <c r="H381" s="368" t="s">
        <v>37</v>
      </c>
      <c r="I381" s="369">
        <f ca="1">IFERROR(__xludf.DUMMYFUNCTION("IMPORTRANGE(""https://docs.google.com/spreadsheets/d/11923uPwbBZFjjGgGUA6NLw09EwE0CqkOc4q9oUmW1yo/edit?usp=sharing"",""ลำปาง!I276"")"),100)</f>
        <v>100</v>
      </c>
      <c r="J381" s="369">
        <f ca="1">IFERROR(__xludf.DUMMYFUNCTION("IMPORTRANGE(""https://docs.google.com/spreadsheets/d/11923uPwbBZFjjGgGUA6NLw09EwE0CqkOc4q9oUmW1yo/edit?usp=sharing"",""ลำปาง!J276"")"),0)</f>
        <v>0</v>
      </c>
      <c r="K381" s="370">
        <f t="shared" ca="1" si="108"/>
        <v>0</v>
      </c>
      <c r="L381" s="371"/>
      <c r="M381" s="371"/>
      <c r="N381" s="371"/>
      <c r="O381" s="371"/>
      <c r="P381" s="371"/>
    </row>
    <row r="382" spans="1:16" ht="21.75" customHeight="1" x14ac:dyDescent="0.3">
      <c r="A382" s="156"/>
      <c r="B382" s="157"/>
      <c r="C382" s="157" t="s">
        <v>16</v>
      </c>
      <c r="D382" s="158" t="s">
        <v>38</v>
      </c>
      <c r="E382" s="159"/>
      <c r="F382" s="159"/>
      <c r="G382" s="160" t="s">
        <v>39</v>
      </c>
      <c r="H382" s="161" t="s">
        <v>12</v>
      </c>
      <c r="I382" s="162" t="s">
        <v>40</v>
      </c>
      <c r="J382" s="162"/>
      <c r="K382" s="163"/>
      <c r="L382" s="164">
        <f ca="1">IFERROR(__xludf.DUMMYFUNCTION("IMPORTRANGE(""https://docs.google.com/spreadsheets/d/11923uPwbBZFjjGgGUA6NLw09EwE0CqkOc4q9oUmW1yo/edit?usp=sharing"",""ลำปาง!L277"")"),0)</f>
        <v>0</v>
      </c>
      <c r="M382" s="164"/>
      <c r="N382" s="164">
        <f ca="1">IFERROR(__xludf.DUMMYFUNCTION("IMPORTRANGE(""https://docs.google.com/spreadsheets/d/11923uPwbBZFjjGgGUA6NLw09EwE0CqkOc4q9oUmW1yo/edit?usp=sharing"",""ลำปาง!M277"")"),0)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3">
      <c r="A383" s="156"/>
      <c r="B383" s="157"/>
      <c r="C383" s="157"/>
      <c r="D383" s="166"/>
      <c r="E383" s="159"/>
      <c r="F383" s="159" t="s">
        <v>40</v>
      </c>
      <c r="G383" s="160" t="s">
        <v>41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IFERROR(__xludf.DUMMYFUNCTION("IMPORTRANGE(""https://docs.google.com/spreadsheets/d/11923uPwbBZFjjGgGUA6NLw09EwE0CqkOc4q9oUmW1yo/edit?usp=sharing"",""ลำปาง!L278"")"),1028520)</f>
        <v>1028520</v>
      </c>
      <c r="M383" s="165"/>
      <c r="N383" s="165">
        <f ca="1">IFERROR(__xludf.DUMMYFUNCTION("IMPORTRANGE(""https://docs.google.com/spreadsheets/d/11923uPwbBZFjjGgGUA6NLw09EwE0CqkOc4q9oUmW1yo/edit?usp=sharing"",""ลำปาง!M278"")"),42446.7)</f>
        <v>42446.7</v>
      </c>
      <c r="O383" s="165">
        <f t="shared" ca="1" si="109"/>
        <v>4.1269688484424218</v>
      </c>
      <c r="P383" s="165"/>
    </row>
    <row r="384" spans="1:16" ht="21.75" customHeight="1" x14ac:dyDescent="0.3">
      <c r="A384" s="156"/>
      <c r="B384" s="157"/>
      <c r="C384" s="157"/>
      <c r="D384" s="166"/>
      <c r="E384" s="159"/>
      <c r="F384" s="159"/>
      <c r="G384" s="372" t="s">
        <v>129</v>
      </c>
      <c r="H384" s="161" t="s">
        <v>12</v>
      </c>
      <c r="I384" s="162"/>
      <c r="J384" s="162"/>
      <c r="K384" s="163"/>
      <c r="L384" s="168">
        <f ca="1">IFERROR(__xludf.DUMMYFUNCTION("IMPORTRANGE(""https://docs.google.com/spreadsheets/d/11923uPwbBZFjjGgGUA6NLw09EwE0CqkOc4q9oUmW1yo/edit?usp=sharing"",""ลำปาง!L279"")"),0)</f>
        <v>0</v>
      </c>
      <c r="M384" s="168"/>
      <c r="N384" s="168">
        <f ca="1">IFERROR(__xludf.DUMMYFUNCTION("IMPORTRANGE(""https://docs.google.com/spreadsheets/d/11923uPwbBZFjjGgGUA6NLw09EwE0CqkOc4q9oUmW1yo/edit?usp=sharing"",""ลำปาง!M279"")"),0)</f>
        <v>0</v>
      </c>
      <c r="O384" s="168">
        <f t="shared" ca="1" si="109"/>
        <v>0</v>
      </c>
      <c r="P384" s="168"/>
    </row>
    <row r="385" spans="1:16" ht="21.75" customHeight="1" x14ac:dyDescent="0.3">
      <c r="A385" s="156"/>
      <c r="B385" s="157"/>
      <c r="C385" s="157"/>
      <c r="D385" s="166"/>
      <c r="E385" s="159"/>
      <c r="F385" s="159"/>
      <c r="G385" s="372" t="s">
        <v>130</v>
      </c>
      <c r="H385" s="161" t="s">
        <v>12</v>
      </c>
      <c r="I385" s="162"/>
      <c r="J385" s="162"/>
      <c r="K385" s="163"/>
      <c r="L385" s="168">
        <f ca="1">IFERROR(__xludf.DUMMYFUNCTION("IMPORTRANGE(""https://docs.google.com/spreadsheets/d/11923uPwbBZFjjGgGUA6NLw09EwE0CqkOc4q9oUmW1yo/edit?usp=sharing"",""ลำปาง!L280"")"),1028520)</f>
        <v>1028520</v>
      </c>
      <c r="M385" s="168"/>
      <c r="N385" s="167">
        <f ca="1">IFERROR(__xludf.DUMMYFUNCTION("IMPORTRANGE(""https://docs.google.com/spreadsheets/d/11923uPwbBZFjjGgGUA6NLw09EwE0CqkOc4q9oUmW1yo/edit?usp=sharing"",""ลำปาง!M280"")"),42446.7)</f>
        <v>42446.7</v>
      </c>
      <c r="O385" s="168">
        <f t="shared" ca="1" si="109"/>
        <v>4.1269688484424218</v>
      </c>
      <c r="P385" s="168"/>
    </row>
    <row r="386" spans="1:16" ht="21.75" customHeight="1" x14ac:dyDescent="0.3">
      <c r="A386" s="373"/>
      <c r="B386" s="374"/>
      <c r="C386" s="157"/>
      <c r="D386" s="375"/>
      <c r="E386" s="159"/>
      <c r="F386" s="159"/>
      <c r="G386" s="376" t="s">
        <v>131</v>
      </c>
      <c r="H386" s="161" t="s">
        <v>12</v>
      </c>
      <c r="I386" s="187"/>
      <c r="J386" s="187"/>
      <c r="K386" s="223"/>
      <c r="L386" s="168"/>
      <c r="M386" s="168"/>
      <c r="N386" s="377">
        <f ca="1">IFERROR(__xludf.DUMMYFUNCTION("IMPORTRANGE(""https://docs.google.com/spreadsheets/d/11923uPwbBZFjjGgGUA6NLw09EwE0CqkOc4q9oUmW1yo/edit?usp=sharing"",""ลำปาง!M281"")"),0)</f>
        <v>0</v>
      </c>
      <c r="O386" s="168"/>
      <c r="P386" s="168"/>
    </row>
    <row r="387" spans="1:16" ht="21.75" customHeight="1" x14ac:dyDescent="0.3">
      <c r="A387" s="373"/>
      <c r="B387" s="374"/>
      <c r="C387" s="157"/>
      <c r="D387" s="375"/>
      <c r="E387" s="159"/>
      <c r="F387" s="159"/>
      <c r="G387" s="376" t="s">
        <v>132</v>
      </c>
      <c r="H387" s="161" t="s">
        <v>12</v>
      </c>
      <c r="I387" s="187"/>
      <c r="J387" s="187"/>
      <c r="K387" s="223"/>
      <c r="L387" s="168"/>
      <c r="M387" s="168"/>
      <c r="N387" s="377">
        <f ca="1">IFERROR(__xludf.DUMMYFUNCTION("IMPORTRANGE(""https://docs.google.com/spreadsheets/d/11923uPwbBZFjjGgGUA6NLw09EwE0CqkOc4q9oUmW1yo/edit?usp=sharing"",""ลำปาง!M282"")"),0)</f>
        <v>0</v>
      </c>
      <c r="O387" s="168"/>
      <c r="P387" s="168"/>
    </row>
    <row r="388" spans="1:16" ht="21.75" customHeight="1" x14ac:dyDescent="0.3">
      <c r="A388" s="373"/>
      <c r="B388" s="374"/>
      <c r="C388" s="157"/>
      <c r="D388" s="375"/>
      <c r="E388" s="159"/>
      <c r="F388" s="159"/>
      <c r="G388" s="376" t="s">
        <v>133</v>
      </c>
      <c r="H388" s="161" t="s">
        <v>12</v>
      </c>
      <c r="I388" s="187"/>
      <c r="J388" s="187"/>
      <c r="K388" s="223"/>
      <c r="L388" s="168"/>
      <c r="M388" s="168"/>
      <c r="N388" s="377">
        <f ca="1">IFERROR(__xludf.DUMMYFUNCTION("IMPORTRANGE(""https://docs.google.com/spreadsheets/d/11923uPwbBZFjjGgGUA6NLw09EwE0CqkOc4q9oUmW1yo/edit?usp=sharing"",""ลำปาง!M283"")"),31166.7)</f>
        <v>31166.7</v>
      </c>
      <c r="O388" s="168"/>
      <c r="P388" s="168"/>
    </row>
    <row r="389" spans="1:16" ht="21.75" customHeight="1" x14ac:dyDescent="0.3">
      <c r="A389" s="373"/>
      <c r="B389" s="374"/>
      <c r="C389" s="157"/>
      <c r="D389" s="375"/>
      <c r="E389" s="159"/>
      <c r="F389" s="159"/>
      <c r="G389" s="376" t="s">
        <v>134</v>
      </c>
      <c r="H389" s="161" t="s">
        <v>12</v>
      </c>
      <c r="I389" s="187"/>
      <c r="J389" s="187"/>
      <c r="K389" s="223"/>
      <c r="L389" s="168"/>
      <c r="M389" s="168"/>
      <c r="N389" s="377">
        <f ca="1">IFERROR(__xludf.DUMMYFUNCTION("IMPORTRANGE(""https://docs.google.com/spreadsheets/d/11923uPwbBZFjjGgGUA6NLw09EwE0CqkOc4q9oUmW1yo/edit?usp=sharing"",""ลำปาง!M284"")"),11280)</f>
        <v>11280</v>
      </c>
      <c r="O389" s="168"/>
      <c r="P389" s="168"/>
    </row>
    <row r="390" spans="1:16" ht="21.75" customHeight="1" x14ac:dyDescent="0.3">
      <c r="A390" s="175"/>
      <c r="B390" s="176"/>
      <c r="C390" s="157" t="s">
        <v>16</v>
      </c>
      <c r="D390" s="177" t="s">
        <v>44</v>
      </c>
      <c r="E390" s="178"/>
      <c r="F390" s="178"/>
      <c r="G390" s="179"/>
      <c r="H390" s="180"/>
      <c r="I390" s="162"/>
      <c r="J390" s="162"/>
      <c r="K390" s="163"/>
      <c r="L390" s="181"/>
      <c r="M390" s="181"/>
      <c r="N390" s="181"/>
      <c r="O390" s="181"/>
      <c r="P390" s="181"/>
    </row>
    <row r="391" spans="1:16" ht="21.75" customHeight="1" x14ac:dyDescent="0.3">
      <c r="A391" s="175"/>
      <c r="B391" s="176"/>
      <c r="C391" s="176"/>
      <c r="D391" s="182">
        <v>1</v>
      </c>
      <c r="E391" s="183" t="s">
        <v>45</v>
      </c>
      <c r="F391" s="184"/>
      <c r="G391" s="185"/>
      <c r="H391" s="186"/>
      <c r="I391" s="187"/>
      <c r="J391" s="197">
        <f ca="1">IFERROR(__xludf.DUMMYFUNCTION("IMPORTRANGE(""https://docs.google.com/spreadsheets/d/11923uPwbBZFjjGgGUA6NLw09EwE0CqkOc4q9oUmW1yo/edit?usp=sharing"",""ลำปาง!J286"")"),0)</f>
        <v>0</v>
      </c>
      <c r="K391" s="163"/>
      <c r="L391" s="181"/>
      <c r="M391" s="181"/>
      <c r="N391" s="181"/>
      <c r="O391" s="181"/>
      <c r="P391" s="181"/>
    </row>
    <row r="392" spans="1:16" ht="21.75" customHeight="1" x14ac:dyDescent="0.3">
      <c r="A392" s="175"/>
      <c r="B392" s="176"/>
      <c r="C392" s="176"/>
      <c r="D392" s="189">
        <v>2</v>
      </c>
      <c r="E392" s="190" t="s">
        <v>46</v>
      </c>
      <c r="F392" s="191"/>
      <c r="G392" s="192"/>
      <c r="H392" s="186"/>
      <c r="I392" s="187"/>
      <c r="J392" s="188">
        <f ca="1">IFERROR(__xludf.DUMMYFUNCTION("IMPORTRANGE(""https://docs.google.com/spreadsheets/d/11923uPwbBZFjjGgGUA6NLw09EwE0CqkOc4q9oUmW1yo/edit?usp=sharing"",""ลำปาง!J287"")"),1)</f>
        <v>1</v>
      </c>
      <c r="K392" s="163"/>
      <c r="L392" s="181" t="s">
        <v>40</v>
      </c>
      <c r="M392" s="181"/>
      <c r="N392" s="181" t="s">
        <v>40</v>
      </c>
      <c r="O392" s="181"/>
      <c r="P392" s="181"/>
    </row>
    <row r="393" spans="1:16" ht="21.75" customHeight="1" x14ac:dyDescent="0.3">
      <c r="A393" s="175"/>
      <c r="B393" s="176"/>
      <c r="C393" s="176"/>
      <c r="D393" s="193"/>
      <c r="E393" s="194" t="s">
        <v>47</v>
      </c>
      <c r="F393" s="195"/>
      <c r="G393" s="196"/>
      <c r="H393" s="186"/>
      <c r="I393" s="187"/>
      <c r="J393" s="188">
        <f ca="1">IFERROR(__xludf.DUMMYFUNCTION("IMPORTRANGE(""https://docs.google.com/spreadsheets/d/11923uPwbBZFjjGgGUA6NLw09EwE0CqkOc4q9oUmW1yo/edit?usp=sharing"",""ลำปาง!J288"")"),1)</f>
        <v>1</v>
      </c>
      <c r="K393" s="163"/>
      <c r="L393" s="181"/>
      <c r="M393" s="181"/>
      <c r="N393" s="181"/>
      <c r="O393" s="181"/>
      <c r="P393" s="181"/>
    </row>
    <row r="394" spans="1:16" ht="21.75" customHeight="1" x14ac:dyDescent="0.3">
      <c r="A394" s="175"/>
      <c r="B394" s="176"/>
      <c r="C394" s="176"/>
      <c r="D394" s="193"/>
      <c r="E394" s="194" t="s">
        <v>48</v>
      </c>
      <c r="F394" s="195"/>
      <c r="G394" s="196"/>
      <c r="H394" s="186"/>
      <c r="I394" s="187"/>
      <c r="J394" s="197">
        <f ca="1">IFERROR(__xludf.DUMMYFUNCTION("IMPORTRANGE(""https://docs.google.com/spreadsheets/d/11923uPwbBZFjjGgGUA6NLw09EwE0CqkOc4q9oUmW1yo/edit?usp=sharing"",""ลำปาง!J289"")"),1)</f>
        <v>1</v>
      </c>
      <c r="K394" s="163"/>
      <c r="L394" s="181"/>
      <c r="M394" s="181"/>
      <c r="N394" s="181"/>
      <c r="O394" s="181"/>
      <c r="P394" s="181"/>
    </row>
    <row r="395" spans="1:16" ht="21.75" customHeight="1" x14ac:dyDescent="0.3">
      <c r="A395" s="175"/>
      <c r="B395" s="176"/>
      <c r="C395" s="176"/>
      <c r="D395" s="193"/>
      <c r="E395" s="198"/>
      <c r="F395" s="194" t="s">
        <v>146</v>
      </c>
      <c r="G395" s="195"/>
      <c r="H395" s="186"/>
      <c r="I395" s="187"/>
      <c r="J395" s="187"/>
      <c r="K395" s="163"/>
      <c r="L395" s="181"/>
      <c r="M395" s="181"/>
      <c r="N395" s="181"/>
      <c r="O395" s="181"/>
      <c r="P395" s="181"/>
    </row>
    <row r="396" spans="1:16" ht="21.75" customHeight="1" x14ac:dyDescent="0.3">
      <c r="A396" s="175"/>
      <c r="B396" s="176"/>
      <c r="C396" s="176"/>
      <c r="D396" s="193"/>
      <c r="E396" s="198"/>
      <c r="F396" s="195"/>
      <c r="G396" s="291" t="s">
        <v>70</v>
      </c>
      <c r="H396" s="186" t="s">
        <v>37</v>
      </c>
      <c r="I396" s="187">
        <f ca="1">IFERROR(__xludf.DUMMYFUNCTION("IMPORTRANGE(""https://docs.google.com/spreadsheets/d/11923uPwbBZFjjGgGUA6NLw09EwE0CqkOc4q9oUmW1yo/edit?usp=sharing"",""ลำปาง!I291"")"),100)</f>
        <v>100</v>
      </c>
      <c r="J396" s="197">
        <f ca="1">IFERROR(__xludf.DUMMYFUNCTION("IMPORTRANGE(""https://docs.google.com/spreadsheets/d/11923uPwbBZFjjGgGUA6NLw09EwE0CqkOc4q9oUmW1yo/edit?usp=sharing"",""ลำปาง!J291"")"),0)</f>
        <v>0</v>
      </c>
      <c r="K396" s="163">
        <f t="shared" ref="K396:K398" ca="1" si="110">IF(I396&gt;0,J396*100/I396,0)</f>
        <v>0</v>
      </c>
      <c r="L396" s="181"/>
      <c r="M396" s="181"/>
      <c r="N396" s="181"/>
      <c r="O396" s="181"/>
      <c r="P396" s="181"/>
    </row>
    <row r="397" spans="1:16" ht="21.75" customHeight="1" x14ac:dyDescent="0.3">
      <c r="A397" s="175"/>
      <c r="B397" s="176"/>
      <c r="C397" s="176"/>
      <c r="D397" s="193"/>
      <c r="E397" s="198"/>
      <c r="F397" s="195"/>
      <c r="G397" s="196" t="s">
        <v>53</v>
      </c>
      <c r="H397" s="186" t="s">
        <v>122</v>
      </c>
      <c r="I397" s="187">
        <f ca="1">IFERROR(__xludf.DUMMYFUNCTION("IMPORTRANGE(""https://docs.google.com/spreadsheets/d/11923uPwbBZFjjGgGUA6NLw09EwE0CqkOc4q9oUmW1yo/edit?usp=sharing"",""ลำปาง!I292"")"),1000)</f>
        <v>1000</v>
      </c>
      <c r="J397" s="197">
        <f ca="1">IFERROR(__xludf.DUMMYFUNCTION("IMPORTRANGE(""https://docs.google.com/spreadsheets/d/11923uPwbBZFjjGgGUA6NLw09EwE0CqkOc4q9oUmW1yo/edit?usp=sharing"",""ลำปาง!J292"")"),0)</f>
        <v>0</v>
      </c>
      <c r="K397" s="163">
        <f t="shared" ca="1" si="110"/>
        <v>0</v>
      </c>
      <c r="L397" s="181"/>
      <c r="M397" s="181"/>
      <c r="N397" s="181"/>
      <c r="O397" s="181"/>
      <c r="P397" s="181"/>
    </row>
    <row r="398" spans="1:16" ht="21.75" customHeight="1" x14ac:dyDescent="0.3">
      <c r="A398" s="175"/>
      <c r="B398" s="176"/>
      <c r="C398" s="176"/>
      <c r="D398" s="193"/>
      <c r="E398" s="198"/>
      <c r="F398" s="195"/>
      <c r="G398" s="196"/>
      <c r="H398" s="186" t="s">
        <v>37</v>
      </c>
      <c r="I398" s="187">
        <f ca="1">IFERROR(__xludf.DUMMYFUNCTION("IMPORTRANGE(""https://docs.google.com/spreadsheets/d/11923uPwbBZFjjGgGUA6NLw09EwE0CqkOc4q9oUmW1yo/edit?usp=sharing"",""ลำปาง!I293"")"),100)</f>
        <v>100</v>
      </c>
      <c r="J398" s="197">
        <f ca="1">IFERROR(__xludf.DUMMYFUNCTION("IMPORTRANGE(""https://docs.google.com/spreadsheets/d/11923uPwbBZFjjGgGUA6NLw09EwE0CqkOc4q9oUmW1yo/edit?usp=sharing"",""ลำปาง!J293"")"),0)</f>
        <v>0</v>
      </c>
      <c r="K398" s="163">
        <f t="shared" ca="1" si="110"/>
        <v>0</v>
      </c>
      <c r="L398" s="181"/>
      <c r="M398" s="181"/>
      <c r="N398" s="181"/>
      <c r="O398" s="181"/>
      <c r="P398" s="181"/>
    </row>
    <row r="399" spans="1:16" ht="21.75" customHeight="1" x14ac:dyDescent="0.3">
      <c r="A399" s="175"/>
      <c r="B399" s="176"/>
      <c r="C399" s="176"/>
      <c r="D399" s="193"/>
      <c r="E399" s="194" t="s">
        <v>54</v>
      </c>
      <c r="F399" s="195"/>
      <c r="G399" s="196"/>
      <c r="H399" s="186"/>
      <c r="I399" s="187"/>
      <c r="J399" s="197">
        <f ca="1">IFERROR(__xludf.DUMMYFUNCTION("IMPORTRANGE(""https://docs.google.com/spreadsheets/d/11923uPwbBZFjjGgGUA6NLw09EwE0CqkOc4q9oUmW1yo/edit?usp=sharing"",""ลำปาง!J294"")"),0)</f>
        <v>0</v>
      </c>
      <c r="K399" s="163"/>
      <c r="L399" s="181"/>
      <c r="M399" s="181"/>
      <c r="N399" s="181"/>
      <c r="O399" s="181"/>
      <c r="P399" s="181"/>
    </row>
    <row r="400" spans="1:16" ht="21.75" customHeight="1" x14ac:dyDescent="0.3">
      <c r="A400" s="175"/>
      <c r="B400" s="176"/>
      <c r="C400" s="176"/>
      <c r="D400" s="205">
        <v>3</v>
      </c>
      <c r="E400" s="206" t="s">
        <v>55</v>
      </c>
      <c r="F400" s="207"/>
      <c r="G400" s="208"/>
      <c r="H400" s="186"/>
      <c r="I400" s="187"/>
      <c r="J400" s="209">
        <f ca="1">IFERROR(__xludf.DUMMYFUNCTION("IMPORTRANGE(""https://docs.google.com/spreadsheets/d/11923uPwbBZFjjGgGUA6NLw09EwE0CqkOc4q9oUmW1yo/edit?usp=sharing"",""ลำปาง!J295"")"),0)</f>
        <v>0</v>
      </c>
      <c r="K400" s="163"/>
      <c r="L400" s="181"/>
      <c r="M400" s="181"/>
      <c r="N400" s="181"/>
      <c r="O400" s="181"/>
      <c r="P400" s="181"/>
    </row>
    <row r="401" spans="1:16" ht="21.75" customHeight="1" x14ac:dyDescent="0.3">
      <c r="A401" s="364"/>
      <c r="B401" s="365">
        <v>3</v>
      </c>
      <c r="C401" s="365" t="s">
        <v>147</v>
      </c>
      <c r="D401" s="366"/>
      <c r="E401" s="366"/>
      <c r="F401" s="366"/>
      <c r="G401" s="367"/>
      <c r="H401" s="368" t="s">
        <v>122</v>
      </c>
      <c r="I401" s="369">
        <f ca="1">IFERROR(__xludf.DUMMYFUNCTION("IMPORTRANGE(""https://docs.google.com/spreadsheets/d/11923uPwbBZFjjGgGUA6NLw09EwE0CqkOc4q9oUmW1yo/edit?usp=sharing"",""ลำปาง!I296"")"),120)</f>
        <v>120</v>
      </c>
      <c r="J401" s="369">
        <f ca="1">IFERROR(__xludf.DUMMYFUNCTION("IMPORTRANGE(""https://docs.google.com/spreadsheets/d/11923uPwbBZFjjGgGUA6NLw09EwE0CqkOc4q9oUmW1yo/edit?usp=sharing"",""ลำปาง!J296"")"),0)</f>
        <v>0</v>
      </c>
      <c r="K401" s="370">
        <f t="shared" ref="K401:K402" ca="1" si="111">IF(I401&gt;0,J401*100/I401,0)</f>
        <v>0</v>
      </c>
      <c r="L401" s="371">
        <f ca="1">IFERROR(__xludf.DUMMYFUNCTION("IMPORTRANGE(""https://docs.google.com/spreadsheets/d/11923uPwbBZFjjGgGUA6NLw09EwE0CqkOc4q9oUmW1yo/edit?usp=sharing"",""ลำปาง!L296"")"),144560)</f>
        <v>144560</v>
      </c>
      <c r="M401" s="371"/>
      <c r="N401" s="371">
        <f ca="1">IFERROR(__xludf.DUMMYFUNCTION("IMPORTRANGE(""https://docs.google.com/spreadsheets/d/11923uPwbBZFjjGgGUA6NLw09EwE0CqkOc4q9oUmW1yo/edit?usp=sharing"",""ลำปาง!M296"")"),10000)</f>
        <v>10000</v>
      </c>
      <c r="O401" s="371">
        <f ca="1">+IF(L401&gt;0,N401*100/L401,0)</f>
        <v>6.9175428887659107</v>
      </c>
      <c r="P401" s="371"/>
    </row>
    <row r="402" spans="1:16" ht="21.75" customHeight="1" x14ac:dyDescent="0.3">
      <c r="A402" s="364"/>
      <c r="B402" s="365"/>
      <c r="C402" s="365"/>
      <c r="D402" s="382"/>
      <c r="E402" s="382"/>
      <c r="F402" s="382"/>
      <c r="G402" s="385"/>
      <c r="H402" s="368" t="s">
        <v>37</v>
      </c>
      <c r="I402" s="369">
        <f ca="1">IFERROR(__xludf.DUMMYFUNCTION("IMPORTRANGE(""https://docs.google.com/spreadsheets/d/11923uPwbBZFjjGgGUA6NLw09EwE0CqkOc4q9oUmW1yo/edit?usp=sharing"",""ลำปาง!I297"")"),40)</f>
        <v>40</v>
      </c>
      <c r="J402" s="369">
        <f ca="1">IFERROR(__xludf.DUMMYFUNCTION("IMPORTRANGE(""https://docs.google.com/spreadsheets/d/11923uPwbBZFjjGgGUA6NLw09EwE0CqkOc4q9oUmW1yo/edit?usp=sharing"",""ลำปาง!J297"")"),0)</f>
        <v>0</v>
      </c>
      <c r="K402" s="370">
        <f t="shared" ca="1" si="111"/>
        <v>0</v>
      </c>
      <c r="L402" s="371"/>
      <c r="M402" s="371"/>
      <c r="N402" s="371"/>
      <c r="O402" s="371"/>
      <c r="P402" s="371"/>
    </row>
    <row r="403" spans="1:16" ht="21.75" customHeight="1" x14ac:dyDescent="0.3">
      <c r="A403" s="156"/>
      <c r="B403" s="157"/>
      <c r="C403" s="157" t="s">
        <v>16</v>
      </c>
      <c r="D403" s="158" t="s">
        <v>38</v>
      </c>
      <c r="E403" s="159"/>
      <c r="F403" s="159"/>
      <c r="G403" s="160" t="s">
        <v>39</v>
      </c>
      <c r="H403" s="161" t="s">
        <v>12</v>
      </c>
      <c r="I403" s="162" t="s">
        <v>40</v>
      </c>
      <c r="J403" s="162"/>
      <c r="K403" s="163"/>
      <c r="L403" s="164">
        <f ca="1">IFERROR(__xludf.DUMMYFUNCTION("IMPORTRANGE(""https://docs.google.com/spreadsheets/d/11923uPwbBZFjjGgGUA6NLw09EwE0CqkOc4q9oUmW1yo/edit?usp=sharing"",""ลำปาง!L298"")"),0)</f>
        <v>0</v>
      </c>
      <c r="M403" s="164"/>
      <c r="N403" s="168">
        <f ca="1">IFERROR(__xludf.DUMMYFUNCTION("IMPORTRANGE(""https://docs.google.com/spreadsheets/d/11923uPwbBZFjjGgGUA6NLw09EwE0CqkOc4q9oUmW1yo/edit?usp=sharing"",""ลำปาง!M298"")"),0)</f>
        <v>0</v>
      </c>
      <c r="O403" s="168">
        <f t="shared" ref="O403:O406" ca="1" si="112">+IF(L403&gt;0,N403*100/L403,0)</f>
        <v>0</v>
      </c>
      <c r="P403" s="168"/>
    </row>
    <row r="404" spans="1:16" ht="21.75" customHeight="1" x14ac:dyDescent="0.3">
      <c r="A404" s="156"/>
      <c r="B404" s="157"/>
      <c r="C404" s="157"/>
      <c r="D404" s="166"/>
      <c r="E404" s="159"/>
      <c r="F404" s="159" t="s">
        <v>40</v>
      </c>
      <c r="G404" s="160" t="s">
        <v>41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IFERROR(__xludf.DUMMYFUNCTION("IMPORTRANGE(""https://docs.google.com/spreadsheets/d/11923uPwbBZFjjGgGUA6NLw09EwE0CqkOc4q9oUmW1yo/edit?usp=sharing"",""ลำปาง!L299"")"),144560)</f>
        <v>144560</v>
      </c>
      <c r="M404" s="165"/>
      <c r="N404" s="168">
        <f ca="1">IFERROR(__xludf.DUMMYFUNCTION("IMPORTRANGE(""https://docs.google.com/spreadsheets/d/11923uPwbBZFjjGgGUA6NLw09EwE0CqkOc4q9oUmW1yo/edit?usp=sharing"",""ลำปาง!M299"")"),10000)</f>
        <v>10000</v>
      </c>
      <c r="O404" s="168">
        <f t="shared" ca="1" si="112"/>
        <v>6.9175428887659107</v>
      </c>
      <c r="P404" s="168"/>
    </row>
    <row r="405" spans="1:16" ht="21.75" customHeight="1" x14ac:dyDescent="0.3">
      <c r="A405" s="156"/>
      <c r="B405" s="157"/>
      <c r="C405" s="157"/>
      <c r="D405" s="166"/>
      <c r="E405" s="159"/>
      <c r="F405" s="159"/>
      <c r="G405" s="372" t="s">
        <v>129</v>
      </c>
      <c r="H405" s="161" t="s">
        <v>12</v>
      </c>
      <c r="I405" s="162"/>
      <c r="J405" s="162"/>
      <c r="K405" s="163"/>
      <c r="L405" s="168">
        <f ca="1">IFERROR(__xludf.DUMMYFUNCTION("IMPORTRANGE(""https://docs.google.com/spreadsheets/d/11923uPwbBZFjjGgGUA6NLw09EwE0CqkOc4q9oUmW1yo/edit?usp=sharing"",""ลำปาง!L300"")"),0)</f>
        <v>0</v>
      </c>
      <c r="M405" s="168"/>
      <c r="N405" s="168">
        <f ca="1">IFERROR(__xludf.DUMMYFUNCTION("IMPORTRANGE(""https://docs.google.com/spreadsheets/d/11923uPwbBZFjjGgGUA6NLw09EwE0CqkOc4q9oUmW1yo/edit?usp=sharing"",""ลำปาง!M300"")"),0)</f>
        <v>0</v>
      </c>
      <c r="O405" s="168">
        <f t="shared" ca="1" si="112"/>
        <v>0</v>
      </c>
      <c r="P405" s="168"/>
    </row>
    <row r="406" spans="1:16" ht="21.75" customHeight="1" x14ac:dyDescent="0.3">
      <c r="A406" s="156"/>
      <c r="B406" s="157"/>
      <c r="C406" s="157"/>
      <c r="D406" s="166"/>
      <c r="E406" s="159"/>
      <c r="F406" s="159"/>
      <c r="G406" s="372" t="s">
        <v>130</v>
      </c>
      <c r="H406" s="161" t="s">
        <v>12</v>
      </c>
      <c r="I406" s="162"/>
      <c r="J406" s="162"/>
      <c r="K406" s="163"/>
      <c r="L406" s="168">
        <f ca="1">IFERROR(__xludf.DUMMYFUNCTION("IMPORTRANGE(""https://docs.google.com/spreadsheets/d/11923uPwbBZFjjGgGUA6NLw09EwE0CqkOc4q9oUmW1yo/edit?usp=sharing"",""ลำปาง!L301"")"),144560)</f>
        <v>144560</v>
      </c>
      <c r="M406" s="168"/>
      <c r="N406" s="168">
        <f ca="1">IFERROR(__xludf.DUMMYFUNCTION("IMPORTRANGE(""https://docs.google.com/spreadsheets/d/11923uPwbBZFjjGgGUA6NLw09EwE0CqkOc4q9oUmW1yo/edit?usp=sharing"",""ลำปาง!M301"")"),10000)</f>
        <v>10000</v>
      </c>
      <c r="O406" s="168">
        <f t="shared" ca="1" si="112"/>
        <v>6.9175428887659107</v>
      </c>
      <c r="P406" s="168"/>
    </row>
    <row r="407" spans="1:16" ht="21.75" customHeight="1" x14ac:dyDescent="0.3">
      <c r="A407" s="373"/>
      <c r="B407" s="374"/>
      <c r="C407" s="157"/>
      <c r="D407" s="375"/>
      <c r="E407" s="159"/>
      <c r="F407" s="159"/>
      <c r="G407" s="376" t="s">
        <v>131</v>
      </c>
      <c r="H407" s="161" t="s">
        <v>12</v>
      </c>
      <c r="I407" s="187"/>
      <c r="J407" s="187"/>
      <c r="K407" s="223"/>
      <c r="L407" s="168"/>
      <c r="M407" s="168"/>
      <c r="N407" s="377">
        <f ca="1">IFERROR(__xludf.DUMMYFUNCTION("IMPORTRANGE(""https://docs.google.com/spreadsheets/d/11923uPwbBZFjjGgGUA6NLw09EwE0CqkOc4q9oUmW1yo/edit?usp=sharing"",""ลำปาง!M302"")"),0)</f>
        <v>0</v>
      </c>
      <c r="O407" s="168"/>
      <c r="P407" s="168"/>
    </row>
    <row r="408" spans="1:16" ht="21.75" customHeight="1" x14ac:dyDescent="0.3">
      <c r="A408" s="373"/>
      <c r="B408" s="374"/>
      <c r="C408" s="157"/>
      <c r="D408" s="375"/>
      <c r="E408" s="159"/>
      <c r="F408" s="159"/>
      <c r="G408" s="376" t="s">
        <v>132</v>
      </c>
      <c r="H408" s="161" t="s">
        <v>12</v>
      </c>
      <c r="I408" s="187"/>
      <c r="J408" s="187"/>
      <c r="K408" s="223"/>
      <c r="L408" s="168"/>
      <c r="M408" s="168"/>
      <c r="N408" s="377">
        <f ca="1">IFERROR(__xludf.DUMMYFUNCTION("IMPORTRANGE(""https://docs.google.com/spreadsheets/d/11923uPwbBZFjjGgGUA6NLw09EwE0CqkOc4q9oUmW1yo/edit?usp=sharing"",""ลำปาง!M303"")"),0)</f>
        <v>0</v>
      </c>
      <c r="O408" s="168"/>
      <c r="P408" s="168"/>
    </row>
    <row r="409" spans="1:16" ht="21.75" customHeight="1" x14ac:dyDescent="0.3">
      <c r="A409" s="373"/>
      <c r="B409" s="374"/>
      <c r="C409" s="157"/>
      <c r="D409" s="375"/>
      <c r="E409" s="159"/>
      <c r="F409" s="159"/>
      <c r="G409" s="376" t="s">
        <v>133</v>
      </c>
      <c r="H409" s="161" t="s">
        <v>12</v>
      </c>
      <c r="I409" s="187"/>
      <c r="J409" s="187"/>
      <c r="K409" s="223"/>
      <c r="L409" s="168"/>
      <c r="M409" s="168"/>
      <c r="N409" s="377">
        <f ca="1">IFERROR(__xludf.DUMMYFUNCTION("IMPORTRANGE(""https://docs.google.com/spreadsheets/d/11923uPwbBZFjjGgGUA6NLw09EwE0CqkOc4q9oUmW1yo/edit?usp=sharing"",""ลำปาง!M304"")"),0)</f>
        <v>0</v>
      </c>
      <c r="O409" s="168"/>
      <c r="P409" s="168"/>
    </row>
    <row r="410" spans="1:16" ht="21.75" customHeight="1" x14ac:dyDescent="0.3">
      <c r="A410" s="373"/>
      <c r="B410" s="374"/>
      <c r="C410" s="157"/>
      <c r="D410" s="375"/>
      <c r="E410" s="159"/>
      <c r="F410" s="159"/>
      <c r="G410" s="376" t="s">
        <v>134</v>
      </c>
      <c r="H410" s="161" t="s">
        <v>12</v>
      </c>
      <c r="I410" s="187"/>
      <c r="J410" s="187"/>
      <c r="K410" s="223"/>
      <c r="L410" s="168"/>
      <c r="M410" s="168"/>
      <c r="N410" s="377">
        <f ca="1">IFERROR(__xludf.DUMMYFUNCTION("IMPORTRANGE(""https://docs.google.com/spreadsheets/d/11923uPwbBZFjjGgGUA6NLw09EwE0CqkOc4q9oUmW1yo/edit?usp=sharing"",""ลำปาง!M305"")"),10000)</f>
        <v>10000</v>
      </c>
      <c r="O410" s="168"/>
      <c r="P410" s="168"/>
    </row>
    <row r="411" spans="1:16" ht="21.75" customHeight="1" x14ac:dyDescent="0.3">
      <c r="A411" s="175"/>
      <c r="B411" s="176"/>
      <c r="C411" s="157" t="s">
        <v>16</v>
      </c>
      <c r="D411" s="177" t="s">
        <v>44</v>
      </c>
      <c r="E411" s="178"/>
      <c r="F411" s="178"/>
      <c r="G411" s="179"/>
      <c r="H411" s="180"/>
      <c r="I411" s="162"/>
      <c r="J411" s="162"/>
      <c r="K411" s="163"/>
      <c r="L411" s="181"/>
      <c r="M411" s="181"/>
      <c r="N411" s="181"/>
      <c r="O411" s="181"/>
      <c r="P411" s="181"/>
    </row>
    <row r="412" spans="1:16" ht="21.75" customHeight="1" x14ac:dyDescent="0.3">
      <c r="A412" s="175"/>
      <c r="B412" s="176"/>
      <c r="C412" s="176"/>
      <c r="D412" s="182">
        <v>1</v>
      </c>
      <c r="E412" s="183" t="s">
        <v>45</v>
      </c>
      <c r="F412" s="184"/>
      <c r="G412" s="185"/>
      <c r="H412" s="186"/>
      <c r="I412" s="187"/>
      <c r="J412" s="197">
        <f ca="1">IFERROR(__xludf.DUMMYFUNCTION("IMPORTRANGE(""https://docs.google.com/spreadsheets/d/11923uPwbBZFjjGgGUA6NLw09EwE0CqkOc4q9oUmW1yo/edit?usp=sharing"",""ลำปาง!J307"")"),0)</f>
        <v>0</v>
      </c>
      <c r="K412" s="163"/>
      <c r="L412" s="181"/>
      <c r="M412" s="181"/>
      <c r="N412" s="181"/>
      <c r="O412" s="181"/>
      <c r="P412" s="181"/>
    </row>
    <row r="413" spans="1:16" ht="21.75" customHeight="1" x14ac:dyDescent="0.3">
      <c r="A413" s="175"/>
      <c r="B413" s="176"/>
      <c r="C413" s="176"/>
      <c r="D413" s="189">
        <v>2</v>
      </c>
      <c r="E413" s="190" t="s">
        <v>46</v>
      </c>
      <c r="F413" s="191"/>
      <c r="G413" s="192"/>
      <c r="H413" s="186"/>
      <c r="I413" s="187"/>
      <c r="J413" s="188">
        <f ca="1">IFERROR(__xludf.DUMMYFUNCTION("IMPORTRANGE(""https://docs.google.com/spreadsheets/d/11923uPwbBZFjjGgGUA6NLw09EwE0CqkOc4q9oUmW1yo/edit?usp=sharing"",""ลำปาง!J308"")"),1)</f>
        <v>1</v>
      </c>
      <c r="K413" s="163"/>
      <c r="L413" s="181" t="s">
        <v>40</v>
      </c>
      <c r="M413" s="181"/>
      <c r="N413" s="181" t="s">
        <v>40</v>
      </c>
      <c r="O413" s="181"/>
      <c r="P413" s="181"/>
    </row>
    <row r="414" spans="1:16" ht="21.75" customHeight="1" x14ac:dyDescent="0.3">
      <c r="A414" s="175"/>
      <c r="B414" s="176"/>
      <c r="C414" s="176"/>
      <c r="D414" s="193"/>
      <c r="E414" s="194" t="s">
        <v>47</v>
      </c>
      <c r="F414" s="195"/>
      <c r="G414" s="196"/>
      <c r="H414" s="186"/>
      <c r="I414" s="187"/>
      <c r="J414" s="188">
        <f ca="1">IFERROR(__xludf.DUMMYFUNCTION("IMPORTRANGE(""https://docs.google.com/spreadsheets/d/11923uPwbBZFjjGgGUA6NLw09EwE0CqkOc4q9oUmW1yo/edit?usp=sharing"",""ลำปาง!J309"")"),1)</f>
        <v>1</v>
      </c>
      <c r="K414" s="163"/>
      <c r="L414" s="181"/>
      <c r="M414" s="181"/>
      <c r="N414" s="181"/>
      <c r="O414" s="181"/>
      <c r="P414" s="181"/>
    </row>
    <row r="415" spans="1:16" ht="21.75" customHeight="1" x14ac:dyDescent="0.3">
      <c r="A415" s="175"/>
      <c r="B415" s="176"/>
      <c r="C415" s="176"/>
      <c r="D415" s="193"/>
      <c r="E415" s="194" t="s">
        <v>48</v>
      </c>
      <c r="F415" s="195"/>
      <c r="G415" s="196"/>
      <c r="H415" s="186"/>
      <c r="I415" s="187"/>
      <c r="J415" s="197">
        <f ca="1">IFERROR(__xludf.DUMMYFUNCTION("IMPORTRANGE(""https://docs.google.com/spreadsheets/d/11923uPwbBZFjjGgGUA6NLw09EwE0CqkOc4q9oUmW1yo/edit?usp=sharing"",""ลำปาง!J310"")"),1)</f>
        <v>1</v>
      </c>
      <c r="K415" s="163"/>
      <c r="L415" s="181"/>
      <c r="M415" s="181"/>
      <c r="N415" s="181"/>
      <c r="O415" s="181"/>
      <c r="P415" s="181"/>
    </row>
    <row r="416" spans="1:16" ht="21.75" customHeight="1" x14ac:dyDescent="0.3">
      <c r="A416" s="175"/>
      <c r="B416" s="176"/>
      <c r="C416" s="176"/>
      <c r="D416" s="193"/>
      <c r="E416" s="198"/>
      <c r="F416" s="194" t="s">
        <v>70</v>
      </c>
      <c r="G416" s="386"/>
      <c r="H416" s="387" t="s">
        <v>37</v>
      </c>
      <c r="I416" s="200">
        <f ca="1">IFERROR(__xludf.DUMMYFUNCTION("IMPORTRANGE(""https://docs.google.com/spreadsheets/d/11923uPwbBZFjjGgGUA6NLw09EwE0CqkOc4q9oUmW1yo/edit?usp=sharing"",""ลำปาง!I311"")"),40)</f>
        <v>40</v>
      </c>
      <c r="J416" s="200">
        <f ca="1">IFERROR(__xludf.DUMMYFUNCTION("IMPORTRANGE(""https://docs.google.com/spreadsheets/d/11923uPwbBZFjjGgGUA6NLw09EwE0CqkOc4q9oUmW1yo/edit?usp=sharing"",""ลำปาง!J311"")"),0)</f>
        <v>0</v>
      </c>
      <c r="K416" s="201">
        <f t="shared" ref="K416:K432" ca="1" si="113">IF(I416&gt;0,J416*100/I416,0)</f>
        <v>0</v>
      </c>
      <c r="L416" s="181"/>
      <c r="M416" s="181"/>
      <c r="N416" s="181"/>
      <c r="O416" s="181"/>
      <c r="P416" s="181"/>
    </row>
    <row r="417" spans="1:16" ht="21.75" customHeight="1" x14ac:dyDescent="0.45">
      <c r="A417" s="175"/>
      <c r="B417" s="176"/>
      <c r="C417" s="176"/>
      <c r="D417" s="193"/>
      <c r="E417" s="198"/>
      <c r="F417" s="388" t="s">
        <v>148</v>
      </c>
      <c r="G417" s="196"/>
      <c r="H417" s="199" t="s">
        <v>37</v>
      </c>
      <c r="I417" s="389">
        <f ca="1">IFERROR(__xludf.DUMMYFUNCTION("IMPORTRANGE(""https://docs.google.com/spreadsheets/d/11923uPwbBZFjjGgGUA6NLw09EwE0CqkOc4q9oUmW1yo/edit?usp=sharing"",""ลำปาง!I312"")"),10)</f>
        <v>10</v>
      </c>
      <c r="J417" s="390">
        <f ca="1">IFERROR(__xludf.DUMMYFUNCTION("IMPORTRANGE(""https://docs.google.com/spreadsheets/d/11923uPwbBZFjjGgGUA6NLw09EwE0CqkOc4q9oUmW1yo/edit?usp=sharing"",""ลำปาง!J312"")"),0)</f>
        <v>0</v>
      </c>
      <c r="K417" s="201">
        <f t="shared" ca="1" si="113"/>
        <v>0</v>
      </c>
      <c r="L417" s="181"/>
      <c r="M417" s="181"/>
      <c r="N417" s="181"/>
      <c r="O417" s="181"/>
      <c r="P417" s="181"/>
    </row>
    <row r="418" spans="1:16" ht="21.75" customHeight="1" x14ac:dyDescent="0.45">
      <c r="A418" s="175"/>
      <c r="B418" s="176"/>
      <c r="C418" s="176"/>
      <c r="D418" s="193"/>
      <c r="E418" s="198"/>
      <c r="F418" s="195"/>
      <c r="G418" s="196"/>
      <c r="H418" s="199" t="s">
        <v>122</v>
      </c>
      <c r="I418" s="389">
        <f ca="1">IFERROR(__xludf.DUMMYFUNCTION("IMPORTRANGE(""https://docs.google.com/spreadsheets/d/11923uPwbBZFjjGgGUA6NLw09EwE0CqkOc4q9oUmW1yo/edit?usp=sharing"",""ลำปาง!I313"")"),30)</f>
        <v>30</v>
      </c>
      <c r="J418" s="391">
        <f ca="1">IFERROR(__xludf.DUMMYFUNCTION("IMPORTRANGE(""https://docs.google.com/spreadsheets/d/11923uPwbBZFjjGgGUA6NLw09EwE0CqkOc4q9oUmW1yo/edit?usp=sharing"",""ลำปาง!J313"")"),0)</f>
        <v>0</v>
      </c>
      <c r="K418" s="201">
        <f t="shared" ca="1" si="113"/>
        <v>0</v>
      </c>
      <c r="L418" s="181"/>
      <c r="M418" s="181"/>
      <c r="N418" s="181"/>
      <c r="O418" s="181"/>
      <c r="P418" s="181"/>
    </row>
    <row r="419" spans="1:16" ht="21.75" customHeight="1" x14ac:dyDescent="0.45">
      <c r="A419" s="175"/>
      <c r="B419" s="176"/>
      <c r="C419" s="176"/>
      <c r="D419" s="193"/>
      <c r="E419" s="198"/>
      <c r="F419" s="195"/>
      <c r="G419" s="225" t="s">
        <v>149</v>
      </c>
      <c r="H419" s="180" t="s">
        <v>37</v>
      </c>
      <c r="I419" s="339">
        <f ca="1">IFERROR(__xludf.DUMMYFUNCTION("IMPORTRANGE(""https://docs.google.com/spreadsheets/d/11923uPwbBZFjjGgGUA6NLw09EwE0CqkOc4q9oUmW1yo/edit?usp=sharing"",""ลำปาง!I314"")"),10)</f>
        <v>10</v>
      </c>
      <c r="J419" s="392">
        <f ca="1">IFERROR(__xludf.DUMMYFUNCTION("IMPORTRANGE(""https://docs.google.com/spreadsheets/d/11923uPwbBZFjjGgGUA6NLw09EwE0CqkOc4q9oUmW1yo/edit?usp=sharing"",""ลำปาง!J314"")"),0)</f>
        <v>0</v>
      </c>
      <c r="K419" s="163">
        <f t="shared" ca="1" si="113"/>
        <v>0</v>
      </c>
      <c r="L419" s="181"/>
      <c r="M419" s="181"/>
      <c r="N419" s="181"/>
      <c r="O419" s="181"/>
      <c r="P419" s="181"/>
    </row>
    <row r="420" spans="1:16" ht="21.75" customHeight="1" x14ac:dyDescent="0.45">
      <c r="A420" s="233"/>
      <c r="B420" s="234"/>
      <c r="C420" s="234"/>
      <c r="D420" s="393"/>
      <c r="E420" s="394"/>
      <c r="F420" s="345"/>
      <c r="G420" s="395" t="s">
        <v>150</v>
      </c>
      <c r="H420" s="347" t="s">
        <v>37</v>
      </c>
      <c r="I420" s="396">
        <f ca="1">IFERROR(__xludf.DUMMYFUNCTION("IMPORTRANGE(""https://docs.google.com/spreadsheets/d/11923uPwbBZFjjGgGUA6NLw09EwE0CqkOc4q9oUmW1yo/edit?usp=sharing"",""ลำปาง!I315"")"),10)</f>
        <v>10</v>
      </c>
      <c r="J420" s="392">
        <f ca="1">IFERROR(__xludf.DUMMYFUNCTION("IMPORTRANGE(""https://docs.google.com/spreadsheets/d/11923uPwbBZFjjGgGUA6NLw09EwE0CqkOc4q9oUmW1yo/edit?usp=sharing"",""ลำปาง!J315"")"),0)</f>
        <v>0</v>
      </c>
      <c r="K420" s="286">
        <f t="shared" ca="1" si="113"/>
        <v>0</v>
      </c>
      <c r="L420" s="244"/>
      <c r="M420" s="244"/>
      <c r="N420" s="244"/>
      <c r="O420" s="244"/>
      <c r="P420" s="244"/>
    </row>
    <row r="421" spans="1:16" ht="21.75" customHeight="1" x14ac:dyDescent="0.45">
      <c r="A421" s="175"/>
      <c r="B421" s="176"/>
      <c r="C421" s="176"/>
      <c r="D421" s="193"/>
      <c r="E421" s="198"/>
      <c r="F421" s="388" t="s">
        <v>151</v>
      </c>
      <c r="G421" s="196"/>
      <c r="H421" s="199" t="s">
        <v>37</v>
      </c>
      <c r="I421" s="389">
        <f ca="1">IFERROR(__xludf.DUMMYFUNCTION("IMPORTRANGE(""https://docs.google.com/spreadsheets/d/11923uPwbBZFjjGgGUA6NLw09EwE0CqkOc4q9oUmW1yo/edit?usp=sharing"",""ลำปาง!I316"")"),20)</f>
        <v>20</v>
      </c>
      <c r="J421" s="390">
        <f ca="1">IFERROR(__xludf.DUMMYFUNCTION("IMPORTRANGE(""https://docs.google.com/spreadsheets/d/11923uPwbBZFjjGgGUA6NLw09EwE0CqkOc4q9oUmW1yo/edit?usp=sharing"",""ลำปาง!J316"")"),0)</f>
        <v>0</v>
      </c>
      <c r="K421" s="201">
        <f t="shared" ca="1" si="113"/>
        <v>0</v>
      </c>
      <c r="L421" s="181"/>
      <c r="M421" s="181"/>
      <c r="N421" s="181"/>
      <c r="O421" s="181"/>
      <c r="P421" s="181"/>
    </row>
    <row r="422" spans="1:16" ht="21.75" customHeight="1" x14ac:dyDescent="0.45">
      <c r="A422" s="175"/>
      <c r="B422" s="176"/>
      <c r="C422" s="176"/>
      <c r="D422" s="193"/>
      <c r="E422" s="198"/>
      <c r="F422" s="195"/>
      <c r="G422" s="196"/>
      <c r="H422" s="199" t="s">
        <v>122</v>
      </c>
      <c r="I422" s="389">
        <f ca="1">IFERROR(__xludf.DUMMYFUNCTION("IMPORTRANGE(""https://docs.google.com/spreadsheets/d/11923uPwbBZFjjGgGUA6NLw09EwE0CqkOc4q9oUmW1yo/edit?usp=sharing"",""ลำปาง!I317"")"),60)</f>
        <v>60</v>
      </c>
      <c r="J422" s="391">
        <f ca="1">IFERROR(__xludf.DUMMYFUNCTION("IMPORTRANGE(""https://docs.google.com/spreadsheets/d/11923uPwbBZFjjGgGUA6NLw09EwE0CqkOc4q9oUmW1yo/edit?usp=sharing"",""ลำปาง!J317"")"),0)</f>
        <v>0</v>
      </c>
      <c r="K422" s="201">
        <f t="shared" ca="1" si="113"/>
        <v>0</v>
      </c>
      <c r="L422" s="181"/>
      <c r="M422" s="181"/>
      <c r="N422" s="181"/>
      <c r="O422" s="181"/>
      <c r="P422" s="181"/>
    </row>
    <row r="423" spans="1:16" ht="21.75" customHeight="1" x14ac:dyDescent="0.45">
      <c r="A423" s="175"/>
      <c r="B423" s="176"/>
      <c r="C423" s="176"/>
      <c r="D423" s="193"/>
      <c r="E423" s="198"/>
      <c r="F423" s="195"/>
      <c r="G423" s="225" t="s">
        <v>152</v>
      </c>
      <c r="H423" s="180" t="s">
        <v>37</v>
      </c>
      <c r="I423" s="339">
        <f ca="1">IFERROR(__xludf.DUMMYFUNCTION("IMPORTRANGE(""https://docs.google.com/spreadsheets/d/11923uPwbBZFjjGgGUA6NLw09EwE0CqkOc4q9oUmW1yo/edit?usp=sharing"",""ลำปาง!I318"")"),20)</f>
        <v>20</v>
      </c>
      <c r="J423" s="392">
        <f ca="1">IFERROR(__xludf.DUMMYFUNCTION("IMPORTRANGE(""https://docs.google.com/spreadsheets/d/11923uPwbBZFjjGgGUA6NLw09EwE0CqkOc4q9oUmW1yo/edit?usp=sharing"",""ลำปาง!J318"")"),0)</f>
        <v>0</v>
      </c>
      <c r="K423" s="163">
        <f t="shared" ca="1" si="113"/>
        <v>0</v>
      </c>
      <c r="L423" s="181"/>
      <c r="M423" s="181"/>
      <c r="N423" s="181"/>
      <c r="O423" s="181"/>
      <c r="P423" s="181"/>
    </row>
    <row r="424" spans="1:16" ht="21.75" customHeight="1" x14ac:dyDescent="0.45">
      <c r="A424" s="175"/>
      <c r="B424" s="176"/>
      <c r="C424" s="176"/>
      <c r="D424" s="193"/>
      <c r="E424" s="198"/>
      <c r="F424" s="195"/>
      <c r="G424" s="225" t="s">
        <v>153</v>
      </c>
      <c r="H424" s="180" t="s">
        <v>37</v>
      </c>
      <c r="I424" s="339">
        <f ca="1">IFERROR(__xludf.DUMMYFUNCTION("IMPORTRANGE(""https://docs.google.com/spreadsheets/d/11923uPwbBZFjjGgGUA6NLw09EwE0CqkOc4q9oUmW1yo/edit?usp=sharing"",""ลำปาง!I319"")"),20)</f>
        <v>20</v>
      </c>
      <c r="J424" s="392">
        <f ca="1">IFERROR(__xludf.DUMMYFUNCTION("IMPORTRANGE(""https://docs.google.com/spreadsheets/d/11923uPwbBZFjjGgGUA6NLw09EwE0CqkOc4q9oUmW1yo/edit?usp=sharing"",""ลำปาง!J319"")"),0)</f>
        <v>0</v>
      </c>
      <c r="K424" s="163">
        <f t="shared" ca="1" si="113"/>
        <v>0</v>
      </c>
      <c r="L424" s="181"/>
      <c r="M424" s="181"/>
      <c r="N424" s="181"/>
      <c r="O424" s="181"/>
      <c r="P424" s="181"/>
    </row>
    <row r="425" spans="1:16" ht="21.75" customHeight="1" x14ac:dyDescent="0.45">
      <c r="A425" s="175"/>
      <c r="B425" s="176"/>
      <c r="C425" s="176"/>
      <c r="D425" s="193"/>
      <c r="E425" s="198"/>
      <c r="F425" s="195"/>
      <c r="G425" s="225" t="s">
        <v>154</v>
      </c>
      <c r="H425" s="180" t="s">
        <v>37</v>
      </c>
      <c r="I425" s="339">
        <f ca="1">IFERROR(__xludf.DUMMYFUNCTION("IMPORTRANGE(""https://docs.google.com/spreadsheets/d/11923uPwbBZFjjGgGUA6NLw09EwE0CqkOc4q9oUmW1yo/edit?usp=sharing"",""ลำปาง!I320"")"),20)</f>
        <v>20</v>
      </c>
      <c r="J425" s="392">
        <f ca="1">IFERROR(__xludf.DUMMYFUNCTION("IMPORTRANGE(""https://docs.google.com/spreadsheets/d/11923uPwbBZFjjGgGUA6NLw09EwE0CqkOc4q9oUmW1yo/edit?usp=sharing"",""ลำปาง!J320"")"),0)</f>
        <v>0</v>
      </c>
      <c r="K425" s="163">
        <f t="shared" ca="1" si="113"/>
        <v>0</v>
      </c>
      <c r="L425" s="181"/>
      <c r="M425" s="181"/>
      <c r="N425" s="181"/>
      <c r="O425" s="181"/>
      <c r="P425" s="181"/>
    </row>
    <row r="426" spans="1:16" ht="21.75" customHeight="1" x14ac:dyDescent="0.45">
      <c r="A426" s="175"/>
      <c r="B426" s="176"/>
      <c r="C426" s="176"/>
      <c r="D426" s="193"/>
      <c r="E426" s="198"/>
      <c r="F426" s="397" t="s">
        <v>155</v>
      </c>
      <c r="G426" s="196"/>
      <c r="H426" s="199" t="s">
        <v>37</v>
      </c>
      <c r="I426" s="389">
        <f ca="1">IFERROR(__xludf.DUMMYFUNCTION("IMPORTRANGE(""https://docs.google.com/spreadsheets/d/11923uPwbBZFjjGgGUA6NLw09EwE0CqkOc4q9oUmW1yo/edit?usp=sharing"",""ลำปาง!I321"")"),10)</f>
        <v>10</v>
      </c>
      <c r="J426" s="390">
        <f ca="1">IFERROR(__xludf.DUMMYFUNCTION("IMPORTRANGE(""https://docs.google.com/spreadsheets/d/11923uPwbBZFjjGgGUA6NLw09EwE0CqkOc4q9oUmW1yo/edit?usp=sharing"",""ลำปาง!J321"")"),0)</f>
        <v>0</v>
      </c>
      <c r="K426" s="201">
        <f t="shared" ca="1" si="113"/>
        <v>0</v>
      </c>
      <c r="L426" s="181"/>
      <c r="M426" s="181"/>
      <c r="N426" s="181"/>
      <c r="O426" s="181"/>
      <c r="P426" s="181"/>
    </row>
    <row r="427" spans="1:16" ht="21.75" customHeight="1" x14ac:dyDescent="0.45">
      <c r="A427" s="175"/>
      <c r="B427" s="176"/>
      <c r="C427" s="176"/>
      <c r="D427" s="193"/>
      <c r="E427" s="198"/>
      <c r="F427" s="195"/>
      <c r="G427" s="196"/>
      <c r="H427" s="199" t="s">
        <v>122</v>
      </c>
      <c r="I427" s="389">
        <f ca="1">IFERROR(__xludf.DUMMYFUNCTION("IMPORTRANGE(""https://docs.google.com/spreadsheets/d/11923uPwbBZFjjGgGUA6NLw09EwE0CqkOc4q9oUmW1yo/edit?usp=sharing"",""ลำปาง!I322"")"),30)</f>
        <v>30</v>
      </c>
      <c r="J427" s="391">
        <f ca="1">IFERROR(__xludf.DUMMYFUNCTION("IMPORTRANGE(""https://docs.google.com/spreadsheets/d/11923uPwbBZFjjGgGUA6NLw09EwE0CqkOc4q9oUmW1yo/edit?usp=sharing"",""ลำปาง!J322"")"),0)</f>
        <v>0</v>
      </c>
      <c r="K427" s="201">
        <f t="shared" ca="1" si="113"/>
        <v>0</v>
      </c>
      <c r="L427" s="181"/>
      <c r="M427" s="181"/>
      <c r="N427" s="181"/>
      <c r="O427" s="181"/>
      <c r="P427" s="181"/>
    </row>
    <row r="428" spans="1:16" ht="21.75" customHeight="1" x14ac:dyDescent="0.45">
      <c r="A428" s="175"/>
      <c r="B428" s="176"/>
      <c r="C428" s="176"/>
      <c r="D428" s="193"/>
      <c r="E428" s="198"/>
      <c r="F428" s="195"/>
      <c r="G428" s="225" t="s">
        <v>156</v>
      </c>
      <c r="H428" s="180" t="s">
        <v>37</v>
      </c>
      <c r="I428" s="398">
        <f ca="1">IFERROR(__xludf.DUMMYFUNCTION("IMPORTRANGE(""https://docs.google.com/spreadsheets/d/11923uPwbBZFjjGgGUA6NLw09EwE0CqkOc4q9oUmW1yo/edit?usp=sharing"",""ลำปาง!I323"")"),10)</f>
        <v>10</v>
      </c>
      <c r="J428" s="392">
        <f ca="1">IFERROR(__xludf.DUMMYFUNCTION("IMPORTRANGE(""https://docs.google.com/spreadsheets/d/11923uPwbBZFjjGgGUA6NLw09EwE0CqkOc4q9oUmW1yo/edit?usp=sharing"",""ลำปาง!J323"")"),0)</f>
        <v>0</v>
      </c>
      <c r="K428" s="163">
        <f t="shared" ca="1" si="113"/>
        <v>0</v>
      </c>
      <c r="L428" s="181"/>
      <c r="M428" s="181"/>
      <c r="N428" s="181"/>
      <c r="O428" s="181"/>
      <c r="P428" s="181"/>
    </row>
    <row r="429" spans="1:16" ht="21.75" customHeight="1" x14ac:dyDescent="0.45">
      <c r="A429" s="175"/>
      <c r="B429" s="176"/>
      <c r="C429" s="176"/>
      <c r="D429" s="193"/>
      <c r="E429" s="198"/>
      <c r="F429" s="195"/>
      <c r="G429" s="225" t="s">
        <v>157</v>
      </c>
      <c r="H429" s="180" t="s">
        <v>37</v>
      </c>
      <c r="I429" s="398">
        <f ca="1">IFERROR(__xludf.DUMMYFUNCTION("IMPORTRANGE(""https://docs.google.com/spreadsheets/d/11923uPwbBZFjjGgGUA6NLw09EwE0CqkOc4q9oUmW1yo/edit?usp=sharing"",""ลำปาง!I324"")"),10)</f>
        <v>10</v>
      </c>
      <c r="J429" s="392">
        <f ca="1">IFERROR(__xludf.DUMMYFUNCTION("IMPORTRANGE(""https://docs.google.com/spreadsheets/d/11923uPwbBZFjjGgGUA6NLw09EwE0CqkOc4q9oUmW1yo/edit?usp=sharing"",""ลำปาง!J324"")"),0)</f>
        <v>0</v>
      </c>
      <c r="K429" s="163">
        <f t="shared" ca="1" si="113"/>
        <v>0</v>
      </c>
      <c r="L429" s="181"/>
      <c r="M429" s="181"/>
      <c r="N429" s="181"/>
      <c r="O429" s="181"/>
      <c r="P429" s="181"/>
    </row>
    <row r="430" spans="1:16" ht="21.75" customHeight="1" x14ac:dyDescent="0.45">
      <c r="A430" s="175"/>
      <c r="B430" s="176"/>
      <c r="C430" s="176"/>
      <c r="D430" s="193"/>
      <c r="E430" s="198"/>
      <c r="F430" s="194" t="s">
        <v>53</v>
      </c>
      <c r="G430" s="386"/>
      <c r="H430" s="399" t="s">
        <v>37</v>
      </c>
      <c r="I430" s="200">
        <f ca="1">IFERROR(__xludf.DUMMYFUNCTION("IMPORTRANGE(""https://docs.google.com/spreadsheets/d/11923uPwbBZFjjGgGUA6NLw09EwE0CqkOc4q9oUmW1yo/edit?usp=sharing"",""ลำปาง!I325"")"),30)</f>
        <v>30</v>
      </c>
      <c r="J430" s="390">
        <f ca="1">IFERROR(__xludf.DUMMYFUNCTION("IMPORTRANGE(""https://docs.google.com/spreadsheets/d/11923uPwbBZFjjGgGUA6NLw09EwE0CqkOc4q9oUmW1yo/edit?usp=sharing"",""ลำปาง!J325"")"),0)</f>
        <v>0</v>
      </c>
      <c r="K430" s="201">
        <f t="shared" ca="1" si="113"/>
        <v>0</v>
      </c>
      <c r="L430" s="181"/>
      <c r="M430" s="181"/>
      <c r="N430" s="181"/>
      <c r="O430" s="181"/>
      <c r="P430" s="181"/>
    </row>
    <row r="431" spans="1:16" ht="21.75" customHeight="1" x14ac:dyDescent="0.45">
      <c r="A431" s="400"/>
      <c r="B431" s="401"/>
      <c r="C431" s="401"/>
      <c r="D431" s="402"/>
      <c r="E431" s="198"/>
      <c r="F431" s="195"/>
      <c r="G431" s="225" t="s">
        <v>158</v>
      </c>
      <c r="H431" s="180" t="s">
        <v>37</v>
      </c>
      <c r="I431" s="398">
        <f ca="1">IFERROR(__xludf.DUMMYFUNCTION("IMPORTRANGE(""https://docs.google.com/spreadsheets/d/11923uPwbBZFjjGgGUA6NLw09EwE0CqkOc4q9oUmW1yo/edit?usp=sharing"",""ลำปาง!I326"")"),10)</f>
        <v>10</v>
      </c>
      <c r="J431" s="392">
        <f ca="1">IFERROR(__xludf.DUMMYFUNCTION("IMPORTRANGE(""https://docs.google.com/spreadsheets/d/11923uPwbBZFjjGgGUA6NLw09EwE0CqkOc4q9oUmW1yo/edit?usp=sharing"",""ลำปาง!J326"")"),0)</f>
        <v>0</v>
      </c>
      <c r="K431" s="163">
        <f t="shared" ca="1" si="113"/>
        <v>0</v>
      </c>
      <c r="L431" s="181"/>
      <c r="M431" s="181"/>
      <c r="N431" s="181"/>
      <c r="O431" s="181"/>
      <c r="P431" s="181"/>
    </row>
    <row r="432" spans="1:16" ht="21.75" customHeight="1" x14ac:dyDescent="0.45">
      <c r="A432" s="400"/>
      <c r="B432" s="401"/>
      <c r="C432" s="401"/>
      <c r="D432" s="402"/>
      <c r="E432" s="198"/>
      <c r="F432" s="195"/>
      <c r="G432" s="225" t="s">
        <v>159</v>
      </c>
      <c r="H432" s="180" t="s">
        <v>37</v>
      </c>
      <c r="I432" s="398">
        <f ca="1">IFERROR(__xludf.DUMMYFUNCTION("IMPORTRANGE(""https://docs.google.com/spreadsheets/d/11923uPwbBZFjjGgGUA6NLw09EwE0CqkOc4q9oUmW1yo/edit?usp=sharing"",""ลำปาง!I327"")"),20)</f>
        <v>20</v>
      </c>
      <c r="J432" s="392">
        <f ca="1">IFERROR(__xludf.DUMMYFUNCTION("IMPORTRANGE(""https://docs.google.com/spreadsheets/d/11923uPwbBZFjjGgGUA6NLw09EwE0CqkOc4q9oUmW1yo/edit?usp=sharing"",""ลำปาง!J327"")"),0)</f>
        <v>0</v>
      </c>
      <c r="K432" s="163">
        <f t="shared" ca="1" si="113"/>
        <v>0</v>
      </c>
      <c r="L432" s="181"/>
      <c r="M432" s="181"/>
      <c r="N432" s="181"/>
      <c r="O432" s="181"/>
      <c r="P432" s="181"/>
    </row>
    <row r="433" spans="1:16" ht="21.75" customHeight="1" x14ac:dyDescent="0.3">
      <c r="A433" s="175"/>
      <c r="B433" s="176"/>
      <c r="C433" s="176"/>
      <c r="D433" s="193"/>
      <c r="E433" s="194" t="s">
        <v>54</v>
      </c>
      <c r="F433" s="195"/>
      <c r="G433" s="196"/>
      <c r="H433" s="186"/>
      <c r="I433" s="187"/>
      <c r="J433" s="197">
        <f ca="1">IFERROR(__xludf.DUMMYFUNCTION("IMPORTRANGE(""https://docs.google.com/spreadsheets/d/11923uPwbBZFjjGgGUA6NLw09EwE0CqkOc4q9oUmW1yo/edit?usp=sharing"",""ลำปาง!J328"")"),0)</f>
        <v>0</v>
      </c>
      <c r="K433" s="163"/>
      <c r="L433" s="181"/>
      <c r="M433" s="181"/>
      <c r="N433" s="181"/>
      <c r="O433" s="181"/>
      <c r="P433" s="181"/>
    </row>
    <row r="434" spans="1:16" ht="21.75" customHeight="1" x14ac:dyDescent="0.3">
      <c r="A434" s="175"/>
      <c r="B434" s="176"/>
      <c r="C434" s="176"/>
      <c r="D434" s="205">
        <v>3</v>
      </c>
      <c r="E434" s="206" t="s">
        <v>55</v>
      </c>
      <c r="F434" s="207"/>
      <c r="G434" s="208"/>
      <c r="H434" s="186"/>
      <c r="I434" s="187"/>
      <c r="J434" s="209">
        <f ca="1">IFERROR(__xludf.DUMMYFUNCTION("IMPORTRANGE(""https://docs.google.com/spreadsheets/d/11923uPwbBZFjjGgGUA6NLw09EwE0CqkOc4q9oUmW1yo/edit?usp=sharing"",""ลำปาง!J329"")"),0)</f>
        <v>0</v>
      </c>
      <c r="K434" s="163"/>
      <c r="L434" s="181"/>
      <c r="M434" s="181"/>
      <c r="N434" s="181"/>
      <c r="O434" s="181"/>
      <c r="P434" s="181"/>
    </row>
    <row r="435" spans="1:16" ht="21.75" customHeight="1" x14ac:dyDescent="0.3">
      <c r="A435" s="403"/>
      <c r="B435" s="404">
        <v>4</v>
      </c>
      <c r="C435" s="404" t="s">
        <v>160</v>
      </c>
      <c r="D435" s="405"/>
      <c r="E435" s="405"/>
      <c r="F435" s="405"/>
      <c r="G435" s="406"/>
      <c r="H435" s="407" t="s">
        <v>37</v>
      </c>
      <c r="I435" s="408">
        <f ca="1">IFERROR(__xludf.DUMMYFUNCTION("IMPORTRANGE(""https://docs.google.com/spreadsheets/d/11923uPwbBZFjjGgGUA6NLw09EwE0CqkOc4q9oUmW1yo/edit?usp=sharing"",""ลำปาง!I330"")"),15)</f>
        <v>15</v>
      </c>
      <c r="J435" s="408">
        <f ca="1">IFERROR(__xludf.DUMMYFUNCTION("IMPORTRANGE(""https://docs.google.com/spreadsheets/d/11923uPwbBZFjjGgGUA6NLw09EwE0CqkOc4q9oUmW1yo/edit?usp=sharing"",""ลำปาง!J330"")"),15)</f>
        <v>15</v>
      </c>
      <c r="K435" s="409">
        <f ca="1">IF(I435&gt;0,J435*100/I435,0)</f>
        <v>100</v>
      </c>
      <c r="L435" s="410">
        <f ca="1">IFERROR(__xludf.DUMMYFUNCTION("IMPORTRANGE(""https://docs.google.com/spreadsheets/d/11923uPwbBZFjjGgGUA6NLw09EwE0CqkOc4q9oUmW1yo/edit?usp=sharing"",""ลำปาง!L330"")"),83000)</f>
        <v>83000</v>
      </c>
      <c r="M435" s="410"/>
      <c r="N435" s="410">
        <f ca="1">IFERROR(__xludf.DUMMYFUNCTION("IMPORTRANGE(""https://docs.google.com/spreadsheets/d/11923uPwbBZFjjGgGUA6NLw09EwE0CqkOc4q9oUmW1yo/edit?usp=sharing"",""ลำปาง!M330"")"),45560.39)</f>
        <v>45560.39</v>
      </c>
      <c r="O435" s="410">
        <f t="shared" ref="O435:O439" ca="1" si="114">+IF(L435&gt;0,N435*100/L435,0)</f>
        <v>54.892036144578313</v>
      </c>
      <c r="P435" s="410"/>
    </row>
    <row r="436" spans="1:16" ht="21.75" customHeight="1" x14ac:dyDescent="0.3">
      <c r="A436" s="156"/>
      <c r="B436" s="157"/>
      <c r="C436" s="157" t="s">
        <v>16</v>
      </c>
      <c r="D436" s="158" t="s">
        <v>38</v>
      </c>
      <c r="E436" s="159"/>
      <c r="F436" s="159"/>
      <c r="G436" s="160" t="s">
        <v>39</v>
      </c>
      <c r="H436" s="161" t="s">
        <v>12</v>
      </c>
      <c r="I436" s="162" t="s">
        <v>40</v>
      </c>
      <c r="J436" s="162"/>
      <c r="K436" s="163"/>
      <c r="L436" s="164">
        <f ca="1">IFERROR(__xludf.DUMMYFUNCTION("IMPORTRANGE(""https://docs.google.com/spreadsheets/d/11923uPwbBZFjjGgGUA6NLw09EwE0CqkOc4q9oUmW1yo/edit?usp=sharing"",""ลำปาง!L331"")"),0)</f>
        <v>0</v>
      </c>
      <c r="M436" s="164"/>
      <c r="N436" s="168">
        <f ca="1">IFERROR(__xludf.DUMMYFUNCTION("IMPORTRANGE(""https://docs.google.com/spreadsheets/d/11923uPwbBZFjjGgGUA6NLw09EwE0CqkOc4q9oUmW1yo/edit?usp=sharing"",""ลำปาง!M331"")"),0)</f>
        <v>0</v>
      </c>
      <c r="O436" s="168">
        <f t="shared" ca="1" si="114"/>
        <v>0</v>
      </c>
      <c r="P436" s="168"/>
    </row>
    <row r="437" spans="1:16" ht="21.75" customHeight="1" x14ac:dyDescent="0.3">
      <c r="A437" s="156"/>
      <c r="B437" s="157"/>
      <c r="C437" s="157"/>
      <c r="D437" s="166"/>
      <c r="E437" s="159"/>
      <c r="F437" s="159" t="s">
        <v>40</v>
      </c>
      <c r="G437" s="160" t="s">
        <v>41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IFERROR(__xludf.DUMMYFUNCTION("IMPORTRANGE(""https://docs.google.com/spreadsheets/d/11923uPwbBZFjjGgGUA6NLw09EwE0CqkOc4q9oUmW1yo/edit?usp=sharing"",""ลำปาง!L332"")"),83000)</f>
        <v>83000</v>
      </c>
      <c r="M437" s="165"/>
      <c r="N437" s="168">
        <f ca="1">IFERROR(__xludf.DUMMYFUNCTION("IMPORTRANGE(""https://docs.google.com/spreadsheets/d/11923uPwbBZFjjGgGUA6NLw09EwE0CqkOc4q9oUmW1yo/edit?usp=sharing"",""ลำปาง!M332"")"),45560.39)</f>
        <v>45560.39</v>
      </c>
      <c r="O437" s="168">
        <f t="shared" ca="1" si="114"/>
        <v>54.892036144578313</v>
      </c>
      <c r="P437" s="168"/>
    </row>
    <row r="438" spans="1:16" ht="21.75" customHeight="1" x14ac:dyDescent="0.3">
      <c r="A438" s="156"/>
      <c r="B438" s="157"/>
      <c r="C438" s="157"/>
      <c r="D438" s="166"/>
      <c r="E438" s="159"/>
      <c r="F438" s="159"/>
      <c r="G438" s="372" t="s">
        <v>129</v>
      </c>
      <c r="H438" s="161" t="s">
        <v>12</v>
      </c>
      <c r="I438" s="162"/>
      <c r="J438" s="162"/>
      <c r="K438" s="163"/>
      <c r="L438" s="168">
        <f ca="1">IFERROR(__xludf.DUMMYFUNCTION("IMPORTRANGE(""https://docs.google.com/spreadsheets/d/11923uPwbBZFjjGgGUA6NLw09EwE0CqkOc4q9oUmW1yo/edit?usp=sharing"",""ลำปาง!L333"")"),0)</f>
        <v>0</v>
      </c>
      <c r="M438" s="168"/>
      <c r="N438" s="168">
        <f ca="1">IFERROR(__xludf.DUMMYFUNCTION("IMPORTRANGE(""https://docs.google.com/spreadsheets/d/11923uPwbBZFjjGgGUA6NLw09EwE0CqkOc4q9oUmW1yo/edit?usp=sharing"",""ลำปาง!M333"")"),0)</f>
        <v>0</v>
      </c>
      <c r="O438" s="168">
        <f t="shared" ca="1" si="114"/>
        <v>0</v>
      </c>
      <c r="P438" s="168"/>
    </row>
    <row r="439" spans="1:16" ht="21.75" customHeight="1" x14ac:dyDescent="0.3">
      <c r="A439" s="156"/>
      <c r="B439" s="157"/>
      <c r="C439" s="157"/>
      <c r="D439" s="166"/>
      <c r="E439" s="159"/>
      <c r="F439" s="159"/>
      <c r="G439" s="372" t="s">
        <v>130</v>
      </c>
      <c r="H439" s="161" t="s">
        <v>12</v>
      </c>
      <c r="I439" s="162"/>
      <c r="J439" s="162"/>
      <c r="K439" s="163"/>
      <c r="L439" s="168">
        <f ca="1">IFERROR(__xludf.DUMMYFUNCTION("IMPORTRANGE(""https://docs.google.com/spreadsheets/d/11923uPwbBZFjjGgGUA6NLw09EwE0CqkOc4q9oUmW1yo/edit?usp=sharing"",""ลำปาง!L334"")"),83000)</f>
        <v>83000</v>
      </c>
      <c r="M439" s="168"/>
      <c r="N439" s="168">
        <f ca="1">IFERROR(__xludf.DUMMYFUNCTION("IMPORTRANGE(""https://docs.google.com/spreadsheets/d/11923uPwbBZFjjGgGUA6NLw09EwE0CqkOc4q9oUmW1yo/edit?usp=sharing"",""ลำปาง!M334"")"),45560.39)</f>
        <v>45560.39</v>
      </c>
      <c r="O439" s="168">
        <f t="shared" ca="1" si="114"/>
        <v>54.892036144578313</v>
      </c>
      <c r="P439" s="168"/>
    </row>
    <row r="440" spans="1:16" ht="21.75" customHeight="1" x14ac:dyDescent="0.3">
      <c r="A440" s="373"/>
      <c r="B440" s="374"/>
      <c r="C440" s="157"/>
      <c r="D440" s="375"/>
      <c r="E440" s="159"/>
      <c r="F440" s="159"/>
      <c r="G440" s="376" t="s">
        <v>131</v>
      </c>
      <c r="H440" s="161" t="s">
        <v>12</v>
      </c>
      <c r="I440" s="187"/>
      <c r="J440" s="187"/>
      <c r="K440" s="223"/>
      <c r="L440" s="168"/>
      <c r="M440" s="168"/>
      <c r="N440" s="377">
        <f ca="1">IFERROR(__xludf.DUMMYFUNCTION("IMPORTRANGE(""https://docs.google.com/spreadsheets/d/11923uPwbBZFjjGgGUA6NLw09EwE0CqkOc4q9oUmW1yo/edit?usp=sharing"",""ลำปาง!M335"")"),32200)</f>
        <v>32200</v>
      </c>
      <c r="O440" s="168"/>
      <c r="P440" s="168"/>
    </row>
    <row r="441" spans="1:16" ht="21.75" customHeight="1" x14ac:dyDescent="0.3">
      <c r="A441" s="373"/>
      <c r="B441" s="374"/>
      <c r="C441" s="157"/>
      <c r="D441" s="375"/>
      <c r="E441" s="159"/>
      <c r="F441" s="159"/>
      <c r="G441" s="376" t="s">
        <v>132</v>
      </c>
      <c r="H441" s="161" t="s">
        <v>12</v>
      </c>
      <c r="I441" s="187"/>
      <c r="J441" s="187"/>
      <c r="K441" s="223"/>
      <c r="L441" s="168"/>
      <c r="M441" s="168"/>
      <c r="N441" s="377">
        <f ca="1">IFERROR(__xludf.DUMMYFUNCTION("IMPORTRANGE(""https://docs.google.com/spreadsheets/d/11923uPwbBZFjjGgGUA6NLw09EwE0CqkOc4q9oUmW1yo/edit?usp=sharing"",""ลำปาง!M336"")"),0)</f>
        <v>0</v>
      </c>
      <c r="O441" s="168"/>
      <c r="P441" s="168"/>
    </row>
    <row r="442" spans="1:16" ht="21.75" customHeight="1" x14ac:dyDescent="0.3">
      <c r="A442" s="373"/>
      <c r="B442" s="374"/>
      <c r="C442" s="157"/>
      <c r="D442" s="375"/>
      <c r="E442" s="159"/>
      <c r="F442" s="159"/>
      <c r="G442" s="376" t="s">
        <v>133</v>
      </c>
      <c r="H442" s="161" t="s">
        <v>12</v>
      </c>
      <c r="I442" s="187"/>
      <c r="J442" s="187"/>
      <c r="K442" s="223"/>
      <c r="L442" s="168"/>
      <c r="M442" s="168"/>
      <c r="N442" s="377">
        <f ca="1">IFERROR(__xludf.DUMMYFUNCTION("IMPORTRANGE(""https://docs.google.com/spreadsheets/d/11923uPwbBZFjjGgGUA6NLw09EwE0CqkOc4q9oUmW1yo/edit?usp=sharing"",""ลำปาง!M337"")"),0)</f>
        <v>0</v>
      </c>
      <c r="O442" s="168"/>
      <c r="P442" s="168"/>
    </row>
    <row r="443" spans="1:16" ht="21.75" customHeight="1" x14ac:dyDescent="0.3">
      <c r="A443" s="373"/>
      <c r="B443" s="374"/>
      <c r="C443" s="157"/>
      <c r="D443" s="375"/>
      <c r="E443" s="159"/>
      <c r="F443" s="159"/>
      <c r="G443" s="376" t="s">
        <v>134</v>
      </c>
      <c r="H443" s="161" t="s">
        <v>12</v>
      </c>
      <c r="I443" s="187"/>
      <c r="J443" s="187"/>
      <c r="K443" s="223"/>
      <c r="L443" s="168"/>
      <c r="M443" s="168"/>
      <c r="N443" s="377">
        <f ca="1">IFERROR(__xludf.DUMMYFUNCTION("IMPORTRANGE(""https://docs.google.com/spreadsheets/d/11923uPwbBZFjjGgGUA6NLw09EwE0CqkOc4q9oUmW1yo/edit?usp=sharing"",""ลำปาง!M338"")"),13360.39)</f>
        <v>13360.39</v>
      </c>
      <c r="O443" s="168"/>
      <c r="P443" s="168"/>
    </row>
    <row r="444" spans="1:16" ht="21.75" customHeight="1" x14ac:dyDescent="0.3">
      <c r="A444" s="175"/>
      <c r="B444" s="176"/>
      <c r="C444" s="157" t="s">
        <v>16</v>
      </c>
      <c r="D444" s="177" t="s">
        <v>44</v>
      </c>
      <c r="E444" s="178"/>
      <c r="F444" s="178"/>
      <c r="G444" s="179"/>
      <c r="H444" s="180"/>
      <c r="I444" s="162"/>
      <c r="J444" s="162"/>
      <c r="K444" s="163"/>
      <c r="L444" s="181"/>
      <c r="M444" s="181"/>
      <c r="N444" s="181"/>
      <c r="O444" s="181"/>
      <c r="P444" s="181"/>
    </row>
    <row r="445" spans="1:16" ht="21.75" customHeight="1" x14ac:dyDescent="0.3">
      <c r="A445" s="175"/>
      <c r="B445" s="176"/>
      <c r="C445" s="176"/>
      <c r="D445" s="182">
        <v>1</v>
      </c>
      <c r="E445" s="183" t="s">
        <v>45</v>
      </c>
      <c r="F445" s="184"/>
      <c r="G445" s="185"/>
      <c r="H445" s="186"/>
      <c r="I445" s="187"/>
      <c r="J445" s="209">
        <f ca="1">IFERROR(__xludf.DUMMYFUNCTION("IMPORTRANGE(""https://docs.google.com/spreadsheets/d/11923uPwbBZFjjGgGUA6NLw09EwE0CqkOc4q9oUmW1yo/edit?usp=sharing"",""ลำปาง!J340"")"),0)</f>
        <v>0</v>
      </c>
      <c r="K445" s="163"/>
      <c r="L445" s="181"/>
      <c r="M445" s="181"/>
      <c r="N445" s="181"/>
      <c r="O445" s="181"/>
      <c r="P445" s="181"/>
    </row>
    <row r="446" spans="1:16" ht="21.75" customHeight="1" x14ac:dyDescent="0.3">
      <c r="A446" s="175"/>
      <c r="B446" s="176"/>
      <c r="C446" s="176"/>
      <c r="D446" s="189">
        <v>2</v>
      </c>
      <c r="E446" s="190" t="s">
        <v>46</v>
      </c>
      <c r="F446" s="191"/>
      <c r="G446" s="192"/>
      <c r="H446" s="186"/>
      <c r="I446" s="187"/>
      <c r="J446" s="411">
        <f ca="1">IFERROR(__xludf.DUMMYFUNCTION("IMPORTRANGE(""https://docs.google.com/spreadsheets/d/11923uPwbBZFjjGgGUA6NLw09EwE0CqkOc4q9oUmW1yo/edit?usp=sharing"",""ลำปาง!J341"")"),1)</f>
        <v>1</v>
      </c>
      <c r="K446" s="163"/>
      <c r="L446" s="181" t="s">
        <v>40</v>
      </c>
      <c r="M446" s="181"/>
      <c r="N446" s="181" t="s">
        <v>40</v>
      </c>
      <c r="O446" s="181"/>
      <c r="P446" s="181"/>
    </row>
    <row r="447" spans="1:16" ht="21.75" customHeight="1" x14ac:dyDescent="0.3">
      <c r="A447" s="175"/>
      <c r="B447" s="176"/>
      <c r="C447" s="176"/>
      <c r="D447" s="193"/>
      <c r="E447" s="194" t="s">
        <v>161</v>
      </c>
      <c r="F447" s="195"/>
      <c r="G447" s="196"/>
      <c r="H447" s="186"/>
      <c r="I447" s="187"/>
      <c r="J447" s="188">
        <f ca="1">IFERROR(__xludf.DUMMYFUNCTION("IMPORTRANGE(""https://docs.google.com/spreadsheets/d/11923uPwbBZFjjGgGUA6NLw09EwE0CqkOc4q9oUmW1yo/edit?usp=sharing"",""ลำปาง!J342"")"),1)</f>
        <v>1</v>
      </c>
      <c r="K447" s="163"/>
      <c r="L447" s="181"/>
      <c r="M447" s="181"/>
      <c r="N447" s="181"/>
      <c r="O447" s="181"/>
      <c r="P447" s="181"/>
    </row>
    <row r="448" spans="1:16" ht="21.75" customHeight="1" x14ac:dyDescent="0.3">
      <c r="A448" s="175"/>
      <c r="B448" s="176"/>
      <c r="C448" s="176"/>
      <c r="D448" s="193"/>
      <c r="E448" s="194" t="s">
        <v>48</v>
      </c>
      <c r="F448" s="195"/>
      <c r="G448" s="196"/>
      <c r="H448" s="186"/>
      <c r="I448" s="187"/>
      <c r="J448" s="188">
        <f ca="1">IFERROR(__xludf.DUMMYFUNCTION("IMPORTRANGE(""https://docs.google.com/spreadsheets/d/11923uPwbBZFjjGgGUA6NLw09EwE0CqkOc4q9oUmW1yo/edit?usp=sharing"",""ลำปาง!J343"")"),0)</f>
        <v>0</v>
      </c>
      <c r="K448" s="163"/>
      <c r="L448" s="181"/>
      <c r="M448" s="181"/>
      <c r="N448" s="181"/>
      <c r="O448" s="181"/>
      <c r="P448" s="181"/>
    </row>
    <row r="449" spans="1:16" ht="21.75" customHeight="1" x14ac:dyDescent="0.3">
      <c r="A449" s="175"/>
      <c r="B449" s="176"/>
      <c r="C449" s="176"/>
      <c r="D449" s="193"/>
      <c r="E449" s="198"/>
      <c r="F449" s="412" t="s">
        <v>101</v>
      </c>
      <c r="G449" s="196"/>
      <c r="H449" s="186" t="s">
        <v>37</v>
      </c>
      <c r="I449" s="389">
        <f ca="1">IFERROR(__xludf.DUMMYFUNCTION("IMPORTRANGE(""https://docs.google.com/spreadsheets/d/11923uPwbBZFjjGgGUA6NLw09EwE0CqkOc4q9oUmW1yo/edit?usp=sharing"",""ลำปาง!I344"")"),15)</f>
        <v>15</v>
      </c>
      <c r="J449" s="200">
        <f ca="1">IFERROR(__xludf.DUMMYFUNCTION("IMPORTRANGE(""https://docs.google.com/spreadsheets/d/11923uPwbBZFjjGgGUA6NLw09EwE0CqkOc4q9oUmW1yo/edit?usp=sharing"",""ลำปาง!J344"")"),15)</f>
        <v>15</v>
      </c>
      <c r="K449" s="163">
        <f t="shared" ref="K449:K452" ca="1" si="115">IF(I449&gt;0,J449*100/I449,0)</f>
        <v>100</v>
      </c>
      <c r="L449" s="181"/>
      <c r="M449" s="181"/>
      <c r="N449" s="181"/>
      <c r="O449" s="181"/>
      <c r="P449" s="181"/>
    </row>
    <row r="450" spans="1:16" ht="21.75" customHeight="1" x14ac:dyDescent="0.3">
      <c r="A450" s="175"/>
      <c r="B450" s="176"/>
      <c r="C450" s="176"/>
      <c r="D450" s="193"/>
      <c r="E450" s="198"/>
      <c r="F450" s="195"/>
      <c r="G450" s="225" t="s">
        <v>162</v>
      </c>
      <c r="H450" s="186" t="s">
        <v>37</v>
      </c>
      <c r="I450" s="339">
        <f ca="1">IFERROR(__xludf.DUMMYFUNCTION("IMPORTRANGE(""https://docs.google.com/spreadsheets/d/11923uPwbBZFjjGgGUA6NLw09EwE0CqkOc4q9oUmW1yo/edit?usp=sharing"",""ลำปาง!I345"")"),15)</f>
        <v>15</v>
      </c>
      <c r="J450" s="188">
        <f ca="1">IFERROR(__xludf.DUMMYFUNCTION("IMPORTRANGE(""https://docs.google.com/spreadsheets/d/11923uPwbBZFjjGgGUA6NLw09EwE0CqkOc4q9oUmW1yo/edit?usp=sharing"",""ลำปาง!J345"")"),15)</f>
        <v>15</v>
      </c>
      <c r="K450" s="163">
        <f t="shared" ca="1" si="115"/>
        <v>100</v>
      </c>
      <c r="L450" s="181"/>
      <c r="M450" s="181"/>
      <c r="N450" s="181"/>
      <c r="O450" s="181"/>
      <c r="P450" s="181"/>
    </row>
    <row r="451" spans="1:16" ht="21.75" customHeight="1" x14ac:dyDescent="0.3">
      <c r="A451" s="175"/>
      <c r="B451" s="176"/>
      <c r="C451" s="176"/>
      <c r="D451" s="193"/>
      <c r="E451" s="198"/>
      <c r="F451" s="195"/>
      <c r="G451" s="279" t="s">
        <v>163</v>
      </c>
      <c r="H451" s="186" t="s">
        <v>37</v>
      </c>
      <c r="I451" s="339">
        <f ca="1">IFERROR(__xludf.DUMMYFUNCTION("IMPORTRANGE(""https://docs.google.com/spreadsheets/d/11923uPwbBZFjjGgGUA6NLw09EwE0CqkOc4q9oUmW1yo/edit?usp=sharing"",""ลำปาง!I346"")"),0)</f>
        <v>0</v>
      </c>
      <c r="J451" s="187">
        <f ca="1">IFERROR(__xludf.DUMMYFUNCTION("IMPORTRANGE(""https://docs.google.com/spreadsheets/d/11923uPwbBZFjjGgGUA6NLw09EwE0CqkOc4q9oUmW1yo/edit?usp=sharing"",""ลำปาง!J346"")"),0)</f>
        <v>0</v>
      </c>
      <c r="K451" s="163">
        <f t="shared" ca="1" si="115"/>
        <v>0</v>
      </c>
      <c r="L451" s="181"/>
      <c r="M451" s="181"/>
      <c r="N451" s="181"/>
      <c r="O451" s="181"/>
      <c r="P451" s="181"/>
    </row>
    <row r="452" spans="1:16" ht="21.75" customHeight="1" x14ac:dyDescent="0.3">
      <c r="A452" s="175"/>
      <c r="B452" s="176"/>
      <c r="C452" s="176"/>
      <c r="D452" s="193"/>
      <c r="E452" s="198"/>
      <c r="F452" s="195"/>
      <c r="G452" s="196" t="s">
        <v>164</v>
      </c>
      <c r="H452" s="186" t="s">
        <v>37</v>
      </c>
      <c r="I452" s="187">
        <f ca="1">IFERROR(__xludf.DUMMYFUNCTION("IMPORTRANGE(""https://docs.google.com/spreadsheets/d/11923uPwbBZFjjGgGUA6NLw09EwE0CqkOc4q9oUmW1yo/edit?usp=sharing"",""ลำปาง!I347"")"),0)</f>
        <v>0</v>
      </c>
      <c r="J452" s="187">
        <f ca="1">IFERROR(__xludf.DUMMYFUNCTION("IMPORTRANGE(""https://docs.google.com/spreadsheets/d/11923uPwbBZFjjGgGUA6NLw09EwE0CqkOc4q9oUmW1yo/edit?usp=sharing"",""ลำปาง!J347"")"),0)</f>
        <v>0</v>
      </c>
      <c r="K452" s="163">
        <f t="shared" ca="1" si="115"/>
        <v>0</v>
      </c>
      <c r="L452" s="181"/>
      <c r="M452" s="181"/>
      <c r="N452" s="181"/>
      <c r="O452" s="181"/>
      <c r="P452" s="181"/>
    </row>
    <row r="453" spans="1:16" ht="21.75" customHeight="1" x14ac:dyDescent="0.3">
      <c r="A453" s="175"/>
      <c r="B453" s="176"/>
      <c r="C453" s="176"/>
      <c r="D453" s="193"/>
      <c r="E453" s="194" t="s">
        <v>54</v>
      </c>
      <c r="F453" s="195"/>
      <c r="G453" s="196"/>
      <c r="H453" s="186"/>
      <c r="I453" s="187"/>
      <c r="J453" s="197">
        <f ca="1">IFERROR(__xludf.DUMMYFUNCTION("IMPORTRANGE(""https://docs.google.com/spreadsheets/d/11923uPwbBZFjjGgGUA6NLw09EwE0CqkOc4q9oUmW1yo/edit?usp=sharing"",""ลำปาง!J348"")"),0)</f>
        <v>0</v>
      </c>
      <c r="K453" s="163"/>
      <c r="L453" s="181"/>
      <c r="M453" s="181"/>
      <c r="N453" s="181"/>
      <c r="O453" s="181"/>
      <c r="P453" s="181"/>
    </row>
    <row r="454" spans="1:16" ht="21.75" customHeight="1" x14ac:dyDescent="0.3">
      <c r="A454" s="175"/>
      <c r="B454" s="176"/>
      <c r="C454" s="176"/>
      <c r="D454" s="205">
        <v>3</v>
      </c>
      <c r="E454" s="206" t="s">
        <v>55</v>
      </c>
      <c r="F454" s="207"/>
      <c r="G454" s="208"/>
      <c r="H454" s="186"/>
      <c r="I454" s="187"/>
      <c r="J454" s="209">
        <f ca="1">IFERROR(__xludf.DUMMYFUNCTION("IMPORTRANGE(""https://docs.google.com/spreadsheets/d/11923uPwbBZFjjGgGUA6NLw09EwE0CqkOc4q9oUmW1yo/edit?usp=sharing"",""ลำปาง!J349"")"),0)</f>
        <v>0</v>
      </c>
      <c r="K454" s="163"/>
      <c r="L454" s="181"/>
      <c r="M454" s="181"/>
      <c r="N454" s="181"/>
      <c r="O454" s="181"/>
      <c r="P454" s="181"/>
    </row>
    <row r="455" spans="1:16" ht="21.75" customHeight="1" x14ac:dyDescent="0.3">
      <c r="A455" s="364"/>
      <c r="B455" s="365">
        <v>5</v>
      </c>
      <c r="C455" s="366" t="s">
        <v>165</v>
      </c>
      <c r="D455" s="366"/>
      <c r="E455" s="366"/>
      <c r="F455" s="366"/>
      <c r="G455" s="367"/>
      <c r="H455" s="368" t="s">
        <v>122</v>
      </c>
      <c r="I455" s="369">
        <f ca="1">IFERROR(__xludf.DUMMYFUNCTION("IMPORTRANGE(""https://docs.google.com/spreadsheets/d/11923uPwbBZFjjGgGUA6NLw09EwE0CqkOc4q9oUmW1yo/edit?usp=sharing"",""ลำปาง!I350"")"),44744)</f>
        <v>44744</v>
      </c>
      <c r="J455" s="369">
        <f ca="1">IFERROR(__xludf.DUMMYFUNCTION("IMPORTRANGE(""https://docs.google.com/spreadsheets/d/11923uPwbBZFjjGgGUA6NLw09EwE0CqkOc4q9oUmW1yo/edit?usp=sharing"",""ลำปาง!J350"")"),0)</f>
        <v>0</v>
      </c>
      <c r="K455" s="370">
        <f ca="1">IF(I455&gt;0,J455*100/I455,0)</f>
        <v>0</v>
      </c>
      <c r="L455" s="371">
        <f ca="1">IFERROR(__xludf.DUMMYFUNCTION("IMPORTRANGE(""https://docs.google.com/spreadsheets/d/11923uPwbBZFjjGgGUA6NLw09EwE0CqkOc4q9oUmW1yo/edit?usp=sharing"",""ลำปาง!L350"")"),615200)</f>
        <v>615200</v>
      </c>
      <c r="M455" s="371"/>
      <c r="N455" s="371">
        <f ca="1">IFERROR(__xludf.DUMMYFUNCTION("IMPORTRANGE(""https://docs.google.com/spreadsheets/d/11923uPwbBZFjjGgGUA6NLw09EwE0CqkOc4q9oUmW1yo/edit?usp=sharing"",""ลำปาง!M350"")"),69546.7)</f>
        <v>69546.7</v>
      </c>
      <c r="O455" s="371">
        <f t="shared" ref="O455:O459" ca="1" si="116">+IF(L455&gt;0,N455*100/L455,0)</f>
        <v>11.304730169050716</v>
      </c>
      <c r="P455" s="371"/>
    </row>
    <row r="456" spans="1:16" ht="21.75" customHeight="1" x14ac:dyDescent="0.3">
      <c r="A456" s="156"/>
      <c r="B456" s="157"/>
      <c r="C456" s="157" t="s">
        <v>16</v>
      </c>
      <c r="D456" s="158" t="s">
        <v>38</v>
      </c>
      <c r="E456" s="159"/>
      <c r="F456" s="159"/>
      <c r="G456" s="160" t="s">
        <v>39</v>
      </c>
      <c r="H456" s="161" t="s">
        <v>12</v>
      </c>
      <c r="I456" s="162" t="s">
        <v>40</v>
      </c>
      <c r="J456" s="162"/>
      <c r="K456" s="163"/>
      <c r="L456" s="164">
        <f ca="1">IFERROR(__xludf.DUMMYFUNCTION("IMPORTRANGE(""https://docs.google.com/spreadsheets/d/11923uPwbBZFjjGgGUA6NLw09EwE0CqkOc4q9oUmW1yo/edit?usp=sharing"",""ลำปาง!L351"")"),0)</f>
        <v>0</v>
      </c>
      <c r="M456" s="164"/>
      <c r="N456" s="168">
        <f ca="1">IFERROR(__xludf.DUMMYFUNCTION("IMPORTRANGE(""https://docs.google.com/spreadsheets/d/11923uPwbBZFjjGgGUA6NLw09EwE0CqkOc4q9oUmW1yo/edit?usp=sharing"",""ลำปาง!M351"")"),0)</f>
        <v>0</v>
      </c>
      <c r="O456" s="168">
        <f t="shared" ca="1" si="116"/>
        <v>0</v>
      </c>
      <c r="P456" s="168"/>
    </row>
    <row r="457" spans="1:16" ht="21.75" customHeight="1" x14ac:dyDescent="0.3">
      <c r="A457" s="156"/>
      <c r="B457" s="157"/>
      <c r="C457" s="157"/>
      <c r="D457" s="166"/>
      <c r="E457" s="159"/>
      <c r="F457" s="159" t="s">
        <v>40</v>
      </c>
      <c r="G457" s="160" t="s">
        <v>41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IFERROR(__xludf.DUMMYFUNCTION("IMPORTRANGE(""https://docs.google.com/spreadsheets/d/11923uPwbBZFjjGgGUA6NLw09EwE0CqkOc4q9oUmW1yo/edit?usp=sharing"",""ลำปาง!L352"")"),615200)</f>
        <v>615200</v>
      </c>
      <c r="M457" s="165"/>
      <c r="N457" s="168">
        <f ca="1">IFERROR(__xludf.DUMMYFUNCTION("IMPORTRANGE(""https://docs.google.com/spreadsheets/d/11923uPwbBZFjjGgGUA6NLw09EwE0CqkOc4q9oUmW1yo/edit?usp=sharing"",""ลำปาง!M352"")"),69546.7)</f>
        <v>69546.7</v>
      </c>
      <c r="O457" s="168">
        <f t="shared" ca="1" si="116"/>
        <v>11.304730169050716</v>
      </c>
      <c r="P457" s="168"/>
    </row>
    <row r="458" spans="1:16" ht="21.75" customHeight="1" x14ac:dyDescent="0.3">
      <c r="A458" s="156"/>
      <c r="B458" s="157"/>
      <c r="C458" s="157"/>
      <c r="D458" s="166"/>
      <c r="E458" s="159"/>
      <c r="F458" s="159"/>
      <c r="G458" s="372" t="s">
        <v>129</v>
      </c>
      <c r="H458" s="161" t="s">
        <v>12</v>
      </c>
      <c r="I458" s="162"/>
      <c r="J458" s="162"/>
      <c r="K458" s="163"/>
      <c r="L458" s="168">
        <f ca="1">IFERROR(__xludf.DUMMYFUNCTION("IMPORTRANGE(""https://docs.google.com/spreadsheets/d/11923uPwbBZFjjGgGUA6NLw09EwE0CqkOc4q9oUmW1yo/edit?usp=sharing"",""ลำปาง!L353"")"),0)</f>
        <v>0</v>
      </c>
      <c r="M458" s="168"/>
      <c r="N458" s="168">
        <f ca="1">IFERROR(__xludf.DUMMYFUNCTION("IMPORTRANGE(""https://docs.google.com/spreadsheets/d/11923uPwbBZFjjGgGUA6NLw09EwE0CqkOc4q9oUmW1yo/edit?usp=sharing"",""ลำปาง!M353"")"),0)</f>
        <v>0</v>
      </c>
      <c r="O458" s="168">
        <f t="shared" ca="1" si="116"/>
        <v>0</v>
      </c>
      <c r="P458" s="168"/>
    </row>
    <row r="459" spans="1:16" ht="21.75" customHeight="1" x14ac:dyDescent="0.3">
      <c r="A459" s="156"/>
      <c r="B459" s="157"/>
      <c r="C459" s="157"/>
      <c r="D459" s="166"/>
      <c r="E459" s="159"/>
      <c r="F459" s="159"/>
      <c r="G459" s="372" t="s">
        <v>130</v>
      </c>
      <c r="H459" s="161" t="s">
        <v>12</v>
      </c>
      <c r="I459" s="162"/>
      <c r="J459" s="162"/>
      <c r="K459" s="163"/>
      <c r="L459" s="168">
        <f ca="1">IFERROR(__xludf.DUMMYFUNCTION("IMPORTRANGE(""https://docs.google.com/spreadsheets/d/11923uPwbBZFjjGgGUA6NLw09EwE0CqkOc4q9oUmW1yo/edit?usp=sharing"",""ลำปาง!L354"")"),615200)</f>
        <v>615200</v>
      </c>
      <c r="M459" s="168"/>
      <c r="N459" s="168">
        <f ca="1">IFERROR(__xludf.DUMMYFUNCTION("IMPORTRANGE(""https://docs.google.com/spreadsheets/d/11923uPwbBZFjjGgGUA6NLw09EwE0CqkOc4q9oUmW1yo/edit?usp=sharing"",""ลำปาง!M354"")"),69546.7)</f>
        <v>69546.7</v>
      </c>
      <c r="O459" s="168">
        <f t="shared" ca="1" si="116"/>
        <v>11.304730169050716</v>
      </c>
      <c r="P459" s="168"/>
    </row>
    <row r="460" spans="1:16" ht="21.75" customHeight="1" x14ac:dyDescent="0.3">
      <c r="A460" s="373"/>
      <c r="B460" s="374"/>
      <c r="C460" s="157"/>
      <c r="D460" s="375"/>
      <c r="E460" s="159"/>
      <c r="F460" s="159"/>
      <c r="G460" s="376" t="s">
        <v>131</v>
      </c>
      <c r="H460" s="161" t="s">
        <v>12</v>
      </c>
      <c r="I460" s="187"/>
      <c r="J460" s="187"/>
      <c r="K460" s="223"/>
      <c r="L460" s="168"/>
      <c r="M460" s="168"/>
      <c r="N460" s="167">
        <f ca="1">IFERROR(__xludf.DUMMYFUNCTION("IMPORTRANGE(""https://docs.google.com/spreadsheets/d/11923uPwbBZFjjGgGUA6NLw09EwE0CqkOc4q9oUmW1yo/edit?usp=sharing"",""ลำปาง!M355"")"),0)</f>
        <v>0</v>
      </c>
      <c r="O460" s="168"/>
      <c r="P460" s="168"/>
    </row>
    <row r="461" spans="1:16" ht="21.75" customHeight="1" x14ac:dyDescent="0.3">
      <c r="A461" s="373"/>
      <c r="B461" s="374"/>
      <c r="C461" s="157"/>
      <c r="D461" s="375"/>
      <c r="E461" s="159"/>
      <c r="F461" s="159"/>
      <c r="G461" s="376" t="s">
        <v>132</v>
      </c>
      <c r="H461" s="161" t="s">
        <v>12</v>
      </c>
      <c r="I461" s="187"/>
      <c r="J461" s="187"/>
      <c r="K461" s="223"/>
      <c r="L461" s="168"/>
      <c r="M461" s="168"/>
      <c r="N461" s="167">
        <f ca="1">IFERROR(__xludf.DUMMYFUNCTION("IMPORTRANGE(""https://docs.google.com/spreadsheets/d/11923uPwbBZFjjGgGUA6NLw09EwE0CqkOc4q9oUmW1yo/edit?usp=sharing"",""ลำปาง!M356"")"),0)</f>
        <v>0</v>
      </c>
      <c r="O461" s="168"/>
      <c r="P461" s="168"/>
    </row>
    <row r="462" spans="1:16" ht="21.75" customHeight="1" x14ac:dyDescent="0.3">
      <c r="A462" s="373"/>
      <c r="B462" s="374"/>
      <c r="C462" s="157"/>
      <c r="D462" s="375"/>
      <c r="E462" s="159"/>
      <c r="F462" s="159"/>
      <c r="G462" s="376" t="s">
        <v>133</v>
      </c>
      <c r="H462" s="161" t="s">
        <v>12</v>
      </c>
      <c r="I462" s="187"/>
      <c r="J462" s="187"/>
      <c r="K462" s="223"/>
      <c r="L462" s="168"/>
      <c r="M462" s="168"/>
      <c r="N462" s="377">
        <f ca="1">IFERROR(__xludf.DUMMYFUNCTION("IMPORTRANGE(""https://docs.google.com/spreadsheets/d/11923uPwbBZFjjGgGUA6NLw09EwE0CqkOc4q9oUmW1yo/edit?usp=sharing"",""ลำปาง!M357"")"),31166.7)</f>
        <v>31166.7</v>
      </c>
      <c r="O462" s="168"/>
      <c r="P462" s="168"/>
    </row>
    <row r="463" spans="1:16" ht="21.75" customHeight="1" x14ac:dyDescent="0.3">
      <c r="A463" s="373"/>
      <c r="B463" s="374"/>
      <c r="C463" s="157"/>
      <c r="D463" s="375"/>
      <c r="E463" s="159"/>
      <c r="F463" s="159"/>
      <c r="G463" s="376" t="s">
        <v>134</v>
      </c>
      <c r="H463" s="161" t="s">
        <v>12</v>
      </c>
      <c r="I463" s="187"/>
      <c r="J463" s="187"/>
      <c r="K463" s="223"/>
      <c r="L463" s="168"/>
      <c r="M463" s="168"/>
      <c r="N463" s="377">
        <f ca="1">IFERROR(__xludf.DUMMYFUNCTION("IMPORTRANGE(""https://docs.google.com/spreadsheets/d/11923uPwbBZFjjGgGUA6NLw09EwE0CqkOc4q9oUmW1yo/edit?usp=sharing"",""ลำปาง!M358"")"),38380)</f>
        <v>38380</v>
      </c>
      <c r="O463" s="168"/>
      <c r="P463" s="168"/>
    </row>
    <row r="464" spans="1:16" ht="21.75" customHeight="1" x14ac:dyDescent="0.3">
      <c r="A464" s="175"/>
      <c r="B464" s="176"/>
      <c r="C464" s="413" t="s">
        <v>166</v>
      </c>
      <c r="D464" s="413"/>
      <c r="E464" s="414"/>
      <c r="F464" s="414"/>
      <c r="G464" s="415"/>
      <c r="H464" s="265" t="s">
        <v>122</v>
      </c>
      <c r="I464" s="266">
        <f ca="1">IFERROR(__xludf.DUMMYFUNCTION("IMPORTRANGE(""https://docs.google.com/spreadsheets/d/11923uPwbBZFjjGgGUA6NLw09EwE0CqkOc4q9oUmW1yo/edit?usp=sharing"",""ลำปาง!I359"")"),44744)</f>
        <v>44744</v>
      </c>
      <c r="J464" s="266">
        <f ca="1">IFERROR(__xludf.DUMMYFUNCTION("IMPORTRANGE(""https://docs.google.com/spreadsheets/d/11923uPwbBZFjjGgGUA6NLw09EwE0CqkOc4q9oUmW1yo/edit?usp=sharing"",""ลำปาง!J359"")"),0)</f>
        <v>0</v>
      </c>
      <c r="K464" s="267">
        <f t="shared" ref="K464:K515" ca="1" si="117">IF(I464&gt;0,J464*100/I464,0)</f>
        <v>0</v>
      </c>
      <c r="L464" s="290"/>
      <c r="M464" s="290"/>
      <c r="N464" s="290"/>
      <c r="O464" s="290"/>
      <c r="P464" s="290"/>
    </row>
    <row r="465" spans="1:16" ht="21.75" customHeight="1" x14ac:dyDescent="0.3">
      <c r="A465" s="400"/>
      <c r="B465" s="401"/>
      <c r="C465" s="401"/>
      <c r="D465" s="402"/>
      <c r="E465" s="193" t="s">
        <v>167</v>
      </c>
      <c r="F465" s="195"/>
      <c r="G465" s="196"/>
      <c r="H465" s="416" t="s">
        <v>122</v>
      </c>
      <c r="I465" s="417">
        <f ca="1">IFERROR(__xludf.DUMMYFUNCTION("IMPORTRANGE(""https://docs.google.com/spreadsheets/d/11923uPwbBZFjjGgGUA6NLw09EwE0CqkOc4q9oUmW1yo/edit?usp=sharing"",""ลำปาง!I360"")"),44744)</f>
        <v>44744</v>
      </c>
      <c r="J465" s="418">
        <f ca="1">IFERROR(__xludf.DUMMYFUNCTION("IMPORTRANGE(""https://docs.google.com/spreadsheets/d/11923uPwbBZFjjGgGUA6NLw09EwE0CqkOc4q9oUmW1yo/edit?usp=sharing"",""ลำปาง!J360"")"),17220)</f>
        <v>17220</v>
      </c>
      <c r="K465" s="201">
        <f t="shared" ca="1" si="117"/>
        <v>38.485607008760951</v>
      </c>
      <c r="L465" s="181"/>
      <c r="M465" s="181"/>
      <c r="N465" s="181"/>
      <c r="O465" s="181"/>
      <c r="P465" s="181"/>
    </row>
    <row r="466" spans="1:16" ht="21.75" customHeight="1" x14ac:dyDescent="0.3">
      <c r="A466" s="400"/>
      <c r="B466" s="401"/>
      <c r="C466" s="401"/>
      <c r="D466" s="402"/>
      <c r="E466" s="195"/>
      <c r="F466" s="195"/>
      <c r="G466" s="196"/>
      <c r="H466" s="416" t="s">
        <v>36</v>
      </c>
      <c r="I466" s="417">
        <f ca="1">IFERROR(__xludf.DUMMYFUNCTION("IMPORTRANGE(""https://docs.google.com/spreadsheets/d/11923uPwbBZFjjGgGUA6NLw09EwE0CqkOc4q9oUmW1yo/edit?usp=sharing"",""ลำปาง!I361"")"),10122)</f>
        <v>10122</v>
      </c>
      <c r="J466" s="418">
        <f ca="1">IFERROR(__xludf.DUMMYFUNCTION("IMPORTRANGE(""https://docs.google.com/spreadsheets/d/11923uPwbBZFjjGgGUA6NLw09EwE0CqkOc4q9oUmW1yo/edit?usp=sharing"",""ลำปาง!J361"")"),3016)</f>
        <v>3016</v>
      </c>
      <c r="K466" s="201">
        <f t="shared" ca="1" si="117"/>
        <v>29.796482908516104</v>
      </c>
      <c r="L466" s="181"/>
      <c r="M466" s="181"/>
      <c r="N466" s="181"/>
      <c r="O466" s="181"/>
      <c r="P466" s="181"/>
    </row>
    <row r="467" spans="1:16" ht="21.75" customHeight="1" x14ac:dyDescent="0.3">
      <c r="A467" s="400"/>
      <c r="B467" s="401"/>
      <c r="C467" s="401"/>
      <c r="D467" s="402"/>
      <c r="E467" s="195"/>
      <c r="F467" s="388" t="s">
        <v>168</v>
      </c>
      <c r="G467" s="419"/>
      <c r="H467" s="420" t="s">
        <v>122</v>
      </c>
      <c r="I467" s="202">
        <f ca="1">IFERROR(__xludf.DUMMYFUNCTION("IMPORTRANGE(""https://docs.google.com/spreadsheets/d/11923uPwbBZFjjGgGUA6NLw09EwE0CqkOc4q9oUmW1yo/edit?usp=sharing"",""ลำปาง!I362"")"),0)</f>
        <v>0</v>
      </c>
      <c r="J467" s="188">
        <f ca="1">IFERROR(__xludf.DUMMYFUNCTION("IMPORTRANGE(""https://docs.google.com/spreadsheets/d/11923uPwbBZFjjGgGUA6NLw09EwE0CqkOc4q9oUmW1yo/edit?usp=sharing"",""ลำปาง!J362"")"),14069)</f>
        <v>14069</v>
      </c>
      <c r="K467" s="163">
        <f t="shared" ca="1" si="117"/>
        <v>0</v>
      </c>
      <c r="L467" s="181"/>
      <c r="M467" s="181"/>
      <c r="N467" s="181"/>
      <c r="O467" s="181"/>
      <c r="P467" s="181"/>
    </row>
    <row r="468" spans="1:16" ht="21.75" customHeight="1" x14ac:dyDescent="0.3">
      <c r="A468" s="400"/>
      <c r="B468" s="401"/>
      <c r="C468" s="401"/>
      <c r="D468" s="402"/>
      <c r="E468" s="195"/>
      <c r="F468" s="195"/>
      <c r="G468" s="419"/>
      <c r="H468" s="420" t="s">
        <v>36</v>
      </c>
      <c r="I468" s="202">
        <f ca="1">IFERROR(__xludf.DUMMYFUNCTION("IMPORTRANGE(""https://docs.google.com/spreadsheets/d/11923uPwbBZFjjGgGUA6NLw09EwE0CqkOc4q9oUmW1yo/edit?usp=sharing"",""ลำปาง!I363"")"),0)</f>
        <v>0</v>
      </c>
      <c r="J468" s="188">
        <f ca="1">IFERROR(__xludf.DUMMYFUNCTION("IMPORTRANGE(""https://docs.google.com/spreadsheets/d/11923uPwbBZFjjGgGUA6NLw09EwE0CqkOc4q9oUmW1yo/edit?usp=sharing"",""ลำปาง!J363"")"),2578)</f>
        <v>2578</v>
      </c>
      <c r="K468" s="163">
        <f t="shared" ca="1" si="117"/>
        <v>0</v>
      </c>
      <c r="L468" s="181"/>
      <c r="M468" s="181"/>
      <c r="N468" s="181"/>
      <c r="O468" s="181"/>
      <c r="P468" s="181"/>
    </row>
    <row r="469" spans="1:16" ht="21.75" customHeight="1" x14ac:dyDescent="0.3">
      <c r="A469" s="400"/>
      <c r="B469" s="401"/>
      <c r="C469" s="401"/>
      <c r="D469" s="402"/>
      <c r="E469" s="195"/>
      <c r="F469" s="388" t="s">
        <v>169</v>
      </c>
      <c r="G469" s="419"/>
      <c r="H469" s="420" t="s">
        <v>122</v>
      </c>
      <c r="I469" s="202">
        <f ca="1">IFERROR(__xludf.DUMMYFUNCTION("IMPORTRANGE(""https://docs.google.com/spreadsheets/d/11923uPwbBZFjjGgGUA6NLw09EwE0CqkOc4q9oUmW1yo/edit?usp=sharing"",""ลำปาง!I364"")"),0)</f>
        <v>0</v>
      </c>
      <c r="J469" s="188">
        <f ca="1">IFERROR(__xludf.DUMMYFUNCTION("IMPORTRANGE(""https://docs.google.com/spreadsheets/d/11923uPwbBZFjjGgGUA6NLw09EwE0CqkOc4q9oUmW1yo/edit?usp=sharing"",""ลำปาง!J364"")"),2438)</f>
        <v>2438</v>
      </c>
      <c r="K469" s="163">
        <f t="shared" ca="1" si="117"/>
        <v>0</v>
      </c>
      <c r="L469" s="181"/>
      <c r="M469" s="181"/>
      <c r="N469" s="181"/>
      <c r="O469" s="181"/>
      <c r="P469" s="181"/>
    </row>
    <row r="470" spans="1:16" ht="21.75" customHeight="1" x14ac:dyDescent="0.3">
      <c r="A470" s="400"/>
      <c r="B470" s="401"/>
      <c r="C470" s="401"/>
      <c r="D470" s="402"/>
      <c r="E470" s="195"/>
      <c r="F470" s="195"/>
      <c r="G470" s="419"/>
      <c r="H470" s="420" t="s">
        <v>36</v>
      </c>
      <c r="I470" s="202">
        <f ca="1">IFERROR(__xludf.DUMMYFUNCTION("IMPORTRANGE(""https://docs.google.com/spreadsheets/d/11923uPwbBZFjjGgGUA6NLw09EwE0CqkOc4q9oUmW1yo/edit?usp=sharing"",""ลำปาง!I365"")"),0)</f>
        <v>0</v>
      </c>
      <c r="J470" s="188">
        <f ca="1">IFERROR(__xludf.DUMMYFUNCTION("IMPORTRANGE(""https://docs.google.com/spreadsheets/d/11923uPwbBZFjjGgGUA6NLw09EwE0CqkOc4q9oUmW1yo/edit?usp=sharing"",""ลำปาง!J365"")"),314)</f>
        <v>314</v>
      </c>
      <c r="K470" s="163">
        <f t="shared" ca="1" si="117"/>
        <v>0</v>
      </c>
      <c r="L470" s="181"/>
      <c r="M470" s="181"/>
      <c r="N470" s="181"/>
      <c r="O470" s="181"/>
      <c r="P470" s="181"/>
    </row>
    <row r="471" spans="1:16" ht="21.75" customHeight="1" x14ac:dyDescent="0.3">
      <c r="A471" s="400"/>
      <c r="B471" s="401"/>
      <c r="C471" s="401"/>
      <c r="D471" s="402"/>
      <c r="E471" s="195"/>
      <c r="F471" s="388" t="s">
        <v>170</v>
      </c>
      <c r="G471" s="419"/>
      <c r="H471" s="420" t="s">
        <v>122</v>
      </c>
      <c r="I471" s="202">
        <f ca="1">IFERROR(__xludf.DUMMYFUNCTION("IMPORTRANGE(""https://docs.google.com/spreadsheets/d/11923uPwbBZFjjGgGUA6NLw09EwE0CqkOc4q9oUmW1yo/edit?usp=sharing"",""ลำปาง!I366"")"),0)</f>
        <v>0</v>
      </c>
      <c r="J471" s="188">
        <f ca="1">IFERROR(__xludf.DUMMYFUNCTION("IMPORTRANGE(""https://docs.google.com/spreadsheets/d/11923uPwbBZFjjGgGUA6NLw09EwE0CqkOc4q9oUmW1yo/edit?usp=sharing"",""ลำปาง!J366"")"),713)</f>
        <v>713</v>
      </c>
      <c r="K471" s="163">
        <f t="shared" ca="1" si="117"/>
        <v>0</v>
      </c>
      <c r="L471" s="181"/>
      <c r="M471" s="181"/>
      <c r="N471" s="181"/>
      <c r="O471" s="181"/>
      <c r="P471" s="181"/>
    </row>
    <row r="472" spans="1:16" ht="21.75" customHeight="1" x14ac:dyDescent="0.3">
      <c r="A472" s="400"/>
      <c r="B472" s="401"/>
      <c r="C472" s="401"/>
      <c r="D472" s="402"/>
      <c r="E472" s="195"/>
      <c r="F472" s="195"/>
      <c r="G472" s="195"/>
      <c r="H472" s="420" t="s">
        <v>36</v>
      </c>
      <c r="I472" s="202">
        <f ca="1">IFERROR(__xludf.DUMMYFUNCTION("IMPORTRANGE(""https://docs.google.com/spreadsheets/d/11923uPwbBZFjjGgGUA6NLw09EwE0CqkOc4q9oUmW1yo/edit?usp=sharing"",""ลำปาง!I367"")"),0)</f>
        <v>0</v>
      </c>
      <c r="J472" s="188">
        <f ca="1">IFERROR(__xludf.DUMMYFUNCTION("IMPORTRANGE(""https://docs.google.com/spreadsheets/d/11923uPwbBZFjjGgGUA6NLw09EwE0CqkOc4q9oUmW1yo/edit?usp=sharing"",""ลำปาง!J367"")"),124)</f>
        <v>124</v>
      </c>
      <c r="K472" s="163">
        <f t="shared" ca="1" si="117"/>
        <v>0</v>
      </c>
      <c r="L472" s="181"/>
      <c r="M472" s="181"/>
      <c r="N472" s="181"/>
      <c r="O472" s="181"/>
      <c r="P472" s="181"/>
    </row>
    <row r="473" spans="1:16" ht="21.75" customHeight="1" x14ac:dyDescent="0.3">
      <c r="A473" s="400"/>
      <c r="B473" s="401"/>
      <c r="C473" s="401"/>
      <c r="D473" s="402"/>
      <c r="E473" s="289" t="s">
        <v>171</v>
      </c>
      <c r="F473" s="195"/>
      <c r="G473" s="196"/>
      <c r="H473" s="416" t="s">
        <v>122</v>
      </c>
      <c r="I473" s="418">
        <f ca="1">IFERROR(__xludf.DUMMYFUNCTION("IMPORTRANGE(""https://docs.google.com/spreadsheets/d/11923uPwbBZFjjGgGUA6NLw09EwE0CqkOc4q9oUmW1yo/edit?usp=sharing"",""ลำปาง!I368"")"),44744)</f>
        <v>44744</v>
      </c>
      <c r="J473" s="418">
        <f ca="1">IFERROR(__xludf.DUMMYFUNCTION("IMPORTRANGE(""https://docs.google.com/spreadsheets/d/11923uPwbBZFjjGgGUA6NLw09EwE0CqkOc4q9oUmW1yo/edit?usp=sharing"",""ลำปาง!J368"")"),0)</f>
        <v>0</v>
      </c>
      <c r="K473" s="201">
        <f t="shared" ca="1" si="117"/>
        <v>0</v>
      </c>
      <c r="L473" s="181"/>
      <c r="M473" s="181"/>
      <c r="N473" s="181"/>
      <c r="O473" s="181"/>
      <c r="P473" s="181"/>
    </row>
    <row r="474" spans="1:16" ht="21.75" customHeight="1" x14ac:dyDescent="0.3">
      <c r="A474" s="400"/>
      <c r="B474" s="401"/>
      <c r="C474" s="401"/>
      <c r="D474" s="402"/>
      <c r="E474" s="195"/>
      <c r="F474" s="195"/>
      <c r="G474" s="196"/>
      <c r="H474" s="416" t="s">
        <v>36</v>
      </c>
      <c r="I474" s="417">
        <f ca="1">IFERROR(__xludf.DUMMYFUNCTION("IMPORTRANGE(""https://docs.google.com/spreadsheets/d/11923uPwbBZFjjGgGUA6NLw09EwE0CqkOc4q9oUmW1yo/edit?usp=sharing"",""ลำปาง!I369"")"),10122)</f>
        <v>10122</v>
      </c>
      <c r="J474" s="418">
        <f ca="1">IFERROR(__xludf.DUMMYFUNCTION("IMPORTRANGE(""https://docs.google.com/spreadsheets/d/11923uPwbBZFjjGgGUA6NLw09EwE0CqkOc4q9oUmW1yo/edit?usp=sharing"",""ลำปาง!J369"")"),0)</f>
        <v>0</v>
      </c>
      <c r="K474" s="163">
        <f t="shared" ca="1" si="117"/>
        <v>0</v>
      </c>
      <c r="L474" s="181"/>
      <c r="M474" s="181"/>
      <c r="N474" s="181"/>
      <c r="O474" s="181"/>
      <c r="P474" s="181"/>
    </row>
    <row r="475" spans="1:16" ht="21.75" customHeight="1" x14ac:dyDescent="0.3">
      <c r="A475" s="400"/>
      <c r="B475" s="401"/>
      <c r="C475" s="401"/>
      <c r="D475" s="402"/>
      <c r="E475" s="195"/>
      <c r="F475" s="194" t="s">
        <v>172</v>
      </c>
      <c r="G475" s="419"/>
      <c r="H475" s="420" t="s">
        <v>122</v>
      </c>
      <c r="I475" s="202">
        <f ca="1">IFERROR(__xludf.DUMMYFUNCTION("IMPORTRANGE(""https://docs.google.com/spreadsheets/d/11923uPwbBZFjjGgGUA6NLw09EwE0CqkOc4q9oUmW1yo/edit?usp=sharing"",""ลำปาง!I370"")"),0)</f>
        <v>0</v>
      </c>
      <c r="J475" s="188">
        <f ca="1">IFERROR(__xludf.DUMMYFUNCTION("IMPORTRANGE(""https://docs.google.com/spreadsheets/d/11923uPwbBZFjjGgGUA6NLw09EwE0CqkOc4q9oUmW1yo/edit?usp=sharing"",""ลำปาง!J370"")"),0)</f>
        <v>0</v>
      </c>
      <c r="K475" s="163">
        <f t="shared" ca="1" si="117"/>
        <v>0</v>
      </c>
      <c r="L475" s="181"/>
      <c r="M475" s="181"/>
      <c r="N475" s="181"/>
      <c r="O475" s="181"/>
      <c r="P475" s="181"/>
    </row>
    <row r="476" spans="1:16" ht="21.75" customHeight="1" x14ac:dyDescent="0.3">
      <c r="A476" s="400"/>
      <c r="B476" s="401"/>
      <c r="C476" s="401"/>
      <c r="D476" s="402"/>
      <c r="E476" s="195"/>
      <c r="F476" s="195"/>
      <c r="G476" s="419"/>
      <c r="H476" s="420" t="s">
        <v>36</v>
      </c>
      <c r="I476" s="202">
        <f ca="1">IFERROR(__xludf.DUMMYFUNCTION("IMPORTRANGE(""https://docs.google.com/spreadsheets/d/11923uPwbBZFjjGgGUA6NLw09EwE0CqkOc4q9oUmW1yo/edit?usp=sharing"",""ลำปาง!I371"")"),0)</f>
        <v>0</v>
      </c>
      <c r="J476" s="188">
        <f ca="1">IFERROR(__xludf.DUMMYFUNCTION("IMPORTRANGE(""https://docs.google.com/spreadsheets/d/11923uPwbBZFjjGgGUA6NLw09EwE0CqkOc4q9oUmW1yo/edit?usp=sharing"",""ลำปาง!J371"")"),0)</f>
        <v>0</v>
      </c>
      <c r="K476" s="163">
        <f t="shared" ca="1" si="117"/>
        <v>0</v>
      </c>
      <c r="L476" s="181"/>
      <c r="M476" s="181"/>
      <c r="N476" s="181"/>
      <c r="O476" s="181"/>
      <c r="P476" s="181"/>
    </row>
    <row r="477" spans="1:16" ht="21.75" customHeight="1" x14ac:dyDescent="0.3">
      <c r="A477" s="400"/>
      <c r="B477" s="401"/>
      <c r="C477" s="401"/>
      <c r="D477" s="402"/>
      <c r="E477" s="195"/>
      <c r="F477" s="194" t="s">
        <v>173</v>
      </c>
      <c r="G477" s="419"/>
      <c r="H477" s="420" t="s">
        <v>122</v>
      </c>
      <c r="I477" s="202">
        <f ca="1">IFERROR(__xludf.DUMMYFUNCTION("IMPORTRANGE(""https://docs.google.com/spreadsheets/d/11923uPwbBZFjjGgGUA6NLw09EwE0CqkOc4q9oUmW1yo/edit?usp=sharing"",""ลำปาง!I372"")"),0)</f>
        <v>0</v>
      </c>
      <c r="J477" s="188">
        <f ca="1">IFERROR(__xludf.DUMMYFUNCTION("IMPORTRANGE(""https://docs.google.com/spreadsheets/d/11923uPwbBZFjjGgGUA6NLw09EwE0CqkOc4q9oUmW1yo/edit?usp=sharing"",""ลำปาง!J372"")"),0)</f>
        <v>0</v>
      </c>
      <c r="K477" s="163">
        <f t="shared" ca="1" si="117"/>
        <v>0</v>
      </c>
      <c r="L477" s="181"/>
      <c r="M477" s="181"/>
      <c r="N477" s="181"/>
      <c r="O477" s="181"/>
      <c r="P477" s="181"/>
    </row>
    <row r="478" spans="1:16" ht="21.75" customHeight="1" x14ac:dyDescent="0.3">
      <c r="A478" s="400"/>
      <c r="B478" s="401"/>
      <c r="C478" s="401"/>
      <c r="D478" s="402"/>
      <c r="E478" s="195"/>
      <c r="F478" s="195"/>
      <c r="G478" s="419"/>
      <c r="H478" s="420" t="s">
        <v>36</v>
      </c>
      <c r="I478" s="202">
        <f ca="1">IFERROR(__xludf.DUMMYFUNCTION("IMPORTRANGE(""https://docs.google.com/spreadsheets/d/11923uPwbBZFjjGgGUA6NLw09EwE0CqkOc4q9oUmW1yo/edit?usp=sharing"",""ลำปาง!I373"")"),0)</f>
        <v>0</v>
      </c>
      <c r="J478" s="188">
        <f ca="1">IFERROR(__xludf.DUMMYFUNCTION("IMPORTRANGE(""https://docs.google.com/spreadsheets/d/11923uPwbBZFjjGgGUA6NLw09EwE0CqkOc4q9oUmW1yo/edit?usp=sharing"",""ลำปาง!J373"")"),0)</f>
        <v>0</v>
      </c>
      <c r="K478" s="163">
        <f t="shared" ca="1" si="117"/>
        <v>0</v>
      </c>
      <c r="L478" s="181"/>
      <c r="M478" s="181"/>
      <c r="N478" s="181"/>
      <c r="O478" s="181"/>
      <c r="P478" s="181"/>
    </row>
    <row r="479" spans="1:16" ht="21.75" customHeight="1" x14ac:dyDescent="0.3">
      <c r="A479" s="400"/>
      <c r="B479" s="401"/>
      <c r="C479" s="401"/>
      <c r="D479" s="402"/>
      <c r="E479" s="195"/>
      <c r="F479" s="194" t="s">
        <v>174</v>
      </c>
      <c r="G479" s="419"/>
      <c r="H479" s="420" t="s">
        <v>122</v>
      </c>
      <c r="I479" s="202">
        <f ca="1">IFERROR(__xludf.DUMMYFUNCTION("IMPORTRANGE(""https://docs.google.com/spreadsheets/d/11923uPwbBZFjjGgGUA6NLw09EwE0CqkOc4q9oUmW1yo/edit?usp=sharing"",""ลำปาง!I374"")"),0)</f>
        <v>0</v>
      </c>
      <c r="J479" s="188">
        <f ca="1">IFERROR(__xludf.DUMMYFUNCTION("IMPORTRANGE(""https://docs.google.com/spreadsheets/d/11923uPwbBZFjjGgGUA6NLw09EwE0CqkOc4q9oUmW1yo/edit?usp=sharing"",""ลำปาง!J374"")"),0)</f>
        <v>0</v>
      </c>
      <c r="K479" s="163">
        <f t="shared" ca="1" si="117"/>
        <v>0</v>
      </c>
      <c r="L479" s="181"/>
      <c r="M479" s="181"/>
      <c r="N479" s="181"/>
      <c r="O479" s="181"/>
      <c r="P479" s="181"/>
    </row>
    <row r="480" spans="1:16" ht="21.75" customHeight="1" x14ac:dyDescent="0.3">
      <c r="A480" s="400"/>
      <c r="B480" s="401"/>
      <c r="C480" s="401"/>
      <c r="D480" s="402"/>
      <c r="E480" s="195"/>
      <c r="F480" s="195"/>
      <c r="G480" s="196"/>
      <c r="H480" s="420" t="s">
        <v>36</v>
      </c>
      <c r="I480" s="202">
        <f ca="1">IFERROR(__xludf.DUMMYFUNCTION("IMPORTRANGE(""https://docs.google.com/spreadsheets/d/11923uPwbBZFjjGgGUA6NLw09EwE0CqkOc4q9oUmW1yo/edit?usp=sharing"",""ลำปาง!I375"")"),0)</f>
        <v>0</v>
      </c>
      <c r="J480" s="188">
        <f ca="1">IFERROR(__xludf.DUMMYFUNCTION("IMPORTRANGE(""https://docs.google.com/spreadsheets/d/11923uPwbBZFjjGgGUA6NLw09EwE0CqkOc4q9oUmW1yo/edit?usp=sharing"",""ลำปาง!J375"")"),0)</f>
        <v>0</v>
      </c>
      <c r="K480" s="163">
        <f t="shared" ca="1" si="117"/>
        <v>0</v>
      </c>
      <c r="L480" s="181"/>
      <c r="M480" s="181"/>
      <c r="N480" s="181"/>
      <c r="O480" s="181"/>
      <c r="P480" s="181"/>
    </row>
    <row r="481" spans="1:16" ht="21.75" customHeight="1" x14ac:dyDescent="0.3">
      <c r="A481" s="421"/>
      <c r="B481" s="422"/>
      <c r="C481" s="422"/>
      <c r="D481" s="423"/>
      <c r="E481" s="424" t="s">
        <v>175</v>
      </c>
      <c r="F481" s="425"/>
      <c r="G481" s="426"/>
      <c r="H481" s="427" t="s">
        <v>122</v>
      </c>
      <c r="I481" s="418">
        <f ca="1">IFERROR(__xludf.DUMMYFUNCTION("IMPORTRANGE(""https://docs.google.com/spreadsheets/d/11923uPwbBZFjjGgGUA6NLw09EwE0CqkOc4q9oUmW1yo/edit?usp=sharing"",""ลำปาง!I376"")"),44744)</f>
        <v>44744</v>
      </c>
      <c r="J481" s="418">
        <f ca="1">IFERROR(__xludf.DUMMYFUNCTION("IMPORTRANGE(""https://docs.google.com/spreadsheets/d/11923uPwbBZFjjGgGUA6NLw09EwE0CqkOc4q9oUmW1yo/edit?usp=sharing"",""ลำปาง!J376"")"),0)</f>
        <v>0</v>
      </c>
      <c r="K481" s="201">
        <f t="shared" ca="1" si="117"/>
        <v>0</v>
      </c>
      <c r="L481" s="428"/>
      <c r="M481" s="428"/>
      <c r="N481" s="428"/>
      <c r="O481" s="428"/>
      <c r="P481" s="428"/>
    </row>
    <row r="482" spans="1:16" ht="21.75" customHeight="1" x14ac:dyDescent="0.3">
      <c r="A482" s="400"/>
      <c r="B482" s="401"/>
      <c r="C482" s="401"/>
      <c r="D482" s="402"/>
      <c r="E482" s="195"/>
      <c r="F482" s="195"/>
      <c r="G482" s="196"/>
      <c r="H482" s="416" t="s">
        <v>36</v>
      </c>
      <c r="I482" s="417">
        <f ca="1">IFERROR(__xludf.DUMMYFUNCTION("IMPORTRANGE(""https://docs.google.com/spreadsheets/d/11923uPwbBZFjjGgGUA6NLw09EwE0CqkOc4q9oUmW1yo/edit?usp=sharing"",""ลำปาง!I377"")"),10122)</f>
        <v>10122</v>
      </c>
      <c r="J482" s="418">
        <f ca="1">IFERROR(__xludf.DUMMYFUNCTION("IMPORTRANGE(""https://docs.google.com/spreadsheets/d/11923uPwbBZFjjGgGUA6NLw09EwE0CqkOc4q9oUmW1yo/edit?usp=sharing"",""ลำปาง!J377"")"),0)</f>
        <v>0</v>
      </c>
      <c r="K482" s="163">
        <f t="shared" ca="1" si="117"/>
        <v>0</v>
      </c>
      <c r="L482" s="181"/>
      <c r="M482" s="181"/>
      <c r="N482" s="181"/>
      <c r="O482" s="181"/>
      <c r="P482" s="181"/>
    </row>
    <row r="483" spans="1:16" ht="21.75" customHeight="1" x14ac:dyDescent="0.3">
      <c r="A483" s="400"/>
      <c r="B483" s="401"/>
      <c r="C483" s="401"/>
      <c r="D483" s="402"/>
      <c r="E483" s="195"/>
      <c r="F483" s="194" t="s">
        <v>176</v>
      </c>
      <c r="G483" s="419"/>
      <c r="H483" s="420" t="s">
        <v>122</v>
      </c>
      <c r="I483" s="202">
        <f ca="1">IFERROR(__xludf.DUMMYFUNCTION("IMPORTRANGE(""https://docs.google.com/spreadsheets/d/11923uPwbBZFjjGgGUA6NLw09EwE0CqkOc4q9oUmW1yo/edit?usp=sharing"",""ลำปาง!I378"")"),0)</f>
        <v>0</v>
      </c>
      <c r="J483" s="188">
        <f ca="1">IFERROR(__xludf.DUMMYFUNCTION("IMPORTRANGE(""https://docs.google.com/spreadsheets/d/11923uPwbBZFjjGgGUA6NLw09EwE0CqkOc4q9oUmW1yo/edit?usp=sharing"",""ลำปาง!J378"")"),0)</f>
        <v>0</v>
      </c>
      <c r="K483" s="163">
        <f t="shared" ca="1" si="117"/>
        <v>0</v>
      </c>
      <c r="L483" s="181"/>
      <c r="M483" s="181"/>
      <c r="N483" s="181"/>
      <c r="O483" s="181"/>
      <c r="P483" s="181"/>
    </row>
    <row r="484" spans="1:16" ht="21.75" customHeight="1" x14ac:dyDescent="0.3">
      <c r="A484" s="400"/>
      <c r="B484" s="401"/>
      <c r="C484" s="401"/>
      <c r="D484" s="402"/>
      <c r="E484" s="195"/>
      <c r="F484" s="195"/>
      <c r="G484" s="419"/>
      <c r="H484" s="420" t="s">
        <v>36</v>
      </c>
      <c r="I484" s="202">
        <f ca="1">IFERROR(__xludf.DUMMYFUNCTION("IMPORTRANGE(""https://docs.google.com/spreadsheets/d/11923uPwbBZFjjGgGUA6NLw09EwE0CqkOc4q9oUmW1yo/edit?usp=sharing"",""ลำปาง!I379"")"),0)</f>
        <v>0</v>
      </c>
      <c r="J484" s="188">
        <f ca="1">IFERROR(__xludf.DUMMYFUNCTION("IMPORTRANGE(""https://docs.google.com/spreadsheets/d/11923uPwbBZFjjGgGUA6NLw09EwE0CqkOc4q9oUmW1yo/edit?usp=sharing"",""ลำปาง!J379"")"),0)</f>
        <v>0</v>
      </c>
      <c r="K484" s="163">
        <f t="shared" ca="1" si="117"/>
        <v>0</v>
      </c>
      <c r="L484" s="181"/>
      <c r="M484" s="181"/>
      <c r="N484" s="181"/>
      <c r="O484" s="181"/>
      <c r="P484" s="181"/>
    </row>
    <row r="485" spans="1:16" ht="21.75" customHeight="1" x14ac:dyDescent="0.3">
      <c r="A485" s="400"/>
      <c r="B485" s="401"/>
      <c r="C485" s="401"/>
      <c r="D485" s="402"/>
      <c r="E485" s="195"/>
      <c r="F485" s="194" t="s">
        <v>177</v>
      </c>
      <c r="G485" s="419"/>
      <c r="H485" s="420" t="s">
        <v>122</v>
      </c>
      <c r="I485" s="202">
        <f ca="1">IFERROR(__xludf.DUMMYFUNCTION("IMPORTRANGE(""https://docs.google.com/spreadsheets/d/11923uPwbBZFjjGgGUA6NLw09EwE0CqkOc4q9oUmW1yo/edit?usp=sharing"",""ลำปาง!I380"")"),0)</f>
        <v>0</v>
      </c>
      <c r="J485" s="188">
        <f ca="1">IFERROR(__xludf.DUMMYFUNCTION("IMPORTRANGE(""https://docs.google.com/spreadsheets/d/11923uPwbBZFjjGgGUA6NLw09EwE0CqkOc4q9oUmW1yo/edit?usp=sharing"",""ลำปาง!J380"")"),0)</f>
        <v>0</v>
      </c>
      <c r="K485" s="163">
        <f t="shared" ca="1" si="117"/>
        <v>0</v>
      </c>
      <c r="L485" s="181"/>
      <c r="M485" s="181"/>
      <c r="N485" s="181"/>
      <c r="O485" s="181"/>
      <c r="P485" s="181"/>
    </row>
    <row r="486" spans="1:16" ht="21.75" customHeight="1" x14ac:dyDescent="0.3">
      <c r="A486" s="400"/>
      <c r="B486" s="401"/>
      <c r="C486" s="401"/>
      <c r="D486" s="402"/>
      <c r="E486" s="195"/>
      <c r="F486" s="195"/>
      <c r="G486" s="419"/>
      <c r="H486" s="420" t="s">
        <v>36</v>
      </c>
      <c r="I486" s="202">
        <f ca="1">IFERROR(__xludf.DUMMYFUNCTION("IMPORTRANGE(""https://docs.google.com/spreadsheets/d/11923uPwbBZFjjGgGUA6NLw09EwE0CqkOc4q9oUmW1yo/edit?usp=sharing"",""ลำปาง!I381"")"),0)</f>
        <v>0</v>
      </c>
      <c r="J486" s="188">
        <f ca="1">IFERROR(__xludf.DUMMYFUNCTION("IMPORTRANGE(""https://docs.google.com/spreadsheets/d/11923uPwbBZFjjGgGUA6NLw09EwE0CqkOc4q9oUmW1yo/edit?usp=sharing"",""ลำปาง!J381"")"),0)</f>
        <v>0</v>
      </c>
      <c r="K486" s="163">
        <f t="shared" ca="1" si="117"/>
        <v>0</v>
      </c>
      <c r="L486" s="181"/>
      <c r="M486" s="181"/>
      <c r="N486" s="181"/>
      <c r="O486" s="181"/>
      <c r="P486" s="181"/>
    </row>
    <row r="487" spans="1:16" ht="21.75" customHeight="1" x14ac:dyDescent="0.3">
      <c r="A487" s="400"/>
      <c r="B487" s="401"/>
      <c r="C487" s="401"/>
      <c r="D487" s="402"/>
      <c r="E487" s="195"/>
      <c r="F487" s="194" t="s">
        <v>178</v>
      </c>
      <c r="G487" s="419"/>
      <c r="H487" s="420" t="s">
        <v>122</v>
      </c>
      <c r="I487" s="202">
        <f ca="1">IFERROR(__xludf.DUMMYFUNCTION("IMPORTRANGE(""https://docs.google.com/spreadsheets/d/11923uPwbBZFjjGgGUA6NLw09EwE0CqkOc4q9oUmW1yo/edit?usp=sharing"",""ลำปาง!I382"")"),0)</f>
        <v>0</v>
      </c>
      <c r="J487" s="418">
        <f ca="1">IFERROR(__xludf.DUMMYFUNCTION("IMPORTRANGE(""https://docs.google.com/spreadsheets/d/11923uPwbBZFjjGgGUA6NLw09EwE0CqkOc4q9oUmW1yo/edit?usp=sharing"",""ลำปาง!J382"")"),0)</f>
        <v>0</v>
      </c>
      <c r="K487" s="163">
        <f t="shared" ca="1" si="117"/>
        <v>0</v>
      </c>
      <c r="L487" s="181"/>
      <c r="M487" s="181"/>
      <c r="N487" s="181"/>
      <c r="O487" s="181"/>
      <c r="P487" s="181"/>
    </row>
    <row r="488" spans="1:16" ht="21.75" customHeight="1" x14ac:dyDescent="0.3">
      <c r="A488" s="400"/>
      <c r="B488" s="401"/>
      <c r="C488" s="401"/>
      <c r="D488" s="402"/>
      <c r="E488" s="195"/>
      <c r="F488" s="195"/>
      <c r="G488" s="195"/>
      <c r="H488" s="420" t="s">
        <v>36</v>
      </c>
      <c r="I488" s="202">
        <f ca="1">IFERROR(__xludf.DUMMYFUNCTION("IMPORTRANGE(""https://docs.google.com/spreadsheets/d/11923uPwbBZFjjGgGUA6NLw09EwE0CqkOc4q9oUmW1yo/edit?usp=sharing"",""ลำปาง!I383"")"),0)</f>
        <v>0</v>
      </c>
      <c r="J488" s="418">
        <f ca="1">IFERROR(__xludf.DUMMYFUNCTION("IMPORTRANGE(""https://docs.google.com/spreadsheets/d/11923uPwbBZFjjGgGUA6NLw09EwE0CqkOc4q9oUmW1yo/edit?usp=sharing"",""ลำปาง!J383"")"),0)</f>
        <v>0</v>
      </c>
      <c r="K488" s="163">
        <f t="shared" ca="1" si="117"/>
        <v>0</v>
      </c>
      <c r="L488" s="181"/>
      <c r="M488" s="181"/>
      <c r="N488" s="181"/>
      <c r="O488" s="181"/>
      <c r="P488" s="181"/>
    </row>
    <row r="489" spans="1:16" ht="21.75" customHeight="1" x14ac:dyDescent="0.3">
      <c r="A489" s="400"/>
      <c r="B489" s="401"/>
      <c r="C489" s="401"/>
      <c r="D489" s="402"/>
      <c r="E489" s="195"/>
      <c r="F489" s="195"/>
      <c r="G489" s="194" t="s">
        <v>179</v>
      </c>
      <c r="H489" s="420" t="s">
        <v>122</v>
      </c>
      <c r="I489" s="202">
        <f ca="1">IFERROR(__xludf.DUMMYFUNCTION("IMPORTRANGE(""https://docs.google.com/spreadsheets/d/11923uPwbBZFjjGgGUA6NLw09EwE0CqkOc4q9oUmW1yo/edit?usp=sharing"",""ลำปาง!I384"")"),0)</f>
        <v>0</v>
      </c>
      <c r="J489" s="188">
        <f ca="1">IFERROR(__xludf.DUMMYFUNCTION("IMPORTRANGE(""https://docs.google.com/spreadsheets/d/11923uPwbBZFjjGgGUA6NLw09EwE0CqkOc4q9oUmW1yo/edit?usp=sharing"",""ลำปาง!J384"")"),0)</f>
        <v>0</v>
      </c>
      <c r="K489" s="163">
        <f t="shared" ca="1" si="117"/>
        <v>0</v>
      </c>
      <c r="L489" s="181"/>
      <c r="M489" s="181"/>
      <c r="N489" s="181"/>
      <c r="O489" s="181"/>
      <c r="P489" s="181"/>
    </row>
    <row r="490" spans="1:16" ht="21.75" customHeight="1" x14ac:dyDescent="0.3">
      <c r="A490" s="400"/>
      <c r="B490" s="401"/>
      <c r="C490" s="401"/>
      <c r="D490" s="402"/>
      <c r="E490" s="195"/>
      <c r="F490" s="195"/>
      <c r="G490" s="195"/>
      <c r="H490" s="420" t="s">
        <v>36</v>
      </c>
      <c r="I490" s="202">
        <f ca="1">IFERROR(__xludf.DUMMYFUNCTION("IMPORTRANGE(""https://docs.google.com/spreadsheets/d/11923uPwbBZFjjGgGUA6NLw09EwE0CqkOc4q9oUmW1yo/edit?usp=sharing"",""ลำปาง!I385"")"),0)</f>
        <v>0</v>
      </c>
      <c r="J490" s="188">
        <f ca="1">IFERROR(__xludf.DUMMYFUNCTION("IMPORTRANGE(""https://docs.google.com/spreadsheets/d/11923uPwbBZFjjGgGUA6NLw09EwE0CqkOc4q9oUmW1yo/edit?usp=sharing"",""ลำปาง!J385"")"),0)</f>
        <v>0</v>
      </c>
      <c r="K490" s="163">
        <f t="shared" ca="1" si="117"/>
        <v>0</v>
      </c>
      <c r="L490" s="181"/>
      <c r="M490" s="181"/>
      <c r="N490" s="181"/>
      <c r="O490" s="181"/>
      <c r="P490" s="181"/>
    </row>
    <row r="491" spans="1:16" ht="21.75" customHeight="1" x14ac:dyDescent="0.3">
      <c r="A491" s="400"/>
      <c r="B491" s="401"/>
      <c r="C491" s="401"/>
      <c r="D491" s="402"/>
      <c r="E491" s="195"/>
      <c r="F491" s="195"/>
      <c r="G491" s="194" t="s">
        <v>180</v>
      </c>
      <c r="H491" s="420" t="s">
        <v>122</v>
      </c>
      <c r="I491" s="202">
        <f ca="1">IFERROR(__xludf.DUMMYFUNCTION("IMPORTRANGE(""https://docs.google.com/spreadsheets/d/11923uPwbBZFjjGgGUA6NLw09EwE0CqkOc4q9oUmW1yo/edit?usp=sharing"",""ลำปาง!I386"")"),0)</f>
        <v>0</v>
      </c>
      <c r="J491" s="188">
        <f ca="1">IFERROR(__xludf.DUMMYFUNCTION("IMPORTRANGE(""https://docs.google.com/spreadsheets/d/11923uPwbBZFjjGgGUA6NLw09EwE0CqkOc4q9oUmW1yo/edit?usp=sharing"",""ลำปาง!J386"")"),0)</f>
        <v>0</v>
      </c>
      <c r="K491" s="163">
        <f t="shared" ca="1" si="117"/>
        <v>0</v>
      </c>
      <c r="L491" s="181"/>
      <c r="M491" s="181"/>
      <c r="N491" s="181"/>
      <c r="O491" s="181"/>
      <c r="P491" s="181"/>
    </row>
    <row r="492" spans="1:16" ht="21.75" customHeight="1" x14ac:dyDescent="0.3">
      <c r="A492" s="400"/>
      <c r="B492" s="401"/>
      <c r="C492" s="401"/>
      <c r="D492" s="402"/>
      <c r="E492" s="195"/>
      <c r="F492" s="195"/>
      <c r="G492" s="196"/>
      <c r="H492" s="420" t="s">
        <v>36</v>
      </c>
      <c r="I492" s="202">
        <f ca="1">IFERROR(__xludf.DUMMYFUNCTION("IMPORTRANGE(""https://docs.google.com/spreadsheets/d/11923uPwbBZFjjGgGUA6NLw09EwE0CqkOc4q9oUmW1yo/edit?usp=sharing"",""ลำปาง!I387"")"),0)</f>
        <v>0</v>
      </c>
      <c r="J492" s="188">
        <f ca="1">IFERROR(__xludf.DUMMYFUNCTION("IMPORTRANGE(""https://docs.google.com/spreadsheets/d/11923uPwbBZFjjGgGUA6NLw09EwE0CqkOc4q9oUmW1yo/edit?usp=sharing"",""ลำปาง!J387"")"),0)</f>
        <v>0</v>
      </c>
      <c r="K492" s="163">
        <f t="shared" ca="1" si="117"/>
        <v>0</v>
      </c>
      <c r="L492" s="181"/>
      <c r="M492" s="181"/>
      <c r="N492" s="181"/>
      <c r="O492" s="181"/>
      <c r="P492" s="181"/>
    </row>
    <row r="493" spans="1:16" ht="21.75" customHeight="1" x14ac:dyDescent="0.3">
      <c r="A493" s="400"/>
      <c r="B493" s="401"/>
      <c r="C493" s="401"/>
      <c r="D493" s="402"/>
      <c r="E493" s="195"/>
      <c r="F493" s="194" t="s">
        <v>181</v>
      </c>
      <c r="G493" s="419"/>
      <c r="H493" s="420" t="s">
        <v>122</v>
      </c>
      <c r="I493" s="202">
        <f ca="1">IFERROR(__xludf.DUMMYFUNCTION("IMPORTRANGE(""https://docs.google.com/spreadsheets/d/11923uPwbBZFjjGgGUA6NLw09EwE0CqkOc4q9oUmW1yo/edit?usp=sharing"",""ลำปาง!I388"")"),0)</f>
        <v>0</v>
      </c>
      <c r="J493" s="188">
        <f ca="1">IFERROR(__xludf.DUMMYFUNCTION("IMPORTRANGE(""https://docs.google.com/spreadsheets/d/11923uPwbBZFjjGgGUA6NLw09EwE0CqkOc4q9oUmW1yo/edit?usp=sharing"",""ลำปาง!J388"")"),0)</f>
        <v>0</v>
      </c>
      <c r="K493" s="163">
        <f t="shared" ca="1" si="117"/>
        <v>0</v>
      </c>
      <c r="L493" s="181"/>
      <c r="M493" s="181"/>
      <c r="N493" s="181"/>
      <c r="O493" s="181"/>
      <c r="P493" s="181"/>
    </row>
    <row r="494" spans="1:16" ht="21.75" customHeight="1" x14ac:dyDescent="0.3">
      <c r="A494" s="429"/>
      <c r="B494" s="430"/>
      <c r="C494" s="430"/>
      <c r="D494" s="431"/>
      <c r="E494" s="345"/>
      <c r="F494" s="345"/>
      <c r="G494" s="345"/>
      <c r="H494" s="432" t="s">
        <v>36</v>
      </c>
      <c r="I494" s="433">
        <f ca="1">IFERROR(__xludf.DUMMYFUNCTION("IMPORTRANGE(""https://docs.google.com/spreadsheets/d/11923uPwbBZFjjGgGUA6NLw09EwE0CqkOc4q9oUmW1yo/edit?usp=sharing"",""ลำปาง!I389"")"),0)</f>
        <v>0</v>
      </c>
      <c r="J494" s="434">
        <f ca="1">IFERROR(__xludf.DUMMYFUNCTION("IMPORTRANGE(""https://docs.google.com/spreadsheets/d/11923uPwbBZFjjGgGUA6NLw09EwE0CqkOc4q9oUmW1yo/edit?usp=sharing"",""ลำปาง!J389"")"),0)</f>
        <v>0</v>
      </c>
      <c r="K494" s="286">
        <f t="shared" ca="1" si="117"/>
        <v>0</v>
      </c>
      <c r="L494" s="244"/>
      <c r="M494" s="244"/>
      <c r="N494" s="244"/>
      <c r="O494" s="244"/>
      <c r="P494" s="244"/>
    </row>
    <row r="495" spans="1:16" ht="21.75" customHeight="1" x14ac:dyDescent="0.3">
      <c r="A495" s="400"/>
      <c r="B495" s="401"/>
      <c r="C495" s="401"/>
      <c r="D495" s="402"/>
      <c r="E495" s="195"/>
      <c r="F495" s="195">
        <v>3.5</v>
      </c>
      <c r="G495" s="419" t="s">
        <v>182</v>
      </c>
      <c r="H495" s="420" t="s">
        <v>122</v>
      </c>
      <c r="I495" s="433">
        <f ca="1">IFERROR(__xludf.DUMMYFUNCTION("IMPORTRANGE(""https://docs.google.com/spreadsheets/d/11923uPwbBZFjjGgGUA6NLw09EwE0CqkOc4q9oUmW1yo/edit?usp=sharing"",""ลำปาง!I390"")"),0)</f>
        <v>0</v>
      </c>
      <c r="J495" s="434">
        <f ca="1">IFERROR(__xludf.DUMMYFUNCTION("IMPORTRANGE(""https://docs.google.com/spreadsheets/d/11923uPwbBZFjjGgGUA6NLw09EwE0CqkOc4q9oUmW1yo/edit?usp=sharing"",""ลำปาง!J390"")"),0)</f>
        <v>0</v>
      </c>
      <c r="K495" s="163">
        <f t="shared" ca="1" si="117"/>
        <v>0</v>
      </c>
      <c r="L495" s="181"/>
      <c r="M495" s="181"/>
      <c r="N495" s="181"/>
      <c r="O495" s="181"/>
      <c r="P495" s="181"/>
    </row>
    <row r="496" spans="1:16" ht="21.75" customHeight="1" x14ac:dyDescent="0.3">
      <c r="A496" s="429"/>
      <c r="B496" s="430"/>
      <c r="C496" s="430"/>
      <c r="D496" s="431"/>
      <c r="E496" s="345"/>
      <c r="F496" s="345"/>
      <c r="G496" s="345"/>
      <c r="H496" s="432" t="s">
        <v>36</v>
      </c>
      <c r="I496" s="433">
        <f ca="1">IFERROR(__xludf.DUMMYFUNCTION("IMPORTRANGE(""https://docs.google.com/spreadsheets/d/11923uPwbBZFjjGgGUA6NLw09EwE0CqkOc4q9oUmW1yo/edit?usp=sharing"",""ลำปาง!I391"")"),0)</f>
        <v>0</v>
      </c>
      <c r="J496" s="434">
        <f ca="1">IFERROR(__xludf.DUMMYFUNCTION("IMPORTRANGE(""https://docs.google.com/spreadsheets/d/11923uPwbBZFjjGgGUA6NLw09EwE0CqkOc4q9oUmW1yo/edit?usp=sharing"",""ลำปาง!J391"")"),0)</f>
        <v>0</v>
      </c>
      <c r="K496" s="286">
        <f t="shared" ca="1" si="117"/>
        <v>0</v>
      </c>
      <c r="L496" s="244"/>
      <c r="M496" s="244"/>
      <c r="N496" s="244"/>
      <c r="O496" s="244"/>
      <c r="P496" s="244"/>
    </row>
    <row r="497" spans="1:16" ht="21.75" customHeight="1" x14ac:dyDescent="0.3">
      <c r="A497" s="435"/>
      <c r="B497" s="436"/>
      <c r="C497" s="437" t="s">
        <v>183</v>
      </c>
      <c r="D497" s="437"/>
      <c r="E497" s="438"/>
      <c r="F497" s="438"/>
      <c r="G497" s="439"/>
      <c r="H497" s="440" t="s">
        <v>122</v>
      </c>
      <c r="I497" s="441">
        <f ca="1">IFERROR(__xludf.DUMMYFUNCTION("IMPORTRANGE(""https://docs.google.com/spreadsheets/d/11923uPwbBZFjjGgGUA6NLw09EwE0CqkOc4q9oUmW1yo/edit?usp=sharing"",""ลำปาง!I392"")"),2837)</f>
        <v>2837</v>
      </c>
      <c r="J497" s="441">
        <f ca="1">IFERROR(__xludf.DUMMYFUNCTION("IMPORTRANGE(""https://docs.google.com/spreadsheets/d/11923uPwbBZFjjGgGUA6NLw09EwE0CqkOc4q9oUmW1yo/edit?usp=sharing"",""ลำปาง!J392"")"),730)</f>
        <v>730</v>
      </c>
      <c r="K497" s="442">
        <f t="shared" ca="1" si="117"/>
        <v>25.731406415227355</v>
      </c>
      <c r="L497" s="443"/>
      <c r="M497" s="443"/>
      <c r="N497" s="443"/>
      <c r="O497" s="443"/>
      <c r="P497" s="443"/>
    </row>
    <row r="498" spans="1:16" ht="21.75" customHeight="1" x14ac:dyDescent="0.3">
      <c r="A498" s="175"/>
      <c r="B498" s="176"/>
      <c r="C498" s="176"/>
      <c r="D498" s="402"/>
      <c r="E498" s="444" t="s">
        <v>184</v>
      </c>
      <c r="F498" s="445"/>
      <c r="G498" s="446"/>
      <c r="H498" s="447" t="s">
        <v>122</v>
      </c>
      <c r="I498" s="418">
        <f ca="1">IFERROR(__xludf.DUMMYFUNCTION("IMPORTRANGE(""https://docs.google.com/spreadsheets/d/11923uPwbBZFjjGgGUA6NLw09EwE0CqkOc4q9oUmW1yo/edit?usp=sharing"",""ลำปาง!I393"")"),2837)</f>
        <v>2837</v>
      </c>
      <c r="J498" s="418">
        <f ca="1">IFERROR(__xludf.DUMMYFUNCTION("IMPORTRANGE(""https://docs.google.com/spreadsheets/d/11923uPwbBZFjjGgGUA6NLw09EwE0CqkOc4q9oUmW1yo/edit?usp=sharing"",""ลำปาง!J393"")"),730)</f>
        <v>730</v>
      </c>
      <c r="K498" s="163">
        <f t="shared" ca="1" si="117"/>
        <v>25.731406415227355</v>
      </c>
      <c r="L498" s="181"/>
      <c r="M498" s="181"/>
      <c r="N498" s="181"/>
      <c r="O498" s="181"/>
      <c r="P498" s="181"/>
    </row>
    <row r="499" spans="1:16" ht="21.75" customHeight="1" x14ac:dyDescent="0.3">
      <c r="A499" s="175"/>
      <c r="B499" s="176"/>
      <c r="C499" s="176"/>
      <c r="D499" s="193"/>
      <c r="E499" s="445"/>
      <c r="F499" s="445"/>
      <c r="G499" s="446"/>
      <c r="H499" s="447" t="s">
        <v>36</v>
      </c>
      <c r="I499" s="418">
        <f ca="1">IFERROR(__xludf.DUMMYFUNCTION("IMPORTRANGE(""https://docs.google.com/spreadsheets/d/11923uPwbBZFjjGgGUA6NLw09EwE0CqkOc4q9oUmW1yo/edit?usp=sharing"",""ลำปาง!I394"")"),353)</f>
        <v>353</v>
      </c>
      <c r="J499" s="418">
        <f ca="1">IFERROR(__xludf.DUMMYFUNCTION("IMPORTRANGE(""https://docs.google.com/spreadsheets/d/11923uPwbBZFjjGgGUA6NLw09EwE0CqkOc4q9oUmW1yo/edit?usp=sharing"",""ลำปาง!J394"")"),97)</f>
        <v>97</v>
      </c>
      <c r="K499" s="201">
        <f t="shared" ca="1" si="117"/>
        <v>27.478753541076486</v>
      </c>
      <c r="L499" s="181"/>
      <c r="M499" s="181"/>
      <c r="N499" s="181"/>
      <c r="O499" s="181"/>
      <c r="P499" s="181"/>
    </row>
    <row r="500" spans="1:16" ht="21.75" customHeight="1" x14ac:dyDescent="0.3">
      <c r="A500" s="175"/>
      <c r="B500" s="176"/>
      <c r="C500" s="176"/>
      <c r="D500" s="402"/>
      <c r="E500" s="402" t="s">
        <v>185</v>
      </c>
      <c r="F500" s="195"/>
      <c r="G500" s="196"/>
      <c r="H500" s="420" t="s">
        <v>122</v>
      </c>
      <c r="I500" s="202">
        <f ca="1">IFERROR(__xludf.DUMMYFUNCTION("IMPORTRANGE(""https://docs.google.com/spreadsheets/d/11923uPwbBZFjjGgGUA6NLw09EwE0CqkOc4q9oUmW1yo/edit?usp=sharing"",""ลำปาง!I395"")"),0)</f>
        <v>0</v>
      </c>
      <c r="J500" s="162">
        <f ca="1">IFERROR(__xludf.DUMMYFUNCTION("IMPORTRANGE(""https://docs.google.com/spreadsheets/d/11923uPwbBZFjjGgGUA6NLw09EwE0CqkOc4q9oUmW1yo/edit?usp=sharing"",""ลำปาง!J395"")"),730)</f>
        <v>730</v>
      </c>
      <c r="K500" s="163">
        <f t="shared" ca="1" si="117"/>
        <v>0</v>
      </c>
      <c r="L500" s="181"/>
      <c r="M500" s="181"/>
      <c r="N500" s="181"/>
      <c r="O500" s="181"/>
      <c r="P500" s="181"/>
    </row>
    <row r="501" spans="1:16" ht="21.75" customHeight="1" x14ac:dyDescent="0.3">
      <c r="A501" s="175"/>
      <c r="B501" s="176"/>
      <c r="C501" s="176"/>
      <c r="D501" s="193"/>
      <c r="E501" s="195"/>
      <c r="F501" s="195"/>
      <c r="G501" s="196"/>
      <c r="H501" s="420" t="s">
        <v>36</v>
      </c>
      <c r="I501" s="202">
        <f ca="1">IFERROR(__xludf.DUMMYFUNCTION("IMPORTRANGE(""https://docs.google.com/spreadsheets/d/11923uPwbBZFjjGgGUA6NLw09EwE0CqkOc4q9oUmW1yo/edit?usp=sharing"",""ลำปาง!I396"")"),0)</f>
        <v>0</v>
      </c>
      <c r="J501" s="162">
        <f ca="1">IFERROR(__xludf.DUMMYFUNCTION("IMPORTRANGE(""https://docs.google.com/spreadsheets/d/11923uPwbBZFjjGgGUA6NLw09EwE0CqkOc4q9oUmW1yo/edit?usp=sharing"",""ลำปาง!J396"")"),97)</f>
        <v>97</v>
      </c>
      <c r="K501" s="163">
        <f t="shared" ca="1" si="117"/>
        <v>0</v>
      </c>
      <c r="L501" s="181"/>
      <c r="M501" s="181"/>
      <c r="N501" s="181"/>
      <c r="O501" s="181"/>
      <c r="P501" s="181"/>
    </row>
    <row r="502" spans="1:16" ht="21.75" customHeight="1" x14ac:dyDescent="0.3">
      <c r="A502" s="175"/>
      <c r="B502" s="176"/>
      <c r="C502" s="176"/>
      <c r="D502" s="193"/>
      <c r="E502" s="195"/>
      <c r="F502" s="397" t="s">
        <v>186</v>
      </c>
      <c r="G502" s="419"/>
      <c r="H502" s="420" t="s">
        <v>122</v>
      </c>
      <c r="I502" s="202">
        <f ca="1">IFERROR(__xludf.DUMMYFUNCTION("IMPORTRANGE(""https://docs.google.com/spreadsheets/d/11923uPwbBZFjjGgGUA6NLw09EwE0CqkOc4q9oUmW1yo/edit?usp=sharing"",""ลำปาง!I397"")"),0)</f>
        <v>0</v>
      </c>
      <c r="J502" s="188">
        <f ca="1">IFERROR(__xludf.DUMMYFUNCTION("IMPORTRANGE(""https://docs.google.com/spreadsheets/d/11923uPwbBZFjjGgGUA6NLw09EwE0CqkOc4q9oUmW1yo/edit?usp=sharing"",""ลำปาง!J397"")"),730)</f>
        <v>730</v>
      </c>
      <c r="K502" s="163">
        <f t="shared" ca="1" si="117"/>
        <v>0</v>
      </c>
      <c r="L502" s="181"/>
      <c r="M502" s="181"/>
      <c r="N502" s="181"/>
      <c r="O502" s="181"/>
      <c r="P502" s="181"/>
    </row>
    <row r="503" spans="1:16" ht="21.75" customHeight="1" x14ac:dyDescent="0.3">
      <c r="A503" s="175"/>
      <c r="B503" s="176"/>
      <c r="C503" s="176"/>
      <c r="D503" s="193"/>
      <c r="E503" s="195"/>
      <c r="F503" s="195"/>
      <c r="G503" s="419"/>
      <c r="H503" s="420" t="s">
        <v>36</v>
      </c>
      <c r="I503" s="187">
        <f ca="1">IFERROR(__xludf.DUMMYFUNCTION("IMPORTRANGE(""https://docs.google.com/spreadsheets/d/11923uPwbBZFjjGgGUA6NLw09EwE0CqkOc4q9oUmW1yo/edit?usp=sharing"",""ลำปาง!I398"")"),0)</f>
        <v>0</v>
      </c>
      <c r="J503" s="197">
        <f ca="1">IFERROR(__xludf.DUMMYFUNCTION("IMPORTRANGE(""https://docs.google.com/spreadsheets/d/11923uPwbBZFjjGgGUA6NLw09EwE0CqkOc4q9oUmW1yo/edit?usp=sharing"",""ลำปาง!J398"")"),97)</f>
        <v>97</v>
      </c>
      <c r="K503" s="163">
        <f t="shared" ca="1" si="117"/>
        <v>0</v>
      </c>
      <c r="L503" s="181"/>
      <c r="M503" s="181"/>
      <c r="N503" s="181"/>
      <c r="O503" s="181"/>
      <c r="P503" s="181"/>
    </row>
    <row r="504" spans="1:16" ht="21.75" customHeight="1" x14ac:dyDescent="0.3">
      <c r="A504" s="175"/>
      <c r="B504" s="176"/>
      <c r="C504" s="176"/>
      <c r="D504" s="193"/>
      <c r="E504" s="195"/>
      <c r="F504" s="388" t="s">
        <v>187</v>
      </c>
      <c r="G504" s="419"/>
      <c r="H504" s="420" t="s">
        <v>122</v>
      </c>
      <c r="I504" s="203">
        <f ca="1">IFERROR(__xludf.DUMMYFUNCTION("IMPORTRANGE(""https://docs.google.com/spreadsheets/d/11923uPwbBZFjjGgGUA6NLw09EwE0CqkOc4q9oUmW1yo/edit?usp=sharing"",""ลำปาง!I399"")"),0)</f>
        <v>0</v>
      </c>
      <c r="J504" s="188">
        <f ca="1">IFERROR(__xludf.DUMMYFUNCTION("IMPORTRANGE(""https://docs.google.com/spreadsheets/d/11923uPwbBZFjjGgGUA6NLw09EwE0CqkOc4q9oUmW1yo/edit?usp=sharing"",""ลำปาง!J399"")"),0)</f>
        <v>0</v>
      </c>
      <c r="K504" s="163">
        <f t="shared" ca="1" si="117"/>
        <v>0</v>
      </c>
      <c r="L504" s="181"/>
      <c r="M504" s="181"/>
      <c r="N504" s="181"/>
      <c r="O504" s="181"/>
      <c r="P504" s="181"/>
    </row>
    <row r="505" spans="1:16" ht="21.75" customHeight="1" x14ac:dyDescent="0.3">
      <c r="A505" s="175"/>
      <c r="B505" s="176"/>
      <c r="C505" s="176"/>
      <c r="D505" s="193"/>
      <c r="E505" s="195"/>
      <c r="F505" s="195"/>
      <c r="G505" s="419"/>
      <c r="H505" s="420" t="s">
        <v>36</v>
      </c>
      <c r="I505" s="187">
        <f ca="1">IFERROR(__xludf.DUMMYFUNCTION("IMPORTRANGE(""https://docs.google.com/spreadsheets/d/11923uPwbBZFjjGgGUA6NLw09EwE0CqkOc4q9oUmW1yo/edit?usp=sharing"",""ลำปาง!I400"")"),0)</f>
        <v>0</v>
      </c>
      <c r="J505" s="197">
        <f ca="1">IFERROR(__xludf.DUMMYFUNCTION("IMPORTRANGE(""https://docs.google.com/spreadsheets/d/11923uPwbBZFjjGgGUA6NLw09EwE0CqkOc4q9oUmW1yo/edit?usp=sharing"",""ลำปาง!J400"")"),0)</f>
        <v>0</v>
      </c>
      <c r="K505" s="163">
        <f t="shared" ca="1" si="117"/>
        <v>0</v>
      </c>
      <c r="L505" s="181"/>
      <c r="M505" s="181"/>
      <c r="N505" s="181"/>
      <c r="O505" s="181"/>
      <c r="P505" s="181"/>
    </row>
    <row r="506" spans="1:16" ht="21.75" customHeight="1" x14ac:dyDescent="0.3">
      <c r="A506" s="175"/>
      <c r="B506" s="176"/>
      <c r="C506" s="176"/>
      <c r="D506" s="193"/>
      <c r="E506" s="195"/>
      <c r="F506" s="397" t="s">
        <v>188</v>
      </c>
      <c r="G506" s="419"/>
      <c r="H506" s="420" t="s">
        <v>122</v>
      </c>
      <c r="I506" s="203">
        <f ca="1">IFERROR(__xludf.DUMMYFUNCTION("IMPORTRANGE(""https://docs.google.com/spreadsheets/d/11923uPwbBZFjjGgGUA6NLw09EwE0CqkOc4q9oUmW1yo/edit?usp=sharing"",""ลำปาง!I401"")"),0)</f>
        <v>0</v>
      </c>
      <c r="J506" s="188">
        <f ca="1">IFERROR(__xludf.DUMMYFUNCTION("IMPORTRANGE(""https://docs.google.com/spreadsheets/d/11923uPwbBZFjjGgGUA6NLw09EwE0CqkOc4q9oUmW1yo/edit?usp=sharing"",""ลำปาง!J401"")"),0)</f>
        <v>0</v>
      </c>
      <c r="K506" s="163">
        <f t="shared" ca="1" si="117"/>
        <v>0</v>
      </c>
      <c r="L506" s="181"/>
      <c r="M506" s="181"/>
      <c r="N506" s="181"/>
      <c r="O506" s="181"/>
      <c r="P506" s="181"/>
    </row>
    <row r="507" spans="1:16" ht="21.75" customHeight="1" x14ac:dyDescent="0.3">
      <c r="A507" s="175"/>
      <c r="B507" s="176"/>
      <c r="C507" s="176"/>
      <c r="D507" s="193"/>
      <c r="E507" s="195"/>
      <c r="F507" s="195"/>
      <c r="G507" s="195"/>
      <c r="H507" s="420" t="s">
        <v>36</v>
      </c>
      <c r="I507" s="187">
        <f ca="1">IFERROR(__xludf.DUMMYFUNCTION("IMPORTRANGE(""https://docs.google.com/spreadsheets/d/11923uPwbBZFjjGgGUA6NLw09EwE0CqkOc4q9oUmW1yo/edit?usp=sharing"",""ลำปาง!I402"")"),0)</f>
        <v>0</v>
      </c>
      <c r="J507" s="197">
        <f ca="1">IFERROR(__xludf.DUMMYFUNCTION("IMPORTRANGE(""https://docs.google.com/spreadsheets/d/11923uPwbBZFjjGgGUA6NLw09EwE0CqkOc4q9oUmW1yo/edit?usp=sharing"",""ลำปาง!J402"")"),0)</f>
        <v>0</v>
      </c>
      <c r="K507" s="163">
        <f t="shared" ca="1" si="117"/>
        <v>0</v>
      </c>
      <c r="L507" s="181"/>
      <c r="M507" s="181"/>
      <c r="N507" s="181"/>
      <c r="O507" s="181"/>
      <c r="P507" s="181"/>
    </row>
    <row r="508" spans="1:16" ht="21.75" customHeight="1" x14ac:dyDescent="0.3">
      <c r="A508" s="175"/>
      <c r="B508" s="176"/>
      <c r="C508" s="176"/>
      <c r="D508" s="193"/>
      <c r="E508" s="194" t="s">
        <v>189</v>
      </c>
      <c r="F508" s="195"/>
      <c r="G508" s="419"/>
      <c r="H508" s="420" t="s">
        <v>122</v>
      </c>
      <c r="I508" s="187">
        <f ca="1">IFERROR(__xludf.DUMMYFUNCTION("IMPORTRANGE(""https://docs.google.com/spreadsheets/d/11923uPwbBZFjjGgGUA6NLw09EwE0CqkOc4q9oUmW1yo/edit?usp=sharing"",""ลำปาง!I403"")"),0)</f>
        <v>0</v>
      </c>
      <c r="J508" s="162">
        <f ca="1">IFERROR(__xludf.DUMMYFUNCTION("IMPORTRANGE(""https://docs.google.com/spreadsheets/d/11923uPwbBZFjjGgGUA6NLw09EwE0CqkOc4q9oUmW1yo/edit?usp=sharing"",""ลำปาง!J403"")"),0)</f>
        <v>0</v>
      </c>
      <c r="K508" s="163">
        <f t="shared" ca="1" si="117"/>
        <v>0</v>
      </c>
      <c r="L508" s="181"/>
      <c r="M508" s="181"/>
      <c r="N508" s="181"/>
      <c r="O508" s="181"/>
      <c r="P508" s="181"/>
    </row>
    <row r="509" spans="1:16" ht="21.75" customHeight="1" x14ac:dyDescent="0.3">
      <c r="A509" s="175"/>
      <c r="B509" s="176"/>
      <c r="C509" s="176"/>
      <c r="D509" s="193"/>
      <c r="E509" s="195"/>
      <c r="F509" s="195"/>
      <c r="G509" s="195"/>
      <c r="H509" s="420" t="s">
        <v>36</v>
      </c>
      <c r="I509" s="187">
        <f ca="1">IFERROR(__xludf.DUMMYFUNCTION("IMPORTRANGE(""https://docs.google.com/spreadsheets/d/11923uPwbBZFjjGgGUA6NLw09EwE0CqkOc4q9oUmW1yo/edit?usp=sharing"",""ลำปาง!I404"")"),0)</f>
        <v>0</v>
      </c>
      <c r="J509" s="162">
        <f ca="1">IFERROR(__xludf.DUMMYFUNCTION("IMPORTRANGE(""https://docs.google.com/spreadsheets/d/11923uPwbBZFjjGgGUA6NLw09EwE0CqkOc4q9oUmW1yo/edit?usp=sharing"",""ลำปาง!J404"")"),0)</f>
        <v>0</v>
      </c>
      <c r="K509" s="163">
        <f t="shared" ca="1" si="117"/>
        <v>0</v>
      </c>
      <c r="L509" s="181"/>
      <c r="M509" s="181"/>
      <c r="N509" s="181"/>
      <c r="O509" s="181"/>
      <c r="P509" s="181"/>
    </row>
    <row r="510" spans="1:16" ht="21.75" customHeight="1" x14ac:dyDescent="0.3">
      <c r="A510" s="175"/>
      <c r="B510" s="176"/>
      <c r="C510" s="176"/>
      <c r="D510" s="193"/>
      <c r="E510" s="195"/>
      <c r="F510" s="194" t="s">
        <v>190</v>
      </c>
      <c r="G510" s="195"/>
      <c r="H510" s="420" t="s">
        <v>122</v>
      </c>
      <c r="I510" s="187">
        <f ca="1">IFERROR(__xludf.DUMMYFUNCTION("IMPORTRANGE(""https://docs.google.com/spreadsheets/d/11923uPwbBZFjjGgGUA6NLw09EwE0CqkOc4q9oUmW1yo/edit?usp=sharing"",""ลำปาง!I405"")"),0)</f>
        <v>0</v>
      </c>
      <c r="J510" s="197">
        <f ca="1">IFERROR(__xludf.DUMMYFUNCTION("IMPORTRANGE(""https://docs.google.com/spreadsheets/d/11923uPwbBZFjjGgGUA6NLw09EwE0CqkOc4q9oUmW1yo/edit?usp=sharing"",""ลำปาง!J405"")"),0)</f>
        <v>0</v>
      </c>
      <c r="K510" s="163">
        <f t="shared" ca="1" si="117"/>
        <v>0</v>
      </c>
      <c r="L510" s="181"/>
      <c r="M510" s="181"/>
      <c r="N510" s="181"/>
      <c r="O510" s="181"/>
      <c r="P510" s="181"/>
    </row>
    <row r="511" spans="1:16" ht="21.75" customHeight="1" x14ac:dyDescent="0.3">
      <c r="A511" s="175"/>
      <c r="B511" s="176"/>
      <c r="C511" s="176"/>
      <c r="D511" s="193"/>
      <c r="E511" s="195"/>
      <c r="F511" s="195"/>
      <c r="G511" s="195"/>
      <c r="H511" s="420" t="s">
        <v>36</v>
      </c>
      <c r="I511" s="187">
        <f ca="1">IFERROR(__xludf.DUMMYFUNCTION("IMPORTRANGE(""https://docs.google.com/spreadsheets/d/11923uPwbBZFjjGgGUA6NLw09EwE0CqkOc4q9oUmW1yo/edit?usp=sharing"",""ลำปาง!I406"")"),0)</f>
        <v>0</v>
      </c>
      <c r="J511" s="197">
        <f ca="1">IFERROR(__xludf.DUMMYFUNCTION("IMPORTRANGE(""https://docs.google.com/spreadsheets/d/11923uPwbBZFjjGgGUA6NLw09EwE0CqkOc4q9oUmW1yo/edit?usp=sharing"",""ลำปาง!J406"")"),0)</f>
        <v>0</v>
      </c>
      <c r="K511" s="163">
        <f t="shared" ca="1" si="117"/>
        <v>0</v>
      </c>
      <c r="L511" s="181"/>
      <c r="M511" s="181"/>
      <c r="N511" s="181"/>
      <c r="O511" s="181"/>
      <c r="P511" s="181"/>
    </row>
    <row r="512" spans="1:16" ht="21.75" customHeight="1" x14ac:dyDescent="0.3">
      <c r="A512" s="175"/>
      <c r="B512" s="176"/>
      <c r="C512" s="176"/>
      <c r="D512" s="193"/>
      <c r="E512" s="195"/>
      <c r="F512" s="194" t="s">
        <v>191</v>
      </c>
      <c r="G512" s="195"/>
      <c r="H512" s="420" t="s">
        <v>122</v>
      </c>
      <c r="I512" s="187">
        <f ca="1">IFERROR(__xludf.DUMMYFUNCTION("IMPORTRANGE(""https://docs.google.com/spreadsheets/d/11923uPwbBZFjjGgGUA6NLw09EwE0CqkOc4q9oUmW1yo/edit?usp=sharing"",""ลำปาง!I407"")"),0)</f>
        <v>0</v>
      </c>
      <c r="J512" s="197">
        <f ca="1">IFERROR(__xludf.DUMMYFUNCTION("IMPORTRANGE(""https://docs.google.com/spreadsheets/d/11923uPwbBZFjjGgGUA6NLw09EwE0CqkOc4q9oUmW1yo/edit?usp=sharing"",""ลำปาง!J407"")"),0)</f>
        <v>0</v>
      </c>
      <c r="K512" s="163">
        <f t="shared" ca="1" si="117"/>
        <v>0</v>
      </c>
      <c r="L512" s="181"/>
      <c r="M512" s="181"/>
      <c r="N512" s="181"/>
      <c r="O512" s="181"/>
      <c r="P512" s="181"/>
    </row>
    <row r="513" spans="1:16" ht="21.75" customHeight="1" x14ac:dyDescent="0.3">
      <c r="A513" s="175"/>
      <c r="B513" s="176"/>
      <c r="C513" s="176"/>
      <c r="D513" s="193"/>
      <c r="E513" s="195"/>
      <c r="F513" s="195"/>
      <c r="G513" s="196"/>
      <c r="H513" s="420" t="s">
        <v>36</v>
      </c>
      <c r="I513" s="187">
        <f ca="1">IFERROR(__xludf.DUMMYFUNCTION("IMPORTRANGE(""https://docs.google.com/spreadsheets/d/11923uPwbBZFjjGgGUA6NLw09EwE0CqkOc4q9oUmW1yo/edit?usp=sharing"",""ลำปาง!I408"")"),0)</f>
        <v>0</v>
      </c>
      <c r="J513" s="197">
        <f ca="1">IFERROR(__xludf.DUMMYFUNCTION("IMPORTRANGE(""https://docs.google.com/spreadsheets/d/11923uPwbBZFjjGgGUA6NLw09EwE0CqkOc4q9oUmW1yo/edit?usp=sharing"",""ลำปาง!J408"")"),0)</f>
        <v>0</v>
      </c>
      <c r="K513" s="163">
        <f t="shared" ca="1" si="117"/>
        <v>0</v>
      </c>
      <c r="L513" s="181"/>
      <c r="M513" s="181"/>
      <c r="N513" s="181"/>
      <c r="O513" s="181"/>
      <c r="P513" s="181"/>
    </row>
    <row r="514" spans="1:16" ht="21.75" customHeight="1" x14ac:dyDescent="0.3">
      <c r="A514" s="175"/>
      <c r="B514" s="176"/>
      <c r="C514" s="176"/>
      <c r="D514" s="402"/>
      <c r="E514" s="448" t="s">
        <v>192</v>
      </c>
      <c r="F514" s="195"/>
      <c r="G514" s="196"/>
      <c r="H514" s="420" t="s">
        <v>122</v>
      </c>
      <c r="I514" s="187">
        <f ca="1">IFERROR(__xludf.DUMMYFUNCTION("IMPORTRANGE(""https://docs.google.com/spreadsheets/d/11923uPwbBZFjjGgGUA6NLw09EwE0CqkOc4q9oUmW1yo/edit?usp=sharing"",""ลำปาง!I409"")"),0)</f>
        <v>0</v>
      </c>
      <c r="J514" s="197">
        <f ca="1">IFERROR(__xludf.DUMMYFUNCTION("IMPORTRANGE(""https://docs.google.com/spreadsheets/d/11923uPwbBZFjjGgGUA6NLw09EwE0CqkOc4q9oUmW1yo/edit?usp=sharing"",""ลำปาง!J409"")"),0)</f>
        <v>0</v>
      </c>
      <c r="K514" s="163">
        <f t="shared" ca="1" si="117"/>
        <v>0</v>
      </c>
      <c r="L514" s="181"/>
      <c r="M514" s="181"/>
      <c r="N514" s="181"/>
      <c r="O514" s="181"/>
      <c r="P514" s="181"/>
    </row>
    <row r="515" spans="1:16" ht="21.75" customHeight="1" x14ac:dyDescent="0.3">
      <c r="A515" s="175"/>
      <c r="B515" s="176"/>
      <c r="C515" s="176"/>
      <c r="D515" s="193"/>
      <c r="E515" s="195"/>
      <c r="F515" s="195"/>
      <c r="G515" s="196"/>
      <c r="H515" s="420" t="s">
        <v>36</v>
      </c>
      <c r="I515" s="187">
        <f ca="1">IFERROR(__xludf.DUMMYFUNCTION("IMPORTRANGE(""https://docs.google.com/spreadsheets/d/11923uPwbBZFjjGgGUA6NLw09EwE0CqkOc4q9oUmW1yo/edit?usp=sharing"",""ลำปาง!I410"")"),0)</f>
        <v>0</v>
      </c>
      <c r="J515" s="197">
        <f ca="1">IFERROR(__xludf.DUMMYFUNCTION("IMPORTRANGE(""https://docs.google.com/spreadsheets/d/11923uPwbBZFjjGgGUA6NLw09EwE0CqkOc4q9oUmW1yo/edit?usp=sharing"",""ลำปาง!J410"")"),0)</f>
        <v>0</v>
      </c>
      <c r="K515" s="163">
        <f t="shared" ca="1" si="117"/>
        <v>0</v>
      </c>
      <c r="L515" s="181"/>
      <c r="M515" s="181"/>
      <c r="N515" s="181"/>
      <c r="O515" s="181"/>
      <c r="P515" s="181"/>
    </row>
    <row r="516" spans="1:16" ht="21.75" customHeight="1" x14ac:dyDescent="0.3">
      <c r="A516" s="175"/>
      <c r="B516" s="176"/>
      <c r="C516" s="413" t="s">
        <v>193</v>
      </c>
      <c r="D516" s="413"/>
      <c r="E516" s="449"/>
      <c r="F516" s="449"/>
      <c r="G516" s="450"/>
      <c r="H516" s="451" t="s">
        <v>122</v>
      </c>
      <c r="I516" s="266">
        <f ca="1">IFERROR(__xludf.DUMMYFUNCTION("IMPORTRANGE(""https://docs.google.com/spreadsheets/d/11923uPwbBZFjjGgGUA6NLw09EwE0CqkOc4q9oUmW1yo/edit?usp=sharing"",""ลำปาง!I411"")"),0)</f>
        <v>0</v>
      </c>
      <c r="J516" s="266">
        <f ca="1">IFERROR(__xludf.DUMMYFUNCTION("IMPORTRANGE(""https://docs.google.com/spreadsheets/d/11923uPwbBZFjjGgGUA6NLw09EwE0CqkOc4q9oUmW1yo/edit?usp=sharing"",""ลำปาง!J411"")"),0)</f>
        <v>0</v>
      </c>
      <c r="K516" s="267">
        <v>0</v>
      </c>
      <c r="L516" s="181"/>
      <c r="M516" s="181"/>
      <c r="N516" s="181"/>
      <c r="O516" s="181"/>
      <c r="P516" s="181"/>
    </row>
    <row r="517" spans="1:16" ht="21.75" customHeight="1" x14ac:dyDescent="0.3">
      <c r="A517" s="175"/>
      <c r="B517" s="176"/>
      <c r="C517" s="452"/>
      <c r="D517" s="452"/>
      <c r="E517" s="452" t="s">
        <v>194</v>
      </c>
      <c r="F517" s="453"/>
      <c r="G517" s="454"/>
      <c r="H517" s="455" t="s">
        <v>122</v>
      </c>
      <c r="I517" s="282">
        <f ca="1">IFERROR(__xludf.DUMMYFUNCTION("IMPORTRANGE(""https://docs.google.com/spreadsheets/d/11923uPwbBZFjjGgGUA6NLw09EwE0CqkOc4q9oUmW1yo/edit?usp=sharing"",""ลำปาง!I412"")"),0)</f>
        <v>0</v>
      </c>
      <c r="J517" s="282">
        <f ca="1">IFERROR(__xludf.DUMMYFUNCTION("IMPORTRANGE(""https://docs.google.com/spreadsheets/d/11923uPwbBZFjjGgGUA6NLw09EwE0CqkOc4q9oUmW1yo/edit?usp=sharing"",""ลำปาง!J412"")"),0)</f>
        <v>0</v>
      </c>
      <c r="K517" s="283">
        <v>0</v>
      </c>
      <c r="L517" s="181"/>
      <c r="M517" s="181"/>
      <c r="N517" s="181"/>
      <c r="O517" s="181"/>
      <c r="P517" s="181"/>
    </row>
    <row r="518" spans="1:16" ht="21.75" customHeight="1" x14ac:dyDescent="0.3">
      <c r="A518" s="175"/>
      <c r="B518" s="176"/>
      <c r="C518" s="452"/>
      <c r="D518" s="452"/>
      <c r="E518" s="452" t="s">
        <v>195</v>
      </c>
      <c r="F518" s="453"/>
      <c r="G518" s="454"/>
      <c r="H518" s="455" t="s">
        <v>36</v>
      </c>
      <c r="I518" s="282">
        <f ca="1">IFERROR(__xludf.DUMMYFUNCTION("IMPORTRANGE(""https://docs.google.com/spreadsheets/d/11923uPwbBZFjjGgGUA6NLw09EwE0CqkOc4q9oUmW1yo/edit?usp=sharing"",""ลำปาง!I413"")"),0)</f>
        <v>0</v>
      </c>
      <c r="J518" s="282">
        <f ca="1">IFERROR(__xludf.DUMMYFUNCTION("IMPORTRANGE(""https://docs.google.com/spreadsheets/d/11923uPwbBZFjjGgGUA6NLw09EwE0CqkOc4q9oUmW1yo/edit?usp=sharing"",""ลำปาง!J413"")"),0)</f>
        <v>0</v>
      </c>
      <c r="K518" s="283">
        <v>0</v>
      </c>
      <c r="L518" s="181"/>
      <c r="M518" s="181"/>
      <c r="N518" s="181"/>
      <c r="O518" s="181"/>
      <c r="P518" s="181"/>
    </row>
    <row r="519" spans="1:16" ht="21.75" customHeight="1" x14ac:dyDescent="0.3">
      <c r="A519" s="175"/>
      <c r="B519" s="176"/>
      <c r="C519" s="176"/>
      <c r="D519" s="193"/>
      <c r="E519" s="195"/>
      <c r="F519" s="195"/>
      <c r="G519" s="225" t="s">
        <v>196</v>
      </c>
      <c r="H519" s="420" t="s">
        <v>122</v>
      </c>
      <c r="I519" s="187">
        <f ca="1">IFERROR(__xludf.DUMMYFUNCTION("IMPORTRANGE(""https://docs.google.com/spreadsheets/d/11923uPwbBZFjjGgGUA6NLw09EwE0CqkOc4q9oUmW1yo/edit?usp=sharing"",""ลำปาง!I414"")"),0)</f>
        <v>0</v>
      </c>
      <c r="J519" s="187">
        <f ca="1">IFERROR(__xludf.DUMMYFUNCTION("IMPORTRANGE(""https://docs.google.com/spreadsheets/d/11923uPwbBZFjjGgGUA6NLw09EwE0CqkOc4q9oUmW1yo/edit?usp=sharing"",""ลำปาง!J414"")"),0)</f>
        <v>0</v>
      </c>
      <c r="K519" s="163">
        <v>0</v>
      </c>
      <c r="L519" s="181"/>
      <c r="M519" s="181"/>
      <c r="N519" s="181"/>
      <c r="O519" s="181"/>
      <c r="P519" s="181"/>
    </row>
    <row r="520" spans="1:16" ht="21.75" customHeight="1" x14ac:dyDescent="0.3">
      <c r="A520" s="175"/>
      <c r="B520" s="176"/>
      <c r="C520" s="176"/>
      <c r="D520" s="193"/>
      <c r="E520" s="195"/>
      <c r="F520" s="195"/>
      <c r="G520" s="196"/>
      <c r="H520" s="420" t="s">
        <v>36</v>
      </c>
      <c r="I520" s="187">
        <f ca="1">IFERROR(__xludf.DUMMYFUNCTION("IMPORTRANGE(""https://docs.google.com/spreadsheets/d/11923uPwbBZFjjGgGUA6NLw09EwE0CqkOc4q9oUmW1yo/edit?usp=sharing"",""ลำปาง!I415"")"),0)</f>
        <v>0</v>
      </c>
      <c r="J520" s="187">
        <f ca="1">IFERROR(__xludf.DUMMYFUNCTION("IMPORTRANGE(""https://docs.google.com/spreadsheets/d/11923uPwbBZFjjGgGUA6NLw09EwE0CqkOc4q9oUmW1yo/edit?usp=sharing"",""ลำปาง!J415"")"),0)</f>
        <v>0</v>
      </c>
      <c r="K520" s="163">
        <v>0</v>
      </c>
      <c r="L520" s="181"/>
      <c r="M520" s="181"/>
      <c r="N520" s="181"/>
      <c r="O520" s="181"/>
      <c r="P520" s="181"/>
    </row>
    <row r="521" spans="1:16" ht="21.75" customHeight="1" x14ac:dyDescent="0.3">
      <c r="A521" s="175"/>
      <c r="B521" s="176"/>
      <c r="C521" s="176"/>
      <c r="D521" s="193"/>
      <c r="E521" s="195"/>
      <c r="F521" s="195"/>
      <c r="G521" s="225" t="s">
        <v>197</v>
      </c>
      <c r="H521" s="420" t="s">
        <v>122</v>
      </c>
      <c r="I521" s="187">
        <f ca="1">IFERROR(__xludf.DUMMYFUNCTION("IMPORTRANGE(""https://docs.google.com/spreadsheets/d/11923uPwbBZFjjGgGUA6NLw09EwE0CqkOc4q9oUmW1yo/edit?usp=sharing"",""ลำปาง!I416"")"),0)</f>
        <v>0</v>
      </c>
      <c r="J521" s="187">
        <f ca="1">IFERROR(__xludf.DUMMYFUNCTION("IMPORTRANGE(""https://docs.google.com/spreadsheets/d/11923uPwbBZFjjGgGUA6NLw09EwE0CqkOc4q9oUmW1yo/edit?usp=sharing"",""ลำปาง!J416"")"),0)</f>
        <v>0</v>
      </c>
      <c r="K521" s="163">
        <v>0</v>
      </c>
      <c r="L521" s="181"/>
      <c r="M521" s="181"/>
      <c r="N521" s="181"/>
      <c r="O521" s="181"/>
      <c r="P521" s="181"/>
    </row>
    <row r="522" spans="1:16" ht="21.75" customHeight="1" x14ac:dyDescent="0.3">
      <c r="A522" s="175"/>
      <c r="B522" s="176"/>
      <c r="C522" s="176"/>
      <c r="D522" s="193"/>
      <c r="E522" s="195"/>
      <c r="F522" s="195"/>
      <c r="G522" s="196"/>
      <c r="H522" s="420" t="s">
        <v>36</v>
      </c>
      <c r="I522" s="187">
        <f ca="1">IFERROR(__xludf.DUMMYFUNCTION("IMPORTRANGE(""https://docs.google.com/spreadsheets/d/11923uPwbBZFjjGgGUA6NLw09EwE0CqkOc4q9oUmW1yo/edit?usp=sharing"",""ลำปาง!I417"")"),0)</f>
        <v>0</v>
      </c>
      <c r="J522" s="187">
        <f ca="1">IFERROR(__xludf.DUMMYFUNCTION("IMPORTRANGE(""https://docs.google.com/spreadsheets/d/11923uPwbBZFjjGgGUA6NLw09EwE0CqkOc4q9oUmW1yo/edit?usp=sharing"",""ลำปาง!J417"")"),0)</f>
        <v>0</v>
      </c>
      <c r="K522" s="163">
        <v>0</v>
      </c>
      <c r="L522" s="181"/>
      <c r="M522" s="181"/>
      <c r="N522" s="181"/>
      <c r="O522" s="181"/>
      <c r="P522" s="181"/>
    </row>
    <row r="523" spans="1:16" ht="21.75" customHeight="1" x14ac:dyDescent="0.3">
      <c r="A523" s="175"/>
      <c r="B523" s="176"/>
      <c r="C523" s="176"/>
      <c r="D523" s="193"/>
      <c r="E523" s="195"/>
      <c r="F523" s="195"/>
      <c r="G523" s="456" t="s">
        <v>198</v>
      </c>
      <c r="H523" s="420" t="s">
        <v>122</v>
      </c>
      <c r="I523" s="187">
        <f ca="1">IFERROR(__xludf.DUMMYFUNCTION("IMPORTRANGE(""https://docs.google.com/spreadsheets/d/11923uPwbBZFjjGgGUA6NLw09EwE0CqkOc4q9oUmW1yo/edit?usp=sharing"",""ลำปาง!I418"")"),0)</f>
        <v>0</v>
      </c>
      <c r="J523" s="187">
        <f ca="1">IFERROR(__xludf.DUMMYFUNCTION("IMPORTRANGE(""https://docs.google.com/spreadsheets/d/11923uPwbBZFjjGgGUA6NLw09EwE0CqkOc4q9oUmW1yo/edit?usp=sharing"",""ลำปาง!J418"")"),17)</f>
        <v>17</v>
      </c>
      <c r="K523" s="163">
        <v>0</v>
      </c>
      <c r="L523" s="181"/>
      <c r="M523" s="181"/>
      <c r="N523" s="181"/>
      <c r="O523" s="181"/>
      <c r="P523" s="181"/>
    </row>
    <row r="524" spans="1:16" ht="21.75" customHeight="1" x14ac:dyDescent="0.3">
      <c r="A524" s="175"/>
      <c r="B524" s="176"/>
      <c r="C524" s="176"/>
      <c r="D524" s="193"/>
      <c r="E524" s="195"/>
      <c r="F524" s="195"/>
      <c r="G524" s="196"/>
      <c r="H524" s="420" t="s">
        <v>36</v>
      </c>
      <c r="I524" s="187">
        <f ca="1">IFERROR(__xludf.DUMMYFUNCTION("IMPORTRANGE(""https://docs.google.com/spreadsheets/d/11923uPwbBZFjjGgGUA6NLw09EwE0CqkOc4q9oUmW1yo/edit?usp=sharing"",""ลำปาง!I419"")"),0)</f>
        <v>0</v>
      </c>
      <c r="J524" s="187">
        <f ca="1">IFERROR(__xludf.DUMMYFUNCTION("IMPORTRANGE(""https://docs.google.com/spreadsheets/d/11923uPwbBZFjjGgGUA6NLw09EwE0CqkOc4q9oUmW1yo/edit?usp=sharing"",""ลำปาง!J419"")"),1)</f>
        <v>1</v>
      </c>
      <c r="K524" s="163">
        <v>0</v>
      </c>
      <c r="L524" s="181"/>
      <c r="M524" s="181"/>
      <c r="N524" s="181"/>
      <c r="O524" s="181"/>
      <c r="P524" s="181"/>
    </row>
    <row r="525" spans="1:16" ht="21.75" customHeight="1" x14ac:dyDescent="0.3">
      <c r="A525" s="175"/>
      <c r="B525" s="176"/>
      <c r="C525" s="452"/>
      <c r="D525" s="452"/>
      <c r="E525" s="452" t="s">
        <v>199</v>
      </c>
      <c r="F525" s="453"/>
      <c r="G525" s="454"/>
      <c r="H525" s="455" t="s">
        <v>122</v>
      </c>
      <c r="I525" s="282">
        <f ca="1">IFERROR(__xludf.DUMMYFUNCTION("IMPORTRANGE(""https://docs.google.com/spreadsheets/d/11923uPwbBZFjjGgGUA6NLw09EwE0CqkOc4q9oUmW1yo/edit?usp=sharing"",""ลำปาง!I420"")"),17)</f>
        <v>17</v>
      </c>
      <c r="J525" s="282">
        <f ca="1">IFERROR(__xludf.DUMMYFUNCTION("IMPORTRANGE(""https://docs.google.com/spreadsheets/d/11923uPwbBZFjjGgGUA6NLw09EwE0CqkOc4q9oUmW1yo/edit?usp=sharing"",""ลำปาง!J420"")"),0)</f>
        <v>0</v>
      </c>
      <c r="K525" s="283">
        <v>0</v>
      </c>
      <c r="L525" s="181"/>
      <c r="M525" s="181"/>
      <c r="N525" s="181"/>
      <c r="O525" s="181"/>
      <c r="P525" s="181"/>
    </row>
    <row r="526" spans="1:16" ht="21.75" customHeight="1" x14ac:dyDescent="0.3">
      <c r="A526" s="175"/>
      <c r="B526" s="176"/>
      <c r="C526" s="452"/>
      <c r="D526" s="452"/>
      <c r="E526" s="452" t="s">
        <v>200</v>
      </c>
      <c r="F526" s="453"/>
      <c r="G526" s="454"/>
      <c r="H526" s="455" t="s">
        <v>36</v>
      </c>
      <c r="I526" s="282">
        <f ca="1">IFERROR(__xludf.DUMMYFUNCTION("IMPORTRANGE(""https://docs.google.com/spreadsheets/d/11923uPwbBZFjjGgGUA6NLw09EwE0CqkOc4q9oUmW1yo/edit?usp=sharing"",""ลำปาง!I421"")"),1)</f>
        <v>1</v>
      </c>
      <c r="J526" s="282">
        <f ca="1">IFERROR(__xludf.DUMMYFUNCTION("IMPORTRANGE(""https://docs.google.com/spreadsheets/d/11923uPwbBZFjjGgGUA6NLw09EwE0CqkOc4q9oUmW1yo/edit?usp=sharing"",""ลำปาง!J421"")"),0)</f>
        <v>0</v>
      </c>
      <c r="K526" s="283">
        <v>0</v>
      </c>
      <c r="L526" s="181"/>
      <c r="M526" s="181"/>
      <c r="N526" s="181"/>
      <c r="O526" s="181"/>
      <c r="P526" s="181"/>
    </row>
    <row r="527" spans="1:16" ht="21.75" customHeight="1" x14ac:dyDescent="0.3">
      <c r="A527" s="175"/>
      <c r="B527" s="176"/>
      <c r="C527" s="176"/>
      <c r="D527" s="193"/>
      <c r="E527" s="195"/>
      <c r="F527" s="195"/>
      <c r="G527" s="225" t="s">
        <v>196</v>
      </c>
      <c r="H527" s="420" t="s">
        <v>122</v>
      </c>
      <c r="I527" s="187">
        <f ca="1">IFERROR(__xludf.DUMMYFUNCTION("IMPORTRANGE(""https://docs.google.com/spreadsheets/d/11923uPwbBZFjjGgGUA6NLw09EwE0CqkOc4q9oUmW1yo/edit?usp=sharing"",""ลำปาง!I422"")"),0)</f>
        <v>0</v>
      </c>
      <c r="J527" s="197">
        <f ca="1">IFERROR(__xludf.DUMMYFUNCTION("IMPORTRANGE(""https://docs.google.com/spreadsheets/d/11923uPwbBZFjjGgGUA6NLw09EwE0CqkOc4q9oUmW1yo/edit?usp=sharing"",""ลำปาง!J422"")"),0)</f>
        <v>0</v>
      </c>
      <c r="K527" s="163">
        <v>0</v>
      </c>
      <c r="L527" s="181"/>
      <c r="M527" s="181"/>
      <c r="N527" s="181"/>
      <c r="O527" s="181"/>
      <c r="P527" s="181"/>
    </row>
    <row r="528" spans="1:16" ht="21.75" customHeight="1" x14ac:dyDescent="0.3">
      <c r="A528" s="175"/>
      <c r="B528" s="176"/>
      <c r="C528" s="176"/>
      <c r="D528" s="193"/>
      <c r="E528" s="195"/>
      <c r="F528" s="195"/>
      <c r="G528" s="196"/>
      <c r="H528" s="420" t="s">
        <v>36</v>
      </c>
      <c r="I528" s="187">
        <f ca="1">IFERROR(__xludf.DUMMYFUNCTION("IMPORTRANGE(""https://docs.google.com/spreadsheets/d/11923uPwbBZFjjGgGUA6NLw09EwE0CqkOc4q9oUmW1yo/edit?usp=sharing"",""ลำปาง!I423"")"),0)</f>
        <v>0</v>
      </c>
      <c r="J528" s="197">
        <f ca="1">IFERROR(__xludf.DUMMYFUNCTION("IMPORTRANGE(""https://docs.google.com/spreadsheets/d/11923uPwbBZFjjGgGUA6NLw09EwE0CqkOc4q9oUmW1yo/edit?usp=sharing"",""ลำปาง!J423"")"),0)</f>
        <v>0</v>
      </c>
      <c r="K528" s="163">
        <v>0</v>
      </c>
      <c r="L528" s="181"/>
      <c r="M528" s="181"/>
      <c r="N528" s="181"/>
      <c r="O528" s="181"/>
      <c r="P528" s="181"/>
    </row>
    <row r="529" spans="1:16" ht="21.75" customHeight="1" x14ac:dyDescent="0.3">
      <c r="A529" s="175"/>
      <c r="B529" s="176"/>
      <c r="C529" s="176"/>
      <c r="D529" s="193"/>
      <c r="E529" s="195"/>
      <c r="F529" s="195"/>
      <c r="G529" s="225" t="s">
        <v>197</v>
      </c>
      <c r="H529" s="420" t="s">
        <v>122</v>
      </c>
      <c r="I529" s="187">
        <f ca="1">IFERROR(__xludf.DUMMYFUNCTION("IMPORTRANGE(""https://docs.google.com/spreadsheets/d/11923uPwbBZFjjGgGUA6NLw09EwE0CqkOc4q9oUmW1yo/edit?usp=sharing"",""ลำปาง!I424"")"),0)</f>
        <v>0</v>
      </c>
      <c r="J529" s="197">
        <f ca="1">IFERROR(__xludf.DUMMYFUNCTION("IMPORTRANGE(""https://docs.google.com/spreadsheets/d/11923uPwbBZFjjGgGUA6NLw09EwE0CqkOc4q9oUmW1yo/edit?usp=sharing"",""ลำปาง!J424"")"),0)</f>
        <v>0</v>
      </c>
      <c r="K529" s="163">
        <v>0</v>
      </c>
      <c r="L529" s="181"/>
      <c r="M529" s="181"/>
      <c r="N529" s="181"/>
      <c r="O529" s="181"/>
      <c r="P529" s="181"/>
    </row>
    <row r="530" spans="1:16" ht="21.75" customHeight="1" x14ac:dyDescent="0.3">
      <c r="A530" s="175"/>
      <c r="B530" s="176"/>
      <c r="C530" s="176"/>
      <c r="D530" s="193"/>
      <c r="E530" s="195"/>
      <c r="F530" s="195"/>
      <c r="G530" s="196"/>
      <c r="H530" s="420" t="s">
        <v>36</v>
      </c>
      <c r="I530" s="187">
        <f ca="1">IFERROR(__xludf.DUMMYFUNCTION("IMPORTRANGE(""https://docs.google.com/spreadsheets/d/11923uPwbBZFjjGgGUA6NLw09EwE0CqkOc4q9oUmW1yo/edit?usp=sharing"",""ลำปาง!I425"")"),0)</f>
        <v>0</v>
      </c>
      <c r="J530" s="197">
        <f ca="1">IFERROR(__xludf.DUMMYFUNCTION("IMPORTRANGE(""https://docs.google.com/spreadsheets/d/11923uPwbBZFjjGgGUA6NLw09EwE0CqkOc4q9oUmW1yo/edit?usp=sharing"",""ลำปาง!J425"")"),0)</f>
        <v>0</v>
      </c>
      <c r="K530" s="163">
        <v>0</v>
      </c>
      <c r="L530" s="181"/>
      <c r="M530" s="181"/>
      <c r="N530" s="181"/>
      <c r="O530" s="181"/>
      <c r="P530" s="181"/>
    </row>
    <row r="531" spans="1:16" ht="21.75" customHeight="1" x14ac:dyDescent="0.3">
      <c r="A531" s="175"/>
      <c r="B531" s="176"/>
      <c r="C531" s="176"/>
      <c r="D531" s="193"/>
      <c r="E531" s="195"/>
      <c r="F531" s="195"/>
      <c r="G531" s="225" t="s">
        <v>201</v>
      </c>
      <c r="H531" s="420" t="s">
        <v>122</v>
      </c>
      <c r="I531" s="187">
        <f ca="1">IFERROR(__xludf.DUMMYFUNCTION("IMPORTRANGE(""https://docs.google.com/spreadsheets/d/11923uPwbBZFjjGgGUA6NLw09EwE0CqkOc4q9oUmW1yo/edit?usp=sharing"",""ลำปาง!I426"")"),0)</f>
        <v>0</v>
      </c>
      <c r="J531" s="197">
        <f ca="1">IFERROR(__xludf.DUMMYFUNCTION("IMPORTRANGE(""https://docs.google.com/spreadsheets/d/11923uPwbBZFjjGgGUA6NLw09EwE0CqkOc4q9oUmW1yo/edit?usp=sharing"",""ลำปาง!J426"")"),0)</f>
        <v>0</v>
      </c>
      <c r="K531" s="163">
        <v>0</v>
      </c>
      <c r="L531" s="181"/>
      <c r="M531" s="181"/>
      <c r="N531" s="181"/>
      <c r="O531" s="181"/>
      <c r="P531" s="181"/>
    </row>
    <row r="532" spans="1:16" ht="21.75" customHeight="1" x14ac:dyDescent="0.3">
      <c r="A532" s="457"/>
      <c r="B532" s="458"/>
      <c r="C532" s="458"/>
      <c r="D532" s="459"/>
      <c r="E532" s="460"/>
      <c r="F532" s="460"/>
      <c r="G532" s="461"/>
      <c r="H532" s="462" t="s">
        <v>36</v>
      </c>
      <c r="I532" s="463">
        <f ca="1">IFERROR(__xludf.DUMMYFUNCTION("IMPORTRANGE(""https://docs.google.com/spreadsheets/d/11923uPwbBZFjjGgGUA6NLw09EwE0CqkOc4q9oUmW1yo/edit?usp=sharing"",""ลำปาง!I427"")"),0)</f>
        <v>0</v>
      </c>
      <c r="J532" s="464">
        <f ca="1">IFERROR(__xludf.DUMMYFUNCTION("IMPORTRANGE(""https://docs.google.com/spreadsheets/d/11923uPwbBZFjjGgGUA6NLw09EwE0CqkOc4q9oUmW1yo/edit?usp=sharing"",""ลำปาง!J427"")"),0)</f>
        <v>0</v>
      </c>
      <c r="K532" s="465">
        <v>0</v>
      </c>
      <c r="L532" s="466"/>
      <c r="M532" s="466"/>
      <c r="N532" s="466"/>
      <c r="O532" s="466"/>
      <c r="P532" s="466"/>
    </row>
    <row r="533" spans="1:16" ht="21.75" customHeight="1" x14ac:dyDescent="0.3">
      <c r="A533" s="403"/>
      <c r="B533" s="404">
        <v>6</v>
      </c>
      <c r="C533" s="405" t="s">
        <v>202</v>
      </c>
      <c r="D533" s="405"/>
      <c r="E533" s="405"/>
      <c r="F533" s="405"/>
      <c r="G533" s="406"/>
      <c r="H533" s="407" t="s">
        <v>37</v>
      </c>
      <c r="I533" s="408">
        <f ca="1">IFERROR(__xludf.DUMMYFUNCTION("IMPORTRANGE(""https://docs.google.com/spreadsheets/d/11923uPwbBZFjjGgGUA6NLw09EwE0CqkOc4q9oUmW1yo/edit?usp=sharing"",""ลำปาง!I428"")"),22)</f>
        <v>22</v>
      </c>
      <c r="J533" s="408">
        <f ca="1">IFERROR(__xludf.DUMMYFUNCTION("IMPORTRANGE(""https://docs.google.com/spreadsheets/d/11923uPwbBZFjjGgGUA6NLw09EwE0CqkOc4q9oUmW1yo/edit?usp=sharing"",""ลำปาง!J428"")"),22)</f>
        <v>22</v>
      </c>
      <c r="K533" s="409">
        <f ca="1">IF(I533&gt;0,J533*100/I533,0)</f>
        <v>100</v>
      </c>
      <c r="L533" s="410">
        <f ca="1">IFERROR(__xludf.DUMMYFUNCTION("IMPORTRANGE(""https://docs.google.com/spreadsheets/d/11923uPwbBZFjjGgGUA6NLw09EwE0CqkOc4q9oUmW1yo/edit?usp=sharing"",""ลำปาง!L428"")"),34340)</f>
        <v>34340</v>
      </c>
      <c r="M533" s="410"/>
      <c r="N533" s="410">
        <f ca="1">IFERROR(__xludf.DUMMYFUNCTION("IMPORTRANGE(""https://docs.google.com/spreadsheets/d/11923uPwbBZFjjGgGUA6NLw09EwE0CqkOc4q9oUmW1yo/edit?usp=sharing"",""ลำปาง!M428"")"),28015.2399999999)</f>
        <v>28015.2399999999</v>
      </c>
      <c r="O533" s="410">
        <f t="shared" ref="O533:O537" ca="1" si="118">+IF(L533&gt;0,N533*100/L533,0)</f>
        <v>81.581945253348565</v>
      </c>
      <c r="P533" s="410"/>
    </row>
    <row r="534" spans="1:16" ht="21.75" customHeight="1" x14ac:dyDescent="0.3">
      <c r="A534" s="156"/>
      <c r="B534" s="157"/>
      <c r="C534" s="157" t="s">
        <v>16</v>
      </c>
      <c r="D534" s="158" t="s">
        <v>38</v>
      </c>
      <c r="E534" s="159"/>
      <c r="F534" s="159"/>
      <c r="G534" s="160" t="s">
        <v>39</v>
      </c>
      <c r="H534" s="161" t="s">
        <v>12</v>
      </c>
      <c r="I534" s="162" t="s">
        <v>40</v>
      </c>
      <c r="J534" s="162"/>
      <c r="K534" s="163"/>
      <c r="L534" s="164">
        <f ca="1">IFERROR(__xludf.DUMMYFUNCTION("IMPORTRANGE(""https://docs.google.com/spreadsheets/d/11923uPwbBZFjjGgGUA6NLw09EwE0CqkOc4q9oUmW1yo/edit?usp=sharing"",""ลำปาง!L429"")"),0)</f>
        <v>0</v>
      </c>
      <c r="M534" s="164"/>
      <c r="N534" s="168">
        <f ca="1">IFERROR(__xludf.DUMMYFUNCTION("IMPORTRANGE(""https://docs.google.com/spreadsheets/d/11923uPwbBZFjjGgGUA6NLw09EwE0CqkOc4q9oUmW1yo/edit?usp=sharing"",""ลำปาง!M429"")"),0)</f>
        <v>0</v>
      </c>
      <c r="O534" s="168">
        <f t="shared" ca="1" si="118"/>
        <v>0</v>
      </c>
      <c r="P534" s="168"/>
    </row>
    <row r="535" spans="1:16" ht="21.75" customHeight="1" x14ac:dyDescent="0.3">
      <c r="A535" s="156"/>
      <c r="B535" s="157"/>
      <c r="C535" s="157"/>
      <c r="D535" s="166"/>
      <c r="E535" s="159"/>
      <c r="F535" s="159" t="s">
        <v>40</v>
      </c>
      <c r="G535" s="160" t="s">
        <v>41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IFERROR(__xludf.DUMMYFUNCTION("IMPORTRANGE(""https://docs.google.com/spreadsheets/d/11923uPwbBZFjjGgGUA6NLw09EwE0CqkOc4q9oUmW1yo/edit?usp=sharing"",""ลำปาง!L430"")"),34340)</f>
        <v>34340</v>
      </c>
      <c r="M535" s="165"/>
      <c r="N535" s="168">
        <f ca="1">IFERROR(__xludf.DUMMYFUNCTION("IMPORTRANGE(""https://docs.google.com/spreadsheets/d/11923uPwbBZFjjGgGUA6NLw09EwE0CqkOc4q9oUmW1yo/edit?usp=sharing"",""ลำปาง!M430"")"),28015.2399999999)</f>
        <v>28015.2399999999</v>
      </c>
      <c r="O535" s="168">
        <f t="shared" ca="1" si="118"/>
        <v>81.581945253348565</v>
      </c>
      <c r="P535" s="168"/>
    </row>
    <row r="536" spans="1:16" ht="21.75" customHeight="1" x14ac:dyDescent="0.3">
      <c r="A536" s="156"/>
      <c r="B536" s="157"/>
      <c r="C536" s="157"/>
      <c r="D536" s="166"/>
      <c r="E536" s="159"/>
      <c r="F536" s="159"/>
      <c r="G536" s="372" t="s">
        <v>129</v>
      </c>
      <c r="H536" s="161" t="s">
        <v>12</v>
      </c>
      <c r="I536" s="162"/>
      <c r="J536" s="162"/>
      <c r="K536" s="163"/>
      <c r="L536" s="168">
        <f ca="1">IFERROR(__xludf.DUMMYFUNCTION("IMPORTRANGE(""https://docs.google.com/spreadsheets/d/11923uPwbBZFjjGgGUA6NLw09EwE0CqkOc4q9oUmW1yo/edit?usp=sharing"",""ลำปาง!L431"")"),0)</f>
        <v>0</v>
      </c>
      <c r="M536" s="168"/>
      <c r="N536" s="168">
        <f ca="1">IFERROR(__xludf.DUMMYFUNCTION("IMPORTRANGE(""https://docs.google.com/spreadsheets/d/11923uPwbBZFjjGgGUA6NLw09EwE0CqkOc4q9oUmW1yo/edit?usp=sharing"",""ลำปาง!M431"")"),0)</f>
        <v>0</v>
      </c>
      <c r="O536" s="168">
        <f t="shared" ca="1" si="118"/>
        <v>0</v>
      </c>
      <c r="P536" s="168"/>
    </row>
    <row r="537" spans="1:16" ht="21.75" customHeight="1" x14ac:dyDescent="0.3">
      <c r="A537" s="156"/>
      <c r="B537" s="157"/>
      <c r="C537" s="157"/>
      <c r="D537" s="166"/>
      <c r="E537" s="159"/>
      <c r="F537" s="159"/>
      <c r="G537" s="372" t="s">
        <v>130</v>
      </c>
      <c r="H537" s="161" t="s">
        <v>12</v>
      </c>
      <c r="I537" s="162"/>
      <c r="J537" s="162"/>
      <c r="K537" s="163"/>
      <c r="L537" s="168">
        <f ca="1">IFERROR(__xludf.DUMMYFUNCTION("IMPORTRANGE(""https://docs.google.com/spreadsheets/d/11923uPwbBZFjjGgGUA6NLw09EwE0CqkOc4q9oUmW1yo/edit?usp=sharing"",""ลำปาง!L432"")"),34340)</f>
        <v>34340</v>
      </c>
      <c r="M537" s="168"/>
      <c r="N537" s="168">
        <f ca="1">IFERROR(__xludf.DUMMYFUNCTION("IMPORTRANGE(""https://docs.google.com/spreadsheets/d/11923uPwbBZFjjGgGUA6NLw09EwE0CqkOc4q9oUmW1yo/edit?usp=sharing"",""ลำปาง!M432"")"),28015.2399999999)</f>
        <v>28015.2399999999</v>
      </c>
      <c r="O537" s="168">
        <f t="shared" ca="1" si="118"/>
        <v>81.581945253348565</v>
      </c>
      <c r="P537" s="168"/>
    </row>
    <row r="538" spans="1:16" ht="21.75" customHeight="1" x14ac:dyDescent="0.3">
      <c r="A538" s="373"/>
      <c r="B538" s="374"/>
      <c r="C538" s="157"/>
      <c r="D538" s="375"/>
      <c r="E538" s="159"/>
      <c r="F538" s="159"/>
      <c r="G538" s="376" t="s">
        <v>131</v>
      </c>
      <c r="H538" s="161" t="s">
        <v>12</v>
      </c>
      <c r="I538" s="187"/>
      <c r="J538" s="187"/>
      <c r="K538" s="223"/>
      <c r="L538" s="168"/>
      <c r="M538" s="168"/>
      <c r="N538" s="377">
        <f ca="1">IFERROR(__xludf.DUMMYFUNCTION("IMPORTRANGE(""https://docs.google.com/spreadsheets/d/11923uPwbBZFjjGgGUA6NLw09EwE0CqkOc4q9oUmW1yo/edit?usp=sharing"",""ลำปาง!M433"")"),18740)</f>
        <v>18740</v>
      </c>
      <c r="O538" s="168"/>
      <c r="P538" s="168"/>
    </row>
    <row r="539" spans="1:16" ht="21.75" customHeight="1" x14ac:dyDescent="0.3">
      <c r="A539" s="373"/>
      <c r="B539" s="374"/>
      <c r="C539" s="157"/>
      <c r="D539" s="375"/>
      <c r="E539" s="159"/>
      <c r="F539" s="159"/>
      <c r="G539" s="376" t="s">
        <v>132</v>
      </c>
      <c r="H539" s="161" t="s">
        <v>12</v>
      </c>
      <c r="I539" s="187"/>
      <c r="J539" s="187"/>
      <c r="K539" s="223"/>
      <c r="L539" s="168"/>
      <c r="M539" s="168"/>
      <c r="N539" s="377">
        <f ca="1">IFERROR(__xludf.DUMMYFUNCTION("IMPORTRANGE(""https://docs.google.com/spreadsheets/d/11923uPwbBZFjjGgGUA6NLw09EwE0CqkOc4q9oUmW1yo/edit?usp=sharing"",""ลำปาง!M434"")"),0)</f>
        <v>0</v>
      </c>
      <c r="O539" s="168"/>
      <c r="P539" s="168"/>
    </row>
    <row r="540" spans="1:16" ht="21.75" customHeight="1" x14ac:dyDescent="0.3">
      <c r="A540" s="373"/>
      <c r="B540" s="374"/>
      <c r="C540" s="157"/>
      <c r="D540" s="375"/>
      <c r="E540" s="159"/>
      <c r="F540" s="159"/>
      <c r="G540" s="376" t="s">
        <v>133</v>
      </c>
      <c r="H540" s="161" t="s">
        <v>12</v>
      </c>
      <c r="I540" s="187"/>
      <c r="J540" s="187"/>
      <c r="K540" s="223"/>
      <c r="L540" s="168"/>
      <c r="M540" s="168"/>
      <c r="N540" s="377">
        <f ca="1">IFERROR(__xludf.DUMMYFUNCTION("IMPORTRANGE(""https://docs.google.com/spreadsheets/d/11923uPwbBZFjjGgGUA6NLw09EwE0CqkOc4q9oUmW1yo/edit?usp=sharing"",""ลำปาง!M435"")"),0)</f>
        <v>0</v>
      </c>
      <c r="O540" s="168"/>
      <c r="P540" s="168"/>
    </row>
    <row r="541" spans="1:16" ht="21.75" customHeight="1" x14ac:dyDescent="0.3">
      <c r="A541" s="373"/>
      <c r="B541" s="374"/>
      <c r="C541" s="157"/>
      <c r="D541" s="375"/>
      <c r="E541" s="159"/>
      <c r="F541" s="159"/>
      <c r="G541" s="376" t="s">
        <v>134</v>
      </c>
      <c r="H541" s="161" t="s">
        <v>12</v>
      </c>
      <c r="I541" s="187"/>
      <c r="J541" s="187"/>
      <c r="K541" s="223"/>
      <c r="L541" s="168"/>
      <c r="M541" s="168"/>
      <c r="N541" s="377">
        <f ca="1">IFERROR(__xludf.DUMMYFUNCTION("IMPORTRANGE(""https://docs.google.com/spreadsheets/d/11923uPwbBZFjjGgGUA6NLw09EwE0CqkOc4q9oUmW1yo/edit?usp=sharing"",""ลำปาง!M436"")"),9275.24)</f>
        <v>9275.24</v>
      </c>
      <c r="O541" s="168"/>
      <c r="P541" s="168"/>
    </row>
    <row r="542" spans="1:16" ht="21.75" customHeight="1" x14ac:dyDescent="0.3">
      <c r="A542" s="175"/>
      <c r="B542" s="176"/>
      <c r="C542" s="157" t="s">
        <v>16</v>
      </c>
      <c r="D542" s="177" t="s">
        <v>44</v>
      </c>
      <c r="E542" s="178"/>
      <c r="F542" s="178"/>
      <c r="G542" s="179"/>
      <c r="H542" s="180"/>
      <c r="I542" s="162"/>
      <c r="J542" s="162"/>
      <c r="K542" s="163"/>
      <c r="L542" s="181"/>
      <c r="M542" s="181"/>
      <c r="N542" s="181"/>
      <c r="O542" s="181"/>
      <c r="P542" s="181"/>
    </row>
    <row r="543" spans="1:16" ht="21.75" customHeight="1" x14ac:dyDescent="0.3">
      <c r="A543" s="175"/>
      <c r="B543" s="176"/>
      <c r="C543" s="176"/>
      <c r="D543" s="182">
        <v>1</v>
      </c>
      <c r="E543" s="183" t="s">
        <v>45</v>
      </c>
      <c r="F543" s="184"/>
      <c r="G543" s="185"/>
      <c r="H543" s="186"/>
      <c r="I543" s="187"/>
      <c r="J543" s="197">
        <f ca="1">IFERROR(__xludf.DUMMYFUNCTION("IMPORTRANGE(""https://docs.google.com/spreadsheets/d/11923uPwbBZFjjGgGUA6NLw09EwE0CqkOc4q9oUmW1yo/edit?usp=sharing"",""ลำปาง!J438"")"),0)</f>
        <v>0</v>
      </c>
      <c r="K543" s="163"/>
      <c r="L543" s="181"/>
      <c r="M543" s="181"/>
      <c r="N543" s="181"/>
      <c r="O543" s="181"/>
      <c r="P543" s="181"/>
    </row>
    <row r="544" spans="1:16" ht="21.75" customHeight="1" x14ac:dyDescent="0.3">
      <c r="A544" s="175"/>
      <c r="B544" s="176"/>
      <c r="C544" s="176"/>
      <c r="D544" s="189">
        <v>2</v>
      </c>
      <c r="E544" s="190" t="s">
        <v>46</v>
      </c>
      <c r="F544" s="191"/>
      <c r="G544" s="192"/>
      <c r="H544" s="186"/>
      <c r="I544" s="187"/>
      <c r="J544" s="188">
        <f ca="1">IFERROR(__xludf.DUMMYFUNCTION("IMPORTRANGE(""https://docs.google.com/spreadsheets/d/11923uPwbBZFjjGgGUA6NLw09EwE0CqkOc4q9oUmW1yo/edit?usp=sharing"",""ลำปาง!J439"")"),1)</f>
        <v>1</v>
      </c>
      <c r="K544" s="163"/>
      <c r="L544" s="181" t="s">
        <v>40</v>
      </c>
      <c r="M544" s="181"/>
      <c r="N544" s="181" t="s">
        <v>40</v>
      </c>
      <c r="O544" s="181"/>
      <c r="P544" s="181"/>
    </row>
    <row r="545" spans="1:16" ht="21.75" customHeight="1" x14ac:dyDescent="0.3">
      <c r="A545" s="175"/>
      <c r="B545" s="176"/>
      <c r="C545" s="176"/>
      <c r="D545" s="193"/>
      <c r="E545" s="194" t="s">
        <v>47</v>
      </c>
      <c r="F545" s="195"/>
      <c r="G545" s="196"/>
      <c r="H545" s="186"/>
      <c r="I545" s="187"/>
      <c r="J545" s="188">
        <f ca="1">IFERROR(__xludf.DUMMYFUNCTION("IMPORTRANGE(""https://docs.google.com/spreadsheets/d/11923uPwbBZFjjGgGUA6NLw09EwE0CqkOc4q9oUmW1yo/edit?usp=sharing"",""ลำปาง!J440"")"),1)</f>
        <v>1</v>
      </c>
      <c r="K545" s="163"/>
      <c r="L545" s="181"/>
      <c r="M545" s="181"/>
      <c r="N545" s="181"/>
      <c r="O545" s="181"/>
      <c r="P545" s="181"/>
    </row>
    <row r="546" spans="1:16" ht="21.75" customHeight="1" x14ac:dyDescent="0.3">
      <c r="A546" s="175"/>
      <c r="B546" s="176"/>
      <c r="C546" s="176"/>
      <c r="D546" s="193"/>
      <c r="E546" s="194" t="s">
        <v>48</v>
      </c>
      <c r="F546" s="195"/>
      <c r="G546" s="196"/>
      <c r="H546" s="186"/>
      <c r="I546" s="187"/>
      <c r="J546" s="197">
        <f ca="1">IFERROR(__xludf.DUMMYFUNCTION("IMPORTRANGE(""https://docs.google.com/spreadsheets/d/11923uPwbBZFjjGgGUA6NLw09EwE0CqkOc4q9oUmW1yo/edit?usp=sharing"",""ลำปาง!J441"")"),1)</f>
        <v>1</v>
      </c>
      <c r="K546" s="163"/>
      <c r="L546" s="181"/>
      <c r="M546" s="181"/>
      <c r="N546" s="181"/>
      <c r="O546" s="181"/>
      <c r="P546" s="181"/>
    </row>
    <row r="547" spans="1:16" ht="21.75" customHeight="1" x14ac:dyDescent="0.3">
      <c r="A547" s="175"/>
      <c r="B547" s="176"/>
      <c r="C547" s="176"/>
      <c r="D547" s="193"/>
      <c r="E547" s="198"/>
      <c r="F547" s="195"/>
      <c r="G547" s="225" t="s">
        <v>203</v>
      </c>
      <c r="H547" s="186" t="s">
        <v>37</v>
      </c>
      <c r="I547" s="203">
        <f ca="1">IFERROR(__xludf.DUMMYFUNCTION("IMPORTRANGE(""https://docs.google.com/spreadsheets/d/11923uPwbBZFjjGgGUA6NLw09EwE0CqkOc4q9oUmW1yo/edit?usp=sharing"",""ลำปาง!I442"")"),22)</f>
        <v>22</v>
      </c>
      <c r="J547" s="188">
        <f ca="1">IFERROR(__xludf.DUMMYFUNCTION("IMPORTRANGE(""https://docs.google.com/spreadsheets/d/11923uPwbBZFjjGgGUA6NLw09EwE0CqkOc4q9oUmW1yo/edit?usp=sharing"",""ลำปาง!J442"")"),22)</f>
        <v>22</v>
      </c>
      <c r="K547" s="163">
        <f t="shared" ref="K547:K548" ca="1" si="119">IF(I547&gt;0,J547*100/I547,0)</f>
        <v>100</v>
      </c>
      <c r="L547" s="181"/>
      <c r="M547" s="181"/>
      <c r="N547" s="181"/>
      <c r="O547" s="181"/>
      <c r="P547" s="181"/>
    </row>
    <row r="548" spans="1:16" ht="21.75" hidden="1" customHeight="1" x14ac:dyDescent="0.3">
      <c r="A548" s="175"/>
      <c r="B548" s="176"/>
      <c r="C548" s="176"/>
      <c r="D548" s="193"/>
      <c r="E548" s="198"/>
      <c r="F548" s="195"/>
      <c r="G548" s="225" t="s">
        <v>204</v>
      </c>
      <c r="H548" s="186" t="s">
        <v>37</v>
      </c>
      <c r="I548" s="339">
        <f ca="1">IFERROR(__xludf.DUMMYFUNCTION("IMPORTRANGE(""https://docs.google.com/spreadsheets/d/1C3CXT74ZlgGe6_JY_1olB1XN4rF0dxEuIIF-xsYjHgg/edit?usp=sharing"",""งบกองทุน!dr63"")"),0)</f>
        <v>0</v>
      </c>
      <c r="J548" s="197">
        <f ca="1">IFERROR(__xludf.DUMMYFUNCTION("IMPORTRANGE(""https://docs.google.com/spreadsheets/d/11923uPwbBZFjjGgGUA6NLw09EwE0CqkOc4q9oUmW1yo/edit?usp=sharing"",""ลำปาง!J166"")"),0)</f>
        <v>0</v>
      </c>
      <c r="K548" s="163">
        <f t="shared" ca="1" si="119"/>
        <v>0</v>
      </c>
      <c r="L548" s="181"/>
      <c r="M548" s="181"/>
      <c r="N548" s="181"/>
      <c r="O548" s="181"/>
      <c r="P548" s="181"/>
    </row>
    <row r="549" spans="1:16" ht="21.75" customHeight="1" x14ac:dyDescent="0.3">
      <c r="A549" s="175"/>
      <c r="B549" s="176"/>
      <c r="C549" s="176"/>
      <c r="D549" s="193"/>
      <c r="E549" s="194" t="s">
        <v>54</v>
      </c>
      <c r="F549" s="195"/>
      <c r="G549" s="196"/>
      <c r="H549" s="186"/>
      <c r="I549" s="187"/>
      <c r="J549" s="197">
        <f ca="1">IFERROR(__xludf.DUMMYFUNCTION("IMPORTRANGE(""https://docs.google.com/spreadsheets/d/11923uPwbBZFjjGgGUA6NLw09EwE0CqkOc4q9oUmW1yo/edit?usp=sharing"",""ลำปาง!J444"")"),0)</f>
        <v>0</v>
      </c>
      <c r="K549" s="163"/>
      <c r="L549" s="181"/>
      <c r="M549" s="181"/>
      <c r="N549" s="181"/>
      <c r="O549" s="181"/>
      <c r="P549" s="181"/>
    </row>
    <row r="550" spans="1:16" ht="21.75" customHeight="1" x14ac:dyDescent="0.3">
      <c r="A550" s="457"/>
      <c r="B550" s="458"/>
      <c r="C550" s="458"/>
      <c r="D550" s="467">
        <v>3</v>
      </c>
      <c r="E550" s="468" t="s">
        <v>55</v>
      </c>
      <c r="F550" s="469"/>
      <c r="G550" s="470"/>
      <c r="H550" s="471"/>
      <c r="I550" s="463"/>
      <c r="J550" s="472">
        <f ca="1">IFERROR(__xludf.DUMMYFUNCTION("IMPORTRANGE(""https://docs.google.com/spreadsheets/d/11923uPwbBZFjjGgGUA6NLw09EwE0CqkOc4q9oUmW1yo/edit?usp=sharing"",""ลำปาง!J445"")"),0)</f>
        <v>0</v>
      </c>
      <c r="K550" s="465"/>
      <c r="L550" s="466"/>
      <c r="M550" s="466"/>
      <c r="N550" s="466"/>
      <c r="O550" s="466"/>
      <c r="P550" s="466"/>
    </row>
    <row r="551" spans="1:16" ht="21.75" customHeight="1" x14ac:dyDescent="0.3">
      <c r="A551" s="403"/>
      <c r="B551" s="404">
        <v>7</v>
      </c>
      <c r="C551" s="405" t="s">
        <v>205</v>
      </c>
      <c r="D551" s="405"/>
      <c r="E551" s="405"/>
      <c r="F551" s="405"/>
      <c r="G551" s="406"/>
      <c r="H551" s="407" t="s">
        <v>122</v>
      </c>
      <c r="I551" s="408">
        <f ca="1">IFERROR(__xludf.DUMMYFUNCTION("IMPORTRANGE(""https://docs.google.com/spreadsheets/d/11923uPwbBZFjjGgGUA6NLw09EwE0CqkOc4q9oUmW1yo/edit?usp=sharing"",""ลำปาง!I446"")"),3000)</f>
        <v>3000</v>
      </c>
      <c r="J551" s="408">
        <f ca="1">IFERROR(__xludf.DUMMYFUNCTION("IMPORTRANGE(""https://docs.google.com/spreadsheets/d/11923uPwbBZFjjGgGUA6NLw09EwE0CqkOc4q9oUmW1yo/edit?usp=sharing"",""ลำปาง!J446"")"),118)</f>
        <v>118</v>
      </c>
      <c r="K551" s="409">
        <f ca="1">IF(I551&gt;0,J551*100/I551,0)</f>
        <v>3.9333333333333331</v>
      </c>
      <c r="L551" s="410">
        <f ca="1">IFERROR(__xludf.DUMMYFUNCTION("IMPORTRANGE(""https://docs.google.com/spreadsheets/d/11923uPwbBZFjjGgGUA6NLw09EwE0CqkOc4q9oUmW1yo/edit?usp=sharing"",""ลำปาง!L446"")"),188000)</f>
        <v>188000</v>
      </c>
      <c r="M551" s="410"/>
      <c r="N551" s="410">
        <f ca="1">IFERROR(__xludf.DUMMYFUNCTION("IMPORTRANGE(""https://docs.google.com/spreadsheets/d/11923uPwbBZFjjGgGUA6NLw09EwE0CqkOc4q9oUmW1yo/edit?usp=sharing"",""ลำปาง!M446"")"),7604.24)</f>
        <v>7604.24</v>
      </c>
      <c r="O551" s="410">
        <f t="shared" ref="O551:O555" ca="1" si="120">+IF(L551&gt;0,N551*100/L551,0)</f>
        <v>4.0448085106382976</v>
      </c>
      <c r="P551" s="410"/>
    </row>
    <row r="552" spans="1:16" ht="21.75" customHeight="1" x14ac:dyDescent="0.3">
      <c r="A552" s="156"/>
      <c r="B552" s="157"/>
      <c r="C552" s="157" t="s">
        <v>16</v>
      </c>
      <c r="D552" s="158" t="s">
        <v>38</v>
      </c>
      <c r="E552" s="159"/>
      <c r="F552" s="159"/>
      <c r="G552" s="160" t="s">
        <v>39</v>
      </c>
      <c r="H552" s="161" t="s">
        <v>12</v>
      </c>
      <c r="I552" s="162" t="s">
        <v>40</v>
      </c>
      <c r="J552" s="162"/>
      <c r="K552" s="163"/>
      <c r="L552" s="164">
        <f ca="1">IFERROR(__xludf.DUMMYFUNCTION("IMPORTRANGE(""https://docs.google.com/spreadsheets/d/11923uPwbBZFjjGgGUA6NLw09EwE0CqkOc4q9oUmW1yo/edit?usp=sharing"",""ลำปาง!L447"")"),0)</f>
        <v>0</v>
      </c>
      <c r="M552" s="164"/>
      <c r="N552" s="168">
        <f ca="1">IFERROR(__xludf.DUMMYFUNCTION("IMPORTRANGE(""https://docs.google.com/spreadsheets/d/11923uPwbBZFjjGgGUA6NLw09EwE0CqkOc4q9oUmW1yo/edit?usp=sharing"",""ลำปาง!M447"")"),0)</f>
        <v>0</v>
      </c>
      <c r="O552" s="168">
        <f t="shared" ca="1" si="120"/>
        <v>0</v>
      </c>
      <c r="P552" s="168"/>
    </row>
    <row r="553" spans="1:16" ht="21.75" customHeight="1" x14ac:dyDescent="0.3">
      <c r="A553" s="156"/>
      <c r="B553" s="157"/>
      <c r="C553" s="157"/>
      <c r="D553" s="166"/>
      <c r="E553" s="159"/>
      <c r="F553" s="159" t="s">
        <v>40</v>
      </c>
      <c r="G553" s="160" t="s">
        <v>41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IFERROR(__xludf.DUMMYFUNCTION("IMPORTRANGE(""https://docs.google.com/spreadsheets/d/11923uPwbBZFjjGgGUA6NLw09EwE0CqkOc4q9oUmW1yo/edit?usp=sharing"",""ลำปาง!L448"")"),188000)</f>
        <v>188000</v>
      </c>
      <c r="M553" s="165"/>
      <c r="N553" s="168">
        <f ca="1">IFERROR(__xludf.DUMMYFUNCTION("IMPORTRANGE(""https://docs.google.com/spreadsheets/d/11923uPwbBZFjjGgGUA6NLw09EwE0CqkOc4q9oUmW1yo/edit?usp=sharing"",""ลำปาง!M448"")"),7604.24)</f>
        <v>7604.24</v>
      </c>
      <c r="O553" s="168">
        <f t="shared" ca="1" si="120"/>
        <v>4.0448085106382976</v>
      </c>
      <c r="P553" s="168"/>
    </row>
    <row r="554" spans="1:16" ht="21.75" customHeight="1" x14ac:dyDescent="0.3">
      <c r="A554" s="156"/>
      <c r="B554" s="157"/>
      <c r="C554" s="157"/>
      <c r="D554" s="166"/>
      <c r="E554" s="159"/>
      <c r="F554" s="159"/>
      <c r="G554" s="372" t="s">
        <v>129</v>
      </c>
      <c r="H554" s="161" t="s">
        <v>12</v>
      </c>
      <c r="I554" s="162"/>
      <c r="J554" s="162"/>
      <c r="K554" s="163"/>
      <c r="L554" s="168">
        <f ca="1">IFERROR(__xludf.DUMMYFUNCTION("IMPORTRANGE(""https://docs.google.com/spreadsheets/d/11923uPwbBZFjjGgGUA6NLw09EwE0CqkOc4q9oUmW1yo/edit?usp=sharing"",""ลำปาง!L449"")"),0)</f>
        <v>0</v>
      </c>
      <c r="M554" s="168"/>
      <c r="N554" s="168">
        <f ca="1">IFERROR(__xludf.DUMMYFUNCTION("IMPORTRANGE(""https://docs.google.com/spreadsheets/d/11923uPwbBZFjjGgGUA6NLw09EwE0CqkOc4q9oUmW1yo/edit?usp=sharing"",""ลำปาง!M449"")"),0)</f>
        <v>0</v>
      </c>
      <c r="O554" s="168">
        <f t="shared" ca="1" si="120"/>
        <v>0</v>
      </c>
      <c r="P554" s="168"/>
    </row>
    <row r="555" spans="1:16" ht="21.75" customHeight="1" x14ac:dyDescent="0.3">
      <c r="A555" s="156"/>
      <c r="B555" s="157"/>
      <c r="C555" s="157"/>
      <c r="D555" s="166"/>
      <c r="E555" s="159"/>
      <c r="F555" s="159"/>
      <c r="G555" s="372" t="s">
        <v>130</v>
      </c>
      <c r="H555" s="161" t="s">
        <v>12</v>
      </c>
      <c r="I555" s="162"/>
      <c r="J555" s="162"/>
      <c r="K555" s="163"/>
      <c r="L555" s="168">
        <f ca="1">IFERROR(__xludf.DUMMYFUNCTION("IMPORTRANGE(""https://docs.google.com/spreadsheets/d/11923uPwbBZFjjGgGUA6NLw09EwE0CqkOc4q9oUmW1yo/edit?usp=sharing"",""ลำปาง!L450"")"),188000)</f>
        <v>188000</v>
      </c>
      <c r="M555" s="168"/>
      <c r="N555" s="168">
        <f ca="1">IFERROR(__xludf.DUMMYFUNCTION("IMPORTRANGE(""https://docs.google.com/spreadsheets/d/11923uPwbBZFjjGgGUA6NLw09EwE0CqkOc4q9oUmW1yo/edit?usp=sharing"",""ลำปาง!M450"")"),7604.24)</f>
        <v>7604.24</v>
      </c>
      <c r="O555" s="168">
        <f t="shared" ca="1" si="120"/>
        <v>4.0448085106382976</v>
      </c>
      <c r="P555" s="168"/>
    </row>
    <row r="556" spans="1:16" ht="21.75" customHeight="1" x14ac:dyDescent="0.3">
      <c r="A556" s="373"/>
      <c r="B556" s="374"/>
      <c r="C556" s="157"/>
      <c r="D556" s="375"/>
      <c r="E556" s="159"/>
      <c r="F556" s="159"/>
      <c r="G556" s="376" t="s">
        <v>131</v>
      </c>
      <c r="H556" s="161" t="s">
        <v>12</v>
      </c>
      <c r="I556" s="187"/>
      <c r="J556" s="187"/>
      <c r="K556" s="223"/>
      <c r="L556" s="168"/>
      <c r="M556" s="168"/>
      <c r="N556" s="167">
        <f ca="1">IFERROR(__xludf.DUMMYFUNCTION("IMPORTRANGE(""https://docs.google.com/spreadsheets/d/11923uPwbBZFjjGgGUA6NLw09EwE0CqkOc4q9oUmW1yo/edit?usp=sharing"",""ลำปาง!M451"")"),0)</f>
        <v>0</v>
      </c>
      <c r="O556" s="168"/>
      <c r="P556" s="168"/>
    </row>
    <row r="557" spans="1:16" ht="21.75" customHeight="1" x14ac:dyDescent="0.3">
      <c r="A557" s="373"/>
      <c r="B557" s="374"/>
      <c r="C557" s="157"/>
      <c r="D557" s="375"/>
      <c r="E557" s="159"/>
      <c r="F557" s="159"/>
      <c r="G557" s="376" t="s">
        <v>132</v>
      </c>
      <c r="H557" s="161" t="s">
        <v>12</v>
      </c>
      <c r="I557" s="187"/>
      <c r="J557" s="187"/>
      <c r="K557" s="223"/>
      <c r="L557" s="168"/>
      <c r="M557" s="168"/>
      <c r="N557" s="167">
        <f ca="1">IFERROR(__xludf.DUMMYFUNCTION("IMPORTRANGE(""https://docs.google.com/spreadsheets/d/11923uPwbBZFjjGgGUA6NLw09EwE0CqkOc4q9oUmW1yo/edit?usp=sharing"",""ลำปาง!M452"")"),0)</f>
        <v>0</v>
      </c>
      <c r="O557" s="168"/>
      <c r="P557" s="168"/>
    </row>
    <row r="558" spans="1:16" ht="21.75" customHeight="1" x14ac:dyDescent="0.3">
      <c r="A558" s="373"/>
      <c r="B558" s="374"/>
      <c r="C558" s="157"/>
      <c r="D558" s="375"/>
      <c r="E558" s="159"/>
      <c r="F558" s="159"/>
      <c r="G558" s="376" t="s">
        <v>133</v>
      </c>
      <c r="H558" s="161" t="s">
        <v>12</v>
      </c>
      <c r="I558" s="187"/>
      <c r="J558" s="187"/>
      <c r="K558" s="223"/>
      <c r="L558" s="168"/>
      <c r="M558" s="168"/>
      <c r="N558" s="167">
        <f ca="1">IFERROR(__xludf.DUMMYFUNCTION("IMPORTRANGE(""https://docs.google.com/spreadsheets/d/11923uPwbBZFjjGgGUA6NLw09EwE0CqkOc4q9oUmW1yo/edit?usp=sharing"",""ลำปาง!M453"")"),0)</f>
        <v>0</v>
      </c>
      <c r="O558" s="168"/>
      <c r="P558" s="168"/>
    </row>
    <row r="559" spans="1:16" ht="21.75" customHeight="1" x14ac:dyDescent="0.3">
      <c r="A559" s="373"/>
      <c r="B559" s="374"/>
      <c r="C559" s="157"/>
      <c r="D559" s="375"/>
      <c r="E559" s="159"/>
      <c r="F559" s="159"/>
      <c r="G559" s="376" t="s">
        <v>134</v>
      </c>
      <c r="H559" s="161" t="s">
        <v>12</v>
      </c>
      <c r="I559" s="187"/>
      <c r="J559" s="187"/>
      <c r="K559" s="223"/>
      <c r="L559" s="168"/>
      <c r="M559" s="168"/>
      <c r="N559" s="167">
        <f ca="1">IFERROR(__xludf.DUMMYFUNCTION("IMPORTRANGE(""https://docs.google.com/spreadsheets/d/11923uPwbBZFjjGgGUA6NLw09EwE0CqkOc4q9oUmW1yo/edit?usp=sharing"",""ลำปาง!M454"")"),7604.24)</f>
        <v>7604.24</v>
      </c>
      <c r="O559" s="168"/>
      <c r="P559" s="168"/>
    </row>
    <row r="560" spans="1:16" ht="21.75" customHeight="1" x14ac:dyDescent="0.3">
      <c r="A560" s="175"/>
      <c r="B560" s="176"/>
      <c r="C560" s="176"/>
      <c r="D560" s="193"/>
      <c r="E560" s="195"/>
      <c r="F560" s="277" t="s">
        <v>206</v>
      </c>
      <c r="G560" s="196"/>
      <c r="H560" s="473" t="s">
        <v>122</v>
      </c>
      <c r="I560" s="162">
        <f ca="1">IFERROR(__xludf.DUMMYFUNCTION("IMPORTRANGE(""https://docs.google.com/spreadsheets/d/11923uPwbBZFjjGgGUA6NLw09EwE0CqkOc4q9oUmW1yo/edit?usp=sharing"",""ลำปาง!I455"")"),3000)</f>
        <v>3000</v>
      </c>
      <c r="J560" s="162">
        <f ca="1">IFERROR(__xludf.DUMMYFUNCTION("IMPORTRANGE(""https://docs.google.com/spreadsheets/d/11923uPwbBZFjjGgGUA6NLw09EwE0CqkOc4q9oUmW1yo/edit?usp=sharing"",""ลำปาง!J455"")"),118)</f>
        <v>118</v>
      </c>
      <c r="K560" s="223">
        <f t="shared" ref="K560:K564" ca="1" si="121">IF(I560&gt;0,J560*100/I560,0)</f>
        <v>3.9333333333333331</v>
      </c>
      <c r="L560" s="168"/>
      <c r="M560" s="168"/>
      <c r="N560" s="168"/>
      <c r="O560" s="181"/>
      <c r="P560" s="181"/>
    </row>
    <row r="561" spans="1:16" ht="21.75" customHeight="1" x14ac:dyDescent="0.3">
      <c r="A561" s="175"/>
      <c r="B561" s="176"/>
      <c r="C561" s="176"/>
      <c r="D561" s="193"/>
      <c r="E561" s="195"/>
      <c r="F561" s="195"/>
      <c r="G561" s="196"/>
      <c r="H561" s="473" t="s">
        <v>36</v>
      </c>
      <c r="I561" s="162">
        <f ca="1">IFERROR(__xludf.DUMMYFUNCTION("IMPORTRANGE(""https://docs.google.com/spreadsheets/d/11923uPwbBZFjjGgGUA6NLw09EwE0CqkOc4q9oUmW1yo/edit?usp=sharing"",""ลำปาง!I456"")"),0)</f>
        <v>0</v>
      </c>
      <c r="J561" s="203">
        <f ca="1">IFERROR(__xludf.DUMMYFUNCTION("IMPORTRANGE(""https://docs.google.com/spreadsheets/d/11923uPwbBZFjjGgGUA6NLw09EwE0CqkOc4q9oUmW1yo/edit?usp=sharing"",""ลำปาง!J456"")"),10)</f>
        <v>10</v>
      </c>
      <c r="K561" s="223">
        <f t="shared" ca="1" si="121"/>
        <v>0</v>
      </c>
      <c r="L561" s="168"/>
      <c r="M561" s="168"/>
      <c r="N561" s="168"/>
      <c r="O561" s="181"/>
      <c r="P561" s="181"/>
    </row>
    <row r="562" spans="1:16" ht="21.75" customHeight="1" x14ac:dyDescent="0.3">
      <c r="A562" s="175"/>
      <c r="B562" s="176"/>
      <c r="C562" s="176"/>
      <c r="D562" s="193"/>
      <c r="E562" s="195"/>
      <c r="F562" s="195" t="s">
        <v>207</v>
      </c>
      <c r="G562" s="196"/>
      <c r="H562" s="473" t="s">
        <v>122</v>
      </c>
      <c r="I562" s="162">
        <v>0</v>
      </c>
      <c r="J562" s="203" t="str">
        <f ca="1">IFERROR(__xludf.DUMMYFUNCTION("IMPORTRANGE(""https://docs.google.com/spreadsheets/d/11923uPwbBZFjjGgGUA6NLw09EwE0CqkOc4q9oUmW1yo/edit?usp=sharing"",""ลำปาง!J457"")"),"")</f>
        <v/>
      </c>
      <c r="K562" s="163">
        <f t="shared" si="121"/>
        <v>0</v>
      </c>
      <c r="L562" s="181"/>
      <c r="M562" s="181"/>
      <c r="N562" s="181"/>
      <c r="O562" s="181"/>
      <c r="P562" s="181"/>
    </row>
    <row r="563" spans="1:16" ht="21.75" customHeight="1" x14ac:dyDescent="0.3">
      <c r="A563" s="175"/>
      <c r="B563" s="176"/>
      <c r="C563" s="176"/>
      <c r="D563" s="193"/>
      <c r="E563" s="195"/>
      <c r="F563" s="195"/>
      <c r="G563" s="196"/>
      <c r="H563" s="473" t="s">
        <v>36</v>
      </c>
      <c r="I563" s="162">
        <v>0</v>
      </c>
      <c r="J563" s="187" t="str">
        <f ca="1">IFERROR(__xludf.DUMMYFUNCTION("IMPORTRANGE(""https://docs.google.com/spreadsheets/d/11923uPwbBZFjjGgGUA6NLw09EwE0CqkOc4q9oUmW1yo/edit?usp=sharing"",""ลำปาง!J458"")"),"")</f>
        <v/>
      </c>
      <c r="K563" s="163">
        <f t="shared" si="121"/>
        <v>0</v>
      </c>
      <c r="L563" s="181"/>
      <c r="M563" s="181"/>
      <c r="N563" s="181"/>
      <c r="O563" s="181"/>
      <c r="P563" s="181"/>
    </row>
    <row r="564" spans="1:16" ht="21.75" customHeight="1" x14ac:dyDescent="0.3">
      <c r="A564" s="364"/>
      <c r="B564" s="365">
        <v>8</v>
      </c>
      <c r="C564" s="366" t="s">
        <v>208</v>
      </c>
      <c r="D564" s="366"/>
      <c r="E564" s="366"/>
      <c r="F564" s="366"/>
      <c r="G564" s="367"/>
      <c r="H564" s="368" t="s">
        <v>37</v>
      </c>
      <c r="I564" s="369">
        <f ca="1">IFERROR(__xludf.DUMMYFUNCTION("IMPORTRANGE(""https://docs.google.com/spreadsheets/d/11923uPwbBZFjjGgGUA6NLw09EwE0CqkOc4q9oUmW1yo/edit?usp=sharing"",""ลำปาง!I459"")"),1800)</f>
        <v>1800</v>
      </c>
      <c r="J564" s="369">
        <f ca="1">IFERROR(__xludf.DUMMYFUNCTION("IMPORTRANGE(""https://docs.google.com/spreadsheets/d/11923uPwbBZFjjGgGUA6NLw09EwE0CqkOc4q9oUmW1yo/edit?usp=sharing"",""ลำปาง!J459"")"),971)</f>
        <v>971</v>
      </c>
      <c r="K564" s="370">
        <f t="shared" ca="1" si="121"/>
        <v>53.944444444444443</v>
      </c>
      <c r="L564" s="371">
        <f ca="1">IFERROR(__xludf.DUMMYFUNCTION("IMPORTRANGE(""https://docs.google.com/spreadsheets/d/11923uPwbBZFjjGgGUA6NLw09EwE0CqkOc4q9oUmW1yo/edit?usp=sharing"",""ลำปาง!L459"")"),145040)</f>
        <v>145040</v>
      </c>
      <c r="M564" s="371"/>
      <c r="N564" s="371">
        <f ca="1">IFERROR(__xludf.DUMMYFUNCTION("IMPORTRANGE(""https://docs.google.com/spreadsheets/d/11923uPwbBZFjjGgGUA6NLw09EwE0CqkOc4q9oUmW1yo/edit?usp=sharing"",""ลำปาง!M459"")"),33400)</f>
        <v>33400</v>
      </c>
      <c r="O564" s="371">
        <f t="shared" ref="O564:O568" ca="1" si="122">+IF(L564&gt;0,N564*100/L564,0)</f>
        <v>23.028130170987314</v>
      </c>
      <c r="P564" s="371"/>
    </row>
    <row r="565" spans="1:16" ht="21.75" customHeight="1" x14ac:dyDescent="0.3">
      <c r="A565" s="156"/>
      <c r="B565" s="157"/>
      <c r="C565" s="157" t="s">
        <v>16</v>
      </c>
      <c r="D565" s="158" t="s">
        <v>38</v>
      </c>
      <c r="E565" s="159"/>
      <c r="F565" s="159"/>
      <c r="G565" s="160" t="s">
        <v>39</v>
      </c>
      <c r="H565" s="161" t="s">
        <v>12</v>
      </c>
      <c r="I565" s="162" t="s">
        <v>40</v>
      </c>
      <c r="J565" s="162"/>
      <c r="K565" s="163"/>
      <c r="L565" s="164">
        <f ca="1">IFERROR(__xludf.DUMMYFUNCTION("IMPORTRANGE(""https://docs.google.com/spreadsheets/d/11923uPwbBZFjjGgGUA6NLw09EwE0CqkOc4q9oUmW1yo/edit?usp=sharing"",""ลำปาง!L460"")"),0)</f>
        <v>0</v>
      </c>
      <c r="M565" s="164"/>
      <c r="N565" s="168">
        <f ca="1">IFERROR(__xludf.DUMMYFUNCTION("IMPORTRANGE(""https://docs.google.com/spreadsheets/d/11923uPwbBZFjjGgGUA6NLw09EwE0CqkOc4q9oUmW1yo/edit?usp=sharing"",""ลำปาง!M460"")"),0)</f>
        <v>0</v>
      </c>
      <c r="O565" s="168">
        <f t="shared" ca="1" si="122"/>
        <v>0</v>
      </c>
      <c r="P565" s="168"/>
    </row>
    <row r="566" spans="1:16" ht="21.75" customHeight="1" x14ac:dyDescent="0.3">
      <c r="A566" s="156"/>
      <c r="B566" s="157"/>
      <c r="C566" s="157"/>
      <c r="D566" s="166"/>
      <c r="E566" s="159"/>
      <c r="F566" s="159" t="s">
        <v>40</v>
      </c>
      <c r="G566" s="160" t="s">
        <v>41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IFERROR(__xludf.DUMMYFUNCTION("IMPORTRANGE(""https://docs.google.com/spreadsheets/d/11923uPwbBZFjjGgGUA6NLw09EwE0CqkOc4q9oUmW1yo/edit?usp=sharing"",""ลำปาง!L461"")"),145040)</f>
        <v>145040</v>
      </c>
      <c r="M566" s="165"/>
      <c r="N566" s="168">
        <f ca="1">IFERROR(__xludf.DUMMYFUNCTION("IMPORTRANGE(""https://docs.google.com/spreadsheets/d/11923uPwbBZFjjGgGUA6NLw09EwE0CqkOc4q9oUmW1yo/edit?usp=sharing"",""ลำปาง!M461"")"),33400)</f>
        <v>33400</v>
      </c>
      <c r="O566" s="168">
        <f t="shared" ca="1" si="122"/>
        <v>23.028130170987314</v>
      </c>
      <c r="P566" s="168"/>
    </row>
    <row r="567" spans="1:16" ht="21.75" customHeight="1" x14ac:dyDescent="0.3">
      <c r="A567" s="156"/>
      <c r="B567" s="157"/>
      <c r="C567" s="157"/>
      <c r="D567" s="166"/>
      <c r="E567" s="159"/>
      <c r="F567" s="159"/>
      <c r="G567" s="372" t="s">
        <v>129</v>
      </c>
      <c r="H567" s="161" t="s">
        <v>12</v>
      </c>
      <c r="I567" s="162"/>
      <c r="J567" s="162"/>
      <c r="K567" s="163"/>
      <c r="L567" s="168">
        <f ca="1">IFERROR(__xludf.DUMMYFUNCTION("IMPORTRANGE(""https://docs.google.com/spreadsheets/d/11923uPwbBZFjjGgGUA6NLw09EwE0CqkOc4q9oUmW1yo/edit?usp=sharing"",""ลำปาง!L462"")"),0)</f>
        <v>0</v>
      </c>
      <c r="M567" s="168"/>
      <c r="N567" s="168">
        <f ca="1">IFERROR(__xludf.DUMMYFUNCTION("IMPORTRANGE(""https://docs.google.com/spreadsheets/d/11923uPwbBZFjjGgGUA6NLw09EwE0CqkOc4q9oUmW1yo/edit?usp=sharing"",""ลำปาง!M462"")"),0)</f>
        <v>0</v>
      </c>
      <c r="O567" s="168">
        <f t="shared" ca="1" si="122"/>
        <v>0</v>
      </c>
      <c r="P567" s="168"/>
    </row>
    <row r="568" spans="1:16" ht="21.75" customHeight="1" x14ac:dyDescent="0.3">
      <c r="A568" s="156"/>
      <c r="B568" s="157"/>
      <c r="C568" s="157"/>
      <c r="D568" s="166"/>
      <c r="E568" s="159"/>
      <c r="F568" s="159"/>
      <c r="G568" s="372" t="s">
        <v>130</v>
      </c>
      <c r="H568" s="161" t="s">
        <v>12</v>
      </c>
      <c r="I568" s="162"/>
      <c r="J568" s="162"/>
      <c r="K568" s="163"/>
      <c r="L568" s="168">
        <f ca="1">IFERROR(__xludf.DUMMYFUNCTION("IMPORTRANGE(""https://docs.google.com/spreadsheets/d/11923uPwbBZFjjGgGUA6NLw09EwE0CqkOc4q9oUmW1yo/edit?usp=sharing"",""ลำปาง!L463"")"),145040)</f>
        <v>145040</v>
      </c>
      <c r="M568" s="168"/>
      <c r="N568" s="168">
        <f ca="1">IFERROR(__xludf.DUMMYFUNCTION("IMPORTRANGE(""https://docs.google.com/spreadsheets/d/11923uPwbBZFjjGgGUA6NLw09EwE0CqkOc4q9oUmW1yo/edit?usp=sharing"",""ลำปาง!M463"")"),33400)</f>
        <v>33400</v>
      </c>
      <c r="O568" s="168">
        <f t="shared" ca="1" si="122"/>
        <v>23.028130170987314</v>
      </c>
      <c r="P568" s="168"/>
    </row>
    <row r="569" spans="1:16" ht="21.75" customHeight="1" x14ac:dyDescent="0.3">
      <c r="A569" s="373"/>
      <c r="B569" s="374"/>
      <c r="C569" s="157"/>
      <c r="D569" s="375"/>
      <c r="E569" s="159"/>
      <c r="F569" s="159"/>
      <c r="G569" s="376" t="s">
        <v>131</v>
      </c>
      <c r="H569" s="161" t="s">
        <v>12</v>
      </c>
      <c r="I569" s="187"/>
      <c r="J569" s="187"/>
      <c r="K569" s="223"/>
      <c r="L569" s="168"/>
      <c r="M569" s="168"/>
      <c r="N569" s="167">
        <f ca="1">IFERROR(__xludf.DUMMYFUNCTION("IMPORTRANGE(""https://docs.google.com/spreadsheets/d/11923uPwbBZFjjGgGUA6NLw09EwE0CqkOc4q9oUmW1yo/edit?usp=sharing"",""ลำปาง!M464"")"),0)</f>
        <v>0</v>
      </c>
      <c r="O569" s="168"/>
      <c r="P569" s="168"/>
    </row>
    <row r="570" spans="1:16" ht="21.75" customHeight="1" x14ac:dyDescent="0.3">
      <c r="A570" s="373"/>
      <c r="B570" s="374"/>
      <c r="C570" s="157"/>
      <c r="D570" s="375"/>
      <c r="E570" s="159"/>
      <c r="F570" s="159"/>
      <c r="G570" s="376" t="s">
        <v>132</v>
      </c>
      <c r="H570" s="161" t="s">
        <v>12</v>
      </c>
      <c r="I570" s="187"/>
      <c r="J570" s="187"/>
      <c r="K570" s="223"/>
      <c r="L570" s="168"/>
      <c r="M570" s="168"/>
      <c r="N570" s="167">
        <f ca="1">IFERROR(__xludf.DUMMYFUNCTION("IMPORTRANGE(""https://docs.google.com/spreadsheets/d/11923uPwbBZFjjGgGUA6NLw09EwE0CqkOc4q9oUmW1yo/edit?usp=sharing"",""ลำปาง!M465"")"),0)</f>
        <v>0</v>
      </c>
      <c r="O570" s="168"/>
      <c r="P570" s="168"/>
    </row>
    <row r="571" spans="1:16" ht="21.75" customHeight="1" x14ac:dyDescent="0.3">
      <c r="A571" s="373"/>
      <c r="B571" s="374"/>
      <c r="C571" s="157"/>
      <c r="D571" s="375"/>
      <c r="E571" s="159"/>
      <c r="F571" s="159"/>
      <c r="G571" s="376" t="s">
        <v>133</v>
      </c>
      <c r="H571" s="161" t="s">
        <v>12</v>
      </c>
      <c r="I571" s="187"/>
      <c r="J571" s="187"/>
      <c r="K571" s="223"/>
      <c r="L571" s="168"/>
      <c r="M571" s="168"/>
      <c r="N571" s="377">
        <f ca="1">IFERROR(__xludf.DUMMYFUNCTION("IMPORTRANGE(""https://docs.google.com/spreadsheets/d/11923uPwbBZFjjGgGUA6NLw09EwE0CqkOc4q9oUmW1yo/edit?usp=sharing"",""ลำปาง!M466"")"),11000)</f>
        <v>11000</v>
      </c>
      <c r="O571" s="168"/>
      <c r="P571" s="168"/>
    </row>
    <row r="572" spans="1:16" ht="21.75" customHeight="1" x14ac:dyDescent="0.3">
      <c r="A572" s="373"/>
      <c r="B572" s="374"/>
      <c r="C572" s="157"/>
      <c r="D572" s="375"/>
      <c r="E572" s="159"/>
      <c r="F572" s="159"/>
      <c r="G572" s="376" t="s">
        <v>134</v>
      </c>
      <c r="H572" s="161" t="s">
        <v>12</v>
      </c>
      <c r="I572" s="187"/>
      <c r="J572" s="187"/>
      <c r="K572" s="223"/>
      <c r="L572" s="168"/>
      <c r="M572" s="168"/>
      <c r="N572" s="377">
        <f ca="1">IFERROR(__xludf.DUMMYFUNCTION("IMPORTRANGE(""https://docs.google.com/spreadsheets/d/11923uPwbBZFjjGgGUA6NLw09EwE0CqkOc4q9oUmW1yo/edit?usp=sharing"",""ลำปาง!M467"")"),22400)</f>
        <v>22400</v>
      </c>
      <c r="O572" s="168"/>
      <c r="P572" s="168"/>
    </row>
    <row r="573" spans="1:16" ht="21.75" customHeight="1" x14ac:dyDescent="0.3">
      <c r="A573" s="175"/>
      <c r="B573" s="176"/>
      <c r="C573" s="176"/>
      <c r="D573" s="195"/>
      <c r="E573" s="194" t="s">
        <v>40</v>
      </c>
      <c r="F573" s="412" t="s">
        <v>209</v>
      </c>
      <c r="G573" s="386"/>
      <c r="H573" s="474" t="s">
        <v>37</v>
      </c>
      <c r="I573" s="418">
        <f ca="1">IFERROR(__xludf.DUMMYFUNCTION("IMPORTRANGE(""https://docs.google.com/spreadsheets/d/11923uPwbBZFjjGgGUA6NLw09EwE0CqkOc4q9oUmW1yo/edit?usp=sharing"",""ลำปาง!I468"")"),1800)</f>
        <v>1800</v>
      </c>
      <c r="J573" s="418">
        <f ca="1">IFERROR(__xludf.DUMMYFUNCTION("IMPORTRANGE(""https://docs.google.com/spreadsheets/d/11923uPwbBZFjjGgGUA6NLw09EwE0CqkOc4q9oUmW1yo/edit?usp=sharing"",""ลำปาง!J468"")"),971)</f>
        <v>971</v>
      </c>
      <c r="K573" s="201">
        <f ca="1">IF(I573&gt;0,J573*100/I573,0)</f>
        <v>53.944444444444443</v>
      </c>
      <c r="L573" s="181"/>
      <c r="M573" s="181"/>
      <c r="N573" s="181"/>
      <c r="O573" s="181"/>
      <c r="P573" s="181"/>
    </row>
    <row r="574" spans="1:16" ht="21.75" customHeight="1" x14ac:dyDescent="0.3">
      <c r="A574" s="175"/>
      <c r="B574" s="176"/>
      <c r="C574" s="176"/>
      <c r="D574" s="195"/>
      <c r="E574" s="195"/>
      <c r="F574" s="194" t="s">
        <v>210</v>
      </c>
      <c r="G574" s="196"/>
      <c r="H574" s="473"/>
      <c r="I574" s="162"/>
      <c r="J574" s="162"/>
      <c r="K574" s="163"/>
      <c r="L574" s="181"/>
      <c r="M574" s="181"/>
      <c r="N574" s="181"/>
      <c r="O574" s="181"/>
      <c r="P574" s="181"/>
    </row>
    <row r="575" spans="1:16" ht="21.75" customHeight="1" x14ac:dyDescent="0.3">
      <c r="A575" s="175"/>
      <c r="B575" s="176"/>
      <c r="C575" s="176"/>
      <c r="D575" s="195"/>
      <c r="E575" s="194" t="s">
        <v>40</v>
      </c>
      <c r="F575" s="194" t="s">
        <v>211</v>
      </c>
      <c r="G575" s="196"/>
      <c r="H575" s="473" t="s">
        <v>77</v>
      </c>
      <c r="I575" s="202">
        <f ca="1">IFERROR(__xludf.DUMMYFUNCTION("IMPORTRANGE(""https://docs.google.com/spreadsheets/d/11923uPwbBZFjjGgGUA6NLw09EwE0CqkOc4q9oUmW1yo/edit?usp=sharing"",""ลำปาง!I470"")"),0)</f>
        <v>0</v>
      </c>
      <c r="J575" s="197">
        <f ca="1">IFERROR(__xludf.DUMMYFUNCTION("IMPORTRANGE(""https://docs.google.com/spreadsheets/d/11923uPwbBZFjjGgGUA6NLw09EwE0CqkOc4q9oUmW1yo/edit?usp=sharing"",""ลำปาง!J470"")"),1)</f>
        <v>1</v>
      </c>
      <c r="K575" s="163">
        <f t="shared" ref="K575:K579" ca="1" si="123">IF(I575&gt;0,J575*100/I575,0)</f>
        <v>0</v>
      </c>
      <c r="L575" s="181"/>
      <c r="M575" s="181"/>
      <c r="N575" s="181"/>
      <c r="O575" s="181"/>
      <c r="P575" s="181"/>
    </row>
    <row r="576" spans="1:16" ht="21.75" customHeight="1" x14ac:dyDescent="0.3">
      <c r="A576" s="175"/>
      <c r="B576" s="176"/>
      <c r="C576" s="176"/>
      <c r="D576" s="195"/>
      <c r="E576" s="195"/>
      <c r="F576" s="194" t="s">
        <v>212</v>
      </c>
      <c r="G576" s="196"/>
      <c r="H576" s="473" t="s">
        <v>37</v>
      </c>
      <c r="I576" s="202">
        <f ca="1">IFERROR(__xludf.DUMMYFUNCTION("IMPORTRANGE(""https://docs.google.com/spreadsheets/d/11923uPwbBZFjjGgGUA6NLw09EwE0CqkOc4q9oUmW1yo/edit?usp=sharing"",""ลำปาง!I471"")"),0)</f>
        <v>0</v>
      </c>
      <c r="J576" s="197">
        <f ca="1">IFERROR(__xludf.DUMMYFUNCTION("IMPORTRANGE(""https://docs.google.com/spreadsheets/d/11923uPwbBZFjjGgGUA6NLw09EwE0CqkOc4q9oUmW1yo/edit?usp=sharing"",""ลำปาง!J471"")"),48)</f>
        <v>48</v>
      </c>
      <c r="K576" s="163">
        <f t="shared" ca="1" si="123"/>
        <v>0</v>
      </c>
      <c r="L576" s="181"/>
      <c r="M576" s="181"/>
      <c r="N576" s="181"/>
      <c r="O576" s="181"/>
      <c r="P576" s="181"/>
    </row>
    <row r="577" spans="1:16" ht="21.75" customHeight="1" x14ac:dyDescent="0.3">
      <c r="A577" s="175"/>
      <c r="B577" s="176"/>
      <c r="C577" s="176"/>
      <c r="D577" s="195"/>
      <c r="E577" s="195"/>
      <c r="F577" s="194" t="s">
        <v>213</v>
      </c>
      <c r="G577" s="196"/>
      <c r="H577" s="473" t="s">
        <v>37</v>
      </c>
      <c r="I577" s="202">
        <f ca="1">IFERROR(__xludf.DUMMYFUNCTION("IMPORTRANGE(""https://docs.google.com/spreadsheets/d/11923uPwbBZFjjGgGUA6NLw09EwE0CqkOc4q9oUmW1yo/edit?usp=sharing"",""ลำปาง!I472"")"),0)</f>
        <v>0</v>
      </c>
      <c r="J577" s="188">
        <f ca="1">IFERROR(__xludf.DUMMYFUNCTION("IMPORTRANGE(""https://docs.google.com/spreadsheets/d/11923uPwbBZFjjGgGUA6NLw09EwE0CqkOc4q9oUmW1yo/edit?usp=sharing"",""ลำปาง!J472"")"),923)</f>
        <v>923</v>
      </c>
      <c r="K577" s="163">
        <f t="shared" ca="1" si="123"/>
        <v>0</v>
      </c>
      <c r="L577" s="181"/>
      <c r="M577" s="181"/>
      <c r="N577" s="181"/>
      <c r="O577" s="181"/>
      <c r="P577" s="181"/>
    </row>
    <row r="578" spans="1:16" ht="21.75" customHeight="1" x14ac:dyDescent="0.3">
      <c r="A578" s="175"/>
      <c r="B578" s="176"/>
      <c r="C578" s="176"/>
      <c r="D578" s="195"/>
      <c r="E578" s="195"/>
      <c r="F578" s="194" t="s">
        <v>214</v>
      </c>
      <c r="G578" s="419"/>
      <c r="H578" s="473" t="s">
        <v>37</v>
      </c>
      <c r="I578" s="202">
        <f ca="1">IFERROR(__xludf.DUMMYFUNCTION("IMPORTRANGE(""https://docs.google.com/spreadsheets/d/11923uPwbBZFjjGgGUA6NLw09EwE0CqkOc4q9oUmW1yo/edit?usp=sharing"",""ลำปาง!I473"")"),0)</f>
        <v>0</v>
      </c>
      <c r="J578" s="197">
        <f ca="1">IFERROR(__xludf.DUMMYFUNCTION("IMPORTRANGE(""https://docs.google.com/spreadsheets/d/11923uPwbBZFjjGgGUA6NLw09EwE0CqkOc4q9oUmW1yo/edit?usp=sharing"",""ลำปาง!J473"")"),0)</f>
        <v>0</v>
      </c>
      <c r="K578" s="163">
        <f t="shared" ca="1" si="123"/>
        <v>0</v>
      </c>
      <c r="L578" s="181"/>
      <c r="M578" s="181"/>
      <c r="N578" s="181"/>
      <c r="O578" s="181"/>
      <c r="P578" s="181"/>
    </row>
    <row r="579" spans="1:16" ht="21.75" customHeight="1" x14ac:dyDescent="0.3">
      <c r="A579" s="175"/>
      <c r="B579" s="176"/>
      <c r="C579" s="176"/>
      <c r="D579" s="195"/>
      <c r="E579" s="195"/>
      <c r="F579" s="194" t="s">
        <v>215</v>
      </c>
      <c r="G579" s="419"/>
      <c r="H579" s="473" t="s">
        <v>37</v>
      </c>
      <c r="I579" s="202">
        <f ca="1">IFERROR(__xludf.DUMMYFUNCTION("IMPORTRANGE(""https://docs.google.com/spreadsheets/d/11923uPwbBZFjjGgGUA6NLw09EwE0CqkOc4q9oUmW1yo/edit?usp=sharing"",""ลำปาง!I474"")"),0)</f>
        <v>0</v>
      </c>
      <c r="J579" s="197">
        <f ca="1">IFERROR(__xludf.DUMMYFUNCTION("IMPORTRANGE(""https://docs.google.com/spreadsheets/d/11923uPwbBZFjjGgGUA6NLw09EwE0CqkOc4q9oUmW1yo/edit?usp=sharing"",""ลำปาง!J474"")"),0)</f>
        <v>0</v>
      </c>
      <c r="K579" s="163">
        <f t="shared" ca="1" si="123"/>
        <v>0</v>
      </c>
      <c r="L579" s="181"/>
      <c r="M579" s="181"/>
      <c r="N579" s="181"/>
      <c r="O579" s="181"/>
      <c r="P579" s="181"/>
    </row>
    <row r="580" spans="1:16" ht="21.75" customHeight="1" x14ac:dyDescent="0.3">
      <c r="A580" s="364"/>
      <c r="B580" s="365">
        <v>9</v>
      </c>
      <c r="C580" s="475" t="s">
        <v>216</v>
      </c>
      <c r="D580" s="366"/>
      <c r="E580" s="366"/>
      <c r="F580" s="366"/>
      <c r="G580" s="367"/>
      <c r="H580" s="368" t="s">
        <v>37</v>
      </c>
      <c r="I580" s="369">
        <f ca="1">IFERROR(__xludf.DUMMYFUNCTION("IMPORTRANGE(""https://docs.google.com/spreadsheets/d/11923uPwbBZFjjGgGUA6NLw09EwE0CqkOc4q9oUmW1yo/edit?usp=sharing"",""ลำปาง!I475"")"),5)</f>
        <v>5</v>
      </c>
      <c r="J580" s="369">
        <f ca="1">IFERROR(__xludf.DUMMYFUNCTION("IMPORTRANGE(""https://docs.google.com/spreadsheets/d/11923uPwbBZFjjGgGUA6NLw09EwE0CqkOc4q9oUmW1yo/edit?usp=sharing"",""ลำปาง!J475"")"),4)</f>
        <v>4</v>
      </c>
      <c r="K580" s="370">
        <f ca="1">IF(I580&gt;0,J580*100/I580,0)</f>
        <v>80</v>
      </c>
      <c r="L580" s="371">
        <f ca="1">IFERROR(__xludf.DUMMYFUNCTION("IMPORTRANGE(""https://docs.google.com/spreadsheets/d/11923uPwbBZFjjGgGUA6NLw09EwE0CqkOc4q9oUmW1yo/edit?usp=sharing"",""ลำปาง!L475"")"),130655)</f>
        <v>130655</v>
      </c>
      <c r="M580" s="371"/>
      <c r="N580" s="371">
        <f ca="1">IFERROR(__xludf.DUMMYFUNCTION("IMPORTRANGE(""https://docs.google.com/spreadsheets/d/11923uPwbBZFjjGgGUA6NLw09EwE0CqkOc4q9oUmW1yo/edit?usp=sharing"",""ลำปาง!M475"")"),0)</f>
        <v>0</v>
      </c>
      <c r="O580" s="371">
        <f t="shared" ref="O580:O584" ca="1" si="124">+IF(L580&gt;0,N580*100/L580,0)</f>
        <v>0</v>
      </c>
      <c r="P580" s="371"/>
    </row>
    <row r="581" spans="1:16" ht="21.75" customHeight="1" x14ac:dyDescent="0.3">
      <c r="A581" s="156"/>
      <c r="B581" s="157"/>
      <c r="C581" s="157" t="s">
        <v>16</v>
      </c>
      <c r="D581" s="158" t="s">
        <v>38</v>
      </c>
      <c r="E581" s="159"/>
      <c r="F581" s="159"/>
      <c r="G581" s="160" t="s">
        <v>39</v>
      </c>
      <c r="H581" s="161" t="s">
        <v>12</v>
      </c>
      <c r="I581" s="162" t="s">
        <v>40</v>
      </c>
      <c r="J581" s="162"/>
      <c r="K581" s="163"/>
      <c r="L581" s="164">
        <f ca="1">IFERROR(__xludf.DUMMYFUNCTION("IMPORTRANGE(""https://docs.google.com/spreadsheets/d/11923uPwbBZFjjGgGUA6NLw09EwE0CqkOc4q9oUmW1yo/edit?usp=sharing"",""ลำปาง!L476"")"),0)</f>
        <v>0</v>
      </c>
      <c r="M581" s="164"/>
      <c r="N581" s="168">
        <f ca="1">IFERROR(__xludf.DUMMYFUNCTION("IMPORTRANGE(""https://docs.google.com/spreadsheets/d/11923uPwbBZFjjGgGUA6NLw09EwE0CqkOc4q9oUmW1yo/edit?usp=sharing"",""ลำปาง!M476"")"),0)</f>
        <v>0</v>
      </c>
      <c r="O581" s="168">
        <f t="shared" ca="1" si="124"/>
        <v>0</v>
      </c>
      <c r="P581" s="168"/>
    </row>
    <row r="582" spans="1:16" ht="21.75" customHeight="1" x14ac:dyDescent="0.3">
      <c r="A582" s="156"/>
      <c r="B582" s="157"/>
      <c r="C582" s="157"/>
      <c r="D582" s="166"/>
      <c r="E582" s="159"/>
      <c r="F582" s="159" t="s">
        <v>40</v>
      </c>
      <c r="G582" s="160" t="s">
        <v>41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IFERROR(__xludf.DUMMYFUNCTION("IMPORTRANGE(""https://docs.google.com/spreadsheets/d/11923uPwbBZFjjGgGUA6NLw09EwE0CqkOc4q9oUmW1yo/edit?usp=sharing"",""ลำปาง!L477"")"),130655)</f>
        <v>130655</v>
      </c>
      <c r="M582" s="165"/>
      <c r="N582" s="168">
        <f ca="1">IFERROR(__xludf.DUMMYFUNCTION("IMPORTRANGE(""https://docs.google.com/spreadsheets/d/11923uPwbBZFjjGgGUA6NLw09EwE0CqkOc4q9oUmW1yo/edit?usp=sharing"",""ลำปาง!M477"")"),0)</f>
        <v>0</v>
      </c>
      <c r="O582" s="168">
        <f t="shared" ca="1" si="124"/>
        <v>0</v>
      </c>
      <c r="P582" s="168"/>
    </row>
    <row r="583" spans="1:16" ht="21.75" customHeight="1" x14ac:dyDescent="0.3">
      <c r="A583" s="156"/>
      <c r="B583" s="157"/>
      <c r="C583" s="157"/>
      <c r="D583" s="166"/>
      <c r="E583" s="159"/>
      <c r="F583" s="159"/>
      <c r="G583" s="372" t="s">
        <v>129</v>
      </c>
      <c r="H583" s="161" t="s">
        <v>12</v>
      </c>
      <c r="I583" s="162"/>
      <c r="J583" s="162"/>
      <c r="K583" s="163"/>
      <c r="L583" s="168">
        <f ca="1">IFERROR(__xludf.DUMMYFUNCTION("IMPORTRANGE(""https://docs.google.com/spreadsheets/d/11923uPwbBZFjjGgGUA6NLw09EwE0CqkOc4q9oUmW1yo/edit?usp=sharing"",""ลำปาง!L478"")"),0)</f>
        <v>0</v>
      </c>
      <c r="M583" s="168"/>
      <c r="N583" s="168">
        <f ca="1">IFERROR(__xludf.DUMMYFUNCTION("IMPORTRANGE(""https://docs.google.com/spreadsheets/d/11923uPwbBZFjjGgGUA6NLw09EwE0CqkOc4q9oUmW1yo/edit?usp=sharing"",""ลำปาง!M478"")"),0)</f>
        <v>0</v>
      </c>
      <c r="O583" s="168">
        <f t="shared" ca="1" si="124"/>
        <v>0</v>
      </c>
      <c r="P583" s="168"/>
    </row>
    <row r="584" spans="1:16" ht="21.75" customHeight="1" x14ac:dyDescent="0.3">
      <c r="A584" s="156"/>
      <c r="B584" s="157"/>
      <c r="C584" s="157"/>
      <c r="D584" s="166"/>
      <c r="E584" s="159"/>
      <c r="F584" s="159"/>
      <c r="G584" s="372" t="s">
        <v>130</v>
      </c>
      <c r="H584" s="161" t="s">
        <v>12</v>
      </c>
      <c r="I584" s="162"/>
      <c r="J584" s="162"/>
      <c r="K584" s="163"/>
      <c r="L584" s="168">
        <f ca="1">IFERROR(__xludf.DUMMYFUNCTION("IMPORTRANGE(""https://docs.google.com/spreadsheets/d/11923uPwbBZFjjGgGUA6NLw09EwE0CqkOc4q9oUmW1yo/edit?usp=sharing"",""ลำปาง!L479"")"),130655)</f>
        <v>130655</v>
      </c>
      <c r="M584" s="168"/>
      <c r="N584" s="168">
        <f ca="1">IFERROR(__xludf.DUMMYFUNCTION("IMPORTRANGE(""https://docs.google.com/spreadsheets/d/11923uPwbBZFjjGgGUA6NLw09EwE0CqkOc4q9oUmW1yo/edit?usp=sharing"",""ลำปาง!M479"")"),0)</f>
        <v>0</v>
      </c>
      <c r="O584" s="168">
        <f t="shared" ca="1" si="124"/>
        <v>0</v>
      </c>
      <c r="P584" s="168"/>
    </row>
    <row r="585" spans="1:16" ht="21.75" customHeight="1" x14ac:dyDescent="0.3">
      <c r="A585" s="373"/>
      <c r="B585" s="374"/>
      <c r="C585" s="157"/>
      <c r="D585" s="375"/>
      <c r="E585" s="159"/>
      <c r="F585" s="159"/>
      <c r="G585" s="376" t="s">
        <v>131</v>
      </c>
      <c r="H585" s="161" t="s">
        <v>12</v>
      </c>
      <c r="I585" s="187"/>
      <c r="J585" s="187"/>
      <c r="K585" s="223"/>
      <c r="L585" s="168"/>
      <c r="M585" s="168"/>
      <c r="N585" s="167">
        <f ca="1">IFERROR(__xludf.DUMMYFUNCTION("IMPORTRANGE(""https://docs.google.com/spreadsheets/d/11923uPwbBZFjjGgGUA6NLw09EwE0CqkOc4q9oUmW1yo/edit?usp=sharing"",""ลำปาง!M480"")"),0)</f>
        <v>0</v>
      </c>
      <c r="O585" s="168"/>
      <c r="P585" s="168"/>
    </row>
    <row r="586" spans="1:16" ht="21.75" customHeight="1" x14ac:dyDescent="0.3">
      <c r="A586" s="373"/>
      <c r="B586" s="374"/>
      <c r="C586" s="157"/>
      <c r="D586" s="375"/>
      <c r="E586" s="159"/>
      <c r="F586" s="159"/>
      <c r="G586" s="376" t="s">
        <v>132</v>
      </c>
      <c r="H586" s="161" t="s">
        <v>12</v>
      </c>
      <c r="I586" s="187"/>
      <c r="J586" s="187"/>
      <c r="K586" s="223"/>
      <c r="L586" s="168"/>
      <c r="M586" s="168"/>
      <c r="N586" s="167">
        <f ca="1">IFERROR(__xludf.DUMMYFUNCTION("IMPORTRANGE(""https://docs.google.com/spreadsheets/d/11923uPwbBZFjjGgGUA6NLw09EwE0CqkOc4q9oUmW1yo/edit?usp=sharing"",""ลำปาง!M481"")"),0)</f>
        <v>0</v>
      </c>
      <c r="O586" s="168"/>
      <c r="P586" s="168"/>
    </row>
    <row r="587" spans="1:16" ht="21.75" customHeight="1" x14ac:dyDescent="0.3">
      <c r="A587" s="373"/>
      <c r="B587" s="374"/>
      <c r="C587" s="157"/>
      <c r="D587" s="375"/>
      <c r="E587" s="159"/>
      <c r="F587" s="159"/>
      <c r="G587" s="376" t="s">
        <v>133</v>
      </c>
      <c r="H587" s="161" t="s">
        <v>12</v>
      </c>
      <c r="I587" s="187"/>
      <c r="J587" s="187"/>
      <c r="K587" s="223"/>
      <c r="L587" s="168"/>
      <c r="M587" s="168"/>
      <c r="N587" s="167">
        <f ca="1">IFERROR(__xludf.DUMMYFUNCTION("IMPORTRANGE(""https://docs.google.com/spreadsheets/d/11923uPwbBZFjjGgGUA6NLw09EwE0CqkOc4q9oUmW1yo/edit?usp=sharing"",""ลำปาง!M482"")"),0)</f>
        <v>0</v>
      </c>
      <c r="O587" s="168"/>
      <c r="P587" s="168"/>
    </row>
    <row r="588" spans="1:16" ht="21.75" customHeight="1" x14ac:dyDescent="0.3">
      <c r="A588" s="373"/>
      <c r="B588" s="374"/>
      <c r="C588" s="157"/>
      <c r="D588" s="375"/>
      <c r="E588" s="159"/>
      <c r="F588" s="159"/>
      <c r="G588" s="376" t="s">
        <v>134</v>
      </c>
      <c r="H588" s="161" t="s">
        <v>12</v>
      </c>
      <c r="I588" s="187"/>
      <c r="J588" s="187"/>
      <c r="K588" s="223"/>
      <c r="L588" s="168"/>
      <c r="M588" s="168"/>
      <c r="N588" s="167">
        <f ca="1">IFERROR(__xludf.DUMMYFUNCTION("IMPORTRANGE(""https://docs.google.com/spreadsheets/d/11923uPwbBZFjjGgGUA6NLw09EwE0CqkOc4q9oUmW1yo/edit?usp=sharing"",""ลำปาง!M483"")"),0)</f>
        <v>0</v>
      </c>
      <c r="O588" s="168"/>
      <c r="P588" s="168"/>
    </row>
    <row r="589" spans="1:16" ht="21.75" customHeight="1" x14ac:dyDescent="0.3">
      <c r="A589" s="476"/>
      <c r="B589" s="166"/>
      <c r="C589" s="157"/>
      <c r="D589" s="289"/>
      <c r="E589" s="194" t="s">
        <v>217</v>
      </c>
      <c r="F589" s="195"/>
      <c r="G589" s="196"/>
      <c r="H589" s="180" t="s">
        <v>36</v>
      </c>
      <c r="I589" s="339">
        <f ca="1">IFERROR(__xludf.DUMMYFUNCTION("IMPORTRANGE(""https://docs.google.com/spreadsheets/d/11923uPwbBZFjjGgGUA6NLw09EwE0CqkOc4q9oUmW1yo/edit?usp=sharing"",""ลำปาง!I484"")"),5)</f>
        <v>5</v>
      </c>
      <c r="J589" s="187">
        <f ca="1">IFERROR(__xludf.DUMMYFUNCTION("IMPORTRANGE(""https://docs.google.com/spreadsheets/d/11923uPwbBZFjjGgGUA6NLw09EwE0CqkOc4q9oUmW1yo/edit?usp=sharing"",""ลำปาง!J484"")"),7)</f>
        <v>7</v>
      </c>
      <c r="K589" s="163">
        <f t="shared" ref="K589:K596" ca="1" si="125">IF(I589&gt;0,J589*100/I589,0)</f>
        <v>140</v>
      </c>
      <c r="L589" s="181"/>
      <c r="M589" s="181"/>
      <c r="N589" s="168"/>
      <c r="O589" s="181"/>
      <c r="P589" s="181"/>
    </row>
    <row r="590" spans="1:16" ht="21.75" customHeight="1" x14ac:dyDescent="0.3">
      <c r="A590" s="476"/>
      <c r="B590" s="166"/>
      <c r="C590" s="157"/>
      <c r="D590" s="289"/>
      <c r="E590" s="195"/>
      <c r="F590" s="195"/>
      <c r="G590" s="196"/>
      <c r="H590" s="180" t="s">
        <v>122</v>
      </c>
      <c r="I590" s="343">
        <f ca="1">IFERROR(__xludf.DUMMYFUNCTION("IMPORTRANGE(""https://docs.google.com/spreadsheets/d/11923uPwbBZFjjGgGUA6NLw09EwE0CqkOc4q9oUmW1yo/edit?usp=sharing"",""ลำปาง!I485"")"),0)</f>
        <v>0</v>
      </c>
      <c r="J590" s="187">
        <f ca="1">IFERROR(__xludf.DUMMYFUNCTION("IMPORTRANGE(""https://docs.google.com/spreadsheets/d/11923uPwbBZFjjGgGUA6NLw09EwE0CqkOc4q9oUmW1yo/edit?usp=sharing"",""ลำปาง!J485"")"),4.37)</f>
        <v>4.37</v>
      </c>
      <c r="K590" s="477">
        <f t="shared" ca="1" si="125"/>
        <v>0</v>
      </c>
      <c r="L590" s="181"/>
      <c r="M590" s="181"/>
      <c r="N590" s="168"/>
      <c r="O590" s="181"/>
      <c r="P590" s="181"/>
    </row>
    <row r="591" spans="1:16" ht="21.75" customHeight="1" x14ac:dyDescent="0.3">
      <c r="A591" s="476"/>
      <c r="B591" s="166"/>
      <c r="C591" s="157"/>
      <c r="D591" s="289"/>
      <c r="E591" s="194" t="s">
        <v>123</v>
      </c>
      <c r="F591" s="195"/>
      <c r="G591" s="196"/>
      <c r="H591" s="180" t="s">
        <v>37</v>
      </c>
      <c r="I591" s="339">
        <f ca="1">IFERROR(__xludf.DUMMYFUNCTION("IMPORTRANGE(""https://docs.google.com/spreadsheets/d/11923uPwbBZFjjGgGUA6NLw09EwE0CqkOc4q9oUmW1yo/edit?usp=sharing"",""ลำปาง!I486"")"),5)</f>
        <v>5</v>
      </c>
      <c r="J591" s="187">
        <f ca="1">IFERROR(__xludf.DUMMYFUNCTION("IMPORTRANGE(""https://docs.google.com/spreadsheets/d/11923uPwbBZFjjGgGUA6NLw09EwE0CqkOc4q9oUmW1yo/edit?usp=sharing"",""ลำปาง!J486"")"),4)</f>
        <v>4</v>
      </c>
      <c r="K591" s="163">
        <f t="shared" ca="1" si="125"/>
        <v>80</v>
      </c>
      <c r="L591" s="181"/>
      <c r="M591" s="181"/>
      <c r="N591" s="181"/>
      <c r="O591" s="181"/>
      <c r="P591" s="181"/>
    </row>
    <row r="592" spans="1:16" ht="21.75" customHeight="1" x14ac:dyDescent="0.3">
      <c r="A592" s="476"/>
      <c r="B592" s="166"/>
      <c r="C592" s="157"/>
      <c r="D592" s="289"/>
      <c r="E592" s="195"/>
      <c r="F592" s="195"/>
      <c r="G592" s="196"/>
      <c r="H592" s="180" t="s">
        <v>122</v>
      </c>
      <c r="I592" s="343">
        <f ca="1">IFERROR(__xludf.DUMMYFUNCTION("IMPORTRANGE(""https://docs.google.com/spreadsheets/d/11923uPwbBZFjjGgGUA6NLw09EwE0CqkOc4q9oUmW1yo/edit?usp=sharing"",""ลำปาง!I487"")"),0)</f>
        <v>0</v>
      </c>
      <c r="J592" s="187">
        <f ca="1">IFERROR(__xludf.DUMMYFUNCTION("IMPORTRANGE(""https://docs.google.com/spreadsheets/d/11923uPwbBZFjjGgGUA6NLw09EwE0CqkOc4q9oUmW1yo/edit?usp=sharing"",""ลำปาง!J487"")"),3.23)</f>
        <v>3.23</v>
      </c>
      <c r="K592" s="340">
        <f t="shared" ca="1" si="125"/>
        <v>0</v>
      </c>
      <c r="L592" s="181"/>
      <c r="M592" s="181"/>
      <c r="N592" s="181"/>
      <c r="O592" s="181"/>
      <c r="P592" s="181"/>
    </row>
    <row r="593" spans="1:16" ht="21.75" customHeight="1" x14ac:dyDescent="0.3">
      <c r="A593" s="476"/>
      <c r="B593" s="166"/>
      <c r="C593" s="157"/>
      <c r="D593" s="289"/>
      <c r="E593" s="194" t="s">
        <v>124</v>
      </c>
      <c r="F593" s="195"/>
      <c r="G593" s="196"/>
      <c r="H593" s="180" t="s">
        <v>37</v>
      </c>
      <c r="I593" s="339">
        <f ca="1">IFERROR(__xludf.DUMMYFUNCTION("IMPORTRANGE(""https://docs.google.com/spreadsheets/d/11923uPwbBZFjjGgGUA6NLw09EwE0CqkOc4q9oUmW1yo/edit?usp=sharing"",""ลำปาง!I488"")"),5)</f>
        <v>5</v>
      </c>
      <c r="J593" s="187">
        <f ca="1">IFERROR(__xludf.DUMMYFUNCTION("IMPORTRANGE(""https://docs.google.com/spreadsheets/d/11923uPwbBZFjjGgGUA6NLw09EwE0CqkOc4q9oUmW1yo/edit?usp=sharing"",""ลำปาง!J488"")"),0)</f>
        <v>0</v>
      </c>
      <c r="K593" s="163">
        <f t="shared" ca="1" si="125"/>
        <v>0</v>
      </c>
      <c r="L593" s="181"/>
      <c r="M593" s="181"/>
      <c r="N593" s="181"/>
      <c r="O593" s="181"/>
      <c r="P593" s="181"/>
    </row>
    <row r="594" spans="1:16" ht="21.75" customHeight="1" x14ac:dyDescent="0.3">
      <c r="A594" s="476"/>
      <c r="B594" s="166"/>
      <c r="C594" s="157"/>
      <c r="D594" s="289"/>
      <c r="E594" s="195"/>
      <c r="F594" s="195"/>
      <c r="G594" s="196"/>
      <c r="H594" s="180" t="s">
        <v>122</v>
      </c>
      <c r="I594" s="343">
        <f ca="1">IFERROR(__xludf.DUMMYFUNCTION("IMPORTRANGE(""https://docs.google.com/spreadsheets/d/11923uPwbBZFjjGgGUA6NLw09EwE0CqkOc4q9oUmW1yo/edit?usp=sharing"",""ลำปาง!I489"")"),0)</f>
        <v>0</v>
      </c>
      <c r="J594" s="187">
        <f ca="1">IFERROR(__xludf.DUMMYFUNCTION("IMPORTRANGE(""https://docs.google.com/spreadsheets/d/11923uPwbBZFjjGgGUA6NLw09EwE0CqkOc4q9oUmW1yo/edit?usp=sharing"",""ลำปาง!J489"")"),0)</f>
        <v>0</v>
      </c>
      <c r="K594" s="340">
        <f t="shared" ca="1" si="125"/>
        <v>0</v>
      </c>
      <c r="L594" s="181"/>
      <c r="M594" s="181"/>
      <c r="N594" s="181"/>
      <c r="O594" s="181"/>
      <c r="P594" s="181"/>
    </row>
    <row r="595" spans="1:16" ht="21.75" customHeight="1" x14ac:dyDescent="0.3">
      <c r="A595" s="476"/>
      <c r="B595" s="166"/>
      <c r="C595" s="157"/>
      <c r="D595" s="289"/>
      <c r="E595" s="194" t="s">
        <v>125</v>
      </c>
      <c r="F595" s="195"/>
      <c r="G595" s="196"/>
      <c r="H595" s="180" t="s">
        <v>37</v>
      </c>
      <c r="I595" s="339">
        <f ca="1">IFERROR(__xludf.DUMMYFUNCTION("IMPORTRANGE(""https://docs.google.com/spreadsheets/d/11923uPwbBZFjjGgGUA6NLw09EwE0CqkOc4q9oUmW1yo/edit?usp=sharing"",""ลำปาง!I490"")"),5)</f>
        <v>5</v>
      </c>
      <c r="J595" s="187">
        <f ca="1">IFERROR(__xludf.DUMMYFUNCTION("IMPORTRANGE(""https://docs.google.com/spreadsheets/d/11923uPwbBZFjjGgGUA6NLw09EwE0CqkOc4q9oUmW1yo/edit?usp=sharing"",""ลำปาง!J490"")"),4)</f>
        <v>4</v>
      </c>
      <c r="K595" s="163">
        <f t="shared" ca="1" si="125"/>
        <v>80</v>
      </c>
      <c r="L595" s="181"/>
      <c r="M595" s="181"/>
      <c r="N595" s="181"/>
      <c r="O595" s="181"/>
      <c r="P595" s="181"/>
    </row>
    <row r="596" spans="1:16" ht="21.75" customHeight="1" x14ac:dyDescent="0.3">
      <c r="A596" s="478"/>
      <c r="B596" s="479"/>
      <c r="C596" s="480"/>
      <c r="D596" s="481"/>
      <c r="E596" s="460"/>
      <c r="F596" s="460"/>
      <c r="G596" s="461"/>
      <c r="H596" s="482" t="s">
        <v>122</v>
      </c>
      <c r="I596" s="483">
        <f ca="1">IFERROR(__xludf.DUMMYFUNCTION("IMPORTRANGE(""https://docs.google.com/spreadsheets/d/11923uPwbBZFjjGgGUA6NLw09EwE0CqkOc4q9oUmW1yo/edit?usp=sharing"",""ลำปาง!I491"")"),0)</f>
        <v>0</v>
      </c>
      <c r="J596" s="240">
        <f ca="1">IFERROR(__xludf.DUMMYFUNCTION("IMPORTRANGE(""https://docs.google.com/spreadsheets/d/11923uPwbBZFjjGgGUA6NLw09EwE0CqkOc4q9oUmW1yo/edit?usp=sharing"",""ลำปาง!J491"")"),3.23)</f>
        <v>3.23</v>
      </c>
      <c r="K596" s="484">
        <f t="shared" ca="1" si="125"/>
        <v>0</v>
      </c>
      <c r="L596" s="466"/>
      <c r="M596" s="466"/>
      <c r="N596" s="466"/>
      <c r="O596" s="466"/>
      <c r="P596" s="466"/>
    </row>
    <row r="597" spans="1:16" ht="21.75" customHeight="1" x14ac:dyDescent="0.3">
      <c r="A597" s="403"/>
      <c r="B597" s="404">
        <v>10</v>
      </c>
      <c r="C597" s="405" t="s">
        <v>218</v>
      </c>
      <c r="D597" s="405"/>
      <c r="E597" s="405"/>
      <c r="F597" s="405"/>
      <c r="G597" s="406"/>
      <c r="H597" s="407" t="s">
        <v>122</v>
      </c>
      <c r="I597" s="408">
        <f ca="1">IFERROR(__xludf.DUMMYFUNCTION("IMPORTRANGE(""https://docs.google.com/spreadsheets/d/11923uPwbBZFjjGgGUA6NLw09EwE0CqkOc4q9oUmW1yo/edit?usp=sharing"",""ลำปาง!I492"")"),100)</f>
        <v>100</v>
      </c>
      <c r="J597" s="485">
        <f ca="1">IFERROR(__xludf.DUMMYFUNCTION("IMPORTRANGE(""https://docs.google.com/spreadsheets/d/11923uPwbBZFjjGgGUA6NLw09EwE0CqkOc4q9oUmW1yo/edit?usp=sharing"",""ลำปาง!J492"")"),0)</f>
        <v>0</v>
      </c>
      <c r="K597" s="409">
        <f ca="1">IF(I597&gt;0,J597*100/I597,0)</f>
        <v>0</v>
      </c>
      <c r="L597" s="410">
        <f ca="1">IFERROR(__xludf.DUMMYFUNCTION("IMPORTRANGE(""https://docs.google.com/spreadsheets/d/11923uPwbBZFjjGgGUA6NLw09EwE0CqkOc4q9oUmW1yo/edit?usp=sharing"",""ลำปาง!L492"")"),8900)</f>
        <v>8900</v>
      </c>
      <c r="M597" s="410"/>
      <c r="N597" s="410">
        <f ca="1">IFERROR(__xludf.DUMMYFUNCTION("IMPORTRANGE(""https://docs.google.com/spreadsheets/d/11923uPwbBZFjjGgGUA6NLw09EwE0CqkOc4q9oUmW1yo/edit?usp=sharing"",""ลำปาง!M492"")"),3400)</f>
        <v>3400</v>
      </c>
      <c r="O597" s="410">
        <f t="shared" ref="O597:O601" ca="1" si="126">+IF(L597&gt;0,N597*100/L597,0)</f>
        <v>38.202247191011239</v>
      </c>
      <c r="P597" s="410"/>
    </row>
    <row r="598" spans="1:16" ht="21.75" customHeight="1" x14ac:dyDescent="0.3">
      <c r="A598" s="156"/>
      <c r="B598" s="157"/>
      <c r="C598" s="157" t="s">
        <v>16</v>
      </c>
      <c r="D598" s="158" t="s">
        <v>38</v>
      </c>
      <c r="E598" s="159"/>
      <c r="F598" s="159"/>
      <c r="G598" s="160" t="s">
        <v>39</v>
      </c>
      <c r="H598" s="161" t="s">
        <v>12</v>
      </c>
      <c r="I598" s="162" t="s">
        <v>40</v>
      </c>
      <c r="J598" s="162"/>
      <c r="K598" s="163"/>
      <c r="L598" s="164">
        <f ca="1">IFERROR(__xludf.DUMMYFUNCTION("IMPORTRANGE(""https://docs.google.com/spreadsheets/d/11923uPwbBZFjjGgGUA6NLw09EwE0CqkOc4q9oUmW1yo/edit?usp=sharing"",""ลำปาง!L493"")"),0)</f>
        <v>0</v>
      </c>
      <c r="M598" s="164"/>
      <c r="N598" s="168">
        <f ca="1">IFERROR(__xludf.DUMMYFUNCTION("IMPORTRANGE(""https://docs.google.com/spreadsheets/d/11923uPwbBZFjjGgGUA6NLw09EwE0CqkOc4q9oUmW1yo/edit?usp=sharing"",""ลำปาง!M493"")"),0)</f>
        <v>0</v>
      </c>
      <c r="O598" s="168">
        <f t="shared" ca="1" si="126"/>
        <v>0</v>
      </c>
      <c r="P598" s="168"/>
    </row>
    <row r="599" spans="1:16" ht="21.75" customHeight="1" x14ac:dyDescent="0.3">
      <c r="A599" s="156"/>
      <c r="B599" s="157"/>
      <c r="C599" s="157"/>
      <c r="D599" s="166"/>
      <c r="E599" s="159"/>
      <c r="F599" s="159" t="s">
        <v>40</v>
      </c>
      <c r="G599" s="160" t="s">
        <v>41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IFERROR(__xludf.DUMMYFUNCTION("IMPORTRANGE(""https://docs.google.com/spreadsheets/d/11923uPwbBZFjjGgGUA6NLw09EwE0CqkOc4q9oUmW1yo/edit?usp=sharing"",""ลำปาง!L494"")"),8900)</f>
        <v>8900</v>
      </c>
      <c r="M599" s="165"/>
      <c r="N599" s="168">
        <f ca="1">IFERROR(__xludf.DUMMYFUNCTION("IMPORTRANGE(""https://docs.google.com/spreadsheets/d/11923uPwbBZFjjGgGUA6NLw09EwE0CqkOc4q9oUmW1yo/edit?usp=sharing"",""ลำปาง!M494"")"),3400)</f>
        <v>3400</v>
      </c>
      <c r="O599" s="168">
        <f t="shared" ca="1" si="126"/>
        <v>38.202247191011239</v>
      </c>
      <c r="P599" s="168"/>
    </row>
    <row r="600" spans="1:16" ht="21.75" customHeight="1" x14ac:dyDescent="0.3">
      <c r="A600" s="156"/>
      <c r="B600" s="157"/>
      <c r="C600" s="157"/>
      <c r="D600" s="166"/>
      <c r="E600" s="159"/>
      <c r="F600" s="159"/>
      <c r="G600" s="372" t="s">
        <v>129</v>
      </c>
      <c r="H600" s="161" t="s">
        <v>12</v>
      </c>
      <c r="I600" s="162"/>
      <c r="J600" s="162"/>
      <c r="K600" s="163"/>
      <c r="L600" s="168">
        <f ca="1">IFERROR(__xludf.DUMMYFUNCTION("IMPORTRANGE(""https://docs.google.com/spreadsheets/d/11923uPwbBZFjjGgGUA6NLw09EwE0CqkOc4q9oUmW1yo/edit?usp=sharing"",""ลำปาง!L495"")"),0)</f>
        <v>0</v>
      </c>
      <c r="M600" s="168"/>
      <c r="N600" s="168">
        <f ca="1">IFERROR(__xludf.DUMMYFUNCTION("IMPORTRANGE(""https://docs.google.com/spreadsheets/d/11923uPwbBZFjjGgGUA6NLw09EwE0CqkOc4q9oUmW1yo/edit?usp=sharing"",""ลำปาง!M495"")"),0)</f>
        <v>0</v>
      </c>
      <c r="O600" s="168">
        <f t="shared" ca="1" si="126"/>
        <v>0</v>
      </c>
      <c r="P600" s="168"/>
    </row>
    <row r="601" spans="1:16" ht="21.75" customHeight="1" x14ac:dyDescent="0.3">
      <c r="A601" s="156"/>
      <c r="B601" s="157"/>
      <c r="C601" s="157"/>
      <c r="D601" s="166"/>
      <c r="E601" s="159"/>
      <c r="F601" s="159"/>
      <c r="G601" s="372" t="s">
        <v>130</v>
      </c>
      <c r="H601" s="161" t="s">
        <v>12</v>
      </c>
      <c r="I601" s="162"/>
      <c r="J601" s="162"/>
      <c r="K601" s="163"/>
      <c r="L601" s="168">
        <f ca="1">IFERROR(__xludf.DUMMYFUNCTION("IMPORTRANGE(""https://docs.google.com/spreadsheets/d/11923uPwbBZFjjGgGUA6NLw09EwE0CqkOc4q9oUmW1yo/edit?usp=sharing"",""ลำปาง!L496"")"),8900)</f>
        <v>8900</v>
      </c>
      <c r="M601" s="168"/>
      <c r="N601" s="168">
        <f ca="1">IFERROR(__xludf.DUMMYFUNCTION("IMPORTRANGE(""https://docs.google.com/spreadsheets/d/11923uPwbBZFjjGgGUA6NLw09EwE0CqkOc4q9oUmW1yo/edit?usp=sharing"",""ลำปาง!M496"")"),3400)</f>
        <v>3400</v>
      </c>
      <c r="O601" s="168">
        <f t="shared" ca="1" si="126"/>
        <v>38.202247191011239</v>
      </c>
      <c r="P601" s="168"/>
    </row>
    <row r="602" spans="1:16" ht="21.75" customHeight="1" x14ac:dyDescent="0.3">
      <c r="A602" s="373"/>
      <c r="B602" s="374"/>
      <c r="C602" s="157"/>
      <c r="D602" s="375"/>
      <c r="E602" s="159"/>
      <c r="F602" s="159"/>
      <c r="G602" s="376" t="s">
        <v>131</v>
      </c>
      <c r="H602" s="161" t="s">
        <v>12</v>
      </c>
      <c r="I602" s="187"/>
      <c r="J602" s="187"/>
      <c r="K602" s="223"/>
      <c r="L602" s="168"/>
      <c r="M602" s="168"/>
      <c r="N602" s="167">
        <f ca="1">IFERROR(__xludf.DUMMYFUNCTION("IMPORTRANGE(""https://docs.google.com/spreadsheets/d/11923uPwbBZFjjGgGUA6NLw09EwE0CqkOc4q9oUmW1yo/edit?usp=sharing"",""ลำปาง!M497"")"),0)</f>
        <v>0</v>
      </c>
      <c r="O602" s="168"/>
      <c r="P602" s="168"/>
    </row>
    <row r="603" spans="1:16" ht="21.75" customHeight="1" x14ac:dyDescent="0.3">
      <c r="A603" s="373"/>
      <c r="B603" s="374"/>
      <c r="C603" s="157"/>
      <c r="D603" s="375"/>
      <c r="E603" s="159"/>
      <c r="F603" s="159"/>
      <c r="G603" s="376" t="s">
        <v>132</v>
      </c>
      <c r="H603" s="161" t="s">
        <v>12</v>
      </c>
      <c r="I603" s="187"/>
      <c r="J603" s="187"/>
      <c r="K603" s="223"/>
      <c r="L603" s="168"/>
      <c r="M603" s="168"/>
      <c r="N603" s="167">
        <f ca="1">IFERROR(__xludf.DUMMYFUNCTION("IMPORTRANGE(""https://docs.google.com/spreadsheets/d/11923uPwbBZFjjGgGUA6NLw09EwE0CqkOc4q9oUmW1yo/edit?usp=sharing"",""ลำปาง!M498"")"),0)</f>
        <v>0</v>
      </c>
      <c r="O603" s="168"/>
      <c r="P603" s="168"/>
    </row>
    <row r="604" spans="1:16" ht="21.75" customHeight="1" x14ac:dyDescent="0.3">
      <c r="A604" s="373"/>
      <c r="B604" s="374"/>
      <c r="C604" s="157"/>
      <c r="D604" s="375"/>
      <c r="E604" s="159"/>
      <c r="F604" s="159"/>
      <c r="G604" s="376" t="s">
        <v>133</v>
      </c>
      <c r="H604" s="161" t="s">
        <v>12</v>
      </c>
      <c r="I604" s="187"/>
      <c r="J604" s="187"/>
      <c r="K604" s="223"/>
      <c r="L604" s="168"/>
      <c r="M604" s="168"/>
      <c r="N604" s="377">
        <f ca="1">IFERROR(__xludf.DUMMYFUNCTION("IMPORTRANGE(""https://docs.google.com/spreadsheets/d/11923uPwbBZFjjGgGUA6NLw09EwE0CqkOc4q9oUmW1yo/edit?usp=sharing"",""ลำปาง!M499"")"),0)</f>
        <v>0</v>
      </c>
      <c r="O604" s="168"/>
      <c r="P604" s="168"/>
    </row>
    <row r="605" spans="1:16" ht="21.75" customHeight="1" x14ac:dyDescent="0.3">
      <c r="A605" s="373"/>
      <c r="B605" s="374"/>
      <c r="C605" s="157"/>
      <c r="D605" s="375"/>
      <c r="E605" s="159"/>
      <c r="F605" s="159"/>
      <c r="G605" s="376" t="s">
        <v>134</v>
      </c>
      <c r="H605" s="161" t="s">
        <v>12</v>
      </c>
      <c r="I605" s="187"/>
      <c r="J605" s="187"/>
      <c r="K605" s="223"/>
      <c r="L605" s="168"/>
      <c r="M605" s="168"/>
      <c r="N605" s="377">
        <f ca="1">IFERROR(__xludf.DUMMYFUNCTION("IMPORTRANGE(""https://docs.google.com/spreadsheets/d/11923uPwbBZFjjGgGUA6NLw09EwE0CqkOc4q9oUmW1yo/edit?usp=sharing"",""ลำปาง!M500"")"),3400)</f>
        <v>3400</v>
      </c>
      <c r="O605" s="168"/>
      <c r="P605" s="168"/>
    </row>
    <row r="606" spans="1:16" ht="21.75" customHeight="1" x14ac:dyDescent="0.3">
      <c r="A606" s="175"/>
      <c r="B606" s="176"/>
      <c r="C606" s="157" t="s">
        <v>16</v>
      </c>
      <c r="D606" s="177" t="s">
        <v>44</v>
      </c>
      <c r="E606" s="178"/>
      <c r="F606" s="178"/>
      <c r="G606" s="179"/>
      <c r="H606" s="180"/>
      <c r="I606" s="162"/>
      <c r="J606" s="162"/>
      <c r="K606" s="163"/>
      <c r="L606" s="181"/>
      <c r="M606" s="181"/>
      <c r="N606" s="181"/>
      <c r="O606" s="181"/>
      <c r="P606" s="181"/>
    </row>
    <row r="607" spans="1:16" ht="21.75" customHeight="1" x14ac:dyDescent="0.3">
      <c r="A607" s="175"/>
      <c r="B607" s="176"/>
      <c r="C607" s="176"/>
      <c r="D607" s="182">
        <v>1</v>
      </c>
      <c r="E607" s="183" t="s">
        <v>45</v>
      </c>
      <c r="F607" s="184"/>
      <c r="G607" s="185"/>
      <c r="H607" s="186"/>
      <c r="I607" s="187"/>
      <c r="J607" s="197">
        <f ca="1">IFERROR(__xludf.DUMMYFUNCTION("IMPORTRANGE(""https://docs.google.com/spreadsheets/d/11923uPwbBZFjjGgGUA6NLw09EwE0CqkOc4q9oUmW1yo/edit?usp=sharing"",""ลำปาง!J502"")"),0)</f>
        <v>0</v>
      </c>
      <c r="K607" s="163"/>
      <c r="L607" s="181"/>
      <c r="M607" s="181"/>
      <c r="N607" s="181"/>
      <c r="O607" s="181"/>
      <c r="P607" s="181"/>
    </row>
    <row r="608" spans="1:16" ht="21.75" customHeight="1" x14ac:dyDescent="0.3">
      <c r="A608" s="175"/>
      <c r="B608" s="176"/>
      <c r="C608" s="176"/>
      <c r="D608" s="189">
        <v>2</v>
      </c>
      <c r="E608" s="190" t="s">
        <v>46</v>
      </c>
      <c r="F608" s="191"/>
      <c r="G608" s="192"/>
      <c r="H608" s="186"/>
      <c r="I608" s="187"/>
      <c r="J608" s="197">
        <f ca="1">IFERROR(__xludf.DUMMYFUNCTION("IMPORTRANGE(""https://docs.google.com/spreadsheets/d/11923uPwbBZFjjGgGUA6NLw09EwE0CqkOc4q9oUmW1yo/edit?usp=sharing"",""ลำปาง!J503"")"),1)</f>
        <v>1</v>
      </c>
      <c r="K608" s="163"/>
      <c r="L608" s="181" t="s">
        <v>40</v>
      </c>
      <c r="M608" s="181"/>
      <c r="N608" s="181" t="s">
        <v>40</v>
      </c>
      <c r="O608" s="181"/>
      <c r="P608" s="181"/>
    </row>
    <row r="609" spans="1:16" ht="21.75" hidden="1" customHeight="1" x14ac:dyDescent="0.3">
      <c r="A609" s="373"/>
      <c r="B609" s="374"/>
      <c r="C609" s="374"/>
      <c r="D609" s="486"/>
      <c r="E609" s="487" t="s">
        <v>47</v>
      </c>
      <c r="F609" s="488"/>
      <c r="G609" s="379"/>
      <c r="H609" s="186"/>
      <c r="I609" s="187"/>
      <c r="J609" s="187">
        <f ca="1">IFERROR(__xludf.DUMMYFUNCTION("IMPORTRANGE(""https://docs.google.com/spreadsheets/d/11923uPwbBZFjjGgGUA6NLw09EwE0CqkOc4q9oUmW1yo/edit?usp=sharing"",""ลำปาง!J166"")"),0)</f>
        <v>0</v>
      </c>
      <c r="K609" s="223"/>
      <c r="L609" s="168"/>
      <c r="M609" s="168"/>
      <c r="N609" s="168"/>
      <c r="O609" s="168"/>
      <c r="P609" s="168"/>
    </row>
    <row r="610" spans="1:16" ht="21.75" hidden="1" customHeight="1" x14ac:dyDescent="0.3">
      <c r="A610" s="373"/>
      <c r="B610" s="374"/>
      <c r="C610" s="374"/>
      <c r="D610" s="486"/>
      <c r="E610" s="487" t="s">
        <v>48</v>
      </c>
      <c r="F610" s="488"/>
      <c r="G610" s="379"/>
      <c r="H610" s="186"/>
      <c r="I610" s="187"/>
      <c r="J610" s="187">
        <f ca="1">IFERROR(__xludf.DUMMYFUNCTION("IMPORTRANGE(""https://docs.google.com/spreadsheets/d/11923uPwbBZFjjGgGUA6NLw09EwE0CqkOc4q9oUmW1yo/edit?usp=sharing"",""ลำปาง!J166"")"),0)</f>
        <v>0</v>
      </c>
      <c r="K610" s="223"/>
      <c r="L610" s="168"/>
      <c r="M610" s="168"/>
      <c r="N610" s="168"/>
      <c r="O610" s="168"/>
      <c r="P610" s="168"/>
    </row>
    <row r="611" spans="1:16" ht="21.75" customHeight="1" x14ac:dyDescent="0.3">
      <c r="A611" s="175"/>
      <c r="B611" s="176"/>
      <c r="C611" s="176"/>
      <c r="D611" s="193"/>
      <c r="E611" s="195"/>
      <c r="F611" s="195" t="s">
        <v>219</v>
      </c>
      <c r="G611" s="196"/>
      <c r="H611" s="180" t="s">
        <v>122</v>
      </c>
      <c r="I611" s="187">
        <f ca="1">IFERROR(__xludf.DUMMYFUNCTION("IMPORTRANGE(""https://docs.google.com/spreadsheets/d/11923uPwbBZFjjGgGUA6NLw09EwE0CqkOc4q9oUmW1yo/edit?usp=sharing"",""ลำปาง!I506"")"),100)</f>
        <v>100</v>
      </c>
      <c r="J611" s="162">
        <f ca="1">IFERROR(__xludf.DUMMYFUNCTION("IMPORTRANGE(""https://docs.google.com/spreadsheets/d/11923uPwbBZFjjGgGUA6NLw09EwE0CqkOc4q9oUmW1yo/edit?usp=sharing"",""ลำปาง!J506"")"),0)</f>
        <v>0</v>
      </c>
      <c r="K611" s="163">
        <f t="shared" ref="K611:K619" ca="1" si="127">IF(I$611&gt;0,J611*100/I$611,0)</f>
        <v>0</v>
      </c>
      <c r="L611" s="181"/>
      <c r="M611" s="181"/>
      <c r="N611" s="181"/>
      <c r="O611" s="181"/>
      <c r="P611" s="181"/>
    </row>
    <row r="612" spans="1:16" ht="21.75" customHeight="1" x14ac:dyDescent="0.3">
      <c r="A612" s="175"/>
      <c r="B612" s="176"/>
      <c r="C612" s="176"/>
      <c r="D612" s="193"/>
      <c r="E612" s="198"/>
      <c r="F612" s="195"/>
      <c r="G612" s="225" t="s">
        <v>220</v>
      </c>
      <c r="H612" s="180" t="s">
        <v>122</v>
      </c>
      <c r="I612" s="203">
        <f ca="1">IFERROR(__xludf.DUMMYFUNCTION("IMPORTRANGE(""https://docs.google.com/spreadsheets/d/11923uPwbBZFjjGgGUA6NLw09EwE0CqkOc4q9oUmW1yo/edit?usp=sharing"",""ลำปาง!I507"")"),0)</f>
        <v>0</v>
      </c>
      <c r="J612" s="197">
        <f ca="1">IFERROR(__xludf.DUMMYFUNCTION("IMPORTRANGE(""https://docs.google.com/spreadsheets/d/11923uPwbBZFjjGgGUA6NLw09EwE0CqkOc4q9oUmW1yo/edit?usp=sharing"",""ลำปาง!J507"")"),0)</f>
        <v>0</v>
      </c>
      <c r="K612" s="163">
        <f t="shared" ca="1" si="127"/>
        <v>0</v>
      </c>
      <c r="L612" s="181"/>
      <c r="M612" s="181"/>
      <c r="N612" s="181"/>
      <c r="O612" s="181"/>
      <c r="P612" s="181"/>
    </row>
    <row r="613" spans="1:16" ht="21.75" customHeight="1" x14ac:dyDescent="0.3">
      <c r="A613" s="175"/>
      <c r="B613" s="176"/>
      <c r="C613" s="176"/>
      <c r="D613" s="193"/>
      <c r="E613" s="198"/>
      <c r="F613" s="195"/>
      <c r="G613" s="225" t="s">
        <v>221</v>
      </c>
      <c r="H613" s="180" t="s">
        <v>122</v>
      </c>
      <c r="I613" s="203">
        <f ca="1">IFERROR(__xludf.DUMMYFUNCTION("IMPORTRANGE(""https://docs.google.com/spreadsheets/d/11923uPwbBZFjjGgGUA6NLw09EwE0CqkOc4q9oUmW1yo/edit?usp=sharing"",""ลำปาง!I508"")"),0)</f>
        <v>0</v>
      </c>
      <c r="J613" s="197">
        <f ca="1">IFERROR(__xludf.DUMMYFUNCTION("IMPORTRANGE(""https://docs.google.com/spreadsheets/d/11923uPwbBZFjjGgGUA6NLw09EwE0CqkOc4q9oUmW1yo/edit?usp=sharing"",""ลำปาง!J508"")"),0)</f>
        <v>0</v>
      </c>
      <c r="K613" s="163">
        <f t="shared" ca="1" si="127"/>
        <v>0</v>
      </c>
      <c r="L613" s="181"/>
      <c r="M613" s="181"/>
      <c r="N613" s="181"/>
      <c r="O613" s="181"/>
      <c r="P613" s="181"/>
    </row>
    <row r="614" spans="1:16" ht="21.75" customHeight="1" x14ac:dyDescent="0.3">
      <c r="A614" s="175"/>
      <c r="B614" s="176"/>
      <c r="C614" s="176"/>
      <c r="D614" s="193"/>
      <c r="E614" s="198"/>
      <c r="F614" s="195"/>
      <c r="G614" s="225" t="s">
        <v>222</v>
      </c>
      <c r="H614" s="180" t="s">
        <v>122</v>
      </c>
      <c r="I614" s="203">
        <f ca="1">IFERROR(__xludf.DUMMYFUNCTION("IMPORTRANGE(""https://docs.google.com/spreadsheets/d/11923uPwbBZFjjGgGUA6NLw09EwE0CqkOc4q9oUmW1yo/edit?usp=sharing"",""ลำปาง!I509"")"),0)</f>
        <v>0</v>
      </c>
      <c r="J614" s="197">
        <f ca="1">IFERROR(__xludf.DUMMYFUNCTION("IMPORTRANGE(""https://docs.google.com/spreadsheets/d/11923uPwbBZFjjGgGUA6NLw09EwE0CqkOc4q9oUmW1yo/edit?usp=sharing"",""ลำปาง!J509"")"),0)</f>
        <v>0</v>
      </c>
      <c r="K614" s="163">
        <f t="shared" ca="1" si="127"/>
        <v>0</v>
      </c>
      <c r="L614" s="181"/>
      <c r="M614" s="181"/>
      <c r="N614" s="181"/>
      <c r="O614" s="181"/>
      <c r="P614" s="181"/>
    </row>
    <row r="615" spans="1:16" ht="21.75" customHeight="1" x14ac:dyDescent="0.3">
      <c r="A615" s="175"/>
      <c r="B615" s="176"/>
      <c r="C615" s="176"/>
      <c r="D615" s="193"/>
      <c r="E615" s="198"/>
      <c r="F615" s="195"/>
      <c r="G615" s="225" t="s">
        <v>223</v>
      </c>
      <c r="H615" s="180" t="s">
        <v>122</v>
      </c>
      <c r="I615" s="203">
        <f ca="1">IFERROR(__xludf.DUMMYFUNCTION("IMPORTRANGE(""https://docs.google.com/spreadsheets/d/11923uPwbBZFjjGgGUA6NLw09EwE0CqkOc4q9oUmW1yo/edit?usp=sharing"",""ลำปาง!I510"")"),0)</f>
        <v>0</v>
      </c>
      <c r="J615" s="197">
        <f ca="1">IFERROR(__xludf.DUMMYFUNCTION("IMPORTRANGE(""https://docs.google.com/spreadsheets/d/11923uPwbBZFjjGgGUA6NLw09EwE0CqkOc4q9oUmW1yo/edit?usp=sharing"",""ลำปาง!J510"")"),0)</f>
        <v>0</v>
      </c>
      <c r="K615" s="163">
        <f t="shared" ca="1" si="127"/>
        <v>0</v>
      </c>
      <c r="L615" s="181"/>
      <c r="M615" s="181"/>
      <c r="N615" s="181"/>
      <c r="O615" s="181"/>
      <c r="P615" s="181"/>
    </row>
    <row r="616" spans="1:16" ht="21.75" customHeight="1" x14ac:dyDescent="0.3">
      <c r="A616" s="175"/>
      <c r="B616" s="176"/>
      <c r="C616" s="176"/>
      <c r="D616" s="193"/>
      <c r="E616" s="198"/>
      <c r="F616" s="195"/>
      <c r="G616" s="194" t="s">
        <v>224</v>
      </c>
      <c r="H616" s="180" t="s">
        <v>122</v>
      </c>
      <c r="I616" s="203">
        <f ca="1">IFERROR(__xludf.DUMMYFUNCTION("IMPORTRANGE(""https://docs.google.com/spreadsheets/d/11923uPwbBZFjjGgGUA6NLw09EwE0CqkOc4q9oUmW1yo/edit?usp=sharing"",""ลำปาง!I511"")"),0)</f>
        <v>0</v>
      </c>
      <c r="J616" s="197">
        <f ca="1">IFERROR(__xludf.DUMMYFUNCTION("IMPORTRANGE(""https://docs.google.com/spreadsheets/d/11923uPwbBZFjjGgGUA6NLw09EwE0CqkOc4q9oUmW1yo/edit?usp=sharing"",""ลำปาง!J511"")"),0)</f>
        <v>0</v>
      </c>
      <c r="K616" s="163">
        <f t="shared" ca="1" si="127"/>
        <v>0</v>
      </c>
      <c r="L616" s="181"/>
      <c r="M616" s="181"/>
      <c r="N616" s="181"/>
      <c r="O616" s="181"/>
      <c r="P616" s="181"/>
    </row>
    <row r="617" spans="1:16" ht="21.75" customHeight="1" x14ac:dyDescent="0.3">
      <c r="A617" s="175"/>
      <c r="B617" s="176"/>
      <c r="C617" s="176"/>
      <c r="D617" s="193"/>
      <c r="E617" s="198"/>
      <c r="F617" s="195"/>
      <c r="G617" s="194" t="s">
        <v>225</v>
      </c>
      <c r="H617" s="180" t="s">
        <v>122</v>
      </c>
      <c r="I617" s="187">
        <f ca="1">IFERROR(__xludf.DUMMYFUNCTION("IMPORTRANGE(""https://docs.google.com/spreadsheets/d/11923uPwbBZFjjGgGUA6NLw09EwE0CqkOc4q9oUmW1yo/edit?usp=sharing"",""ลำปาง!I512"")"),0)</f>
        <v>0</v>
      </c>
      <c r="J617" s="187">
        <f ca="1">IFERROR(__xludf.DUMMYFUNCTION("IMPORTRANGE(""https://docs.google.com/spreadsheets/d/11923uPwbBZFjjGgGUA6NLw09EwE0CqkOc4q9oUmW1yo/edit?usp=sharing"",""ลำปาง!J512"")"),0)</f>
        <v>0</v>
      </c>
      <c r="K617" s="163">
        <f t="shared" ca="1" si="127"/>
        <v>0</v>
      </c>
      <c r="L617" s="181"/>
      <c r="M617" s="181"/>
      <c r="N617" s="181"/>
      <c r="O617" s="181"/>
      <c r="P617" s="181"/>
    </row>
    <row r="618" spans="1:16" ht="21.75" customHeight="1" x14ac:dyDescent="0.3">
      <c r="A618" s="175"/>
      <c r="B618" s="176"/>
      <c r="C618" s="176"/>
      <c r="D618" s="193"/>
      <c r="E618" s="198"/>
      <c r="F618" s="195"/>
      <c r="G618" s="489" t="s">
        <v>226</v>
      </c>
      <c r="H618" s="180" t="s">
        <v>122</v>
      </c>
      <c r="I618" s="203">
        <f ca="1">IFERROR(__xludf.DUMMYFUNCTION("IMPORTRANGE(""https://docs.google.com/spreadsheets/d/11923uPwbBZFjjGgGUA6NLw09EwE0CqkOc4q9oUmW1yo/edit?usp=sharing"",""ลำปาง!I513"")"),0)</f>
        <v>0</v>
      </c>
      <c r="J618" s="188">
        <f ca="1">IFERROR(__xludf.DUMMYFUNCTION("IMPORTRANGE(""https://docs.google.com/spreadsheets/d/11923uPwbBZFjjGgGUA6NLw09EwE0CqkOc4q9oUmW1yo/edit?usp=sharing"",""ลำปาง!J513"")"),0)</f>
        <v>0</v>
      </c>
      <c r="K618" s="163">
        <f t="shared" ca="1" si="127"/>
        <v>0</v>
      </c>
      <c r="L618" s="181"/>
      <c r="M618" s="181"/>
      <c r="N618" s="181"/>
      <c r="O618" s="181"/>
      <c r="P618" s="181"/>
    </row>
    <row r="619" spans="1:16" ht="21.75" customHeight="1" x14ac:dyDescent="0.3">
      <c r="A619" s="175"/>
      <c r="B619" s="176"/>
      <c r="C619" s="176"/>
      <c r="D619" s="193"/>
      <c r="E619" s="198"/>
      <c r="F619" s="195"/>
      <c r="G619" s="489" t="s">
        <v>227</v>
      </c>
      <c r="H619" s="180" t="s">
        <v>122</v>
      </c>
      <c r="I619" s="203">
        <f ca="1">IFERROR(__xludf.DUMMYFUNCTION("IMPORTRANGE(""https://docs.google.com/spreadsheets/d/11923uPwbBZFjjGgGUA6NLw09EwE0CqkOc4q9oUmW1yo/edit?usp=sharing"",""ลำปาง!I514"")"),0)</f>
        <v>0</v>
      </c>
      <c r="J619" s="188">
        <f ca="1">IFERROR(__xludf.DUMMYFUNCTION("IMPORTRANGE(""https://docs.google.com/spreadsheets/d/11923uPwbBZFjjGgGUA6NLw09EwE0CqkOc4q9oUmW1yo/edit?usp=sharing"",""ลำปาง!J514"")"),0)</f>
        <v>0</v>
      </c>
      <c r="K619" s="163">
        <f t="shared" ca="1" si="127"/>
        <v>0</v>
      </c>
      <c r="L619" s="181"/>
      <c r="M619" s="181"/>
      <c r="N619" s="181"/>
      <c r="O619" s="181"/>
      <c r="P619" s="181"/>
    </row>
    <row r="620" spans="1:16" ht="21.75" customHeight="1" x14ac:dyDescent="0.3">
      <c r="A620" s="175"/>
      <c r="B620" s="176"/>
      <c r="C620" s="176"/>
      <c r="D620" s="193"/>
      <c r="E620" s="195"/>
      <c r="F620" s="194" t="s">
        <v>228</v>
      </c>
      <c r="G620" s="196"/>
      <c r="H620" s="180" t="s">
        <v>122</v>
      </c>
      <c r="I620" s="187">
        <f ca="1">IFERROR(__xludf.DUMMYFUNCTION("IMPORTRANGE(""https://docs.google.com/spreadsheets/d/11923uPwbBZFjjGgGUA6NLw09EwE0CqkOc4q9oUmW1yo/edit?usp=sharing"",""ลำปาง!I515"")"),0)</f>
        <v>0</v>
      </c>
      <c r="J620" s="202">
        <f ca="1">IFERROR(__xludf.DUMMYFUNCTION("IMPORTRANGE(""https://docs.google.com/spreadsheets/d/11923uPwbBZFjjGgGUA6NLw09EwE0CqkOc4q9oUmW1yo/edit?usp=sharing"",""ลำปาง!J515"")"),0)</f>
        <v>0</v>
      </c>
      <c r="K620" s="163">
        <f t="shared" ref="K620:K626" ca="1" si="128">IF(I$620&gt;0,J620*100/I$620,0)</f>
        <v>0</v>
      </c>
      <c r="L620" s="181"/>
      <c r="M620" s="181"/>
      <c r="N620" s="181"/>
      <c r="O620" s="181"/>
      <c r="P620" s="181"/>
    </row>
    <row r="621" spans="1:16" ht="21.75" customHeight="1" x14ac:dyDescent="0.3">
      <c r="A621" s="175"/>
      <c r="B621" s="176"/>
      <c r="C621" s="176"/>
      <c r="D621" s="193"/>
      <c r="E621" s="198"/>
      <c r="F621" s="195"/>
      <c r="G621" s="225" t="s">
        <v>225</v>
      </c>
      <c r="H621" s="180" t="s">
        <v>122</v>
      </c>
      <c r="I621" s="202">
        <f ca="1">IFERROR(__xludf.DUMMYFUNCTION("IMPORTRANGE(""https://docs.google.com/spreadsheets/d/11923uPwbBZFjjGgGUA6NLw09EwE0CqkOc4q9oUmW1yo/edit?usp=sharing"",""ลำปาง!I516"")"),0)</f>
        <v>0</v>
      </c>
      <c r="J621" s="202">
        <f ca="1">IFERROR(__xludf.DUMMYFUNCTION("IMPORTRANGE(""https://docs.google.com/spreadsheets/d/11923uPwbBZFjjGgGUA6NLw09EwE0CqkOc4q9oUmW1yo/edit?usp=sharing"",""ลำปาง!J516"")"),0)</f>
        <v>0</v>
      </c>
      <c r="K621" s="163">
        <f t="shared" ca="1" si="128"/>
        <v>0</v>
      </c>
      <c r="L621" s="181"/>
      <c r="M621" s="181"/>
      <c r="N621" s="181"/>
      <c r="O621" s="181"/>
      <c r="P621" s="181"/>
    </row>
    <row r="622" spans="1:16" ht="21.75" customHeight="1" x14ac:dyDescent="0.3">
      <c r="A622" s="175"/>
      <c r="B622" s="176"/>
      <c r="C622" s="176"/>
      <c r="D622" s="193"/>
      <c r="E622" s="198"/>
      <c r="F622" s="195"/>
      <c r="G622" s="489" t="s">
        <v>226</v>
      </c>
      <c r="H622" s="180" t="s">
        <v>122</v>
      </c>
      <c r="I622" s="203">
        <f ca="1">IFERROR(__xludf.DUMMYFUNCTION("IMPORTRANGE(""https://docs.google.com/spreadsheets/d/11923uPwbBZFjjGgGUA6NLw09EwE0CqkOc4q9oUmW1yo/edit?usp=sharing"",""ลำปาง!I517"")"),0)</f>
        <v>0</v>
      </c>
      <c r="J622" s="188">
        <f ca="1">IFERROR(__xludf.DUMMYFUNCTION("IMPORTRANGE(""https://docs.google.com/spreadsheets/d/11923uPwbBZFjjGgGUA6NLw09EwE0CqkOc4q9oUmW1yo/edit?usp=sharing"",""ลำปาง!J517"")"),0)</f>
        <v>0</v>
      </c>
      <c r="K622" s="163">
        <f t="shared" ca="1" si="128"/>
        <v>0</v>
      </c>
      <c r="L622" s="181"/>
      <c r="M622" s="181"/>
      <c r="N622" s="181"/>
      <c r="O622" s="181"/>
      <c r="P622" s="181"/>
    </row>
    <row r="623" spans="1:16" ht="21.75" customHeight="1" x14ac:dyDescent="0.3">
      <c r="A623" s="175"/>
      <c r="B623" s="176"/>
      <c r="C623" s="176"/>
      <c r="D623" s="193"/>
      <c r="E623" s="198"/>
      <c r="F623" s="195"/>
      <c r="G623" s="489" t="s">
        <v>227</v>
      </c>
      <c r="H623" s="180" t="s">
        <v>122</v>
      </c>
      <c r="I623" s="203">
        <f ca="1">IFERROR(__xludf.DUMMYFUNCTION("IMPORTRANGE(""https://docs.google.com/spreadsheets/d/11923uPwbBZFjjGgGUA6NLw09EwE0CqkOc4q9oUmW1yo/edit?usp=sharing"",""ลำปาง!I518"")"),0)</f>
        <v>0</v>
      </c>
      <c r="J623" s="188">
        <f ca="1">IFERROR(__xludf.DUMMYFUNCTION("IMPORTRANGE(""https://docs.google.com/spreadsheets/d/11923uPwbBZFjjGgGUA6NLw09EwE0CqkOc4q9oUmW1yo/edit?usp=sharing"",""ลำปาง!J518"")"),0)</f>
        <v>0</v>
      </c>
      <c r="K623" s="163">
        <f t="shared" ca="1" si="128"/>
        <v>0</v>
      </c>
      <c r="L623" s="181"/>
      <c r="M623" s="181"/>
      <c r="N623" s="181"/>
      <c r="O623" s="181"/>
      <c r="P623" s="181"/>
    </row>
    <row r="624" spans="1:16" ht="21.75" customHeight="1" x14ac:dyDescent="0.3">
      <c r="A624" s="175"/>
      <c r="B624" s="176"/>
      <c r="C624" s="176"/>
      <c r="D624" s="193"/>
      <c r="E624" s="198"/>
      <c r="F624" s="195"/>
      <c r="G624" s="225" t="s">
        <v>229</v>
      </c>
      <c r="H624" s="180" t="s">
        <v>122</v>
      </c>
      <c r="I624" s="187">
        <f ca="1">IFERROR(__xludf.DUMMYFUNCTION("IMPORTRANGE(""https://docs.google.com/spreadsheets/d/11923uPwbBZFjjGgGUA6NLw09EwE0CqkOc4q9oUmW1yo/edit?usp=sharing"",""ลำปาง!I519"")"),0)</f>
        <v>0</v>
      </c>
      <c r="J624" s="187">
        <f ca="1">IFERROR(__xludf.DUMMYFUNCTION("IMPORTRANGE(""https://docs.google.com/spreadsheets/d/11923uPwbBZFjjGgGUA6NLw09EwE0CqkOc4q9oUmW1yo/edit?usp=sharing"",""ลำปาง!J519"")"),0)</f>
        <v>0</v>
      </c>
      <c r="K624" s="163">
        <f t="shared" ca="1" si="128"/>
        <v>0</v>
      </c>
      <c r="L624" s="181"/>
      <c r="M624" s="181"/>
      <c r="N624" s="181"/>
      <c r="O624" s="181"/>
      <c r="P624" s="181"/>
    </row>
    <row r="625" spans="1:16" ht="21.75" customHeight="1" x14ac:dyDescent="0.3">
      <c r="A625" s="175"/>
      <c r="B625" s="176"/>
      <c r="C625" s="176"/>
      <c r="D625" s="193"/>
      <c r="E625" s="198"/>
      <c r="F625" s="195"/>
      <c r="G625" s="489" t="s">
        <v>230</v>
      </c>
      <c r="H625" s="180" t="s">
        <v>122</v>
      </c>
      <c r="I625" s="203">
        <f ca="1">IFERROR(__xludf.DUMMYFUNCTION("IMPORTRANGE(""https://docs.google.com/spreadsheets/d/11923uPwbBZFjjGgGUA6NLw09EwE0CqkOc4q9oUmW1yo/edit?usp=sharing"",""ลำปาง!I520"")"),0)</f>
        <v>0</v>
      </c>
      <c r="J625" s="188">
        <f ca="1">IFERROR(__xludf.DUMMYFUNCTION("IMPORTRANGE(""https://docs.google.com/spreadsheets/d/11923uPwbBZFjjGgGUA6NLw09EwE0CqkOc4q9oUmW1yo/edit?usp=sharing"",""ลำปาง!J520"")"),0)</f>
        <v>0</v>
      </c>
      <c r="K625" s="163">
        <f t="shared" ca="1" si="128"/>
        <v>0</v>
      </c>
      <c r="L625" s="181"/>
      <c r="M625" s="181"/>
      <c r="N625" s="181"/>
      <c r="O625" s="181"/>
      <c r="P625" s="181"/>
    </row>
    <row r="626" spans="1:16" ht="21.75" customHeight="1" x14ac:dyDescent="0.3">
      <c r="A626" s="175"/>
      <c r="B626" s="176"/>
      <c r="C626" s="176"/>
      <c r="D626" s="193"/>
      <c r="E626" s="198"/>
      <c r="F626" s="195"/>
      <c r="G626" s="489" t="s">
        <v>231</v>
      </c>
      <c r="H626" s="180" t="s">
        <v>122</v>
      </c>
      <c r="I626" s="203">
        <f ca="1">IFERROR(__xludf.DUMMYFUNCTION("IMPORTRANGE(""https://docs.google.com/spreadsheets/d/11923uPwbBZFjjGgGUA6NLw09EwE0CqkOc4q9oUmW1yo/edit?usp=sharing"",""ลำปาง!I521"")"),0)</f>
        <v>0</v>
      </c>
      <c r="J626" s="188">
        <f ca="1">IFERROR(__xludf.DUMMYFUNCTION("IMPORTRANGE(""https://docs.google.com/spreadsheets/d/11923uPwbBZFjjGgGUA6NLw09EwE0CqkOc4q9oUmW1yo/edit?usp=sharing"",""ลำปาง!J521"")"),0)</f>
        <v>0</v>
      </c>
      <c r="K626" s="163">
        <f t="shared" ca="1" si="128"/>
        <v>0</v>
      </c>
      <c r="L626" s="181"/>
      <c r="M626" s="181"/>
      <c r="N626" s="181"/>
      <c r="O626" s="181"/>
      <c r="P626" s="181"/>
    </row>
    <row r="627" spans="1:16" ht="21.75" customHeight="1" x14ac:dyDescent="0.3">
      <c r="A627" s="490" t="s">
        <v>232</v>
      </c>
      <c r="B627" s="491"/>
      <c r="C627" s="491"/>
      <c r="D627" s="491"/>
      <c r="E627" s="491"/>
      <c r="F627" s="491"/>
      <c r="G627" s="492"/>
      <c r="H627" s="493"/>
      <c r="I627" s="494"/>
      <c r="J627" s="494"/>
      <c r="K627" s="495"/>
      <c r="L627" s="495"/>
      <c r="M627" s="495"/>
      <c r="N627" s="495"/>
      <c r="O627" s="496"/>
      <c r="P627" s="496"/>
    </row>
    <row r="628" spans="1:16" ht="21.75" customHeight="1" x14ac:dyDescent="0.3">
      <c r="A628" s="476"/>
      <c r="B628" s="497" t="s">
        <v>233</v>
      </c>
      <c r="C628" s="157"/>
      <c r="D628" s="166"/>
      <c r="E628" s="159"/>
      <c r="F628" s="159"/>
      <c r="G628" s="160"/>
      <c r="H628" s="498" t="s">
        <v>12</v>
      </c>
      <c r="I628" s="339">
        <f ca="1">IFERROR(__xludf.DUMMYFUNCTION("IMPORTRANGE(""https://docs.google.com/spreadsheets/d/11923uPwbBZFjjGgGUA6NLw09EwE0CqkOc4q9oUmW1yo/edit?usp=sharing"",""ลำปาง!I523"")"),8040578.33)</f>
        <v>8040578.3300000001</v>
      </c>
      <c r="J628" s="339">
        <f ca="1">IFERROR(__xludf.DUMMYFUNCTION("IMPORTRANGE(""https://docs.google.com/spreadsheets/d/11923uPwbBZFjjGgGUA6NLw09EwE0CqkOc4q9oUmW1yo/edit?usp=sharing"",""ลำปาง!J523"")"),3732562.36)</f>
        <v>3732562.36</v>
      </c>
      <c r="K628" s="340">
        <f t="shared" ref="K628:K635" ca="1" si="129">IF(I628&gt;0,J628*100/I628,0)</f>
        <v>46.421565797991548</v>
      </c>
      <c r="L628" s="340"/>
      <c r="M628" s="340"/>
      <c r="N628" s="340"/>
      <c r="O628" s="168"/>
      <c r="P628" s="168"/>
    </row>
    <row r="629" spans="1:16" ht="21.75" customHeight="1" x14ac:dyDescent="0.3">
      <c r="A629" s="476"/>
      <c r="B629" s="157"/>
      <c r="C629" s="157"/>
      <c r="D629" s="166"/>
      <c r="E629" s="159"/>
      <c r="F629" s="159"/>
      <c r="G629" s="160"/>
      <c r="H629" s="498" t="s">
        <v>37</v>
      </c>
      <c r="I629" s="339">
        <f ca="1">IFERROR(__xludf.DUMMYFUNCTION("IMPORTRANGE(""https://docs.google.com/spreadsheets/d/11923uPwbBZFjjGgGUA6NLw09EwE0CqkOc4q9oUmW1yo/edit?usp=sharing"",""ลำปาง!I524"")"),318)</f>
        <v>318</v>
      </c>
      <c r="J629" s="339">
        <f ca="1">IFERROR(__xludf.DUMMYFUNCTION("IMPORTRANGE(""https://docs.google.com/spreadsheets/d/11923uPwbBZFjjGgGUA6NLw09EwE0CqkOc4q9oUmW1yo/edit?usp=sharing"",""ลำปาง!J524"")"),140)</f>
        <v>140</v>
      </c>
      <c r="K629" s="340">
        <f t="shared" ca="1" si="129"/>
        <v>44.025157232704402</v>
      </c>
      <c r="L629" s="340"/>
      <c r="M629" s="340"/>
      <c r="N629" s="340"/>
      <c r="O629" s="168"/>
      <c r="P629" s="168"/>
    </row>
    <row r="630" spans="1:16" ht="21.75" customHeight="1" x14ac:dyDescent="0.3">
      <c r="A630" s="476"/>
      <c r="B630" s="497" t="s">
        <v>234</v>
      </c>
      <c r="C630" s="157"/>
      <c r="D630" s="166"/>
      <c r="E630" s="159"/>
      <c r="F630" s="159"/>
      <c r="G630" s="160"/>
      <c r="H630" s="498" t="s">
        <v>12</v>
      </c>
      <c r="I630" s="339">
        <f ca="1">IFERROR(__xludf.DUMMYFUNCTION("IMPORTRANGE(""https://docs.google.com/spreadsheets/d/11923uPwbBZFjjGgGUA6NLw09EwE0CqkOc4q9oUmW1yo/edit?usp=sharing"",""ลำปาง!I525"")"),17310.57)</f>
        <v>17310.57</v>
      </c>
      <c r="J630" s="339">
        <f ca="1">IFERROR(__xludf.DUMMYFUNCTION("IMPORTRANGE(""https://docs.google.com/spreadsheets/d/11923uPwbBZFjjGgGUA6NLw09EwE0CqkOc4q9oUmW1yo/edit?usp=sharing"",""ลำปาง!J525"")"),1751.33)</f>
        <v>1751.33</v>
      </c>
      <c r="K630" s="340">
        <f t="shared" ca="1" si="129"/>
        <v>10.117113416831451</v>
      </c>
      <c r="L630" s="340"/>
      <c r="M630" s="340"/>
      <c r="N630" s="340"/>
      <c r="O630" s="168"/>
      <c r="P630" s="168"/>
    </row>
    <row r="631" spans="1:16" ht="21.75" customHeight="1" x14ac:dyDescent="0.3">
      <c r="A631" s="476"/>
      <c r="B631" s="157"/>
      <c r="C631" s="157"/>
      <c r="D631" s="166"/>
      <c r="E631" s="159"/>
      <c r="F631" s="159"/>
      <c r="G631" s="160"/>
      <c r="H631" s="498" t="s">
        <v>37</v>
      </c>
      <c r="I631" s="339">
        <f ca="1">IFERROR(__xludf.DUMMYFUNCTION("IMPORTRANGE(""https://docs.google.com/spreadsheets/d/11923uPwbBZFjjGgGUA6NLw09EwE0CqkOc4q9oUmW1yo/edit?usp=sharing"",""ลำปาง!I526"")"),1)</f>
        <v>1</v>
      </c>
      <c r="J631" s="339">
        <f ca="1">IFERROR(__xludf.DUMMYFUNCTION("IMPORTRANGE(""https://docs.google.com/spreadsheets/d/11923uPwbBZFjjGgGUA6NLw09EwE0CqkOc4q9oUmW1yo/edit?usp=sharing"",""ลำปาง!J526"")"),1)</f>
        <v>1</v>
      </c>
      <c r="K631" s="340">
        <f t="shared" ca="1" si="129"/>
        <v>100</v>
      </c>
      <c r="L631" s="340"/>
      <c r="M631" s="340"/>
      <c r="N631" s="340"/>
      <c r="O631" s="168"/>
      <c r="P631" s="168"/>
    </row>
    <row r="632" spans="1:16" ht="21.75" customHeight="1" x14ac:dyDescent="0.3">
      <c r="A632" s="476"/>
      <c r="B632" s="497" t="s">
        <v>235</v>
      </c>
      <c r="C632" s="157"/>
      <c r="D632" s="166"/>
      <c r="E632" s="159"/>
      <c r="F632" s="159"/>
      <c r="G632" s="160"/>
      <c r="H632" s="498" t="s">
        <v>12</v>
      </c>
      <c r="I632" s="339">
        <f ca="1">IFERROR(__xludf.DUMMYFUNCTION("IMPORTRANGE(""https://docs.google.com/spreadsheets/d/11923uPwbBZFjjGgGUA6NLw09EwE0CqkOc4q9oUmW1yo/edit?usp=sharing"",""ลำปาง!I527"")"),0)</f>
        <v>0</v>
      </c>
      <c r="J632" s="339">
        <f ca="1">IFERROR(__xludf.DUMMYFUNCTION("IMPORTRANGE(""https://docs.google.com/spreadsheets/d/11923uPwbBZFjjGgGUA6NLw09EwE0CqkOc4q9oUmW1yo/edit?usp=sharing"",""ลำปาง!J527"")"),0)</f>
        <v>0</v>
      </c>
      <c r="K632" s="340">
        <f t="shared" ca="1" si="129"/>
        <v>0</v>
      </c>
      <c r="L632" s="340"/>
      <c r="M632" s="340"/>
      <c r="N632" s="340"/>
      <c r="O632" s="168"/>
      <c r="P632" s="168"/>
    </row>
    <row r="633" spans="1:16" ht="21.75" customHeight="1" x14ac:dyDescent="0.3">
      <c r="A633" s="476"/>
      <c r="B633" s="497"/>
      <c r="C633" s="157"/>
      <c r="D633" s="166"/>
      <c r="E633" s="159"/>
      <c r="F633" s="159"/>
      <c r="G633" s="160"/>
      <c r="H633" s="498" t="s">
        <v>37</v>
      </c>
      <c r="I633" s="339">
        <f ca="1">IFERROR(__xludf.DUMMYFUNCTION("IMPORTRANGE(""https://docs.google.com/spreadsheets/d/11923uPwbBZFjjGgGUA6NLw09EwE0CqkOc4q9oUmW1yo/edit?usp=sharing"",""ลำปาง!I528"")"),0)</f>
        <v>0</v>
      </c>
      <c r="J633" s="339">
        <f ca="1">IFERROR(__xludf.DUMMYFUNCTION("IMPORTRANGE(""https://docs.google.com/spreadsheets/d/11923uPwbBZFjjGgGUA6NLw09EwE0CqkOc4q9oUmW1yo/edit?usp=sharing"",""ลำปาง!J528"")"),0)</f>
        <v>0</v>
      </c>
      <c r="K633" s="340">
        <f t="shared" ca="1" si="129"/>
        <v>0</v>
      </c>
      <c r="L633" s="340"/>
      <c r="M633" s="340"/>
      <c r="N633" s="340"/>
      <c r="O633" s="168"/>
      <c r="P633" s="168"/>
    </row>
    <row r="634" spans="1:16" ht="21.75" customHeight="1" x14ac:dyDescent="0.3">
      <c r="A634" s="476"/>
      <c r="B634" s="497" t="s">
        <v>236</v>
      </c>
      <c r="C634" s="157"/>
      <c r="D634" s="166"/>
      <c r="E634" s="159"/>
      <c r="F634" s="159"/>
      <c r="G634" s="160"/>
      <c r="H634" s="498" t="s">
        <v>12</v>
      </c>
      <c r="I634" s="339">
        <f ca="1">IFERROR(__xludf.DUMMYFUNCTION("IMPORTRANGE(""https://docs.google.com/spreadsheets/d/11923uPwbBZFjjGgGUA6NLw09EwE0CqkOc4q9oUmW1yo/edit?usp=sharing"",""ลำปาง!I529"")"),6665000)</f>
        <v>6665000</v>
      </c>
      <c r="J634" s="339">
        <f ca="1">IFERROR(__xludf.DUMMYFUNCTION("IMPORTRANGE(""https://docs.google.com/spreadsheets/d/11923uPwbBZFjjGgGUA6NLw09EwE0CqkOc4q9oUmW1yo/edit?usp=sharing"",""ลำปาง!J529"")"),1785000)</f>
        <v>1785000</v>
      </c>
      <c r="K634" s="340">
        <f t="shared" ca="1" si="129"/>
        <v>26.781695423855965</v>
      </c>
      <c r="L634" s="340"/>
      <c r="M634" s="340"/>
      <c r="N634" s="340"/>
      <c r="O634" s="168"/>
      <c r="P634" s="168"/>
    </row>
    <row r="635" spans="1:16" ht="21.75" customHeight="1" x14ac:dyDescent="0.3">
      <c r="A635" s="478"/>
      <c r="B635" s="480"/>
      <c r="C635" s="480"/>
      <c r="D635" s="479"/>
      <c r="E635" s="499"/>
      <c r="F635" s="499"/>
      <c r="G635" s="500"/>
      <c r="H635" s="501" t="s">
        <v>37</v>
      </c>
      <c r="I635" s="502">
        <f ca="1">IFERROR(__xludf.DUMMYFUNCTION("IMPORTRANGE(""https://docs.google.com/spreadsheets/d/11923uPwbBZFjjGgGUA6NLw09EwE0CqkOc4q9oUmW1yo/edit?usp=sharing"",""ลำปาง!I530"")"),173)</f>
        <v>173</v>
      </c>
      <c r="J635" s="502">
        <f ca="1">IFERROR(__xludf.DUMMYFUNCTION("IMPORTRANGE(""https://docs.google.com/spreadsheets/d/11923uPwbBZFjjGgGUA6NLw09EwE0CqkOc4q9oUmW1yo/edit?usp=sharing"",""ลำปาง!J530"")"),59)</f>
        <v>59</v>
      </c>
      <c r="K635" s="484">
        <f t="shared" ca="1" si="129"/>
        <v>34.104046242774565</v>
      </c>
      <c r="L635" s="484"/>
      <c r="M635" s="484"/>
      <c r="N635" s="484"/>
      <c r="O635" s="503"/>
      <c r="P635" s="503"/>
    </row>
    <row r="636" spans="1:16" ht="21.75" customHeight="1" x14ac:dyDescent="0.3">
      <c r="A636" s="504"/>
      <c r="B636" s="504"/>
      <c r="C636" s="504"/>
      <c r="D636" s="504"/>
      <c r="E636" s="505" t="s">
        <v>237</v>
      </c>
      <c r="F636" s="505"/>
      <c r="G636" s="505"/>
      <c r="H636" s="506"/>
      <c r="I636" s="506"/>
      <c r="J636" s="506"/>
      <c r="K636" s="507"/>
      <c r="L636" s="508"/>
      <c r="M636" s="508"/>
      <c r="N636" s="508"/>
      <c r="O636" s="509"/>
      <c r="P636" s="509"/>
    </row>
    <row r="637" spans="1:16" ht="21.75" customHeight="1" x14ac:dyDescent="0.3">
      <c r="A637" s="504"/>
      <c r="B637" s="504"/>
      <c r="C637" s="504"/>
      <c r="D637" s="504"/>
      <c r="E637" s="506"/>
      <c r="F637" s="506"/>
      <c r="G637" s="506"/>
      <c r="H637" s="506"/>
      <c r="I637" s="506"/>
      <c r="J637" s="506"/>
      <c r="K637" s="507"/>
      <c r="L637" s="508"/>
      <c r="M637" s="508"/>
      <c r="N637" s="508"/>
      <c r="O637" s="509"/>
      <c r="P637" s="509"/>
    </row>
    <row r="638" spans="1:16" ht="21.75" customHeight="1" x14ac:dyDescent="0.3">
      <c r="A638" s="504"/>
      <c r="B638" s="504"/>
      <c r="C638" s="504"/>
      <c r="D638" s="504"/>
      <c r="E638" s="506"/>
      <c r="F638" s="506"/>
      <c r="G638" s="506"/>
      <c r="H638" s="506"/>
      <c r="I638" s="506"/>
      <c r="J638" s="506"/>
      <c r="K638" s="507"/>
      <c r="L638" s="508"/>
      <c r="M638" s="508"/>
      <c r="N638" s="508"/>
      <c r="O638" s="509"/>
      <c r="P638" s="509"/>
    </row>
    <row r="639" spans="1:16" ht="21.75" customHeight="1" x14ac:dyDescent="0.3">
      <c r="A639" s="504"/>
      <c r="B639" s="504"/>
      <c r="C639" s="504"/>
      <c r="D639" s="504"/>
      <c r="E639" s="506"/>
      <c r="F639" s="506"/>
      <c r="G639" s="506"/>
      <c r="H639" s="506"/>
      <c r="I639" s="506"/>
      <c r="J639" s="506"/>
      <c r="K639" s="507"/>
      <c r="L639" s="508"/>
      <c r="M639" s="508"/>
      <c r="N639" s="508"/>
      <c r="O639" s="509"/>
      <c r="P639" s="509"/>
    </row>
    <row r="640" spans="1:16" ht="21.75" customHeight="1" x14ac:dyDescent="0.3">
      <c r="A640" s="504"/>
      <c r="B640" s="504"/>
      <c r="C640" s="504"/>
      <c r="D640" s="504"/>
      <c r="E640" s="506"/>
      <c r="F640" s="506"/>
      <c r="G640" s="506"/>
      <c r="H640" s="506"/>
      <c r="I640" s="506"/>
      <c r="J640" s="506"/>
      <c r="K640" s="507"/>
      <c r="L640" s="508"/>
      <c r="M640" s="508"/>
      <c r="N640" s="508"/>
      <c r="O640" s="509"/>
      <c r="P640" s="509"/>
    </row>
    <row r="641" spans="1:16" ht="21.75" customHeight="1" x14ac:dyDescent="0.3">
      <c r="A641" s="504"/>
      <c r="B641" s="504"/>
      <c r="C641" s="504"/>
      <c r="D641" s="504"/>
      <c r="E641" s="506"/>
      <c r="F641" s="506"/>
      <c r="G641" s="506"/>
      <c r="H641" s="506"/>
      <c r="I641" s="506"/>
      <c r="J641" s="506"/>
      <c r="K641" s="507"/>
      <c r="L641" s="508"/>
      <c r="M641" s="508"/>
      <c r="N641" s="508"/>
      <c r="O641" s="509"/>
      <c r="P641" s="509"/>
    </row>
    <row r="642" spans="1:16" ht="21.75" customHeight="1" x14ac:dyDescent="0.3">
      <c r="A642" s="504"/>
      <c r="B642" s="504"/>
      <c r="C642" s="504"/>
      <c r="D642" s="504"/>
      <c r="E642" s="506"/>
      <c r="F642" s="506"/>
      <c r="G642" s="506"/>
      <c r="H642" s="506"/>
      <c r="I642" s="506"/>
      <c r="J642" s="506"/>
      <c r="K642" s="507"/>
      <c r="L642" s="508"/>
      <c r="M642" s="508"/>
      <c r="N642" s="508"/>
      <c r="O642" s="509"/>
      <c r="P642" s="509"/>
    </row>
    <row r="643" spans="1:16" ht="21.75" customHeight="1" x14ac:dyDescent="0.3">
      <c r="A643" s="504"/>
      <c r="B643" s="504"/>
      <c r="C643" s="504"/>
      <c r="D643" s="504"/>
      <c r="E643" s="506"/>
      <c r="F643" s="506"/>
      <c r="G643" s="506"/>
      <c r="H643" s="506"/>
      <c r="I643" s="506"/>
      <c r="J643" s="506"/>
      <c r="K643" s="507"/>
      <c r="L643" s="508"/>
      <c r="M643" s="508"/>
      <c r="N643" s="508"/>
      <c r="O643" s="509"/>
      <c r="P643" s="509"/>
    </row>
    <row r="644" spans="1:16" ht="21.75" customHeight="1" x14ac:dyDescent="0.3">
      <c r="A644" s="504"/>
      <c r="B644" s="504"/>
      <c r="C644" s="504"/>
      <c r="D644" s="504"/>
      <c r="E644" s="506"/>
      <c r="F644" s="506"/>
      <c r="G644" s="506"/>
      <c r="H644" s="506"/>
      <c r="I644" s="506"/>
      <c r="J644" s="506"/>
      <c r="K644" s="507"/>
      <c r="L644" s="508"/>
      <c r="M644" s="508"/>
      <c r="N644" s="508"/>
      <c r="O644" s="509"/>
      <c r="P644" s="509"/>
    </row>
    <row r="645" spans="1:16" ht="21.75" customHeight="1" x14ac:dyDescent="0.3">
      <c r="A645" s="504"/>
      <c r="B645" s="504"/>
      <c r="C645" s="504"/>
      <c r="D645" s="504"/>
      <c r="E645" s="506"/>
      <c r="F645" s="506"/>
      <c r="G645" s="506"/>
      <c r="H645" s="506"/>
      <c r="I645" s="506"/>
      <c r="J645" s="506"/>
      <c r="K645" s="507"/>
      <c r="L645" s="508"/>
      <c r="M645" s="508"/>
      <c r="N645" s="508"/>
      <c r="O645" s="509"/>
      <c r="P645" s="509"/>
    </row>
    <row r="646" spans="1:16" ht="21.75" customHeight="1" x14ac:dyDescent="0.3">
      <c r="A646" s="504"/>
      <c r="B646" s="504"/>
      <c r="C646" s="504"/>
      <c r="D646" s="504"/>
      <c r="E646" s="506"/>
      <c r="F646" s="506"/>
      <c r="G646" s="506"/>
      <c r="H646" s="506"/>
      <c r="I646" s="506"/>
      <c r="J646" s="506"/>
      <c r="K646" s="507"/>
      <c r="L646" s="508"/>
      <c r="M646" s="508"/>
      <c r="N646" s="508"/>
      <c r="O646" s="509"/>
      <c r="P646" s="509"/>
    </row>
    <row r="647" spans="1:16" ht="21.75" customHeight="1" x14ac:dyDescent="0.3">
      <c r="A647" s="504"/>
      <c r="B647" s="504"/>
      <c r="C647" s="504"/>
      <c r="D647" s="504"/>
      <c r="E647" s="506"/>
      <c r="F647" s="506"/>
      <c r="G647" s="506"/>
      <c r="H647" s="506"/>
      <c r="I647" s="506"/>
      <c r="J647" s="506"/>
      <c r="K647" s="507"/>
      <c r="L647" s="508"/>
      <c r="M647" s="508"/>
      <c r="N647" s="508"/>
      <c r="O647" s="509"/>
      <c r="P647" s="509"/>
    </row>
    <row r="648" spans="1:16" ht="21.75" customHeight="1" x14ac:dyDescent="0.3">
      <c r="A648" s="504"/>
      <c r="B648" s="504"/>
      <c r="C648" s="504"/>
      <c r="D648" s="504"/>
      <c r="E648" s="506"/>
      <c r="F648" s="506"/>
      <c r="G648" s="506"/>
      <c r="H648" s="506"/>
      <c r="I648" s="506"/>
      <c r="J648" s="506"/>
      <c r="K648" s="507"/>
      <c r="L648" s="508"/>
      <c r="M648" s="508"/>
      <c r="N648" s="508"/>
      <c r="O648" s="509"/>
      <c r="P648" s="509"/>
    </row>
    <row r="649" spans="1:16" ht="21.75" customHeight="1" x14ac:dyDescent="0.3">
      <c r="A649" s="504"/>
      <c r="B649" s="504"/>
      <c r="C649" s="504"/>
      <c r="D649" s="504"/>
      <c r="E649" s="506"/>
      <c r="F649" s="506"/>
      <c r="G649" s="506"/>
      <c r="H649" s="506"/>
      <c r="I649" s="506"/>
      <c r="J649" s="506"/>
      <c r="K649" s="507"/>
      <c r="L649" s="508"/>
      <c r="M649" s="508"/>
      <c r="N649" s="508"/>
      <c r="O649" s="509"/>
      <c r="P649" s="509"/>
    </row>
    <row r="650" spans="1:16" ht="21.75" customHeight="1" x14ac:dyDescent="0.3">
      <c r="A650" s="504"/>
      <c r="B650" s="504"/>
      <c r="C650" s="504"/>
      <c r="D650" s="504"/>
      <c r="E650" s="506"/>
      <c r="F650" s="506"/>
      <c r="G650" s="506"/>
      <c r="H650" s="506"/>
      <c r="I650" s="506"/>
      <c r="J650" s="506"/>
      <c r="K650" s="507"/>
      <c r="L650" s="508"/>
      <c r="M650" s="508"/>
      <c r="N650" s="508"/>
      <c r="O650" s="509"/>
      <c r="P650" s="509"/>
    </row>
    <row r="651" spans="1:16" ht="21.75" customHeight="1" x14ac:dyDescent="0.3">
      <c r="A651" s="504"/>
      <c r="B651" s="504"/>
      <c r="C651" s="504"/>
      <c r="D651" s="504"/>
      <c r="E651" s="506"/>
      <c r="F651" s="506"/>
      <c r="G651" s="506"/>
      <c r="H651" s="506"/>
      <c r="I651" s="506"/>
      <c r="J651" s="506"/>
      <c r="K651" s="507"/>
      <c r="L651" s="508"/>
      <c r="M651" s="508"/>
      <c r="N651" s="508"/>
      <c r="O651" s="509"/>
      <c r="P651" s="509"/>
    </row>
    <row r="652" spans="1:16" ht="21.75" customHeight="1" x14ac:dyDescent="0.3">
      <c r="A652" s="504"/>
      <c r="B652" s="504"/>
      <c r="C652" s="504"/>
      <c r="D652" s="504"/>
      <c r="E652" s="506"/>
      <c r="F652" s="506"/>
      <c r="G652" s="506"/>
      <c r="H652" s="506"/>
      <c r="I652" s="506"/>
      <c r="J652" s="506"/>
      <c r="K652" s="507"/>
      <c r="L652" s="508"/>
      <c r="M652" s="508"/>
      <c r="N652" s="508"/>
      <c r="O652" s="509"/>
      <c r="P652" s="509"/>
    </row>
    <row r="653" spans="1:16" ht="21.75" customHeight="1" x14ac:dyDescent="0.3">
      <c r="A653" s="504"/>
      <c r="B653" s="504"/>
      <c r="C653" s="504"/>
      <c r="D653" s="504"/>
      <c r="E653" s="506"/>
      <c r="F653" s="506"/>
      <c r="G653" s="506"/>
      <c r="H653" s="506"/>
      <c r="I653" s="506"/>
      <c r="J653" s="506"/>
      <c r="K653" s="507"/>
      <c r="L653" s="508"/>
      <c r="M653" s="508"/>
      <c r="N653" s="508"/>
      <c r="O653" s="509"/>
      <c r="P653" s="509"/>
    </row>
    <row r="654" spans="1:16" ht="21.75" customHeight="1" x14ac:dyDescent="0.3">
      <c r="A654" s="504"/>
      <c r="B654" s="504"/>
      <c r="C654" s="504"/>
      <c r="D654" s="504"/>
      <c r="E654" s="506"/>
      <c r="F654" s="506"/>
      <c r="G654" s="506"/>
      <c r="H654" s="506"/>
      <c r="I654" s="506"/>
      <c r="J654" s="506"/>
      <c r="K654" s="507"/>
      <c r="L654" s="508"/>
      <c r="M654" s="508"/>
      <c r="N654" s="508"/>
      <c r="O654" s="509"/>
      <c r="P654" s="509"/>
    </row>
    <row r="655" spans="1:16" ht="21.75" customHeight="1" x14ac:dyDescent="0.3">
      <c r="A655" s="504"/>
      <c r="B655" s="504"/>
      <c r="C655" s="504"/>
      <c r="D655" s="504"/>
      <c r="E655" s="506"/>
      <c r="F655" s="506"/>
      <c r="G655" s="506"/>
      <c r="H655" s="506"/>
      <c r="I655" s="506"/>
      <c r="J655" s="506"/>
      <c r="K655" s="507"/>
      <c r="L655" s="508"/>
      <c r="M655" s="508"/>
      <c r="N655" s="508"/>
      <c r="O655" s="509"/>
      <c r="P655" s="509"/>
    </row>
    <row r="656" spans="1:16" ht="21.75" customHeight="1" x14ac:dyDescent="0.3">
      <c r="A656" s="504"/>
      <c r="B656" s="504"/>
      <c r="C656" s="504"/>
      <c r="D656" s="504"/>
      <c r="E656" s="506"/>
      <c r="F656" s="506"/>
      <c r="G656" s="506"/>
      <c r="H656" s="506"/>
      <c r="I656" s="506"/>
      <c r="J656" s="506"/>
      <c r="K656" s="507"/>
      <c r="L656" s="508"/>
      <c r="M656" s="508"/>
      <c r="N656" s="508"/>
      <c r="O656" s="509"/>
      <c r="P656" s="509"/>
    </row>
    <row r="657" spans="1:16" ht="21.75" customHeight="1" x14ac:dyDescent="0.3">
      <c r="A657" s="504"/>
      <c r="B657" s="504"/>
      <c r="C657" s="504"/>
      <c r="D657" s="504"/>
      <c r="E657" s="506"/>
      <c r="F657" s="506"/>
      <c r="G657" s="506"/>
      <c r="H657" s="506"/>
      <c r="I657" s="506"/>
      <c r="J657" s="506"/>
      <c r="K657" s="507"/>
      <c r="L657" s="508"/>
      <c r="M657" s="508"/>
      <c r="N657" s="508"/>
      <c r="O657" s="509"/>
      <c r="P657" s="509"/>
    </row>
    <row r="658" spans="1:16" ht="21.75" customHeight="1" x14ac:dyDescent="0.3">
      <c r="A658" s="504"/>
      <c r="B658" s="504"/>
      <c r="C658" s="504"/>
      <c r="D658" s="504"/>
      <c r="E658" s="506"/>
      <c r="F658" s="506"/>
      <c r="G658" s="506"/>
      <c r="H658" s="506"/>
      <c r="I658" s="506"/>
      <c r="J658" s="506"/>
      <c r="K658" s="507"/>
      <c r="L658" s="508"/>
      <c r="M658" s="508"/>
      <c r="N658" s="508"/>
      <c r="O658" s="509"/>
      <c r="P658" s="509"/>
    </row>
    <row r="659" spans="1:16" ht="21.75" customHeight="1" x14ac:dyDescent="0.3">
      <c r="A659" s="504"/>
      <c r="B659" s="504"/>
      <c r="C659" s="504"/>
      <c r="D659" s="504"/>
      <c r="E659" s="506"/>
      <c r="F659" s="506"/>
      <c r="G659" s="506"/>
      <c r="H659" s="506"/>
      <c r="I659" s="506"/>
      <c r="J659" s="506"/>
      <c r="K659" s="507"/>
      <c r="L659" s="508"/>
      <c r="M659" s="508"/>
      <c r="N659" s="508"/>
      <c r="O659" s="509"/>
      <c r="P659" s="509"/>
    </row>
    <row r="660" spans="1:16" ht="21.75" customHeight="1" x14ac:dyDescent="0.3">
      <c r="A660" s="504"/>
      <c r="B660" s="504"/>
      <c r="C660" s="504"/>
      <c r="D660" s="504"/>
      <c r="E660" s="506"/>
      <c r="F660" s="506"/>
      <c r="G660" s="506"/>
      <c r="H660" s="506"/>
      <c r="I660" s="506"/>
      <c r="J660" s="506"/>
      <c r="K660" s="507"/>
      <c r="L660" s="508"/>
      <c r="M660" s="508"/>
      <c r="N660" s="508"/>
      <c r="O660" s="509"/>
      <c r="P660" s="509"/>
    </row>
    <row r="661" spans="1:16" ht="21.75" customHeight="1" x14ac:dyDescent="0.3">
      <c r="A661" s="504"/>
      <c r="B661" s="504"/>
      <c r="C661" s="504"/>
      <c r="D661" s="504"/>
      <c r="E661" s="506"/>
      <c r="F661" s="506"/>
      <c r="G661" s="506"/>
      <c r="H661" s="506"/>
      <c r="I661" s="506"/>
      <c r="J661" s="506"/>
      <c r="K661" s="507"/>
      <c r="L661" s="508"/>
      <c r="M661" s="508"/>
      <c r="N661" s="508"/>
      <c r="O661" s="509"/>
      <c r="P661" s="509"/>
    </row>
    <row r="662" spans="1:16" ht="21.75" customHeight="1" x14ac:dyDescent="0.3">
      <c r="A662" s="504"/>
      <c r="B662" s="504"/>
      <c r="C662" s="504"/>
      <c r="D662" s="504"/>
      <c r="E662" s="506"/>
      <c r="F662" s="506"/>
      <c r="G662" s="506"/>
      <c r="H662" s="506"/>
      <c r="I662" s="506"/>
      <c r="J662" s="506"/>
      <c r="K662" s="507"/>
      <c r="L662" s="508"/>
      <c r="M662" s="508"/>
      <c r="N662" s="508"/>
      <c r="O662" s="509"/>
      <c r="P662" s="509"/>
    </row>
    <row r="663" spans="1:16" ht="21.75" customHeight="1" x14ac:dyDescent="0.3">
      <c r="A663" s="504"/>
      <c r="B663" s="504"/>
      <c r="C663" s="504"/>
      <c r="D663" s="504"/>
      <c r="E663" s="506"/>
      <c r="F663" s="506"/>
      <c r="G663" s="506"/>
      <c r="H663" s="506"/>
      <c r="I663" s="506"/>
      <c r="J663" s="506"/>
      <c r="K663" s="507"/>
      <c r="L663" s="508"/>
      <c r="M663" s="508"/>
      <c r="N663" s="508"/>
      <c r="O663" s="509"/>
      <c r="P663" s="509"/>
    </row>
    <row r="664" spans="1:16" ht="21.75" customHeight="1" x14ac:dyDescent="0.3">
      <c r="A664" s="504"/>
      <c r="B664" s="504"/>
      <c r="C664" s="504"/>
      <c r="D664" s="504"/>
      <c r="E664" s="506"/>
      <c r="F664" s="506"/>
      <c r="G664" s="506"/>
      <c r="H664" s="506"/>
      <c r="I664" s="506"/>
      <c r="J664" s="506"/>
      <c r="K664" s="507"/>
      <c r="L664" s="508"/>
      <c r="M664" s="508"/>
      <c r="N664" s="508"/>
      <c r="O664" s="509"/>
      <c r="P664" s="509"/>
    </row>
    <row r="665" spans="1:16" ht="21.75" customHeight="1" x14ac:dyDescent="0.3">
      <c r="A665" s="504"/>
      <c r="B665" s="504"/>
      <c r="C665" s="504"/>
      <c r="D665" s="504"/>
      <c r="E665" s="506"/>
      <c r="F665" s="506"/>
      <c r="G665" s="506"/>
      <c r="H665" s="506"/>
      <c r="I665" s="506"/>
      <c r="J665" s="506"/>
      <c r="K665" s="507"/>
      <c r="L665" s="508"/>
      <c r="M665" s="508"/>
      <c r="N665" s="508"/>
      <c r="O665" s="509"/>
      <c r="P665" s="509"/>
    </row>
    <row r="666" spans="1:16" ht="21.75" customHeight="1" x14ac:dyDescent="0.3">
      <c r="A666" s="504"/>
      <c r="B666" s="504"/>
      <c r="C666" s="504"/>
      <c r="D666" s="504"/>
      <c r="E666" s="506"/>
      <c r="F666" s="506"/>
      <c r="G666" s="506"/>
      <c r="H666" s="506"/>
      <c r="I666" s="506"/>
      <c r="J666" s="506"/>
      <c r="K666" s="507"/>
      <c r="L666" s="508"/>
      <c r="M666" s="508"/>
      <c r="N666" s="508"/>
      <c r="O666" s="509"/>
      <c r="P666" s="509"/>
    </row>
    <row r="667" spans="1:16" ht="21.75" customHeight="1" x14ac:dyDescent="0.3">
      <c r="A667" s="504"/>
      <c r="B667" s="504"/>
      <c r="C667" s="504"/>
      <c r="D667" s="504"/>
      <c r="E667" s="506"/>
      <c r="F667" s="506"/>
      <c r="G667" s="506"/>
      <c r="H667" s="506"/>
      <c r="I667" s="506"/>
      <c r="J667" s="506"/>
      <c r="K667" s="507"/>
      <c r="L667" s="508"/>
      <c r="M667" s="508"/>
      <c r="N667" s="508"/>
      <c r="O667" s="509"/>
      <c r="P667" s="509"/>
    </row>
    <row r="668" spans="1:16" ht="21.75" customHeight="1" x14ac:dyDescent="0.3">
      <c r="A668" s="504"/>
      <c r="B668" s="504"/>
      <c r="C668" s="504"/>
      <c r="D668" s="504"/>
      <c r="E668" s="506"/>
      <c r="F668" s="506"/>
      <c r="G668" s="506"/>
      <c r="H668" s="506"/>
      <c r="I668" s="506"/>
      <c r="J668" s="506"/>
      <c r="K668" s="507"/>
      <c r="L668" s="508"/>
      <c r="M668" s="508"/>
      <c r="N668" s="508"/>
      <c r="O668" s="509"/>
      <c r="P668" s="509"/>
    </row>
    <row r="669" spans="1:16" ht="21.75" customHeight="1" x14ac:dyDescent="0.3">
      <c r="A669" s="504"/>
      <c r="B669" s="504"/>
      <c r="C669" s="504"/>
      <c r="D669" s="504"/>
      <c r="E669" s="506"/>
      <c r="F669" s="506"/>
      <c r="G669" s="506"/>
      <c r="H669" s="506"/>
      <c r="I669" s="506"/>
      <c r="J669" s="506"/>
      <c r="K669" s="507"/>
      <c r="L669" s="508"/>
      <c r="M669" s="508"/>
      <c r="N669" s="508"/>
      <c r="O669" s="509"/>
      <c r="P669" s="509"/>
    </row>
    <row r="670" spans="1:16" ht="21.75" customHeight="1" x14ac:dyDescent="0.3">
      <c r="A670" s="504"/>
      <c r="B670" s="504"/>
      <c r="C670" s="504"/>
      <c r="D670" s="504"/>
      <c r="E670" s="506"/>
      <c r="F670" s="506"/>
      <c r="G670" s="506"/>
      <c r="H670" s="506"/>
      <c r="I670" s="506"/>
      <c r="J670" s="506"/>
      <c r="K670" s="507"/>
      <c r="L670" s="508"/>
      <c r="M670" s="508"/>
      <c r="N670" s="508"/>
      <c r="O670" s="509"/>
      <c r="P670" s="509"/>
    </row>
    <row r="671" spans="1:16" ht="21.75" customHeight="1" x14ac:dyDescent="0.3">
      <c r="A671" s="504"/>
      <c r="B671" s="504"/>
      <c r="C671" s="504"/>
      <c r="D671" s="504"/>
      <c r="E671" s="506"/>
      <c r="F671" s="506"/>
      <c r="G671" s="506"/>
      <c r="H671" s="506"/>
      <c r="I671" s="506"/>
      <c r="J671" s="506"/>
      <c r="K671" s="507"/>
      <c r="L671" s="508"/>
      <c r="M671" s="508"/>
      <c r="N671" s="508"/>
      <c r="O671" s="509"/>
      <c r="P671" s="509"/>
    </row>
    <row r="672" spans="1:16" ht="21.75" customHeight="1" x14ac:dyDescent="0.3">
      <c r="A672" s="504"/>
      <c r="B672" s="504"/>
      <c r="C672" s="504"/>
      <c r="D672" s="504"/>
      <c r="E672" s="506"/>
      <c r="F672" s="506"/>
      <c r="G672" s="506"/>
      <c r="H672" s="506"/>
      <c r="I672" s="506"/>
      <c r="J672" s="506"/>
      <c r="K672" s="507"/>
      <c r="L672" s="508"/>
      <c r="M672" s="508"/>
      <c r="N672" s="508"/>
      <c r="O672" s="509"/>
      <c r="P672" s="509"/>
    </row>
    <row r="673" spans="1:16" ht="21.75" customHeight="1" x14ac:dyDescent="0.3">
      <c r="A673" s="504"/>
      <c r="B673" s="504"/>
      <c r="C673" s="504"/>
      <c r="D673" s="504"/>
      <c r="E673" s="506"/>
      <c r="F673" s="506"/>
      <c r="G673" s="506"/>
      <c r="H673" s="506"/>
      <c r="I673" s="506"/>
      <c r="J673" s="506"/>
      <c r="K673" s="507"/>
      <c r="L673" s="508"/>
      <c r="M673" s="508"/>
      <c r="N673" s="508"/>
      <c r="O673" s="509"/>
      <c r="P673" s="509"/>
    </row>
    <row r="674" spans="1:16" ht="21.75" customHeight="1" x14ac:dyDescent="0.3">
      <c r="A674" s="504"/>
      <c r="B674" s="504"/>
      <c r="C674" s="504"/>
      <c r="D674" s="504"/>
      <c r="E674" s="506"/>
      <c r="F674" s="506"/>
      <c r="G674" s="506"/>
      <c r="H674" s="506"/>
      <c r="I674" s="506"/>
      <c r="J674" s="506"/>
      <c r="K674" s="507"/>
      <c r="L674" s="508"/>
      <c r="M674" s="508"/>
      <c r="N674" s="508"/>
      <c r="O674" s="509"/>
      <c r="P674" s="509"/>
    </row>
    <row r="675" spans="1:16" ht="21.75" customHeight="1" x14ac:dyDescent="0.3">
      <c r="A675" s="504"/>
      <c r="B675" s="504"/>
      <c r="C675" s="504"/>
      <c r="D675" s="504"/>
      <c r="E675" s="506"/>
      <c r="F675" s="506"/>
      <c r="G675" s="506"/>
      <c r="H675" s="506"/>
      <c r="I675" s="506"/>
      <c r="J675" s="506"/>
      <c r="K675" s="507"/>
      <c r="L675" s="508"/>
      <c r="M675" s="508"/>
      <c r="N675" s="508"/>
      <c r="O675" s="509"/>
      <c r="P675" s="509"/>
    </row>
    <row r="676" spans="1:16" ht="21.75" customHeight="1" x14ac:dyDescent="0.3">
      <c r="A676" s="504"/>
      <c r="B676" s="504"/>
      <c r="C676" s="504"/>
      <c r="D676" s="504"/>
      <c r="E676" s="506"/>
      <c r="F676" s="506"/>
      <c r="G676" s="506"/>
      <c r="H676" s="506"/>
      <c r="I676" s="506"/>
      <c r="J676" s="506"/>
      <c r="K676" s="507"/>
      <c r="L676" s="508"/>
      <c r="M676" s="508"/>
      <c r="N676" s="508"/>
      <c r="O676" s="509"/>
      <c r="P676" s="509"/>
    </row>
    <row r="677" spans="1:16" ht="21.75" customHeight="1" x14ac:dyDescent="0.3">
      <c r="A677" s="504"/>
      <c r="B677" s="504"/>
      <c r="C677" s="504"/>
      <c r="D677" s="504"/>
      <c r="E677" s="506"/>
      <c r="F677" s="506"/>
      <c r="G677" s="506"/>
      <c r="H677" s="506"/>
      <c r="I677" s="506"/>
      <c r="J677" s="506"/>
      <c r="K677" s="507"/>
      <c r="L677" s="508"/>
      <c r="M677" s="508"/>
      <c r="N677" s="508"/>
      <c r="O677" s="509"/>
      <c r="P677" s="509"/>
    </row>
    <row r="678" spans="1:16" ht="21.75" customHeight="1" x14ac:dyDescent="0.3">
      <c r="A678" s="504"/>
      <c r="B678" s="504"/>
      <c r="C678" s="504"/>
      <c r="D678" s="504"/>
      <c r="E678" s="506"/>
      <c r="F678" s="506"/>
      <c r="G678" s="506"/>
      <c r="H678" s="506"/>
      <c r="I678" s="506"/>
      <c r="J678" s="506"/>
      <c r="K678" s="507"/>
      <c r="L678" s="508"/>
      <c r="M678" s="508"/>
      <c r="N678" s="508"/>
      <c r="O678" s="509"/>
      <c r="P678" s="509"/>
    </row>
    <row r="679" spans="1:16" ht="21.75" customHeight="1" x14ac:dyDescent="0.3">
      <c r="A679" s="504"/>
      <c r="B679" s="504"/>
      <c r="C679" s="504"/>
      <c r="D679" s="504"/>
      <c r="E679" s="506"/>
      <c r="F679" s="506"/>
      <c r="G679" s="506"/>
      <c r="H679" s="506"/>
      <c r="I679" s="506"/>
      <c r="J679" s="506"/>
      <c r="K679" s="507"/>
      <c r="L679" s="508"/>
      <c r="M679" s="508"/>
      <c r="N679" s="508"/>
      <c r="O679" s="509"/>
      <c r="P679" s="509"/>
    </row>
    <row r="680" spans="1:16" ht="21.75" customHeight="1" x14ac:dyDescent="0.3">
      <c r="A680" s="504"/>
      <c r="B680" s="504"/>
      <c r="C680" s="504"/>
      <c r="D680" s="504"/>
      <c r="E680" s="506"/>
      <c r="F680" s="506"/>
      <c r="G680" s="506"/>
      <c r="H680" s="506"/>
      <c r="I680" s="506"/>
      <c r="J680" s="506"/>
      <c r="K680" s="507"/>
      <c r="L680" s="508"/>
      <c r="M680" s="508"/>
      <c r="N680" s="508"/>
      <c r="O680" s="509"/>
      <c r="P680" s="509"/>
    </row>
    <row r="681" spans="1:16" ht="21.75" customHeight="1" x14ac:dyDescent="0.3">
      <c r="A681" s="504"/>
      <c r="B681" s="504"/>
      <c r="C681" s="504"/>
      <c r="D681" s="504"/>
      <c r="E681" s="506"/>
      <c r="F681" s="506"/>
      <c r="G681" s="506"/>
      <c r="H681" s="506"/>
      <c r="I681" s="506"/>
      <c r="J681" s="506"/>
      <c r="K681" s="507"/>
      <c r="L681" s="508"/>
      <c r="M681" s="508"/>
      <c r="N681" s="508"/>
      <c r="O681" s="509"/>
      <c r="P681" s="509"/>
    </row>
    <row r="682" spans="1:16" ht="21.75" customHeight="1" x14ac:dyDescent="0.3">
      <c r="A682" s="504"/>
      <c r="B682" s="504"/>
      <c r="C682" s="504"/>
      <c r="D682" s="504"/>
      <c r="E682" s="506"/>
      <c r="F682" s="506"/>
      <c r="G682" s="506"/>
      <c r="H682" s="506"/>
      <c r="I682" s="506"/>
      <c r="J682" s="506"/>
      <c r="K682" s="507"/>
      <c r="L682" s="508"/>
      <c r="M682" s="508"/>
      <c r="N682" s="508"/>
      <c r="O682" s="509"/>
      <c r="P682" s="509"/>
    </row>
    <row r="683" spans="1:16" ht="21.75" customHeight="1" x14ac:dyDescent="0.3">
      <c r="A683" s="504"/>
      <c r="B683" s="504"/>
      <c r="C683" s="504"/>
      <c r="D683" s="504"/>
      <c r="E683" s="506"/>
      <c r="F683" s="506"/>
      <c r="G683" s="506"/>
      <c r="H683" s="506"/>
      <c r="I683" s="506"/>
      <c r="J683" s="506"/>
      <c r="K683" s="507"/>
      <c r="L683" s="508"/>
      <c r="M683" s="508"/>
      <c r="N683" s="508"/>
      <c r="O683" s="509"/>
      <c r="P683" s="509"/>
    </row>
    <row r="684" spans="1:16" ht="21.75" customHeight="1" x14ac:dyDescent="0.3">
      <c r="A684" s="504"/>
      <c r="B684" s="504"/>
      <c r="C684" s="504"/>
      <c r="D684" s="504"/>
      <c r="E684" s="506"/>
      <c r="F684" s="506"/>
      <c r="G684" s="506"/>
      <c r="H684" s="506"/>
      <c r="I684" s="506"/>
      <c r="J684" s="506"/>
      <c r="K684" s="507"/>
      <c r="L684" s="508"/>
      <c r="M684" s="508"/>
      <c r="N684" s="508"/>
      <c r="O684" s="509"/>
      <c r="P684" s="509"/>
    </row>
    <row r="685" spans="1:16" ht="21.75" customHeight="1" x14ac:dyDescent="0.3">
      <c r="A685" s="504"/>
      <c r="B685" s="504"/>
      <c r="C685" s="504"/>
      <c r="D685" s="504"/>
      <c r="E685" s="506"/>
      <c r="F685" s="506"/>
      <c r="G685" s="506"/>
      <c r="H685" s="506"/>
      <c r="I685" s="506"/>
      <c r="J685" s="506"/>
      <c r="K685" s="507"/>
      <c r="L685" s="508"/>
      <c r="M685" s="508"/>
      <c r="N685" s="508"/>
      <c r="O685" s="509"/>
      <c r="P685" s="509"/>
    </row>
    <row r="686" spans="1:16" ht="21.75" customHeight="1" x14ac:dyDescent="0.3">
      <c r="A686" s="504"/>
      <c r="B686" s="504"/>
      <c r="C686" s="504"/>
      <c r="D686" s="504"/>
      <c r="E686" s="506"/>
      <c r="F686" s="506"/>
      <c r="G686" s="506"/>
      <c r="H686" s="506"/>
      <c r="I686" s="506"/>
      <c r="J686" s="506"/>
      <c r="K686" s="507"/>
      <c r="L686" s="508"/>
      <c r="M686" s="508"/>
      <c r="N686" s="508"/>
      <c r="O686" s="509"/>
      <c r="P686" s="509"/>
    </row>
    <row r="687" spans="1:16" ht="21.75" customHeight="1" x14ac:dyDescent="0.3">
      <c r="A687" s="504"/>
      <c r="B687" s="504"/>
      <c r="C687" s="504"/>
      <c r="D687" s="504"/>
      <c r="E687" s="506"/>
      <c r="F687" s="506"/>
      <c r="G687" s="506"/>
      <c r="H687" s="506"/>
      <c r="I687" s="506"/>
      <c r="J687" s="506"/>
      <c r="K687" s="507"/>
      <c r="L687" s="508"/>
      <c r="M687" s="508"/>
      <c r="N687" s="508"/>
      <c r="O687" s="509"/>
      <c r="P687" s="509"/>
    </row>
    <row r="688" spans="1:16" ht="21.75" customHeight="1" x14ac:dyDescent="0.3">
      <c r="A688" s="504"/>
      <c r="B688" s="504"/>
      <c r="C688" s="504"/>
      <c r="D688" s="504"/>
      <c r="E688" s="506"/>
      <c r="F688" s="506"/>
      <c r="G688" s="506"/>
      <c r="H688" s="506"/>
      <c r="I688" s="506"/>
      <c r="J688" s="506"/>
      <c r="K688" s="507"/>
      <c r="L688" s="508"/>
      <c r="M688" s="508"/>
      <c r="N688" s="508"/>
      <c r="O688" s="509"/>
      <c r="P688" s="509"/>
    </row>
    <row r="689" spans="1:16" ht="21.75" customHeight="1" x14ac:dyDescent="0.3">
      <c r="A689" s="504"/>
      <c r="B689" s="504"/>
      <c r="C689" s="504"/>
      <c r="D689" s="504"/>
      <c r="E689" s="506"/>
      <c r="F689" s="506"/>
      <c r="G689" s="506"/>
      <c r="H689" s="506"/>
      <c r="I689" s="506"/>
      <c r="J689" s="506"/>
      <c r="K689" s="507"/>
      <c r="L689" s="508"/>
      <c r="M689" s="508"/>
      <c r="N689" s="508"/>
      <c r="O689" s="509"/>
      <c r="P689" s="509"/>
    </row>
    <row r="690" spans="1:16" ht="21.75" customHeight="1" x14ac:dyDescent="0.3">
      <c r="A690" s="504"/>
      <c r="B690" s="504"/>
      <c r="C690" s="504"/>
      <c r="D690" s="504"/>
      <c r="E690" s="506"/>
      <c r="F690" s="506"/>
      <c r="G690" s="506"/>
      <c r="H690" s="506"/>
      <c r="I690" s="506"/>
      <c r="J690" s="506"/>
      <c r="K690" s="507"/>
      <c r="L690" s="508"/>
      <c r="M690" s="508"/>
      <c r="N690" s="508"/>
      <c r="O690" s="509"/>
      <c r="P690" s="509"/>
    </row>
    <row r="691" spans="1:16" ht="21.75" customHeight="1" x14ac:dyDescent="0.3">
      <c r="A691" s="504"/>
      <c r="B691" s="504"/>
      <c r="C691" s="504"/>
      <c r="D691" s="504"/>
      <c r="E691" s="506"/>
      <c r="F691" s="506"/>
      <c r="G691" s="506"/>
      <c r="H691" s="506"/>
      <c r="I691" s="506"/>
      <c r="J691" s="506"/>
      <c r="K691" s="507"/>
      <c r="L691" s="508"/>
      <c r="M691" s="508"/>
      <c r="N691" s="508"/>
      <c r="O691" s="509"/>
      <c r="P691" s="509"/>
    </row>
    <row r="692" spans="1:16" ht="21.75" customHeight="1" x14ac:dyDescent="0.3">
      <c r="A692" s="504"/>
      <c r="B692" s="504"/>
      <c r="C692" s="504"/>
      <c r="D692" s="504"/>
      <c r="E692" s="506"/>
      <c r="F692" s="506"/>
      <c r="G692" s="506"/>
      <c r="H692" s="506"/>
      <c r="I692" s="506"/>
      <c r="J692" s="506"/>
      <c r="K692" s="507"/>
      <c r="L692" s="508"/>
      <c r="M692" s="508"/>
      <c r="N692" s="508"/>
      <c r="O692" s="509"/>
      <c r="P692" s="509"/>
    </row>
    <row r="693" spans="1:16" ht="21.75" customHeight="1" x14ac:dyDescent="0.3">
      <c r="A693" s="504"/>
      <c r="B693" s="504"/>
      <c r="C693" s="504"/>
      <c r="D693" s="504"/>
      <c r="E693" s="506"/>
      <c r="F693" s="506"/>
      <c r="G693" s="506"/>
      <c r="H693" s="506"/>
      <c r="I693" s="506"/>
      <c r="J693" s="506"/>
      <c r="K693" s="507"/>
      <c r="L693" s="508"/>
      <c r="M693" s="508"/>
      <c r="N693" s="508"/>
      <c r="O693" s="509"/>
      <c r="P693" s="509"/>
    </row>
    <row r="694" spans="1:16" ht="21.75" customHeight="1" x14ac:dyDescent="0.3">
      <c r="A694" s="504"/>
      <c r="B694" s="504"/>
      <c r="C694" s="504"/>
      <c r="D694" s="504"/>
      <c r="E694" s="506"/>
      <c r="F694" s="506"/>
      <c r="G694" s="506"/>
      <c r="H694" s="506"/>
      <c r="I694" s="506"/>
      <c r="J694" s="506"/>
      <c r="K694" s="507"/>
      <c r="L694" s="508"/>
      <c r="M694" s="508"/>
      <c r="N694" s="508"/>
      <c r="O694" s="509"/>
      <c r="P694" s="509"/>
    </row>
    <row r="695" spans="1:16" ht="21.75" customHeight="1" x14ac:dyDescent="0.3">
      <c r="A695" s="504"/>
      <c r="B695" s="504"/>
      <c r="C695" s="504"/>
      <c r="D695" s="504"/>
      <c r="E695" s="506"/>
      <c r="F695" s="506"/>
      <c r="G695" s="506"/>
      <c r="H695" s="506"/>
      <c r="I695" s="506"/>
      <c r="J695" s="506"/>
      <c r="K695" s="507"/>
      <c r="L695" s="508"/>
      <c r="M695" s="508"/>
      <c r="N695" s="508"/>
      <c r="O695" s="509"/>
      <c r="P695" s="509"/>
    </row>
    <row r="696" spans="1:16" ht="21.75" customHeight="1" x14ac:dyDescent="0.3">
      <c r="A696" s="504"/>
      <c r="B696" s="504"/>
      <c r="C696" s="504"/>
      <c r="D696" s="504"/>
      <c r="E696" s="506"/>
      <c r="F696" s="506"/>
      <c r="G696" s="506"/>
      <c r="H696" s="506"/>
      <c r="I696" s="506"/>
      <c r="J696" s="506"/>
      <c r="K696" s="507"/>
      <c r="L696" s="508"/>
      <c r="M696" s="508"/>
      <c r="N696" s="508"/>
      <c r="O696" s="509"/>
      <c r="P696" s="509"/>
    </row>
    <row r="697" spans="1:16" ht="21.75" customHeight="1" x14ac:dyDescent="0.3">
      <c r="A697" s="504"/>
      <c r="B697" s="504"/>
      <c r="C697" s="504"/>
      <c r="D697" s="504"/>
      <c r="E697" s="506"/>
      <c r="F697" s="506"/>
      <c r="G697" s="506"/>
      <c r="H697" s="506"/>
      <c r="I697" s="506"/>
      <c r="J697" s="506"/>
      <c r="K697" s="507"/>
      <c r="L697" s="508"/>
      <c r="M697" s="508"/>
      <c r="N697" s="508"/>
      <c r="O697" s="509"/>
      <c r="P697" s="509"/>
    </row>
    <row r="698" spans="1:16" ht="21.75" customHeight="1" x14ac:dyDescent="0.3">
      <c r="A698" s="504"/>
      <c r="B698" s="504"/>
      <c r="C698" s="504"/>
      <c r="D698" s="504"/>
      <c r="E698" s="506"/>
      <c r="F698" s="506"/>
      <c r="G698" s="506"/>
      <c r="H698" s="506"/>
      <c r="I698" s="506"/>
      <c r="J698" s="506"/>
      <c r="K698" s="507"/>
      <c r="L698" s="508"/>
      <c r="M698" s="508"/>
      <c r="N698" s="508"/>
      <c r="O698" s="509"/>
      <c r="P698" s="509"/>
    </row>
    <row r="699" spans="1:16" ht="21.75" customHeight="1" x14ac:dyDescent="0.3">
      <c r="A699" s="504"/>
      <c r="B699" s="504"/>
      <c r="C699" s="504"/>
      <c r="D699" s="504"/>
      <c r="E699" s="506"/>
      <c r="F699" s="506"/>
      <c r="G699" s="506"/>
      <c r="H699" s="506"/>
      <c r="I699" s="506"/>
      <c r="J699" s="506"/>
      <c r="K699" s="507"/>
      <c r="L699" s="508"/>
      <c r="M699" s="508"/>
      <c r="N699" s="508"/>
      <c r="O699" s="509"/>
      <c r="P699" s="509"/>
    </row>
    <row r="700" spans="1:16" ht="21.75" customHeight="1" x14ac:dyDescent="0.3">
      <c r="A700" s="504"/>
      <c r="B700" s="504"/>
      <c r="C700" s="504"/>
      <c r="D700" s="504"/>
      <c r="E700" s="506"/>
      <c r="F700" s="506"/>
      <c r="G700" s="506"/>
      <c r="H700" s="506"/>
      <c r="I700" s="506"/>
      <c r="J700" s="506"/>
      <c r="K700" s="507"/>
      <c r="L700" s="508"/>
      <c r="M700" s="508"/>
      <c r="N700" s="508"/>
      <c r="O700" s="509"/>
      <c r="P700" s="509"/>
    </row>
    <row r="701" spans="1:16" ht="21.75" customHeight="1" x14ac:dyDescent="0.3">
      <c r="A701" s="504"/>
      <c r="B701" s="504"/>
      <c r="C701" s="504"/>
      <c r="D701" s="504"/>
      <c r="E701" s="506"/>
      <c r="F701" s="506"/>
      <c r="G701" s="506"/>
      <c r="H701" s="506"/>
      <c r="I701" s="506"/>
      <c r="J701" s="506"/>
      <c r="K701" s="507"/>
      <c r="L701" s="508"/>
      <c r="M701" s="508"/>
      <c r="N701" s="508"/>
      <c r="O701" s="509"/>
      <c r="P701" s="509"/>
    </row>
    <row r="702" spans="1:16" ht="21.75" customHeight="1" x14ac:dyDescent="0.3">
      <c r="A702" s="504"/>
      <c r="B702" s="504"/>
      <c r="C702" s="504"/>
      <c r="D702" s="504"/>
      <c r="E702" s="506"/>
      <c r="F702" s="506"/>
      <c r="G702" s="506"/>
      <c r="H702" s="506"/>
      <c r="I702" s="506"/>
      <c r="J702" s="506"/>
      <c r="K702" s="507"/>
      <c r="L702" s="508"/>
      <c r="M702" s="508"/>
      <c r="N702" s="508"/>
      <c r="O702" s="509"/>
      <c r="P702" s="509"/>
    </row>
    <row r="703" spans="1:16" ht="21.75" customHeight="1" x14ac:dyDescent="0.3">
      <c r="A703" s="504"/>
      <c r="B703" s="504"/>
      <c r="C703" s="504"/>
      <c r="D703" s="504"/>
      <c r="E703" s="506"/>
      <c r="F703" s="506"/>
      <c r="G703" s="506"/>
      <c r="H703" s="506"/>
      <c r="I703" s="506"/>
      <c r="J703" s="506"/>
      <c r="K703" s="507"/>
      <c r="L703" s="508"/>
      <c r="M703" s="508"/>
      <c r="N703" s="508"/>
      <c r="O703" s="509"/>
      <c r="P703" s="509"/>
    </row>
    <row r="704" spans="1:16" ht="21.75" customHeight="1" x14ac:dyDescent="0.3">
      <c r="A704" s="504"/>
      <c r="B704" s="504"/>
      <c r="C704" s="504"/>
      <c r="D704" s="504"/>
      <c r="E704" s="506"/>
      <c r="F704" s="506"/>
      <c r="G704" s="506"/>
      <c r="H704" s="506"/>
      <c r="I704" s="506"/>
      <c r="J704" s="506"/>
      <c r="K704" s="507"/>
      <c r="L704" s="508"/>
      <c r="M704" s="508"/>
      <c r="N704" s="508"/>
      <c r="O704" s="509"/>
      <c r="P704" s="509"/>
    </row>
    <row r="705" spans="1:16" ht="21.75" customHeight="1" x14ac:dyDescent="0.3">
      <c r="A705" s="504"/>
      <c r="B705" s="504"/>
      <c r="C705" s="504"/>
      <c r="D705" s="504"/>
      <c r="E705" s="506"/>
      <c r="F705" s="506"/>
      <c r="G705" s="506"/>
      <c r="H705" s="506"/>
      <c r="I705" s="506"/>
      <c r="J705" s="506"/>
      <c r="K705" s="507"/>
      <c r="L705" s="508"/>
      <c r="M705" s="508"/>
      <c r="N705" s="508"/>
      <c r="O705" s="509"/>
      <c r="P705" s="509"/>
    </row>
    <row r="706" spans="1:16" ht="21.75" customHeight="1" x14ac:dyDescent="0.3">
      <c r="A706" s="504"/>
      <c r="B706" s="504"/>
      <c r="C706" s="504"/>
      <c r="D706" s="504"/>
      <c r="E706" s="506"/>
      <c r="F706" s="506"/>
      <c r="G706" s="506"/>
      <c r="H706" s="506"/>
      <c r="I706" s="506"/>
      <c r="J706" s="506"/>
      <c r="K706" s="507"/>
      <c r="L706" s="508"/>
      <c r="M706" s="508"/>
      <c r="N706" s="508"/>
      <c r="O706" s="509"/>
      <c r="P706" s="509"/>
    </row>
    <row r="707" spans="1:16" ht="21.75" customHeight="1" x14ac:dyDescent="0.3">
      <c r="A707" s="504"/>
      <c r="B707" s="504"/>
      <c r="C707" s="504"/>
      <c r="D707" s="504"/>
      <c r="E707" s="506"/>
      <c r="F707" s="506"/>
      <c r="G707" s="506"/>
      <c r="H707" s="506"/>
      <c r="I707" s="506"/>
      <c r="J707" s="506"/>
      <c r="K707" s="507"/>
      <c r="L707" s="508"/>
      <c r="M707" s="508"/>
      <c r="N707" s="508"/>
      <c r="O707" s="509"/>
      <c r="P707" s="509"/>
    </row>
    <row r="708" spans="1:16" ht="21.75" customHeight="1" x14ac:dyDescent="0.3">
      <c r="A708" s="504"/>
      <c r="B708" s="504"/>
      <c r="C708" s="504"/>
      <c r="D708" s="504"/>
      <c r="E708" s="506"/>
      <c r="F708" s="506"/>
      <c r="G708" s="506"/>
      <c r="H708" s="506"/>
      <c r="I708" s="506"/>
      <c r="J708" s="506"/>
      <c r="K708" s="507"/>
      <c r="L708" s="508"/>
      <c r="M708" s="508"/>
      <c r="N708" s="508"/>
      <c r="O708" s="509"/>
      <c r="P708" s="509"/>
    </row>
    <row r="709" spans="1:16" ht="21.75" customHeight="1" x14ac:dyDescent="0.3">
      <c r="A709" s="504"/>
      <c r="B709" s="504"/>
      <c r="C709" s="504"/>
      <c r="D709" s="504"/>
      <c r="E709" s="506"/>
      <c r="F709" s="506"/>
      <c r="G709" s="506"/>
      <c r="H709" s="506"/>
      <c r="I709" s="506"/>
      <c r="J709" s="506"/>
      <c r="K709" s="507"/>
      <c r="L709" s="508"/>
      <c r="M709" s="508"/>
      <c r="N709" s="508"/>
      <c r="O709" s="509"/>
      <c r="P709" s="509"/>
    </row>
    <row r="710" spans="1:16" ht="21.75" customHeight="1" x14ac:dyDescent="0.3">
      <c r="A710" s="504"/>
      <c r="B710" s="504"/>
      <c r="C710" s="504"/>
      <c r="D710" s="504"/>
      <c r="E710" s="506"/>
      <c r="F710" s="506"/>
      <c r="G710" s="506"/>
      <c r="H710" s="506"/>
      <c r="I710" s="506"/>
      <c r="J710" s="506"/>
      <c r="K710" s="507"/>
      <c r="L710" s="508"/>
      <c r="M710" s="508"/>
      <c r="N710" s="508"/>
      <c r="O710" s="509"/>
      <c r="P710" s="509"/>
    </row>
    <row r="711" spans="1:16" ht="21.75" customHeight="1" x14ac:dyDescent="0.3">
      <c r="A711" s="504"/>
      <c r="B711" s="504"/>
      <c r="C711" s="504"/>
      <c r="D711" s="504"/>
      <c r="E711" s="506"/>
      <c r="F711" s="506"/>
      <c r="G711" s="506"/>
      <c r="H711" s="506"/>
      <c r="I711" s="506"/>
      <c r="J711" s="506"/>
      <c r="K711" s="507"/>
      <c r="L711" s="508"/>
      <c r="M711" s="508"/>
      <c r="N711" s="508"/>
      <c r="O711" s="509"/>
      <c r="P711" s="509"/>
    </row>
    <row r="712" spans="1:16" ht="21.75" customHeight="1" x14ac:dyDescent="0.3">
      <c r="A712" s="504"/>
      <c r="B712" s="504"/>
      <c r="C712" s="504"/>
      <c r="D712" s="504"/>
      <c r="E712" s="506"/>
      <c r="F712" s="506"/>
      <c r="G712" s="506"/>
      <c r="H712" s="506"/>
      <c r="I712" s="506"/>
      <c r="J712" s="506"/>
      <c r="K712" s="507"/>
      <c r="L712" s="508"/>
      <c r="M712" s="508"/>
      <c r="N712" s="508"/>
      <c r="O712" s="509"/>
      <c r="P712" s="509"/>
    </row>
    <row r="713" spans="1:16" ht="21.75" customHeight="1" x14ac:dyDescent="0.3">
      <c r="A713" s="504"/>
      <c r="B713" s="504"/>
      <c r="C713" s="504"/>
      <c r="D713" s="504"/>
      <c r="E713" s="506"/>
      <c r="F713" s="506"/>
      <c r="G713" s="506"/>
      <c r="H713" s="506"/>
      <c r="I713" s="506"/>
      <c r="J713" s="506"/>
      <c r="K713" s="507"/>
      <c r="L713" s="508"/>
      <c r="M713" s="508"/>
      <c r="N713" s="508"/>
      <c r="O713" s="509"/>
      <c r="P713" s="509"/>
    </row>
    <row r="714" spans="1:16" ht="21.75" customHeight="1" x14ac:dyDescent="0.3">
      <c r="A714" s="504"/>
      <c r="B714" s="504"/>
      <c r="C714" s="504"/>
      <c r="D714" s="504"/>
      <c r="E714" s="506"/>
      <c r="F714" s="506"/>
      <c r="G714" s="506"/>
      <c r="H714" s="506"/>
      <c r="I714" s="506"/>
      <c r="J714" s="506"/>
      <c r="K714" s="507"/>
      <c r="L714" s="508"/>
      <c r="M714" s="508"/>
      <c r="N714" s="508"/>
      <c r="O714" s="509"/>
      <c r="P714" s="509"/>
    </row>
    <row r="715" spans="1:16" ht="21.75" customHeight="1" x14ac:dyDescent="0.3">
      <c r="A715" s="504"/>
      <c r="B715" s="504"/>
      <c r="C715" s="504"/>
      <c r="D715" s="504"/>
      <c r="E715" s="506"/>
      <c r="F715" s="506"/>
      <c r="G715" s="506"/>
      <c r="H715" s="506"/>
      <c r="I715" s="506"/>
      <c r="J715" s="506"/>
      <c r="K715" s="507"/>
      <c r="L715" s="508"/>
      <c r="M715" s="508"/>
      <c r="N715" s="508"/>
      <c r="O715" s="509"/>
      <c r="P715" s="509"/>
    </row>
    <row r="716" spans="1:16" ht="21.75" customHeight="1" x14ac:dyDescent="0.3">
      <c r="A716" s="504"/>
      <c r="B716" s="504"/>
      <c r="C716" s="504"/>
      <c r="D716" s="504"/>
      <c r="E716" s="506"/>
      <c r="F716" s="506"/>
      <c r="G716" s="506"/>
      <c r="H716" s="506"/>
      <c r="I716" s="506"/>
      <c r="J716" s="506"/>
      <c r="K716" s="507"/>
      <c r="L716" s="508"/>
      <c r="M716" s="508"/>
      <c r="N716" s="508"/>
      <c r="O716" s="509"/>
      <c r="P716" s="509"/>
    </row>
    <row r="717" spans="1:16" ht="21.75" customHeight="1" x14ac:dyDescent="0.3">
      <c r="A717" s="504"/>
      <c r="B717" s="504"/>
      <c r="C717" s="504"/>
      <c r="D717" s="504"/>
      <c r="E717" s="506"/>
      <c r="F717" s="506"/>
      <c r="G717" s="506"/>
      <c r="H717" s="506"/>
      <c r="I717" s="506"/>
      <c r="J717" s="506"/>
      <c r="K717" s="507"/>
      <c r="L717" s="508"/>
      <c r="M717" s="508"/>
      <c r="N717" s="508"/>
      <c r="O717" s="509"/>
      <c r="P717" s="509"/>
    </row>
    <row r="718" spans="1:16" ht="21.75" customHeight="1" x14ac:dyDescent="0.3">
      <c r="A718" s="504"/>
      <c r="B718" s="504"/>
      <c r="C718" s="504"/>
      <c r="D718" s="504"/>
      <c r="E718" s="506"/>
      <c r="F718" s="506"/>
      <c r="G718" s="506"/>
      <c r="H718" s="506"/>
      <c r="I718" s="506"/>
      <c r="J718" s="506"/>
      <c r="K718" s="507"/>
      <c r="L718" s="508"/>
      <c r="M718" s="508"/>
      <c r="N718" s="508"/>
      <c r="O718" s="509"/>
      <c r="P718" s="509"/>
    </row>
    <row r="719" spans="1:16" ht="21.75" customHeight="1" x14ac:dyDescent="0.3">
      <c r="A719" s="504"/>
      <c r="B719" s="504"/>
      <c r="C719" s="504"/>
      <c r="D719" s="504"/>
      <c r="E719" s="506"/>
      <c r="F719" s="506"/>
      <c r="G719" s="506"/>
      <c r="H719" s="506"/>
      <c r="I719" s="506"/>
      <c r="J719" s="506"/>
      <c r="K719" s="507"/>
      <c r="L719" s="508"/>
      <c r="M719" s="508"/>
      <c r="N719" s="508"/>
      <c r="O719" s="509"/>
      <c r="P719" s="509"/>
    </row>
    <row r="720" spans="1:16" ht="21.75" customHeight="1" x14ac:dyDescent="0.3">
      <c r="A720" s="504"/>
      <c r="B720" s="504"/>
      <c r="C720" s="504"/>
      <c r="D720" s="504"/>
      <c r="E720" s="506"/>
      <c r="F720" s="506"/>
      <c r="G720" s="506"/>
      <c r="H720" s="506"/>
      <c r="I720" s="506"/>
      <c r="J720" s="506"/>
      <c r="K720" s="507"/>
      <c r="L720" s="508"/>
      <c r="M720" s="508"/>
      <c r="N720" s="508"/>
      <c r="O720" s="509"/>
      <c r="P720" s="509"/>
    </row>
    <row r="721" spans="1:16" ht="21.75" customHeight="1" x14ac:dyDescent="0.3">
      <c r="A721" s="504"/>
      <c r="B721" s="504"/>
      <c r="C721" s="504"/>
      <c r="D721" s="504"/>
      <c r="E721" s="506"/>
      <c r="F721" s="506"/>
      <c r="G721" s="506"/>
      <c r="H721" s="506"/>
      <c r="I721" s="506"/>
      <c r="J721" s="506"/>
      <c r="K721" s="507"/>
      <c r="L721" s="508"/>
      <c r="M721" s="508"/>
      <c r="N721" s="508"/>
      <c r="O721" s="509"/>
      <c r="P721" s="509"/>
    </row>
    <row r="722" spans="1:16" ht="21.75" customHeight="1" x14ac:dyDescent="0.3">
      <c r="A722" s="504"/>
      <c r="B722" s="504"/>
      <c r="C722" s="504"/>
      <c r="D722" s="504"/>
      <c r="E722" s="506"/>
      <c r="F722" s="506"/>
      <c r="G722" s="506"/>
      <c r="H722" s="506"/>
      <c r="I722" s="506"/>
      <c r="J722" s="506"/>
      <c r="K722" s="507"/>
      <c r="L722" s="508"/>
      <c r="M722" s="508"/>
      <c r="N722" s="508"/>
      <c r="O722" s="509"/>
      <c r="P722" s="509"/>
    </row>
    <row r="723" spans="1:16" ht="21.75" customHeight="1" x14ac:dyDescent="0.3">
      <c r="A723" s="504"/>
      <c r="B723" s="504"/>
      <c r="C723" s="504"/>
      <c r="D723" s="504"/>
      <c r="E723" s="506"/>
      <c r="F723" s="506"/>
      <c r="G723" s="506"/>
      <c r="H723" s="506"/>
      <c r="I723" s="506"/>
      <c r="J723" s="506"/>
      <c r="K723" s="507"/>
      <c r="L723" s="508"/>
      <c r="M723" s="508"/>
      <c r="N723" s="508"/>
      <c r="O723" s="509"/>
      <c r="P723" s="509"/>
    </row>
    <row r="724" spans="1:16" ht="21.75" customHeight="1" x14ac:dyDescent="0.3">
      <c r="A724" s="504"/>
      <c r="B724" s="504"/>
      <c r="C724" s="504"/>
      <c r="D724" s="504"/>
      <c r="E724" s="506"/>
      <c r="F724" s="506"/>
      <c r="G724" s="506"/>
      <c r="H724" s="506"/>
      <c r="I724" s="506"/>
      <c r="J724" s="506"/>
      <c r="K724" s="507"/>
      <c r="L724" s="508"/>
      <c r="M724" s="508"/>
      <c r="N724" s="508"/>
      <c r="O724" s="509"/>
      <c r="P724" s="509"/>
    </row>
    <row r="725" spans="1:16" ht="21.75" customHeight="1" x14ac:dyDescent="0.3">
      <c r="A725" s="504"/>
      <c r="B725" s="504"/>
      <c r="C725" s="504"/>
      <c r="D725" s="504"/>
      <c r="E725" s="506"/>
      <c r="F725" s="506"/>
      <c r="G725" s="506"/>
      <c r="H725" s="506"/>
      <c r="I725" s="506"/>
      <c r="J725" s="506"/>
      <c r="K725" s="507"/>
      <c r="L725" s="508"/>
      <c r="M725" s="508"/>
      <c r="N725" s="508"/>
      <c r="O725" s="509"/>
      <c r="P725" s="509"/>
    </row>
    <row r="726" spans="1:16" ht="21.75" customHeight="1" x14ac:dyDescent="0.3">
      <c r="A726" s="504"/>
      <c r="B726" s="504"/>
      <c r="C726" s="504"/>
      <c r="D726" s="504"/>
      <c r="E726" s="506"/>
      <c r="F726" s="506"/>
      <c r="G726" s="506"/>
      <c r="H726" s="506"/>
      <c r="I726" s="506"/>
      <c r="J726" s="506"/>
      <c r="K726" s="507"/>
      <c r="L726" s="508"/>
      <c r="M726" s="508"/>
      <c r="N726" s="508"/>
      <c r="O726" s="509"/>
      <c r="P726" s="509"/>
    </row>
    <row r="727" spans="1:16" ht="21.75" customHeight="1" x14ac:dyDescent="0.3">
      <c r="A727" s="504"/>
      <c r="B727" s="504"/>
      <c r="C727" s="504"/>
      <c r="D727" s="504"/>
      <c r="E727" s="506"/>
      <c r="F727" s="506"/>
      <c r="G727" s="506"/>
      <c r="H727" s="506"/>
      <c r="I727" s="506"/>
      <c r="J727" s="506"/>
      <c r="K727" s="507"/>
      <c r="L727" s="508"/>
      <c r="M727" s="508"/>
      <c r="N727" s="508"/>
      <c r="O727" s="509"/>
      <c r="P727" s="509"/>
    </row>
    <row r="728" spans="1:16" ht="21.75" customHeight="1" x14ac:dyDescent="0.3">
      <c r="A728" s="504"/>
      <c r="B728" s="504"/>
      <c r="C728" s="504"/>
      <c r="D728" s="504"/>
      <c r="E728" s="506"/>
      <c r="F728" s="506"/>
      <c r="G728" s="506"/>
      <c r="H728" s="506"/>
      <c r="I728" s="506"/>
      <c r="J728" s="506"/>
      <c r="K728" s="507"/>
      <c r="L728" s="508"/>
      <c r="M728" s="508"/>
      <c r="N728" s="508"/>
      <c r="O728" s="509"/>
      <c r="P728" s="509"/>
    </row>
    <row r="729" spans="1:16" ht="21.75" customHeight="1" x14ac:dyDescent="0.3">
      <c r="A729" s="504"/>
      <c r="B729" s="504"/>
      <c r="C729" s="504"/>
      <c r="D729" s="504"/>
      <c r="E729" s="506"/>
      <c r="F729" s="506"/>
      <c r="G729" s="506"/>
      <c r="H729" s="506"/>
      <c r="I729" s="506"/>
      <c r="J729" s="506"/>
      <c r="K729" s="507"/>
      <c r="L729" s="508"/>
      <c r="M729" s="508"/>
      <c r="N729" s="508"/>
      <c r="O729" s="509"/>
      <c r="P729" s="509"/>
    </row>
    <row r="730" spans="1:16" ht="21.75" customHeight="1" x14ac:dyDescent="0.3">
      <c r="A730" s="504"/>
      <c r="B730" s="504"/>
      <c r="C730" s="504"/>
      <c r="D730" s="504"/>
      <c r="E730" s="506"/>
      <c r="F730" s="506"/>
      <c r="G730" s="506"/>
      <c r="H730" s="506"/>
      <c r="I730" s="506"/>
      <c r="J730" s="506"/>
      <c r="K730" s="507"/>
      <c r="L730" s="508"/>
      <c r="M730" s="508"/>
      <c r="N730" s="508"/>
      <c r="O730" s="509"/>
      <c r="P730" s="509"/>
    </row>
    <row r="731" spans="1:16" ht="21.75" customHeight="1" x14ac:dyDescent="0.3">
      <c r="A731" s="504"/>
      <c r="B731" s="504"/>
      <c r="C731" s="504"/>
      <c r="D731" s="504"/>
      <c r="E731" s="506"/>
      <c r="F731" s="506"/>
      <c r="G731" s="506"/>
      <c r="H731" s="506"/>
      <c r="I731" s="506"/>
      <c r="J731" s="506"/>
      <c r="K731" s="507"/>
      <c r="L731" s="508"/>
      <c r="M731" s="508"/>
      <c r="N731" s="508"/>
      <c r="O731" s="509"/>
      <c r="P731" s="509"/>
    </row>
    <row r="732" spans="1:16" ht="21.75" customHeight="1" x14ac:dyDescent="0.3">
      <c r="A732" s="504"/>
      <c r="B732" s="504"/>
      <c r="C732" s="504"/>
      <c r="D732" s="504"/>
      <c r="E732" s="506"/>
      <c r="F732" s="506"/>
      <c r="G732" s="506"/>
      <c r="H732" s="506"/>
      <c r="I732" s="506"/>
      <c r="J732" s="506"/>
      <c r="K732" s="507"/>
      <c r="L732" s="508"/>
      <c r="M732" s="508"/>
      <c r="N732" s="508"/>
      <c r="O732" s="509"/>
      <c r="P732" s="509"/>
    </row>
    <row r="733" spans="1:16" ht="21.75" customHeight="1" x14ac:dyDescent="0.3">
      <c r="A733" s="504"/>
      <c r="B733" s="504"/>
      <c r="C733" s="504"/>
      <c r="D733" s="504"/>
      <c r="E733" s="506"/>
      <c r="F733" s="506"/>
      <c r="G733" s="506"/>
      <c r="H733" s="506"/>
      <c r="I733" s="506"/>
      <c r="J733" s="506"/>
      <c r="K733" s="507"/>
      <c r="L733" s="508"/>
      <c r="M733" s="508"/>
      <c r="N733" s="508"/>
      <c r="O733" s="509"/>
      <c r="P733" s="509"/>
    </row>
    <row r="734" spans="1:16" ht="21.75" customHeight="1" x14ac:dyDescent="0.3">
      <c r="A734" s="504"/>
      <c r="B734" s="504"/>
      <c r="C734" s="504"/>
      <c r="D734" s="504"/>
      <c r="E734" s="506"/>
      <c r="F734" s="506"/>
      <c r="G734" s="506"/>
      <c r="H734" s="506"/>
      <c r="I734" s="506"/>
      <c r="J734" s="506"/>
      <c r="K734" s="507"/>
      <c r="L734" s="508"/>
      <c r="M734" s="508"/>
      <c r="N734" s="508"/>
      <c r="O734" s="509"/>
      <c r="P734" s="509"/>
    </row>
    <row r="735" spans="1:16" ht="21.75" customHeight="1" x14ac:dyDescent="0.3">
      <c r="A735" s="504"/>
      <c r="B735" s="504"/>
      <c r="C735" s="504"/>
      <c r="D735" s="504"/>
      <c r="E735" s="506"/>
      <c r="F735" s="506"/>
      <c r="G735" s="506"/>
      <c r="H735" s="506"/>
      <c r="I735" s="506"/>
      <c r="J735" s="506"/>
      <c r="K735" s="507"/>
      <c r="L735" s="508"/>
      <c r="M735" s="508"/>
      <c r="N735" s="508"/>
      <c r="O735" s="509"/>
      <c r="P735" s="509"/>
    </row>
    <row r="736" spans="1:16" ht="21.75" customHeight="1" x14ac:dyDescent="0.3">
      <c r="A736" s="504"/>
      <c r="B736" s="504"/>
      <c r="C736" s="504"/>
      <c r="D736" s="504"/>
      <c r="E736" s="506"/>
      <c r="F736" s="506"/>
      <c r="G736" s="506"/>
      <c r="H736" s="506"/>
      <c r="I736" s="506"/>
      <c r="J736" s="506"/>
      <c r="K736" s="507"/>
      <c r="L736" s="508"/>
      <c r="M736" s="508"/>
      <c r="N736" s="508"/>
      <c r="O736" s="509"/>
      <c r="P736" s="509"/>
    </row>
    <row r="737" spans="1:16" ht="21.75" customHeight="1" x14ac:dyDescent="0.3">
      <c r="A737" s="504"/>
      <c r="B737" s="504"/>
      <c r="C737" s="504"/>
      <c r="D737" s="504"/>
      <c r="E737" s="506"/>
      <c r="F737" s="506"/>
      <c r="G737" s="506"/>
      <c r="H737" s="506"/>
      <c r="I737" s="506"/>
      <c r="J737" s="506"/>
      <c r="K737" s="507"/>
      <c r="L737" s="508"/>
      <c r="M737" s="508"/>
      <c r="N737" s="508"/>
      <c r="O737" s="509"/>
      <c r="P737" s="509"/>
    </row>
    <row r="738" spans="1:16" ht="21.75" customHeight="1" x14ac:dyDescent="0.3">
      <c r="A738" s="504"/>
      <c r="B738" s="504"/>
      <c r="C738" s="504"/>
      <c r="D738" s="504"/>
      <c r="E738" s="506"/>
      <c r="F738" s="506"/>
      <c r="G738" s="506"/>
      <c r="H738" s="506"/>
      <c r="I738" s="506"/>
      <c r="J738" s="506"/>
      <c r="K738" s="507"/>
      <c r="L738" s="508"/>
      <c r="M738" s="508"/>
      <c r="N738" s="508"/>
      <c r="O738" s="509"/>
      <c r="P738" s="509"/>
    </row>
    <row r="739" spans="1:16" ht="21.75" customHeight="1" x14ac:dyDescent="0.3">
      <c r="A739" s="504"/>
      <c r="B739" s="504"/>
      <c r="C739" s="504"/>
      <c r="D739" s="504"/>
      <c r="E739" s="506"/>
      <c r="F739" s="506"/>
      <c r="G739" s="506"/>
      <c r="H739" s="506"/>
      <c r="I739" s="506"/>
      <c r="J739" s="506"/>
      <c r="K739" s="507"/>
      <c r="L739" s="508"/>
      <c r="M739" s="508"/>
      <c r="N739" s="508"/>
      <c r="O739" s="509"/>
      <c r="P739" s="509"/>
    </row>
    <row r="740" spans="1:16" ht="21.75" customHeight="1" x14ac:dyDescent="0.3">
      <c r="A740" s="504"/>
      <c r="B740" s="504"/>
      <c r="C740" s="504"/>
      <c r="D740" s="504"/>
      <c r="E740" s="506"/>
      <c r="F740" s="506"/>
      <c r="G740" s="506"/>
      <c r="H740" s="506"/>
      <c r="I740" s="506"/>
      <c r="J740" s="506"/>
      <c r="K740" s="507"/>
      <c r="L740" s="508"/>
      <c r="M740" s="508"/>
      <c r="N740" s="508"/>
      <c r="O740" s="509"/>
      <c r="P740" s="509"/>
    </row>
    <row r="741" spans="1:16" ht="21.75" customHeight="1" x14ac:dyDescent="0.3">
      <c r="A741" s="504"/>
      <c r="B741" s="504"/>
      <c r="C741" s="504"/>
      <c r="D741" s="504"/>
      <c r="E741" s="506"/>
      <c r="F741" s="506"/>
      <c r="G741" s="506"/>
      <c r="H741" s="506"/>
      <c r="I741" s="506"/>
      <c r="J741" s="506"/>
      <c r="K741" s="507"/>
      <c r="L741" s="508"/>
      <c r="M741" s="508"/>
      <c r="N741" s="508"/>
      <c r="O741" s="509"/>
      <c r="P741" s="509"/>
    </row>
    <row r="742" spans="1:16" ht="21.75" customHeight="1" x14ac:dyDescent="0.3">
      <c r="A742" s="504"/>
      <c r="B742" s="504"/>
      <c r="C742" s="504"/>
      <c r="D742" s="504"/>
      <c r="E742" s="506"/>
      <c r="F742" s="506"/>
      <c r="G742" s="506"/>
      <c r="H742" s="506"/>
      <c r="I742" s="506"/>
      <c r="J742" s="506"/>
      <c r="K742" s="507"/>
      <c r="L742" s="508"/>
      <c r="M742" s="508"/>
      <c r="N742" s="508"/>
      <c r="O742" s="509"/>
      <c r="P742" s="509"/>
    </row>
    <row r="743" spans="1:16" ht="21.75" customHeight="1" x14ac:dyDescent="0.3">
      <c r="A743" s="504"/>
      <c r="B743" s="504"/>
      <c r="C743" s="504"/>
      <c r="D743" s="504"/>
      <c r="E743" s="506"/>
      <c r="F743" s="506"/>
      <c r="G743" s="506"/>
      <c r="H743" s="506"/>
      <c r="I743" s="506"/>
      <c r="J743" s="506"/>
      <c r="K743" s="507"/>
      <c r="L743" s="508"/>
      <c r="M743" s="508"/>
      <c r="N743" s="508"/>
      <c r="O743" s="509"/>
      <c r="P743" s="509"/>
    </row>
    <row r="744" spans="1:16" ht="21.75" customHeight="1" x14ac:dyDescent="0.3">
      <c r="A744" s="504"/>
      <c r="B744" s="504"/>
      <c r="C744" s="504"/>
      <c r="D744" s="504"/>
      <c r="E744" s="506"/>
      <c r="F744" s="506"/>
      <c r="G744" s="506"/>
      <c r="H744" s="506"/>
      <c r="I744" s="506"/>
      <c r="J744" s="506"/>
      <c r="K744" s="507"/>
      <c r="L744" s="508"/>
      <c r="M744" s="508"/>
      <c r="N744" s="508"/>
      <c r="O744" s="509"/>
      <c r="P744" s="509"/>
    </row>
    <row r="745" spans="1:16" ht="21.75" customHeight="1" x14ac:dyDescent="0.3">
      <c r="A745" s="504"/>
      <c r="B745" s="504"/>
      <c r="C745" s="504"/>
      <c r="D745" s="504"/>
      <c r="E745" s="506"/>
      <c r="F745" s="506"/>
      <c r="G745" s="506"/>
      <c r="H745" s="506"/>
      <c r="I745" s="506"/>
      <c r="J745" s="506"/>
      <c r="K745" s="507"/>
      <c r="L745" s="508"/>
      <c r="M745" s="508"/>
      <c r="N745" s="508"/>
      <c r="O745" s="509"/>
      <c r="P745" s="509"/>
    </row>
    <row r="746" spans="1:16" ht="21.75" customHeight="1" x14ac:dyDescent="0.3">
      <c r="A746" s="504"/>
      <c r="B746" s="504"/>
      <c r="C746" s="504"/>
      <c r="D746" s="504"/>
      <c r="E746" s="506"/>
      <c r="F746" s="506"/>
      <c r="G746" s="506"/>
      <c r="H746" s="506"/>
      <c r="I746" s="506"/>
      <c r="J746" s="506"/>
      <c r="K746" s="507"/>
      <c r="L746" s="508"/>
      <c r="M746" s="508"/>
      <c r="N746" s="508"/>
      <c r="O746" s="509"/>
      <c r="P746" s="509"/>
    </row>
    <row r="747" spans="1:16" ht="21.75" customHeight="1" x14ac:dyDescent="0.3">
      <c r="A747" s="504"/>
      <c r="B747" s="504"/>
      <c r="C747" s="504"/>
      <c r="D747" s="504"/>
      <c r="E747" s="506"/>
      <c r="F747" s="506"/>
      <c r="G747" s="506"/>
      <c r="H747" s="506"/>
      <c r="I747" s="506"/>
      <c r="J747" s="506"/>
      <c r="K747" s="507"/>
      <c r="L747" s="508"/>
      <c r="M747" s="508"/>
      <c r="N747" s="508"/>
      <c r="O747" s="509"/>
      <c r="P747" s="509"/>
    </row>
    <row r="748" spans="1:16" ht="21.75" customHeight="1" x14ac:dyDescent="0.3">
      <c r="A748" s="504"/>
      <c r="B748" s="504"/>
      <c r="C748" s="504"/>
      <c r="D748" s="504"/>
      <c r="E748" s="506"/>
      <c r="F748" s="506"/>
      <c r="G748" s="506"/>
      <c r="H748" s="506"/>
      <c r="I748" s="506"/>
      <c r="J748" s="506"/>
      <c r="K748" s="507"/>
      <c r="L748" s="508"/>
      <c r="M748" s="508"/>
      <c r="N748" s="508"/>
      <c r="O748" s="509"/>
      <c r="P748" s="509"/>
    </row>
    <row r="749" spans="1:16" ht="21.75" customHeight="1" x14ac:dyDescent="0.3">
      <c r="A749" s="504"/>
      <c r="B749" s="504"/>
      <c r="C749" s="504"/>
      <c r="D749" s="504"/>
      <c r="E749" s="506"/>
      <c r="F749" s="506"/>
      <c r="G749" s="506"/>
      <c r="H749" s="506"/>
      <c r="I749" s="506"/>
      <c r="J749" s="506"/>
      <c r="K749" s="507"/>
      <c r="L749" s="508"/>
      <c r="M749" s="508"/>
      <c r="N749" s="508"/>
      <c r="O749" s="509"/>
      <c r="P749" s="509"/>
    </row>
    <row r="750" spans="1:16" ht="21.75" customHeight="1" x14ac:dyDescent="0.3">
      <c r="A750" s="504"/>
      <c r="B750" s="504"/>
      <c r="C750" s="504"/>
      <c r="D750" s="504"/>
      <c r="E750" s="506"/>
      <c r="F750" s="506"/>
      <c r="G750" s="506"/>
      <c r="H750" s="506"/>
      <c r="I750" s="506"/>
      <c r="J750" s="506"/>
      <c r="K750" s="507"/>
      <c r="L750" s="508"/>
      <c r="M750" s="508"/>
      <c r="N750" s="508"/>
      <c r="O750" s="509"/>
      <c r="P750" s="509"/>
    </row>
    <row r="751" spans="1:16" ht="21.75" customHeight="1" x14ac:dyDescent="0.3">
      <c r="A751" s="504"/>
      <c r="B751" s="504"/>
      <c r="C751" s="504"/>
      <c r="D751" s="504"/>
      <c r="E751" s="506"/>
      <c r="F751" s="506"/>
      <c r="G751" s="506"/>
      <c r="H751" s="506"/>
      <c r="I751" s="506"/>
      <c r="J751" s="506"/>
      <c r="K751" s="507"/>
      <c r="L751" s="508"/>
      <c r="M751" s="508"/>
      <c r="N751" s="508"/>
      <c r="O751" s="509"/>
      <c r="P751" s="509"/>
    </row>
    <row r="752" spans="1:16" ht="21.75" customHeight="1" x14ac:dyDescent="0.3">
      <c r="A752" s="504"/>
      <c r="B752" s="504"/>
      <c r="C752" s="504"/>
      <c r="D752" s="504"/>
      <c r="E752" s="506"/>
      <c r="F752" s="506"/>
      <c r="G752" s="506"/>
      <c r="H752" s="506"/>
      <c r="I752" s="506"/>
      <c r="J752" s="506"/>
      <c r="K752" s="507"/>
      <c r="L752" s="508"/>
      <c r="M752" s="508"/>
      <c r="N752" s="508"/>
      <c r="O752" s="509"/>
      <c r="P752" s="509"/>
    </row>
    <row r="753" spans="1:16" ht="21.75" customHeight="1" x14ac:dyDescent="0.3">
      <c r="A753" s="504"/>
      <c r="B753" s="504"/>
      <c r="C753" s="504"/>
      <c r="D753" s="504"/>
      <c r="E753" s="506"/>
      <c r="F753" s="506"/>
      <c r="G753" s="506"/>
      <c r="H753" s="506"/>
      <c r="I753" s="506"/>
      <c r="J753" s="506"/>
      <c r="K753" s="507"/>
      <c r="L753" s="508"/>
      <c r="M753" s="508"/>
      <c r="N753" s="508"/>
      <c r="O753" s="509"/>
      <c r="P753" s="509"/>
    </row>
    <row r="754" spans="1:16" ht="21.75" customHeight="1" x14ac:dyDescent="0.3">
      <c r="A754" s="504"/>
      <c r="B754" s="504"/>
      <c r="C754" s="504"/>
      <c r="D754" s="504"/>
      <c r="E754" s="506"/>
      <c r="F754" s="506"/>
      <c r="G754" s="506"/>
      <c r="H754" s="506"/>
      <c r="I754" s="506"/>
      <c r="J754" s="506"/>
      <c r="K754" s="507"/>
      <c r="L754" s="508"/>
      <c r="M754" s="508"/>
      <c r="N754" s="508"/>
      <c r="O754" s="509"/>
      <c r="P754" s="509"/>
    </row>
    <row r="755" spans="1:16" ht="21.75" customHeight="1" x14ac:dyDescent="0.3">
      <c r="A755" s="504"/>
      <c r="B755" s="504"/>
      <c r="C755" s="504"/>
      <c r="D755" s="504"/>
      <c r="E755" s="506"/>
      <c r="F755" s="506"/>
      <c r="G755" s="506"/>
      <c r="H755" s="506"/>
      <c r="I755" s="506"/>
      <c r="J755" s="506"/>
      <c r="K755" s="507"/>
      <c r="L755" s="508"/>
      <c r="M755" s="508"/>
      <c r="N755" s="508"/>
      <c r="O755" s="509"/>
      <c r="P755" s="509"/>
    </row>
    <row r="756" spans="1:16" ht="21.75" customHeight="1" x14ac:dyDescent="0.3">
      <c r="A756" s="504"/>
      <c r="B756" s="504"/>
      <c r="C756" s="504"/>
      <c r="D756" s="504"/>
      <c r="E756" s="506"/>
      <c r="F756" s="506"/>
      <c r="G756" s="506"/>
      <c r="H756" s="506"/>
      <c r="I756" s="506"/>
      <c r="J756" s="506"/>
      <c r="K756" s="507"/>
      <c r="L756" s="508"/>
      <c r="M756" s="508"/>
      <c r="N756" s="508"/>
      <c r="O756" s="509"/>
      <c r="P756" s="509"/>
    </row>
    <row r="757" spans="1:16" ht="21.75" customHeight="1" x14ac:dyDescent="0.3">
      <c r="A757" s="504"/>
      <c r="B757" s="504"/>
      <c r="C757" s="504"/>
      <c r="D757" s="504"/>
      <c r="E757" s="506"/>
      <c r="F757" s="506"/>
      <c r="G757" s="506"/>
      <c r="H757" s="506"/>
      <c r="I757" s="506"/>
      <c r="J757" s="506"/>
      <c r="K757" s="507"/>
      <c r="L757" s="508"/>
      <c r="M757" s="508"/>
      <c r="N757" s="508"/>
      <c r="O757" s="509"/>
      <c r="P757" s="509"/>
    </row>
    <row r="758" spans="1:16" ht="21.75" customHeight="1" x14ac:dyDescent="0.3">
      <c r="A758" s="504"/>
      <c r="B758" s="504"/>
      <c r="C758" s="504"/>
      <c r="D758" s="504"/>
      <c r="E758" s="506"/>
      <c r="F758" s="506"/>
      <c r="G758" s="506"/>
      <c r="H758" s="506"/>
      <c r="I758" s="506"/>
      <c r="J758" s="506"/>
      <c r="K758" s="507"/>
      <c r="L758" s="508"/>
      <c r="M758" s="508"/>
      <c r="N758" s="508"/>
      <c r="O758" s="509"/>
      <c r="P758" s="509"/>
    </row>
    <row r="759" spans="1:16" ht="21.75" customHeight="1" x14ac:dyDescent="0.3">
      <c r="A759" s="504"/>
      <c r="B759" s="504"/>
      <c r="C759" s="504"/>
      <c r="D759" s="504"/>
      <c r="E759" s="506"/>
      <c r="F759" s="506"/>
      <c r="G759" s="506"/>
      <c r="H759" s="506"/>
      <c r="I759" s="506"/>
      <c r="J759" s="506"/>
      <c r="K759" s="507"/>
      <c r="L759" s="508"/>
      <c r="M759" s="508"/>
      <c r="N759" s="508"/>
      <c r="O759" s="509"/>
      <c r="P759" s="509"/>
    </row>
    <row r="760" spans="1:16" ht="21.75" customHeight="1" x14ac:dyDescent="0.3">
      <c r="A760" s="504"/>
      <c r="B760" s="504"/>
      <c r="C760" s="504"/>
      <c r="D760" s="504"/>
      <c r="E760" s="506"/>
      <c r="F760" s="506"/>
      <c r="G760" s="506"/>
      <c r="H760" s="506"/>
      <c r="I760" s="506"/>
      <c r="J760" s="506"/>
      <c r="K760" s="507"/>
      <c r="L760" s="508"/>
      <c r="M760" s="508"/>
      <c r="N760" s="508"/>
      <c r="O760" s="509"/>
      <c r="P760" s="509"/>
    </row>
    <row r="761" spans="1:16" ht="21.75" customHeight="1" x14ac:dyDescent="0.3">
      <c r="A761" s="504"/>
      <c r="B761" s="504"/>
      <c r="C761" s="504"/>
      <c r="D761" s="504"/>
      <c r="E761" s="506"/>
      <c r="F761" s="506"/>
      <c r="G761" s="506"/>
      <c r="H761" s="506"/>
      <c r="I761" s="506"/>
      <c r="J761" s="506"/>
      <c r="K761" s="507"/>
      <c r="L761" s="508"/>
      <c r="M761" s="508"/>
      <c r="N761" s="508"/>
      <c r="O761" s="509"/>
      <c r="P761" s="509"/>
    </row>
    <row r="762" spans="1:16" ht="21.75" customHeight="1" x14ac:dyDescent="0.3">
      <c r="A762" s="504"/>
      <c r="B762" s="504"/>
      <c r="C762" s="504"/>
      <c r="D762" s="504"/>
      <c r="E762" s="506"/>
      <c r="F762" s="506"/>
      <c r="G762" s="506"/>
      <c r="H762" s="506"/>
      <c r="I762" s="506"/>
      <c r="J762" s="506"/>
      <c r="K762" s="507"/>
      <c r="L762" s="508"/>
      <c r="M762" s="508"/>
      <c r="N762" s="508"/>
      <c r="O762" s="509"/>
      <c r="P762" s="509"/>
    </row>
    <row r="763" spans="1:16" ht="21.75" customHeight="1" x14ac:dyDescent="0.3">
      <c r="A763" s="504"/>
      <c r="B763" s="504"/>
      <c r="C763" s="504"/>
      <c r="D763" s="504"/>
      <c r="E763" s="506"/>
      <c r="F763" s="506"/>
      <c r="G763" s="506"/>
      <c r="H763" s="506"/>
      <c r="I763" s="506"/>
      <c r="J763" s="506"/>
      <c r="K763" s="507"/>
      <c r="L763" s="508"/>
      <c r="M763" s="508"/>
      <c r="N763" s="508"/>
      <c r="O763" s="509"/>
      <c r="P763" s="509"/>
    </row>
    <row r="764" spans="1:16" ht="21.75" customHeight="1" x14ac:dyDescent="0.3">
      <c r="A764" s="504"/>
      <c r="B764" s="504"/>
      <c r="C764" s="504"/>
      <c r="D764" s="504"/>
      <c r="E764" s="506"/>
      <c r="F764" s="506"/>
      <c r="G764" s="506"/>
      <c r="H764" s="506"/>
      <c r="I764" s="506"/>
      <c r="J764" s="506"/>
      <c r="K764" s="507"/>
      <c r="L764" s="508"/>
      <c r="M764" s="508"/>
      <c r="N764" s="508"/>
      <c r="O764" s="509"/>
      <c r="P764" s="509"/>
    </row>
    <row r="765" spans="1:16" ht="21.75" customHeight="1" x14ac:dyDescent="0.3">
      <c r="A765" s="504"/>
      <c r="B765" s="504"/>
      <c r="C765" s="504"/>
      <c r="D765" s="504"/>
      <c r="E765" s="506"/>
      <c r="F765" s="506"/>
      <c r="G765" s="506"/>
      <c r="H765" s="506"/>
      <c r="I765" s="506"/>
      <c r="J765" s="506"/>
      <c r="K765" s="507"/>
      <c r="L765" s="508"/>
      <c r="M765" s="508"/>
      <c r="N765" s="508"/>
      <c r="O765" s="509"/>
      <c r="P765" s="509"/>
    </row>
    <row r="766" spans="1:16" ht="21.75" customHeight="1" x14ac:dyDescent="0.3">
      <c r="A766" s="504"/>
      <c r="B766" s="504"/>
      <c r="C766" s="504"/>
      <c r="D766" s="504"/>
      <c r="E766" s="506"/>
      <c r="F766" s="506"/>
      <c r="G766" s="506"/>
      <c r="H766" s="506"/>
      <c r="I766" s="506"/>
      <c r="J766" s="506"/>
      <c r="K766" s="507"/>
      <c r="L766" s="508"/>
      <c r="M766" s="508"/>
      <c r="N766" s="508"/>
      <c r="O766" s="509"/>
      <c r="P766" s="509"/>
    </row>
    <row r="767" spans="1:16" ht="21.75" customHeight="1" x14ac:dyDescent="0.3">
      <c r="A767" s="504"/>
      <c r="B767" s="504"/>
      <c r="C767" s="504"/>
      <c r="D767" s="504"/>
      <c r="E767" s="506"/>
      <c r="F767" s="506"/>
      <c r="G767" s="506"/>
      <c r="H767" s="506"/>
      <c r="I767" s="506"/>
      <c r="J767" s="506"/>
      <c r="K767" s="507"/>
      <c r="L767" s="508"/>
      <c r="M767" s="508"/>
      <c r="N767" s="508"/>
      <c r="O767" s="509"/>
      <c r="P767" s="509"/>
    </row>
    <row r="768" spans="1:16" ht="21.75" customHeight="1" x14ac:dyDescent="0.3">
      <c r="A768" s="504"/>
      <c r="B768" s="504"/>
      <c r="C768" s="504"/>
      <c r="D768" s="504"/>
      <c r="E768" s="506"/>
      <c r="F768" s="506"/>
      <c r="G768" s="506"/>
      <c r="H768" s="506"/>
      <c r="I768" s="506"/>
      <c r="J768" s="506"/>
      <c r="K768" s="507"/>
      <c r="L768" s="508"/>
      <c r="M768" s="508"/>
      <c r="N768" s="508"/>
      <c r="O768" s="509"/>
      <c r="P768" s="509"/>
    </row>
    <row r="769" spans="1:16" ht="21.75" customHeight="1" x14ac:dyDescent="0.3">
      <c r="A769" s="504"/>
      <c r="B769" s="504"/>
      <c r="C769" s="504"/>
      <c r="D769" s="504"/>
      <c r="E769" s="506"/>
      <c r="F769" s="506"/>
      <c r="G769" s="506"/>
      <c r="H769" s="506"/>
      <c r="I769" s="506"/>
      <c r="J769" s="506"/>
      <c r="K769" s="507"/>
      <c r="L769" s="508"/>
      <c r="M769" s="508"/>
      <c r="N769" s="508"/>
      <c r="O769" s="509"/>
      <c r="P769" s="509"/>
    </row>
    <row r="770" spans="1:16" ht="21.75" customHeight="1" x14ac:dyDescent="0.3">
      <c r="A770" s="504"/>
      <c r="B770" s="504"/>
      <c r="C770" s="504"/>
      <c r="D770" s="504"/>
      <c r="E770" s="506"/>
      <c r="F770" s="506"/>
      <c r="G770" s="506"/>
      <c r="H770" s="506"/>
      <c r="I770" s="506"/>
      <c r="J770" s="506"/>
      <c r="K770" s="507"/>
      <c r="L770" s="508"/>
      <c r="M770" s="508"/>
      <c r="N770" s="508"/>
      <c r="O770" s="509"/>
      <c r="P770" s="509"/>
    </row>
    <row r="771" spans="1:16" ht="21.75" customHeight="1" x14ac:dyDescent="0.3">
      <c r="A771" s="504"/>
      <c r="B771" s="504"/>
      <c r="C771" s="504"/>
      <c r="D771" s="504"/>
      <c r="E771" s="506"/>
      <c r="F771" s="506"/>
      <c r="G771" s="506"/>
      <c r="H771" s="506"/>
      <c r="I771" s="506"/>
      <c r="J771" s="506"/>
      <c r="K771" s="507"/>
      <c r="L771" s="508"/>
      <c r="M771" s="508"/>
      <c r="N771" s="508"/>
      <c r="O771" s="509"/>
      <c r="P771" s="509"/>
    </row>
    <row r="772" spans="1:16" ht="21.75" customHeight="1" x14ac:dyDescent="0.3">
      <c r="A772" s="504"/>
      <c r="B772" s="504"/>
      <c r="C772" s="504"/>
      <c r="D772" s="504"/>
      <c r="E772" s="506"/>
      <c r="F772" s="506"/>
      <c r="G772" s="506"/>
      <c r="H772" s="506"/>
      <c r="I772" s="506"/>
      <c r="J772" s="506"/>
      <c r="K772" s="507"/>
      <c r="L772" s="508"/>
      <c r="M772" s="508"/>
      <c r="N772" s="508"/>
      <c r="O772" s="509"/>
      <c r="P772" s="509"/>
    </row>
    <row r="773" spans="1:16" ht="21.75" customHeight="1" x14ac:dyDescent="0.3">
      <c r="A773" s="504"/>
      <c r="B773" s="504"/>
      <c r="C773" s="504"/>
      <c r="D773" s="504"/>
      <c r="E773" s="506"/>
      <c r="F773" s="506"/>
      <c r="G773" s="506"/>
      <c r="H773" s="506"/>
      <c r="I773" s="506"/>
      <c r="J773" s="506"/>
      <c r="K773" s="507"/>
      <c r="L773" s="508"/>
      <c r="M773" s="508"/>
      <c r="N773" s="508"/>
      <c r="O773" s="509"/>
      <c r="P773" s="509"/>
    </row>
    <row r="774" spans="1:16" ht="21.75" customHeight="1" x14ac:dyDescent="0.3">
      <c r="A774" s="504"/>
      <c r="B774" s="504"/>
      <c r="C774" s="504"/>
      <c r="D774" s="504"/>
      <c r="E774" s="506"/>
      <c r="F774" s="506"/>
      <c r="G774" s="506"/>
      <c r="H774" s="506"/>
      <c r="I774" s="506"/>
      <c r="J774" s="506"/>
      <c r="K774" s="507"/>
      <c r="L774" s="508"/>
      <c r="M774" s="508"/>
      <c r="N774" s="508"/>
      <c r="O774" s="509"/>
      <c r="P774" s="509"/>
    </row>
    <row r="775" spans="1:16" ht="21.75" customHeight="1" x14ac:dyDescent="0.3">
      <c r="A775" s="504"/>
      <c r="B775" s="504"/>
      <c r="C775" s="504"/>
      <c r="D775" s="504"/>
      <c r="E775" s="506"/>
      <c r="F775" s="506"/>
      <c r="G775" s="506"/>
      <c r="H775" s="506"/>
      <c r="I775" s="506"/>
      <c r="J775" s="506"/>
      <c r="K775" s="507"/>
      <c r="L775" s="508"/>
      <c r="M775" s="508"/>
      <c r="N775" s="508"/>
      <c r="O775" s="509"/>
      <c r="P775" s="509"/>
    </row>
    <row r="776" spans="1:16" ht="21.75" customHeight="1" x14ac:dyDescent="0.3">
      <c r="A776" s="504"/>
      <c r="B776" s="504"/>
      <c r="C776" s="504"/>
      <c r="D776" s="504"/>
      <c r="E776" s="506"/>
      <c r="F776" s="506"/>
      <c r="G776" s="506"/>
      <c r="H776" s="506"/>
      <c r="I776" s="506"/>
      <c r="J776" s="506"/>
      <c r="K776" s="507"/>
      <c r="L776" s="508"/>
      <c r="M776" s="508"/>
      <c r="N776" s="508"/>
      <c r="O776" s="509"/>
      <c r="P776" s="509"/>
    </row>
    <row r="777" spans="1:16" ht="21.75" customHeight="1" x14ac:dyDescent="0.3">
      <c r="A777" s="504"/>
      <c r="B777" s="504"/>
      <c r="C777" s="504"/>
      <c r="D777" s="504"/>
      <c r="E777" s="506"/>
      <c r="F777" s="506"/>
      <c r="G777" s="506"/>
      <c r="H777" s="506"/>
      <c r="I777" s="506"/>
      <c r="J777" s="506"/>
      <c r="K777" s="507"/>
      <c r="L777" s="508"/>
      <c r="M777" s="508"/>
      <c r="N777" s="508"/>
      <c r="O777" s="509"/>
      <c r="P777" s="509"/>
    </row>
    <row r="778" spans="1:16" ht="21.75" customHeight="1" x14ac:dyDescent="0.3">
      <c r="A778" s="504"/>
      <c r="B778" s="504"/>
      <c r="C778" s="504"/>
      <c r="D778" s="504"/>
      <c r="E778" s="506"/>
      <c r="F778" s="506"/>
      <c r="G778" s="506"/>
      <c r="H778" s="506"/>
      <c r="I778" s="506"/>
      <c r="J778" s="506"/>
      <c r="K778" s="507"/>
      <c r="L778" s="508"/>
      <c r="M778" s="508"/>
      <c r="N778" s="508"/>
      <c r="O778" s="509"/>
      <c r="P778" s="509"/>
    </row>
    <row r="779" spans="1:16" ht="21.75" customHeight="1" x14ac:dyDescent="0.3">
      <c r="A779" s="504"/>
      <c r="B779" s="504"/>
      <c r="C779" s="504"/>
      <c r="D779" s="504"/>
      <c r="E779" s="506"/>
      <c r="F779" s="506"/>
      <c r="G779" s="506"/>
      <c r="H779" s="506"/>
      <c r="I779" s="506"/>
      <c r="J779" s="506"/>
      <c r="K779" s="507"/>
      <c r="L779" s="508"/>
      <c r="M779" s="508"/>
      <c r="N779" s="508"/>
      <c r="O779" s="509"/>
      <c r="P779" s="509"/>
    </row>
    <row r="780" spans="1:16" ht="21.75" customHeight="1" x14ac:dyDescent="0.3">
      <c r="A780" s="504"/>
      <c r="B780" s="504"/>
      <c r="C780" s="504"/>
      <c r="D780" s="504"/>
      <c r="E780" s="506"/>
      <c r="F780" s="506"/>
      <c r="G780" s="506"/>
      <c r="H780" s="506"/>
      <c r="I780" s="506"/>
      <c r="J780" s="506"/>
      <c r="K780" s="507"/>
      <c r="L780" s="508"/>
      <c r="M780" s="508"/>
      <c r="N780" s="508"/>
      <c r="O780" s="509"/>
      <c r="P780" s="509"/>
    </row>
    <row r="781" spans="1:16" ht="21.75" customHeight="1" x14ac:dyDescent="0.3">
      <c r="A781" s="504"/>
      <c r="B781" s="504"/>
      <c r="C781" s="504"/>
      <c r="D781" s="504"/>
      <c r="E781" s="506"/>
      <c r="F781" s="506"/>
      <c r="G781" s="506"/>
      <c r="H781" s="506"/>
      <c r="I781" s="506"/>
      <c r="J781" s="506"/>
      <c r="K781" s="507"/>
      <c r="L781" s="508"/>
      <c r="M781" s="508"/>
      <c r="N781" s="508"/>
      <c r="O781" s="509"/>
      <c r="P781" s="509"/>
    </row>
    <row r="782" spans="1:16" ht="21.75" customHeight="1" x14ac:dyDescent="0.3">
      <c r="A782" s="504"/>
      <c r="B782" s="504"/>
      <c r="C782" s="504"/>
      <c r="D782" s="504"/>
      <c r="E782" s="506"/>
      <c r="F782" s="506"/>
      <c r="G782" s="506"/>
      <c r="H782" s="506"/>
      <c r="I782" s="506"/>
      <c r="J782" s="506"/>
      <c r="K782" s="507"/>
      <c r="L782" s="508"/>
      <c r="M782" s="508"/>
      <c r="N782" s="508"/>
      <c r="O782" s="509"/>
      <c r="P782" s="509"/>
    </row>
    <row r="783" spans="1:16" ht="21.75" customHeight="1" x14ac:dyDescent="0.3">
      <c r="A783" s="504"/>
      <c r="B783" s="504"/>
      <c r="C783" s="504"/>
      <c r="D783" s="504"/>
      <c r="E783" s="506"/>
      <c r="F783" s="506"/>
      <c r="G783" s="506"/>
      <c r="H783" s="506"/>
      <c r="I783" s="506"/>
      <c r="J783" s="506"/>
      <c r="K783" s="507"/>
      <c r="L783" s="508"/>
      <c r="M783" s="508"/>
      <c r="N783" s="508"/>
      <c r="O783" s="509"/>
      <c r="P783" s="509"/>
    </row>
    <row r="784" spans="1:16" ht="21.75" customHeight="1" x14ac:dyDescent="0.3">
      <c r="A784" s="504"/>
      <c r="B784" s="504"/>
      <c r="C784" s="504"/>
      <c r="D784" s="504"/>
      <c r="E784" s="506"/>
      <c r="F784" s="506"/>
      <c r="G784" s="506"/>
      <c r="H784" s="506"/>
      <c r="I784" s="506"/>
      <c r="J784" s="506"/>
      <c r="K784" s="507"/>
      <c r="L784" s="508"/>
      <c r="M784" s="508"/>
      <c r="N784" s="508"/>
      <c r="O784" s="509"/>
      <c r="P784" s="509"/>
    </row>
    <row r="785" spans="1:16" ht="21.75" customHeight="1" x14ac:dyDescent="0.3">
      <c r="A785" s="504"/>
      <c r="B785" s="504"/>
      <c r="C785" s="504"/>
      <c r="D785" s="504"/>
      <c r="E785" s="506"/>
      <c r="F785" s="506"/>
      <c r="G785" s="506"/>
      <c r="H785" s="506"/>
      <c r="I785" s="506"/>
      <c r="J785" s="506"/>
      <c r="K785" s="507"/>
      <c r="L785" s="508"/>
      <c r="M785" s="508"/>
      <c r="N785" s="508"/>
      <c r="O785" s="509"/>
      <c r="P785" s="509"/>
    </row>
    <row r="786" spans="1:16" ht="21.75" customHeight="1" x14ac:dyDescent="0.3">
      <c r="A786" s="504"/>
      <c r="B786" s="504"/>
      <c r="C786" s="504"/>
      <c r="D786" s="504"/>
      <c r="E786" s="506"/>
      <c r="F786" s="506"/>
      <c r="G786" s="506"/>
      <c r="H786" s="506"/>
      <c r="I786" s="506"/>
      <c r="J786" s="506"/>
      <c r="K786" s="507"/>
      <c r="L786" s="508"/>
      <c r="M786" s="508"/>
      <c r="N786" s="508"/>
      <c r="O786" s="509"/>
      <c r="P786" s="509"/>
    </row>
    <row r="787" spans="1:16" ht="21.75" customHeight="1" x14ac:dyDescent="0.3">
      <c r="A787" s="504"/>
      <c r="B787" s="504"/>
      <c r="C787" s="504"/>
      <c r="D787" s="504"/>
      <c r="E787" s="506"/>
      <c r="F787" s="506"/>
      <c r="G787" s="506"/>
      <c r="H787" s="506"/>
      <c r="I787" s="506"/>
      <c r="J787" s="506"/>
      <c r="K787" s="507"/>
      <c r="L787" s="508"/>
      <c r="M787" s="508"/>
      <c r="N787" s="508"/>
      <c r="O787" s="509"/>
      <c r="P787" s="509"/>
    </row>
    <row r="788" spans="1:16" ht="21.75" customHeight="1" x14ac:dyDescent="0.3">
      <c r="A788" s="504"/>
      <c r="B788" s="504"/>
      <c r="C788" s="504"/>
      <c r="D788" s="504"/>
      <c r="E788" s="506"/>
      <c r="F788" s="506"/>
      <c r="G788" s="506"/>
      <c r="H788" s="506"/>
      <c r="I788" s="506"/>
      <c r="J788" s="506"/>
      <c r="K788" s="507"/>
      <c r="L788" s="508"/>
      <c r="M788" s="508"/>
      <c r="N788" s="508"/>
      <c r="O788" s="509"/>
      <c r="P788" s="509"/>
    </row>
    <row r="789" spans="1:16" ht="21.75" customHeight="1" x14ac:dyDescent="0.3">
      <c r="A789" s="504"/>
      <c r="B789" s="504"/>
      <c r="C789" s="504"/>
      <c r="D789" s="504"/>
      <c r="E789" s="506"/>
      <c r="F789" s="506"/>
      <c r="G789" s="506"/>
      <c r="H789" s="506"/>
      <c r="I789" s="506"/>
      <c r="J789" s="506"/>
      <c r="K789" s="507"/>
      <c r="L789" s="508"/>
      <c r="M789" s="508"/>
      <c r="N789" s="508"/>
      <c r="O789" s="509"/>
      <c r="P789" s="509"/>
    </row>
    <row r="790" spans="1:16" ht="21.75" customHeight="1" x14ac:dyDescent="0.3">
      <c r="A790" s="504"/>
      <c r="B790" s="504"/>
      <c r="C790" s="504"/>
      <c r="D790" s="504"/>
      <c r="E790" s="506"/>
      <c r="F790" s="506"/>
      <c r="G790" s="506"/>
      <c r="H790" s="506"/>
      <c r="I790" s="506"/>
      <c r="J790" s="506"/>
      <c r="K790" s="507"/>
      <c r="L790" s="508"/>
      <c r="M790" s="508"/>
      <c r="N790" s="508"/>
      <c r="O790" s="509"/>
      <c r="P790" s="509"/>
    </row>
    <row r="791" spans="1:16" ht="21.75" customHeight="1" x14ac:dyDescent="0.3">
      <c r="A791" s="504"/>
      <c r="B791" s="504"/>
      <c r="C791" s="504"/>
      <c r="D791" s="504"/>
      <c r="E791" s="506"/>
      <c r="F791" s="506"/>
      <c r="G791" s="506"/>
      <c r="H791" s="506"/>
      <c r="I791" s="506"/>
      <c r="J791" s="506"/>
      <c r="K791" s="507"/>
      <c r="L791" s="508"/>
      <c r="M791" s="508"/>
      <c r="N791" s="508"/>
      <c r="O791" s="509"/>
      <c r="P791" s="509"/>
    </row>
    <row r="792" spans="1:16" ht="21.75" customHeight="1" x14ac:dyDescent="0.3">
      <c r="A792" s="504"/>
      <c r="B792" s="504"/>
      <c r="C792" s="504"/>
      <c r="D792" s="504"/>
      <c r="E792" s="506"/>
      <c r="F792" s="506"/>
      <c r="G792" s="506"/>
      <c r="H792" s="506"/>
      <c r="I792" s="506"/>
      <c r="J792" s="506"/>
      <c r="K792" s="507"/>
      <c r="L792" s="508"/>
      <c r="M792" s="508"/>
      <c r="N792" s="508"/>
      <c r="O792" s="509"/>
      <c r="P792" s="509"/>
    </row>
    <row r="793" spans="1:16" ht="21.75" customHeight="1" x14ac:dyDescent="0.3">
      <c r="A793" s="504"/>
      <c r="B793" s="504"/>
      <c r="C793" s="504"/>
      <c r="D793" s="504"/>
      <c r="E793" s="506"/>
      <c r="F793" s="506"/>
      <c r="G793" s="506"/>
      <c r="H793" s="506"/>
      <c r="I793" s="506"/>
      <c r="J793" s="506"/>
      <c r="K793" s="507"/>
      <c r="L793" s="508"/>
      <c r="M793" s="508"/>
      <c r="N793" s="508"/>
      <c r="O793" s="509"/>
      <c r="P793" s="509"/>
    </row>
    <row r="794" spans="1:16" ht="21.75" customHeight="1" x14ac:dyDescent="0.3">
      <c r="A794" s="504"/>
      <c r="B794" s="504"/>
      <c r="C794" s="504"/>
      <c r="D794" s="504"/>
      <c r="E794" s="506"/>
      <c r="F794" s="506"/>
      <c r="G794" s="506"/>
      <c r="H794" s="506"/>
      <c r="I794" s="506"/>
      <c r="J794" s="506"/>
      <c r="K794" s="507"/>
      <c r="L794" s="508"/>
      <c r="M794" s="508"/>
      <c r="N794" s="508"/>
      <c r="O794" s="509"/>
      <c r="P794" s="509"/>
    </row>
    <row r="795" spans="1:16" ht="21.75" customHeight="1" x14ac:dyDescent="0.3">
      <c r="A795" s="504"/>
      <c r="B795" s="504"/>
      <c r="C795" s="504"/>
      <c r="D795" s="504"/>
      <c r="E795" s="506"/>
      <c r="F795" s="506"/>
      <c r="G795" s="506"/>
      <c r="H795" s="506"/>
      <c r="I795" s="506"/>
      <c r="J795" s="506"/>
      <c r="K795" s="507"/>
      <c r="L795" s="508"/>
      <c r="M795" s="508"/>
      <c r="N795" s="508"/>
      <c r="O795" s="509"/>
      <c r="P795" s="509"/>
    </row>
    <row r="796" spans="1:16" ht="21.75" customHeight="1" x14ac:dyDescent="0.3">
      <c r="A796" s="504"/>
      <c r="B796" s="504"/>
      <c r="C796" s="504"/>
      <c r="D796" s="504"/>
      <c r="E796" s="506"/>
      <c r="F796" s="506"/>
      <c r="G796" s="506"/>
      <c r="H796" s="506"/>
      <c r="I796" s="506"/>
      <c r="J796" s="506"/>
      <c r="K796" s="507"/>
      <c r="L796" s="508"/>
      <c r="M796" s="508"/>
      <c r="N796" s="508"/>
      <c r="O796" s="509"/>
      <c r="P796" s="509"/>
    </row>
    <row r="797" spans="1:16" ht="21.75" customHeight="1" x14ac:dyDescent="0.3">
      <c r="A797" s="504"/>
      <c r="B797" s="504"/>
      <c r="C797" s="504"/>
      <c r="D797" s="504"/>
      <c r="E797" s="506"/>
      <c r="F797" s="506"/>
      <c r="G797" s="506"/>
      <c r="H797" s="506"/>
      <c r="I797" s="506"/>
      <c r="J797" s="506"/>
      <c r="K797" s="507"/>
      <c r="L797" s="508"/>
      <c r="M797" s="508"/>
      <c r="N797" s="508"/>
      <c r="O797" s="509"/>
      <c r="P797" s="509"/>
    </row>
    <row r="798" spans="1:16" ht="21.75" customHeight="1" x14ac:dyDescent="0.3">
      <c r="A798" s="504"/>
      <c r="B798" s="504"/>
      <c r="C798" s="504"/>
      <c r="D798" s="504"/>
      <c r="E798" s="506"/>
      <c r="F798" s="506"/>
      <c r="G798" s="506"/>
      <c r="H798" s="506"/>
      <c r="I798" s="506"/>
      <c r="J798" s="506"/>
      <c r="K798" s="507"/>
      <c r="L798" s="508"/>
      <c r="M798" s="508"/>
      <c r="N798" s="508"/>
      <c r="O798" s="509"/>
      <c r="P798" s="509"/>
    </row>
    <row r="799" spans="1:16" ht="21.75" customHeight="1" x14ac:dyDescent="0.3">
      <c r="A799" s="504"/>
      <c r="B799" s="504"/>
      <c r="C799" s="504"/>
      <c r="D799" s="504"/>
      <c r="E799" s="506"/>
      <c r="F799" s="506"/>
      <c r="G799" s="506"/>
      <c r="H799" s="506"/>
      <c r="I799" s="506"/>
      <c r="J799" s="506"/>
      <c r="K799" s="507"/>
      <c r="L799" s="508"/>
      <c r="M799" s="508"/>
      <c r="N799" s="508"/>
      <c r="O799" s="509"/>
      <c r="P799" s="509"/>
    </row>
    <row r="800" spans="1:16" ht="21.75" customHeight="1" x14ac:dyDescent="0.3">
      <c r="A800" s="504"/>
      <c r="B800" s="504"/>
      <c r="C800" s="504"/>
      <c r="D800" s="504"/>
      <c r="E800" s="506"/>
      <c r="F800" s="506"/>
      <c r="G800" s="506"/>
      <c r="H800" s="506"/>
      <c r="I800" s="506"/>
      <c r="J800" s="506"/>
      <c r="K800" s="507"/>
      <c r="L800" s="508"/>
      <c r="M800" s="508"/>
      <c r="N800" s="508"/>
      <c r="O800" s="509"/>
      <c r="P800" s="509"/>
    </row>
    <row r="801" spans="1:16" ht="21.75" customHeight="1" x14ac:dyDescent="0.3">
      <c r="A801" s="504"/>
      <c r="B801" s="504"/>
      <c r="C801" s="504"/>
      <c r="D801" s="504"/>
      <c r="E801" s="506"/>
      <c r="F801" s="506"/>
      <c r="G801" s="506"/>
      <c r="H801" s="506"/>
      <c r="I801" s="506"/>
      <c r="J801" s="506"/>
      <c r="K801" s="507"/>
      <c r="L801" s="508"/>
      <c r="M801" s="508"/>
      <c r="N801" s="508"/>
      <c r="O801" s="509"/>
      <c r="P801" s="509"/>
    </row>
    <row r="802" spans="1:16" ht="21.75" customHeight="1" x14ac:dyDescent="0.3">
      <c r="A802" s="504"/>
      <c r="B802" s="504"/>
      <c r="C802" s="504"/>
      <c r="D802" s="504"/>
      <c r="E802" s="506"/>
      <c r="F802" s="506"/>
      <c r="G802" s="506"/>
      <c r="H802" s="506"/>
      <c r="I802" s="506"/>
      <c r="J802" s="506"/>
      <c r="K802" s="507"/>
      <c r="L802" s="508"/>
      <c r="M802" s="508"/>
      <c r="N802" s="508"/>
      <c r="O802" s="509"/>
      <c r="P802" s="509"/>
    </row>
    <row r="803" spans="1:16" ht="21.75" customHeight="1" x14ac:dyDescent="0.3">
      <c r="A803" s="504"/>
      <c r="B803" s="504"/>
      <c r="C803" s="504"/>
      <c r="D803" s="504"/>
      <c r="E803" s="506"/>
      <c r="F803" s="506"/>
      <c r="G803" s="506"/>
      <c r="H803" s="506"/>
      <c r="I803" s="506"/>
      <c r="J803" s="506"/>
      <c r="K803" s="507"/>
      <c r="L803" s="508"/>
      <c r="M803" s="508"/>
      <c r="N803" s="508"/>
      <c r="O803" s="509"/>
      <c r="P803" s="509"/>
    </row>
    <row r="804" spans="1:16" ht="21.75" customHeight="1" x14ac:dyDescent="0.3">
      <c r="A804" s="504"/>
      <c r="B804" s="504"/>
      <c r="C804" s="504"/>
      <c r="D804" s="504"/>
      <c r="E804" s="506"/>
      <c r="F804" s="506"/>
      <c r="G804" s="506"/>
      <c r="H804" s="506"/>
      <c r="I804" s="506"/>
      <c r="J804" s="506"/>
      <c r="K804" s="507"/>
      <c r="L804" s="508"/>
      <c r="M804" s="508"/>
      <c r="N804" s="508"/>
      <c r="O804" s="509"/>
      <c r="P804" s="509"/>
    </row>
    <row r="805" spans="1:16" ht="21.75" customHeight="1" x14ac:dyDescent="0.3">
      <c r="A805" s="504"/>
      <c r="B805" s="504"/>
      <c r="C805" s="504"/>
      <c r="D805" s="504"/>
      <c r="E805" s="506"/>
      <c r="F805" s="506"/>
      <c r="G805" s="506"/>
      <c r="H805" s="506"/>
      <c r="I805" s="506"/>
      <c r="J805" s="506"/>
      <c r="K805" s="507"/>
      <c r="L805" s="508"/>
      <c r="M805" s="508"/>
      <c r="N805" s="508"/>
      <c r="O805" s="509"/>
      <c r="P805" s="509"/>
    </row>
    <row r="806" spans="1:16" ht="21.75" customHeight="1" x14ac:dyDescent="0.3">
      <c r="A806" s="504"/>
      <c r="B806" s="504"/>
      <c r="C806" s="504"/>
      <c r="D806" s="504"/>
      <c r="E806" s="506"/>
      <c r="F806" s="506"/>
      <c r="G806" s="506"/>
      <c r="H806" s="506"/>
      <c r="I806" s="506"/>
      <c r="J806" s="506"/>
      <c r="K806" s="507"/>
      <c r="L806" s="508"/>
      <c r="M806" s="508"/>
      <c r="N806" s="508"/>
      <c r="O806" s="509"/>
      <c r="P806" s="509"/>
    </row>
    <row r="807" spans="1:16" ht="21.75" customHeight="1" x14ac:dyDescent="0.3">
      <c r="A807" s="504"/>
      <c r="B807" s="504"/>
      <c r="C807" s="504"/>
      <c r="D807" s="504"/>
      <c r="E807" s="506"/>
      <c r="F807" s="506"/>
      <c r="G807" s="506"/>
      <c r="H807" s="506"/>
      <c r="I807" s="506"/>
      <c r="J807" s="506"/>
      <c r="K807" s="507"/>
      <c r="L807" s="508"/>
      <c r="M807" s="508"/>
      <c r="N807" s="508"/>
      <c r="O807" s="509"/>
      <c r="P807" s="509"/>
    </row>
    <row r="808" spans="1:16" ht="21.75" customHeight="1" x14ac:dyDescent="0.3">
      <c r="A808" s="504"/>
      <c r="B808" s="504"/>
      <c r="C808" s="504"/>
      <c r="D808" s="504"/>
      <c r="E808" s="506"/>
      <c r="F808" s="506"/>
      <c r="G808" s="506"/>
      <c r="H808" s="506"/>
      <c r="I808" s="506"/>
      <c r="J808" s="506"/>
      <c r="K808" s="507"/>
      <c r="L808" s="508"/>
      <c r="M808" s="508"/>
      <c r="N808" s="508"/>
      <c r="O808" s="509"/>
      <c r="P808" s="509"/>
    </row>
    <row r="809" spans="1:16" ht="21.75" customHeight="1" x14ac:dyDescent="0.3">
      <c r="A809" s="504"/>
      <c r="B809" s="504"/>
      <c r="C809" s="504"/>
      <c r="D809" s="504"/>
      <c r="E809" s="506"/>
      <c r="F809" s="506"/>
      <c r="G809" s="506"/>
      <c r="H809" s="506"/>
      <c r="I809" s="506"/>
      <c r="J809" s="506"/>
      <c r="K809" s="507"/>
      <c r="L809" s="508"/>
      <c r="M809" s="508"/>
      <c r="N809" s="508"/>
      <c r="O809" s="509"/>
      <c r="P809" s="509"/>
    </row>
    <row r="810" spans="1:16" ht="21.75" customHeight="1" x14ac:dyDescent="0.3">
      <c r="A810" s="504"/>
      <c r="B810" s="504"/>
      <c r="C810" s="504"/>
      <c r="D810" s="504"/>
      <c r="E810" s="506"/>
      <c r="F810" s="506"/>
      <c r="G810" s="506"/>
      <c r="H810" s="506"/>
      <c r="I810" s="506"/>
      <c r="J810" s="506"/>
      <c r="K810" s="507"/>
      <c r="L810" s="508"/>
      <c r="M810" s="508"/>
      <c r="N810" s="508"/>
      <c r="O810" s="509"/>
      <c r="P810" s="509"/>
    </row>
    <row r="811" spans="1:16" ht="21.75" customHeight="1" x14ac:dyDescent="0.3">
      <c r="A811" s="504"/>
      <c r="B811" s="504"/>
      <c r="C811" s="504"/>
      <c r="D811" s="504"/>
      <c r="E811" s="506"/>
      <c r="F811" s="506"/>
      <c r="G811" s="506"/>
      <c r="H811" s="506"/>
      <c r="I811" s="506"/>
      <c r="J811" s="506"/>
      <c r="K811" s="507"/>
      <c r="L811" s="508"/>
      <c r="M811" s="508"/>
      <c r="N811" s="508"/>
      <c r="O811" s="509"/>
      <c r="P811" s="509"/>
    </row>
    <row r="812" spans="1:16" ht="21.75" customHeight="1" x14ac:dyDescent="0.3">
      <c r="A812" s="504"/>
      <c r="B812" s="504"/>
      <c r="C812" s="504"/>
      <c r="D812" s="504"/>
      <c r="E812" s="506"/>
      <c r="F812" s="506"/>
      <c r="G812" s="506"/>
      <c r="H812" s="506"/>
      <c r="I812" s="506"/>
      <c r="J812" s="506"/>
      <c r="K812" s="507"/>
      <c r="L812" s="508"/>
      <c r="M812" s="508"/>
      <c r="N812" s="508"/>
      <c r="O812" s="509"/>
      <c r="P812" s="509"/>
    </row>
    <row r="813" spans="1:16" ht="21.75" customHeight="1" x14ac:dyDescent="0.3">
      <c r="A813" s="504"/>
      <c r="B813" s="504"/>
      <c r="C813" s="504"/>
      <c r="D813" s="504"/>
      <c r="E813" s="506"/>
      <c r="F813" s="506"/>
      <c r="G813" s="506"/>
      <c r="H813" s="506"/>
      <c r="I813" s="506"/>
      <c r="J813" s="506"/>
      <c r="K813" s="507"/>
      <c r="L813" s="508"/>
      <c r="M813" s="508"/>
      <c r="N813" s="508"/>
      <c r="O813" s="509"/>
      <c r="P813" s="509"/>
    </row>
    <row r="814" spans="1:16" ht="21.75" customHeight="1" x14ac:dyDescent="0.3">
      <c r="A814" s="504"/>
      <c r="B814" s="504"/>
      <c r="C814" s="504"/>
      <c r="D814" s="504"/>
      <c r="E814" s="506"/>
      <c r="F814" s="506"/>
      <c r="G814" s="506"/>
      <c r="H814" s="506"/>
      <c r="I814" s="506"/>
      <c r="J814" s="506"/>
      <c r="K814" s="507"/>
      <c r="L814" s="508"/>
      <c r="M814" s="508"/>
      <c r="N814" s="508"/>
      <c r="O814" s="509"/>
      <c r="P814" s="509"/>
    </row>
    <row r="815" spans="1:16" ht="21.75" customHeight="1" x14ac:dyDescent="0.3">
      <c r="A815" s="504"/>
      <c r="B815" s="504"/>
      <c r="C815" s="504"/>
      <c r="D815" s="504"/>
      <c r="E815" s="506"/>
      <c r="F815" s="506"/>
      <c r="G815" s="506"/>
      <c r="H815" s="506"/>
      <c r="I815" s="506"/>
      <c r="J815" s="506"/>
      <c r="K815" s="507"/>
      <c r="L815" s="508"/>
      <c r="M815" s="508"/>
      <c r="N815" s="508"/>
      <c r="O815" s="509"/>
      <c r="P815" s="509"/>
    </row>
    <row r="816" spans="1:16" ht="21.75" customHeight="1" x14ac:dyDescent="0.3">
      <c r="A816" s="504"/>
      <c r="B816" s="504"/>
      <c r="C816" s="504"/>
      <c r="D816" s="504"/>
      <c r="E816" s="506"/>
      <c r="F816" s="506"/>
      <c r="G816" s="506"/>
      <c r="H816" s="506"/>
      <c r="I816" s="506"/>
      <c r="J816" s="506"/>
      <c r="K816" s="507"/>
      <c r="L816" s="508"/>
      <c r="M816" s="508"/>
      <c r="N816" s="508"/>
      <c r="O816" s="509"/>
      <c r="P816" s="509"/>
    </row>
    <row r="817" spans="1:16" ht="21.75" customHeight="1" x14ac:dyDescent="0.3">
      <c r="A817" s="504"/>
      <c r="B817" s="504"/>
      <c r="C817" s="504"/>
      <c r="D817" s="504"/>
      <c r="E817" s="506"/>
      <c r="F817" s="506"/>
      <c r="G817" s="506"/>
      <c r="H817" s="506"/>
      <c r="I817" s="506"/>
      <c r="J817" s="506"/>
      <c r="K817" s="507"/>
      <c r="L817" s="508"/>
      <c r="M817" s="508"/>
      <c r="N817" s="508"/>
      <c r="O817" s="509"/>
      <c r="P817" s="509"/>
    </row>
    <row r="818" spans="1:16" ht="21.75" customHeight="1" x14ac:dyDescent="0.3">
      <c r="A818" s="504"/>
      <c r="B818" s="504"/>
      <c r="C818" s="504"/>
      <c r="D818" s="504"/>
      <c r="E818" s="506"/>
      <c r="F818" s="506"/>
      <c r="G818" s="506"/>
      <c r="H818" s="506"/>
      <c r="I818" s="506"/>
      <c r="J818" s="506"/>
      <c r="K818" s="507"/>
      <c r="L818" s="508"/>
      <c r="M818" s="508"/>
      <c r="N818" s="508"/>
      <c r="O818" s="509"/>
      <c r="P818" s="509"/>
    </row>
    <row r="819" spans="1:16" ht="21.75" customHeight="1" x14ac:dyDescent="0.3">
      <c r="A819" s="504"/>
      <c r="B819" s="504"/>
      <c r="C819" s="504"/>
      <c r="D819" s="504"/>
      <c r="E819" s="506"/>
      <c r="F819" s="506"/>
      <c r="G819" s="506"/>
      <c r="H819" s="506"/>
      <c r="I819" s="506"/>
      <c r="J819" s="506"/>
      <c r="K819" s="507"/>
      <c r="L819" s="508"/>
      <c r="M819" s="508"/>
      <c r="N819" s="508"/>
      <c r="O819" s="509"/>
      <c r="P819" s="509"/>
    </row>
    <row r="820" spans="1:16" ht="21.75" customHeight="1" x14ac:dyDescent="0.3">
      <c r="A820" s="504"/>
      <c r="B820" s="504"/>
      <c r="C820" s="504"/>
      <c r="D820" s="504"/>
      <c r="E820" s="506"/>
      <c r="F820" s="506"/>
      <c r="G820" s="506"/>
      <c r="H820" s="506"/>
      <c r="I820" s="506"/>
      <c r="J820" s="506"/>
      <c r="K820" s="507"/>
      <c r="L820" s="508"/>
      <c r="M820" s="508"/>
      <c r="N820" s="508"/>
      <c r="O820" s="509"/>
      <c r="P820" s="509"/>
    </row>
    <row r="821" spans="1:16" ht="21.75" customHeight="1" x14ac:dyDescent="0.3">
      <c r="A821" s="504"/>
      <c r="B821" s="504"/>
      <c r="C821" s="504"/>
      <c r="D821" s="504"/>
      <c r="E821" s="506"/>
      <c r="F821" s="506"/>
      <c r="G821" s="506"/>
      <c r="H821" s="506"/>
      <c r="I821" s="506"/>
      <c r="J821" s="506"/>
      <c r="K821" s="507"/>
      <c r="L821" s="508"/>
      <c r="M821" s="508"/>
      <c r="N821" s="508"/>
      <c r="O821" s="509"/>
      <c r="P821" s="509"/>
    </row>
    <row r="822" spans="1:16" ht="21.75" customHeight="1" x14ac:dyDescent="0.3">
      <c r="A822" s="504"/>
      <c r="B822" s="504"/>
      <c r="C822" s="504"/>
      <c r="D822" s="504"/>
      <c r="E822" s="506"/>
      <c r="F822" s="506"/>
      <c r="G822" s="506"/>
      <c r="H822" s="506"/>
      <c r="I822" s="506"/>
      <c r="J822" s="506"/>
      <c r="K822" s="507"/>
      <c r="L822" s="508"/>
      <c r="M822" s="508"/>
      <c r="N822" s="508"/>
      <c r="O822" s="509"/>
      <c r="P822" s="509"/>
    </row>
    <row r="823" spans="1:16" ht="21.75" customHeight="1" x14ac:dyDescent="0.3">
      <c r="A823" s="504"/>
      <c r="B823" s="504"/>
      <c r="C823" s="504"/>
      <c r="D823" s="504"/>
      <c r="E823" s="506"/>
      <c r="F823" s="506"/>
      <c r="G823" s="506"/>
      <c r="H823" s="506"/>
      <c r="I823" s="506"/>
      <c r="J823" s="506"/>
      <c r="K823" s="507"/>
      <c r="L823" s="508"/>
      <c r="M823" s="508"/>
      <c r="N823" s="508"/>
      <c r="O823" s="509"/>
      <c r="P823" s="509"/>
    </row>
    <row r="824" spans="1:16" ht="21.75" customHeight="1" x14ac:dyDescent="0.3">
      <c r="A824" s="504"/>
      <c r="B824" s="504"/>
      <c r="C824" s="504"/>
      <c r="D824" s="504"/>
      <c r="E824" s="506"/>
      <c r="F824" s="506"/>
      <c r="G824" s="506"/>
      <c r="H824" s="506"/>
      <c r="I824" s="506"/>
      <c r="J824" s="506"/>
      <c r="K824" s="507"/>
      <c r="L824" s="508"/>
      <c r="M824" s="508"/>
      <c r="N824" s="508"/>
      <c r="O824" s="509"/>
      <c r="P824" s="509"/>
    </row>
    <row r="825" spans="1:16" ht="21.75" customHeight="1" x14ac:dyDescent="0.3">
      <c r="A825" s="504"/>
      <c r="B825" s="504"/>
      <c r="C825" s="504"/>
      <c r="D825" s="504"/>
      <c r="E825" s="506"/>
      <c r="F825" s="506"/>
      <c r="G825" s="506"/>
      <c r="H825" s="506"/>
      <c r="I825" s="506"/>
      <c r="J825" s="506"/>
      <c r="K825" s="507"/>
      <c r="L825" s="508"/>
      <c r="M825" s="508"/>
      <c r="N825" s="508"/>
      <c r="O825" s="509"/>
      <c r="P825" s="509"/>
    </row>
    <row r="826" spans="1:16" ht="21.75" customHeight="1" x14ac:dyDescent="0.3">
      <c r="A826" s="504"/>
      <c r="B826" s="504"/>
      <c r="C826" s="504"/>
      <c r="D826" s="504"/>
      <c r="E826" s="506"/>
      <c r="F826" s="506"/>
      <c r="G826" s="506"/>
      <c r="H826" s="506"/>
      <c r="I826" s="506"/>
      <c r="J826" s="506"/>
      <c r="K826" s="507"/>
      <c r="L826" s="508"/>
      <c r="M826" s="508"/>
      <c r="N826" s="508"/>
      <c r="O826" s="509"/>
      <c r="P826" s="509"/>
    </row>
    <row r="827" spans="1:16" ht="21.75" customHeight="1" x14ac:dyDescent="0.3">
      <c r="A827" s="504"/>
      <c r="B827" s="504"/>
      <c r="C827" s="504"/>
      <c r="D827" s="504"/>
      <c r="E827" s="506"/>
      <c r="F827" s="506"/>
      <c r="G827" s="506"/>
      <c r="H827" s="506"/>
      <c r="I827" s="506"/>
      <c r="J827" s="506"/>
      <c r="K827" s="507"/>
      <c r="L827" s="508"/>
      <c r="M827" s="508"/>
      <c r="N827" s="508"/>
      <c r="O827" s="509"/>
      <c r="P827" s="509"/>
    </row>
    <row r="828" spans="1:16" ht="21.75" customHeight="1" x14ac:dyDescent="0.3">
      <c r="A828" s="504"/>
      <c r="B828" s="504"/>
      <c r="C828" s="504"/>
      <c r="D828" s="504"/>
      <c r="E828" s="506"/>
      <c r="F828" s="506"/>
      <c r="G828" s="506"/>
      <c r="H828" s="506"/>
      <c r="I828" s="506"/>
      <c r="J828" s="506"/>
      <c r="K828" s="507"/>
      <c r="L828" s="508"/>
      <c r="M828" s="508"/>
      <c r="N828" s="508"/>
      <c r="O828" s="509"/>
      <c r="P828" s="509"/>
    </row>
    <row r="829" spans="1:16" ht="21.75" customHeight="1" x14ac:dyDescent="0.3">
      <c r="A829" s="504"/>
      <c r="B829" s="504"/>
      <c r="C829" s="504"/>
      <c r="D829" s="504"/>
      <c r="E829" s="506"/>
      <c r="F829" s="506"/>
      <c r="G829" s="506"/>
      <c r="H829" s="506"/>
      <c r="I829" s="506"/>
      <c r="J829" s="506"/>
      <c r="K829" s="507"/>
      <c r="L829" s="508"/>
      <c r="M829" s="508"/>
      <c r="N829" s="508"/>
      <c r="O829" s="509"/>
      <c r="P829" s="509"/>
    </row>
    <row r="830" spans="1:16" ht="21.75" customHeight="1" x14ac:dyDescent="0.3">
      <c r="A830" s="504"/>
      <c r="B830" s="504"/>
      <c r="C830" s="504"/>
      <c r="D830" s="504"/>
      <c r="E830" s="506"/>
      <c r="F830" s="506"/>
      <c r="G830" s="506"/>
      <c r="H830" s="506"/>
      <c r="I830" s="506"/>
      <c r="J830" s="506"/>
      <c r="K830" s="507"/>
      <c r="L830" s="508"/>
      <c r="M830" s="508"/>
      <c r="N830" s="508"/>
      <c r="O830" s="509"/>
      <c r="P830" s="509"/>
    </row>
    <row r="831" spans="1:16" ht="21.75" customHeight="1" x14ac:dyDescent="0.3">
      <c r="A831" s="504"/>
      <c r="B831" s="504"/>
      <c r="C831" s="504"/>
      <c r="D831" s="504"/>
      <c r="E831" s="506"/>
      <c r="F831" s="506"/>
      <c r="G831" s="506"/>
      <c r="H831" s="506"/>
      <c r="I831" s="506"/>
      <c r="J831" s="506"/>
      <c r="K831" s="507"/>
      <c r="L831" s="508"/>
      <c r="M831" s="508"/>
      <c r="N831" s="508"/>
      <c r="O831" s="509"/>
      <c r="P831" s="509"/>
    </row>
    <row r="832" spans="1:16" ht="21.75" customHeight="1" x14ac:dyDescent="0.3">
      <c r="A832" s="504"/>
      <c r="B832" s="504"/>
      <c r="C832" s="504"/>
      <c r="D832" s="504"/>
      <c r="E832" s="506"/>
      <c r="F832" s="506"/>
      <c r="G832" s="506"/>
      <c r="H832" s="506"/>
      <c r="I832" s="506"/>
      <c r="J832" s="506"/>
      <c r="K832" s="507"/>
      <c r="L832" s="508"/>
      <c r="M832" s="508"/>
      <c r="N832" s="508"/>
      <c r="O832" s="509"/>
      <c r="P832" s="509"/>
    </row>
    <row r="833" spans="1:16" ht="21.75" customHeight="1" x14ac:dyDescent="0.3">
      <c r="A833" s="504"/>
      <c r="B833" s="504"/>
      <c r="C833" s="504"/>
      <c r="D833" s="504"/>
      <c r="E833" s="506"/>
      <c r="F833" s="506"/>
      <c r="G833" s="506"/>
      <c r="H833" s="506"/>
      <c r="I833" s="506"/>
      <c r="J833" s="506"/>
      <c r="K833" s="507"/>
      <c r="L833" s="508"/>
      <c r="M833" s="508"/>
      <c r="N833" s="508"/>
      <c r="O833" s="509"/>
      <c r="P833" s="509"/>
    </row>
    <row r="834" spans="1:16" ht="21.75" customHeight="1" x14ac:dyDescent="0.3">
      <c r="A834" s="504"/>
      <c r="B834" s="504"/>
      <c r="C834" s="504"/>
      <c r="D834" s="504"/>
      <c r="E834" s="506"/>
      <c r="F834" s="506"/>
      <c r="G834" s="506"/>
      <c r="H834" s="506"/>
      <c r="I834" s="506"/>
      <c r="J834" s="506"/>
      <c r="K834" s="507"/>
      <c r="L834" s="508"/>
      <c r="M834" s="508"/>
      <c r="N834" s="508"/>
      <c r="O834" s="509"/>
      <c r="P834" s="509"/>
    </row>
    <row r="835" spans="1:16" ht="21.75" customHeight="1" x14ac:dyDescent="0.3">
      <c r="A835" s="504"/>
      <c r="B835" s="504"/>
      <c r="C835" s="504"/>
      <c r="D835" s="504"/>
      <c r="E835" s="506"/>
      <c r="F835" s="506"/>
      <c r="G835" s="506"/>
      <c r="H835" s="506"/>
      <c r="I835" s="506"/>
      <c r="J835" s="506"/>
      <c r="K835" s="507"/>
      <c r="L835" s="508"/>
      <c r="M835" s="508"/>
      <c r="N835" s="508"/>
      <c r="O835" s="509"/>
      <c r="P835" s="509"/>
    </row>
    <row r="836" spans="1:16" ht="21.75" customHeight="1" x14ac:dyDescent="0.3">
      <c r="A836" s="504"/>
      <c r="B836" s="504"/>
      <c r="C836" s="504"/>
      <c r="D836" s="504"/>
      <c r="E836" s="506"/>
      <c r="F836" s="506"/>
      <c r="G836" s="506"/>
      <c r="H836" s="506"/>
      <c r="I836" s="506"/>
      <c r="J836" s="506"/>
      <c r="K836" s="507"/>
      <c r="L836" s="508"/>
      <c r="M836" s="508"/>
      <c r="N836" s="508"/>
      <c r="O836" s="509"/>
      <c r="P836" s="509"/>
    </row>
    <row r="837" spans="1:16" ht="21.75" customHeight="1" x14ac:dyDescent="0.3">
      <c r="A837" s="504"/>
      <c r="B837" s="504"/>
      <c r="C837" s="504"/>
      <c r="D837" s="504"/>
      <c r="E837" s="506"/>
      <c r="F837" s="506"/>
      <c r="G837" s="506"/>
      <c r="H837" s="506"/>
      <c r="I837" s="506"/>
      <c r="J837" s="506"/>
      <c r="K837" s="507"/>
      <c r="L837" s="508"/>
      <c r="M837" s="508"/>
      <c r="N837" s="508"/>
      <c r="O837" s="509"/>
      <c r="P837" s="509"/>
    </row>
    <row r="838" spans="1:16" ht="21.75" customHeight="1" x14ac:dyDescent="0.3">
      <c r="A838" s="504"/>
      <c r="B838" s="504"/>
      <c r="C838" s="504"/>
      <c r="D838" s="504"/>
      <c r="E838" s="506"/>
      <c r="F838" s="506"/>
      <c r="G838" s="506"/>
      <c r="H838" s="506"/>
      <c r="I838" s="506"/>
      <c r="J838" s="506"/>
      <c r="K838" s="507"/>
      <c r="L838" s="508"/>
      <c r="M838" s="508"/>
      <c r="N838" s="508"/>
      <c r="O838" s="509"/>
      <c r="P838" s="509"/>
    </row>
    <row r="839" spans="1:16" ht="21.75" customHeight="1" x14ac:dyDescent="0.3">
      <c r="A839" s="504"/>
      <c r="B839" s="504"/>
      <c r="C839" s="504"/>
      <c r="D839" s="504"/>
      <c r="E839" s="506"/>
      <c r="F839" s="506"/>
      <c r="G839" s="506"/>
      <c r="H839" s="506"/>
      <c r="I839" s="506"/>
      <c r="J839" s="506"/>
      <c r="K839" s="507"/>
      <c r="L839" s="508"/>
      <c r="M839" s="508"/>
      <c r="N839" s="508"/>
      <c r="O839" s="509"/>
      <c r="P839" s="509"/>
    </row>
    <row r="840" spans="1:16" ht="21.75" customHeight="1" x14ac:dyDescent="0.3">
      <c r="A840" s="504"/>
      <c r="B840" s="504"/>
      <c r="C840" s="504"/>
      <c r="D840" s="504"/>
      <c r="E840" s="506"/>
      <c r="F840" s="506"/>
      <c r="G840" s="506"/>
      <c r="H840" s="506"/>
      <c r="I840" s="506"/>
      <c r="J840" s="506"/>
      <c r="K840" s="507"/>
      <c r="L840" s="508"/>
      <c r="M840" s="508"/>
      <c r="N840" s="508"/>
      <c r="O840" s="509"/>
      <c r="P840" s="509"/>
    </row>
    <row r="841" spans="1:16" ht="21.75" customHeight="1" x14ac:dyDescent="0.3">
      <c r="A841" s="504"/>
      <c r="B841" s="504"/>
      <c r="C841" s="504"/>
      <c r="D841" s="504"/>
      <c r="E841" s="506"/>
      <c r="F841" s="506"/>
      <c r="G841" s="506"/>
      <c r="H841" s="506"/>
      <c r="I841" s="506"/>
      <c r="J841" s="506"/>
      <c r="K841" s="507"/>
      <c r="L841" s="508"/>
      <c r="M841" s="508"/>
      <c r="N841" s="508"/>
      <c r="O841" s="509"/>
      <c r="P841" s="509"/>
    </row>
    <row r="842" spans="1:16" ht="21.75" customHeight="1" x14ac:dyDescent="0.3">
      <c r="A842" s="504"/>
      <c r="B842" s="504"/>
      <c r="C842" s="504"/>
      <c r="D842" s="504"/>
      <c r="E842" s="506"/>
      <c r="F842" s="506"/>
      <c r="G842" s="506"/>
      <c r="H842" s="506"/>
      <c r="I842" s="506"/>
      <c r="J842" s="506"/>
      <c r="K842" s="507"/>
      <c r="L842" s="508"/>
      <c r="M842" s="508"/>
      <c r="N842" s="508"/>
      <c r="O842" s="509"/>
      <c r="P842" s="509"/>
    </row>
    <row r="843" spans="1:16" ht="21.75" customHeight="1" x14ac:dyDescent="0.3">
      <c r="A843" s="504"/>
      <c r="B843" s="504"/>
      <c r="C843" s="504"/>
      <c r="D843" s="504"/>
      <c r="E843" s="506"/>
      <c r="F843" s="506"/>
      <c r="G843" s="506"/>
      <c r="H843" s="506"/>
      <c r="I843" s="506"/>
      <c r="J843" s="506"/>
      <c r="K843" s="507"/>
      <c r="L843" s="508"/>
      <c r="M843" s="508"/>
      <c r="N843" s="508"/>
      <c r="O843" s="509"/>
      <c r="P843" s="509"/>
    </row>
    <row r="844" spans="1:16" ht="21.75" customHeight="1" x14ac:dyDescent="0.3">
      <c r="A844" s="504"/>
      <c r="B844" s="504"/>
      <c r="C844" s="504"/>
      <c r="D844" s="504"/>
      <c r="E844" s="506"/>
      <c r="F844" s="506"/>
      <c r="G844" s="506"/>
      <c r="H844" s="506"/>
      <c r="I844" s="506"/>
      <c r="J844" s="506"/>
      <c r="K844" s="507"/>
      <c r="L844" s="508"/>
      <c r="M844" s="508"/>
      <c r="N844" s="508"/>
      <c r="O844" s="509"/>
      <c r="P844" s="509"/>
    </row>
    <row r="845" spans="1:16" ht="21.75" customHeight="1" x14ac:dyDescent="0.3">
      <c r="A845" s="504"/>
      <c r="B845" s="504"/>
      <c r="C845" s="504"/>
      <c r="D845" s="504"/>
      <c r="E845" s="506"/>
      <c r="F845" s="506"/>
      <c r="G845" s="506"/>
      <c r="H845" s="506"/>
      <c r="I845" s="506"/>
      <c r="J845" s="506"/>
      <c r="K845" s="507"/>
      <c r="L845" s="508"/>
      <c r="M845" s="508"/>
      <c r="N845" s="508"/>
      <c r="O845" s="509"/>
      <c r="P845" s="509"/>
    </row>
    <row r="846" spans="1:16" ht="21.75" customHeight="1" x14ac:dyDescent="0.3">
      <c r="A846" s="504"/>
      <c r="B846" s="504"/>
      <c r="C846" s="504"/>
      <c r="D846" s="504"/>
      <c r="E846" s="506"/>
      <c r="F846" s="506"/>
      <c r="G846" s="506"/>
      <c r="H846" s="506"/>
      <c r="I846" s="506"/>
      <c r="J846" s="506"/>
      <c r="K846" s="507"/>
      <c r="L846" s="508"/>
      <c r="M846" s="508"/>
      <c r="N846" s="508"/>
      <c r="O846" s="509"/>
      <c r="P846" s="509"/>
    </row>
    <row r="847" spans="1:16" ht="21.75" customHeight="1" x14ac:dyDescent="0.3">
      <c r="A847" s="504"/>
      <c r="B847" s="504"/>
      <c r="C847" s="504"/>
      <c r="D847" s="504"/>
      <c r="E847" s="506"/>
      <c r="F847" s="506"/>
      <c r="G847" s="506"/>
      <c r="H847" s="506"/>
      <c r="I847" s="506"/>
      <c r="J847" s="506"/>
      <c r="K847" s="507"/>
      <c r="L847" s="508"/>
      <c r="M847" s="508"/>
      <c r="N847" s="508"/>
      <c r="O847" s="509"/>
      <c r="P847" s="509"/>
    </row>
    <row r="848" spans="1:16" ht="21.75" customHeight="1" x14ac:dyDescent="0.3">
      <c r="A848" s="504"/>
      <c r="B848" s="504"/>
      <c r="C848" s="504"/>
      <c r="D848" s="504"/>
      <c r="E848" s="506"/>
      <c r="F848" s="506"/>
      <c r="G848" s="506"/>
      <c r="H848" s="506"/>
      <c r="I848" s="506"/>
      <c r="J848" s="506"/>
      <c r="K848" s="507"/>
      <c r="L848" s="508"/>
      <c r="M848" s="508"/>
      <c r="N848" s="508"/>
      <c r="O848" s="509"/>
      <c r="P848" s="509"/>
    </row>
    <row r="849" spans="1:16" ht="21.75" customHeight="1" x14ac:dyDescent="0.3">
      <c r="A849" s="504"/>
      <c r="B849" s="504"/>
      <c r="C849" s="504"/>
      <c r="D849" s="504"/>
      <c r="E849" s="506"/>
      <c r="F849" s="506"/>
      <c r="G849" s="506"/>
      <c r="H849" s="506"/>
      <c r="I849" s="506"/>
      <c r="J849" s="506"/>
      <c r="K849" s="507"/>
      <c r="L849" s="508"/>
      <c r="M849" s="508"/>
      <c r="N849" s="508"/>
      <c r="O849" s="509"/>
      <c r="P849" s="509"/>
    </row>
    <row r="850" spans="1:16" ht="21.75" customHeight="1" x14ac:dyDescent="0.3">
      <c r="A850" s="504"/>
      <c r="B850" s="504"/>
      <c r="C850" s="504"/>
      <c r="D850" s="504"/>
      <c r="E850" s="506"/>
      <c r="F850" s="506"/>
      <c r="G850" s="506"/>
      <c r="H850" s="506"/>
      <c r="I850" s="506"/>
      <c r="J850" s="506"/>
      <c r="K850" s="507"/>
      <c r="L850" s="508"/>
      <c r="M850" s="508"/>
      <c r="N850" s="508"/>
      <c r="O850" s="509"/>
      <c r="P850" s="509"/>
    </row>
    <row r="851" spans="1:16" ht="21.75" customHeight="1" x14ac:dyDescent="0.3">
      <c r="A851" s="504"/>
      <c r="B851" s="504"/>
      <c r="C851" s="504"/>
      <c r="D851" s="504"/>
      <c r="E851" s="506"/>
      <c r="F851" s="506"/>
      <c r="G851" s="506"/>
      <c r="H851" s="506"/>
      <c r="I851" s="506"/>
      <c r="J851" s="506"/>
      <c r="K851" s="507"/>
      <c r="L851" s="508"/>
      <c r="M851" s="508"/>
      <c r="N851" s="508"/>
      <c r="O851" s="509"/>
      <c r="P851" s="509"/>
    </row>
    <row r="852" spans="1:16" ht="21.75" customHeight="1" x14ac:dyDescent="0.3">
      <c r="A852" s="504"/>
      <c r="B852" s="504"/>
      <c r="C852" s="504"/>
      <c r="D852" s="504"/>
      <c r="E852" s="506"/>
      <c r="F852" s="506"/>
      <c r="G852" s="506"/>
      <c r="H852" s="506"/>
      <c r="I852" s="506"/>
      <c r="J852" s="506"/>
      <c r="K852" s="507"/>
      <c r="L852" s="508"/>
      <c r="M852" s="508"/>
      <c r="N852" s="508"/>
      <c r="O852" s="509"/>
      <c r="P852" s="509"/>
    </row>
    <row r="853" spans="1:16" ht="21.75" customHeight="1" x14ac:dyDescent="0.3">
      <c r="A853" s="504"/>
      <c r="B853" s="504"/>
      <c r="C853" s="504"/>
      <c r="D853" s="504"/>
      <c r="E853" s="506"/>
      <c r="F853" s="506"/>
      <c r="G853" s="506"/>
      <c r="H853" s="506"/>
      <c r="I853" s="506"/>
      <c r="J853" s="506"/>
      <c r="K853" s="507"/>
      <c r="L853" s="508"/>
      <c r="M853" s="508"/>
      <c r="N853" s="508"/>
      <c r="O853" s="509"/>
      <c r="P853" s="509"/>
    </row>
    <row r="854" spans="1:16" ht="21.75" customHeight="1" x14ac:dyDescent="0.3">
      <c r="A854" s="504"/>
      <c r="B854" s="504"/>
      <c r="C854" s="504"/>
      <c r="D854" s="504"/>
      <c r="E854" s="506"/>
      <c r="F854" s="506"/>
      <c r="G854" s="506"/>
      <c r="H854" s="506"/>
      <c r="I854" s="506"/>
      <c r="J854" s="506"/>
      <c r="K854" s="507"/>
      <c r="L854" s="508"/>
      <c r="M854" s="508"/>
      <c r="N854" s="508"/>
      <c r="O854" s="509"/>
      <c r="P854" s="509"/>
    </row>
    <row r="855" spans="1:16" ht="21.75" customHeight="1" x14ac:dyDescent="0.3">
      <c r="A855" s="504"/>
      <c r="B855" s="504"/>
      <c r="C855" s="504"/>
      <c r="D855" s="504"/>
      <c r="E855" s="506"/>
      <c r="F855" s="506"/>
      <c r="G855" s="506"/>
      <c r="H855" s="506"/>
      <c r="I855" s="506"/>
      <c r="J855" s="506"/>
      <c r="K855" s="507"/>
      <c r="L855" s="508"/>
      <c r="M855" s="508"/>
      <c r="N855" s="508"/>
      <c r="O855" s="509"/>
      <c r="P855" s="509"/>
    </row>
    <row r="856" spans="1:16" ht="21.75" customHeight="1" x14ac:dyDescent="0.3">
      <c r="A856" s="504"/>
      <c r="B856" s="504"/>
      <c r="C856" s="504"/>
      <c r="D856" s="504"/>
      <c r="E856" s="506"/>
      <c r="F856" s="506"/>
      <c r="G856" s="506"/>
      <c r="H856" s="506"/>
      <c r="I856" s="506"/>
      <c r="J856" s="506"/>
      <c r="K856" s="507"/>
      <c r="L856" s="508"/>
      <c r="M856" s="508"/>
      <c r="N856" s="508"/>
      <c r="O856" s="509"/>
      <c r="P856" s="509"/>
    </row>
    <row r="857" spans="1:16" ht="21.75" customHeight="1" x14ac:dyDescent="0.3">
      <c r="A857" s="504"/>
      <c r="B857" s="504"/>
      <c r="C857" s="504"/>
      <c r="D857" s="504"/>
      <c r="E857" s="506"/>
      <c r="F857" s="506"/>
      <c r="G857" s="506"/>
      <c r="H857" s="506"/>
      <c r="I857" s="506"/>
      <c r="J857" s="506"/>
      <c r="K857" s="507"/>
      <c r="L857" s="508"/>
      <c r="M857" s="508"/>
      <c r="N857" s="508"/>
      <c r="O857" s="509"/>
      <c r="P857" s="509"/>
    </row>
    <row r="858" spans="1:16" ht="21.75" customHeight="1" x14ac:dyDescent="0.3">
      <c r="A858" s="504"/>
      <c r="B858" s="504"/>
      <c r="C858" s="504"/>
      <c r="D858" s="504"/>
      <c r="E858" s="506"/>
      <c r="F858" s="506"/>
      <c r="G858" s="506"/>
      <c r="H858" s="506"/>
      <c r="I858" s="506"/>
      <c r="J858" s="506"/>
      <c r="K858" s="507"/>
      <c r="L858" s="508"/>
      <c r="M858" s="508"/>
      <c r="N858" s="508"/>
      <c r="O858" s="509"/>
      <c r="P858" s="509"/>
    </row>
    <row r="859" spans="1:16" ht="21.75" customHeight="1" x14ac:dyDescent="0.3">
      <c r="A859" s="504"/>
      <c r="B859" s="504"/>
      <c r="C859" s="504"/>
      <c r="D859" s="504"/>
      <c r="E859" s="506"/>
      <c r="F859" s="506"/>
      <c r="G859" s="506"/>
      <c r="H859" s="506"/>
      <c r="I859" s="506"/>
      <c r="J859" s="506"/>
      <c r="K859" s="507"/>
      <c r="L859" s="508"/>
      <c r="M859" s="508"/>
      <c r="N859" s="508"/>
      <c r="O859" s="509"/>
      <c r="P859" s="509"/>
    </row>
    <row r="860" spans="1:16" ht="21.75" customHeight="1" x14ac:dyDescent="0.3">
      <c r="A860" s="504"/>
      <c r="B860" s="504"/>
      <c r="C860" s="504"/>
      <c r="D860" s="504"/>
      <c r="E860" s="506"/>
      <c r="F860" s="506"/>
      <c r="G860" s="506"/>
      <c r="H860" s="506"/>
      <c r="I860" s="506"/>
      <c r="J860" s="506"/>
      <c r="K860" s="507"/>
      <c r="L860" s="508"/>
      <c r="M860" s="508"/>
      <c r="N860" s="508"/>
      <c r="O860" s="509"/>
      <c r="P860" s="509"/>
    </row>
    <row r="861" spans="1:16" ht="21.75" customHeight="1" x14ac:dyDescent="0.3">
      <c r="A861" s="504"/>
      <c r="B861" s="504"/>
      <c r="C861" s="504"/>
      <c r="D861" s="504"/>
      <c r="E861" s="506"/>
      <c r="F861" s="506"/>
      <c r="G861" s="506"/>
      <c r="H861" s="506"/>
      <c r="I861" s="506"/>
      <c r="J861" s="506"/>
      <c r="K861" s="507"/>
      <c r="L861" s="508"/>
      <c r="M861" s="508"/>
      <c r="N861" s="508"/>
      <c r="O861" s="509"/>
      <c r="P861" s="509"/>
    </row>
    <row r="862" spans="1:16" ht="21.75" customHeight="1" x14ac:dyDescent="0.3">
      <c r="A862" s="504"/>
      <c r="B862" s="504"/>
      <c r="C862" s="504"/>
      <c r="D862" s="504"/>
      <c r="E862" s="506"/>
      <c r="F862" s="506"/>
      <c r="G862" s="506"/>
      <c r="H862" s="506"/>
      <c r="I862" s="506"/>
      <c r="J862" s="506"/>
      <c r="K862" s="507"/>
      <c r="L862" s="508"/>
      <c r="M862" s="508"/>
      <c r="N862" s="508"/>
      <c r="O862" s="509"/>
      <c r="P862" s="509"/>
    </row>
    <row r="863" spans="1:16" ht="21.75" customHeight="1" x14ac:dyDescent="0.3">
      <c r="A863" s="504"/>
      <c r="B863" s="504"/>
      <c r="C863" s="504"/>
      <c r="D863" s="504"/>
      <c r="E863" s="506"/>
      <c r="F863" s="506"/>
      <c r="G863" s="506"/>
      <c r="H863" s="506"/>
      <c r="I863" s="506"/>
      <c r="J863" s="506"/>
      <c r="K863" s="507"/>
      <c r="L863" s="508"/>
      <c r="M863" s="508"/>
      <c r="N863" s="508"/>
      <c r="O863" s="509"/>
      <c r="P863" s="509"/>
    </row>
    <row r="864" spans="1:16" ht="21.75" customHeight="1" x14ac:dyDescent="0.3">
      <c r="A864" s="504"/>
      <c r="B864" s="504"/>
      <c r="C864" s="504"/>
      <c r="D864" s="504"/>
      <c r="E864" s="506"/>
      <c r="F864" s="506"/>
      <c r="G864" s="506"/>
      <c r="H864" s="506"/>
      <c r="I864" s="506"/>
      <c r="J864" s="506"/>
      <c r="K864" s="507"/>
      <c r="L864" s="508"/>
      <c r="M864" s="508"/>
      <c r="N864" s="508"/>
      <c r="O864" s="509"/>
      <c r="P864" s="509"/>
    </row>
    <row r="865" spans="1:16" ht="21.75" customHeight="1" x14ac:dyDescent="0.3">
      <c r="A865" s="504"/>
      <c r="B865" s="504"/>
      <c r="C865" s="504"/>
      <c r="D865" s="504"/>
      <c r="E865" s="506"/>
      <c r="F865" s="506"/>
      <c r="G865" s="506"/>
      <c r="H865" s="506"/>
      <c r="I865" s="506"/>
      <c r="J865" s="506"/>
      <c r="K865" s="507"/>
      <c r="L865" s="508"/>
      <c r="M865" s="508"/>
      <c r="N865" s="508"/>
      <c r="O865" s="509"/>
      <c r="P865" s="509"/>
    </row>
    <row r="866" spans="1:16" ht="21.75" customHeight="1" x14ac:dyDescent="0.3">
      <c r="A866" s="504"/>
      <c r="B866" s="504"/>
      <c r="C866" s="504"/>
      <c r="D866" s="504"/>
      <c r="E866" s="506"/>
      <c r="F866" s="506"/>
      <c r="G866" s="506"/>
      <c r="H866" s="506"/>
      <c r="I866" s="506"/>
      <c r="J866" s="506"/>
      <c r="K866" s="507"/>
      <c r="L866" s="508"/>
      <c r="M866" s="508"/>
      <c r="N866" s="508"/>
      <c r="O866" s="509"/>
      <c r="P866" s="509"/>
    </row>
    <row r="867" spans="1:16" ht="21.75" customHeight="1" x14ac:dyDescent="0.3">
      <c r="A867" s="504"/>
      <c r="B867" s="504"/>
      <c r="C867" s="504"/>
      <c r="D867" s="504"/>
      <c r="E867" s="506"/>
      <c r="F867" s="506"/>
      <c r="G867" s="506"/>
      <c r="H867" s="506"/>
      <c r="I867" s="506"/>
      <c r="J867" s="506"/>
      <c r="K867" s="507"/>
      <c r="L867" s="508"/>
      <c r="M867" s="508"/>
      <c r="N867" s="508"/>
      <c r="O867" s="509"/>
      <c r="P867" s="509"/>
    </row>
    <row r="868" spans="1:16" ht="21.75" customHeight="1" x14ac:dyDescent="0.3">
      <c r="A868" s="504"/>
      <c r="B868" s="504"/>
      <c r="C868" s="504"/>
      <c r="D868" s="504"/>
      <c r="E868" s="506"/>
      <c r="F868" s="506"/>
      <c r="G868" s="506"/>
      <c r="H868" s="506"/>
      <c r="I868" s="506"/>
      <c r="J868" s="506"/>
      <c r="K868" s="507"/>
      <c r="L868" s="508"/>
      <c r="M868" s="508"/>
      <c r="N868" s="508"/>
      <c r="O868" s="509"/>
      <c r="P868" s="509"/>
    </row>
    <row r="869" spans="1:16" ht="21.75" customHeight="1" x14ac:dyDescent="0.3">
      <c r="A869" s="504"/>
      <c r="B869" s="504"/>
      <c r="C869" s="504"/>
      <c r="D869" s="504"/>
      <c r="E869" s="506"/>
      <c r="F869" s="506"/>
      <c r="G869" s="506"/>
      <c r="H869" s="506"/>
      <c r="I869" s="506"/>
      <c r="J869" s="506"/>
      <c r="K869" s="507"/>
      <c r="L869" s="508"/>
      <c r="M869" s="508"/>
      <c r="N869" s="508"/>
      <c r="O869" s="509"/>
      <c r="P869" s="509"/>
    </row>
    <row r="870" spans="1:16" ht="21.75" customHeight="1" x14ac:dyDescent="0.3">
      <c r="A870" s="504"/>
      <c r="B870" s="504"/>
      <c r="C870" s="504"/>
      <c r="D870" s="504"/>
      <c r="E870" s="506"/>
      <c r="F870" s="506"/>
      <c r="G870" s="506"/>
      <c r="H870" s="506"/>
      <c r="I870" s="506"/>
      <c r="J870" s="506"/>
      <c r="K870" s="507"/>
      <c r="L870" s="508"/>
      <c r="M870" s="508"/>
      <c r="N870" s="508"/>
      <c r="O870" s="509"/>
      <c r="P870" s="509"/>
    </row>
    <row r="871" spans="1:16" ht="21.75" customHeight="1" x14ac:dyDescent="0.3">
      <c r="A871" s="504"/>
      <c r="B871" s="504"/>
      <c r="C871" s="504"/>
      <c r="D871" s="504"/>
      <c r="E871" s="506"/>
      <c r="F871" s="506"/>
      <c r="G871" s="506"/>
      <c r="H871" s="506"/>
      <c r="I871" s="506"/>
      <c r="J871" s="506"/>
      <c r="K871" s="507"/>
      <c r="L871" s="508"/>
      <c r="M871" s="508"/>
      <c r="N871" s="508"/>
      <c r="O871" s="509"/>
      <c r="P871" s="509"/>
    </row>
    <row r="872" spans="1:16" ht="21.75" customHeight="1" x14ac:dyDescent="0.3">
      <c r="A872" s="504"/>
      <c r="B872" s="504"/>
      <c r="C872" s="504"/>
      <c r="D872" s="504"/>
      <c r="E872" s="506"/>
      <c r="F872" s="506"/>
      <c r="G872" s="506"/>
      <c r="H872" s="506"/>
      <c r="I872" s="506"/>
      <c r="J872" s="506"/>
      <c r="K872" s="507"/>
      <c r="L872" s="508"/>
      <c r="M872" s="508"/>
      <c r="N872" s="508"/>
      <c r="O872" s="509"/>
      <c r="P872" s="509"/>
    </row>
    <row r="873" spans="1:16" ht="21.75" customHeight="1" x14ac:dyDescent="0.3">
      <c r="A873" s="504"/>
      <c r="B873" s="504"/>
      <c r="C873" s="504"/>
      <c r="D873" s="504"/>
      <c r="E873" s="506"/>
      <c r="F873" s="506"/>
      <c r="G873" s="506"/>
      <c r="H873" s="506"/>
      <c r="I873" s="506"/>
      <c r="J873" s="506"/>
      <c r="K873" s="507"/>
      <c r="L873" s="508"/>
      <c r="M873" s="508"/>
      <c r="N873" s="508"/>
      <c r="O873" s="509"/>
      <c r="P873" s="509"/>
    </row>
    <row r="874" spans="1:16" ht="21.75" customHeight="1" x14ac:dyDescent="0.3">
      <c r="A874" s="504"/>
      <c r="B874" s="504"/>
      <c r="C874" s="504"/>
      <c r="D874" s="504"/>
      <c r="E874" s="506"/>
      <c r="F874" s="506"/>
      <c r="G874" s="506"/>
      <c r="H874" s="506"/>
      <c r="I874" s="506"/>
      <c r="J874" s="506"/>
      <c r="K874" s="507"/>
      <c r="L874" s="508"/>
      <c r="M874" s="508"/>
      <c r="N874" s="508"/>
      <c r="O874" s="509"/>
      <c r="P874" s="509"/>
    </row>
    <row r="875" spans="1:16" ht="21.75" customHeight="1" x14ac:dyDescent="0.3">
      <c r="A875" s="504"/>
      <c r="B875" s="504"/>
      <c r="C875" s="504"/>
      <c r="D875" s="504"/>
      <c r="E875" s="506"/>
      <c r="F875" s="506"/>
      <c r="G875" s="506"/>
      <c r="H875" s="506"/>
      <c r="I875" s="506"/>
      <c r="J875" s="506"/>
      <c r="K875" s="507"/>
      <c r="L875" s="508"/>
      <c r="M875" s="508"/>
      <c r="N875" s="508"/>
      <c r="O875" s="509"/>
      <c r="P875" s="509"/>
    </row>
    <row r="876" spans="1:16" ht="21.75" customHeight="1" x14ac:dyDescent="0.3">
      <c r="A876" s="504"/>
      <c r="B876" s="504"/>
      <c r="C876" s="504"/>
      <c r="D876" s="504"/>
      <c r="E876" s="506"/>
      <c r="F876" s="506"/>
      <c r="G876" s="506"/>
      <c r="H876" s="506"/>
      <c r="I876" s="506"/>
      <c r="J876" s="506"/>
      <c r="K876" s="507"/>
      <c r="L876" s="508"/>
      <c r="M876" s="508"/>
      <c r="N876" s="508"/>
      <c r="O876" s="509"/>
      <c r="P876" s="509"/>
    </row>
    <row r="877" spans="1:16" ht="21.75" customHeight="1" x14ac:dyDescent="0.3">
      <c r="A877" s="504"/>
      <c r="B877" s="504"/>
      <c r="C877" s="504"/>
      <c r="D877" s="504"/>
      <c r="E877" s="506"/>
      <c r="F877" s="506"/>
      <c r="G877" s="506"/>
      <c r="H877" s="506"/>
      <c r="I877" s="506"/>
      <c r="J877" s="506"/>
      <c r="K877" s="507"/>
      <c r="L877" s="508"/>
      <c r="M877" s="508"/>
      <c r="N877" s="508"/>
      <c r="O877" s="509"/>
      <c r="P877" s="509"/>
    </row>
    <row r="878" spans="1:16" ht="21.75" customHeight="1" x14ac:dyDescent="0.3">
      <c r="A878" s="504"/>
      <c r="B878" s="504"/>
      <c r="C878" s="504"/>
      <c r="D878" s="504"/>
      <c r="E878" s="506"/>
      <c r="F878" s="506"/>
      <c r="G878" s="506"/>
      <c r="H878" s="506"/>
      <c r="I878" s="506"/>
      <c r="J878" s="506"/>
      <c r="K878" s="507"/>
      <c r="L878" s="508"/>
      <c r="M878" s="508"/>
      <c r="N878" s="508"/>
      <c r="O878" s="509"/>
      <c r="P878" s="509"/>
    </row>
    <row r="879" spans="1:16" ht="21.75" customHeight="1" x14ac:dyDescent="0.3">
      <c r="A879" s="504"/>
      <c r="B879" s="504"/>
      <c r="C879" s="504"/>
      <c r="D879" s="504"/>
      <c r="E879" s="506"/>
      <c r="F879" s="506"/>
      <c r="G879" s="506"/>
      <c r="H879" s="506"/>
      <c r="I879" s="506"/>
      <c r="J879" s="506"/>
      <c r="K879" s="507"/>
      <c r="L879" s="508"/>
      <c r="M879" s="508"/>
      <c r="N879" s="508"/>
      <c r="O879" s="509"/>
      <c r="P879" s="509"/>
    </row>
    <row r="880" spans="1:16" ht="21.75" customHeight="1" x14ac:dyDescent="0.3">
      <c r="A880" s="504"/>
      <c r="B880" s="504"/>
      <c r="C880" s="504"/>
      <c r="D880" s="504"/>
      <c r="E880" s="506"/>
      <c r="F880" s="506"/>
      <c r="G880" s="506"/>
      <c r="H880" s="506"/>
      <c r="I880" s="506"/>
      <c r="J880" s="506"/>
      <c r="K880" s="507"/>
      <c r="L880" s="508"/>
      <c r="M880" s="508"/>
      <c r="N880" s="508"/>
      <c r="O880" s="509"/>
      <c r="P880" s="509"/>
    </row>
    <row r="881" spans="1:16" ht="21.75" customHeight="1" x14ac:dyDescent="0.3">
      <c r="A881" s="504"/>
      <c r="B881" s="504"/>
      <c r="C881" s="504"/>
      <c r="D881" s="504"/>
      <c r="E881" s="506"/>
      <c r="F881" s="506"/>
      <c r="G881" s="506"/>
      <c r="H881" s="506"/>
      <c r="I881" s="506"/>
      <c r="J881" s="506"/>
      <c r="K881" s="507"/>
      <c r="L881" s="508"/>
      <c r="M881" s="508"/>
      <c r="N881" s="508"/>
      <c r="O881" s="509"/>
      <c r="P881" s="509"/>
    </row>
    <row r="882" spans="1:16" ht="21.75" customHeight="1" x14ac:dyDescent="0.3">
      <c r="A882" s="504"/>
      <c r="B882" s="504"/>
      <c r="C882" s="504"/>
      <c r="D882" s="504"/>
      <c r="E882" s="506"/>
      <c r="F882" s="506"/>
      <c r="G882" s="506"/>
      <c r="H882" s="506"/>
      <c r="I882" s="506"/>
      <c r="J882" s="506"/>
      <c r="K882" s="507"/>
      <c r="L882" s="508"/>
      <c r="M882" s="508"/>
      <c r="N882" s="508"/>
      <c r="O882" s="509"/>
      <c r="P882" s="509"/>
    </row>
    <row r="883" spans="1:16" ht="21.75" customHeight="1" x14ac:dyDescent="0.3">
      <c r="A883" s="504"/>
      <c r="B883" s="504"/>
      <c r="C883" s="504"/>
      <c r="D883" s="504"/>
      <c r="E883" s="506"/>
      <c r="F883" s="506"/>
      <c r="G883" s="506"/>
      <c r="H883" s="506"/>
      <c r="I883" s="506"/>
      <c r="J883" s="506"/>
      <c r="K883" s="507"/>
      <c r="L883" s="508"/>
      <c r="M883" s="508"/>
      <c r="N883" s="508"/>
      <c r="O883" s="509"/>
      <c r="P883" s="509"/>
    </row>
    <row r="884" spans="1:16" ht="21.75" customHeight="1" x14ac:dyDescent="0.3">
      <c r="A884" s="504"/>
      <c r="B884" s="504"/>
      <c r="C884" s="504"/>
      <c r="D884" s="504"/>
      <c r="E884" s="506"/>
      <c r="F884" s="506"/>
      <c r="G884" s="506"/>
      <c r="H884" s="506"/>
      <c r="I884" s="506"/>
      <c r="J884" s="506"/>
      <c r="K884" s="507"/>
      <c r="L884" s="508"/>
      <c r="M884" s="508"/>
      <c r="N884" s="508"/>
      <c r="O884" s="509"/>
      <c r="P884" s="509"/>
    </row>
    <row r="885" spans="1:16" ht="21.75" customHeight="1" x14ac:dyDescent="0.3">
      <c r="A885" s="504"/>
      <c r="B885" s="504"/>
      <c r="C885" s="504"/>
      <c r="D885" s="504"/>
      <c r="E885" s="506"/>
      <c r="F885" s="506"/>
      <c r="G885" s="506"/>
      <c r="H885" s="506"/>
      <c r="I885" s="506"/>
      <c r="J885" s="506"/>
      <c r="K885" s="507"/>
      <c r="L885" s="508"/>
      <c r="M885" s="508"/>
      <c r="N885" s="508"/>
      <c r="O885" s="509"/>
      <c r="P885" s="509"/>
    </row>
    <row r="886" spans="1:16" ht="21.75" customHeight="1" x14ac:dyDescent="0.3">
      <c r="A886" s="504"/>
      <c r="B886" s="504"/>
      <c r="C886" s="504"/>
      <c r="D886" s="504"/>
      <c r="E886" s="506"/>
      <c r="F886" s="506"/>
      <c r="G886" s="506"/>
      <c r="H886" s="506"/>
      <c r="I886" s="506"/>
      <c r="J886" s="506"/>
      <c r="K886" s="507"/>
      <c r="L886" s="508"/>
      <c r="M886" s="508"/>
      <c r="N886" s="508"/>
      <c r="O886" s="509"/>
      <c r="P886" s="509"/>
    </row>
    <row r="887" spans="1:16" ht="21.75" customHeight="1" x14ac:dyDescent="0.3">
      <c r="A887" s="504"/>
      <c r="B887" s="504"/>
      <c r="C887" s="504"/>
      <c r="D887" s="504"/>
      <c r="E887" s="506"/>
      <c r="F887" s="506"/>
      <c r="G887" s="506"/>
      <c r="H887" s="506"/>
      <c r="I887" s="506"/>
      <c r="J887" s="506"/>
      <c r="K887" s="507"/>
      <c r="L887" s="508"/>
      <c r="M887" s="508"/>
      <c r="N887" s="508"/>
      <c r="O887" s="509"/>
      <c r="P887" s="509"/>
    </row>
    <row r="888" spans="1:16" ht="21.75" customHeight="1" x14ac:dyDescent="0.3">
      <c r="A888" s="504"/>
      <c r="B888" s="504"/>
      <c r="C888" s="504"/>
      <c r="D888" s="504"/>
      <c r="E888" s="506"/>
      <c r="F888" s="506"/>
      <c r="G888" s="506"/>
      <c r="H888" s="506"/>
      <c r="I888" s="506"/>
      <c r="J888" s="506"/>
      <c r="K888" s="507"/>
      <c r="L888" s="508"/>
      <c r="M888" s="508"/>
      <c r="N888" s="508"/>
      <c r="O888" s="509"/>
      <c r="P888" s="509"/>
    </row>
    <row r="889" spans="1:16" ht="21.75" customHeight="1" x14ac:dyDescent="0.3">
      <c r="A889" s="504"/>
      <c r="B889" s="504"/>
      <c r="C889" s="504"/>
      <c r="D889" s="504"/>
      <c r="E889" s="506"/>
      <c r="F889" s="506"/>
      <c r="G889" s="506"/>
      <c r="H889" s="506"/>
      <c r="I889" s="506"/>
      <c r="J889" s="506"/>
      <c r="K889" s="507"/>
      <c r="L889" s="508"/>
      <c r="M889" s="508"/>
      <c r="N889" s="508"/>
      <c r="O889" s="509"/>
      <c r="P889" s="509"/>
    </row>
    <row r="890" spans="1:16" ht="21.75" customHeight="1" x14ac:dyDescent="0.3">
      <c r="A890" s="504"/>
      <c r="B890" s="504"/>
      <c r="C890" s="504"/>
      <c r="D890" s="504"/>
      <c r="E890" s="506"/>
      <c r="F890" s="506"/>
      <c r="G890" s="506"/>
      <c r="H890" s="506"/>
      <c r="I890" s="506"/>
      <c r="J890" s="506"/>
      <c r="K890" s="507"/>
      <c r="L890" s="508"/>
      <c r="M890" s="508"/>
      <c r="N890" s="508"/>
      <c r="O890" s="509"/>
      <c r="P890" s="509"/>
    </row>
    <row r="891" spans="1:16" ht="21.75" customHeight="1" x14ac:dyDescent="0.3">
      <c r="A891" s="504"/>
      <c r="B891" s="504"/>
      <c r="C891" s="504"/>
      <c r="D891" s="504"/>
      <c r="E891" s="506"/>
      <c r="F891" s="506"/>
      <c r="G891" s="506"/>
      <c r="H891" s="506"/>
      <c r="I891" s="506"/>
      <c r="J891" s="506"/>
      <c r="K891" s="507"/>
      <c r="L891" s="508"/>
      <c r="M891" s="508"/>
      <c r="N891" s="508"/>
      <c r="O891" s="509"/>
      <c r="P891" s="509"/>
    </row>
    <row r="892" spans="1:16" ht="21.75" customHeight="1" x14ac:dyDescent="0.3">
      <c r="A892" s="504"/>
      <c r="B892" s="504"/>
      <c r="C892" s="504"/>
      <c r="D892" s="504"/>
      <c r="E892" s="506"/>
      <c r="F892" s="506"/>
      <c r="G892" s="506"/>
      <c r="H892" s="506"/>
      <c r="I892" s="506"/>
      <c r="J892" s="506"/>
      <c r="K892" s="507"/>
      <c r="L892" s="508"/>
      <c r="M892" s="508"/>
      <c r="N892" s="508"/>
      <c r="O892" s="509"/>
      <c r="P892" s="509"/>
    </row>
    <row r="893" spans="1:16" ht="21.75" customHeight="1" x14ac:dyDescent="0.3">
      <c r="A893" s="504"/>
      <c r="B893" s="504"/>
      <c r="C893" s="504"/>
      <c r="D893" s="504"/>
      <c r="E893" s="506"/>
      <c r="F893" s="506"/>
      <c r="G893" s="506"/>
      <c r="H893" s="506"/>
      <c r="I893" s="506"/>
      <c r="J893" s="506"/>
      <c r="K893" s="507"/>
      <c r="L893" s="508"/>
      <c r="M893" s="508"/>
      <c r="N893" s="508"/>
      <c r="O893" s="509"/>
      <c r="P893" s="509"/>
    </row>
    <row r="894" spans="1:16" ht="21.75" customHeight="1" x14ac:dyDescent="0.3">
      <c r="A894" s="504"/>
      <c r="B894" s="504"/>
      <c r="C894" s="504"/>
      <c r="D894" s="504"/>
      <c r="E894" s="506"/>
      <c r="F894" s="506"/>
      <c r="G894" s="506"/>
      <c r="H894" s="506"/>
      <c r="I894" s="506"/>
      <c r="J894" s="506"/>
      <c r="K894" s="507"/>
      <c r="L894" s="508"/>
      <c r="M894" s="508"/>
      <c r="N894" s="508"/>
      <c r="O894" s="509"/>
      <c r="P894" s="509"/>
    </row>
    <row r="895" spans="1:16" ht="21.75" customHeight="1" x14ac:dyDescent="0.3">
      <c r="A895" s="504"/>
      <c r="B895" s="504"/>
      <c r="C895" s="504"/>
      <c r="D895" s="504"/>
      <c r="E895" s="506"/>
      <c r="F895" s="506"/>
      <c r="G895" s="506"/>
      <c r="H895" s="506"/>
      <c r="I895" s="506"/>
      <c r="J895" s="506"/>
      <c r="K895" s="507"/>
      <c r="L895" s="508"/>
      <c r="M895" s="508"/>
      <c r="N895" s="508"/>
      <c r="O895" s="509"/>
      <c r="P895" s="509"/>
    </row>
    <row r="896" spans="1:16" ht="21.75" customHeight="1" x14ac:dyDescent="0.3">
      <c r="A896" s="504"/>
      <c r="B896" s="504"/>
      <c r="C896" s="504"/>
      <c r="D896" s="504"/>
      <c r="E896" s="506"/>
      <c r="F896" s="506"/>
      <c r="G896" s="506"/>
      <c r="H896" s="506"/>
      <c r="I896" s="506"/>
      <c r="J896" s="506"/>
      <c r="K896" s="507"/>
      <c r="L896" s="508"/>
      <c r="M896" s="508"/>
      <c r="N896" s="508"/>
      <c r="O896" s="509"/>
      <c r="P896" s="509"/>
    </row>
    <row r="897" spans="1:16" ht="21.75" customHeight="1" x14ac:dyDescent="0.3">
      <c r="A897" s="504"/>
      <c r="B897" s="504"/>
      <c r="C897" s="504"/>
      <c r="D897" s="504"/>
      <c r="E897" s="506"/>
      <c r="F897" s="506"/>
      <c r="G897" s="506"/>
      <c r="H897" s="506"/>
      <c r="I897" s="506"/>
      <c r="J897" s="506"/>
      <c r="K897" s="507"/>
      <c r="L897" s="508"/>
      <c r="M897" s="508"/>
      <c r="N897" s="508"/>
      <c r="O897" s="509"/>
      <c r="P897" s="509"/>
    </row>
    <row r="898" spans="1:16" ht="21.75" customHeight="1" x14ac:dyDescent="0.3">
      <c r="A898" s="504"/>
      <c r="B898" s="504"/>
      <c r="C898" s="504"/>
      <c r="D898" s="504"/>
      <c r="E898" s="506"/>
      <c r="F898" s="506"/>
      <c r="G898" s="506"/>
      <c r="H898" s="506"/>
      <c r="I898" s="506"/>
      <c r="J898" s="506"/>
      <c r="K898" s="507"/>
      <c r="L898" s="508"/>
      <c r="M898" s="508"/>
      <c r="N898" s="508"/>
      <c r="O898" s="509"/>
      <c r="P898" s="509"/>
    </row>
    <row r="899" spans="1:16" ht="21.75" customHeight="1" x14ac:dyDescent="0.3">
      <c r="A899" s="504"/>
      <c r="B899" s="504"/>
      <c r="C899" s="504"/>
      <c r="D899" s="504"/>
      <c r="E899" s="506"/>
      <c r="F899" s="506"/>
      <c r="G899" s="506"/>
      <c r="H899" s="506"/>
      <c r="I899" s="506"/>
      <c r="J899" s="506"/>
      <c r="K899" s="507"/>
      <c r="L899" s="508"/>
      <c r="M899" s="508"/>
      <c r="N899" s="508"/>
      <c r="O899" s="509"/>
      <c r="P899" s="509"/>
    </row>
    <row r="900" spans="1:16" ht="21.75" customHeight="1" x14ac:dyDescent="0.3">
      <c r="A900" s="504"/>
      <c r="B900" s="504"/>
      <c r="C900" s="504"/>
      <c r="D900" s="504"/>
      <c r="E900" s="506"/>
      <c r="F900" s="506"/>
      <c r="G900" s="506"/>
      <c r="H900" s="506"/>
      <c r="I900" s="506"/>
      <c r="J900" s="506"/>
      <c r="K900" s="507"/>
      <c r="L900" s="508"/>
      <c r="M900" s="508"/>
      <c r="N900" s="508"/>
      <c r="O900" s="509"/>
      <c r="P900" s="509"/>
    </row>
    <row r="901" spans="1:16" ht="21.75" customHeight="1" x14ac:dyDescent="0.3">
      <c r="A901" s="504"/>
      <c r="B901" s="504"/>
      <c r="C901" s="504"/>
      <c r="D901" s="504"/>
      <c r="E901" s="506"/>
      <c r="F901" s="506"/>
      <c r="G901" s="506"/>
      <c r="H901" s="506"/>
      <c r="I901" s="506"/>
      <c r="J901" s="506"/>
      <c r="K901" s="507"/>
      <c r="L901" s="508"/>
      <c r="M901" s="508"/>
      <c r="N901" s="508"/>
      <c r="O901" s="509"/>
      <c r="P901" s="509"/>
    </row>
    <row r="902" spans="1:16" ht="21.75" customHeight="1" x14ac:dyDescent="0.3">
      <c r="A902" s="504"/>
      <c r="B902" s="504"/>
      <c r="C902" s="504"/>
      <c r="D902" s="504"/>
      <c r="E902" s="506"/>
      <c r="F902" s="506"/>
      <c r="G902" s="506"/>
      <c r="H902" s="506"/>
      <c r="I902" s="506"/>
      <c r="J902" s="506"/>
      <c r="K902" s="507"/>
      <c r="L902" s="508"/>
      <c r="M902" s="508"/>
      <c r="N902" s="508"/>
      <c r="O902" s="509"/>
      <c r="P902" s="509"/>
    </row>
    <row r="903" spans="1:16" ht="21.75" customHeight="1" x14ac:dyDescent="0.3">
      <c r="A903" s="504"/>
      <c r="B903" s="504"/>
      <c r="C903" s="504"/>
      <c r="D903" s="504"/>
      <c r="E903" s="506"/>
      <c r="F903" s="506"/>
      <c r="G903" s="506"/>
      <c r="H903" s="506"/>
      <c r="I903" s="506"/>
      <c r="J903" s="506"/>
      <c r="K903" s="507"/>
      <c r="L903" s="508"/>
      <c r="M903" s="508"/>
      <c r="N903" s="508"/>
      <c r="O903" s="509"/>
      <c r="P903" s="509"/>
    </row>
    <row r="904" spans="1:16" ht="21.75" customHeight="1" x14ac:dyDescent="0.3">
      <c r="A904" s="504"/>
      <c r="B904" s="504"/>
      <c r="C904" s="504"/>
      <c r="D904" s="504"/>
      <c r="E904" s="506"/>
      <c r="F904" s="506"/>
      <c r="G904" s="506"/>
      <c r="H904" s="506"/>
      <c r="I904" s="506"/>
      <c r="J904" s="506"/>
      <c r="K904" s="507"/>
      <c r="L904" s="508"/>
      <c r="M904" s="508"/>
      <c r="N904" s="508"/>
      <c r="O904" s="509"/>
      <c r="P904" s="509"/>
    </row>
    <row r="905" spans="1:16" ht="21.75" customHeight="1" x14ac:dyDescent="0.3">
      <c r="A905" s="504"/>
      <c r="B905" s="504"/>
      <c r="C905" s="504"/>
      <c r="D905" s="504"/>
      <c r="E905" s="506"/>
      <c r="F905" s="506"/>
      <c r="G905" s="506"/>
      <c r="H905" s="506"/>
      <c r="I905" s="506"/>
      <c r="J905" s="506"/>
      <c r="K905" s="507"/>
      <c r="L905" s="508"/>
      <c r="M905" s="508"/>
      <c r="N905" s="508"/>
      <c r="O905" s="509"/>
      <c r="P905" s="509"/>
    </row>
    <row r="906" spans="1:16" ht="21.75" customHeight="1" x14ac:dyDescent="0.3">
      <c r="A906" s="504"/>
      <c r="B906" s="504"/>
      <c r="C906" s="504"/>
      <c r="D906" s="504"/>
      <c r="E906" s="506"/>
      <c r="F906" s="506"/>
      <c r="G906" s="506"/>
      <c r="H906" s="506"/>
      <c r="I906" s="506"/>
      <c r="J906" s="506"/>
      <c r="K906" s="507"/>
      <c r="L906" s="508"/>
      <c r="M906" s="508"/>
      <c r="N906" s="508"/>
      <c r="O906" s="509"/>
      <c r="P906" s="509"/>
    </row>
    <row r="907" spans="1:16" ht="21.75" customHeight="1" x14ac:dyDescent="0.3">
      <c r="A907" s="504"/>
      <c r="B907" s="504"/>
      <c r="C907" s="504"/>
      <c r="D907" s="504"/>
      <c r="E907" s="506"/>
      <c r="F907" s="506"/>
      <c r="G907" s="506"/>
      <c r="H907" s="506"/>
      <c r="I907" s="506"/>
      <c r="J907" s="506"/>
      <c r="K907" s="507"/>
      <c r="L907" s="508"/>
      <c r="M907" s="508"/>
      <c r="N907" s="508"/>
      <c r="O907" s="509"/>
      <c r="P907" s="509"/>
    </row>
    <row r="908" spans="1:16" ht="21.75" customHeight="1" x14ac:dyDescent="0.3">
      <c r="A908" s="504"/>
      <c r="B908" s="504"/>
      <c r="C908" s="504"/>
      <c r="D908" s="504"/>
      <c r="E908" s="506"/>
      <c r="F908" s="506"/>
      <c r="G908" s="506"/>
      <c r="H908" s="506"/>
      <c r="I908" s="506"/>
      <c r="J908" s="506"/>
      <c r="K908" s="507"/>
      <c r="L908" s="508"/>
      <c r="M908" s="508"/>
      <c r="N908" s="508"/>
      <c r="O908" s="509"/>
      <c r="P908" s="509"/>
    </row>
    <row r="909" spans="1:16" ht="21.75" customHeight="1" x14ac:dyDescent="0.3">
      <c r="A909" s="504"/>
      <c r="B909" s="504"/>
      <c r="C909" s="504"/>
      <c r="D909" s="504"/>
      <c r="E909" s="506"/>
      <c r="F909" s="506"/>
      <c r="G909" s="506"/>
      <c r="H909" s="506"/>
      <c r="I909" s="506"/>
      <c r="J909" s="506"/>
      <c r="K909" s="507"/>
      <c r="L909" s="508"/>
      <c r="M909" s="508"/>
      <c r="N909" s="508"/>
      <c r="O909" s="509"/>
      <c r="P909" s="509"/>
    </row>
    <row r="910" spans="1:16" ht="21.75" customHeight="1" x14ac:dyDescent="0.3">
      <c r="A910" s="504"/>
      <c r="B910" s="504"/>
      <c r="C910" s="504"/>
      <c r="D910" s="504"/>
      <c r="E910" s="506"/>
      <c r="F910" s="506"/>
      <c r="G910" s="506"/>
      <c r="H910" s="506"/>
      <c r="I910" s="506"/>
      <c r="J910" s="506"/>
      <c r="K910" s="507"/>
      <c r="L910" s="508"/>
      <c r="M910" s="508"/>
      <c r="N910" s="508"/>
      <c r="O910" s="509"/>
      <c r="P910" s="509"/>
    </row>
    <row r="911" spans="1:16" ht="21.75" customHeight="1" x14ac:dyDescent="0.3">
      <c r="A911" s="504"/>
      <c r="B911" s="504"/>
      <c r="C911" s="504"/>
      <c r="D911" s="504"/>
      <c r="E911" s="506"/>
      <c r="F911" s="506"/>
      <c r="G911" s="506"/>
      <c r="H911" s="506"/>
      <c r="I911" s="506"/>
      <c r="J911" s="506"/>
      <c r="K911" s="507"/>
      <c r="L911" s="508"/>
      <c r="M911" s="508"/>
      <c r="N911" s="508"/>
      <c r="O911" s="509"/>
      <c r="P911" s="509"/>
    </row>
    <row r="912" spans="1:16" ht="21.75" customHeight="1" x14ac:dyDescent="0.3">
      <c r="A912" s="504"/>
      <c r="B912" s="504"/>
      <c r="C912" s="504"/>
      <c r="D912" s="504"/>
      <c r="E912" s="506"/>
      <c r="F912" s="506"/>
      <c r="G912" s="506"/>
      <c r="H912" s="506"/>
      <c r="I912" s="506"/>
      <c r="J912" s="506"/>
      <c r="K912" s="507"/>
      <c r="L912" s="508"/>
      <c r="M912" s="508"/>
      <c r="N912" s="508"/>
      <c r="O912" s="509"/>
      <c r="P912" s="509"/>
    </row>
    <row r="913" spans="1:16" ht="21.75" customHeight="1" x14ac:dyDescent="0.3">
      <c r="A913" s="504"/>
      <c r="B913" s="504"/>
      <c r="C913" s="504"/>
      <c r="D913" s="504"/>
      <c r="E913" s="506"/>
      <c r="F913" s="506"/>
      <c r="G913" s="506"/>
      <c r="H913" s="506"/>
      <c r="I913" s="506"/>
      <c r="J913" s="506"/>
      <c r="K913" s="507"/>
      <c r="L913" s="508"/>
      <c r="M913" s="508"/>
      <c r="N913" s="508"/>
      <c r="O913" s="509"/>
      <c r="P913" s="509"/>
    </row>
    <row r="914" spans="1:16" ht="21.75" customHeight="1" x14ac:dyDescent="0.3">
      <c r="A914" s="504"/>
      <c r="B914" s="504"/>
      <c r="C914" s="504"/>
      <c r="D914" s="504"/>
      <c r="E914" s="506"/>
      <c r="F914" s="506"/>
      <c r="G914" s="506"/>
      <c r="H914" s="506"/>
      <c r="I914" s="506"/>
      <c r="J914" s="506"/>
      <c r="K914" s="507"/>
      <c r="L914" s="508"/>
      <c r="M914" s="508"/>
      <c r="N914" s="508"/>
      <c r="O914" s="509"/>
      <c r="P914" s="509"/>
    </row>
    <row r="915" spans="1:16" ht="21.75" customHeight="1" x14ac:dyDescent="0.3">
      <c r="A915" s="504"/>
      <c r="B915" s="504"/>
      <c r="C915" s="504"/>
      <c r="D915" s="504"/>
      <c r="E915" s="506"/>
      <c r="F915" s="506"/>
      <c r="G915" s="506"/>
      <c r="H915" s="506"/>
      <c r="I915" s="506"/>
      <c r="J915" s="506"/>
      <c r="K915" s="507"/>
      <c r="L915" s="508"/>
      <c r="M915" s="508"/>
      <c r="N915" s="508"/>
      <c r="O915" s="509"/>
      <c r="P915" s="509"/>
    </row>
    <row r="916" spans="1:16" ht="21.75" customHeight="1" x14ac:dyDescent="0.3">
      <c r="A916" s="504"/>
      <c r="B916" s="504"/>
      <c r="C916" s="504"/>
      <c r="D916" s="504"/>
      <c r="E916" s="506"/>
      <c r="F916" s="506"/>
      <c r="G916" s="506"/>
      <c r="H916" s="506"/>
      <c r="I916" s="506"/>
      <c r="J916" s="506"/>
      <c r="K916" s="507"/>
      <c r="L916" s="508"/>
      <c r="M916" s="508"/>
      <c r="N916" s="508"/>
      <c r="O916" s="509"/>
      <c r="P916" s="509"/>
    </row>
    <row r="917" spans="1:16" ht="21.75" customHeight="1" x14ac:dyDescent="0.3">
      <c r="A917" s="504"/>
      <c r="B917" s="504"/>
      <c r="C917" s="504"/>
      <c r="D917" s="504"/>
      <c r="E917" s="506"/>
      <c r="F917" s="506"/>
      <c r="G917" s="506"/>
      <c r="H917" s="506"/>
      <c r="I917" s="506"/>
      <c r="J917" s="506"/>
      <c r="K917" s="507"/>
      <c r="L917" s="508"/>
      <c r="M917" s="508"/>
      <c r="N917" s="508"/>
      <c r="O917" s="509"/>
      <c r="P917" s="509"/>
    </row>
    <row r="918" spans="1:16" ht="21.75" customHeight="1" x14ac:dyDescent="0.3">
      <c r="A918" s="504"/>
      <c r="B918" s="504"/>
      <c r="C918" s="504"/>
      <c r="D918" s="504"/>
      <c r="E918" s="506"/>
      <c r="F918" s="506"/>
      <c r="G918" s="506"/>
      <c r="H918" s="506"/>
      <c r="I918" s="506"/>
      <c r="J918" s="506"/>
      <c r="K918" s="507"/>
      <c r="L918" s="508"/>
      <c r="M918" s="508"/>
      <c r="N918" s="508"/>
      <c r="O918" s="509"/>
      <c r="P918" s="509"/>
    </row>
    <row r="919" spans="1:16" ht="21.75" customHeight="1" x14ac:dyDescent="0.3">
      <c r="A919" s="504"/>
      <c r="B919" s="504"/>
      <c r="C919" s="504"/>
      <c r="D919" s="504"/>
      <c r="E919" s="506"/>
      <c r="F919" s="506"/>
      <c r="G919" s="506"/>
      <c r="H919" s="506"/>
      <c r="I919" s="506"/>
      <c r="J919" s="506"/>
      <c r="K919" s="507"/>
      <c r="L919" s="508"/>
      <c r="M919" s="508"/>
      <c r="N919" s="508"/>
      <c r="O919" s="509"/>
      <c r="P919" s="509"/>
    </row>
    <row r="920" spans="1:16" ht="21.75" customHeight="1" x14ac:dyDescent="0.3">
      <c r="A920" s="504"/>
      <c r="B920" s="504"/>
      <c r="C920" s="504"/>
      <c r="D920" s="504"/>
      <c r="E920" s="506"/>
      <c r="F920" s="506"/>
      <c r="G920" s="506"/>
      <c r="H920" s="506"/>
      <c r="I920" s="506"/>
      <c r="J920" s="506"/>
      <c r="K920" s="507"/>
      <c r="L920" s="508"/>
      <c r="M920" s="508"/>
      <c r="N920" s="508"/>
      <c r="O920" s="509"/>
      <c r="P920" s="509"/>
    </row>
    <row r="921" spans="1:16" ht="21.75" customHeight="1" x14ac:dyDescent="0.3">
      <c r="A921" s="504"/>
      <c r="B921" s="504"/>
      <c r="C921" s="504"/>
      <c r="D921" s="504"/>
      <c r="E921" s="506"/>
      <c r="F921" s="506"/>
      <c r="G921" s="506"/>
      <c r="H921" s="506"/>
      <c r="I921" s="506"/>
      <c r="J921" s="506"/>
      <c r="K921" s="507"/>
      <c r="L921" s="508"/>
      <c r="M921" s="508"/>
      <c r="N921" s="508"/>
      <c r="O921" s="509"/>
      <c r="P921" s="509"/>
    </row>
    <row r="922" spans="1:16" ht="21.75" customHeight="1" x14ac:dyDescent="0.3">
      <c r="A922" s="504"/>
      <c r="B922" s="504"/>
      <c r="C922" s="504"/>
      <c r="D922" s="504"/>
      <c r="E922" s="506"/>
      <c r="F922" s="506"/>
      <c r="G922" s="506"/>
      <c r="H922" s="506"/>
      <c r="I922" s="506"/>
      <c r="J922" s="506"/>
      <c r="K922" s="507"/>
      <c r="L922" s="508"/>
      <c r="M922" s="508"/>
      <c r="N922" s="508"/>
      <c r="O922" s="509"/>
      <c r="P922" s="509"/>
    </row>
    <row r="923" spans="1:16" ht="21.75" customHeight="1" x14ac:dyDescent="0.3">
      <c r="A923" s="504"/>
      <c r="B923" s="504"/>
      <c r="C923" s="504"/>
      <c r="D923" s="504"/>
      <c r="E923" s="506"/>
      <c r="F923" s="506"/>
      <c r="G923" s="506"/>
      <c r="H923" s="506"/>
      <c r="I923" s="506"/>
      <c r="J923" s="506"/>
      <c r="K923" s="507"/>
      <c r="L923" s="508"/>
      <c r="M923" s="508"/>
      <c r="N923" s="508"/>
      <c r="O923" s="509"/>
      <c r="P923" s="509"/>
    </row>
    <row r="924" spans="1:16" ht="21.75" customHeight="1" x14ac:dyDescent="0.3">
      <c r="A924" s="504"/>
      <c r="B924" s="504"/>
      <c r="C924" s="504"/>
      <c r="D924" s="504"/>
      <c r="E924" s="506"/>
      <c r="F924" s="506"/>
      <c r="G924" s="506"/>
      <c r="H924" s="506"/>
      <c r="I924" s="506"/>
      <c r="J924" s="506"/>
      <c r="K924" s="507"/>
      <c r="L924" s="508"/>
      <c r="M924" s="508"/>
      <c r="N924" s="508"/>
      <c r="O924" s="509"/>
      <c r="P924" s="509"/>
    </row>
    <row r="925" spans="1:16" ht="21.75" customHeight="1" x14ac:dyDescent="0.3">
      <c r="A925" s="504"/>
      <c r="B925" s="504"/>
      <c r="C925" s="504"/>
      <c r="D925" s="504"/>
      <c r="E925" s="506"/>
      <c r="F925" s="506"/>
      <c r="G925" s="506"/>
      <c r="H925" s="506"/>
      <c r="I925" s="506"/>
      <c r="J925" s="506"/>
      <c r="K925" s="507"/>
      <c r="L925" s="508"/>
      <c r="M925" s="508"/>
      <c r="N925" s="508"/>
      <c r="O925" s="509"/>
      <c r="P925" s="509"/>
    </row>
    <row r="926" spans="1:16" ht="21.75" customHeight="1" x14ac:dyDescent="0.3">
      <c r="A926" s="504"/>
      <c r="B926" s="504"/>
      <c r="C926" s="504"/>
      <c r="D926" s="504"/>
      <c r="E926" s="506"/>
      <c r="F926" s="506"/>
      <c r="G926" s="506"/>
      <c r="H926" s="506"/>
      <c r="I926" s="506"/>
      <c r="J926" s="506"/>
      <c r="K926" s="507"/>
      <c r="L926" s="508"/>
      <c r="M926" s="508"/>
      <c r="N926" s="508"/>
      <c r="O926" s="509"/>
      <c r="P926" s="509"/>
    </row>
    <row r="927" spans="1:16" ht="21.75" customHeight="1" x14ac:dyDescent="0.3">
      <c r="A927" s="504"/>
      <c r="B927" s="504"/>
      <c r="C927" s="504"/>
      <c r="D927" s="504"/>
      <c r="E927" s="506"/>
      <c r="F927" s="506"/>
      <c r="G927" s="506"/>
      <c r="H927" s="506"/>
      <c r="I927" s="506"/>
      <c r="J927" s="506"/>
      <c r="K927" s="507"/>
      <c r="L927" s="508"/>
      <c r="M927" s="508"/>
      <c r="N927" s="508"/>
      <c r="O927" s="509"/>
      <c r="P927" s="509"/>
    </row>
    <row r="928" spans="1:16" ht="21.75" customHeight="1" x14ac:dyDescent="0.3">
      <c r="A928" s="504"/>
      <c r="B928" s="504"/>
      <c r="C928" s="504"/>
      <c r="D928" s="504"/>
      <c r="E928" s="506"/>
      <c r="F928" s="506"/>
      <c r="G928" s="506"/>
      <c r="H928" s="506"/>
      <c r="I928" s="506"/>
      <c r="J928" s="506"/>
      <c r="K928" s="507"/>
      <c r="L928" s="508"/>
      <c r="M928" s="508"/>
      <c r="N928" s="508"/>
      <c r="O928" s="509"/>
      <c r="P928" s="509"/>
    </row>
    <row r="929" spans="1:16" ht="21.75" customHeight="1" x14ac:dyDescent="0.3">
      <c r="A929" s="504"/>
      <c r="B929" s="504"/>
      <c r="C929" s="504"/>
      <c r="D929" s="504"/>
      <c r="E929" s="506"/>
      <c r="F929" s="506"/>
      <c r="G929" s="506"/>
      <c r="H929" s="506"/>
      <c r="I929" s="506"/>
      <c r="J929" s="506"/>
      <c r="K929" s="507"/>
      <c r="L929" s="508"/>
      <c r="M929" s="508"/>
      <c r="N929" s="508"/>
      <c r="O929" s="509"/>
      <c r="P929" s="509"/>
    </row>
    <row r="930" spans="1:16" ht="21.75" customHeight="1" x14ac:dyDescent="0.3">
      <c r="A930" s="504"/>
      <c r="B930" s="504"/>
      <c r="C930" s="504"/>
      <c r="D930" s="504"/>
      <c r="E930" s="506"/>
      <c r="F930" s="506"/>
      <c r="G930" s="506"/>
      <c r="H930" s="506"/>
      <c r="I930" s="506"/>
      <c r="J930" s="506"/>
      <c r="K930" s="507"/>
      <c r="L930" s="508"/>
      <c r="M930" s="508"/>
      <c r="N930" s="508"/>
      <c r="O930" s="509"/>
      <c r="P930" s="509"/>
    </row>
    <row r="931" spans="1:16" ht="21.75" customHeight="1" x14ac:dyDescent="0.3">
      <c r="A931" s="504"/>
      <c r="B931" s="504"/>
      <c r="C931" s="504"/>
      <c r="D931" s="504"/>
      <c r="E931" s="506"/>
      <c r="F931" s="506"/>
      <c r="G931" s="506"/>
      <c r="H931" s="506"/>
      <c r="I931" s="506"/>
      <c r="J931" s="506"/>
      <c r="K931" s="507"/>
      <c r="L931" s="508"/>
      <c r="M931" s="508"/>
      <c r="N931" s="508"/>
      <c r="O931" s="509"/>
      <c r="P931" s="509"/>
    </row>
    <row r="932" spans="1:16" ht="21.75" customHeight="1" x14ac:dyDescent="0.3">
      <c r="A932" s="504"/>
      <c r="B932" s="504"/>
      <c r="C932" s="504"/>
      <c r="D932" s="504"/>
      <c r="E932" s="506"/>
      <c r="F932" s="506"/>
      <c r="G932" s="506"/>
      <c r="H932" s="506"/>
      <c r="I932" s="506"/>
      <c r="J932" s="506"/>
      <c r="K932" s="507"/>
      <c r="L932" s="508"/>
      <c r="M932" s="508"/>
      <c r="N932" s="508"/>
      <c r="O932" s="509"/>
      <c r="P932" s="509"/>
    </row>
    <row r="933" spans="1:16" ht="21.75" customHeight="1" x14ac:dyDescent="0.3">
      <c r="A933" s="504"/>
      <c r="B933" s="504"/>
      <c r="C933" s="504"/>
      <c r="D933" s="504"/>
      <c r="E933" s="506"/>
      <c r="F933" s="506"/>
      <c r="G933" s="506"/>
      <c r="H933" s="506"/>
      <c r="I933" s="506"/>
      <c r="J933" s="506"/>
      <c r="K933" s="507"/>
      <c r="L933" s="508"/>
      <c r="M933" s="508"/>
      <c r="N933" s="508"/>
      <c r="O933" s="509"/>
      <c r="P933" s="509"/>
    </row>
    <row r="934" spans="1:16" ht="21.75" customHeight="1" x14ac:dyDescent="0.3">
      <c r="A934" s="504"/>
      <c r="B934" s="504"/>
      <c r="C934" s="504"/>
      <c r="D934" s="504"/>
      <c r="E934" s="506"/>
      <c r="F934" s="506"/>
      <c r="G934" s="506"/>
      <c r="H934" s="506"/>
      <c r="I934" s="506"/>
      <c r="J934" s="506"/>
      <c r="K934" s="507"/>
      <c r="L934" s="508"/>
      <c r="M934" s="508"/>
      <c r="N934" s="508"/>
      <c r="O934" s="509"/>
      <c r="P934" s="509"/>
    </row>
    <row r="935" spans="1:16" ht="21.75" customHeight="1" x14ac:dyDescent="0.3">
      <c r="A935" s="504"/>
      <c r="B935" s="504"/>
      <c r="C935" s="504"/>
      <c r="D935" s="504"/>
      <c r="E935" s="506"/>
      <c r="F935" s="506"/>
      <c r="G935" s="506"/>
      <c r="H935" s="506"/>
      <c r="I935" s="506"/>
      <c r="J935" s="506"/>
      <c r="K935" s="507"/>
      <c r="L935" s="508"/>
      <c r="M935" s="508"/>
      <c r="N935" s="508"/>
      <c r="O935" s="509"/>
      <c r="P935" s="509"/>
    </row>
    <row r="936" spans="1:16" ht="21.75" customHeight="1" x14ac:dyDescent="0.3">
      <c r="A936" s="504"/>
      <c r="B936" s="504"/>
      <c r="C936" s="504"/>
      <c r="D936" s="504"/>
      <c r="E936" s="506"/>
      <c r="F936" s="506"/>
      <c r="G936" s="506"/>
      <c r="H936" s="506"/>
      <c r="I936" s="506"/>
      <c r="J936" s="506"/>
      <c r="K936" s="507"/>
      <c r="L936" s="508"/>
      <c r="M936" s="508"/>
      <c r="N936" s="508"/>
      <c r="O936" s="509"/>
      <c r="P936" s="509"/>
    </row>
    <row r="937" spans="1:16" ht="21.75" customHeight="1" x14ac:dyDescent="0.3">
      <c r="A937" s="504"/>
      <c r="B937" s="504"/>
      <c r="C937" s="504"/>
      <c r="D937" s="504"/>
      <c r="E937" s="506"/>
      <c r="F937" s="506"/>
      <c r="G937" s="506"/>
      <c r="H937" s="506"/>
      <c r="I937" s="506"/>
      <c r="J937" s="506"/>
      <c r="K937" s="507"/>
      <c r="L937" s="508"/>
      <c r="M937" s="508"/>
      <c r="N937" s="508"/>
      <c r="O937" s="509"/>
      <c r="P937" s="509"/>
    </row>
    <row r="938" spans="1:16" ht="21.75" customHeight="1" x14ac:dyDescent="0.3">
      <c r="A938" s="504"/>
      <c r="B938" s="504"/>
      <c r="C938" s="504"/>
      <c r="D938" s="504"/>
      <c r="E938" s="506"/>
      <c r="F938" s="506"/>
      <c r="G938" s="506"/>
      <c r="H938" s="506"/>
      <c r="I938" s="506"/>
      <c r="J938" s="506"/>
      <c r="K938" s="507"/>
      <c r="L938" s="508"/>
      <c r="M938" s="508"/>
      <c r="N938" s="508"/>
      <c r="O938" s="509"/>
      <c r="P938" s="509"/>
    </row>
    <row r="939" spans="1:16" ht="21.75" customHeight="1" x14ac:dyDescent="0.3">
      <c r="A939" s="504"/>
      <c r="B939" s="504"/>
      <c r="C939" s="504"/>
      <c r="D939" s="504"/>
      <c r="E939" s="506"/>
      <c r="F939" s="506"/>
      <c r="G939" s="506"/>
      <c r="H939" s="506"/>
      <c r="I939" s="506"/>
      <c r="J939" s="506"/>
      <c r="K939" s="507"/>
      <c r="L939" s="508"/>
      <c r="M939" s="508"/>
      <c r="N939" s="508"/>
      <c r="O939" s="509"/>
      <c r="P939" s="509"/>
    </row>
    <row r="940" spans="1:16" ht="21.75" customHeight="1" x14ac:dyDescent="0.3">
      <c r="A940" s="504"/>
      <c r="B940" s="504"/>
      <c r="C940" s="504"/>
      <c r="D940" s="504"/>
      <c r="E940" s="506"/>
      <c r="F940" s="506"/>
      <c r="G940" s="506"/>
      <c r="H940" s="506"/>
      <c r="I940" s="506"/>
      <c r="J940" s="506"/>
      <c r="K940" s="507"/>
      <c r="L940" s="508"/>
      <c r="M940" s="508"/>
      <c r="N940" s="508"/>
      <c r="O940" s="509"/>
      <c r="P940" s="509"/>
    </row>
    <row r="941" spans="1:16" ht="21.75" customHeight="1" x14ac:dyDescent="0.3">
      <c r="A941" s="504"/>
      <c r="B941" s="504"/>
      <c r="C941" s="504"/>
      <c r="D941" s="504"/>
      <c r="E941" s="506"/>
      <c r="F941" s="506"/>
      <c r="G941" s="506"/>
      <c r="H941" s="506"/>
      <c r="I941" s="506"/>
      <c r="J941" s="506"/>
      <c r="K941" s="507"/>
      <c r="L941" s="508"/>
      <c r="M941" s="508"/>
      <c r="N941" s="508"/>
      <c r="O941" s="509"/>
      <c r="P941" s="509"/>
    </row>
    <row r="942" spans="1:16" ht="21.75" customHeight="1" x14ac:dyDescent="0.3">
      <c r="A942" s="504"/>
      <c r="B942" s="504"/>
      <c r="C942" s="504"/>
      <c r="D942" s="504"/>
      <c r="E942" s="506"/>
      <c r="F942" s="506"/>
      <c r="G942" s="506"/>
      <c r="H942" s="506"/>
      <c r="I942" s="506"/>
      <c r="J942" s="506"/>
      <c r="K942" s="507"/>
      <c r="L942" s="508"/>
      <c r="M942" s="508"/>
      <c r="N942" s="508"/>
      <c r="O942" s="509"/>
      <c r="P942" s="509"/>
    </row>
    <row r="943" spans="1:16" ht="21.75" customHeight="1" x14ac:dyDescent="0.3">
      <c r="A943" s="504"/>
      <c r="B943" s="504"/>
      <c r="C943" s="504"/>
      <c r="D943" s="504"/>
      <c r="E943" s="506"/>
      <c r="F943" s="506"/>
      <c r="G943" s="506"/>
      <c r="H943" s="506"/>
      <c r="I943" s="506"/>
      <c r="J943" s="506"/>
      <c r="K943" s="507"/>
      <c r="L943" s="508"/>
      <c r="M943" s="508"/>
      <c r="N943" s="508"/>
      <c r="O943" s="509"/>
      <c r="P943" s="509"/>
    </row>
    <row r="944" spans="1:16" ht="21.75" customHeight="1" x14ac:dyDescent="0.3">
      <c r="A944" s="504"/>
      <c r="B944" s="504"/>
      <c r="C944" s="504"/>
      <c r="D944" s="504"/>
      <c r="E944" s="506"/>
      <c r="F944" s="506"/>
      <c r="G944" s="506"/>
      <c r="H944" s="506"/>
      <c r="I944" s="506"/>
      <c r="J944" s="506"/>
      <c r="K944" s="507"/>
      <c r="L944" s="508"/>
      <c r="M944" s="508"/>
      <c r="N944" s="508"/>
      <c r="O944" s="509"/>
      <c r="P944" s="509"/>
    </row>
    <row r="945" spans="1:16" ht="21.75" customHeight="1" x14ac:dyDescent="0.3">
      <c r="A945" s="504"/>
      <c r="B945" s="504"/>
      <c r="C945" s="504"/>
      <c r="D945" s="504"/>
      <c r="E945" s="506"/>
      <c r="F945" s="506"/>
      <c r="G945" s="506"/>
      <c r="H945" s="506"/>
      <c r="I945" s="506"/>
      <c r="J945" s="506"/>
      <c r="K945" s="507"/>
      <c r="L945" s="508"/>
      <c r="M945" s="508"/>
      <c r="N945" s="508"/>
      <c r="O945" s="509"/>
      <c r="P945" s="509"/>
    </row>
    <row r="946" spans="1:16" ht="21.75" customHeight="1" x14ac:dyDescent="0.3">
      <c r="A946" s="504"/>
      <c r="B946" s="504"/>
      <c r="C946" s="504"/>
      <c r="D946" s="504"/>
      <c r="E946" s="506"/>
      <c r="F946" s="506"/>
      <c r="G946" s="506"/>
      <c r="H946" s="506"/>
      <c r="I946" s="506"/>
      <c r="J946" s="506"/>
      <c r="K946" s="507"/>
      <c r="L946" s="508"/>
      <c r="M946" s="508"/>
      <c r="N946" s="508"/>
      <c r="O946" s="509"/>
      <c r="P946" s="509"/>
    </row>
    <row r="947" spans="1:16" ht="21.75" customHeight="1" x14ac:dyDescent="0.3">
      <c r="A947" s="504"/>
      <c r="B947" s="504"/>
      <c r="C947" s="504"/>
      <c r="D947" s="504"/>
      <c r="E947" s="506"/>
      <c r="F947" s="506"/>
      <c r="G947" s="506"/>
      <c r="H947" s="506"/>
      <c r="I947" s="506"/>
      <c r="J947" s="506"/>
      <c r="K947" s="507"/>
      <c r="L947" s="508"/>
      <c r="M947" s="508"/>
      <c r="N947" s="508"/>
      <c r="O947" s="509"/>
      <c r="P947" s="509"/>
    </row>
    <row r="948" spans="1:16" ht="21.75" customHeight="1" x14ac:dyDescent="0.3">
      <c r="A948" s="504"/>
      <c r="B948" s="504"/>
      <c r="C948" s="504"/>
      <c r="D948" s="504"/>
      <c r="E948" s="506"/>
      <c r="F948" s="506"/>
      <c r="G948" s="506"/>
      <c r="H948" s="506"/>
      <c r="I948" s="506"/>
      <c r="J948" s="506"/>
      <c r="K948" s="507"/>
      <c r="L948" s="508"/>
      <c r="M948" s="508"/>
      <c r="N948" s="508"/>
      <c r="O948" s="509"/>
      <c r="P948" s="509"/>
    </row>
    <row r="949" spans="1:16" ht="21.75" customHeight="1" x14ac:dyDescent="0.3">
      <c r="A949" s="504"/>
      <c r="B949" s="504"/>
      <c r="C949" s="504"/>
      <c r="D949" s="504"/>
      <c r="E949" s="506"/>
      <c r="F949" s="506"/>
      <c r="G949" s="506"/>
      <c r="H949" s="506"/>
      <c r="I949" s="506"/>
      <c r="J949" s="506"/>
      <c r="K949" s="507"/>
      <c r="L949" s="508"/>
      <c r="M949" s="508"/>
      <c r="N949" s="508"/>
      <c r="O949" s="509"/>
      <c r="P949" s="509"/>
    </row>
    <row r="950" spans="1:16" ht="21.75" customHeight="1" x14ac:dyDescent="0.3">
      <c r="A950" s="504"/>
      <c r="B950" s="504"/>
      <c r="C950" s="504"/>
      <c r="D950" s="504"/>
      <c r="E950" s="506"/>
      <c r="F950" s="506"/>
      <c r="G950" s="506"/>
      <c r="H950" s="506"/>
      <c r="I950" s="506"/>
      <c r="J950" s="506"/>
      <c r="K950" s="507"/>
      <c r="L950" s="508"/>
      <c r="M950" s="508"/>
      <c r="N950" s="508"/>
      <c r="O950" s="509"/>
      <c r="P950" s="509"/>
    </row>
    <row r="951" spans="1:16" ht="21.75" customHeight="1" x14ac:dyDescent="0.3">
      <c r="A951" s="504"/>
      <c r="B951" s="504"/>
      <c r="C951" s="504"/>
      <c r="D951" s="504"/>
      <c r="E951" s="506"/>
      <c r="F951" s="506"/>
      <c r="G951" s="506"/>
      <c r="H951" s="506"/>
      <c r="I951" s="506"/>
      <c r="J951" s="506"/>
      <c r="K951" s="507"/>
      <c r="L951" s="508"/>
      <c r="M951" s="508"/>
      <c r="N951" s="508"/>
      <c r="O951" s="509"/>
      <c r="P951" s="509"/>
    </row>
    <row r="952" spans="1:16" ht="21.75" customHeight="1" x14ac:dyDescent="0.3">
      <c r="A952" s="504"/>
      <c r="B952" s="504"/>
      <c r="C952" s="504"/>
      <c r="D952" s="504"/>
      <c r="E952" s="506"/>
      <c r="F952" s="506"/>
      <c r="G952" s="506"/>
      <c r="H952" s="506"/>
      <c r="I952" s="506"/>
      <c r="J952" s="506"/>
      <c r="K952" s="507"/>
      <c r="L952" s="508"/>
      <c r="M952" s="508"/>
      <c r="N952" s="508"/>
      <c r="O952" s="509"/>
      <c r="P952" s="509"/>
    </row>
    <row r="953" spans="1:16" ht="21.75" customHeight="1" x14ac:dyDescent="0.3">
      <c r="A953" s="504"/>
      <c r="B953" s="504"/>
      <c r="C953" s="504"/>
      <c r="D953" s="504"/>
      <c r="E953" s="506"/>
      <c r="F953" s="506"/>
      <c r="G953" s="506"/>
      <c r="H953" s="506"/>
      <c r="I953" s="506"/>
      <c r="J953" s="506"/>
      <c r="K953" s="507"/>
      <c r="L953" s="508"/>
      <c r="M953" s="508"/>
      <c r="N953" s="508"/>
      <c r="O953" s="509"/>
      <c r="P953" s="509"/>
    </row>
    <row r="954" spans="1:16" ht="21.75" customHeight="1" x14ac:dyDescent="0.3">
      <c r="A954" s="504"/>
      <c r="B954" s="504"/>
      <c r="C954" s="504"/>
      <c r="D954" s="504"/>
      <c r="E954" s="506"/>
      <c r="F954" s="506"/>
      <c r="G954" s="506"/>
      <c r="H954" s="506"/>
      <c r="I954" s="506"/>
      <c r="J954" s="506"/>
      <c r="K954" s="507"/>
      <c r="L954" s="508"/>
      <c r="M954" s="508"/>
      <c r="N954" s="508"/>
      <c r="O954" s="509"/>
      <c r="P954" s="509"/>
    </row>
    <row r="955" spans="1:16" ht="21.75" customHeight="1" x14ac:dyDescent="0.3">
      <c r="A955" s="504"/>
      <c r="B955" s="504"/>
      <c r="C955" s="504"/>
      <c r="D955" s="504"/>
      <c r="E955" s="506"/>
      <c r="F955" s="506"/>
      <c r="G955" s="506"/>
      <c r="H955" s="506"/>
      <c r="I955" s="506"/>
      <c r="J955" s="506"/>
      <c r="K955" s="507"/>
      <c r="L955" s="508"/>
      <c r="M955" s="508"/>
      <c r="N955" s="508"/>
      <c r="O955" s="509"/>
      <c r="P955" s="509"/>
    </row>
    <row r="956" spans="1:16" ht="21.75" customHeight="1" x14ac:dyDescent="0.3">
      <c r="A956" s="504"/>
      <c r="B956" s="504"/>
      <c r="C956" s="504"/>
      <c r="D956" s="504"/>
      <c r="E956" s="506"/>
      <c r="F956" s="506"/>
      <c r="G956" s="506"/>
      <c r="H956" s="506"/>
      <c r="I956" s="506"/>
      <c r="J956" s="506"/>
      <c r="K956" s="507"/>
      <c r="L956" s="508"/>
      <c r="M956" s="508"/>
      <c r="N956" s="508"/>
      <c r="O956" s="509"/>
      <c r="P956" s="509"/>
    </row>
    <row r="957" spans="1:16" ht="21.75" customHeight="1" x14ac:dyDescent="0.3">
      <c r="A957" s="504"/>
      <c r="B957" s="504"/>
      <c r="C957" s="504"/>
      <c r="D957" s="504"/>
      <c r="E957" s="506"/>
      <c r="F957" s="506"/>
      <c r="G957" s="506"/>
      <c r="H957" s="506"/>
      <c r="I957" s="506"/>
      <c r="J957" s="506"/>
      <c r="K957" s="507"/>
      <c r="L957" s="508"/>
      <c r="M957" s="508"/>
      <c r="N957" s="508"/>
      <c r="O957" s="509"/>
      <c r="P957" s="509"/>
    </row>
    <row r="958" spans="1:16" ht="21.75" customHeight="1" x14ac:dyDescent="0.3">
      <c r="A958" s="504"/>
      <c r="B958" s="504"/>
      <c r="C958" s="504"/>
      <c r="D958" s="504"/>
      <c r="E958" s="506"/>
      <c r="F958" s="506"/>
      <c r="G958" s="506"/>
      <c r="H958" s="506"/>
      <c r="I958" s="506"/>
      <c r="J958" s="506"/>
      <c r="K958" s="507"/>
      <c r="L958" s="508"/>
      <c r="M958" s="508"/>
      <c r="N958" s="508"/>
      <c r="O958" s="509"/>
      <c r="P958" s="509"/>
    </row>
    <row r="959" spans="1:16" ht="21.75" customHeight="1" x14ac:dyDescent="0.3">
      <c r="A959" s="504"/>
      <c r="B959" s="504"/>
      <c r="C959" s="504"/>
      <c r="D959" s="504"/>
      <c r="E959" s="506"/>
      <c r="F959" s="506"/>
      <c r="G959" s="506"/>
      <c r="H959" s="506"/>
      <c r="I959" s="506"/>
      <c r="J959" s="506"/>
      <c r="K959" s="507"/>
      <c r="L959" s="508"/>
      <c r="M959" s="508"/>
      <c r="N959" s="508"/>
      <c r="O959" s="509"/>
      <c r="P959" s="509"/>
    </row>
    <row r="960" spans="1:16" ht="21.75" customHeight="1" x14ac:dyDescent="0.3">
      <c r="A960" s="504"/>
      <c r="B960" s="504"/>
      <c r="C960" s="504"/>
      <c r="D960" s="504"/>
      <c r="E960" s="506"/>
      <c r="F960" s="506"/>
      <c r="G960" s="506"/>
      <c r="H960" s="506"/>
      <c r="I960" s="506"/>
      <c r="J960" s="506"/>
      <c r="K960" s="507"/>
      <c r="L960" s="508"/>
      <c r="M960" s="508"/>
      <c r="N960" s="508"/>
      <c r="O960" s="509"/>
      <c r="P960" s="509"/>
    </row>
    <row r="961" spans="1:16" ht="21.75" customHeight="1" x14ac:dyDescent="0.3">
      <c r="A961" s="504"/>
      <c r="B961" s="504"/>
      <c r="C961" s="504"/>
      <c r="D961" s="504"/>
      <c r="E961" s="506"/>
      <c r="F961" s="506"/>
      <c r="G961" s="506"/>
      <c r="H961" s="506"/>
      <c r="I961" s="506"/>
      <c r="J961" s="506"/>
      <c r="K961" s="507"/>
      <c r="L961" s="508"/>
      <c r="M961" s="508"/>
      <c r="N961" s="508"/>
      <c r="O961" s="509"/>
      <c r="P961" s="509"/>
    </row>
    <row r="962" spans="1:16" ht="21.75" customHeight="1" x14ac:dyDescent="0.3">
      <c r="A962" s="504"/>
      <c r="B962" s="504"/>
      <c r="C962" s="504"/>
      <c r="D962" s="504"/>
      <c r="E962" s="506"/>
      <c r="F962" s="506"/>
      <c r="G962" s="506"/>
      <c r="H962" s="506"/>
      <c r="I962" s="506"/>
      <c r="J962" s="506"/>
      <c r="K962" s="507"/>
      <c r="L962" s="508"/>
      <c r="M962" s="508"/>
      <c r="N962" s="508"/>
      <c r="O962" s="509"/>
      <c r="P962" s="509"/>
    </row>
    <row r="963" spans="1:16" ht="21.75" customHeight="1" x14ac:dyDescent="0.3">
      <c r="A963" s="504"/>
      <c r="B963" s="504"/>
      <c r="C963" s="504"/>
      <c r="D963" s="504"/>
      <c r="E963" s="506"/>
      <c r="F963" s="506"/>
      <c r="G963" s="506"/>
      <c r="H963" s="506"/>
      <c r="I963" s="506"/>
      <c r="J963" s="506"/>
      <c r="K963" s="507"/>
      <c r="L963" s="508"/>
      <c r="M963" s="508"/>
      <c r="N963" s="508"/>
      <c r="O963" s="509"/>
      <c r="P963" s="509"/>
    </row>
    <row r="964" spans="1:16" ht="21.75" customHeight="1" x14ac:dyDescent="0.3">
      <c r="A964" s="504"/>
      <c r="B964" s="504"/>
      <c r="C964" s="504"/>
      <c r="D964" s="504"/>
      <c r="E964" s="506"/>
      <c r="F964" s="506"/>
      <c r="G964" s="506"/>
      <c r="H964" s="506"/>
      <c r="I964" s="506"/>
      <c r="J964" s="506"/>
      <c r="K964" s="507"/>
      <c r="L964" s="508"/>
      <c r="M964" s="508"/>
      <c r="N964" s="508"/>
      <c r="O964" s="509"/>
      <c r="P964" s="509"/>
    </row>
    <row r="965" spans="1:16" ht="21.75" customHeight="1" x14ac:dyDescent="0.3">
      <c r="A965" s="504"/>
      <c r="B965" s="504"/>
      <c r="C965" s="504"/>
      <c r="D965" s="504"/>
      <c r="E965" s="506"/>
      <c r="F965" s="506"/>
      <c r="G965" s="506"/>
      <c r="H965" s="506"/>
      <c r="I965" s="506"/>
      <c r="J965" s="506"/>
      <c r="K965" s="507"/>
      <c r="L965" s="508"/>
      <c r="M965" s="508"/>
      <c r="N965" s="508"/>
      <c r="O965" s="509"/>
      <c r="P965" s="509"/>
    </row>
    <row r="966" spans="1:16" ht="21.75" customHeight="1" x14ac:dyDescent="0.3">
      <c r="A966" s="504"/>
      <c r="B966" s="504"/>
      <c r="C966" s="504"/>
      <c r="D966" s="504"/>
      <c r="E966" s="506"/>
      <c r="F966" s="506"/>
      <c r="G966" s="506"/>
      <c r="H966" s="506"/>
      <c r="I966" s="506"/>
      <c r="J966" s="506"/>
      <c r="K966" s="507"/>
      <c r="L966" s="508"/>
      <c r="M966" s="508"/>
      <c r="N966" s="508"/>
      <c r="O966" s="509"/>
      <c r="P966" s="509"/>
    </row>
    <row r="967" spans="1:16" ht="21.75" customHeight="1" x14ac:dyDescent="0.3">
      <c r="A967" s="504"/>
      <c r="B967" s="504"/>
      <c r="C967" s="504"/>
      <c r="D967" s="504"/>
      <c r="E967" s="506"/>
      <c r="F967" s="506"/>
      <c r="G967" s="506"/>
      <c r="H967" s="506"/>
      <c r="I967" s="506"/>
      <c r="J967" s="506"/>
      <c r="K967" s="507"/>
      <c r="L967" s="508"/>
      <c r="M967" s="508"/>
      <c r="N967" s="508"/>
      <c r="O967" s="509"/>
      <c r="P967" s="509"/>
    </row>
    <row r="968" spans="1:16" ht="21.75" customHeight="1" x14ac:dyDescent="0.3">
      <c r="A968" s="504"/>
      <c r="B968" s="504"/>
      <c r="C968" s="504"/>
      <c r="D968" s="504"/>
      <c r="E968" s="506"/>
      <c r="F968" s="506"/>
      <c r="G968" s="506"/>
      <c r="H968" s="506"/>
      <c r="I968" s="506"/>
      <c r="J968" s="506"/>
      <c r="K968" s="507"/>
      <c r="L968" s="508"/>
      <c r="M968" s="508"/>
      <c r="N968" s="508"/>
      <c r="O968" s="509"/>
      <c r="P968" s="509"/>
    </row>
    <row r="969" spans="1:16" ht="21.75" customHeight="1" x14ac:dyDescent="0.3">
      <c r="A969" s="504"/>
      <c r="B969" s="504"/>
      <c r="C969" s="504"/>
      <c r="D969" s="504"/>
      <c r="E969" s="506"/>
      <c r="F969" s="506"/>
      <c r="G969" s="506"/>
      <c r="H969" s="506"/>
      <c r="I969" s="506"/>
      <c r="J969" s="506"/>
      <c r="K969" s="507"/>
      <c r="L969" s="508"/>
      <c r="M969" s="508"/>
      <c r="N969" s="508"/>
      <c r="O969" s="509"/>
      <c r="P969" s="509"/>
    </row>
    <row r="970" spans="1:16" ht="21.75" customHeight="1" x14ac:dyDescent="0.3">
      <c r="A970" s="504"/>
      <c r="B970" s="504"/>
      <c r="C970" s="504"/>
      <c r="D970" s="504"/>
      <c r="E970" s="506"/>
      <c r="F970" s="506"/>
      <c r="G970" s="506"/>
      <c r="H970" s="506"/>
      <c r="I970" s="506"/>
      <c r="J970" s="506"/>
      <c r="K970" s="507"/>
      <c r="L970" s="508"/>
      <c r="M970" s="508"/>
      <c r="N970" s="508"/>
      <c r="O970" s="509"/>
      <c r="P970" s="509"/>
    </row>
    <row r="971" spans="1:16" ht="21.75" customHeight="1" x14ac:dyDescent="0.3">
      <c r="A971" s="504"/>
      <c r="B971" s="504"/>
      <c r="C971" s="504"/>
      <c r="D971" s="504"/>
      <c r="E971" s="506"/>
      <c r="F971" s="506"/>
      <c r="G971" s="506"/>
      <c r="H971" s="506"/>
      <c r="I971" s="506"/>
      <c r="J971" s="506"/>
      <c r="K971" s="507"/>
      <c r="L971" s="508"/>
      <c r="M971" s="508"/>
      <c r="N971" s="508"/>
      <c r="O971" s="509"/>
      <c r="P971" s="509"/>
    </row>
    <row r="972" spans="1:16" ht="21.75" customHeight="1" x14ac:dyDescent="0.3">
      <c r="A972" s="504"/>
      <c r="B972" s="504"/>
      <c r="C972" s="504"/>
      <c r="D972" s="504"/>
      <c r="E972" s="506"/>
      <c r="F972" s="506"/>
      <c r="G972" s="506"/>
      <c r="H972" s="506"/>
      <c r="I972" s="506"/>
      <c r="J972" s="506"/>
      <c r="K972" s="507"/>
      <c r="L972" s="508"/>
      <c r="M972" s="508"/>
      <c r="N972" s="508"/>
      <c r="O972" s="509"/>
      <c r="P972" s="509"/>
    </row>
    <row r="973" spans="1:16" ht="21.75" customHeight="1" x14ac:dyDescent="0.3">
      <c r="A973" s="504"/>
      <c r="B973" s="504"/>
      <c r="C973" s="504"/>
      <c r="D973" s="504"/>
      <c r="E973" s="506"/>
      <c r="F973" s="506"/>
      <c r="G973" s="506"/>
      <c r="H973" s="506"/>
      <c r="I973" s="506"/>
      <c r="J973" s="506"/>
      <c r="K973" s="507"/>
      <c r="L973" s="508"/>
      <c r="M973" s="508"/>
      <c r="N973" s="508"/>
      <c r="O973" s="509"/>
      <c r="P973" s="509"/>
    </row>
    <row r="974" spans="1:16" ht="21.75" customHeight="1" x14ac:dyDescent="0.3">
      <c r="A974" s="504"/>
      <c r="B974" s="504"/>
      <c r="C974" s="504"/>
      <c r="D974" s="504"/>
      <c r="E974" s="506"/>
      <c r="F974" s="506"/>
      <c r="G974" s="506"/>
      <c r="H974" s="506"/>
      <c r="I974" s="506"/>
      <c r="J974" s="506"/>
      <c r="K974" s="507"/>
      <c r="L974" s="508"/>
      <c r="M974" s="508"/>
      <c r="N974" s="508"/>
      <c r="O974" s="509"/>
      <c r="P974" s="509"/>
    </row>
    <row r="975" spans="1:16" ht="21.75" customHeight="1" x14ac:dyDescent="0.3">
      <c r="A975" s="504"/>
      <c r="B975" s="504"/>
      <c r="C975" s="504"/>
      <c r="D975" s="504"/>
      <c r="E975" s="506"/>
      <c r="F975" s="506"/>
      <c r="G975" s="506"/>
      <c r="H975" s="506"/>
      <c r="I975" s="506"/>
      <c r="J975" s="506"/>
      <c r="K975" s="507"/>
      <c r="L975" s="508"/>
      <c r="M975" s="508"/>
      <c r="N975" s="508"/>
      <c r="O975" s="509"/>
      <c r="P975" s="509"/>
    </row>
    <row r="976" spans="1:16" ht="21.75" customHeight="1" x14ac:dyDescent="0.3">
      <c r="A976" s="504"/>
      <c r="B976" s="504"/>
      <c r="C976" s="504"/>
      <c r="D976" s="504"/>
      <c r="E976" s="506"/>
      <c r="F976" s="506"/>
      <c r="G976" s="506"/>
      <c r="H976" s="506"/>
      <c r="I976" s="506"/>
      <c r="J976" s="506"/>
      <c r="K976" s="507"/>
      <c r="L976" s="508"/>
      <c r="M976" s="508"/>
      <c r="N976" s="508"/>
      <c r="O976" s="509"/>
      <c r="P976" s="509"/>
    </row>
    <row r="977" spans="1:16" ht="21.75" customHeight="1" x14ac:dyDescent="0.3">
      <c r="A977" s="504"/>
      <c r="B977" s="504"/>
      <c r="C977" s="504"/>
      <c r="D977" s="504"/>
      <c r="E977" s="506"/>
      <c r="F977" s="506"/>
      <c r="G977" s="506"/>
      <c r="H977" s="506"/>
      <c r="I977" s="506"/>
      <c r="J977" s="506"/>
      <c r="K977" s="507"/>
      <c r="L977" s="508"/>
      <c r="M977" s="508"/>
      <c r="N977" s="508"/>
      <c r="O977" s="509"/>
      <c r="P977" s="509"/>
    </row>
    <row r="978" spans="1:16" ht="21.75" customHeight="1" x14ac:dyDescent="0.3">
      <c r="A978" s="504"/>
      <c r="B978" s="504"/>
      <c r="C978" s="504"/>
      <c r="D978" s="504"/>
      <c r="E978" s="506"/>
      <c r="F978" s="506"/>
      <c r="G978" s="506"/>
      <c r="H978" s="506"/>
      <c r="I978" s="506"/>
      <c r="J978" s="506"/>
      <c r="K978" s="507"/>
      <c r="L978" s="508"/>
      <c r="M978" s="508"/>
      <c r="N978" s="508"/>
      <c r="O978" s="509"/>
      <c r="P978" s="509"/>
    </row>
    <row r="979" spans="1:16" ht="21.75" customHeight="1" x14ac:dyDescent="0.3">
      <c r="A979" s="504"/>
      <c r="B979" s="504"/>
      <c r="C979" s="504"/>
      <c r="D979" s="504"/>
      <c r="E979" s="506"/>
      <c r="F979" s="506"/>
      <c r="G979" s="506"/>
      <c r="H979" s="506"/>
      <c r="I979" s="506"/>
      <c r="J979" s="506"/>
      <c r="K979" s="507"/>
      <c r="L979" s="508"/>
      <c r="M979" s="508"/>
      <c r="N979" s="508"/>
      <c r="O979" s="509"/>
      <c r="P979" s="509"/>
    </row>
    <row r="980" spans="1:16" ht="21.75" customHeight="1" x14ac:dyDescent="0.3">
      <c r="A980" s="504"/>
      <c r="B980" s="504"/>
      <c r="C980" s="504"/>
      <c r="D980" s="504"/>
      <c r="E980" s="506"/>
      <c r="F980" s="506"/>
      <c r="G980" s="506"/>
      <c r="H980" s="506"/>
      <c r="I980" s="506"/>
      <c r="J980" s="506"/>
      <c r="K980" s="507"/>
      <c r="L980" s="508"/>
      <c r="M980" s="508"/>
      <c r="N980" s="508"/>
      <c r="O980" s="509"/>
      <c r="P980" s="509"/>
    </row>
    <row r="981" spans="1:16" ht="21.75" customHeight="1" x14ac:dyDescent="0.3">
      <c r="A981" s="504"/>
      <c r="B981" s="504"/>
      <c r="C981" s="504"/>
      <c r="D981" s="504"/>
      <c r="E981" s="506"/>
      <c r="F981" s="506"/>
      <c r="G981" s="506"/>
      <c r="H981" s="506"/>
      <c r="I981" s="506"/>
      <c r="J981" s="506"/>
      <c r="K981" s="507"/>
      <c r="L981" s="508"/>
      <c r="M981" s="508"/>
      <c r="N981" s="508"/>
      <c r="O981" s="509"/>
      <c r="P981" s="509"/>
    </row>
    <row r="982" spans="1:16" ht="21.75" customHeight="1" x14ac:dyDescent="0.3">
      <c r="A982" s="504"/>
      <c r="B982" s="504"/>
      <c r="C982" s="504"/>
      <c r="D982" s="504"/>
      <c r="E982" s="506"/>
      <c r="F982" s="506"/>
      <c r="G982" s="506"/>
      <c r="H982" s="506"/>
      <c r="I982" s="506"/>
      <c r="J982" s="506"/>
      <c r="K982" s="507"/>
      <c r="L982" s="508"/>
      <c r="M982" s="508"/>
      <c r="N982" s="508"/>
      <c r="O982" s="509"/>
      <c r="P982" s="509"/>
    </row>
    <row r="983" spans="1:16" ht="21.75" customHeight="1" x14ac:dyDescent="0.3">
      <c r="A983" s="504"/>
      <c r="B983" s="504"/>
      <c r="C983" s="504"/>
      <c r="D983" s="504"/>
      <c r="E983" s="506"/>
      <c r="F983" s="506"/>
      <c r="G983" s="506"/>
      <c r="H983" s="506"/>
      <c r="I983" s="506"/>
      <c r="J983" s="506"/>
      <c r="K983" s="507"/>
      <c r="L983" s="508"/>
      <c r="M983" s="508"/>
      <c r="N983" s="508"/>
      <c r="O983" s="509"/>
      <c r="P983" s="509"/>
    </row>
    <row r="984" spans="1:16" ht="21.75" customHeight="1" x14ac:dyDescent="0.3">
      <c r="A984" s="504"/>
      <c r="B984" s="504"/>
      <c r="C984" s="504"/>
      <c r="D984" s="504"/>
      <c r="E984" s="506"/>
      <c r="F984" s="506"/>
      <c r="G984" s="506"/>
      <c r="H984" s="506"/>
      <c r="I984" s="506"/>
      <c r="J984" s="506"/>
      <c r="K984" s="507"/>
      <c r="L984" s="508"/>
      <c r="M984" s="508"/>
      <c r="N984" s="508"/>
      <c r="O984" s="509"/>
      <c r="P984" s="509"/>
    </row>
    <row r="985" spans="1:16" ht="21.75" customHeight="1" x14ac:dyDescent="0.3">
      <c r="A985" s="504"/>
      <c r="B985" s="504"/>
      <c r="C985" s="504"/>
      <c r="D985" s="504"/>
      <c r="E985" s="506"/>
      <c r="F985" s="506"/>
      <c r="G985" s="506"/>
      <c r="H985" s="506"/>
      <c r="I985" s="506"/>
      <c r="J985" s="506"/>
      <c r="K985" s="507"/>
      <c r="L985" s="508"/>
      <c r="M985" s="508"/>
      <c r="N985" s="508"/>
      <c r="O985" s="509"/>
      <c r="P985" s="509"/>
    </row>
    <row r="986" spans="1:16" ht="21.75" customHeight="1" x14ac:dyDescent="0.3">
      <c r="A986" s="504"/>
      <c r="B986" s="504"/>
      <c r="C986" s="504"/>
      <c r="D986" s="504"/>
      <c r="E986" s="506"/>
      <c r="F986" s="506"/>
      <c r="G986" s="506"/>
      <c r="H986" s="506"/>
      <c r="I986" s="506"/>
      <c r="J986" s="506"/>
      <c r="K986" s="507"/>
      <c r="L986" s="508"/>
      <c r="M986" s="508"/>
      <c r="N986" s="508"/>
      <c r="O986" s="509"/>
      <c r="P986" s="509"/>
    </row>
    <row r="987" spans="1:16" ht="21.75" customHeight="1" x14ac:dyDescent="0.3">
      <c r="A987" s="504"/>
      <c r="B987" s="504"/>
      <c r="C987" s="504"/>
      <c r="D987" s="504"/>
      <c r="E987" s="506"/>
      <c r="F987" s="506"/>
      <c r="G987" s="506"/>
      <c r="H987" s="506"/>
      <c r="I987" s="506"/>
      <c r="J987" s="506"/>
      <c r="K987" s="507"/>
      <c r="L987" s="508"/>
      <c r="M987" s="508"/>
      <c r="N987" s="508"/>
      <c r="O987" s="509"/>
      <c r="P987" s="509"/>
    </row>
    <row r="988" spans="1:16" ht="21.75" customHeight="1" x14ac:dyDescent="0.3">
      <c r="A988" s="504"/>
      <c r="B988" s="504"/>
      <c r="C988" s="504"/>
      <c r="D988" s="504"/>
      <c r="E988" s="506"/>
      <c r="F988" s="506"/>
      <c r="G988" s="506"/>
      <c r="H988" s="506"/>
      <c r="I988" s="506"/>
      <c r="J988" s="506"/>
      <c r="K988" s="507"/>
      <c r="L988" s="508"/>
      <c r="M988" s="508"/>
      <c r="N988" s="508"/>
      <c r="O988" s="509"/>
      <c r="P988" s="509"/>
    </row>
    <row r="989" spans="1:16" ht="21.75" customHeight="1" x14ac:dyDescent="0.3">
      <c r="A989" s="504"/>
      <c r="B989" s="504"/>
      <c r="C989" s="504"/>
      <c r="D989" s="504"/>
      <c r="E989" s="506"/>
      <c r="F989" s="506"/>
      <c r="G989" s="506"/>
      <c r="H989" s="506"/>
      <c r="I989" s="506"/>
      <c r="J989" s="506"/>
      <c r="K989" s="507"/>
      <c r="L989" s="508"/>
      <c r="M989" s="508"/>
      <c r="N989" s="508"/>
      <c r="O989" s="509"/>
      <c r="P989" s="509"/>
    </row>
    <row r="990" spans="1:16" ht="21.75" customHeight="1" x14ac:dyDescent="0.3">
      <c r="A990" s="504"/>
      <c r="B990" s="504"/>
      <c r="C990" s="504"/>
      <c r="D990" s="504"/>
      <c r="E990" s="506"/>
      <c r="F990" s="506"/>
      <c r="G990" s="506"/>
      <c r="H990" s="506"/>
      <c r="I990" s="506"/>
      <c r="J990" s="506"/>
      <c r="K990" s="507"/>
      <c r="L990" s="508"/>
      <c r="M990" s="508"/>
      <c r="N990" s="508"/>
      <c r="O990" s="509"/>
      <c r="P990" s="509"/>
    </row>
    <row r="991" spans="1:16" ht="21.75" customHeight="1" x14ac:dyDescent="0.3">
      <c r="A991" s="504"/>
      <c r="B991" s="504"/>
      <c r="C991" s="504"/>
      <c r="D991" s="504"/>
      <c r="E991" s="506"/>
      <c r="F991" s="506"/>
      <c r="G991" s="506"/>
      <c r="H991" s="506"/>
      <c r="I991" s="506"/>
      <c r="J991" s="506"/>
      <c r="K991" s="507"/>
      <c r="L991" s="508"/>
      <c r="M991" s="508"/>
      <c r="N991" s="508"/>
      <c r="O991" s="509"/>
      <c r="P991" s="509"/>
    </row>
    <row r="992" spans="1:16" ht="21.75" customHeight="1" x14ac:dyDescent="0.3">
      <c r="A992" s="504"/>
      <c r="B992" s="504"/>
      <c r="C992" s="504"/>
      <c r="D992" s="504"/>
      <c r="E992" s="506"/>
      <c r="F992" s="506"/>
      <c r="G992" s="506"/>
      <c r="H992" s="506"/>
      <c r="I992" s="506"/>
      <c r="J992" s="506"/>
      <c r="K992" s="507"/>
      <c r="L992" s="508"/>
      <c r="M992" s="508"/>
      <c r="N992" s="508"/>
      <c r="O992" s="509"/>
      <c r="P992" s="509"/>
    </row>
    <row r="993" spans="1:16" ht="21.75" customHeight="1" x14ac:dyDescent="0.3">
      <c r="A993" s="504"/>
      <c r="B993" s="504"/>
      <c r="C993" s="504"/>
      <c r="D993" s="504"/>
      <c r="E993" s="506"/>
      <c r="F993" s="506"/>
      <c r="G993" s="506"/>
      <c r="H993" s="506"/>
      <c r="I993" s="506"/>
      <c r="J993" s="506"/>
      <c r="K993" s="507"/>
      <c r="L993" s="508"/>
      <c r="M993" s="508"/>
      <c r="N993" s="508"/>
      <c r="O993" s="509"/>
      <c r="P993" s="509"/>
    </row>
    <row r="994" spans="1:16" ht="21.75" customHeight="1" x14ac:dyDescent="0.3">
      <c r="A994" s="504"/>
      <c r="B994" s="504"/>
      <c r="C994" s="504"/>
      <c r="D994" s="504"/>
      <c r="E994" s="506"/>
      <c r="F994" s="506"/>
      <c r="G994" s="506"/>
      <c r="H994" s="506"/>
      <c r="I994" s="506"/>
      <c r="J994" s="506"/>
      <c r="K994" s="507"/>
      <c r="L994" s="508"/>
      <c r="M994" s="508"/>
      <c r="N994" s="508"/>
      <c r="O994" s="509"/>
      <c r="P994" s="509"/>
    </row>
    <row r="995" spans="1:16" ht="21.75" customHeight="1" x14ac:dyDescent="0.3">
      <c r="A995" s="504"/>
      <c r="B995" s="504"/>
      <c r="C995" s="504"/>
      <c r="D995" s="504"/>
      <c r="E995" s="506"/>
      <c r="F995" s="506"/>
      <c r="G995" s="506"/>
      <c r="H995" s="506"/>
      <c r="I995" s="506"/>
      <c r="J995" s="506"/>
      <c r="K995" s="507"/>
      <c r="L995" s="508"/>
      <c r="M995" s="508"/>
      <c r="N995" s="508"/>
      <c r="O995" s="509"/>
      <c r="P995" s="509"/>
    </row>
    <row r="996" spans="1:16" ht="21.75" customHeight="1" x14ac:dyDescent="0.3">
      <c r="A996" s="504"/>
      <c r="B996" s="504"/>
      <c r="C996" s="504"/>
      <c r="D996" s="504"/>
      <c r="E996" s="506"/>
      <c r="F996" s="506"/>
      <c r="G996" s="506"/>
      <c r="H996" s="506"/>
      <c r="I996" s="506"/>
      <c r="J996" s="506"/>
      <c r="K996" s="507"/>
      <c r="L996" s="508"/>
      <c r="M996" s="508"/>
      <c r="N996" s="508"/>
      <c r="O996" s="509"/>
      <c r="P996" s="509"/>
    </row>
    <row r="997" spans="1:16" ht="21.75" customHeight="1" x14ac:dyDescent="0.3">
      <c r="A997" s="504"/>
      <c r="B997" s="504"/>
      <c r="C997" s="504"/>
      <c r="D997" s="504"/>
      <c r="E997" s="506"/>
      <c r="F997" s="506"/>
      <c r="G997" s="506"/>
      <c r="H997" s="506"/>
      <c r="I997" s="506"/>
      <c r="J997" s="506"/>
      <c r="K997" s="507"/>
      <c r="L997" s="508"/>
      <c r="M997" s="508"/>
      <c r="N997" s="508"/>
      <c r="O997" s="509"/>
      <c r="P997" s="509"/>
    </row>
    <row r="998" spans="1:16" ht="21.75" customHeight="1" x14ac:dyDescent="0.3">
      <c r="A998" s="504"/>
      <c r="B998" s="504"/>
      <c r="C998" s="504"/>
      <c r="D998" s="504"/>
      <c r="E998" s="506"/>
      <c r="F998" s="506"/>
      <c r="G998" s="506"/>
      <c r="H998" s="506"/>
      <c r="I998" s="506"/>
      <c r="J998" s="506"/>
      <c r="K998" s="507"/>
      <c r="L998" s="508"/>
      <c r="M998" s="508"/>
      <c r="N998" s="508"/>
      <c r="O998" s="509"/>
      <c r="P998" s="509"/>
    </row>
    <row r="999" spans="1:16" ht="21.75" customHeight="1" x14ac:dyDescent="0.3">
      <c r="A999" s="504"/>
      <c r="B999" s="504"/>
      <c r="C999" s="504"/>
      <c r="D999" s="504"/>
      <c r="E999" s="506"/>
      <c r="F999" s="506"/>
      <c r="G999" s="506"/>
      <c r="H999" s="506"/>
      <c r="I999" s="506"/>
      <c r="J999" s="506"/>
      <c r="K999" s="507"/>
      <c r="L999" s="508"/>
      <c r="M999" s="508"/>
      <c r="N999" s="508"/>
      <c r="O999" s="509"/>
      <c r="P999" s="509"/>
    </row>
    <row r="1000" spans="1:16" ht="21.75" customHeight="1" x14ac:dyDescent="0.3">
      <c r="A1000" s="504"/>
      <c r="B1000" s="504"/>
      <c r="C1000" s="504"/>
      <c r="D1000" s="504"/>
      <c r="E1000" s="506"/>
      <c r="F1000" s="506"/>
      <c r="G1000" s="506"/>
      <c r="H1000" s="506"/>
      <c r="I1000" s="506"/>
      <c r="J1000" s="506"/>
      <c r="K1000" s="507"/>
      <c r="L1000" s="508"/>
      <c r="M1000" s="508"/>
      <c r="N1000" s="508"/>
      <c r="O1000" s="509"/>
      <c r="P1000" s="509"/>
    </row>
    <row r="1001" spans="1:16" ht="21.75" customHeight="1" x14ac:dyDescent="0.3">
      <c r="A1001" s="504"/>
      <c r="B1001" s="504"/>
      <c r="C1001" s="504"/>
      <c r="D1001" s="504"/>
      <c r="E1001" s="506"/>
      <c r="F1001" s="506"/>
      <c r="G1001" s="506"/>
      <c r="H1001" s="506"/>
      <c r="I1001" s="506"/>
      <c r="J1001" s="506"/>
      <c r="K1001" s="507"/>
      <c r="L1001" s="508"/>
      <c r="M1001" s="508"/>
      <c r="N1001" s="508"/>
      <c r="O1001" s="509"/>
      <c r="P1001" s="509"/>
    </row>
    <row r="1002" spans="1:16" ht="21.75" customHeight="1" x14ac:dyDescent="0.3">
      <c r="A1002" s="504"/>
      <c r="B1002" s="504"/>
      <c r="C1002" s="504"/>
      <c r="D1002" s="504"/>
      <c r="E1002" s="506"/>
      <c r="F1002" s="506"/>
      <c r="G1002" s="506"/>
      <c r="H1002" s="506"/>
      <c r="I1002" s="506"/>
      <c r="J1002" s="506"/>
      <c r="K1002" s="507"/>
      <c r="L1002" s="508"/>
      <c r="M1002" s="508"/>
      <c r="N1002" s="508"/>
      <c r="O1002" s="509"/>
      <c r="P1002" s="509"/>
    </row>
    <row r="1003" spans="1:16" ht="21.75" customHeight="1" x14ac:dyDescent="0.3">
      <c r="A1003" s="504"/>
      <c r="B1003" s="504"/>
      <c r="C1003" s="504"/>
      <c r="D1003" s="504"/>
      <c r="E1003" s="506"/>
      <c r="F1003" s="506"/>
      <c r="G1003" s="506"/>
      <c r="H1003" s="506"/>
      <c r="I1003" s="506"/>
      <c r="J1003" s="506"/>
      <c r="K1003" s="507"/>
      <c r="L1003" s="508"/>
      <c r="M1003" s="508"/>
      <c r="N1003" s="508"/>
      <c r="O1003" s="509"/>
      <c r="P1003" s="509"/>
    </row>
    <row r="1004" spans="1:16" ht="21.75" customHeight="1" x14ac:dyDescent="0.3">
      <c r="A1004" s="504"/>
      <c r="B1004" s="504"/>
      <c r="C1004" s="504"/>
      <c r="D1004" s="504"/>
      <c r="E1004" s="506"/>
      <c r="F1004" s="506"/>
      <c r="G1004" s="506"/>
      <c r="H1004" s="506"/>
      <c r="I1004" s="506"/>
      <c r="J1004" s="506"/>
      <c r="K1004" s="507"/>
      <c r="L1004" s="508"/>
      <c r="M1004" s="508"/>
      <c r="N1004" s="508"/>
      <c r="O1004" s="509"/>
      <c r="P1004" s="509"/>
    </row>
    <row r="1005" spans="1:16" ht="21.75" customHeight="1" x14ac:dyDescent="0.3">
      <c r="A1005" s="504"/>
      <c r="B1005" s="504"/>
      <c r="C1005" s="504"/>
      <c r="D1005" s="504"/>
      <c r="E1005" s="506"/>
      <c r="F1005" s="506"/>
      <c r="G1005" s="506"/>
      <c r="H1005" s="506"/>
      <c r="I1005" s="506"/>
      <c r="J1005" s="506"/>
      <c r="K1005" s="507"/>
      <c r="L1005" s="508"/>
      <c r="M1005" s="508"/>
      <c r="N1005" s="508"/>
      <c r="O1005" s="509"/>
      <c r="P1005" s="509"/>
    </row>
    <row r="1006" spans="1:16" ht="21.75" customHeight="1" x14ac:dyDescent="0.3">
      <c r="A1006" s="504"/>
      <c r="B1006" s="504"/>
      <c r="C1006" s="504"/>
      <c r="D1006" s="504"/>
      <c r="E1006" s="506"/>
      <c r="F1006" s="506"/>
      <c r="G1006" s="506"/>
      <c r="H1006" s="506"/>
      <c r="I1006" s="506"/>
      <c r="J1006" s="506"/>
      <c r="K1006" s="507"/>
      <c r="L1006" s="508"/>
      <c r="M1006" s="508"/>
      <c r="N1006" s="508"/>
      <c r="O1006" s="509"/>
      <c r="P1006" s="509"/>
    </row>
    <row r="1007" spans="1:16" ht="21.75" customHeight="1" x14ac:dyDescent="0.3">
      <c r="A1007" s="504"/>
      <c r="B1007" s="504"/>
      <c r="C1007" s="504"/>
      <c r="D1007" s="504"/>
      <c r="E1007" s="506"/>
      <c r="F1007" s="506"/>
      <c r="G1007" s="506"/>
      <c r="H1007" s="506"/>
      <c r="I1007" s="506"/>
      <c r="J1007" s="506"/>
      <c r="K1007" s="507"/>
      <c r="L1007" s="508"/>
      <c r="M1007" s="508"/>
      <c r="N1007" s="508"/>
      <c r="O1007" s="509"/>
      <c r="P1007" s="509"/>
    </row>
    <row r="1008" spans="1:16" ht="21.75" customHeight="1" x14ac:dyDescent="0.3">
      <c r="A1008" s="504"/>
      <c r="B1008" s="504"/>
      <c r="C1008" s="504"/>
      <c r="D1008" s="504"/>
      <c r="E1008" s="506"/>
      <c r="F1008" s="506"/>
      <c r="G1008" s="506"/>
      <c r="H1008" s="506"/>
      <c r="I1008" s="506"/>
      <c r="J1008" s="506"/>
      <c r="K1008" s="507"/>
      <c r="L1008" s="508"/>
      <c r="M1008" s="508"/>
      <c r="N1008" s="508"/>
      <c r="O1008" s="509"/>
      <c r="P1008" s="509"/>
    </row>
    <row r="1009" spans="1:16" ht="21.75" customHeight="1" x14ac:dyDescent="0.3">
      <c r="A1009" s="504"/>
      <c r="B1009" s="504"/>
      <c r="C1009" s="504"/>
      <c r="D1009" s="504"/>
      <c r="E1009" s="506"/>
      <c r="F1009" s="506"/>
      <c r="G1009" s="506"/>
      <c r="H1009" s="506"/>
      <c r="I1009" s="506"/>
      <c r="J1009" s="506"/>
      <c r="K1009" s="507"/>
      <c r="L1009" s="508"/>
      <c r="M1009" s="508"/>
      <c r="N1009" s="508"/>
      <c r="O1009" s="509"/>
      <c r="P1009" s="509"/>
    </row>
    <row r="1010" spans="1:16" ht="21.75" customHeight="1" x14ac:dyDescent="0.3">
      <c r="A1010" s="504"/>
      <c r="B1010" s="504"/>
      <c r="C1010" s="504"/>
      <c r="D1010" s="504"/>
      <c r="E1010" s="506"/>
      <c r="F1010" s="506"/>
      <c r="G1010" s="506"/>
      <c r="H1010" s="506"/>
      <c r="I1010" s="506"/>
      <c r="J1010" s="506"/>
      <c r="K1010" s="507"/>
      <c r="L1010" s="508"/>
      <c r="M1010" s="508"/>
      <c r="N1010" s="508"/>
      <c r="O1010" s="509"/>
      <c r="P1010" s="509"/>
    </row>
    <row r="1011" spans="1:16" ht="21.75" customHeight="1" x14ac:dyDescent="0.3">
      <c r="A1011" s="504"/>
      <c r="B1011" s="504"/>
      <c r="C1011" s="504"/>
      <c r="D1011" s="504"/>
      <c r="E1011" s="506"/>
      <c r="F1011" s="506"/>
      <c r="G1011" s="506"/>
      <c r="H1011" s="506"/>
      <c r="I1011" s="506"/>
      <c r="J1011" s="506"/>
      <c r="K1011" s="507"/>
      <c r="L1011" s="508"/>
      <c r="M1011" s="508"/>
      <c r="N1011" s="508"/>
      <c r="O1011" s="509"/>
      <c r="P1011" s="509"/>
    </row>
    <row r="1012" spans="1:16" ht="21.75" customHeight="1" x14ac:dyDescent="0.3">
      <c r="A1012" s="504"/>
      <c r="B1012" s="504"/>
      <c r="C1012" s="504"/>
      <c r="D1012" s="504"/>
      <c r="E1012" s="506"/>
      <c r="F1012" s="506"/>
      <c r="G1012" s="506"/>
      <c r="H1012" s="506"/>
      <c r="I1012" s="506"/>
      <c r="J1012" s="506"/>
      <c r="K1012" s="507"/>
      <c r="L1012" s="508"/>
      <c r="M1012" s="508"/>
      <c r="N1012" s="508"/>
      <c r="O1012" s="509"/>
      <c r="P1012" s="509"/>
    </row>
    <row r="1013" spans="1:16" ht="21.75" customHeight="1" x14ac:dyDescent="0.3">
      <c r="A1013" s="504"/>
      <c r="B1013" s="504"/>
      <c r="C1013" s="504"/>
      <c r="D1013" s="504"/>
      <c r="E1013" s="506"/>
      <c r="F1013" s="506"/>
      <c r="G1013" s="506"/>
      <c r="H1013" s="506"/>
      <c r="I1013" s="506"/>
      <c r="J1013" s="506"/>
      <c r="K1013" s="507"/>
      <c r="L1013" s="508"/>
      <c r="M1013" s="508"/>
      <c r="N1013" s="508"/>
      <c r="O1013" s="509"/>
      <c r="P1013" s="509"/>
    </row>
    <row r="1014" spans="1:16" ht="21.75" customHeight="1" x14ac:dyDescent="0.3">
      <c r="A1014" s="504"/>
      <c r="B1014" s="504"/>
      <c r="C1014" s="504"/>
      <c r="D1014" s="504"/>
      <c r="E1014" s="506"/>
      <c r="F1014" s="506"/>
      <c r="G1014" s="506"/>
      <c r="H1014" s="506"/>
      <c r="I1014" s="506"/>
      <c r="J1014" s="506"/>
      <c r="K1014" s="507"/>
      <c r="L1014" s="508"/>
      <c r="M1014" s="508"/>
      <c r="N1014" s="508"/>
      <c r="O1014" s="509"/>
      <c r="P1014" s="509"/>
    </row>
    <row r="1015" spans="1:16" ht="21.75" customHeight="1" x14ac:dyDescent="0.3">
      <c r="A1015" s="504"/>
      <c r="B1015" s="504"/>
      <c r="C1015" s="504"/>
      <c r="D1015" s="504"/>
      <c r="E1015" s="506"/>
      <c r="F1015" s="506"/>
      <c r="G1015" s="506"/>
      <c r="H1015" s="506"/>
      <c r="I1015" s="506"/>
      <c r="J1015" s="506"/>
      <c r="K1015" s="507"/>
      <c r="L1015" s="508"/>
      <c r="M1015" s="508"/>
      <c r="N1015" s="508"/>
      <c r="O1015" s="509"/>
      <c r="P1015" s="509"/>
    </row>
    <row r="1016" spans="1:16" ht="21.75" customHeight="1" x14ac:dyDescent="0.3">
      <c r="A1016" s="504"/>
      <c r="B1016" s="504"/>
      <c r="C1016" s="504"/>
      <c r="D1016" s="504"/>
      <c r="E1016" s="506"/>
      <c r="F1016" s="506"/>
      <c r="G1016" s="506"/>
      <c r="H1016" s="506"/>
      <c r="I1016" s="506"/>
      <c r="J1016" s="506"/>
      <c r="K1016" s="507"/>
      <c r="L1016" s="508"/>
      <c r="M1016" s="508"/>
      <c r="N1016" s="508"/>
      <c r="O1016" s="509"/>
      <c r="P1016" s="509"/>
    </row>
    <row r="1017" spans="1:16" ht="21.75" customHeight="1" x14ac:dyDescent="0.3">
      <c r="A1017" s="504"/>
      <c r="B1017" s="504"/>
      <c r="C1017" s="504"/>
      <c r="D1017" s="504"/>
      <c r="E1017" s="506"/>
      <c r="F1017" s="506"/>
      <c r="G1017" s="506"/>
      <c r="H1017" s="506"/>
      <c r="I1017" s="506"/>
      <c r="J1017" s="506"/>
      <c r="K1017" s="507"/>
      <c r="L1017" s="508"/>
      <c r="M1017" s="508"/>
      <c r="N1017" s="508"/>
      <c r="O1017" s="509"/>
      <c r="P1017" s="509"/>
    </row>
    <row r="1018" spans="1:16" ht="21.75" customHeight="1" x14ac:dyDescent="0.3">
      <c r="A1018" s="504"/>
      <c r="B1018" s="504"/>
      <c r="C1018" s="504"/>
      <c r="D1018" s="504"/>
      <c r="E1018" s="506"/>
      <c r="F1018" s="506"/>
      <c r="G1018" s="506"/>
      <c r="H1018" s="506"/>
      <c r="I1018" s="506"/>
      <c r="J1018" s="506"/>
      <c r="K1018" s="507"/>
      <c r="L1018" s="508"/>
      <c r="M1018" s="508"/>
      <c r="N1018" s="508"/>
      <c r="O1018" s="509"/>
      <c r="P1018" s="509"/>
    </row>
    <row r="1019" spans="1:16" ht="21.75" customHeight="1" x14ac:dyDescent="0.3">
      <c r="A1019" s="504"/>
      <c r="B1019" s="504"/>
      <c r="C1019" s="504"/>
      <c r="D1019" s="504"/>
      <c r="E1019" s="506"/>
      <c r="F1019" s="506"/>
      <c r="G1019" s="506"/>
      <c r="H1019" s="506"/>
      <c r="I1019" s="506"/>
      <c r="J1019" s="506"/>
      <c r="K1019" s="507"/>
      <c r="L1019" s="508"/>
      <c r="M1019" s="508"/>
      <c r="N1019" s="508"/>
      <c r="O1019" s="509"/>
      <c r="P1019" s="509"/>
    </row>
    <row r="1020" spans="1:16" ht="21.75" customHeight="1" x14ac:dyDescent="0.3">
      <c r="A1020" s="504"/>
      <c r="B1020" s="504"/>
      <c r="C1020" s="504"/>
      <c r="D1020" s="504"/>
      <c r="E1020" s="506"/>
      <c r="F1020" s="506"/>
      <c r="G1020" s="506"/>
      <c r="H1020" s="506"/>
      <c r="I1020" s="506"/>
      <c r="J1020" s="506"/>
      <c r="K1020" s="507"/>
      <c r="L1020" s="508"/>
      <c r="M1020" s="508"/>
      <c r="N1020" s="508"/>
      <c r="O1020" s="509"/>
      <c r="P1020" s="509"/>
    </row>
    <row r="1021" spans="1:16" ht="21.75" customHeight="1" x14ac:dyDescent="0.3">
      <c r="A1021" s="504"/>
      <c r="B1021" s="504"/>
      <c r="C1021" s="504"/>
      <c r="D1021" s="504"/>
      <c r="E1021" s="506"/>
      <c r="F1021" s="506"/>
      <c r="G1021" s="506"/>
      <c r="H1021" s="506"/>
      <c r="I1021" s="506"/>
      <c r="J1021" s="506"/>
      <c r="K1021" s="507"/>
      <c r="L1021" s="508"/>
      <c r="M1021" s="508"/>
      <c r="N1021" s="508"/>
      <c r="O1021" s="509"/>
      <c r="P1021" s="509"/>
    </row>
    <row r="1022" spans="1:16" ht="21.75" customHeight="1" x14ac:dyDescent="0.3">
      <c r="A1022" s="504"/>
      <c r="B1022" s="504"/>
      <c r="C1022" s="504"/>
      <c r="D1022" s="504"/>
      <c r="E1022" s="506"/>
      <c r="F1022" s="506"/>
      <c r="G1022" s="506"/>
      <c r="H1022" s="506"/>
      <c r="I1022" s="506"/>
      <c r="J1022" s="506"/>
      <c r="K1022" s="507"/>
      <c r="L1022" s="508"/>
      <c r="M1022" s="508"/>
      <c r="N1022" s="508"/>
      <c r="O1022" s="509"/>
      <c r="P1022" s="509"/>
    </row>
    <row r="1023" spans="1:16" ht="21.75" customHeight="1" x14ac:dyDescent="0.3">
      <c r="A1023" s="504"/>
      <c r="B1023" s="504"/>
      <c r="C1023" s="504"/>
      <c r="D1023" s="504"/>
      <c r="E1023" s="506"/>
      <c r="F1023" s="506"/>
      <c r="G1023" s="506"/>
      <c r="H1023" s="506"/>
      <c r="I1023" s="506"/>
      <c r="J1023" s="506"/>
      <c r="K1023" s="507"/>
      <c r="L1023" s="508"/>
      <c r="M1023" s="508"/>
      <c r="N1023" s="508"/>
      <c r="O1023" s="509"/>
      <c r="P1023" s="509"/>
    </row>
    <row r="1024" spans="1:16" ht="21.75" customHeight="1" x14ac:dyDescent="0.3">
      <c r="A1024" s="504"/>
      <c r="B1024" s="504"/>
      <c r="C1024" s="504"/>
      <c r="D1024" s="504"/>
      <c r="E1024" s="506"/>
      <c r="F1024" s="506"/>
      <c r="G1024" s="506"/>
      <c r="H1024" s="506"/>
      <c r="I1024" s="506"/>
      <c r="J1024" s="506"/>
      <c r="K1024" s="507"/>
      <c r="L1024" s="508"/>
      <c r="M1024" s="508"/>
      <c r="N1024" s="508"/>
      <c r="O1024" s="509"/>
      <c r="P1024" s="509"/>
    </row>
    <row r="1025" spans="1:16" ht="21.75" customHeight="1" x14ac:dyDescent="0.3">
      <c r="A1025" s="504"/>
      <c r="B1025" s="504"/>
      <c r="C1025" s="504"/>
      <c r="D1025" s="504"/>
      <c r="E1025" s="506"/>
      <c r="F1025" s="506"/>
      <c r="G1025" s="506"/>
      <c r="H1025" s="506"/>
      <c r="I1025" s="506"/>
      <c r="J1025" s="506"/>
      <c r="K1025" s="507"/>
      <c r="L1025" s="508"/>
      <c r="M1025" s="508"/>
      <c r="N1025" s="508"/>
      <c r="O1025" s="509"/>
      <c r="P1025" s="509"/>
    </row>
    <row r="1026" spans="1:16" ht="21.75" customHeight="1" x14ac:dyDescent="0.3">
      <c r="A1026" s="504"/>
      <c r="B1026" s="504"/>
      <c r="C1026" s="504"/>
      <c r="D1026" s="504"/>
      <c r="E1026" s="506"/>
      <c r="F1026" s="506"/>
      <c r="G1026" s="506"/>
      <c r="H1026" s="506"/>
      <c r="I1026" s="506"/>
      <c r="J1026" s="506"/>
      <c r="K1026" s="507"/>
      <c r="L1026" s="508"/>
      <c r="M1026" s="508"/>
      <c r="N1026" s="508"/>
      <c r="O1026" s="509"/>
      <c r="P1026" s="509"/>
    </row>
    <row r="1027" spans="1:16" ht="21.75" customHeight="1" x14ac:dyDescent="0.3">
      <c r="A1027" s="504"/>
      <c r="B1027" s="504"/>
      <c r="C1027" s="504"/>
      <c r="D1027" s="504"/>
      <c r="E1027" s="506"/>
      <c r="F1027" s="506"/>
      <c r="G1027" s="506"/>
      <c r="H1027" s="506"/>
      <c r="I1027" s="506"/>
      <c r="J1027" s="506"/>
      <c r="K1027" s="507"/>
      <c r="L1027" s="508"/>
      <c r="M1027" s="508"/>
      <c r="N1027" s="508"/>
      <c r="O1027" s="509"/>
      <c r="P1027" s="509"/>
    </row>
    <row r="1028" spans="1:16" ht="21.75" customHeight="1" x14ac:dyDescent="0.3">
      <c r="A1028" s="504"/>
      <c r="B1028" s="504"/>
      <c r="C1028" s="504"/>
      <c r="D1028" s="504"/>
      <c r="E1028" s="506"/>
      <c r="F1028" s="506"/>
      <c r="G1028" s="506"/>
      <c r="H1028" s="506"/>
      <c r="I1028" s="506"/>
      <c r="J1028" s="506"/>
      <c r="K1028" s="507"/>
      <c r="L1028" s="508"/>
      <c r="M1028" s="508"/>
      <c r="N1028" s="508"/>
      <c r="O1028" s="509"/>
      <c r="P1028" s="509"/>
    </row>
    <row r="1029" spans="1:16" ht="21.75" customHeight="1" x14ac:dyDescent="0.3">
      <c r="A1029" s="504"/>
      <c r="B1029" s="504"/>
      <c r="C1029" s="504"/>
      <c r="D1029" s="504"/>
      <c r="E1029" s="506"/>
      <c r="F1029" s="506"/>
      <c r="G1029" s="506"/>
      <c r="H1029" s="506"/>
      <c r="I1029" s="506"/>
      <c r="J1029" s="506"/>
      <c r="K1029" s="507"/>
      <c r="L1029" s="508"/>
      <c r="M1029" s="508"/>
      <c r="N1029" s="508"/>
      <c r="O1029" s="509"/>
      <c r="P1029" s="509"/>
    </row>
    <row r="1030" spans="1:16" ht="21.75" customHeight="1" x14ac:dyDescent="0.3">
      <c r="A1030" s="504"/>
      <c r="B1030" s="504"/>
      <c r="C1030" s="504"/>
      <c r="D1030" s="504"/>
      <c r="E1030" s="506"/>
      <c r="F1030" s="506"/>
      <c r="G1030" s="506"/>
      <c r="H1030" s="506"/>
      <c r="I1030" s="506"/>
      <c r="J1030" s="506"/>
      <c r="K1030" s="507"/>
      <c r="L1030" s="508"/>
      <c r="M1030" s="508"/>
      <c r="N1030" s="508"/>
      <c r="O1030" s="509"/>
      <c r="P1030" s="509"/>
    </row>
    <row r="1031" spans="1:16" ht="21.75" customHeight="1" x14ac:dyDescent="0.3">
      <c r="A1031" s="504"/>
      <c r="B1031" s="504"/>
      <c r="C1031" s="504"/>
      <c r="D1031" s="504"/>
      <c r="E1031" s="506"/>
      <c r="F1031" s="506"/>
      <c r="G1031" s="506"/>
      <c r="H1031" s="506"/>
      <c r="I1031" s="506"/>
      <c r="J1031" s="506"/>
      <c r="K1031" s="507"/>
      <c r="L1031" s="508"/>
      <c r="M1031" s="508"/>
      <c r="N1031" s="508"/>
      <c r="O1031" s="509"/>
      <c r="P1031" s="509"/>
    </row>
    <row r="1032" spans="1:16" ht="21.75" customHeight="1" x14ac:dyDescent="0.3">
      <c r="A1032" s="504"/>
      <c r="B1032" s="504"/>
      <c r="C1032" s="504"/>
      <c r="D1032" s="504"/>
      <c r="E1032" s="506"/>
      <c r="F1032" s="506"/>
      <c r="G1032" s="506"/>
      <c r="H1032" s="506"/>
      <c r="I1032" s="506"/>
      <c r="J1032" s="506"/>
      <c r="K1032" s="507"/>
      <c r="L1032" s="508"/>
      <c r="M1032" s="508"/>
      <c r="N1032" s="508"/>
      <c r="O1032" s="509"/>
      <c r="P1032" s="509"/>
    </row>
    <row r="1033" spans="1:16" ht="21.75" customHeight="1" x14ac:dyDescent="0.3">
      <c r="A1033" s="504"/>
      <c r="B1033" s="504"/>
      <c r="C1033" s="504"/>
      <c r="D1033" s="504"/>
      <c r="E1033" s="506"/>
      <c r="F1033" s="506"/>
      <c r="G1033" s="506"/>
      <c r="H1033" s="506"/>
      <c r="I1033" s="506"/>
      <c r="J1033" s="506"/>
      <c r="K1033" s="507"/>
      <c r="L1033" s="508"/>
      <c r="M1033" s="508"/>
      <c r="N1033" s="508"/>
      <c r="O1033" s="509"/>
      <c r="P1033" s="509"/>
    </row>
    <row r="1034" spans="1:16" ht="21.75" customHeight="1" x14ac:dyDescent="0.3">
      <c r="A1034" s="504"/>
      <c r="B1034" s="504"/>
      <c r="C1034" s="504"/>
      <c r="D1034" s="504"/>
      <c r="E1034" s="506"/>
      <c r="F1034" s="506"/>
      <c r="G1034" s="506"/>
      <c r="H1034" s="506"/>
      <c r="I1034" s="506"/>
      <c r="J1034" s="506"/>
      <c r="K1034" s="507"/>
      <c r="L1034" s="508"/>
      <c r="M1034" s="508"/>
      <c r="N1034" s="508"/>
      <c r="O1034" s="509"/>
      <c r="P1034" s="509"/>
    </row>
    <row r="1035" spans="1:16" ht="21.75" customHeight="1" x14ac:dyDescent="0.3">
      <c r="A1035" s="504"/>
      <c r="B1035" s="504"/>
      <c r="C1035" s="504"/>
      <c r="D1035" s="504"/>
      <c r="E1035" s="506"/>
      <c r="F1035" s="506"/>
      <c r="G1035" s="506"/>
      <c r="H1035" s="506"/>
      <c r="I1035" s="506"/>
      <c r="J1035" s="506"/>
      <c r="K1035" s="507"/>
      <c r="L1035" s="508"/>
      <c r="M1035" s="508"/>
      <c r="N1035" s="508"/>
      <c r="O1035" s="509"/>
      <c r="P1035" s="509"/>
    </row>
    <row r="1036" spans="1:16" ht="21.75" customHeight="1" x14ac:dyDescent="0.3">
      <c r="A1036" s="504"/>
      <c r="B1036" s="504"/>
      <c r="C1036" s="504"/>
      <c r="D1036" s="504"/>
      <c r="E1036" s="506"/>
      <c r="F1036" s="506"/>
      <c r="G1036" s="506"/>
      <c r="H1036" s="506"/>
      <c r="I1036" s="506"/>
      <c r="J1036" s="506"/>
      <c r="K1036" s="507"/>
      <c r="L1036" s="508"/>
      <c r="M1036" s="508"/>
      <c r="N1036" s="508"/>
      <c r="O1036" s="509"/>
      <c r="P1036" s="509"/>
    </row>
    <row r="1037" spans="1:16" ht="21.75" customHeight="1" x14ac:dyDescent="0.3">
      <c r="A1037" s="504"/>
      <c r="B1037" s="504"/>
      <c r="C1037" s="504"/>
      <c r="D1037" s="504"/>
      <c r="E1037" s="506"/>
      <c r="F1037" s="506"/>
      <c r="G1037" s="506"/>
      <c r="H1037" s="506"/>
      <c r="I1037" s="506"/>
      <c r="J1037" s="506"/>
      <c r="K1037" s="507"/>
      <c r="L1037" s="508"/>
      <c r="M1037" s="508"/>
      <c r="N1037" s="508"/>
      <c r="O1037" s="509"/>
      <c r="P1037" s="509"/>
    </row>
    <row r="1038" spans="1:16" ht="21.75" customHeight="1" x14ac:dyDescent="0.3">
      <c r="A1038" s="504"/>
      <c r="B1038" s="504"/>
      <c r="C1038" s="504"/>
      <c r="D1038" s="504"/>
      <c r="E1038" s="506"/>
      <c r="F1038" s="506"/>
      <c r="G1038" s="506"/>
      <c r="H1038" s="506"/>
      <c r="I1038" s="506"/>
      <c r="J1038" s="506"/>
      <c r="K1038" s="507"/>
      <c r="L1038" s="508"/>
      <c r="M1038" s="508"/>
      <c r="N1038" s="508"/>
      <c r="O1038" s="509"/>
      <c r="P1038" s="509"/>
    </row>
    <row r="1039" spans="1:16" ht="21.75" customHeight="1" x14ac:dyDescent="0.3">
      <c r="A1039" s="504"/>
      <c r="B1039" s="504"/>
      <c r="C1039" s="504"/>
      <c r="D1039" s="504"/>
      <c r="E1039" s="506"/>
      <c r="F1039" s="506"/>
      <c r="G1039" s="506"/>
      <c r="H1039" s="506"/>
      <c r="I1039" s="506"/>
      <c r="J1039" s="506"/>
      <c r="K1039" s="507"/>
      <c r="L1039" s="508"/>
      <c r="M1039" s="508"/>
      <c r="N1039" s="508"/>
      <c r="O1039" s="509"/>
      <c r="P1039" s="509"/>
    </row>
    <row r="1040" spans="1:16" ht="21.75" customHeight="1" x14ac:dyDescent="0.3">
      <c r="A1040" s="504"/>
      <c r="B1040" s="504"/>
      <c r="C1040" s="504"/>
      <c r="D1040" s="504"/>
      <c r="E1040" s="506"/>
      <c r="F1040" s="506"/>
      <c r="G1040" s="506"/>
      <c r="H1040" s="506"/>
      <c r="I1040" s="506"/>
      <c r="J1040" s="506"/>
      <c r="K1040" s="507"/>
      <c r="L1040" s="508"/>
      <c r="M1040" s="508"/>
      <c r="N1040" s="508"/>
      <c r="O1040" s="509"/>
      <c r="P1040" s="509"/>
    </row>
    <row r="1041" spans="1:16" ht="21.75" customHeight="1" x14ac:dyDescent="0.3">
      <c r="A1041" s="504"/>
      <c r="B1041" s="504"/>
      <c r="C1041" s="504"/>
      <c r="D1041" s="504"/>
      <c r="E1041" s="506"/>
      <c r="F1041" s="506"/>
      <c r="G1041" s="506"/>
      <c r="H1041" s="506"/>
      <c r="I1041" s="506"/>
      <c r="J1041" s="506"/>
      <c r="K1041" s="507"/>
      <c r="L1041" s="508"/>
      <c r="M1041" s="508"/>
      <c r="N1041" s="508"/>
      <c r="O1041" s="509"/>
      <c r="P1041" s="509"/>
    </row>
    <row r="1042" spans="1:16" ht="21.75" customHeight="1" x14ac:dyDescent="0.3">
      <c r="A1042" s="504"/>
      <c r="B1042" s="504"/>
      <c r="C1042" s="504"/>
      <c r="D1042" s="504"/>
      <c r="E1042" s="506"/>
      <c r="F1042" s="506"/>
      <c r="G1042" s="506"/>
      <c r="H1042" s="506"/>
      <c r="I1042" s="506"/>
      <c r="J1042" s="506"/>
      <c r="K1042" s="507"/>
      <c r="L1042" s="508"/>
      <c r="M1042" s="508"/>
      <c r="N1042" s="508"/>
      <c r="O1042" s="509"/>
      <c r="P1042" s="509"/>
    </row>
    <row r="1043" spans="1:16" ht="21.75" customHeight="1" x14ac:dyDescent="0.3">
      <c r="A1043" s="504"/>
      <c r="B1043" s="504"/>
      <c r="C1043" s="504"/>
      <c r="D1043" s="504"/>
      <c r="E1043" s="506"/>
      <c r="F1043" s="506"/>
      <c r="G1043" s="506"/>
      <c r="H1043" s="506"/>
      <c r="I1043" s="506"/>
      <c r="J1043" s="506"/>
      <c r="K1043" s="507"/>
      <c r="L1043" s="508"/>
      <c r="M1043" s="508"/>
      <c r="N1043" s="508"/>
      <c r="O1043" s="509"/>
      <c r="P1043" s="509"/>
    </row>
    <row r="1044" spans="1:16" ht="21.75" customHeight="1" x14ac:dyDescent="0.3">
      <c r="A1044" s="504"/>
      <c r="B1044" s="504"/>
      <c r="C1044" s="504"/>
      <c r="D1044" s="504"/>
      <c r="E1044" s="506"/>
      <c r="F1044" s="506"/>
      <c r="G1044" s="506"/>
      <c r="H1044" s="506"/>
      <c r="I1044" s="506"/>
      <c r="J1044" s="506"/>
      <c r="K1044" s="507"/>
      <c r="L1044" s="508"/>
      <c r="M1044" s="508"/>
      <c r="N1044" s="508"/>
      <c r="O1044" s="509"/>
      <c r="P1044" s="509"/>
    </row>
    <row r="1045" spans="1:16" ht="21.75" customHeight="1" x14ac:dyDescent="0.3">
      <c r="A1045" s="504"/>
      <c r="B1045" s="504"/>
      <c r="C1045" s="504"/>
      <c r="D1045" s="504"/>
      <c r="E1045" s="506"/>
      <c r="F1045" s="506"/>
      <c r="G1045" s="506"/>
      <c r="H1045" s="506"/>
      <c r="I1045" s="506"/>
      <c r="J1045" s="506"/>
      <c r="K1045" s="507"/>
      <c r="L1045" s="508"/>
      <c r="M1045" s="508"/>
      <c r="N1045" s="508"/>
      <c r="O1045" s="509"/>
      <c r="P1045" s="509"/>
    </row>
    <row r="1046" spans="1:16" ht="21.75" customHeight="1" x14ac:dyDescent="0.3">
      <c r="A1046" s="504"/>
      <c r="B1046" s="504"/>
      <c r="C1046" s="504"/>
      <c r="D1046" s="504"/>
      <c r="E1046" s="506"/>
      <c r="F1046" s="506"/>
      <c r="G1046" s="506"/>
      <c r="H1046" s="506"/>
      <c r="I1046" s="506"/>
      <c r="J1046" s="506"/>
      <c r="K1046" s="507"/>
      <c r="L1046" s="508"/>
      <c r="M1046" s="508"/>
      <c r="N1046" s="508"/>
      <c r="O1046" s="509"/>
      <c r="P1046" s="509"/>
    </row>
    <row r="1047" spans="1:16" ht="21.75" customHeight="1" x14ac:dyDescent="0.3">
      <c r="A1047" s="504"/>
      <c r="B1047" s="504"/>
      <c r="C1047" s="504"/>
      <c r="D1047" s="504"/>
      <c r="E1047" s="506"/>
      <c r="F1047" s="506"/>
      <c r="G1047" s="506"/>
      <c r="H1047" s="506"/>
      <c r="I1047" s="506"/>
      <c r="J1047" s="506"/>
      <c r="K1047" s="507"/>
      <c r="L1047" s="508"/>
      <c r="M1047" s="508"/>
      <c r="N1047" s="508"/>
      <c r="O1047" s="509"/>
      <c r="P1047" s="509"/>
    </row>
    <row r="1048" spans="1:16" ht="21.75" customHeight="1" x14ac:dyDescent="0.3">
      <c r="A1048" s="504"/>
      <c r="B1048" s="504"/>
      <c r="C1048" s="504"/>
      <c r="D1048" s="504"/>
      <c r="E1048" s="506"/>
      <c r="F1048" s="506"/>
      <c r="G1048" s="506"/>
      <c r="H1048" s="506"/>
      <c r="I1048" s="506"/>
      <c r="J1048" s="506"/>
      <c r="K1048" s="507"/>
      <c r="L1048" s="508"/>
      <c r="M1048" s="508"/>
      <c r="N1048" s="508"/>
      <c r="O1048" s="509"/>
      <c r="P1048" s="509"/>
    </row>
    <row r="1049" spans="1:16" ht="21.75" customHeight="1" x14ac:dyDescent="0.3">
      <c r="A1049" s="504"/>
      <c r="B1049" s="504"/>
      <c r="C1049" s="504"/>
      <c r="D1049" s="504"/>
      <c r="E1049" s="506"/>
      <c r="F1049" s="506"/>
      <c r="G1049" s="506"/>
      <c r="H1049" s="506"/>
      <c r="I1049" s="506"/>
      <c r="J1049" s="506"/>
      <c r="K1049" s="507"/>
      <c r="L1049" s="508"/>
      <c r="M1049" s="508"/>
      <c r="N1049" s="508"/>
      <c r="O1049" s="509"/>
      <c r="P1049" s="509"/>
    </row>
    <row r="1050" spans="1:16" ht="21.75" customHeight="1" x14ac:dyDescent="0.3">
      <c r="A1050" s="504"/>
      <c r="B1050" s="504"/>
      <c r="C1050" s="504"/>
      <c r="D1050" s="504"/>
      <c r="E1050" s="506"/>
      <c r="F1050" s="506"/>
      <c r="G1050" s="506"/>
      <c r="H1050" s="506"/>
      <c r="I1050" s="506"/>
      <c r="J1050" s="506"/>
      <c r="K1050" s="507"/>
      <c r="L1050" s="508"/>
      <c r="M1050" s="508"/>
      <c r="N1050" s="508"/>
      <c r="O1050" s="509"/>
      <c r="P1050" s="509"/>
    </row>
    <row r="1051" spans="1:16" ht="21.75" customHeight="1" x14ac:dyDescent="0.3">
      <c r="A1051" s="504"/>
      <c r="B1051" s="504"/>
      <c r="C1051" s="504"/>
      <c r="D1051" s="504"/>
      <c r="E1051" s="506"/>
      <c r="F1051" s="506"/>
      <c r="G1051" s="506"/>
      <c r="H1051" s="506"/>
      <c r="I1051" s="506"/>
      <c r="J1051" s="506"/>
      <c r="K1051" s="507"/>
      <c r="L1051" s="508"/>
      <c r="M1051" s="508"/>
      <c r="N1051" s="508"/>
      <c r="O1051" s="509"/>
      <c r="P1051" s="509"/>
    </row>
    <row r="1052" spans="1:16" ht="21.75" customHeight="1" x14ac:dyDescent="0.3">
      <c r="A1052" s="504"/>
      <c r="B1052" s="504"/>
      <c r="C1052" s="504"/>
      <c r="D1052" s="504"/>
      <c r="E1052" s="506"/>
      <c r="F1052" s="506"/>
      <c r="G1052" s="506"/>
      <c r="H1052" s="506"/>
      <c r="I1052" s="506"/>
      <c r="J1052" s="506"/>
      <c r="K1052" s="507"/>
      <c r="L1052" s="508"/>
      <c r="M1052" s="508"/>
      <c r="N1052" s="508"/>
      <c r="O1052" s="509"/>
      <c r="P1052" s="509"/>
    </row>
    <row r="1053" spans="1:16" ht="21.75" customHeight="1" x14ac:dyDescent="0.3">
      <c r="A1053" s="504"/>
      <c r="B1053" s="504"/>
      <c r="C1053" s="504"/>
      <c r="D1053" s="504"/>
      <c r="E1053" s="506"/>
      <c r="F1053" s="506"/>
      <c r="G1053" s="506"/>
      <c r="H1053" s="506"/>
      <c r="I1053" s="506"/>
      <c r="J1053" s="506"/>
      <c r="K1053" s="507"/>
      <c r="L1053" s="508"/>
      <c r="M1053" s="508"/>
      <c r="N1053" s="508"/>
      <c r="O1053" s="509"/>
      <c r="P1053" s="509"/>
    </row>
    <row r="1054" spans="1:16" ht="21.75" customHeight="1" x14ac:dyDescent="0.3">
      <c r="A1054" s="504"/>
      <c r="B1054" s="504"/>
      <c r="C1054" s="504"/>
      <c r="D1054" s="504"/>
      <c r="E1054" s="506"/>
      <c r="F1054" s="506"/>
      <c r="G1054" s="506"/>
      <c r="H1054" s="506"/>
      <c r="I1054" s="506"/>
      <c r="J1054" s="506"/>
      <c r="K1054" s="507"/>
      <c r="L1054" s="508"/>
      <c r="M1054" s="508"/>
      <c r="N1054" s="508"/>
      <c r="O1054" s="509"/>
      <c r="P1054" s="509"/>
    </row>
    <row r="1055" spans="1:16" ht="21.75" customHeight="1" x14ac:dyDescent="0.3">
      <c r="A1055" s="504"/>
      <c r="B1055" s="504"/>
      <c r="C1055" s="504"/>
      <c r="D1055" s="504"/>
      <c r="E1055" s="506"/>
      <c r="F1055" s="506"/>
      <c r="G1055" s="506"/>
      <c r="H1055" s="506"/>
      <c r="I1055" s="506"/>
      <c r="J1055" s="506"/>
      <c r="K1055" s="507"/>
      <c r="L1055" s="508"/>
      <c r="M1055" s="508"/>
      <c r="N1055" s="508"/>
      <c r="O1055" s="509"/>
      <c r="P1055" s="509"/>
    </row>
    <row r="1056" spans="1:16" ht="21.75" customHeight="1" x14ac:dyDescent="0.3">
      <c r="A1056" s="504"/>
      <c r="B1056" s="504"/>
      <c r="C1056" s="504"/>
      <c r="D1056" s="504"/>
      <c r="E1056" s="506"/>
      <c r="F1056" s="506"/>
      <c r="G1056" s="506"/>
      <c r="H1056" s="506"/>
      <c r="I1056" s="506"/>
      <c r="J1056" s="506"/>
      <c r="K1056" s="507"/>
      <c r="L1056" s="508"/>
      <c r="M1056" s="508"/>
      <c r="N1056" s="508"/>
      <c r="O1056" s="509"/>
      <c r="P1056" s="509"/>
    </row>
    <row r="1057" spans="1:16" ht="21.75" customHeight="1" x14ac:dyDescent="0.3">
      <c r="A1057" s="504"/>
      <c r="B1057" s="504"/>
      <c r="C1057" s="504"/>
      <c r="D1057" s="504"/>
      <c r="E1057" s="506"/>
      <c r="F1057" s="506"/>
      <c r="G1057" s="506"/>
      <c r="H1057" s="506"/>
      <c r="I1057" s="506"/>
      <c r="J1057" s="506"/>
      <c r="K1057" s="507"/>
      <c r="L1057" s="508"/>
      <c r="M1057" s="508"/>
      <c r="N1057" s="508"/>
      <c r="O1057" s="509"/>
      <c r="P1057" s="509"/>
    </row>
    <row r="1058" spans="1:16" ht="21.75" customHeight="1" x14ac:dyDescent="0.3">
      <c r="A1058" s="504"/>
      <c r="B1058" s="504"/>
      <c r="C1058" s="504"/>
      <c r="D1058" s="504"/>
      <c r="E1058" s="506"/>
      <c r="F1058" s="506"/>
      <c r="G1058" s="506"/>
      <c r="H1058" s="506"/>
      <c r="I1058" s="506"/>
      <c r="J1058" s="506"/>
      <c r="K1058" s="507"/>
      <c r="L1058" s="508"/>
      <c r="M1058" s="508"/>
      <c r="N1058" s="508"/>
      <c r="O1058" s="509"/>
      <c r="P1058" s="509"/>
    </row>
    <row r="1059" spans="1:16" ht="21.75" customHeight="1" x14ac:dyDescent="0.3">
      <c r="A1059" s="504"/>
      <c r="B1059" s="504"/>
      <c r="C1059" s="504"/>
      <c r="D1059" s="504"/>
      <c r="E1059" s="506"/>
      <c r="F1059" s="506"/>
      <c r="G1059" s="506"/>
      <c r="H1059" s="506"/>
      <c r="I1059" s="506"/>
      <c r="J1059" s="506"/>
      <c r="K1059" s="507"/>
      <c r="L1059" s="508"/>
      <c r="M1059" s="508"/>
      <c r="N1059" s="508"/>
      <c r="O1059" s="509"/>
      <c r="P1059" s="509"/>
    </row>
    <row r="1060" spans="1:16" ht="21.75" customHeight="1" x14ac:dyDescent="0.3">
      <c r="A1060" s="504"/>
      <c r="B1060" s="504"/>
      <c r="C1060" s="504"/>
      <c r="D1060" s="504"/>
      <c r="E1060" s="506"/>
      <c r="F1060" s="506"/>
      <c r="G1060" s="506"/>
      <c r="H1060" s="506"/>
      <c r="I1060" s="506"/>
      <c r="J1060" s="506"/>
      <c r="K1060" s="507"/>
      <c r="L1060" s="508"/>
      <c r="M1060" s="508"/>
      <c r="N1060" s="508"/>
      <c r="O1060" s="509"/>
      <c r="P1060" s="509"/>
    </row>
    <row r="1061" spans="1:16" ht="21.75" customHeight="1" x14ac:dyDescent="0.3">
      <c r="A1061" s="504"/>
      <c r="B1061" s="504"/>
      <c r="C1061" s="504"/>
      <c r="D1061" s="504"/>
      <c r="E1061" s="506"/>
      <c r="F1061" s="506"/>
      <c r="G1061" s="506"/>
      <c r="H1061" s="506"/>
      <c r="I1061" s="506"/>
      <c r="J1061" s="506"/>
      <c r="K1061" s="507"/>
      <c r="L1061" s="508"/>
      <c r="M1061" s="508"/>
      <c r="N1061" s="508"/>
      <c r="O1061" s="509"/>
      <c r="P1061" s="509"/>
    </row>
    <row r="1062" spans="1:16" ht="21.75" customHeight="1" x14ac:dyDescent="0.3">
      <c r="A1062" s="504"/>
      <c r="B1062" s="504"/>
      <c r="C1062" s="504"/>
      <c r="D1062" s="504"/>
      <c r="E1062" s="506"/>
      <c r="F1062" s="506"/>
      <c r="G1062" s="506"/>
      <c r="H1062" s="506"/>
      <c r="I1062" s="506"/>
      <c r="J1062" s="506"/>
      <c r="K1062" s="507"/>
      <c r="L1062" s="508"/>
      <c r="M1062" s="508"/>
      <c r="N1062" s="508"/>
      <c r="O1062" s="509"/>
      <c r="P1062" s="509"/>
    </row>
    <row r="1063" spans="1:16" ht="21.75" customHeight="1" x14ac:dyDescent="0.3">
      <c r="A1063" s="504"/>
      <c r="B1063" s="504"/>
      <c r="C1063" s="504"/>
      <c r="D1063" s="504"/>
      <c r="E1063" s="506"/>
      <c r="F1063" s="506"/>
      <c r="G1063" s="506"/>
      <c r="H1063" s="506"/>
      <c r="I1063" s="506"/>
      <c r="J1063" s="506"/>
      <c r="K1063" s="507"/>
      <c r="L1063" s="508"/>
      <c r="M1063" s="508"/>
      <c r="N1063" s="508"/>
      <c r="O1063" s="509"/>
      <c r="P1063" s="509"/>
    </row>
    <row r="1064" spans="1:16" ht="21.75" customHeight="1" x14ac:dyDescent="0.3">
      <c r="A1064" s="504"/>
      <c r="B1064" s="504"/>
      <c r="C1064" s="504"/>
      <c r="D1064" s="504"/>
      <c r="E1064" s="506"/>
      <c r="F1064" s="506"/>
      <c r="G1064" s="506"/>
      <c r="H1064" s="506"/>
      <c r="I1064" s="506"/>
      <c r="J1064" s="506"/>
      <c r="K1064" s="507"/>
      <c r="L1064" s="508"/>
      <c r="M1064" s="508"/>
      <c r="N1064" s="508"/>
      <c r="O1064" s="509"/>
      <c r="P1064" s="509"/>
    </row>
    <row r="1065" spans="1:16" ht="21.75" customHeight="1" x14ac:dyDescent="0.3">
      <c r="A1065" s="504"/>
      <c r="B1065" s="504"/>
      <c r="C1065" s="504"/>
      <c r="D1065" s="504"/>
      <c r="E1065" s="506"/>
      <c r="F1065" s="506"/>
      <c r="G1065" s="506"/>
      <c r="H1065" s="506"/>
      <c r="I1065" s="506"/>
      <c r="J1065" s="506"/>
      <c r="K1065" s="507"/>
      <c r="L1065" s="508"/>
      <c r="M1065" s="508"/>
      <c r="N1065" s="508"/>
      <c r="O1065" s="509"/>
      <c r="P1065" s="509"/>
    </row>
    <row r="1066" spans="1:16" ht="21.75" customHeight="1" x14ac:dyDescent="0.3">
      <c r="A1066" s="504"/>
      <c r="B1066" s="504"/>
      <c r="C1066" s="504"/>
      <c r="D1066" s="504"/>
      <c r="E1066" s="506"/>
      <c r="F1066" s="506"/>
      <c r="G1066" s="506"/>
      <c r="H1066" s="506"/>
      <c r="I1066" s="506"/>
      <c r="J1066" s="506"/>
      <c r="K1066" s="507"/>
      <c r="L1066" s="508"/>
      <c r="M1066" s="508"/>
      <c r="N1066" s="508"/>
      <c r="O1066" s="509"/>
      <c r="P1066" s="509"/>
    </row>
    <row r="1067" spans="1:16" ht="21.75" customHeight="1" x14ac:dyDescent="0.3">
      <c r="A1067" s="504"/>
      <c r="B1067" s="504"/>
      <c r="C1067" s="504"/>
      <c r="D1067" s="504"/>
      <c r="E1067" s="506"/>
      <c r="F1067" s="506"/>
      <c r="G1067" s="506"/>
      <c r="H1067" s="506"/>
      <c r="I1067" s="506"/>
      <c r="J1067" s="506"/>
      <c r="K1067" s="507"/>
      <c r="L1067" s="508"/>
      <c r="M1067" s="508"/>
      <c r="N1067" s="508"/>
      <c r="O1067" s="509"/>
      <c r="P1067" s="509"/>
    </row>
    <row r="1068" spans="1:16" ht="21.75" customHeight="1" x14ac:dyDescent="0.3">
      <c r="A1068" s="504"/>
      <c r="B1068" s="504"/>
      <c r="C1068" s="504"/>
      <c r="D1068" s="504"/>
      <c r="E1068" s="506"/>
      <c r="F1068" s="506"/>
      <c r="G1068" s="506"/>
      <c r="H1068" s="506"/>
      <c r="I1068" s="506"/>
      <c r="J1068" s="506"/>
      <c r="K1068" s="507"/>
      <c r="L1068" s="508"/>
      <c r="M1068" s="508"/>
      <c r="N1068" s="508"/>
      <c r="O1068" s="509"/>
      <c r="P1068" s="509"/>
    </row>
    <row r="1069" spans="1:16" ht="21.75" customHeight="1" x14ac:dyDescent="0.3">
      <c r="A1069" s="504"/>
      <c r="B1069" s="504"/>
      <c r="C1069" s="504"/>
      <c r="D1069" s="504"/>
      <c r="E1069" s="506"/>
      <c r="F1069" s="506"/>
      <c r="G1069" s="506"/>
      <c r="H1069" s="506"/>
      <c r="I1069" s="506"/>
      <c r="J1069" s="506"/>
      <c r="K1069" s="507"/>
      <c r="L1069" s="508"/>
      <c r="M1069" s="508"/>
      <c r="N1069" s="508"/>
      <c r="O1069" s="509"/>
      <c r="P1069" s="509"/>
    </row>
    <row r="1070" spans="1:16" ht="21.75" customHeight="1" x14ac:dyDescent="0.3">
      <c r="A1070" s="504"/>
      <c r="B1070" s="504"/>
      <c r="C1070" s="504"/>
      <c r="D1070" s="504"/>
      <c r="E1070" s="506"/>
      <c r="F1070" s="506"/>
      <c r="G1070" s="506"/>
      <c r="H1070" s="506"/>
      <c r="I1070" s="506"/>
      <c r="J1070" s="506"/>
      <c r="K1070" s="507"/>
      <c r="L1070" s="508"/>
      <c r="M1070" s="508"/>
      <c r="N1070" s="508"/>
      <c r="O1070" s="509"/>
      <c r="P1070" s="509"/>
    </row>
    <row r="1071" spans="1:16" ht="21.75" customHeight="1" x14ac:dyDescent="0.3">
      <c r="A1071" s="504"/>
      <c r="B1071" s="504"/>
      <c r="C1071" s="504"/>
      <c r="D1071" s="504"/>
      <c r="E1071" s="506"/>
      <c r="F1071" s="506"/>
      <c r="G1071" s="506"/>
      <c r="H1071" s="506"/>
      <c r="I1071" s="506"/>
      <c r="J1071" s="506"/>
      <c r="K1071" s="507"/>
      <c r="L1071" s="508"/>
      <c r="M1071" s="508"/>
      <c r="N1071" s="508"/>
      <c r="O1071" s="509"/>
      <c r="P1071" s="509"/>
    </row>
    <row r="1072" spans="1:16" ht="21.75" customHeight="1" x14ac:dyDescent="0.3">
      <c r="A1072" s="504"/>
      <c r="B1072" s="504"/>
      <c r="C1072" s="504"/>
      <c r="D1072" s="504"/>
      <c r="E1072" s="506"/>
      <c r="F1072" s="506"/>
      <c r="G1072" s="506"/>
      <c r="H1072" s="506"/>
      <c r="I1072" s="506"/>
      <c r="J1072" s="506"/>
      <c r="K1072" s="507"/>
      <c r="L1072" s="508"/>
      <c r="M1072" s="508"/>
      <c r="N1072" s="508"/>
      <c r="O1072" s="509"/>
      <c r="P1072" s="509"/>
    </row>
    <row r="1073" spans="1:16" ht="21.75" customHeight="1" x14ac:dyDescent="0.3">
      <c r="A1073" s="504"/>
      <c r="B1073" s="504"/>
      <c r="C1073" s="504"/>
      <c r="D1073" s="504"/>
      <c r="E1073" s="506"/>
      <c r="F1073" s="506"/>
      <c r="G1073" s="506"/>
      <c r="H1073" s="506"/>
      <c r="I1073" s="506"/>
      <c r="J1073" s="506"/>
      <c r="K1073" s="507"/>
      <c r="L1073" s="508"/>
      <c r="M1073" s="508"/>
      <c r="N1073" s="508"/>
      <c r="O1073" s="509"/>
      <c r="P1073" s="509"/>
    </row>
    <row r="1074" spans="1:16" ht="21.75" customHeight="1" x14ac:dyDescent="0.3">
      <c r="A1074" s="504"/>
      <c r="B1074" s="504"/>
      <c r="C1074" s="504"/>
      <c r="D1074" s="504"/>
      <c r="E1074" s="506"/>
      <c r="F1074" s="506"/>
      <c r="G1074" s="506"/>
      <c r="H1074" s="506"/>
      <c r="I1074" s="506"/>
      <c r="J1074" s="506"/>
      <c r="K1074" s="507"/>
      <c r="L1074" s="508"/>
      <c r="M1074" s="508"/>
      <c r="N1074" s="508"/>
      <c r="O1074" s="509"/>
      <c r="P1074" s="509"/>
    </row>
    <row r="1075" spans="1:16" ht="21.75" customHeight="1" x14ac:dyDescent="0.3">
      <c r="A1075" s="504"/>
      <c r="B1075" s="504"/>
      <c r="C1075" s="504"/>
      <c r="D1075" s="504"/>
      <c r="E1075" s="506"/>
      <c r="F1075" s="506"/>
      <c r="G1075" s="506"/>
      <c r="H1075" s="506"/>
      <c r="I1075" s="506"/>
      <c r="J1075" s="506"/>
      <c r="K1075" s="507"/>
      <c r="L1075" s="508"/>
      <c r="M1075" s="508"/>
      <c r="N1075" s="508"/>
      <c r="O1075" s="509"/>
      <c r="P1075" s="509"/>
    </row>
    <row r="1076" spans="1:16" ht="21.75" customHeight="1" x14ac:dyDescent="0.3">
      <c r="A1076" s="504"/>
      <c r="B1076" s="504"/>
      <c r="C1076" s="504"/>
      <c r="D1076" s="504"/>
      <c r="E1076" s="506"/>
      <c r="F1076" s="506"/>
      <c r="G1076" s="506"/>
      <c r="H1076" s="506"/>
      <c r="I1076" s="506"/>
      <c r="J1076" s="506"/>
      <c r="K1076" s="507"/>
      <c r="L1076" s="508"/>
      <c r="M1076" s="508"/>
      <c r="N1076" s="508"/>
      <c r="O1076" s="509"/>
      <c r="P1076" s="509"/>
    </row>
    <row r="1077" spans="1:16" ht="21.75" customHeight="1" x14ac:dyDescent="0.3">
      <c r="A1077" s="504"/>
      <c r="B1077" s="504"/>
      <c r="C1077" s="504"/>
      <c r="D1077" s="504"/>
      <c r="E1077" s="506"/>
      <c r="F1077" s="506"/>
      <c r="G1077" s="506"/>
      <c r="H1077" s="506"/>
      <c r="I1077" s="506"/>
      <c r="J1077" s="506"/>
      <c r="K1077" s="507"/>
      <c r="L1077" s="508"/>
      <c r="M1077" s="508"/>
      <c r="N1077" s="508"/>
      <c r="O1077" s="509"/>
      <c r="P1077" s="509"/>
    </row>
    <row r="1078" spans="1:16" ht="21.75" customHeight="1" x14ac:dyDescent="0.3">
      <c r="A1078" s="504"/>
      <c r="B1078" s="504"/>
      <c r="C1078" s="504"/>
      <c r="D1078" s="504"/>
      <c r="E1078" s="506"/>
      <c r="F1078" s="506"/>
      <c r="G1078" s="506"/>
      <c r="H1078" s="506"/>
      <c r="I1078" s="506"/>
      <c r="J1078" s="506"/>
      <c r="K1078" s="507"/>
      <c r="L1078" s="508"/>
      <c r="M1078" s="508"/>
      <c r="N1078" s="508"/>
      <c r="O1078" s="509"/>
      <c r="P1078" s="509"/>
    </row>
    <row r="1079" spans="1:16" ht="21.75" customHeight="1" x14ac:dyDescent="0.3">
      <c r="A1079" s="504"/>
      <c r="B1079" s="504"/>
      <c r="C1079" s="504"/>
      <c r="D1079" s="504"/>
      <c r="E1079" s="506"/>
      <c r="F1079" s="506"/>
      <c r="G1079" s="506"/>
      <c r="H1079" s="506"/>
      <c r="I1079" s="506"/>
      <c r="J1079" s="506"/>
      <c r="K1079" s="507"/>
      <c r="L1079" s="508"/>
      <c r="M1079" s="508"/>
      <c r="N1079" s="508"/>
      <c r="O1079" s="509"/>
      <c r="P1079" s="509"/>
    </row>
    <row r="1080" spans="1:16" ht="21.75" customHeight="1" x14ac:dyDescent="0.3">
      <c r="A1080" s="504"/>
      <c r="B1080" s="504"/>
      <c r="C1080" s="504"/>
      <c r="D1080" s="504"/>
      <c r="E1080" s="506"/>
      <c r="F1080" s="506"/>
      <c r="G1080" s="506"/>
      <c r="H1080" s="506"/>
      <c r="I1080" s="506"/>
      <c r="J1080" s="506"/>
      <c r="K1080" s="507"/>
      <c r="L1080" s="508"/>
      <c r="M1080" s="508"/>
      <c r="N1080" s="508"/>
      <c r="O1080" s="509"/>
      <c r="P1080" s="509"/>
    </row>
    <row r="1081" spans="1:16" ht="21.75" customHeight="1" x14ac:dyDescent="0.3">
      <c r="A1081" s="504"/>
      <c r="B1081" s="504"/>
      <c r="C1081" s="504"/>
      <c r="D1081" s="504"/>
      <c r="E1081" s="506"/>
      <c r="F1081" s="506"/>
      <c r="G1081" s="506"/>
      <c r="H1081" s="506"/>
      <c r="I1081" s="506"/>
      <c r="J1081" s="506"/>
      <c r="K1081" s="507"/>
      <c r="L1081" s="508"/>
      <c r="M1081" s="508"/>
      <c r="N1081" s="508"/>
      <c r="O1081" s="509"/>
      <c r="P1081" s="509"/>
    </row>
    <row r="1082" spans="1:16" ht="21.75" customHeight="1" x14ac:dyDescent="0.3">
      <c r="A1082" s="504"/>
      <c r="B1082" s="504"/>
      <c r="C1082" s="504"/>
      <c r="D1082" s="504"/>
      <c r="E1082" s="506"/>
      <c r="F1082" s="506"/>
      <c r="G1082" s="506"/>
      <c r="H1082" s="506"/>
      <c r="I1082" s="506"/>
      <c r="J1082" s="506"/>
      <c r="K1082" s="507"/>
      <c r="L1082" s="508"/>
      <c r="M1082" s="508"/>
      <c r="N1082" s="508"/>
      <c r="O1082" s="509"/>
      <c r="P1082" s="509"/>
    </row>
    <row r="1083" spans="1:16" ht="21.75" customHeight="1" x14ac:dyDescent="0.3">
      <c r="A1083" s="504"/>
      <c r="B1083" s="504"/>
      <c r="C1083" s="504"/>
      <c r="D1083" s="504"/>
      <c r="E1083" s="506"/>
      <c r="F1083" s="506"/>
      <c r="G1083" s="506"/>
      <c r="H1083" s="506"/>
      <c r="I1083" s="506"/>
      <c r="J1083" s="506"/>
      <c r="K1083" s="507"/>
      <c r="L1083" s="508"/>
      <c r="M1083" s="508"/>
      <c r="N1083" s="508"/>
      <c r="O1083" s="509"/>
      <c r="P1083" s="509"/>
    </row>
    <row r="1084" spans="1:16" ht="21.75" customHeight="1" x14ac:dyDescent="0.3">
      <c r="A1084" s="504"/>
      <c r="B1084" s="504"/>
      <c r="C1084" s="504"/>
      <c r="D1084" s="504"/>
      <c r="E1084" s="506"/>
      <c r="F1084" s="506"/>
      <c r="G1084" s="506"/>
      <c r="H1084" s="506"/>
      <c r="I1084" s="506"/>
      <c r="J1084" s="506"/>
      <c r="K1084" s="507"/>
      <c r="L1084" s="508"/>
      <c r="M1084" s="508"/>
      <c r="N1084" s="508"/>
      <c r="O1084" s="509"/>
      <c r="P1084" s="509"/>
    </row>
    <row r="1085" spans="1:16" ht="21.75" customHeight="1" x14ac:dyDescent="0.3">
      <c r="A1085" s="504"/>
      <c r="B1085" s="504"/>
      <c r="C1085" s="504"/>
      <c r="D1085" s="504"/>
      <c r="E1085" s="506"/>
      <c r="F1085" s="506"/>
      <c r="G1085" s="506"/>
      <c r="H1085" s="506"/>
      <c r="I1085" s="506"/>
      <c r="J1085" s="506"/>
      <c r="K1085" s="507"/>
      <c r="L1085" s="508"/>
      <c r="M1085" s="508"/>
      <c r="N1085" s="508"/>
      <c r="O1085" s="509"/>
      <c r="P1085" s="509"/>
    </row>
    <row r="1086" spans="1:16" ht="21.75" customHeight="1" x14ac:dyDescent="0.3">
      <c r="A1086" s="504"/>
      <c r="B1086" s="504"/>
      <c r="C1086" s="504"/>
      <c r="D1086" s="504"/>
      <c r="E1086" s="506"/>
      <c r="F1086" s="506"/>
      <c r="G1086" s="506"/>
      <c r="H1086" s="506"/>
      <c r="I1086" s="506"/>
      <c r="J1086" s="506"/>
      <c r="K1086" s="507"/>
      <c r="L1086" s="508"/>
      <c r="M1086" s="508"/>
      <c r="N1086" s="508"/>
      <c r="O1086" s="509"/>
      <c r="P1086" s="509"/>
    </row>
    <row r="1087" spans="1:16" ht="21.75" customHeight="1" x14ac:dyDescent="0.3">
      <c r="A1087" s="504"/>
      <c r="B1087" s="504"/>
      <c r="C1087" s="504"/>
      <c r="D1087" s="504"/>
      <c r="E1087" s="506"/>
      <c r="F1087" s="506"/>
      <c r="G1087" s="506"/>
      <c r="H1087" s="506"/>
      <c r="I1087" s="506"/>
      <c r="J1087" s="506"/>
      <c r="K1087" s="507"/>
      <c r="L1087" s="508"/>
      <c r="M1087" s="508"/>
      <c r="N1087" s="508"/>
      <c r="O1087" s="509"/>
      <c r="P1087" s="509"/>
    </row>
    <row r="1088" spans="1:16" ht="21.75" customHeight="1" x14ac:dyDescent="0.3">
      <c r="A1088" s="504"/>
      <c r="B1088" s="504"/>
      <c r="C1088" s="504"/>
      <c r="D1088" s="504"/>
      <c r="E1088" s="506"/>
      <c r="F1088" s="506"/>
      <c r="G1088" s="506"/>
      <c r="H1088" s="506"/>
      <c r="I1088" s="506"/>
      <c r="J1088" s="506"/>
      <c r="K1088" s="507"/>
      <c r="L1088" s="508"/>
      <c r="M1088" s="508"/>
      <c r="N1088" s="508"/>
      <c r="O1088" s="509"/>
      <c r="P1088" s="509"/>
    </row>
    <row r="1089" spans="1:16" ht="21.75" customHeight="1" x14ac:dyDescent="0.3">
      <c r="A1089" s="504"/>
      <c r="B1089" s="504"/>
      <c r="C1089" s="504"/>
      <c r="D1089" s="504"/>
      <c r="E1089" s="506"/>
      <c r="F1089" s="506"/>
      <c r="G1089" s="506"/>
      <c r="H1089" s="506"/>
      <c r="I1089" s="506"/>
      <c r="J1089" s="506"/>
      <c r="K1089" s="507"/>
      <c r="L1089" s="508"/>
      <c r="M1089" s="508"/>
      <c r="N1089" s="508"/>
      <c r="O1089" s="509"/>
      <c r="P1089" s="509"/>
    </row>
    <row r="1090" spans="1:16" ht="21.75" customHeight="1" x14ac:dyDescent="0.3">
      <c r="A1090" s="504"/>
      <c r="B1090" s="504"/>
      <c r="C1090" s="504"/>
      <c r="D1090" s="504"/>
      <c r="E1090" s="506"/>
      <c r="F1090" s="506"/>
      <c r="G1090" s="506"/>
      <c r="H1090" s="506"/>
      <c r="I1090" s="506"/>
      <c r="J1090" s="506"/>
      <c r="K1090" s="507"/>
      <c r="L1090" s="508"/>
      <c r="M1090" s="508"/>
      <c r="N1090" s="508"/>
      <c r="O1090" s="509"/>
      <c r="P1090" s="509"/>
    </row>
    <row r="1091" spans="1:16" ht="21.75" customHeight="1" x14ac:dyDescent="0.3">
      <c r="A1091" s="504"/>
      <c r="B1091" s="504"/>
      <c r="C1091" s="504"/>
      <c r="D1091" s="504"/>
      <c r="E1091" s="506"/>
      <c r="F1091" s="506"/>
      <c r="G1091" s="506"/>
      <c r="H1091" s="506"/>
      <c r="I1091" s="506"/>
      <c r="J1091" s="506"/>
      <c r="K1091" s="507"/>
      <c r="L1091" s="508"/>
      <c r="M1091" s="508"/>
      <c r="N1091" s="508"/>
      <c r="O1091" s="509"/>
      <c r="P1091" s="509"/>
    </row>
    <row r="1092" spans="1:16" ht="21.75" customHeight="1" x14ac:dyDescent="0.3">
      <c r="A1092" s="504"/>
      <c r="B1092" s="504"/>
      <c r="C1092" s="504"/>
      <c r="D1092" s="504"/>
      <c r="E1092" s="506"/>
      <c r="F1092" s="506"/>
      <c r="G1092" s="506"/>
      <c r="H1092" s="506"/>
      <c r="I1092" s="506"/>
      <c r="J1092" s="506"/>
      <c r="K1092" s="507"/>
      <c r="L1092" s="508"/>
      <c r="M1092" s="508"/>
      <c r="N1092" s="508"/>
      <c r="O1092" s="509"/>
      <c r="P1092" s="509"/>
    </row>
    <row r="1093" spans="1:16" ht="21.75" customHeight="1" x14ac:dyDescent="0.3">
      <c r="A1093" s="504"/>
      <c r="B1093" s="504"/>
      <c r="C1093" s="504"/>
      <c r="D1093" s="504"/>
      <c r="E1093" s="506"/>
      <c r="F1093" s="506"/>
      <c r="G1093" s="506"/>
      <c r="H1093" s="506"/>
      <c r="I1093" s="506"/>
      <c r="J1093" s="506"/>
      <c r="K1093" s="507"/>
      <c r="L1093" s="508"/>
      <c r="M1093" s="508"/>
      <c r="N1093" s="508"/>
      <c r="O1093" s="509"/>
      <c r="P1093" s="509"/>
    </row>
    <row r="1094" spans="1:16" ht="21.75" customHeight="1" x14ac:dyDescent="0.3">
      <c r="A1094" s="504"/>
      <c r="B1094" s="504"/>
      <c r="C1094" s="504"/>
      <c r="D1094" s="504"/>
      <c r="E1094" s="506"/>
      <c r="F1094" s="506"/>
      <c r="G1094" s="506"/>
      <c r="H1094" s="506"/>
      <c r="I1094" s="506"/>
      <c r="J1094" s="506"/>
      <c r="K1094" s="507"/>
      <c r="L1094" s="508"/>
      <c r="M1094" s="508"/>
      <c r="N1094" s="508"/>
      <c r="O1094" s="509"/>
      <c r="P1094" s="509"/>
    </row>
    <row r="1095" spans="1:16" ht="21.75" customHeight="1" x14ac:dyDescent="0.3">
      <c r="A1095" s="504"/>
      <c r="B1095" s="504"/>
      <c r="C1095" s="504"/>
      <c r="D1095" s="504"/>
      <c r="E1095" s="506"/>
      <c r="F1095" s="506"/>
      <c r="G1095" s="506"/>
      <c r="H1095" s="506"/>
      <c r="I1095" s="506"/>
      <c r="J1095" s="506"/>
      <c r="K1095" s="507"/>
      <c r="L1095" s="508"/>
      <c r="M1095" s="508"/>
      <c r="N1095" s="508"/>
      <c r="O1095" s="509"/>
      <c r="P1095" s="509"/>
    </row>
    <row r="1096" spans="1:16" ht="21.75" customHeight="1" x14ac:dyDescent="0.3">
      <c r="A1096" s="504"/>
      <c r="B1096" s="504"/>
      <c r="C1096" s="504"/>
      <c r="D1096" s="504"/>
      <c r="E1096" s="506"/>
      <c r="F1096" s="506"/>
      <c r="G1096" s="506"/>
      <c r="H1096" s="506"/>
      <c r="I1096" s="506"/>
      <c r="J1096" s="506"/>
      <c r="K1096" s="507"/>
      <c r="L1096" s="508"/>
      <c r="M1096" s="508"/>
      <c r="N1096" s="508"/>
      <c r="O1096" s="509"/>
      <c r="P1096" s="509"/>
    </row>
    <row r="1097" spans="1:16" ht="21.75" customHeight="1" x14ac:dyDescent="0.3">
      <c r="A1097" s="504"/>
      <c r="B1097" s="504"/>
      <c r="C1097" s="504"/>
      <c r="D1097" s="504"/>
      <c r="E1097" s="506"/>
      <c r="F1097" s="506"/>
      <c r="G1097" s="506"/>
      <c r="H1097" s="506"/>
      <c r="I1097" s="506"/>
      <c r="J1097" s="506"/>
      <c r="K1097" s="507"/>
      <c r="L1097" s="508"/>
      <c r="M1097" s="508"/>
      <c r="N1097" s="508"/>
      <c r="O1097" s="509"/>
      <c r="P1097" s="509"/>
    </row>
    <row r="1098" spans="1:16" ht="21.75" customHeight="1" x14ac:dyDescent="0.3">
      <c r="A1098" s="504"/>
      <c r="B1098" s="504"/>
      <c r="C1098" s="504"/>
      <c r="D1098" s="504"/>
      <c r="E1098" s="506"/>
      <c r="F1098" s="506"/>
      <c r="G1098" s="506"/>
      <c r="H1098" s="506"/>
      <c r="I1098" s="506"/>
      <c r="J1098" s="506"/>
      <c r="K1098" s="507"/>
      <c r="L1098" s="508"/>
      <c r="M1098" s="508"/>
      <c r="N1098" s="508"/>
      <c r="O1098" s="509"/>
      <c r="P1098" s="509"/>
    </row>
    <row r="1099" spans="1:16" ht="21.75" customHeight="1" x14ac:dyDescent="0.3">
      <c r="A1099" s="504"/>
      <c r="B1099" s="504"/>
      <c r="C1099" s="504"/>
      <c r="D1099" s="504"/>
      <c r="E1099" s="506"/>
      <c r="F1099" s="506"/>
      <c r="G1099" s="506"/>
      <c r="H1099" s="506"/>
      <c r="I1099" s="506"/>
      <c r="J1099" s="506"/>
      <c r="K1099" s="507"/>
      <c r="L1099" s="508"/>
      <c r="M1099" s="508"/>
      <c r="N1099" s="508"/>
      <c r="O1099" s="509"/>
      <c r="P1099" s="509"/>
    </row>
    <row r="1100" spans="1:16" ht="21.75" customHeight="1" x14ac:dyDescent="0.3">
      <c r="A1100" s="504"/>
      <c r="B1100" s="504"/>
      <c r="C1100" s="504"/>
      <c r="D1100" s="504"/>
      <c r="E1100" s="506"/>
      <c r="F1100" s="506"/>
      <c r="G1100" s="506"/>
      <c r="H1100" s="506"/>
      <c r="I1100" s="506"/>
      <c r="J1100" s="506"/>
      <c r="K1100" s="507"/>
      <c r="L1100" s="508"/>
      <c r="M1100" s="508"/>
      <c r="N1100" s="508"/>
      <c r="O1100" s="509"/>
      <c r="P1100" s="509"/>
    </row>
    <row r="1101" spans="1:16" ht="21.75" customHeight="1" x14ac:dyDescent="0.3">
      <c r="A1101" s="504"/>
      <c r="B1101" s="504"/>
      <c r="C1101" s="504"/>
      <c r="D1101" s="504"/>
      <c r="E1101" s="506"/>
      <c r="F1101" s="506"/>
      <c r="G1101" s="506"/>
      <c r="H1101" s="506"/>
      <c r="I1101" s="506"/>
      <c r="J1101" s="506"/>
      <c r="K1101" s="507"/>
      <c r="L1101" s="508"/>
      <c r="M1101" s="508"/>
      <c r="N1101" s="508"/>
      <c r="O1101" s="509"/>
      <c r="P1101" s="509"/>
    </row>
    <row r="1102" spans="1:16" ht="21.75" customHeight="1" x14ac:dyDescent="0.3">
      <c r="A1102" s="504"/>
      <c r="B1102" s="504"/>
      <c r="C1102" s="504"/>
      <c r="D1102" s="504"/>
      <c r="E1102" s="506"/>
      <c r="F1102" s="506"/>
      <c r="G1102" s="506"/>
      <c r="H1102" s="506"/>
      <c r="I1102" s="506"/>
      <c r="J1102" s="506"/>
      <c r="K1102" s="507"/>
      <c r="L1102" s="508"/>
      <c r="M1102" s="508"/>
      <c r="N1102" s="508"/>
      <c r="O1102" s="509"/>
      <c r="P1102" s="509"/>
    </row>
    <row r="1103" spans="1:16" ht="21.75" customHeight="1" x14ac:dyDescent="0.3">
      <c r="A1103" s="504"/>
      <c r="B1103" s="504"/>
      <c r="C1103" s="504"/>
      <c r="D1103" s="504"/>
      <c r="E1103" s="506"/>
      <c r="F1103" s="506"/>
      <c r="G1103" s="506"/>
      <c r="H1103" s="506"/>
      <c r="I1103" s="506"/>
      <c r="J1103" s="506"/>
      <c r="K1103" s="507"/>
      <c r="L1103" s="508"/>
      <c r="M1103" s="508"/>
      <c r="N1103" s="508"/>
      <c r="O1103" s="509"/>
      <c r="P1103" s="509"/>
    </row>
    <row r="1104" spans="1:16" ht="21.75" customHeight="1" x14ac:dyDescent="0.3">
      <c r="A1104" s="504"/>
      <c r="B1104" s="504"/>
      <c r="C1104" s="504"/>
      <c r="D1104" s="504"/>
      <c r="E1104" s="506"/>
      <c r="F1104" s="506"/>
      <c r="G1104" s="506"/>
      <c r="H1104" s="506"/>
      <c r="I1104" s="506"/>
      <c r="J1104" s="506"/>
      <c r="K1104" s="507"/>
      <c r="L1104" s="508"/>
      <c r="M1104" s="508"/>
      <c r="N1104" s="508"/>
      <c r="O1104" s="509"/>
      <c r="P1104" s="509"/>
    </row>
    <row r="1105" spans="1:16" ht="21.75" customHeight="1" x14ac:dyDescent="0.3">
      <c r="A1105" s="504"/>
      <c r="B1105" s="504"/>
      <c r="C1105" s="504"/>
      <c r="D1105" s="504"/>
      <c r="E1105" s="506"/>
      <c r="F1105" s="506"/>
      <c r="G1105" s="506"/>
      <c r="H1105" s="506"/>
      <c r="I1105" s="506"/>
      <c r="J1105" s="506"/>
      <c r="K1105" s="507"/>
      <c r="L1105" s="508"/>
      <c r="M1105" s="508"/>
      <c r="N1105" s="508"/>
      <c r="O1105" s="509"/>
      <c r="P1105" s="509"/>
    </row>
    <row r="1106" spans="1:16" ht="21.75" customHeight="1" x14ac:dyDescent="0.3">
      <c r="A1106" s="504"/>
      <c r="B1106" s="504"/>
      <c r="C1106" s="504"/>
      <c r="D1106" s="504"/>
      <c r="E1106" s="506"/>
      <c r="F1106" s="506"/>
      <c r="G1106" s="506"/>
      <c r="H1106" s="506"/>
      <c r="I1106" s="506"/>
      <c r="J1106" s="506"/>
      <c r="K1106" s="507"/>
      <c r="L1106" s="508"/>
      <c r="M1106" s="508"/>
      <c r="N1106" s="508"/>
      <c r="O1106" s="509"/>
      <c r="P1106" s="509"/>
    </row>
    <row r="1107" spans="1:16" ht="21.75" customHeight="1" x14ac:dyDescent="0.3">
      <c r="A1107" s="504"/>
      <c r="B1107" s="504"/>
      <c r="C1107" s="504"/>
      <c r="D1107" s="504"/>
      <c r="E1107" s="506"/>
      <c r="F1107" s="506"/>
      <c r="G1107" s="506"/>
      <c r="H1107" s="506"/>
      <c r="I1107" s="506"/>
      <c r="J1107" s="506"/>
      <c r="K1107" s="507"/>
      <c r="L1107" s="508"/>
      <c r="M1107" s="508"/>
      <c r="N1107" s="508"/>
      <c r="O1107" s="509"/>
      <c r="P1107" s="509"/>
    </row>
    <row r="1108" spans="1:16" ht="21.75" customHeight="1" x14ac:dyDescent="0.3">
      <c r="A1108" s="504"/>
      <c r="B1108" s="504"/>
      <c r="C1108" s="504"/>
      <c r="D1108" s="504"/>
      <c r="E1108" s="506"/>
      <c r="F1108" s="506"/>
      <c r="G1108" s="506"/>
      <c r="H1108" s="506"/>
      <c r="I1108" s="506"/>
      <c r="J1108" s="506"/>
      <c r="K1108" s="507"/>
      <c r="L1108" s="508"/>
      <c r="M1108" s="508"/>
      <c r="N1108" s="508"/>
      <c r="O1108" s="509"/>
      <c r="P1108" s="509"/>
    </row>
    <row r="1109" spans="1:16" ht="21.75" customHeight="1" x14ac:dyDescent="0.3">
      <c r="A1109" s="504"/>
      <c r="B1109" s="504"/>
      <c r="C1109" s="504"/>
      <c r="D1109" s="504"/>
      <c r="E1109" s="506"/>
      <c r="F1109" s="506"/>
      <c r="G1109" s="506"/>
      <c r="H1109" s="506"/>
      <c r="I1109" s="506"/>
      <c r="J1109" s="506"/>
      <c r="K1109" s="507"/>
      <c r="L1109" s="508"/>
      <c r="M1109" s="508"/>
      <c r="N1109" s="508"/>
      <c r="O1109" s="509"/>
      <c r="P1109" s="509"/>
    </row>
    <row r="1110" spans="1:16" ht="21.75" customHeight="1" x14ac:dyDescent="0.3">
      <c r="A1110" s="504"/>
      <c r="B1110" s="504"/>
      <c r="C1110" s="504"/>
      <c r="D1110" s="504"/>
      <c r="E1110" s="506"/>
      <c r="F1110" s="506"/>
      <c r="G1110" s="506"/>
      <c r="H1110" s="506"/>
      <c r="I1110" s="506"/>
      <c r="J1110" s="506"/>
      <c r="K1110" s="507"/>
      <c r="L1110" s="508"/>
      <c r="M1110" s="508"/>
      <c r="N1110" s="508"/>
      <c r="O1110" s="509"/>
      <c r="P1110" s="509"/>
    </row>
    <row r="1111" spans="1:16" ht="21.75" customHeight="1" x14ac:dyDescent="0.3">
      <c r="A1111" s="504"/>
      <c r="B1111" s="504"/>
      <c r="C1111" s="504"/>
      <c r="D1111" s="504"/>
      <c r="E1111" s="506"/>
      <c r="F1111" s="506"/>
      <c r="G1111" s="506"/>
      <c r="H1111" s="506"/>
      <c r="I1111" s="506"/>
      <c r="J1111" s="506"/>
      <c r="K1111" s="507"/>
      <c r="L1111" s="508"/>
      <c r="M1111" s="508"/>
      <c r="N1111" s="508"/>
      <c r="O1111" s="509"/>
      <c r="P1111" s="509"/>
    </row>
    <row r="1112" spans="1:16" ht="21.75" customHeight="1" x14ac:dyDescent="0.3">
      <c r="A1112" s="504"/>
      <c r="B1112" s="504"/>
      <c r="C1112" s="504"/>
      <c r="D1112" s="504"/>
      <c r="E1112" s="506"/>
      <c r="F1112" s="506"/>
      <c r="G1112" s="506"/>
      <c r="H1112" s="506"/>
      <c r="I1112" s="506"/>
      <c r="J1112" s="506"/>
      <c r="K1112" s="507"/>
      <c r="L1112" s="508"/>
      <c r="M1112" s="508"/>
      <c r="N1112" s="508"/>
      <c r="O1112" s="509"/>
      <c r="P1112" s="509"/>
    </row>
    <row r="1113" spans="1:16" ht="21.75" customHeight="1" x14ac:dyDescent="0.3">
      <c r="A1113" s="504"/>
      <c r="B1113" s="504"/>
      <c r="C1113" s="504"/>
      <c r="D1113" s="504"/>
      <c r="E1113" s="506"/>
      <c r="F1113" s="506"/>
      <c r="G1113" s="506"/>
      <c r="H1113" s="506"/>
      <c r="I1113" s="506"/>
      <c r="J1113" s="506"/>
      <c r="K1113" s="507"/>
      <c r="L1113" s="508"/>
      <c r="M1113" s="508"/>
      <c r="N1113" s="508"/>
      <c r="O1113" s="509"/>
      <c r="P1113" s="509"/>
    </row>
    <row r="1114" spans="1:16" ht="21.75" customHeight="1" x14ac:dyDescent="0.3">
      <c r="A1114" s="504"/>
      <c r="B1114" s="504"/>
      <c r="C1114" s="504"/>
      <c r="D1114" s="504"/>
      <c r="E1114" s="506"/>
      <c r="F1114" s="506"/>
      <c r="G1114" s="506"/>
      <c r="H1114" s="506"/>
      <c r="I1114" s="506"/>
      <c r="J1114" s="506"/>
      <c r="K1114" s="507"/>
      <c r="L1114" s="508"/>
      <c r="M1114" s="508"/>
      <c r="N1114" s="508"/>
      <c r="O1114" s="509"/>
      <c r="P1114" s="509"/>
    </row>
    <row r="1115" spans="1:16" ht="21.75" customHeight="1" x14ac:dyDescent="0.3">
      <c r="A1115" s="504"/>
      <c r="B1115" s="504"/>
      <c r="C1115" s="504"/>
      <c r="D1115" s="504"/>
      <c r="E1115" s="506"/>
      <c r="F1115" s="506"/>
      <c r="G1115" s="506"/>
      <c r="H1115" s="506"/>
      <c r="I1115" s="506"/>
      <c r="J1115" s="506"/>
      <c r="K1115" s="507"/>
      <c r="L1115" s="508"/>
      <c r="M1115" s="508"/>
      <c r="N1115" s="508"/>
      <c r="O1115" s="509"/>
      <c r="P1115" s="509"/>
    </row>
    <row r="1116" spans="1:16" ht="21.75" customHeight="1" x14ac:dyDescent="0.3">
      <c r="A1116" s="504"/>
      <c r="B1116" s="504"/>
      <c r="C1116" s="504"/>
      <c r="D1116" s="504"/>
      <c r="E1116" s="506"/>
      <c r="F1116" s="506"/>
      <c r="G1116" s="506"/>
      <c r="H1116" s="506"/>
      <c r="I1116" s="506"/>
      <c r="J1116" s="506"/>
      <c r="K1116" s="507"/>
      <c r="L1116" s="508"/>
      <c r="M1116" s="508"/>
      <c r="N1116" s="508"/>
      <c r="O1116" s="509"/>
      <c r="P1116" s="509"/>
    </row>
    <row r="1117" spans="1:16" ht="21.75" customHeight="1" x14ac:dyDescent="0.3">
      <c r="A1117" s="504"/>
      <c r="B1117" s="504"/>
      <c r="C1117" s="504"/>
      <c r="D1117" s="504"/>
      <c r="E1117" s="506"/>
      <c r="F1117" s="506"/>
      <c r="G1117" s="506"/>
      <c r="H1117" s="506"/>
      <c r="I1117" s="506"/>
      <c r="J1117" s="506"/>
      <c r="K1117" s="507"/>
      <c r="L1117" s="508"/>
      <c r="M1117" s="508"/>
      <c r="N1117" s="508"/>
      <c r="O1117" s="509"/>
      <c r="P1117" s="509"/>
    </row>
    <row r="1118" spans="1:16" ht="21.75" customHeight="1" x14ac:dyDescent="0.3">
      <c r="A1118" s="504"/>
      <c r="B1118" s="504"/>
      <c r="C1118" s="504"/>
      <c r="D1118" s="504"/>
      <c r="E1118" s="506"/>
      <c r="F1118" s="506"/>
      <c r="G1118" s="506"/>
      <c r="H1118" s="506"/>
      <c r="I1118" s="506"/>
      <c r="J1118" s="506"/>
      <c r="K1118" s="507"/>
      <c r="L1118" s="508"/>
      <c r="M1118" s="508"/>
      <c r="N1118" s="508"/>
      <c r="O1118" s="509"/>
      <c r="P1118" s="509"/>
    </row>
    <row r="1119" spans="1:16" ht="21.75" customHeight="1" x14ac:dyDescent="0.3">
      <c r="A1119" s="504"/>
      <c r="B1119" s="504"/>
      <c r="C1119" s="504"/>
      <c r="D1119" s="504"/>
      <c r="E1119" s="506"/>
      <c r="F1119" s="506"/>
      <c r="G1119" s="506"/>
      <c r="H1119" s="506"/>
      <c r="I1119" s="506"/>
      <c r="J1119" s="506"/>
      <c r="K1119" s="507"/>
      <c r="L1119" s="508"/>
      <c r="M1119" s="508"/>
      <c r="N1119" s="508"/>
      <c r="O1119" s="509"/>
      <c r="P1119" s="509"/>
    </row>
    <row r="1120" spans="1:16" ht="21.75" customHeight="1" x14ac:dyDescent="0.3">
      <c r="A1120" s="504"/>
      <c r="B1120" s="504"/>
      <c r="C1120" s="504"/>
      <c r="D1120" s="504"/>
      <c r="E1120" s="506"/>
      <c r="F1120" s="506"/>
      <c r="G1120" s="506"/>
      <c r="H1120" s="506"/>
      <c r="I1120" s="506"/>
      <c r="J1120" s="506"/>
      <c r="K1120" s="507"/>
      <c r="L1120" s="508"/>
      <c r="M1120" s="508"/>
      <c r="N1120" s="508"/>
      <c r="O1120" s="509"/>
      <c r="P1120" s="509"/>
    </row>
    <row r="1121" spans="1:16" ht="21.75" customHeight="1" x14ac:dyDescent="0.3">
      <c r="A1121" s="504"/>
      <c r="B1121" s="504"/>
      <c r="C1121" s="504"/>
      <c r="D1121" s="504"/>
      <c r="E1121" s="506"/>
      <c r="F1121" s="506"/>
      <c r="G1121" s="506"/>
      <c r="H1121" s="506"/>
      <c r="I1121" s="506"/>
      <c r="J1121" s="506"/>
      <c r="K1121" s="507"/>
      <c r="L1121" s="508"/>
      <c r="M1121" s="508"/>
      <c r="N1121" s="508"/>
      <c r="O1121" s="509"/>
      <c r="P1121" s="509"/>
    </row>
    <row r="1122" spans="1:16" ht="21.75" customHeight="1" x14ac:dyDescent="0.3">
      <c r="A1122" s="504"/>
      <c r="B1122" s="504"/>
      <c r="C1122" s="504"/>
      <c r="D1122" s="504"/>
      <c r="E1122" s="506"/>
      <c r="F1122" s="506"/>
      <c r="G1122" s="506"/>
      <c r="H1122" s="506"/>
      <c r="I1122" s="506"/>
      <c r="J1122" s="506"/>
      <c r="K1122" s="507"/>
      <c r="L1122" s="508"/>
      <c r="M1122" s="508"/>
      <c r="N1122" s="508"/>
      <c r="O1122" s="509"/>
      <c r="P1122" s="509"/>
    </row>
    <row r="1123" spans="1:16" ht="21.75" customHeight="1" x14ac:dyDescent="0.3">
      <c r="A1123" s="504"/>
      <c r="B1123" s="504"/>
      <c r="C1123" s="504"/>
      <c r="D1123" s="504"/>
      <c r="E1123" s="506"/>
      <c r="F1123" s="506"/>
      <c r="G1123" s="506"/>
      <c r="H1123" s="506"/>
      <c r="I1123" s="506"/>
      <c r="J1123" s="506"/>
      <c r="K1123" s="507"/>
      <c r="L1123" s="508"/>
      <c r="M1123" s="508"/>
      <c r="N1123" s="508"/>
      <c r="O1123" s="509"/>
      <c r="P1123" s="509"/>
    </row>
    <row r="1124" spans="1:16" ht="21.75" customHeight="1" x14ac:dyDescent="0.3">
      <c r="A1124" s="504"/>
      <c r="B1124" s="504"/>
      <c r="C1124" s="504"/>
      <c r="D1124" s="504"/>
      <c r="E1124" s="506"/>
      <c r="F1124" s="506"/>
      <c r="G1124" s="506"/>
      <c r="H1124" s="506"/>
      <c r="I1124" s="506"/>
      <c r="J1124" s="506"/>
      <c r="K1124" s="507"/>
      <c r="L1124" s="508"/>
      <c r="M1124" s="508"/>
      <c r="N1124" s="508"/>
      <c r="O1124" s="509"/>
      <c r="P1124" s="509"/>
    </row>
    <row r="1125" spans="1:16" ht="21.75" customHeight="1" x14ac:dyDescent="0.3">
      <c r="A1125" s="504"/>
      <c r="B1125" s="504"/>
      <c r="C1125" s="504"/>
      <c r="D1125" s="504"/>
      <c r="E1125" s="506"/>
      <c r="F1125" s="506"/>
      <c r="G1125" s="506"/>
      <c r="H1125" s="506"/>
      <c r="I1125" s="506"/>
      <c r="J1125" s="506"/>
      <c r="K1125" s="507"/>
      <c r="L1125" s="508"/>
      <c r="M1125" s="508"/>
      <c r="N1125" s="508"/>
      <c r="O1125" s="509"/>
      <c r="P1125" s="509"/>
    </row>
    <row r="1126" spans="1:16" ht="21.75" customHeight="1" x14ac:dyDescent="0.3">
      <c r="A1126" s="504"/>
      <c r="B1126" s="504"/>
      <c r="C1126" s="504"/>
      <c r="D1126" s="504"/>
      <c r="E1126" s="506"/>
      <c r="F1126" s="506"/>
      <c r="G1126" s="506"/>
      <c r="H1126" s="506"/>
      <c r="I1126" s="506"/>
      <c r="J1126" s="506"/>
      <c r="K1126" s="507"/>
      <c r="L1126" s="508"/>
      <c r="M1126" s="508"/>
      <c r="N1126" s="508"/>
      <c r="O1126" s="509"/>
      <c r="P1126" s="509"/>
    </row>
    <row r="1127" spans="1:16" ht="21.75" customHeight="1" x14ac:dyDescent="0.3">
      <c r="A1127" s="504"/>
      <c r="B1127" s="504"/>
      <c r="C1127" s="504"/>
      <c r="D1127" s="504"/>
      <c r="E1127" s="506"/>
      <c r="F1127" s="506"/>
      <c r="G1127" s="506"/>
      <c r="H1127" s="506"/>
      <c r="I1127" s="506"/>
      <c r="J1127" s="506"/>
      <c r="K1127" s="507"/>
      <c r="L1127" s="508"/>
      <c r="M1127" s="508"/>
      <c r="N1127" s="508"/>
      <c r="O1127" s="509"/>
      <c r="P1127" s="509"/>
    </row>
    <row r="1128" spans="1:16" ht="21.75" customHeight="1" x14ac:dyDescent="0.3">
      <c r="A1128" s="504"/>
      <c r="B1128" s="504"/>
      <c r="C1128" s="504"/>
      <c r="D1128" s="504"/>
      <c r="E1128" s="506"/>
      <c r="F1128" s="506"/>
      <c r="G1128" s="506"/>
      <c r="H1128" s="506"/>
      <c r="I1128" s="506"/>
      <c r="J1128" s="506"/>
      <c r="K1128" s="507"/>
      <c r="L1128" s="508"/>
      <c r="M1128" s="508"/>
      <c r="N1128" s="508"/>
      <c r="O1128" s="509"/>
      <c r="P1128" s="509"/>
    </row>
    <row r="1129" spans="1:16" ht="21.75" customHeight="1" x14ac:dyDescent="0.3">
      <c r="A1129" s="504"/>
      <c r="B1129" s="504"/>
      <c r="C1129" s="504"/>
      <c r="D1129" s="504"/>
      <c r="E1129" s="506"/>
      <c r="F1129" s="506"/>
      <c r="G1129" s="506"/>
      <c r="H1129" s="506"/>
      <c r="I1129" s="506"/>
      <c r="J1129" s="506"/>
      <c r="K1129" s="507"/>
      <c r="L1129" s="508"/>
      <c r="M1129" s="508"/>
      <c r="N1129" s="508"/>
      <c r="O1129" s="509"/>
      <c r="P1129" s="509"/>
    </row>
    <row r="1130" spans="1:16" ht="21.75" customHeight="1" x14ac:dyDescent="0.3">
      <c r="A1130" s="504"/>
      <c r="B1130" s="504"/>
      <c r="C1130" s="504"/>
      <c r="D1130" s="504"/>
      <c r="E1130" s="506"/>
      <c r="F1130" s="506"/>
      <c r="G1130" s="506"/>
      <c r="H1130" s="506"/>
      <c r="I1130" s="506"/>
      <c r="J1130" s="506"/>
      <c r="K1130" s="507"/>
      <c r="L1130" s="508"/>
      <c r="M1130" s="508"/>
      <c r="N1130" s="508"/>
      <c r="O1130" s="509"/>
      <c r="P1130" s="509"/>
    </row>
    <row r="1131" spans="1:16" ht="21.75" customHeight="1" x14ac:dyDescent="0.3">
      <c r="A1131" s="504"/>
      <c r="B1131" s="504"/>
      <c r="C1131" s="504"/>
      <c r="D1131" s="504"/>
      <c r="E1131" s="506"/>
      <c r="F1131" s="506"/>
      <c r="G1131" s="506"/>
      <c r="H1131" s="506"/>
      <c r="I1131" s="506"/>
      <c r="J1131" s="506"/>
      <c r="K1131" s="507"/>
      <c r="L1131" s="508"/>
      <c r="M1131" s="508"/>
      <c r="N1131" s="508"/>
      <c r="O1131" s="509"/>
      <c r="P1131" s="509"/>
    </row>
    <row r="1132" spans="1:16" ht="21.75" customHeight="1" x14ac:dyDescent="0.3">
      <c r="A1132" s="504"/>
      <c r="B1132" s="504"/>
      <c r="C1132" s="504"/>
      <c r="D1132" s="504"/>
      <c r="E1132" s="506"/>
      <c r="F1132" s="506"/>
      <c r="G1132" s="506"/>
      <c r="H1132" s="506"/>
      <c r="I1132" s="506"/>
      <c r="J1132" s="506"/>
      <c r="K1132" s="507"/>
      <c r="L1132" s="508"/>
      <c r="M1132" s="508"/>
      <c r="N1132" s="508"/>
      <c r="O1132" s="509"/>
      <c r="P1132" s="509"/>
    </row>
    <row r="1133" spans="1:16" ht="21.75" customHeight="1" x14ac:dyDescent="0.3">
      <c r="A1133" s="504"/>
      <c r="B1133" s="504"/>
      <c r="C1133" s="504"/>
      <c r="D1133" s="504"/>
      <c r="E1133" s="506"/>
      <c r="F1133" s="506"/>
      <c r="G1133" s="506"/>
      <c r="H1133" s="506"/>
      <c r="I1133" s="506"/>
      <c r="J1133" s="506"/>
      <c r="K1133" s="507"/>
      <c r="L1133" s="508"/>
      <c r="M1133" s="508"/>
      <c r="N1133" s="508"/>
      <c r="O1133" s="509"/>
      <c r="P1133" s="509"/>
    </row>
    <row r="1134" spans="1:16" ht="21.75" customHeight="1" x14ac:dyDescent="0.3">
      <c r="A1134" s="504"/>
      <c r="B1134" s="504"/>
      <c r="C1134" s="504"/>
      <c r="D1134" s="504"/>
      <c r="E1134" s="506"/>
      <c r="F1134" s="506"/>
      <c r="G1134" s="506"/>
      <c r="H1134" s="506"/>
      <c r="I1134" s="506"/>
      <c r="J1134" s="506"/>
      <c r="K1134" s="507"/>
      <c r="L1134" s="508"/>
      <c r="M1134" s="508"/>
      <c r="N1134" s="508"/>
      <c r="O1134" s="509"/>
      <c r="P1134" s="509"/>
    </row>
    <row r="1135" spans="1:16" ht="21.75" customHeight="1" x14ac:dyDescent="0.3">
      <c r="A1135" s="504"/>
      <c r="B1135" s="504"/>
      <c r="C1135" s="504"/>
      <c r="D1135" s="504"/>
      <c r="E1135" s="506"/>
      <c r="F1135" s="506"/>
      <c r="G1135" s="506"/>
      <c r="H1135" s="506"/>
      <c r="I1135" s="506"/>
      <c r="J1135" s="506"/>
      <c r="K1135" s="507"/>
      <c r="L1135" s="508"/>
      <c r="M1135" s="508"/>
      <c r="N1135" s="508"/>
      <c r="O1135" s="509"/>
      <c r="P1135" s="509"/>
    </row>
    <row r="1136" spans="1:16" ht="21.75" customHeight="1" x14ac:dyDescent="0.3">
      <c r="A1136" s="504"/>
      <c r="B1136" s="504"/>
      <c r="C1136" s="504"/>
      <c r="D1136" s="504"/>
      <c r="E1136" s="506"/>
      <c r="F1136" s="506"/>
      <c r="G1136" s="506"/>
      <c r="H1136" s="506"/>
      <c r="I1136" s="506"/>
      <c r="J1136" s="506"/>
      <c r="K1136" s="507"/>
      <c r="L1136" s="508"/>
      <c r="M1136" s="508"/>
      <c r="N1136" s="508"/>
      <c r="O1136" s="509"/>
      <c r="P1136" s="509"/>
    </row>
    <row r="1137" spans="1:16" ht="21.75" customHeight="1" x14ac:dyDescent="0.3">
      <c r="A1137" s="504"/>
      <c r="B1137" s="504"/>
      <c r="C1137" s="504"/>
      <c r="D1137" s="504"/>
      <c r="E1137" s="506"/>
      <c r="F1137" s="506"/>
      <c r="G1137" s="506"/>
      <c r="H1137" s="506"/>
      <c r="I1137" s="506"/>
      <c r="J1137" s="506"/>
      <c r="K1137" s="507"/>
      <c r="L1137" s="508"/>
      <c r="M1137" s="508"/>
      <c r="N1137" s="508"/>
      <c r="O1137" s="509"/>
      <c r="P1137" s="509"/>
    </row>
    <row r="1138" spans="1:16" ht="21.75" customHeight="1" x14ac:dyDescent="0.3">
      <c r="A1138" s="504"/>
      <c r="B1138" s="504"/>
      <c r="C1138" s="504"/>
      <c r="D1138" s="504"/>
      <c r="E1138" s="506"/>
      <c r="F1138" s="506"/>
      <c r="G1138" s="506"/>
      <c r="H1138" s="506"/>
      <c r="I1138" s="506"/>
      <c r="J1138" s="506"/>
      <c r="K1138" s="507"/>
      <c r="L1138" s="508"/>
      <c r="M1138" s="508"/>
      <c r="N1138" s="508"/>
      <c r="O1138" s="509"/>
      <c r="P1138" s="509"/>
    </row>
    <row r="1139" spans="1:16" ht="21.75" customHeight="1" x14ac:dyDescent="0.3">
      <c r="A1139" s="504"/>
      <c r="B1139" s="504"/>
      <c r="C1139" s="504"/>
      <c r="D1139" s="504"/>
      <c r="E1139" s="506"/>
      <c r="F1139" s="506"/>
      <c r="G1139" s="506"/>
      <c r="H1139" s="506"/>
      <c r="I1139" s="506"/>
      <c r="J1139" s="506"/>
      <c r="K1139" s="507"/>
      <c r="L1139" s="508"/>
      <c r="M1139" s="508"/>
      <c r="N1139" s="508"/>
      <c r="O1139" s="509"/>
      <c r="P1139" s="509"/>
    </row>
    <row r="1140" spans="1:16" ht="21.75" customHeight="1" x14ac:dyDescent="0.3">
      <c r="A1140" s="504"/>
      <c r="B1140" s="504"/>
      <c r="C1140" s="504"/>
      <c r="D1140" s="504"/>
      <c r="E1140" s="506"/>
      <c r="F1140" s="506"/>
      <c r="G1140" s="506"/>
      <c r="H1140" s="506"/>
      <c r="I1140" s="506"/>
      <c r="J1140" s="506"/>
      <c r="K1140" s="507"/>
      <c r="L1140" s="508"/>
      <c r="M1140" s="508"/>
      <c r="N1140" s="508"/>
      <c r="O1140" s="509"/>
      <c r="P1140" s="509"/>
    </row>
    <row r="1141" spans="1:16" ht="21.75" customHeight="1" x14ac:dyDescent="0.3">
      <c r="A1141" s="504"/>
      <c r="B1141" s="504"/>
      <c r="C1141" s="504"/>
      <c r="D1141" s="504"/>
      <c r="E1141" s="506"/>
      <c r="F1141" s="506"/>
      <c r="G1141" s="506"/>
      <c r="H1141" s="506"/>
      <c r="I1141" s="506"/>
      <c r="J1141" s="506"/>
      <c r="K1141" s="507"/>
      <c r="L1141" s="508"/>
      <c r="M1141" s="508"/>
      <c r="N1141" s="508"/>
      <c r="O1141" s="509"/>
      <c r="P1141" s="509"/>
    </row>
    <row r="1142" spans="1:16" ht="21.75" customHeight="1" x14ac:dyDescent="0.3">
      <c r="A1142" s="504"/>
      <c r="B1142" s="504"/>
      <c r="C1142" s="504"/>
      <c r="D1142" s="504"/>
      <c r="E1142" s="506"/>
      <c r="F1142" s="506"/>
      <c r="G1142" s="506"/>
      <c r="H1142" s="506"/>
      <c r="I1142" s="506"/>
      <c r="J1142" s="506"/>
      <c r="K1142" s="507"/>
      <c r="L1142" s="508"/>
      <c r="M1142" s="508"/>
      <c r="N1142" s="508"/>
      <c r="O1142" s="509"/>
      <c r="P1142" s="509"/>
    </row>
    <row r="1143" spans="1:16" ht="21.75" customHeight="1" x14ac:dyDescent="0.3">
      <c r="A1143" s="504"/>
      <c r="B1143" s="504"/>
      <c r="C1143" s="504"/>
      <c r="D1143" s="504"/>
      <c r="E1143" s="506"/>
      <c r="F1143" s="506"/>
      <c r="G1143" s="506"/>
      <c r="H1143" s="506"/>
      <c r="I1143" s="506"/>
      <c r="J1143" s="506"/>
      <c r="K1143" s="507"/>
      <c r="L1143" s="508"/>
      <c r="M1143" s="508"/>
      <c r="N1143" s="508"/>
      <c r="O1143" s="509"/>
      <c r="P1143" s="509"/>
    </row>
  </sheetData>
  <mergeCells count="49">
    <mergeCell ref="D310:G310"/>
    <mergeCell ref="D317:E317"/>
    <mergeCell ref="D329:G329"/>
    <mergeCell ref="D336:E336"/>
    <mergeCell ref="D140:G140"/>
    <mergeCell ref="D147:E147"/>
    <mergeCell ref="D220:G220"/>
    <mergeCell ref="D227:E227"/>
    <mergeCell ref="D250:G250"/>
    <mergeCell ref="D257:E257"/>
    <mergeCell ref="D271:G271"/>
    <mergeCell ref="D118:G118"/>
    <mergeCell ref="D125:E125"/>
    <mergeCell ref="D278:E278"/>
    <mergeCell ref="D290:G290"/>
    <mergeCell ref="D297:E297"/>
    <mergeCell ref="D60:E60"/>
    <mergeCell ref="D66:G66"/>
    <mergeCell ref="D73:E73"/>
    <mergeCell ref="D94:G94"/>
    <mergeCell ref="D101:E101"/>
    <mergeCell ref="D44:F44"/>
    <mergeCell ref="D48:E48"/>
    <mergeCell ref="B52:G52"/>
    <mergeCell ref="D53:G53"/>
    <mergeCell ref="D56:F56"/>
    <mergeCell ref="D31:F31"/>
    <mergeCell ref="D35:E35"/>
    <mergeCell ref="A38:G38"/>
    <mergeCell ref="B39:G39"/>
    <mergeCell ref="D41:G41"/>
    <mergeCell ref="D18:G18"/>
    <mergeCell ref="D21:F21"/>
    <mergeCell ref="D25:E25"/>
    <mergeCell ref="A27:G27"/>
    <mergeCell ref="D28:G28"/>
    <mergeCell ref="A7:G7"/>
    <mergeCell ref="D8:G8"/>
    <mergeCell ref="D11:F11"/>
    <mergeCell ref="D15:E15"/>
    <mergeCell ref="A17:G17"/>
    <mergeCell ref="H5:H6"/>
    <mergeCell ref="I5:K5"/>
    <mergeCell ref="L5:M5"/>
    <mergeCell ref="N5:P5"/>
    <mergeCell ref="A5:G6"/>
    <mergeCell ref="A1:P1"/>
    <mergeCell ref="A2:P2"/>
    <mergeCell ref="A3:P3"/>
  </mergeCells>
  <printOptions horizontalCentered="1"/>
  <pageMargins left="0.23622047244094491" right="0.27559055118110237" top="0.31496062992125984" bottom="0.39370078740157483" header="0" footer="0"/>
  <pageSetup paperSize="9" scale="39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46" max="16383" man="1"/>
    <brk id="326" max="16383" man="1"/>
    <brk id="400" max="16383" man="1"/>
    <brk id="486" max="16383" man="1"/>
    <brk id="563" max="16383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J7" sqref="J7"/>
      <selection pane="bottomLeft" activeCell="M571" sqref="M571"/>
    </sheetView>
  </sheetViews>
  <sheetFormatPr defaultColWidth="12.6640625" defaultRowHeight="15" customHeight="1" x14ac:dyDescent="0.3"/>
  <cols>
    <col min="1" max="3" width="2.75" customWidth="1"/>
    <col min="4" max="6" width="5" customWidth="1"/>
    <col min="7" max="7" width="70.9140625" customWidth="1"/>
    <col min="8" max="8" width="9.5" customWidth="1"/>
    <col min="9" max="10" width="13.9140625" customWidth="1"/>
    <col min="11" max="11" width="10.08203125" bestFit="1" customWidth="1"/>
    <col min="12" max="12" width="16.33203125" bestFit="1" customWidth="1"/>
    <col min="13" max="13" width="17.6640625" customWidth="1"/>
    <col min="14" max="14" width="19.5" customWidth="1"/>
    <col min="15" max="15" width="16.5" customWidth="1"/>
    <col min="16" max="16" width="18" customWidth="1"/>
  </cols>
  <sheetData>
    <row r="1" spans="1:16" ht="18" customHeight="1" x14ac:dyDescent="0.3">
      <c r="A1" s="512" t="s">
        <v>0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</row>
    <row r="2" spans="1:16" ht="18" customHeight="1" x14ac:dyDescent="0.3">
      <c r="A2" s="512" t="s">
        <v>264</v>
      </c>
      <c r="B2" s="512"/>
      <c r="C2" s="512"/>
      <c r="D2" s="512"/>
      <c r="E2" s="512"/>
      <c r="F2" s="512"/>
      <c r="G2" s="512"/>
      <c r="H2" s="512"/>
      <c r="I2" s="512"/>
      <c r="J2" s="512"/>
      <c r="K2" s="512"/>
      <c r="L2" s="512"/>
      <c r="M2" s="512"/>
      <c r="N2" s="512"/>
      <c r="O2" s="512"/>
      <c r="P2" s="512"/>
    </row>
    <row r="3" spans="1:16" ht="18" customHeight="1" x14ac:dyDescent="0.3">
      <c r="A3" s="512" t="s">
        <v>272</v>
      </c>
      <c r="B3" s="512"/>
      <c r="C3" s="512"/>
      <c r="D3" s="512"/>
      <c r="E3" s="512"/>
      <c r="F3" s="512"/>
      <c r="G3" s="512"/>
      <c r="H3" s="512"/>
      <c r="I3" s="512"/>
      <c r="J3" s="512"/>
      <c r="K3" s="512"/>
      <c r="L3" s="512"/>
      <c r="M3" s="512"/>
      <c r="N3" s="512"/>
      <c r="O3" s="512"/>
      <c r="P3" s="512"/>
    </row>
    <row r="4" spans="1:16" ht="33.75" customHeight="1" x14ac:dyDescent="0.3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3">
      <c r="A5" s="520" t="s">
        <v>2</v>
      </c>
      <c r="B5" s="521"/>
      <c r="C5" s="521"/>
      <c r="D5" s="521"/>
      <c r="E5" s="521"/>
      <c r="F5" s="521"/>
      <c r="G5" s="522"/>
      <c r="H5" s="513" t="s">
        <v>3</v>
      </c>
      <c r="I5" s="515" t="s">
        <v>4</v>
      </c>
      <c r="J5" s="516"/>
      <c r="K5" s="517"/>
      <c r="L5" s="518" t="s">
        <v>5</v>
      </c>
      <c r="M5" s="517"/>
      <c r="N5" s="519" t="s">
        <v>6</v>
      </c>
      <c r="O5" s="516"/>
      <c r="P5" s="517"/>
    </row>
    <row r="6" spans="1:16" ht="21.75" customHeight="1" x14ac:dyDescent="0.3">
      <c r="A6" s="523"/>
      <c r="B6" s="524"/>
      <c r="C6" s="524"/>
      <c r="D6" s="524"/>
      <c r="E6" s="524"/>
      <c r="F6" s="524"/>
      <c r="G6" s="525"/>
      <c r="H6" s="514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45">
      <c r="A7" s="526" t="s">
        <v>15</v>
      </c>
      <c r="B7" s="516"/>
      <c r="C7" s="516"/>
      <c r="D7" s="516"/>
      <c r="E7" s="516"/>
      <c r="F7" s="516"/>
      <c r="G7" s="517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45">
      <c r="A8" s="17"/>
      <c r="B8" s="18"/>
      <c r="C8" s="19" t="s">
        <v>16</v>
      </c>
      <c r="D8" s="527" t="s">
        <v>17</v>
      </c>
      <c r="E8" s="528"/>
      <c r="F8" s="528"/>
      <c r="G8" s="528"/>
      <c r="H8" s="20" t="s">
        <v>12</v>
      </c>
      <c r="I8" s="21"/>
      <c r="J8" s="21"/>
      <c r="K8" s="22"/>
      <c r="L8" s="23">
        <f t="shared" ref="L8:N8" ca="1" si="0">L9+L10</f>
        <v>6579655</v>
      </c>
      <c r="M8" s="23">
        <f t="shared" ca="1" si="0"/>
        <v>2455725</v>
      </c>
      <c r="N8" s="23">
        <f t="shared" ca="1" si="0"/>
        <v>2537614</v>
      </c>
      <c r="O8" s="22">
        <f t="shared" ref="O8:O16" ca="1" si="1">IF(L8&gt;0,N8*100/L8,0)</f>
        <v>38.567584470614342</v>
      </c>
      <c r="P8" s="22">
        <f t="shared" ref="P8:P16" ca="1" si="2">IF(M8&gt;0,N8*100/M8,0)</f>
        <v>103.33461605024992</v>
      </c>
    </row>
    <row r="9" spans="1:16" ht="21.75" customHeight="1" x14ac:dyDescent="0.45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45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6579655</v>
      </c>
      <c r="M10" s="30">
        <f t="shared" ca="1" si="4"/>
        <v>2455725</v>
      </c>
      <c r="N10" s="30">
        <f t="shared" ca="1" si="4"/>
        <v>2537614</v>
      </c>
      <c r="O10" s="29">
        <f t="shared" ca="1" si="1"/>
        <v>38.567584470614342</v>
      </c>
      <c r="P10" s="29">
        <f t="shared" ca="1" si="2"/>
        <v>103.33461605024992</v>
      </c>
    </row>
    <row r="11" spans="1:16" ht="21.75" customHeight="1" x14ac:dyDescent="0.45">
      <c r="A11" s="31"/>
      <c r="B11" s="32"/>
      <c r="C11" s="33" t="s">
        <v>16</v>
      </c>
      <c r="D11" s="529" t="s">
        <v>20</v>
      </c>
      <c r="E11" s="530"/>
      <c r="F11" s="530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45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6330255</v>
      </c>
      <c r="M12" s="38">
        <f t="shared" ca="1" si="6"/>
        <v>2206325</v>
      </c>
      <c r="N12" s="38">
        <f t="shared" ca="1" si="6"/>
        <v>2288214</v>
      </c>
      <c r="O12" s="38">
        <f t="shared" ca="1" si="1"/>
        <v>36.147264209735624</v>
      </c>
      <c r="P12" s="38">
        <f t="shared" ca="1" si="2"/>
        <v>103.71155654765278</v>
      </c>
    </row>
    <row r="13" spans="1:16" ht="21.75" customHeight="1" x14ac:dyDescent="0.45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2233700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45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4096555</v>
      </c>
      <c r="M14" s="38">
        <f t="shared" si="8"/>
        <v>0</v>
      </c>
      <c r="N14" s="38">
        <f t="shared" ca="1" si="8"/>
        <v>594138</v>
      </c>
      <c r="O14" s="38">
        <f t="shared" ca="1" si="1"/>
        <v>14.5033570890663</v>
      </c>
      <c r="P14" s="38">
        <f t="shared" si="2"/>
        <v>0</v>
      </c>
    </row>
    <row r="15" spans="1:16" ht="21.75" customHeight="1" x14ac:dyDescent="0.45">
      <c r="A15" s="31"/>
      <c r="B15" s="32"/>
      <c r="C15" s="33" t="s">
        <v>16</v>
      </c>
      <c r="D15" s="529" t="s">
        <v>23</v>
      </c>
      <c r="E15" s="530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45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249400</v>
      </c>
      <c r="M16" s="38">
        <f t="shared" ca="1" si="10"/>
        <v>249400</v>
      </c>
      <c r="N16" s="38">
        <f t="shared" ca="1" si="10"/>
        <v>249400</v>
      </c>
      <c r="O16" s="49">
        <f t="shared" ca="1" si="1"/>
        <v>100</v>
      </c>
      <c r="P16" s="49">
        <f t="shared" ca="1" si="2"/>
        <v>100</v>
      </c>
    </row>
    <row r="17" spans="1:16" ht="21.75" customHeight="1" x14ac:dyDescent="0.45">
      <c r="A17" s="526" t="s">
        <v>24</v>
      </c>
      <c r="B17" s="516"/>
      <c r="C17" s="516"/>
      <c r="D17" s="516"/>
      <c r="E17" s="516"/>
      <c r="F17" s="516"/>
      <c r="G17" s="517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45">
      <c r="A18" s="17"/>
      <c r="B18" s="18"/>
      <c r="C18" s="19" t="s">
        <v>16</v>
      </c>
      <c r="D18" s="527" t="s">
        <v>17</v>
      </c>
      <c r="E18" s="528"/>
      <c r="F18" s="528"/>
      <c r="G18" s="528"/>
      <c r="H18" s="20" t="s">
        <v>12</v>
      </c>
      <c r="I18" s="21"/>
      <c r="J18" s="21"/>
      <c r="K18" s="22"/>
      <c r="L18" s="23">
        <f t="shared" ref="L18:N18" ca="1" si="11">L19+L20</f>
        <v>4195545</v>
      </c>
      <c r="M18" s="23">
        <f t="shared" ca="1" si="11"/>
        <v>2455725</v>
      </c>
      <c r="N18" s="23">
        <f t="shared" ca="1" si="11"/>
        <v>1943476</v>
      </c>
      <c r="O18" s="22">
        <f t="shared" ref="O18:O20" ca="1" si="12">IF(L18&gt;0,N18*100/L18,0)</f>
        <v>46.322372897919102</v>
      </c>
      <c r="P18" s="22">
        <f t="shared" ref="P18:P26" ca="1" si="13">IF(M18&gt;0,N18*100/M18,0)</f>
        <v>79.140620387054739</v>
      </c>
    </row>
    <row r="19" spans="1:16" ht="21.75" customHeight="1" x14ac:dyDescent="0.45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45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4195545</v>
      </c>
      <c r="M20" s="30">
        <f t="shared" ca="1" si="15"/>
        <v>2455725</v>
      </c>
      <c r="N20" s="30">
        <f t="shared" ca="1" si="15"/>
        <v>1943476</v>
      </c>
      <c r="O20" s="29">
        <f t="shared" ca="1" si="12"/>
        <v>46.322372897919102</v>
      </c>
      <c r="P20" s="29">
        <f t="shared" ca="1" si="13"/>
        <v>79.140620387054739</v>
      </c>
    </row>
    <row r="21" spans="1:16" ht="21.75" customHeight="1" x14ac:dyDescent="0.45">
      <c r="A21" s="31"/>
      <c r="B21" s="32"/>
      <c r="C21" s="33" t="s">
        <v>16</v>
      </c>
      <c r="D21" s="529" t="s">
        <v>20</v>
      </c>
      <c r="E21" s="530"/>
      <c r="F21" s="530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45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3946145</v>
      </c>
      <c r="M22" s="41">
        <f t="shared" ca="1" si="18"/>
        <v>2206325</v>
      </c>
      <c r="N22" s="38">
        <f t="shared" ca="1" si="18"/>
        <v>1694076</v>
      </c>
      <c r="O22" s="38">
        <f t="shared" ca="1" si="17"/>
        <v>42.929897406202763</v>
      </c>
      <c r="P22" s="38">
        <f t="shared" ca="1" si="13"/>
        <v>76.782704270676348</v>
      </c>
    </row>
    <row r="23" spans="1:16" ht="21.75" customHeight="1" x14ac:dyDescent="0.45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2233700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45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1712445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45">
      <c r="A25" s="31"/>
      <c r="B25" s="32"/>
      <c r="C25" s="33" t="s">
        <v>16</v>
      </c>
      <c r="D25" s="529" t="s">
        <v>23</v>
      </c>
      <c r="E25" s="530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45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249400</v>
      </c>
      <c r="M26" s="49">
        <f t="shared" ca="1" si="22"/>
        <v>249400</v>
      </c>
      <c r="N26" s="49">
        <f t="shared" ca="1" si="22"/>
        <v>249400</v>
      </c>
      <c r="O26" s="49">
        <f t="shared" ca="1" si="17"/>
        <v>100</v>
      </c>
      <c r="P26" s="49">
        <f t="shared" ca="1" si="13"/>
        <v>100</v>
      </c>
    </row>
    <row r="27" spans="1:16" ht="21.75" customHeight="1" x14ac:dyDescent="0.45">
      <c r="A27" s="526" t="s">
        <v>25</v>
      </c>
      <c r="B27" s="516"/>
      <c r="C27" s="516"/>
      <c r="D27" s="516"/>
      <c r="E27" s="516"/>
      <c r="F27" s="516"/>
      <c r="G27" s="517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45">
      <c r="A28" s="17"/>
      <c r="B28" s="18"/>
      <c r="C28" s="19" t="s">
        <v>16</v>
      </c>
      <c r="D28" s="527" t="s">
        <v>17</v>
      </c>
      <c r="E28" s="528"/>
      <c r="F28" s="528"/>
      <c r="G28" s="528"/>
      <c r="H28" s="20" t="s">
        <v>12</v>
      </c>
      <c r="I28" s="21"/>
      <c r="J28" s="21"/>
      <c r="K28" s="22"/>
      <c r="L28" s="23">
        <f t="shared" ref="L28:N28" ca="1" si="23">L29+L30</f>
        <v>2384110</v>
      </c>
      <c r="M28" s="23">
        <f t="shared" si="23"/>
        <v>0</v>
      </c>
      <c r="N28" s="23">
        <f t="shared" ca="1" si="23"/>
        <v>594138</v>
      </c>
      <c r="O28" s="22">
        <f t="shared" ref="O28:O30" ca="1" si="24">IF(L28&gt;0,N28*100/L28,0)</f>
        <v>24.92074610651354</v>
      </c>
      <c r="P28" s="22">
        <f t="shared" ref="P28:P37" si="25">IF(M28&gt;0,N28*100/M28,0)</f>
        <v>0</v>
      </c>
    </row>
    <row r="29" spans="1:16" ht="21.75" customHeight="1" x14ac:dyDescent="0.45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45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2384110</v>
      </c>
      <c r="M30" s="30">
        <f t="shared" si="27"/>
        <v>0</v>
      </c>
      <c r="N30" s="30">
        <f t="shared" ca="1" si="27"/>
        <v>594138</v>
      </c>
      <c r="O30" s="29">
        <f t="shared" ca="1" si="24"/>
        <v>24.92074610651354</v>
      </c>
      <c r="P30" s="29">
        <f t="shared" si="25"/>
        <v>0</v>
      </c>
    </row>
    <row r="31" spans="1:16" ht="21.75" customHeight="1" x14ac:dyDescent="0.45">
      <c r="A31" s="31"/>
      <c r="B31" s="32"/>
      <c r="C31" s="33" t="s">
        <v>16</v>
      </c>
      <c r="D31" s="529" t="s">
        <v>20</v>
      </c>
      <c r="E31" s="530"/>
      <c r="F31" s="530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45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2384110</v>
      </c>
      <c r="M32" s="38">
        <f t="shared" si="30"/>
        <v>0</v>
      </c>
      <c r="N32" s="38">
        <f t="shared" ca="1" si="30"/>
        <v>594138</v>
      </c>
      <c r="O32" s="38">
        <f t="shared" ca="1" si="29"/>
        <v>24.92074610651354</v>
      </c>
      <c r="P32" s="38">
        <f t="shared" si="25"/>
        <v>0</v>
      </c>
    </row>
    <row r="33" spans="1:16" ht="21.75" customHeight="1" x14ac:dyDescent="0.45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45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2384110</v>
      </c>
      <c r="M34" s="38">
        <f t="shared" si="32"/>
        <v>0</v>
      </c>
      <c r="N34" s="38">
        <f t="shared" ca="1" si="32"/>
        <v>594138</v>
      </c>
      <c r="O34" s="38">
        <f t="shared" ca="1" si="29"/>
        <v>24.92074610651354</v>
      </c>
      <c r="P34" s="38">
        <f t="shared" si="25"/>
        <v>0</v>
      </c>
    </row>
    <row r="35" spans="1:16" ht="21.75" customHeight="1" x14ac:dyDescent="0.45">
      <c r="A35" s="31"/>
      <c r="B35" s="32"/>
      <c r="C35" s="33" t="s">
        <v>16</v>
      </c>
      <c r="D35" s="529" t="s">
        <v>23</v>
      </c>
      <c r="E35" s="530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45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3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4195545</v>
      </c>
      <c r="M37" s="54">
        <f t="shared" ca="1" si="33"/>
        <v>2455725</v>
      </c>
      <c r="N37" s="54">
        <f t="shared" ca="1" si="33"/>
        <v>1943476</v>
      </c>
      <c r="O37" s="55">
        <f t="shared" ca="1" si="29"/>
        <v>46.322372897919102</v>
      </c>
      <c r="P37" s="55">
        <f t="shared" ca="1" si="25"/>
        <v>79.140620387054739</v>
      </c>
    </row>
    <row r="38" spans="1:16" ht="21.75" customHeight="1" x14ac:dyDescent="0.45">
      <c r="A38" s="531" t="s">
        <v>27</v>
      </c>
      <c r="B38" s="516"/>
      <c r="C38" s="516"/>
      <c r="D38" s="516"/>
      <c r="E38" s="516"/>
      <c r="F38" s="516"/>
      <c r="G38" s="517"/>
      <c r="H38" s="56"/>
      <c r="I38" s="57"/>
      <c r="J38" s="57"/>
      <c r="K38" s="58"/>
      <c r="L38" s="59"/>
      <c r="M38" s="59"/>
      <c r="N38" s="59"/>
      <c r="O38" s="59"/>
      <c r="P38" s="59"/>
    </row>
    <row r="39" spans="1:16" ht="21.75" customHeight="1" x14ac:dyDescent="0.45">
      <c r="A39" s="60"/>
      <c r="B39" s="532" t="s">
        <v>28</v>
      </c>
      <c r="C39" s="528"/>
      <c r="D39" s="528"/>
      <c r="E39" s="528"/>
      <c r="F39" s="528"/>
      <c r="G39" s="528"/>
      <c r="H39" s="61"/>
      <c r="I39" s="62"/>
      <c r="J39" s="62"/>
      <c r="K39" s="63"/>
      <c r="L39" s="64"/>
      <c r="M39" s="64"/>
      <c r="N39" s="64"/>
      <c r="O39" s="63"/>
      <c r="P39" s="63"/>
    </row>
    <row r="40" spans="1:16" ht="21.75" customHeight="1" x14ac:dyDescent="0.45">
      <c r="A40" s="65"/>
      <c r="B40" s="66" t="s">
        <v>29</v>
      </c>
      <c r="C40" s="67"/>
      <c r="D40" s="67"/>
      <c r="E40" s="67"/>
      <c r="F40" s="67"/>
      <c r="G40" s="67"/>
      <c r="H40" s="68"/>
      <c r="I40" s="69"/>
      <c r="J40" s="69"/>
      <c r="K40" s="70"/>
      <c r="L40" s="71"/>
      <c r="M40" s="71"/>
      <c r="N40" s="71"/>
      <c r="O40" s="70"/>
      <c r="P40" s="70"/>
    </row>
    <row r="41" spans="1:16" ht="21.75" customHeight="1" x14ac:dyDescent="0.45">
      <c r="A41" s="72"/>
      <c r="B41" s="73"/>
      <c r="C41" s="74" t="s">
        <v>16</v>
      </c>
      <c r="D41" s="533" t="s">
        <v>17</v>
      </c>
      <c r="E41" s="530"/>
      <c r="F41" s="530"/>
      <c r="G41" s="530"/>
      <c r="H41" s="75" t="s">
        <v>12</v>
      </c>
      <c r="I41" s="76"/>
      <c r="J41" s="76"/>
      <c r="K41" s="77"/>
      <c r="L41" s="78">
        <f t="shared" ref="L41:N41" ca="1" si="34">L42+L43</f>
        <v>758700</v>
      </c>
      <c r="M41" s="78">
        <f t="shared" ca="1" si="34"/>
        <v>379300</v>
      </c>
      <c r="N41" s="78">
        <f t="shared" ca="1" si="34"/>
        <v>373704</v>
      </c>
      <c r="O41" s="77">
        <f t="shared" ref="O41:O43" ca="1" si="35">IF(L41&gt;0,N41*100/L41,0)</f>
        <v>49.255832344800318</v>
      </c>
      <c r="P41" s="77">
        <f t="shared" ref="P41:P43" ca="1" si="36">IF(M41&gt;0,N41*100/M41,0)</f>
        <v>98.52465067229106</v>
      </c>
    </row>
    <row r="42" spans="1:16" ht="21.75" customHeight="1" x14ac:dyDescent="0.45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45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758700</v>
      </c>
      <c r="M43" s="78">
        <f t="shared" ca="1" si="38"/>
        <v>379300</v>
      </c>
      <c r="N43" s="78">
        <f t="shared" ca="1" si="38"/>
        <v>373704</v>
      </c>
      <c r="O43" s="77">
        <f t="shared" ca="1" si="35"/>
        <v>49.255832344800318</v>
      </c>
      <c r="P43" s="77">
        <f t="shared" ca="1" si="36"/>
        <v>98.52465067229106</v>
      </c>
    </row>
    <row r="44" spans="1:16" ht="21.75" customHeight="1" x14ac:dyDescent="0.45">
      <c r="A44" s="79"/>
      <c r="B44" s="80"/>
      <c r="C44" s="81" t="s">
        <v>16</v>
      </c>
      <c r="D44" s="534" t="s">
        <v>20</v>
      </c>
      <c r="E44" s="530"/>
      <c r="F44" s="530"/>
      <c r="G44" s="82" t="s">
        <v>18</v>
      </c>
      <c r="H44" s="83" t="s">
        <v>12</v>
      </c>
      <c r="I44" s="84"/>
      <c r="J44" s="84"/>
      <c r="K44" s="85"/>
      <c r="L44" s="86">
        <v>0</v>
      </c>
      <c r="M44" s="510"/>
      <c r="N44" s="511"/>
      <c r="O44" s="511"/>
      <c r="P44" s="511"/>
    </row>
    <row r="45" spans="1:16" ht="21.75" customHeight="1" x14ac:dyDescent="0.45">
      <c r="A45" s="79"/>
      <c r="B45" s="80"/>
      <c r="C45" s="80"/>
      <c r="D45" s="80"/>
      <c r="E45" s="88"/>
      <c r="F45" s="89"/>
      <c r="G45" s="82" t="s">
        <v>19</v>
      </c>
      <c r="H45" s="83" t="s">
        <v>12</v>
      </c>
      <c r="I45" s="84"/>
      <c r="J45" s="84"/>
      <c r="K45" s="85"/>
      <c r="L45" s="38">
        <f ca="1">L46+L47</f>
        <v>758700</v>
      </c>
      <c r="M45" s="49">
        <f ca="1">IFERROR(__xludf.DUMMYFUNCTION("IMPORTRANGE(""https://docs.google.com/spreadsheets/d/1Yj_ptqi66GCucihVvJfMjLAmec39IyEx_6qawtMGysU/edit?usp=sharing"",""สบก!Q33"")"),379300)</f>
        <v>379300</v>
      </c>
      <c r="N45" s="49">
        <f ca="1">IFERROR(__xludf.DUMMYFUNCTION("IMPORTRANGE(""https://docs.google.com/spreadsheets/d/1Yj_ptqi66GCucihVvJfMjLAmec39IyEx_6qawtMGysU/edit?usp=sharing"",""สบก!R33"")"),373704)</f>
        <v>373704</v>
      </c>
      <c r="O45" s="38">
        <f ca="1">IF(L45&gt;0,N45*100/L45,0)</f>
        <v>49.255832344800318</v>
      </c>
      <c r="P45" s="38">
        <f ca="1">IF(M45&gt;0,N45*100/M45,0)</f>
        <v>98.52465067229106</v>
      </c>
    </row>
    <row r="46" spans="1:16" ht="21.75" customHeight="1" x14ac:dyDescent="0.45">
      <c r="A46" s="79"/>
      <c r="B46" s="80"/>
      <c r="C46" s="80"/>
      <c r="D46" s="80"/>
      <c r="E46" s="88"/>
      <c r="F46" s="88"/>
      <c r="G46" s="82" t="s">
        <v>21</v>
      </c>
      <c r="H46" s="83" t="s">
        <v>12</v>
      </c>
      <c r="I46" s="84"/>
      <c r="J46" s="84"/>
      <c r="K46" s="85"/>
      <c r="L46" s="49">
        <f ca="1">IFERROR(__xludf.DUMMYFUNCTION("IMPORTRANGE(""https://docs.google.com/spreadsheets/d/1Yj_ptqi66GCucihVvJfMjLAmec39IyEx_6qawtMGysU/edit?usp=sharing"",""สบก!M33"")"),758700)</f>
        <v>758700</v>
      </c>
      <c r="M46" s="41"/>
      <c r="N46" s="38"/>
      <c r="O46" s="38"/>
      <c r="P46" s="38"/>
    </row>
    <row r="47" spans="1:16" ht="21.75" customHeight="1" x14ac:dyDescent="0.45">
      <c r="A47" s="79"/>
      <c r="B47" s="80"/>
      <c r="C47" s="80"/>
      <c r="D47" s="80"/>
      <c r="E47" s="88"/>
      <c r="F47" s="88"/>
      <c r="G47" s="82" t="s">
        <v>22</v>
      </c>
      <c r="H47" s="83" t="s">
        <v>12</v>
      </c>
      <c r="I47" s="84"/>
      <c r="J47" s="84"/>
      <c r="K47" s="85"/>
      <c r="L47" s="49">
        <f ca="1">IFERROR(__xludf.DUMMYFUNCTION("IMPORTRANGE(""https://docs.google.com/spreadsheets/d/1Yj_ptqi66GCucihVvJfMjLAmec39IyEx_6qawtMGysU/edit?usp=sharing"",""สบก!N33"")"),0)</f>
        <v>0</v>
      </c>
      <c r="M47" s="41"/>
      <c r="N47" s="38"/>
      <c r="O47" s="38"/>
      <c r="P47" s="38"/>
    </row>
    <row r="48" spans="1:16" ht="21.75" customHeight="1" x14ac:dyDescent="0.45">
      <c r="A48" s="79"/>
      <c r="B48" s="80"/>
      <c r="C48" s="81" t="s">
        <v>16</v>
      </c>
      <c r="D48" s="534" t="s">
        <v>23</v>
      </c>
      <c r="E48" s="530"/>
      <c r="F48" s="88"/>
      <c r="G48" s="82" t="s">
        <v>18</v>
      </c>
      <c r="H48" s="83" t="s">
        <v>12</v>
      </c>
      <c r="I48" s="84"/>
      <c r="J48" s="84"/>
      <c r="K48" s="85"/>
      <c r="L48" s="50">
        <v>0</v>
      </c>
      <c r="M48" s="41"/>
      <c r="N48" s="41"/>
      <c r="O48" s="41"/>
      <c r="P48" s="41"/>
    </row>
    <row r="49" spans="1:16" ht="21.75" customHeight="1" x14ac:dyDescent="0.45">
      <c r="A49" s="90"/>
      <c r="B49" s="91"/>
      <c r="C49" s="91"/>
      <c r="D49" s="91"/>
      <c r="E49" s="92"/>
      <c r="F49" s="92"/>
      <c r="G49" s="93" t="s">
        <v>19</v>
      </c>
      <c r="H49" s="94" t="s">
        <v>12</v>
      </c>
      <c r="I49" s="95"/>
      <c r="J49" s="95"/>
      <c r="K49" s="96"/>
      <c r="L49" s="49">
        <f ca="1">IFERROR(__xludf.DUMMYFUNCTION("IMPORTRANGE(""https://docs.google.com/spreadsheets/d/1Yj_ptqi66GCucihVvJfMjLAmec39IyEx_6qawtMGysU/edit?usp=sharing"",""สบก!O33"")"),0)</f>
        <v>0</v>
      </c>
      <c r="M49" s="49"/>
      <c r="N49" s="49">
        <f ca="1">IFERROR(__xludf.DUMMYFUNCTION("IMPORTRANGE(""https://docs.google.com/spreadsheets/d/1Yj_ptqi66GCucihVvJfMjLAmec39IyEx_6qawtMGysU/edit?usp=sharing"",""สบก!S33"")"),0)</f>
        <v>0</v>
      </c>
      <c r="O49" s="49">
        <f ca="1">IF(L49&gt;0,N49*100/L49,0)</f>
        <v>0</v>
      </c>
      <c r="P49" s="49"/>
    </row>
    <row r="50" spans="1:16" ht="21.75" customHeight="1" x14ac:dyDescent="0.45">
      <c r="A50" s="97" t="s">
        <v>30</v>
      </c>
      <c r="B50" s="98"/>
      <c r="C50" s="98"/>
      <c r="D50" s="98"/>
      <c r="E50" s="98"/>
      <c r="F50" s="98"/>
      <c r="G50" s="98"/>
      <c r="H50" s="99"/>
      <c r="I50" s="100"/>
      <c r="J50" s="100"/>
      <c r="K50" s="101"/>
      <c r="L50" s="102"/>
      <c r="M50" s="102"/>
      <c r="N50" s="102"/>
      <c r="O50" s="101"/>
      <c r="P50" s="101"/>
    </row>
    <row r="51" spans="1:16" ht="21.75" customHeight="1" x14ac:dyDescent="0.45">
      <c r="A51" s="103"/>
      <c r="B51" s="104" t="s">
        <v>31</v>
      </c>
      <c r="C51" s="104"/>
      <c r="D51" s="104"/>
      <c r="E51" s="104"/>
      <c r="F51" s="104"/>
      <c r="G51" s="104"/>
      <c r="H51" s="105"/>
      <c r="I51" s="106"/>
      <c r="J51" s="106"/>
      <c r="K51" s="107"/>
      <c r="L51" s="108"/>
      <c r="M51" s="108"/>
      <c r="N51" s="108"/>
      <c r="O51" s="107"/>
      <c r="P51" s="107"/>
    </row>
    <row r="52" spans="1:16" ht="21.75" customHeight="1" x14ac:dyDescent="0.45">
      <c r="A52" s="109"/>
      <c r="B52" s="535" t="s">
        <v>32</v>
      </c>
      <c r="C52" s="530"/>
      <c r="D52" s="530"/>
      <c r="E52" s="530"/>
      <c r="F52" s="530"/>
      <c r="G52" s="530"/>
      <c r="H52" s="110"/>
      <c r="I52" s="111"/>
      <c r="J52" s="111"/>
      <c r="K52" s="112"/>
      <c r="L52" s="113"/>
      <c r="M52" s="113"/>
      <c r="N52" s="113"/>
      <c r="O52" s="112"/>
      <c r="P52" s="112"/>
    </row>
    <row r="53" spans="1:16" ht="21.75" customHeight="1" x14ac:dyDescent="0.45">
      <c r="A53" s="114"/>
      <c r="B53" s="115"/>
      <c r="C53" s="116" t="s">
        <v>16</v>
      </c>
      <c r="D53" s="536" t="s">
        <v>17</v>
      </c>
      <c r="E53" s="530"/>
      <c r="F53" s="530"/>
      <c r="G53" s="530"/>
      <c r="H53" s="117" t="s">
        <v>12</v>
      </c>
      <c r="I53" s="118"/>
      <c r="J53" s="118"/>
      <c r="K53" s="119"/>
      <c r="L53" s="120">
        <f t="shared" ref="L53:N53" ca="1" si="39">L54+L55</f>
        <v>600000</v>
      </c>
      <c r="M53" s="120">
        <f t="shared" ca="1" si="39"/>
        <v>322500</v>
      </c>
      <c r="N53" s="120">
        <f t="shared" ca="1" si="39"/>
        <v>246181</v>
      </c>
      <c r="O53" s="119">
        <f t="shared" ref="O53:O55" ca="1" si="40">IF(L53&gt;0,N53*100/L53,0)</f>
        <v>41.030166666666666</v>
      </c>
      <c r="P53" s="119">
        <f t="shared" ref="P53:P55" ca="1" si="41">IF(M53&gt;0,N53*100/M53,0)</f>
        <v>76.335193798449609</v>
      </c>
    </row>
    <row r="54" spans="1:16" ht="21.75" customHeight="1" x14ac:dyDescent="0.45">
      <c r="A54" s="114"/>
      <c r="B54" s="115"/>
      <c r="C54" s="115"/>
      <c r="D54" s="115"/>
      <c r="E54" s="115"/>
      <c r="F54" s="115"/>
      <c r="G54" s="116" t="s">
        <v>18</v>
      </c>
      <c r="H54" s="117" t="s">
        <v>12</v>
      </c>
      <c r="I54" s="118"/>
      <c r="J54" s="118"/>
      <c r="K54" s="119"/>
      <c r="L54" s="120">
        <f t="shared" ref="L54:N54" si="42">L56+L60</f>
        <v>0</v>
      </c>
      <c r="M54" s="120">
        <f t="shared" si="42"/>
        <v>0</v>
      </c>
      <c r="N54" s="120">
        <f t="shared" si="42"/>
        <v>0</v>
      </c>
      <c r="O54" s="119">
        <f t="shared" si="40"/>
        <v>0</v>
      </c>
      <c r="P54" s="119">
        <f t="shared" si="41"/>
        <v>0</v>
      </c>
    </row>
    <row r="55" spans="1:16" ht="21.75" customHeight="1" x14ac:dyDescent="0.45">
      <c r="A55" s="114"/>
      <c r="B55" s="115"/>
      <c r="C55" s="115"/>
      <c r="D55" s="115"/>
      <c r="E55" s="115"/>
      <c r="F55" s="115"/>
      <c r="G55" s="116" t="s">
        <v>19</v>
      </c>
      <c r="H55" s="117" t="s">
        <v>12</v>
      </c>
      <c r="I55" s="118"/>
      <c r="J55" s="118"/>
      <c r="K55" s="119"/>
      <c r="L55" s="120">
        <f t="shared" ref="L55:N55" ca="1" si="43">L57+L61</f>
        <v>600000</v>
      </c>
      <c r="M55" s="120">
        <f t="shared" ca="1" si="43"/>
        <v>322500</v>
      </c>
      <c r="N55" s="120">
        <f t="shared" ca="1" si="43"/>
        <v>246181</v>
      </c>
      <c r="O55" s="119">
        <f t="shared" ca="1" si="40"/>
        <v>41.030166666666666</v>
      </c>
      <c r="P55" s="119">
        <f t="shared" ca="1" si="41"/>
        <v>76.335193798449609</v>
      </c>
    </row>
    <row r="56" spans="1:16" ht="21.75" customHeight="1" x14ac:dyDescent="0.45">
      <c r="A56" s="79"/>
      <c r="B56" s="80"/>
      <c r="C56" s="81" t="s">
        <v>16</v>
      </c>
      <c r="D56" s="534" t="s">
        <v>20</v>
      </c>
      <c r="E56" s="530"/>
      <c r="F56" s="530"/>
      <c r="G56" s="82" t="s">
        <v>18</v>
      </c>
      <c r="H56" s="83" t="s">
        <v>12</v>
      </c>
      <c r="I56" s="84"/>
      <c r="J56" s="84"/>
      <c r="K56" s="85"/>
      <c r="L56" s="511">
        <v>0</v>
      </c>
      <c r="M56" s="510"/>
      <c r="N56" s="511"/>
      <c r="O56" s="511"/>
      <c r="P56" s="511"/>
    </row>
    <row r="57" spans="1:16" ht="21.75" customHeight="1" x14ac:dyDescent="0.45">
      <c r="A57" s="79"/>
      <c r="B57" s="80"/>
      <c r="C57" s="80"/>
      <c r="D57" s="80"/>
      <c r="E57" s="88"/>
      <c r="F57" s="89"/>
      <c r="G57" s="82" t="s">
        <v>19</v>
      </c>
      <c r="H57" s="83" t="s">
        <v>12</v>
      </c>
      <c r="I57" s="84"/>
      <c r="J57" s="84"/>
      <c r="K57" s="85"/>
      <c r="L57" s="38">
        <f ca="1">L58+L59</f>
        <v>600000</v>
      </c>
      <c r="M57" s="49">
        <f ca="1">IFERROR(__xludf.DUMMYFUNCTION("IMPORTRANGE(""https://docs.google.com/spreadsheets/d/1Yj_ptqi66GCucihVvJfMjLAmec39IyEx_6qawtMGysU/edit?usp=sharing"",""สบก!Z33"")"),322500)</f>
        <v>322500</v>
      </c>
      <c r="N57" s="49">
        <f ca="1">IFERROR(__xludf.DUMMYFUNCTION("IMPORTRANGE(""https://docs.google.com/spreadsheets/d/1Yj_ptqi66GCucihVvJfMjLAmec39IyEx_6qawtMGysU/edit?usp=sharing"",""สบก!AA33"")"),246181)</f>
        <v>246181</v>
      </c>
      <c r="O57" s="38">
        <f ca="1">IF(L57&gt;0,N57*100/L57,0)</f>
        <v>41.030166666666666</v>
      </c>
      <c r="P57" s="38">
        <f ca="1">IF(M57&gt;0,N57*100/M57,0)</f>
        <v>76.335193798449609</v>
      </c>
    </row>
    <row r="58" spans="1:16" ht="21.75" customHeight="1" x14ac:dyDescent="0.45">
      <c r="A58" s="79"/>
      <c r="B58" s="80"/>
      <c r="C58" s="80"/>
      <c r="D58" s="80"/>
      <c r="E58" s="88"/>
      <c r="F58" s="88"/>
      <c r="G58" s="82" t="s">
        <v>21</v>
      </c>
      <c r="H58" s="83" t="s">
        <v>12</v>
      </c>
      <c r="I58" s="84"/>
      <c r="J58" s="84"/>
      <c r="K58" s="85"/>
      <c r="L58" s="49">
        <f ca="1">IFERROR(__xludf.DUMMYFUNCTION("IMPORTRANGE(""https://docs.google.com/spreadsheets/d/1Yj_ptqi66GCucihVvJfMjLAmec39IyEx_6qawtMGysU/edit?usp=sharing"",""สบก!V33"")"),600000)</f>
        <v>600000</v>
      </c>
      <c r="M58" s="41"/>
      <c r="N58" s="38"/>
      <c r="O58" s="38"/>
      <c r="P58" s="38"/>
    </row>
    <row r="59" spans="1:16" ht="21.75" customHeight="1" x14ac:dyDescent="0.45">
      <c r="A59" s="79"/>
      <c r="B59" s="80"/>
      <c r="C59" s="80"/>
      <c r="D59" s="80"/>
      <c r="E59" s="88"/>
      <c r="F59" s="88"/>
      <c r="G59" s="82" t="s">
        <v>22</v>
      </c>
      <c r="H59" s="83" t="s">
        <v>12</v>
      </c>
      <c r="I59" s="84"/>
      <c r="J59" s="84"/>
      <c r="K59" s="85"/>
      <c r="L59" s="49">
        <f ca="1">IFERROR(__xludf.DUMMYFUNCTION("IMPORTRANGE(""https://docs.google.com/spreadsheets/d/1Yj_ptqi66GCucihVvJfMjLAmec39IyEx_6qawtMGysU/edit?usp=sharing"",""สบก!W33"")"),0)</f>
        <v>0</v>
      </c>
      <c r="M59" s="41"/>
      <c r="N59" s="38"/>
      <c r="O59" s="38"/>
      <c r="P59" s="38"/>
    </row>
    <row r="60" spans="1:16" ht="21.75" customHeight="1" x14ac:dyDescent="0.45">
      <c r="A60" s="79"/>
      <c r="B60" s="80"/>
      <c r="C60" s="81" t="s">
        <v>16</v>
      </c>
      <c r="D60" s="534" t="s">
        <v>23</v>
      </c>
      <c r="E60" s="530"/>
      <c r="F60" s="88"/>
      <c r="G60" s="82" t="s">
        <v>18</v>
      </c>
      <c r="H60" s="83" t="s">
        <v>12</v>
      </c>
      <c r="I60" s="84"/>
      <c r="J60" s="84"/>
      <c r="K60" s="85"/>
      <c r="L60" s="50">
        <v>0</v>
      </c>
      <c r="M60" s="41"/>
      <c r="N60" s="41"/>
      <c r="O60" s="41"/>
      <c r="P60" s="41"/>
    </row>
    <row r="61" spans="1:16" ht="21.75" customHeight="1" x14ac:dyDescent="0.45">
      <c r="A61" s="90"/>
      <c r="B61" s="91"/>
      <c r="C61" s="91"/>
      <c r="D61" s="91"/>
      <c r="E61" s="92"/>
      <c r="F61" s="92"/>
      <c r="G61" s="93" t="s">
        <v>19</v>
      </c>
      <c r="H61" s="94" t="s">
        <v>12</v>
      </c>
      <c r="I61" s="95"/>
      <c r="J61" s="95"/>
      <c r="K61" s="96"/>
      <c r="L61" s="49">
        <f ca="1">IFERROR(__xludf.DUMMYFUNCTION("IMPORTRANGE(""https://docs.google.com/spreadsheets/d/1Yj_ptqi66GCucihVvJfMjLAmec39IyEx_6qawtMGysU/edit?usp=sharing"",""สบก!X33"")"),0)</f>
        <v>0</v>
      </c>
      <c r="M61" s="49"/>
      <c r="N61" s="49">
        <f ca="1">IFERROR(__xludf.DUMMYFUNCTION("IMPORTRANGE(""https://docs.google.com/spreadsheets/d/1Yj_ptqi66GCucihVvJfMjLAmec39IyEx_6qawtMGysU/edit?usp=sharing"",""สบก!AB33"")"),0)</f>
        <v>0</v>
      </c>
      <c r="O61" s="49">
        <f ca="1">IF(L61&gt;0,N61*100/L61,0)</f>
        <v>0</v>
      </c>
      <c r="P61" s="49"/>
    </row>
    <row r="62" spans="1:16" ht="21.75" customHeight="1" x14ac:dyDescent="0.3">
      <c r="A62" s="121" t="s">
        <v>33</v>
      </c>
      <c r="B62" s="122"/>
      <c r="C62" s="122"/>
      <c r="D62" s="122"/>
      <c r="E62" s="123"/>
      <c r="F62" s="123"/>
      <c r="G62" s="123"/>
      <c r="H62" s="124"/>
      <c r="I62" s="125"/>
      <c r="J62" s="125"/>
      <c r="K62" s="126"/>
      <c r="L62" s="127"/>
      <c r="M62" s="127"/>
      <c r="N62" s="127"/>
      <c r="O62" s="127"/>
      <c r="P62" s="127"/>
    </row>
    <row r="63" spans="1:16" ht="21.75" customHeight="1" x14ac:dyDescent="0.3">
      <c r="A63" s="128" t="s">
        <v>34</v>
      </c>
      <c r="B63" s="129"/>
      <c r="C63" s="130"/>
      <c r="D63" s="129"/>
      <c r="E63" s="131"/>
      <c r="F63" s="131"/>
      <c r="G63" s="131"/>
      <c r="H63" s="132"/>
      <c r="I63" s="133"/>
      <c r="J63" s="133"/>
      <c r="K63" s="134"/>
      <c r="L63" s="135"/>
      <c r="M63" s="135"/>
      <c r="N63" s="135"/>
      <c r="O63" s="136"/>
      <c r="P63" s="136"/>
    </row>
    <row r="64" spans="1:16" ht="21.75" customHeight="1" x14ac:dyDescent="0.3">
      <c r="A64" s="137"/>
      <c r="B64" s="138" t="s">
        <v>35</v>
      </c>
      <c r="C64" s="138"/>
      <c r="D64" s="139"/>
      <c r="E64" s="138"/>
      <c r="F64" s="138"/>
      <c r="G64" s="138"/>
      <c r="H64" s="140" t="s">
        <v>36</v>
      </c>
      <c r="I64" s="141">
        <f ca="1">IFERROR(__xludf.DUMMYFUNCTION("IMPORTRANGE(""https://docs.google.com/spreadsheets/d/11923uPwbBZFjjGgGUA6NLw09EwE0CqkOc4q9oUmW1yo/edit?usp=sharing"",""ลำพูน!I9"")"),1)</f>
        <v>1</v>
      </c>
      <c r="J64" s="141">
        <f ca="1">IFERROR(__xludf.DUMMYFUNCTION("IMPORTRANGE(""https://docs.google.com/spreadsheets/d/11923uPwbBZFjjGgGUA6NLw09EwE0CqkOc4q9oUmW1yo/edit?usp=sharing"",""ลำพูน!J9"")"),1)</f>
        <v>1</v>
      </c>
      <c r="K64" s="142">
        <f t="shared" ref="K64:K65" ca="1" si="44">IF(I64&gt;0,J64*100/I64,0)</f>
        <v>100</v>
      </c>
      <c r="L64" s="143"/>
      <c r="M64" s="143"/>
      <c r="N64" s="144"/>
      <c r="O64" s="142"/>
      <c r="P64" s="142"/>
    </row>
    <row r="65" spans="1:16" ht="21.75" customHeight="1" x14ac:dyDescent="0.3">
      <c r="A65" s="137"/>
      <c r="B65" s="138"/>
      <c r="C65" s="138"/>
      <c r="D65" s="139"/>
      <c r="E65" s="138"/>
      <c r="F65" s="138"/>
      <c r="G65" s="138"/>
      <c r="H65" s="140" t="s">
        <v>37</v>
      </c>
      <c r="I65" s="141">
        <f ca="1">IFERROR(__xludf.DUMMYFUNCTION("IMPORTRANGE(""https://docs.google.com/spreadsheets/d/11923uPwbBZFjjGgGUA6NLw09EwE0CqkOc4q9oUmW1yo/edit?usp=sharing"",""ลำพูน!I10"")"),35)</f>
        <v>35</v>
      </c>
      <c r="J65" s="141">
        <f ca="1">IFERROR(__xludf.DUMMYFUNCTION("IMPORTRANGE(""https://docs.google.com/spreadsheets/d/11923uPwbBZFjjGgGUA6NLw09EwE0CqkOc4q9oUmW1yo/edit?usp=sharing"",""ลำพูน!J10"")"),35)</f>
        <v>35</v>
      </c>
      <c r="K65" s="142">
        <f t="shared" ca="1" si="44"/>
        <v>100</v>
      </c>
      <c r="L65" s="144"/>
      <c r="M65" s="144"/>
      <c r="N65" s="144"/>
      <c r="O65" s="142"/>
      <c r="P65" s="142"/>
    </row>
    <row r="66" spans="1:16" ht="21.75" customHeight="1" x14ac:dyDescent="0.45">
      <c r="A66" s="145"/>
      <c r="B66" s="146"/>
      <c r="C66" s="147" t="s">
        <v>16</v>
      </c>
      <c r="D66" s="537" t="s">
        <v>17</v>
      </c>
      <c r="E66" s="528"/>
      <c r="F66" s="528"/>
      <c r="G66" s="528"/>
      <c r="H66" s="148" t="s">
        <v>12</v>
      </c>
      <c r="I66" s="149"/>
      <c r="J66" s="149"/>
      <c r="K66" s="150"/>
      <c r="L66" s="151">
        <f t="shared" ref="L66:N66" ca="1" si="45">L67+L68</f>
        <v>591400</v>
      </c>
      <c r="M66" s="151">
        <f t="shared" ca="1" si="45"/>
        <v>332320</v>
      </c>
      <c r="N66" s="151">
        <f t="shared" ca="1" si="45"/>
        <v>289304</v>
      </c>
      <c r="O66" s="150">
        <f t="shared" ref="O66:O68" ca="1" si="46">IF(L66&gt;0,N66*100/L66,0)</f>
        <v>48.918498478187352</v>
      </c>
      <c r="P66" s="150">
        <f t="shared" ref="P66:P68" ca="1" si="47">IF(M66&gt;0,N66*100/M66,0)</f>
        <v>87.055849783341358</v>
      </c>
    </row>
    <row r="67" spans="1:16" ht="21.75" customHeight="1" x14ac:dyDescent="0.45">
      <c r="A67" s="152"/>
      <c r="B67" s="32"/>
      <c r="C67" s="32"/>
      <c r="D67" s="32"/>
      <c r="E67" s="32"/>
      <c r="F67" s="32"/>
      <c r="G67" s="33" t="s">
        <v>18</v>
      </c>
      <c r="H67" s="153" t="s">
        <v>12</v>
      </c>
      <c r="I67" s="154"/>
      <c r="J67" s="154"/>
      <c r="K67" s="155"/>
      <c r="L67" s="87">
        <f t="shared" ref="L67:N67" si="48">L69+L73</f>
        <v>0</v>
      </c>
      <c r="M67" s="87">
        <f t="shared" si="48"/>
        <v>0</v>
      </c>
      <c r="N67" s="87">
        <f t="shared" si="48"/>
        <v>0</v>
      </c>
      <c r="O67" s="155">
        <f t="shared" si="46"/>
        <v>0</v>
      </c>
      <c r="P67" s="155">
        <f t="shared" si="47"/>
        <v>0</v>
      </c>
    </row>
    <row r="68" spans="1:16" ht="21.75" customHeight="1" x14ac:dyDescent="0.45">
      <c r="A68" s="152"/>
      <c r="B68" s="32"/>
      <c r="C68" s="32"/>
      <c r="D68" s="32"/>
      <c r="E68" s="32"/>
      <c r="F68" s="32"/>
      <c r="G68" s="33" t="s">
        <v>19</v>
      </c>
      <c r="H68" s="153" t="s">
        <v>12</v>
      </c>
      <c r="I68" s="154"/>
      <c r="J68" s="154"/>
      <c r="K68" s="155"/>
      <c r="L68" s="87">
        <f t="shared" ref="L68:N68" ca="1" si="49">L70+L74</f>
        <v>591400</v>
      </c>
      <c r="M68" s="87">
        <f t="shared" ca="1" si="49"/>
        <v>332320</v>
      </c>
      <c r="N68" s="87">
        <f t="shared" ca="1" si="49"/>
        <v>289304</v>
      </c>
      <c r="O68" s="155">
        <f t="shared" ca="1" si="46"/>
        <v>48.918498478187352</v>
      </c>
      <c r="P68" s="155">
        <f t="shared" ca="1" si="47"/>
        <v>87.055849783341358</v>
      </c>
    </row>
    <row r="69" spans="1:16" ht="21.75" customHeight="1" x14ac:dyDescent="0.3">
      <c r="A69" s="156"/>
      <c r="B69" s="157"/>
      <c r="C69" s="157" t="s">
        <v>16</v>
      </c>
      <c r="D69" s="158" t="s">
        <v>38</v>
      </c>
      <c r="E69" s="159"/>
      <c r="F69" s="159"/>
      <c r="G69" s="160" t="s">
        <v>39</v>
      </c>
      <c r="H69" s="161" t="s">
        <v>12</v>
      </c>
      <c r="I69" s="162" t="s">
        <v>40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3">
      <c r="A70" s="156"/>
      <c r="B70" s="157"/>
      <c r="C70" s="157"/>
      <c r="D70" s="166"/>
      <c r="E70" s="159"/>
      <c r="F70" s="159" t="s">
        <v>40</v>
      </c>
      <c r="G70" s="160" t="s">
        <v>41</v>
      </c>
      <c r="H70" s="161" t="s">
        <v>12</v>
      </c>
      <c r="I70" s="162"/>
      <c r="J70" s="162"/>
      <c r="K70" s="163"/>
      <c r="L70" s="167">
        <f ca="1">L71+L72</f>
        <v>591400</v>
      </c>
      <c r="M70" s="167">
        <f ca="1">IFERROR(__xludf.DUMMYFUNCTION("IMPORTRANGE(""https://docs.google.com/spreadsheets/d/1Yj_ptqi66GCucihVvJfMjLAmec39IyEx_6qawtMGysU/edit?usp=sharing"",""สบก!AI33"")"),332320)</f>
        <v>332320</v>
      </c>
      <c r="N70" s="168">
        <f ca="1">IFERROR(__xludf.DUMMYFUNCTION("IMPORTRANGE(""https://docs.google.com/spreadsheets/d/1Yj_ptqi66GCucihVvJfMjLAmec39IyEx_6qawtMGysU/edit?usp=sharing"",""สบก!AJ33"")"),289304)</f>
        <v>289304</v>
      </c>
      <c r="O70" s="168">
        <f ca="1">IF(L70&gt;0,N70*100/L70,0)</f>
        <v>48.918498478187352</v>
      </c>
      <c r="P70" s="168">
        <f ca="1">IF(M70&gt;0,N70*100/M70,0)</f>
        <v>87.055849783341358</v>
      </c>
    </row>
    <row r="71" spans="1:16" ht="21.75" customHeight="1" x14ac:dyDescent="0.3">
      <c r="A71" s="156"/>
      <c r="B71" s="157"/>
      <c r="C71" s="157"/>
      <c r="D71" s="166"/>
      <c r="E71" s="159"/>
      <c r="F71" s="159"/>
      <c r="G71" s="169" t="s">
        <v>42</v>
      </c>
      <c r="H71" s="161" t="s">
        <v>12</v>
      </c>
      <c r="I71" s="162"/>
      <c r="J71" s="162"/>
      <c r="K71" s="163"/>
      <c r="L71" s="167">
        <f ca="1">IFERROR(__xludf.DUMMYFUNCTION("IMPORTRANGE(""https://docs.google.com/spreadsheets/d/1Yj_ptqi66GCucihVvJfMjLAmec39IyEx_6qawtMGysU/edit?usp=sharing"",""สบก!AE33"")"),193400)</f>
        <v>193400</v>
      </c>
      <c r="M71" s="167"/>
      <c r="N71" s="167"/>
      <c r="O71" s="168"/>
      <c r="P71" s="168"/>
    </row>
    <row r="72" spans="1:16" ht="21.75" customHeight="1" x14ac:dyDescent="0.3">
      <c r="A72" s="156"/>
      <c r="B72" s="157"/>
      <c r="C72" s="157"/>
      <c r="D72" s="166"/>
      <c r="E72" s="159"/>
      <c r="F72" s="159"/>
      <c r="G72" s="169" t="s">
        <v>43</v>
      </c>
      <c r="H72" s="161" t="s">
        <v>12</v>
      </c>
      <c r="I72" s="162"/>
      <c r="J72" s="162"/>
      <c r="K72" s="163"/>
      <c r="L72" s="167">
        <f ca="1">IFERROR(__xludf.DUMMYFUNCTION("IMPORTRANGE(""https://docs.google.com/spreadsheets/d/1Yj_ptqi66GCucihVvJfMjLAmec39IyEx_6qawtMGysU/edit?usp=sharing"",""สบก!AF33"")"),398000)</f>
        <v>398000</v>
      </c>
      <c r="M72" s="167"/>
      <c r="N72" s="167"/>
      <c r="O72" s="168"/>
      <c r="P72" s="168"/>
    </row>
    <row r="73" spans="1:16" ht="21.75" customHeight="1" x14ac:dyDescent="0.45">
      <c r="A73" s="170"/>
      <c r="B73" s="80"/>
      <c r="C73" s="81" t="s">
        <v>16</v>
      </c>
      <c r="D73" s="534" t="s">
        <v>23</v>
      </c>
      <c r="E73" s="530"/>
      <c r="F73" s="88"/>
      <c r="G73" s="82" t="s">
        <v>18</v>
      </c>
      <c r="H73" s="171" t="s">
        <v>12</v>
      </c>
      <c r="I73" s="84"/>
      <c r="J73" s="84"/>
      <c r="K73" s="85"/>
      <c r="L73" s="41">
        <v>0</v>
      </c>
      <c r="M73" s="41"/>
      <c r="N73" s="41"/>
      <c r="O73" s="41"/>
      <c r="P73" s="41"/>
    </row>
    <row r="74" spans="1:16" ht="21.75" customHeight="1" x14ac:dyDescent="0.45">
      <c r="A74" s="172"/>
      <c r="B74" s="91"/>
      <c r="C74" s="91"/>
      <c r="D74" s="173"/>
      <c r="E74" s="92"/>
      <c r="F74" s="92"/>
      <c r="G74" s="93" t="s">
        <v>19</v>
      </c>
      <c r="H74" s="174" t="s">
        <v>12</v>
      </c>
      <c r="I74" s="95"/>
      <c r="J74" s="95"/>
      <c r="K74" s="96"/>
      <c r="L74" s="49">
        <f ca="1">IFERROR(__xludf.DUMMYFUNCTION("IMPORTRANGE(""https://docs.google.com/spreadsheets/d/1Yj_ptqi66GCucihVvJfMjLAmec39IyEx_6qawtMGysU/edit?usp=sharing"",""สบก!AG33"")"),0)</f>
        <v>0</v>
      </c>
      <c r="M74" s="49"/>
      <c r="N74" s="49">
        <f ca="1">IFERROR(__xludf.DUMMYFUNCTION("IMPORTRANGE(""https://docs.google.com/spreadsheets/d/1Yj_ptqi66GCucihVvJfMjLAmec39IyEx_6qawtMGysU/edit?usp=sharing"",""สบก!AK33"")"),0)</f>
        <v>0</v>
      </c>
      <c r="O74" s="49">
        <f ca="1">IF(L74&gt;0,N74*100/L74,0)</f>
        <v>0</v>
      </c>
      <c r="P74" s="49"/>
    </row>
    <row r="75" spans="1:16" ht="21.75" customHeight="1" x14ac:dyDescent="0.3">
      <c r="A75" s="175"/>
      <c r="B75" s="176"/>
      <c r="C75" s="157" t="s">
        <v>16</v>
      </c>
      <c r="D75" s="177" t="s">
        <v>44</v>
      </c>
      <c r="E75" s="178"/>
      <c r="F75" s="178"/>
      <c r="G75" s="179"/>
      <c r="H75" s="180"/>
      <c r="I75" s="162"/>
      <c r="J75" s="162"/>
      <c r="K75" s="163"/>
      <c r="L75" s="181"/>
      <c r="M75" s="181"/>
      <c r="N75" s="181"/>
      <c r="O75" s="181"/>
      <c r="P75" s="181"/>
    </row>
    <row r="76" spans="1:16" ht="21.75" customHeight="1" x14ac:dyDescent="0.3">
      <c r="A76" s="175"/>
      <c r="B76" s="176"/>
      <c r="C76" s="176"/>
      <c r="D76" s="182">
        <v>1</v>
      </c>
      <c r="E76" s="183" t="s">
        <v>45</v>
      </c>
      <c r="F76" s="184"/>
      <c r="G76" s="185"/>
      <c r="H76" s="186"/>
      <c r="I76" s="187"/>
      <c r="J76" s="188">
        <f ca="1">IFERROR(__xludf.DUMMYFUNCTION("IMPORTRANGE(""https://docs.google.com/spreadsheets/d/11923uPwbBZFjjGgGUA6NLw09EwE0CqkOc4q9oUmW1yo/edit?usp=sharing"",""ลำพูน!J16"")"),0)</f>
        <v>0</v>
      </c>
      <c r="K76" s="163"/>
      <c r="L76" s="181"/>
      <c r="M76" s="181"/>
      <c r="N76" s="181"/>
      <c r="O76" s="181"/>
      <c r="P76" s="181"/>
    </row>
    <row r="77" spans="1:16" ht="21.75" customHeight="1" x14ac:dyDescent="0.3">
      <c r="A77" s="175"/>
      <c r="B77" s="176"/>
      <c r="C77" s="176"/>
      <c r="D77" s="189">
        <v>2</v>
      </c>
      <c r="E77" s="190" t="s">
        <v>46</v>
      </c>
      <c r="F77" s="191"/>
      <c r="G77" s="192"/>
      <c r="H77" s="186"/>
      <c r="I77" s="187"/>
      <c r="J77" s="188">
        <f ca="1">IFERROR(__xludf.DUMMYFUNCTION("IMPORTRANGE(""https://docs.google.com/spreadsheets/d/11923uPwbBZFjjGgGUA6NLw09EwE0CqkOc4q9oUmW1yo/edit?usp=sharing"",""ลำพูน!J17"")"),1)</f>
        <v>1</v>
      </c>
      <c r="K77" s="163"/>
      <c r="L77" s="181" t="s">
        <v>40</v>
      </c>
      <c r="M77" s="181"/>
      <c r="N77" s="181" t="s">
        <v>40</v>
      </c>
      <c r="O77" s="181"/>
      <c r="P77" s="181"/>
    </row>
    <row r="78" spans="1:16" ht="21.75" customHeight="1" x14ac:dyDescent="0.3">
      <c r="A78" s="175"/>
      <c r="B78" s="176"/>
      <c r="C78" s="176"/>
      <c r="D78" s="193"/>
      <c r="E78" s="194" t="s">
        <v>47</v>
      </c>
      <c r="F78" s="195"/>
      <c r="G78" s="196"/>
      <c r="H78" s="186"/>
      <c r="I78" s="187"/>
      <c r="J78" s="188">
        <f ca="1">IFERROR(__xludf.DUMMYFUNCTION("IMPORTRANGE(""https://docs.google.com/spreadsheets/d/11923uPwbBZFjjGgGUA6NLw09EwE0CqkOc4q9oUmW1yo/edit?usp=sharing"",""ลำพูน!J18"")"),1)</f>
        <v>1</v>
      </c>
      <c r="K78" s="163"/>
      <c r="L78" s="181"/>
      <c r="M78" s="181"/>
      <c r="N78" s="181"/>
      <c r="O78" s="181"/>
      <c r="P78" s="181"/>
    </row>
    <row r="79" spans="1:16" ht="21.75" customHeight="1" x14ac:dyDescent="0.3">
      <c r="A79" s="175"/>
      <c r="B79" s="176"/>
      <c r="C79" s="176"/>
      <c r="D79" s="193"/>
      <c r="E79" s="194" t="s">
        <v>48</v>
      </c>
      <c r="F79" s="195"/>
      <c r="G79" s="196"/>
      <c r="H79" s="186"/>
      <c r="I79" s="187"/>
      <c r="J79" s="197">
        <f ca="1">IFERROR(__xludf.DUMMYFUNCTION("IMPORTRANGE(""https://docs.google.com/spreadsheets/d/11923uPwbBZFjjGgGUA6NLw09EwE0CqkOc4q9oUmW1yo/edit?usp=sharing"",""ลำพูน!J19"")"),1)</f>
        <v>1</v>
      </c>
      <c r="K79" s="163"/>
      <c r="L79" s="181"/>
      <c r="M79" s="181"/>
      <c r="N79" s="181"/>
      <c r="O79" s="181"/>
      <c r="P79" s="181"/>
    </row>
    <row r="80" spans="1:16" ht="21.75" customHeight="1" x14ac:dyDescent="0.3">
      <c r="A80" s="175"/>
      <c r="B80" s="176"/>
      <c r="C80" s="176"/>
      <c r="D80" s="193"/>
      <c r="E80" s="198"/>
      <c r="F80" s="194" t="s">
        <v>49</v>
      </c>
      <c r="G80" s="195"/>
      <c r="H80" s="199" t="s">
        <v>36</v>
      </c>
      <c r="I80" s="200">
        <f ca="1">IFERROR(__xludf.DUMMYFUNCTION("IMPORTRANGE(""https://docs.google.com/spreadsheets/d/11923uPwbBZFjjGgGUA6NLw09EwE0CqkOc4q9oUmW1yo/edit?usp=sharing"",""ลำพูน!I20"")"),1)</f>
        <v>1</v>
      </c>
      <c r="J80" s="200">
        <f ca="1">IFERROR(__xludf.DUMMYFUNCTION("IMPORTRANGE(""https://docs.google.com/spreadsheets/d/11923uPwbBZFjjGgGUA6NLw09EwE0CqkOc4q9oUmW1yo/edit?usp=sharing"",""ลำพูน!J20"")"),1)</f>
        <v>1</v>
      </c>
      <c r="K80" s="201">
        <f t="shared" ref="K80:K88" ca="1" si="50">IF(I80&gt;0,J80*100/I80,0)</f>
        <v>100</v>
      </c>
      <c r="L80" s="181"/>
      <c r="M80" s="181"/>
      <c r="N80" s="181"/>
      <c r="O80" s="181"/>
      <c r="P80" s="181"/>
    </row>
    <row r="81" spans="1:16" ht="21.75" customHeight="1" x14ac:dyDescent="0.3">
      <c r="A81" s="175"/>
      <c r="B81" s="176"/>
      <c r="C81" s="176"/>
      <c r="D81" s="193"/>
      <c r="E81" s="198"/>
      <c r="F81" s="195"/>
      <c r="G81" s="196"/>
      <c r="H81" s="199" t="s">
        <v>37</v>
      </c>
      <c r="I81" s="200">
        <f ca="1">IFERROR(__xludf.DUMMYFUNCTION("IMPORTRANGE(""https://docs.google.com/spreadsheets/d/11923uPwbBZFjjGgGUA6NLw09EwE0CqkOc4q9oUmW1yo/edit?usp=sharing"",""ลำพูน!I21"")"),35)</f>
        <v>35</v>
      </c>
      <c r="J81" s="200">
        <f ca="1">IFERROR(__xludf.DUMMYFUNCTION("IMPORTRANGE(""https://docs.google.com/spreadsheets/d/11923uPwbBZFjjGgGUA6NLw09EwE0CqkOc4q9oUmW1yo/edit?usp=sharing"",""ลำพูน!J21"")"),35)</f>
        <v>35</v>
      </c>
      <c r="K81" s="201">
        <f t="shared" ca="1" si="50"/>
        <v>100</v>
      </c>
      <c r="L81" s="181"/>
      <c r="M81" s="181"/>
      <c r="N81" s="181"/>
      <c r="O81" s="181"/>
      <c r="P81" s="181"/>
    </row>
    <row r="82" spans="1:16" ht="21.75" customHeight="1" x14ac:dyDescent="0.3">
      <c r="A82" s="175"/>
      <c r="B82" s="176"/>
      <c r="C82" s="176"/>
      <c r="D82" s="193"/>
      <c r="E82" s="198"/>
      <c r="F82" s="195"/>
      <c r="G82" s="195" t="s">
        <v>50</v>
      </c>
      <c r="H82" s="180" t="s">
        <v>36</v>
      </c>
      <c r="I82" s="202">
        <f ca="1">IFERROR(__xludf.DUMMYFUNCTION("IMPORTRANGE(""https://docs.google.com/spreadsheets/d/11923uPwbBZFjjGgGUA6NLw09EwE0CqkOc4q9oUmW1yo/edit?usp=sharing"",""ลำพูน!I22"")"),1)</f>
        <v>1</v>
      </c>
      <c r="J82" s="203">
        <f ca="1">IFERROR(__xludf.DUMMYFUNCTION("IMPORTRANGE(""https://docs.google.com/spreadsheets/d/11923uPwbBZFjjGgGUA6NLw09EwE0CqkOc4q9oUmW1yo/edit?usp=sharing"",""ลำพูน!J22"")"),1)</f>
        <v>1</v>
      </c>
      <c r="K82" s="163">
        <f t="shared" ca="1" si="50"/>
        <v>100</v>
      </c>
      <c r="L82" s="181"/>
      <c r="M82" s="181"/>
      <c r="N82" s="181"/>
      <c r="O82" s="181"/>
      <c r="P82" s="181"/>
    </row>
    <row r="83" spans="1:16" ht="21.75" customHeight="1" x14ac:dyDescent="0.3">
      <c r="A83" s="175"/>
      <c r="B83" s="176"/>
      <c r="C83" s="176"/>
      <c r="D83" s="193"/>
      <c r="E83" s="198"/>
      <c r="F83" s="195"/>
      <c r="G83" s="196"/>
      <c r="H83" s="180" t="s">
        <v>37</v>
      </c>
      <c r="I83" s="202">
        <f ca="1">IFERROR(__xludf.DUMMYFUNCTION("IMPORTRANGE(""https://docs.google.com/spreadsheets/d/11923uPwbBZFjjGgGUA6NLw09EwE0CqkOc4q9oUmW1yo/edit?usp=sharing"",""ลำพูน!I23"")"),35)</f>
        <v>35</v>
      </c>
      <c r="J83" s="203">
        <f ca="1">IFERROR(__xludf.DUMMYFUNCTION("IMPORTRANGE(""https://docs.google.com/spreadsheets/d/11923uPwbBZFjjGgGUA6NLw09EwE0CqkOc4q9oUmW1yo/edit?usp=sharing"",""ลำพูน!J23"")"),35)</f>
        <v>35</v>
      </c>
      <c r="K83" s="163">
        <f t="shared" ca="1" si="50"/>
        <v>100</v>
      </c>
      <c r="L83" s="181"/>
      <c r="M83" s="181"/>
      <c r="N83" s="181"/>
      <c r="O83" s="181"/>
      <c r="P83" s="181"/>
    </row>
    <row r="84" spans="1:16" ht="21.75" customHeight="1" x14ac:dyDescent="0.3">
      <c r="A84" s="175"/>
      <c r="B84" s="176"/>
      <c r="C84" s="176"/>
      <c r="D84" s="193"/>
      <c r="E84" s="198"/>
      <c r="F84" s="195"/>
      <c r="G84" s="195" t="s">
        <v>51</v>
      </c>
      <c r="H84" s="180" t="s">
        <v>36</v>
      </c>
      <c r="I84" s="202">
        <f ca="1">IFERROR(__xludf.DUMMYFUNCTION("IMPORTRANGE(""https://docs.google.com/spreadsheets/d/11923uPwbBZFjjGgGUA6NLw09EwE0CqkOc4q9oUmW1yo/edit?usp=sharing"",""ลำพูน!I24"")"),0)</f>
        <v>0</v>
      </c>
      <c r="J84" s="188">
        <f ca="1">IFERROR(__xludf.DUMMYFUNCTION("IMPORTRANGE(""https://docs.google.com/spreadsheets/d/11923uPwbBZFjjGgGUA6NLw09EwE0CqkOc4q9oUmW1yo/edit?usp=sharing"",""ลำพูน!J24"")"),0)</f>
        <v>0</v>
      </c>
      <c r="K84" s="163">
        <f t="shared" ca="1" si="50"/>
        <v>0</v>
      </c>
      <c r="L84" s="181"/>
      <c r="M84" s="181"/>
      <c r="N84" s="181"/>
      <c r="O84" s="181"/>
      <c r="P84" s="181"/>
    </row>
    <row r="85" spans="1:16" ht="21.75" customHeight="1" x14ac:dyDescent="0.3">
      <c r="A85" s="175"/>
      <c r="B85" s="176"/>
      <c r="C85" s="176"/>
      <c r="D85" s="193"/>
      <c r="E85" s="198"/>
      <c r="F85" s="195"/>
      <c r="G85" s="196"/>
      <c r="H85" s="180" t="s">
        <v>37</v>
      </c>
      <c r="I85" s="202">
        <f ca="1">IFERROR(__xludf.DUMMYFUNCTION("IMPORTRANGE(""https://docs.google.com/spreadsheets/d/11923uPwbBZFjjGgGUA6NLw09EwE0CqkOc4q9oUmW1yo/edit?usp=sharing"",""ลำพูน!I25"")"),0)</f>
        <v>0</v>
      </c>
      <c r="J85" s="188">
        <f ca="1">IFERROR(__xludf.DUMMYFUNCTION("IMPORTRANGE(""https://docs.google.com/spreadsheets/d/11923uPwbBZFjjGgGUA6NLw09EwE0CqkOc4q9oUmW1yo/edit?usp=sharing"",""ลำพูน!J25"")"),0)</f>
        <v>0</v>
      </c>
      <c r="K85" s="163">
        <f t="shared" ca="1" si="50"/>
        <v>0</v>
      </c>
      <c r="L85" s="181"/>
      <c r="M85" s="181"/>
      <c r="N85" s="181"/>
      <c r="O85" s="181"/>
      <c r="P85" s="181"/>
    </row>
    <row r="86" spans="1:16" ht="21.75" customHeight="1" x14ac:dyDescent="0.3">
      <c r="A86" s="175"/>
      <c r="B86" s="176"/>
      <c r="C86" s="176"/>
      <c r="D86" s="193"/>
      <c r="E86" s="198"/>
      <c r="F86" s="195"/>
      <c r="G86" s="195" t="s">
        <v>52</v>
      </c>
      <c r="H86" s="180" t="s">
        <v>36</v>
      </c>
      <c r="I86" s="202">
        <f ca="1">IFERROR(__xludf.DUMMYFUNCTION("IMPORTRANGE(""https://docs.google.com/spreadsheets/d/11923uPwbBZFjjGgGUA6NLw09EwE0CqkOc4q9oUmW1yo/edit?usp=sharing"",""ลำพูน!I26"")"),0)</f>
        <v>0</v>
      </c>
      <c r="J86" s="203">
        <f ca="1">IFERROR(__xludf.DUMMYFUNCTION("IMPORTRANGE(""https://docs.google.com/spreadsheets/d/11923uPwbBZFjjGgGUA6NLw09EwE0CqkOc4q9oUmW1yo/edit?usp=sharing"",""ลำพูน!J26"")"),0)</f>
        <v>0</v>
      </c>
      <c r="K86" s="163">
        <f t="shared" ca="1" si="50"/>
        <v>0</v>
      </c>
      <c r="L86" s="181"/>
      <c r="M86" s="181"/>
      <c r="N86" s="181"/>
      <c r="O86" s="181"/>
      <c r="P86" s="181"/>
    </row>
    <row r="87" spans="1:16" ht="21.75" customHeight="1" x14ac:dyDescent="0.3">
      <c r="A87" s="175"/>
      <c r="B87" s="176"/>
      <c r="C87" s="176"/>
      <c r="D87" s="193"/>
      <c r="E87" s="198"/>
      <c r="F87" s="195"/>
      <c r="G87" s="196"/>
      <c r="H87" s="180" t="s">
        <v>37</v>
      </c>
      <c r="I87" s="202">
        <f ca="1">IFERROR(__xludf.DUMMYFUNCTION("IMPORTRANGE(""https://docs.google.com/spreadsheets/d/11923uPwbBZFjjGgGUA6NLw09EwE0CqkOc4q9oUmW1yo/edit?usp=sharing"",""ลำพูน!I27"")"),0)</f>
        <v>0</v>
      </c>
      <c r="J87" s="203">
        <f ca="1">IFERROR(__xludf.DUMMYFUNCTION("IMPORTRANGE(""https://docs.google.com/spreadsheets/d/11923uPwbBZFjjGgGUA6NLw09EwE0CqkOc4q9oUmW1yo/edit?usp=sharing"",""ลำพูน!J27"")"),0)</f>
        <v>0</v>
      </c>
      <c r="K87" s="163">
        <f t="shared" ca="1" si="50"/>
        <v>0</v>
      </c>
      <c r="L87" s="181"/>
      <c r="M87" s="181"/>
      <c r="N87" s="181"/>
      <c r="O87" s="181"/>
      <c r="P87" s="181"/>
    </row>
    <row r="88" spans="1:16" ht="21.75" customHeight="1" x14ac:dyDescent="0.3">
      <c r="A88" s="175"/>
      <c r="B88" s="176"/>
      <c r="C88" s="176"/>
      <c r="D88" s="193"/>
      <c r="E88" s="198"/>
      <c r="F88" s="204" t="s">
        <v>53</v>
      </c>
      <c r="G88" s="195"/>
      <c r="H88" s="180" t="s">
        <v>37</v>
      </c>
      <c r="I88" s="202">
        <f ca="1">IFERROR(__xludf.DUMMYFUNCTION("IMPORTRANGE(""https://docs.google.com/spreadsheets/d/11923uPwbBZFjjGgGUA6NLw09EwE0CqkOc4q9oUmW1yo/edit?usp=sharing"",""ลำพูน!I28"")"),35)</f>
        <v>35</v>
      </c>
      <c r="J88" s="203">
        <f ca="1">IFERROR(__xludf.DUMMYFUNCTION("IMPORTRANGE(""https://docs.google.com/spreadsheets/d/11923uPwbBZFjjGgGUA6NLw09EwE0CqkOc4q9oUmW1yo/edit?usp=sharing"",""ลำพูน!J28"")"),0)</f>
        <v>0</v>
      </c>
      <c r="K88" s="163">
        <f t="shared" ca="1" si="50"/>
        <v>0</v>
      </c>
      <c r="L88" s="181"/>
      <c r="M88" s="181"/>
      <c r="N88" s="181"/>
      <c r="O88" s="181"/>
      <c r="P88" s="181"/>
    </row>
    <row r="89" spans="1:16" ht="21.75" customHeight="1" x14ac:dyDescent="0.3">
      <c r="A89" s="175"/>
      <c r="B89" s="176"/>
      <c r="C89" s="176"/>
      <c r="D89" s="193"/>
      <c r="E89" s="194" t="s">
        <v>54</v>
      </c>
      <c r="F89" s="195"/>
      <c r="G89" s="196"/>
      <c r="H89" s="186"/>
      <c r="I89" s="187"/>
      <c r="J89" s="197">
        <f ca="1">IFERROR(__xludf.DUMMYFUNCTION("IMPORTRANGE(""https://docs.google.com/spreadsheets/d/11923uPwbBZFjjGgGUA6NLw09EwE0CqkOc4q9oUmW1yo/edit?usp=sharing"",""ลำพูน!J29"")"),0)</f>
        <v>0</v>
      </c>
      <c r="K89" s="163"/>
      <c r="L89" s="181"/>
      <c r="M89" s="181"/>
      <c r="N89" s="181"/>
      <c r="O89" s="181"/>
      <c r="P89" s="181"/>
    </row>
    <row r="90" spans="1:16" ht="21.75" customHeight="1" x14ac:dyDescent="0.3">
      <c r="A90" s="175"/>
      <c r="B90" s="176"/>
      <c r="C90" s="176"/>
      <c r="D90" s="205">
        <v>3</v>
      </c>
      <c r="E90" s="206" t="s">
        <v>55</v>
      </c>
      <c r="F90" s="207"/>
      <c r="G90" s="208"/>
      <c r="H90" s="186"/>
      <c r="I90" s="187"/>
      <c r="J90" s="209">
        <f ca="1">IFERROR(__xludf.DUMMYFUNCTION("IMPORTRANGE(""https://docs.google.com/spreadsheets/d/11923uPwbBZFjjGgGUA6NLw09EwE0CqkOc4q9oUmW1yo/edit?usp=sharing"",""ลำพูน!J30"")"),0)</f>
        <v>0</v>
      </c>
      <c r="K90" s="163"/>
      <c r="L90" s="181"/>
      <c r="M90" s="181"/>
      <c r="N90" s="181"/>
      <c r="O90" s="181"/>
      <c r="P90" s="181"/>
    </row>
    <row r="91" spans="1:16" ht="21.75" customHeight="1" x14ac:dyDescent="0.3">
      <c r="A91" s="210" t="s">
        <v>56</v>
      </c>
      <c r="B91" s="211"/>
      <c r="C91" s="212"/>
      <c r="D91" s="211"/>
      <c r="E91" s="213"/>
      <c r="F91" s="213"/>
      <c r="G91" s="214"/>
      <c r="H91" s="215"/>
      <c r="I91" s="216"/>
      <c r="J91" s="216"/>
      <c r="K91" s="217"/>
      <c r="L91" s="218"/>
      <c r="M91" s="218"/>
      <c r="N91" s="218"/>
      <c r="O91" s="219"/>
      <c r="P91" s="219"/>
    </row>
    <row r="92" spans="1:16" ht="21.75" customHeight="1" x14ac:dyDescent="0.3">
      <c r="A92" s="137"/>
      <c r="B92" s="138" t="s">
        <v>57</v>
      </c>
      <c r="C92" s="138"/>
      <c r="D92" s="139"/>
      <c r="E92" s="138"/>
      <c r="F92" s="138"/>
      <c r="G92" s="220"/>
      <c r="H92" s="140" t="s">
        <v>37</v>
      </c>
      <c r="I92" s="141">
        <f ca="1">IFERROR(__xludf.DUMMYFUNCTION("IMPORTRANGE(""https://docs.google.com/spreadsheets/d/11923uPwbBZFjjGgGUA6NLw09EwE0CqkOc4q9oUmW1yo/edit?usp=sharing"",""ลำพูน!I32"")"),0)</f>
        <v>0</v>
      </c>
      <c r="J92" s="141">
        <f ca="1">IFERROR(__xludf.DUMMYFUNCTION("IMPORTRANGE(""https://docs.google.com/spreadsheets/d/11923uPwbBZFjjGgGUA6NLw09EwE0CqkOc4q9oUmW1yo/edit?usp=sharing"",""ลำพูน!J32"")"),0)</f>
        <v>0</v>
      </c>
      <c r="K92" s="142">
        <f t="shared" ref="K92:K93" ca="1" si="51">IF(I92&gt;0,J92*100/I92,0)</f>
        <v>0</v>
      </c>
      <c r="L92" s="221"/>
      <c r="M92" s="221"/>
      <c r="N92" s="222"/>
      <c r="O92" s="142"/>
      <c r="P92" s="142"/>
    </row>
    <row r="93" spans="1:16" ht="21.75" customHeight="1" x14ac:dyDescent="0.3">
      <c r="A93" s="137"/>
      <c r="B93" s="138"/>
      <c r="C93" s="138"/>
      <c r="D93" s="139" t="s">
        <v>58</v>
      </c>
      <c r="E93" s="138"/>
      <c r="F93" s="138"/>
      <c r="G93" s="220"/>
      <c r="H93" s="140" t="s">
        <v>59</v>
      </c>
      <c r="I93" s="141">
        <f ca="1">IFERROR(__xludf.DUMMYFUNCTION("IMPORTRANGE(""https://docs.google.com/spreadsheets/d/11923uPwbBZFjjGgGUA6NLw09EwE0CqkOc4q9oUmW1yo/edit?usp=sharing"",""ลำพูน!I33"")"),0)</f>
        <v>0</v>
      </c>
      <c r="J93" s="141">
        <f ca="1">IFERROR(__xludf.DUMMYFUNCTION("IMPORTRANGE(""https://docs.google.com/spreadsheets/d/11923uPwbBZFjjGgGUA6NLw09EwE0CqkOc4q9oUmW1yo/edit?usp=sharing"",""ลำพูน!J33"")"),0)</f>
        <v>0</v>
      </c>
      <c r="K93" s="142">
        <f t="shared" ca="1" si="51"/>
        <v>0</v>
      </c>
      <c r="L93" s="222"/>
      <c r="M93" s="222"/>
      <c r="N93" s="222"/>
      <c r="O93" s="142"/>
      <c r="P93" s="142"/>
    </row>
    <row r="94" spans="1:16" ht="21.75" customHeight="1" x14ac:dyDescent="0.45">
      <c r="A94" s="145"/>
      <c r="B94" s="146"/>
      <c r="C94" s="147" t="s">
        <v>16</v>
      </c>
      <c r="D94" s="537" t="s">
        <v>17</v>
      </c>
      <c r="E94" s="528"/>
      <c r="F94" s="528"/>
      <c r="G94" s="528"/>
      <c r="H94" s="148" t="s">
        <v>12</v>
      </c>
      <c r="I94" s="162"/>
      <c r="J94" s="162"/>
      <c r="K94" s="163"/>
      <c r="L94" s="151">
        <f t="shared" ref="L94:N94" ca="1" si="52">L95+L96</f>
        <v>0</v>
      </c>
      <c r="M94" s="151">
        <f t="shared" ca="1" si="52"/>
        <v>0</v>
      </c>
      <c r="N94" s="151">
        <f t="shared" ca="1" si="52"/>
        <v>0</v>
      </c>
      <c r="O94" s="150">
        <f t="shared" ref="O94:O96" ca="1" si="53">IF(L94&gt;0,N94*100/L94,0)</f>
        <v>0</v>
      </c>
      <c r="P94" s="150">
        <f t="shared" ref="P94:P96" ca="1" si="54">IF(M94&gt;0,N94*100/M94,0)</f>
        <v>0</v>
      </c>
    </row>
    <row r="95" spans="1:16" ht="21.75" customHeight="1" x14ac:dyDescent="0.45">
      <c r="A95" s="152"/>
      <c r="B95" s="32"/>
      <c r="C95" s="32"/>
      <c r="D95" s="32"/>
      <c r="E95" s="32"/>
      <c r="F95" s="32"/>
      <c r="G95" s="33" t="s">
        <v>18</v>
      </c>
      <c r="H95" s="153" t="s">
        <v>12</v>
      </c>
      <c r="I95" s="162"/>
      <c r="J95" s="162"/>
      <c r="K95" s="163"/>
      <c r="L95" s="87">
        <f t="shared" ref="L95:N95" si="55">L97+L101</f>
        <v>0</v>
      </c>
      <c r="M95" s="87">
        <f t="shared" si="55"/>
        <v>0</v>
      </c>
      <c r="N95" s="87">
        <f t="shared" si="55"/>
        <v>0</v>
      </c>
      <c r="O95" s="155">
        <f t="shared" si="53"/>
        <v>0</v>
      </c>
      <c r="P95" s="155">
        <f t="shared" si="54"/>
        <v>0</v>
      </c>
    </row>
    <row r="96" spans="1:16" ht="21.75" customHeight="1" x14ac:dyDescent="0.45">
      <c r="A96" s="152"/>
      <c r="B96" s="32"/>
      <c r="C96" s="32"/>
      <c r="D96" s="32"/>
      <c r="E96" s="32"/>
      <c r="F96" s="32"/>
      <c r="G96" s="33" t="s">
        <v>19</v>
      </c>
      <c r="H96" s="153" t="s">
        <v>12</v>
      </c>
      <c r="I96" s="162"/>
      <c r="J96" s="162"/>
      <c r="K96" s="163"/>
      <c r="L96" s="87">
        <f t="shared" ref="L96:N96" ca="1" si="56">L98+L102</f>
        <v>0</v>
      </c>
      <c r="M96" s="87">
        <f t="shared" ca="1" si="56"/>
        <v>0</v>
      </c>
      <c r="N96" s="87">
        <f t="shared" ca="1" si="56"/>
        <v>0</v>
      </c>
      <c r="O96" s="155">
        <f t="shared" ca="1" si="53"/>
        <v>0</v>
      </c>
      <c r="P96" s="155">
        <f t="shared" ca="1" si="54"/>
        <v>0</v>
      </c>
    </row>
    <row r="97" spans="1:16" ht="21.75" customHeight="1" x14ac:dyDescent="0.3">
      <c r="A97" s="156"/>
      <c r="B97" s="157"/>
      <c r="C97" s="157" t="s">
        <v>16</v>
      </c>
      <c r="D97" s="158" t="s">
        <v>38</v>
      </c>
      <c r="E97" s="159"/>
      <c r="F97" s="159"/>
      <c r="G97" s="160" t="s">
        <v>39</v>
      </c>
      <c r="H97" s="161" t="s">
        <v>12</v>
      </c>
      <c r="I97" s="162" t="s">
        <v>40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3">
      <c r="A98" s="156"/>
      <c r="B98" s="157"/>
      <c r="C98" s="157"/>
      <c r="D98" s="166"/>
      <c r="E98" s="159"/>
      <c r="F98" s="159" t="s">
        <v>40</v>
      </c>
      <c r="G98" s="160" t="s">
        <v>41</v>
      </c>
      <c r="H98" s="161" t="s">
        <v>12</v>
      </c>
      <c r="I98" s="162"/>
      <c r="J98" s="162"/>
      <c r="K98" s="163"/>
      <c r="L98" s="167">
        <f ca="1">L99+L100</f>
        <v>0</v>
      </c>
      <c r="M98" s="167">
        <f ca="1">IFERROR(__xludf.DUMMYFUNCTION("IMPORTRANGE(""https://docs.google.com/spreadsheets/d/1Yj_ptqi66GCucihVvJfMjLAmec39IyEx_6qawtMGysU/edit?usp=sharing"",""สบก!AR33"")"),0)</f>
        <v>0</v>
      </c>
      <c r="N98" s="168">
        <f ca="1">IFERROR(__xludf.DUMMYFUNCTION("IMPORTRANGE(""https://docs.google.com/spreadsheets/d/1Yj_ptqi66GCucihVvJfMjLAmec39IyEx_6qawtMGysU/edit?usp=sharing"",""สบก!AS33"")"),0)</f>
        <v>0</v>
      </c>
      <c r="O98" s="168">
        <f ca="1">IF(L98&gt;0,N98*100/L98,0)</f>
        <v>0</v>
      </c>
      <c r="P98" s="168">
        <f ca="1">IF(M98&gt;0,N98*100/M98,0)</f>
        <v>0</v>
      </c>
    </row>
    <row r="99" spans="1:16" ht="21.75" customHeight="1" x14ac:dyDescent="0.3">
      <c r="A99" s="156"/>
      <c r="B99" s="157"/>
      <c r="C99" s="157"/>
      <c r="D99" s="166"/>
      <c r="E99" s="159"/>
      <c r="F99" s="159"/>
      <c r="G99" s="169" t="s">
        <v>42</v>
      </c>
      <c r="H99" s="161" t="s">
        <v>12</v>
      </c>
      <c r="I99" s="162"/>
      <c r="J99" s="162"/>
      <c r="K99" s="163"/>
      <c r="L99" s="167">
        <f ca="1">IFERROR(__xludf.DUMMYFUNCTION("IMPORTRANGE(""https://docs.google.com/spreadsheets/d/1Yj_ptqi66GCucihVvJfMjLAmec39IyEx_6qawtMGysU/edit?usp=sharing"",""สบก!AN33"")"),0)</f>
        <v>0</v>
      </c>
      <c r="M99" s="167"/>
      <c r="N99" s="167"/>
      <c r="O99" s="168"/>
      <c r="P99" s="168"/>
    </row>
    <row r="100" spans="1:16" ht="21.75" customHeight="1" x14ac:dyDescent="0.3">
      <c r="A100" s="156"/>
      <c r="B100" s="157"/>
      <c r="C100" s="157"/>
      <c r="D100" s="166"/>
      <c r="E100" s="159"/>
      <c r="F100" s="159"/>
      <c r="G100" s="169" t="s">
        <v>43</v>
      </c>
      <c r="H100" s="161" t="s">
        <v>12</v>
      </c>
      <c r="I100" s="162"/>
      <c r="J100" s="187"/>
      <c r="K100" s="223"/>
      <c r="L100" s="167">
        <f ca="1">IFERROR(__xludf.DUMMYFUNCTION("IMPORTRANGE(""https://docs.google.com/spreadsheets/d/1Yj_ptqi66GCucihVvJfMjLAmec39IyEx_6qawtMGysU/edit?usp=sharing"",""สบก!AO33"")"),0)</f>
        <v>0</v>
      </c>
      <c r="M100" s="167"/>
      <c r="N100" s="167"/>
      <c r="O100" s="168"/>
      <c r="P100" s="168"/>
    </row>
    <row r="101" spans="1:16" ht="21.75" customHeight="1" x14ac:dyDescent="0.45">
      <c r="A101" s="170"/>
      <c r="B101" s="80"/>
      <c r="C101" s="81" t="s">
        <v>16</v>
      </c>
      <c r="D101" s="534" t="s">
        <v>23</v>
      </c>
      <c r="E101" s="530"/>
      <c r="F101" s="88"/>
      <c r="G101" s="82" t="s">
        <v>18</v>
      </c>
      <c r="H101" s="171" t="s">
        <v>12</v>
      </c>
      <c r="I101" s="187"/>
      <c r="J101" s="187"/>
      <c r="K101" s="223"/>
      <c r="L101" s="41">
        <v>0</v>
      </c>
      <c r="M101" s="41"/>
      <c r="N101" s="41"/>
      <c r="O101" s="41"/>
      <c r="P101" s="41"/>
    </row>
    <row r="102" spans="1:16" ht="21.75" customHeight="1" x14ac:dyDescent="0.45">
      <c r="A102" s="172"/>
      <c r="B102" s="91"/>
      <c r="C102" s="91"/>
      <c r="D102" s="173"/>
      <c r="E102" s="92"/>
      <c r="F102" s="92"/>
      <c r="G102" s="93" t="s">
        <v>19</v>
      </c>
      <c r="H102" s="174" t="s">
        <v>12</v>
      </c>
      <c r="I102" s="187"/>
      <c r="J102" s="187"/>
      <c r="K102" s="223"/>
      <c r="L102" s="49">
        <f ca="1">IFERROR(__xludf.DUMMYFUNCTION("IMPORTRANGE(""https://docs.google.com/spreadsheets/d/1Yj_ptqi66GCucihVvJfMjLAmec39IyEx_6qawtMGysU/edit?usp=sharing"",""สบก!AP33"")"),0)</f>
        <v>0</v>
      </c>
      <c r="M102" s="49"/>
      <c r="N102" s="49">
        <f ca="1">IFERROR(__xludf.DUMMYFUNCTION("IMPORTRANGE(""https://docs.google.com/spreadsheets/d/1Yj_ptqi66GCucihVvJfMjLAmec39IyEx_6qawtMGysU/edit?usp=sharing"",""สบก!AT33"")"),0)</f>
        <v>0</v>
      </c>
      <c r="O102" s="49">
        <f ca="1">IF(L102&gt;0,N102*100/L102,0)</f>
        <v>0</v>
      </c>
      <c r="P102" s="49"/>
    </row>
    <row r="103" spans="1:16" ht="21.75" customHeight="1" x14ac:dyDescent="0.3">
      <c r="A103" s="175"/>
      <c r="B103" s="176"/>
      <c r="C103" s="157" t="s">
        <v>16</v>
      </c>
      <c r="D103" s="177" t="s">
        <v>44</v>
      </c>
      <c r="E103" s="178"/>
      <c r="F103" s="178"/>
      <c r="G103" s="179"/>
      <c r="H103" s="180"/>
      <c r="I103" s="162"/>
      <c r="J103" s="187"/>
      <c r="K103" s="223"/>
      <c r="L103" s="168"/>
      <c r="M103" s="168"/>
      <c r="N103" s="168"/>
      <c r="O103" s="181"/>
      <c r="P103" s="181"/>
    </row>
    <row r="104" spans="1:16" ht="21.75" customHeight="1" x14ac:dyDescent="0.3">
      <c r="A104" s="175"/>
      <c r="B104" s="176"/>
      <c r="C104" s="176"/>
      <c r="D104" s="182">
        <v>1</v>
      </c>
      <c r="E104" s="183" t="s">
        <v>45</v>
      </c>
      <c r="F104" s="184"/>
      <c r="G104" s="185"/>
      <c r="H104" s="186"/>
      <c r="I104" s="187"/>
      <c r="J104" s="187">
        <f ca="1">IFERROR(__xludf.DUMMYFUNCTION("IMPORTRANGE(""https://docs.google.com/spreadsheets/d/11923uPwbBZFjjGgGUA6NLw09EwE0CqkOc4q9oUmW1yo/edit?usp=sharing"",""ลำพูน!J39"")"),0)</f>
        <v>0</v>
      </c>
      <c r="K104" s="223"/>
      <c r="L104" s="168"/>
      <c r="M104" s="168"/>
      <c r="N104" s="168"/>
      <c r="O104" s="181"/>
      <c r="P104" s="181"/>
    </row>
    <row r="105" spans="1:16" ht="21.75" customHeight="1" x14ac:dyDescent="0.3">
      <c r="A105" s="175"/>
      <c r="B105" s="176"/>
      <c r="C105" s="176"/>
      <c r="D105" s="189">
        <v>2</v>
      </c>
      <c r="E105" s="190" t="s">
        <v>46</v>
      </c>
      <c r="F105" s="191"/>
      <c r="G105" s="192"/>
      <c r="H105" s="186"/>
      <c r="I105" s="187"/>
      <c r="J105" s="187">
        <f ca="1">IFERROR(__xludf.DUMMYFUNCTION("IMPORTRANGE(""https://docs.google.com/spreadsheets/d/11923uPwbBZFjjGgGUA6NLw09EwE0CqkOc4q9oUmW1yo/edit?usp=sharing"",""ลำพูน!J40"")"),0)</f>
        <v>0</v>
      </c>
      <c r="K105" s="223"/>
      <c r="L105" s="168" t="s">
        <v>40</v>
      </c>
      <c r="M105" s="168"/>
      <c r="N105" s="168" t="s">
        <v>40</v>
      </c>
      <c r="O105" s="181"/>
      <c r="P105" s="181"/>
    </row>
    <row r="106" spans="1:16" ht="21.75" customHeight="1" x14ac:dyDescent="0.3">
      <c r="A106" s="175"/>
      <c r="B106" s="176"/>
      <c r="C106" s="176"/>
      <c r="D106" s="193"/>
      <c r="E106" s="194" t="s">
        <v>47</v>
      </c>
      <c r="F106" s="195"/>
      <c r="G106" s="196"/>
      <c r="H106" s="186"/>
      <c r="I106" s="187"/>
      <c r="J106" s="187">
        <f ca="1">IFERROR(__xludf.DUMMYFUNCTION("IMPORTRANGE(""https://docs.google.com/spreadsheets/d/11923uPwbBZFjjGgGUA6NLw09EwE0CqkOc4q9oUmW1yo/edit?usp=sharing"",""ลำพูน!J41"")"),0)</f>
        <v>0</v>
      </c>
      <c r="K106" s="223"/>
      <c r="L106" s="168"/>
      <c r="M106" s="168"/>
      <c r="N106" s="168"/>
      <c r="O106" s="181"/>
      <c r="P106" s="181"/>
    </row>
    <row r="107" spans="1:16" ht="21.75" customHeight="1" x14ac:dyDescent="0.3">
      <c r="A107" s="175"/>
      <c r="B107" s="176"/>
      <c r="C107" s="176"/>
      <c r="D107" s="193"/>
      <c r="E107" s="194" t="s">
        <v>48</v>
      </c>
      <c r="F107" s="195"/>
      <c r="G107" s="196"/>
      <c r="H107" s="186"/>
      <c r="I107" s="187"/>
      <c r="J107" s="187">
        <f ca="1">IFERROR(__xludf.DUMMYFUNCTION("IMPORTRANGE(""https://docs.google.com/spreadsheets/d/11923uPwbBZFjjGgGUA6NLw09EwE0CqkOc4q9oUmW1yo/edit?usp=sharing"",""ลำพูน!J42"")"),0)</f>
        <v>0</v>
      </c>
      <c r="K107" s="223"/>
      <c r="L107" s="168"/>
      <c r="M107" s="168"/>
      <c r="N107" s="168"/>
      <c r="O107" s="181"/>
      <c r="P107" s="181"/>
    </row>
    <row r="108" spans="1:16" ht="21.75" customHeight="1" x14ac:dyDescent="0.3">
      <c r="A108" s="175"/>
      <c r="B108" s="176"/>
      <c r="C108" s="176"/>
      <c r="D108" s="193"/>
      <c r="E108" s="195"/>
      <c r="F108" s="195" t="s">
        <v>60</v>
      </c>
      <c r="G108" s="195"/>
      <c r="H108" s="180" t="s">
        <v>61</v>
      </c>
      <c r="I108" s="202">
        <f ca="1">IFERROR(__xludf.DUMMYFUNCTION("IMPORTRANGE(""https://docs.google.com/spreadsheets/d/11923uPwbBZFjjGgGUA6NLw09EwE0CqkOc4q9oUmW1yo/edit?usp=sharing"",""ลำพูน!I43"")"),0)</f>
        <v>0</v>
      </c>
      <c r="J108" s="203">
        <f ca="1">IFERROR(__xludf.DUMMYFUNCTION("IMPORTRANGE(""https://docs.google.com/spreadsheets/d/11923uPwbBZFjjGgGUA6NLw09EwE0CqkOc4q9oUmW1yo/edit?usp=sharing"",""ลำพูน!J43"")"),0)</f>
        <v>0</v>
      </c>
      <c r="K108" s="223">
        <f t="shared" ref="K108:K113" ca="1" si="57">IF(I108&gt;0,J108*100/I108,0)</f>
        <v>0</v>
      </c>
      <c r="L108" s="168"/>
      <c r="M108" s="168"/>
      <c r="N108" s="168"/>
      <c r="O108" s="181"/>
      <c r="P108" s="181"/>
    </row>
    <row r="109" spans="1:16" ht="21.75" customHeight="1" x14ac:dyDescent="0.3">
      <c r="A109" s="175"/>
      <c r="B109" s="176"/>
      <c r="C109" s="176"/>
      <c r="D109" s="193"/>
      <c r="E109" s="198"/>
      <c r="F109" s="194" t="s">
        <v>62</v>
      </c>
      <c r="G109" s="195"/>
      <c r="H109" s="180" t="s">
        <v>37</v>
      </c>
      <c r="I109" s="202">
        <f ca="1">IFERROR(__xludf.DUMMYFUNCTION("IMPORTRANGE(""https://docs.google.com/spreadsheets/d/11923uPwbBZFjjGgGUA6NLw09EwE0CqkOc4q9oUmW1yo/edit?usp=sharing"",""ลำพูน!I44"")"),0)</f>
        <v>0</v>
      </c>
      <c r="J109" s="203">
        <f ca="1">IFERROR(__xludf.DUMMYFUNCTION("IMPORTRANGE(""https://docs.google.com/spreadsheets/d/11923uPwbBZFjjGgGUA6NLw09EwE0CqkOc4q9oUmW1yo/edit?usp=sharing"",""ลำพูน!J44"")"),0)</f>
        <v>0</v>
      </c>
      <c r="K109" s="223">
        <f t="shared" ca="1" si="57"/>
        <v>0</v>
      </c>
      <c r="L109" s="168"/>
      <c r="M109" s="168"/>
      <c r="N109" s="168"/>
      <c r="O109" s="181"/>
      <c r="P109" s="181"/>
    </row>
    <row r="110" spans="1:16" ht="21.75" customHeight="1" x14ac:dyDescent="0.3">
      <c r="A110" s="175"/>
      <c r="B110" s="176"/>
      <c r="C110" s="176"/>
      <c r="D110" s="193"/>
      <c r="E110" s="198"/>
      <c r="F110" s="195"/>
      <c r="G110" s="224" t="s">
        <v>63</v>
      </c>
      <c r="H110" s="180" t="s">
        <v>37</v>
      </c>
      <c r="I110" s="202">
        <f ca="1">IFERROR(__xludf.DUMMYFUNCTION("IMPORTRANGE(""https://docs.google.com/spreadsheets/d/11923uPwbBZFjjGgGUA6NLw09EwE0CqkOc4q9oUmW1yo/edit?usp=sharing"",""ลำพูน!I45"")"),0)</f>
        <v>0</v>
      </c>
      <c r="J110" s="203">
        <f ca="1">IFERROR(__xludf.DUMMYFUNCTION("IMPORTRANGE(""https://docs.google.com/spreadsheets/d/11923uPwbBZFjjGgGUA6NLw09EwE0CqkOc4q9oUmW1yo/edit?usp=sharing"",""ลำพูน!J45"")"),0)</f>
        <v>0</v>
      </c>
      <c r="K110" s="223">
        <f t="shared" ca="1" si="57"/>
        <v>0</v>
      </c>
      <c r="L110" s="168"/>
      <c r="M110" s="168"/>
      <c r="N110" s="168"/>
      <c r="O110" s="181"/>
      <c r="P110" s="181"/>
    </row>
    <row r="111" spans="1:16" ht="21.75" customHeight="1" x14ac:dyDescent="0.3">
      <c r="A111" s="175"/>
      <c r="B111" s="176"/>
      <c r="C111" s="176"/>
      <c r="D111" s="193"/>
      <c r="E111" s="198"/>
      <c r="F111" s="195"/>
      <c r="G111" s="224" t="s">
        <v>64</v>
      </c>
      <c r="H111" s="180" t="s">
        <v>37</v>
      </c>
      <c r="I111" s="202">
        <f ca="1">IFERROR(__xludf.DUMMYFUNCTION("IMPORTRANGE(""https://docs.google.com/spreadsheets/d/11923uPwbBZFjjGgGUA6NLw09EwE0CqkOc4q9oUmW1yo/edit?usp=sharing"",""ลำพูน!I46"")"),0)</f>
        <v>0</v>
      </c>
      <c r="J111" s="203">
        <f ca="1">IFERROR(__xludf.DUMMYFUNCTION("IMPORTRANGE(""https://docs.google.com/spreadsheets/d/11923uPwbBZFjjGgGUA6NLw09EwE0CqkOc4q9oUmW1yo/edit?usp=sharing"",""ลำพูน!J46"")"),0)</f>
        <v>0</v>
      </c>
      <c r="K111" s="223">
        <f t="shared" ca="1" si="57"/>
        <v>0</v>
      </c>
      <c r="L111" s="168"/>
      <c r="M111" s="168"/>
      <c r="N111" s="168"/>
      <c r="O111" s="181"/>
      <c r="P111" s="181"/>
    </row>
    <row r="112" spans="1:16" ht="21.75" customHeight="1" x14ac:dyDescent="0.3">
      <c r="A112" s="175"/>
      <c r="B112" s="176"/>
      <c r="C112" s="176"/>
      <c r="D112" s="193"/>
      <c r="E112" s="198"/>
      <c r="F112" s="195"/>
      <c r="G112" s="225" t="s">
        <v>65</v>
      </c>
      <c r="H112" s="180" t="s">
        <v>37</v>
      </c>
      <c r="I112" s="202">
        <f ca="1">IFERROR(__xludf.DUMMYFUNCTION("IMPORTRANGE(""https://docs.google.com/spreadsheets/d/11923uPwbBZFjjGgGUA6NLw09EwE0CqkOc4q9oUmW1yo/edit?usp=sharing"",""ลำพูน!I47"")"),0)</f>
        <v>0</v>
      </c>
      <c r="J112" s="203">
        <f ca="1">IFERROR(__xludf.DUMMYFUNCTION("IMPORTRANGE(""https://docs.google.com/spreadsheets/d/11923uPwbBZFjjGgGUA6NLw09EwE0CqkOc4q9oUmW1yo/edit?usp=sharing"",""ลำพูน!J47"")"),0)</f>
        <v>0</v>
      </c>
      <c r="K112" s="223">
        <f t="shared" ca="1" si="57"/>
        <v>0</v>
      </c>
      <c r="L112" s="168"/>
      <c r="M112" s="168"/>
      <c r="N112" s="168"/>
      <c r="O112" s="181"/>
      <c r="P112" s="181"/>
    </row>
    <row r="113" spans="1:16" ht="21.75" customHeight="1" x14ac:dyDescent="0.3">
      <c r="A113" s="175"/>
      <c r="B113" s="176"/>
      <c r="C113" s="176"/>
      <c r="D113" s="193"/>
      <c r="E113" s="198"/>
      <c r="F113" s="195" t="s">
        <v>66</v>
      </c>
      <c r="G113" s="195"/>
      <c r="H113" s="180" t="s">
        <v>59</v>
      </c>
      <c r="I113" s="202">
        <f ca="1">IFERROR(__xludf.DUMMYFUNCTION("IMPORTRANGE(""https://docs.google.com/spreadsheets/d/11923uPwbBZFjjGgGUA6NLw09EwE0CqkOc4q9oUmW1yo/edit?usp=sharing"",""ลำพูน!I48"")"),0)</f>
        <v>0</v>
      </c>
      <c r="J113" s="203">
        <f ca="1">IFERROR(__xludf.DUMMYFUNCTION("IMPORTRANGE(""https://docs.google.com/spreadsheets/d/11923uPwbBZFjjGgGUA6NLw09EwE0CqkOc4q9oUmW1yo/edit?usp=sharing"",""ลำพูน!J48"")"),0)</f>
        <v>0</v>
      </c>
      <c r="K113" s="223">
        <f t="shared" ca="1" si="57"/>
        <v>0</v>
      </c>
      <c r="L113" s="168"/>
      <c r="M113" s="168"/>
      <c r="N113" s="168"/>
      <c r="O113" s="181"/>
      <c r="P113" s="181"/>
    </row>
    <row r="114" spans="1:16" ht="21.75" customHeight="1" x14ac:dyDescent="0.3">
      <c r="A114" s="175"/>
      <c r="B114" s="176"/>
      <c r="C114" s="176"/>
      <c r="D114" s="193"/>
      <c r="E114" s="194" t="s">
        <v>54</v>
      </c>
      <c r="F114" s="195"/>
      <c r="G114" s="196"/>
      <c r="H114" s="186"/>
      <c r="I114" s="187"/>
      <c r="J114" s="187">
        <f ca="1">IFERROR(__xludf.DUMMYFUNCTION("IMPORTRANGE(""https://docs.google.com/spreadsheets/d/11923uPwbBZFjjGgGUA6NLw09EwE0CqkOc4q9oUmW1yo/edit?usp=sharing"",""ลำพูน!J49"")"),0)</f>
        <v>0</v>
      </c>
      <c r="K114" s="223"/>
      <c r="L114" s="168"/>
      <c r="M114" s="168"/>
      <c r="N114" s="168"/>
      <c r="O114" s="181"/>
      <c r="P114" s="181"/>
    </row>
    <row r="115" spans="1:16" ht="21.75" customHeight="1" x14ac:dyDescent="0.3">
      <c r="A115" s="175"/>
      <c r="B115" s="176"/>
      <c r="C115" s="176"/>
      <c r="D115" s="205">
        <v>3</v>
      </c>
      <c r="E115" s="206" t="s">
        <v>55</v>
      </c>
      <c r="F115" s="207"/>
      <c r="G115" s="208"/>
      <c r="H115" s="186"/>
      <c r="I115" s="187"/>
      <c r="J115" s="226">
        <f ca="1">IFERROR(__xludf.DUMMYFUNCTION("IMPORTRANGE(""https://docs.google.com/spreadsheets/d/11923uPwbBZFjjGgGUA6NLw09EwE0CqkOc4q9oUmW1yo/edit?usp=sharing"",""ลำพูน!J50"")"),0)</f>
        <v>0</v>
      </c>
      <c r="K115" s="223"/>
      <c r="L115" s="168"/>
      <c r="M115" s="168"/>
      <c r="N115" s="168"/>
      <c r="O115" s="181"/>
      <c r="P115" s="181"/>
    </row>
    <row r="116" spans="1:16" ht="21.75" customHeight="1" x14ac:dyDescent="0.3">
      <c r="A116" s="210" t="s">
        <v>67</v>
      </c>
      <c r="B116" s="227"/>
      <c r="C116" s="228"/>
      <c r="D116" s="227"/>
      <c r="E116" s="229"/>
      <c r="F116" s="229"/>
      <c r="G116" s="230"/>
      <c r="H116" s="215"/>
      <c r="I116" s="216"/>
      <c r="J116" s="216"/>
      <c r="K116" s="217"/>
      <c r="L116" s="218"/>
      <c r="M116" s="218"/>
      <c r="N116" s="218"/>
      <c r="O116" s="219"/>
      <c r="P116" s="219"/>
    </row>
    <row r="117" spans="1:16" ht="21.75" customHeight="1" x14ac:dyDescent="0.3">
      <c r="A117" s="137"/>
      <c r="B117" s="138" t="s">
        <v>68</v>
      </c>
      <c r="C117" s="231"/>
      <c r="D117" s="139"/>
      <c r="E117" s="138"/>
      <c r="F117" s="138"/>
      <c r="G117" s="220"/>
      <c r="H117" s="140" t="s">
        <v>37</v>
      </c>
      <c r="I117" s="141">
        <f ca="1">IFERROR(__xludf.DUMMYFUNCTION("IMPORTRANGE(""https://docs.google.com/spreadsheets/d/11923uPwbBZFjjGgGUA6NLw09EwE0CqkOc4q9oUmW1yo/edit?usp=sharing"",""ลำพูน!I52"")"),20)</f>
        <v>20</v>
      </c>
      <c r="J117" s="141">
        <f ca="1">IFERROR(__xludf.DUMMYFUNCTION("IMPORTRANGE(""https://docs.google.com/spreadsheets/d/11923uPwbBZFjjGgGUA6NLw09EwE0CqkOc4q9oUmW1yo/edit?usp=sharing"",""ลำพูน!J52"")"),20)</f>
        <v>20</v>
      </c>
      <c r="K117" s="142">
        <f ca="1">IF(I117&gt;0,J117*100/I117,0)</f>
        <v>100</v>
      </c>
      <c r="L117" s="143"/>
      <c r="M117" s="143"/>
      <c r="N117" s="144"/>
      <c r="O117" s="142"/>
      <c r="P117" s="142"/>
    </row>
    <row r="118" spans="1:16" ht="21.75" customHeight="1" x14ac:dyDescent="0.45">
      <c r="A118" s="145"/>
      <c r="B118" s="146"/>
      <c r="C118" s="147" t="s">
        <v>16</v>
      </c>
      <c r="D118" s="537" t="s">
        <v>17</v>
      </c>
      <c r="E118" s="528"/>
      <c r="F118" s="528"/>
      <c r="G118" s="528"/>
      <c r="H118" s="148" t="s">
        <v>12</v>
      </c>
      <c r="I118" s="162"/>
      <c r="J118" s="162"/>
      <c r="K118" s="163"/>
      <c r="L118" s="151">
        <f t="shared" ref="L118:N118" ca="1" si="58">L119+L120</f>
        <v>82440</v>
      </c>
      <c r="M118" s="151">
        <f t="shared" ca="1" si="58"/>
        <v>66440</v>
      </c>
      <c r="N118" s="151">
        <f t="shared" ca="1" si="58"/>
        <v>54440</v>
      </c>
      <c r="O118" s="150">
        <f t="shared" ref="O118:O120" ca="1" si="59">IF(L118&gt;0,N118*100/L118,0)</f>
        <v>66.035904900533723</v>
      </c>
      <c r="P118" s="150">
        <f t="shared" ref="P118:P120" ca="1" si="60">IF(M118&gt;0,N118*100/M118,0)</f>
        <v>81.938591210114396</v>
      </c>
    </row>
    <row r="119" spans="1:16" ht="21.75" customHeight="1" x14ac:dyDescent="0.45">
      <c r="A119" s="152"/>
      <c r="B119" s="32"/>
      <c r="C119" s="32"/>
      <c r="D119" s="32"/>
      <c r="E119" s="32"/>
      <c r="F119" s="32"/>
      <c r="G119" s="33" t="s">
        <v>18</v>
      </c>
      <c r="H119" s="153" t="s">
        <v>12</v>
      </c>
      <c r="I119" s="162"/>
      <c r="J119" s="162"/>
      <c r="K119" s="163"/>
      <c r="L119" s="87">
        <f t="shared" ref="L119:N119" si="61">L121+L125</f>
        <v>0</v>
      </c>
      <c r="M119" s="87">
        <f t="shared" si="61"/>
        <v>0</v>
      </c>
      <c r="N119" s="87">
        <f t="shared" si="61"/>
        <v>0</v>
      </c>
      <c r="O119" s="155">
        <f t="shared" si="59"/>
        <v>0</v>
      </c>
      <c r="P119" s="155">
        <f t="shared" si="60"/>
        <v>0</v>
      </c>
    </row>
    <row r="120" spans="1:16" ht="21.75" customHeight="1" x14ac:dyDescent="0.45">
      <c r="A120" s="152"/>
      <c r="B120" s="32"/>
      <c r="C120" s="32"/>
      <c r="D120" s="32"/>
      <c r="E120" s="32"/>
      <c r="F120" s="32"/>
      <c r="G120" s="33" t="s">
        <v>19</v>
      </c>
      <c r="H120" s="153" t="s">
        <v>12</v>
      </c>
      <c r="I120" s="162"/>
      <c r="J120" s="162"/>
      <c r="K120" s="163"/>
      <c r="L120" s="87">
        <f t="shared" ref="L120:N120" ca="1" si="62">L122+L126</f>
        <v>82440</v>
      </c>
      <c r="M120" s="87">
        <f t="shared" ca="1" si="62"/>
        <v>66440</v>
      </c>
      <c r="N120" s="87">
        <f t="shared" ca="1" si="62"/>
        <v>54440</v>
      </c>
      <c r="O120" s="155">
        <f t="shared" ca="1" si="59"/>
        <v>66.035904900533723</v>
      </c>
      <c r="P120" s="155">
        <f t="shared" ca="1" si="60"/>
        <v>81.938591210114396</v>
      </c>
    </row>
    <row r="121" spans="1:16" ht="21.75" customHeight="1" x14ac:dyDescent="0.3">
      <c r="A121" s="156"/>
      <c r="B121" s="157"/>
      <c r="C121" s="157" t="s">
        <v>16</v>
      </c>
      <c r="D121" s="158" t="s">
        <v>38</v>
      </c>
      <c r="E121" s="159"/>
      <c r="F121" s="159"/>
      <c r="G121" s="160" t="s">
        <v>39</v>
      </c>
      <c r="H121" s="161" t="s">
        <v>12</v>
      </c>
      <c r="I121" s="162" t="s">
        <v>40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3">
      <c r="A122" s="156"/>
      <c r="B122" s="157"/>
      <c r="C122" s="157"/>
      <c r="D122" s="166"/>
      <c r="E122" s="159"/>
      <c r="F122" s="159" t="s">
        <v>40</v>
      </c>
      <c r="G122" s="160" t="s">
        <v>41</v>
      </c>
      <c r="H122" s="161" t="s">
        <v>12</v>
      </c>
      <c r="I122" s="162"/>
      <c r="J122" s="162"/>
      <c r="K122" s="163"/>
      <c r="L122" s="167">
        <f ca="1">L123+L124</f>
        <v>82440</v>
      </c>
      <c r="M122" s="167">
        <f ca="1">IFERROR(__xludf.DUMMYFUNCTION("IMPORTRANGE(""https://docs.google.com/spreadsheets/d/1Yj_ptqi66GCucihVvJfMjLAmec39IyEx_6qawtMGysU/edit?usp=sharing"",""สบก!BA33"")"),66440)</f>
        <v>66440</v>
      </c>
      <c r="N122" s="168">
        <f ca="1">IFERROR(__xludf.DUMMYFUNCTION("IMPORTRANGE(""https://docs.google.com/spreadsheets/d/1Yj_ptqi66GCucihVvJfMjLAmec39IyEx_6qawtMGysU/edit?usp=sharing"",""สบก!BB33"")"),54440)</f>
        <v>54440</v>
      </c>
      <c r="O122" s="168">
        <f ca="1">IF(L122&gt;0,N122*100/L122,0)</f>
        <v>66.035904900533723</v>
      </c>
      <c r="P122" s="168">
        <f ca="1">IF(M122&gt;0,N122*100/M122,0)</f>
        <v>81.938591210114396</v>
      </c>
    </row>
    <row r="123" spans="1:16" ht="21.75" customHeight="1" x14ac:dyDescent="0.3">
      <c r="A123" s="156"/>
      <c r="B123" s="157"/>
      <c r="C123" s="157"/>
      <c r="D123" s="166"/>
      <c r="E123" s="159"/>
      <c r="F123" s="159"/>
      <c r="G123" s="169" t="s">
        <v>42</v>
      </c>
      <c r="H123" s="161" t="s">
        <v>12</v>
      </c>
      <c r="I123" s="162"/>
      <c r="J123" s="162"/>
      <c r="K123" s="163"/>
      <c r="L123" s="167">
        <f ca="1">IFERROR(__xludf.DUMMYFUNCTION("IMPORTRANGE(""https://docs.google.com/spreadsheets/d/1Yj_ptqi66GCucihVvJfMjLAmec39IyEx_6qawtMGysU/edit?usp=sharing"",""สบก!AW33"")"),0)</f>
        <v>0</v>
      </c>
      <c r="M123" s="167"/>
      <c r="N123" s="167"/>
      <c r="O123" s="168"/>
      <c r="P123" s="168"/>
    </row>
    <row r="124" spans="1:16" ht="21.75" customHeight="1" x14ac:dyDescent="0.3">
      <c r="A124" s="156"/>
      <c r="B124" s="157"/>
      <c r="C124" s="157"/>
      <c r="D124" s="166"/>
      <c r="E124" s="159"/>
      <c r="F124" s="159"/>
      <c r="G124" s="169" t="s">
        <v>43</v>
      </c>
      <c r="H124" s="161" t="s">
        <v>12</v>
      </c>
      <c r="I124" s="162"/>
      <c r="J124" s="187"/>
      <c r="K124" s="223"/>
      <c r="L124" s="167">
        <f ca="1">IFERROR(__xludf.DUMMYFUNCTION("IMPORTRANGE(""https://docs.google.com/spreadsheets/d/1Yj_ptqi66GCucihVvJfMjLAmec39IyEx_6qawtMGysU/edit?usp=sharing"",""สบก!AX33"")"),82440)</f>
        <v>82440</v>
      </c>
      <c r="M124" s="167"/>
      <c r="N124" s="167"/>
      <c r="O124" s="168"/>
      <c r="P124" s="168"/>
    </row>
    <row r="125" spans="1:16" ht="21.75" customHeight="1" x14ac:dyDescent="0.45">
      <c r="A125" s="170"/>
      <c r="B125" s="80"/>
      <c r="C125" s="81" t="s">
        <v>16</v>
      </c>
      <c r="D125" s="534" t="s">
        <v>23</v>
      </c>
      <c r="E125" s="530"/>
      <c r="F125" s="88"/>
      <c r="G125" s="82" t="s">
        <v>18</v>
      </c>
      <c r="H125" s="171" t="s">
        <v>12</v>
      </c>
      <c r="I125" s="187"/>
      <c r="J125" s="187"/>
      <c r="K125" s="223"/>
      <c r="L125" s="41">
        <v>0</v>
      </c>
      <c r="M125" s="41"/>
      <c r="N125" s="41"/>
      <c r="O125" s="41"/>
      <c r="P125" s="41"/>
    </row>
    <row r="126" spans="1:16" ht="21.75" customHeight="1" x14ac:dyDescent="0.45">
      <c r="A126" s="172"/>
      <c r="B126" s="91"/>
      <c r="C126" s="91"/>
      <c r="D126" s="173"/>
      <c r="E126" s="92"/>
      <c r="F126" s="92"/>
      <c r="G126" s="93" t="s">
        <v>19</v>
      </c>
      <c r="H126" s="174" t="s">
        <v>12</v>
      </c>
      <c r="I126" s="187"/>
      <c r="J126" s="187"/>
      <c r="K126" s="223"/>
      <c r="L126" s="49">
        <f ca="1">IFERROR(__xludf.DUMMYFUNCTION("IMPORTRANGE(""https://docs.google.com/spreadsheets/d/1Yj_ptqi66GCucihVvJfMjLAmec39IyEx_6qawtMGysU/edit?usp=sharing"",""สบก!AY33"")"),0)</f>
        <v>0</v>
      </c>
      <c r="M126" s="49"/>
      <c r="N126" s="49">
        <f ca="1">IFERROR(__xludf.DUMMYFUNCTION("IMPORTRANGE(""https://docs.google.com/spreadsheets/d/1Yj_ptqi66GCucihVvJfMjLAmec39IyEx_6qawtMGysU/edit?usp=sharing"",""สบก!BC33"")"),0)</f>
        <v>0</v>
      </c>
      <c r="O126" s="49">
        <f ca="1">IF(L126&gt;0,N126*100/L126,0)</f>
        <v>0</v>
      </c>
      <c r="P126" s="49"/>
    </row>
    <row r="127" spans="1:16" ht="21.75" customHeight="1" x14ac:dyDescent="0.3">
      <c r="A127" s="175"/>
      <c r="B127" s="176"/>
      <c r="C127" s="157" t="s">
        <v>16</v>
      </c>
      <c r="D127" s="232" t="s">
        <v>265</v>
      </c>
      <c r="E127" s="178"/>
      <c r="F127" s="178"/>
      <c r="G127" s="179"/>
      <c r="H127" s="180"/>
      <c r="I127" s="162"/>
      <c r="J127" s="187"/>
      <c r="K127" s="223"/>
      <c r="L127" s="168"/>
      <c r="M127" s="168"/>
      <c r="N127" s="168"/>
      <c r="O127" s="181"/>
      <c r="P127" s="181"/>
    </row>
    <row r="128" spans="1:16" ht="21.75" customHeight="1" x14ac:dyDescent="0.3">
      <c r="A128" s="175"/>
      <c r="B128" s="176"/>
      <c r="C128" s="176"/>
      <c r="D128" s="182">
        <v>1</v>
      </c>
      <c r="E128" s="183" t="s">
        <v>45</v>
      </c>
      <c r="F128" s="184"/>
      <c r="G128" s="185"/>
      <c r="H128" s="186"/>
      <c r="I128" s="187"/>
      <c r="J128" s="203">
        <f ca="1">IFERROR(__xludf.DUMMYFUNCTION("IMPORTRANGE(""https://docs.google.com/spreadsheets/d/11923uPwbBZFjjGgGUA6NLw09EwE0CqkOc4q9oUmW1yo/edit?usp=sharing"",""ลำพูน!J58"")"),0)</f>
        <v>0</v>
      </c>
      <c r="K128" s="223"/>
      <c r="L128" s="168"/>
      <c r="M128" s="168"/>
      <c r="N128" s="168"/>
      <c r="O128" s="181"/>
      <c r="P128" s="181"/>
    </row>
    <row r="129" spans="1:16" ht="21.75" customHeight="1" x14ac:dyDescent="0.3">
      <c r="A129" s="175"/>
      <c r="B129" s="176"/>
      <c r="C129" s="176"/>
      <c r="D129" s="189">
        <v>2</v>
      </c>
      <c r="E129" s="190" t="s">
        <v>46</v>
      </c>
      <c r="F129" s="191"/>
      <c r="G129" s="192"/>
      <c r="H129" s="186"/>
      <c r="I129" s="187"/>
      <c r="J129" s="187">
        <f ca="1">IFERROR(__xludf.DUMMYFUNCTION("IMPORTRANGE(""https://docs.google.com/spreadsheets/d/11923uPwbBZFjjGgGUA6NLw09EwE0CqkOc4q9oUmW1yo/edit?usp=sharing"",""ลำพูน!J59"")"),1)</f>
        <v>1</v>
      </c>
      <c r="K129" s="223"/>
      <c r="L129" s="168" t="s">
        <v>40</v>
      </c>
      <c r="M129" s="168"/>
      <c r="N129" s="168" t="s">
        <v>40</v>
      </c>
      <c r="O129" s="181"/>
      <c r="P129" s="181"/>
    </row>
    <row r="130" spans="1:16" ht="21.75" customHeight="1" x14ac:dyDescent="0.3">
      <c r="A130" s="175"/>
      <c r="B130" s="176"/>
      <c r="C130" s="176"/>
      <c r="D130" s="193"/>
      <c r="E130" s="194" t="s">
        <v>47</v>
      </c>
      <c r="F130" s="195"/>
      <c r="G130" s="196"/>
      <c r="H130" s="186"/>
      <c r="I130" s="187"/>
      <c r="J130" s="187">
        <f ca="1">IFERROR(__xludf.DUMMYFUNCTION("IMPORTRANGE(""https://docs.google.com/spreadsheets/d/11923uPwbBZFjjGgGUA6NLw09EwE0CqkOc4q9oUmW1yo/edit?usp=sharing"",""ลำพูน!J60"")"),1)</f>
        <v>1</v>
      </c>
      <c r="K130" s="223"/>
      <c r="L130" s="168"/>
      <c r="M130" s="168"/>
      <c r="N130" s="168"/>
      <c r="O130" s="181"/>
      <c r="P130" s="181"/>
    </row>
    <row r="131" spans="1:16" ht="21.75" customHeight="1" x14ac:dyDescent="0.3">
      <c r="A131" s="175"/>
      <c r="B131" s="176"/>
      <c r="C131" s="176"/>
      <c r="D131" s="193"/>
      <c r="E131" s="194" t="s">
        <v>48</v>
      </c>
      <c r="F131" s="195"/>
      <c r="G131" s="196"/>
      <c r="H131" s="186"/>
      <c r="I131" s="187"/>
      <c r="J131" s="187">
        <f ca="1">IFERROR(__xludf.DUMMYFUNCTION("IMPORTRANGE(""https://docs.google.com/spreadsheets/d/11923uPwbBZFjjGgGUA6NLw09EwE0CqkOc4q9oUmW1yo/edit?usp=sharing"",""ลำพูน!J61"")"),1)</f>
        <v>1</v>
      </c>
      <c r="K131" s="223"/>
      <c r="L131" s="168"/>
      <c r="M131" s="168"/>
      <c r="N131" s="168"/>
      <c r="O131" s="181"/>
      <c r="P131" s="181"/>
    </row>
    <row r="132" spans="1:16" ht="21.75" customHeight="1" x14ac:dyDescent="0.3">
      <c r="A132" s="175"/>
      <c r="B132" s="176"/>
      <c r="C132" s="176"/>
      <c r="D132" s="193"/>
      <c r="E132" s="198"/>
      <c r="F132" s="194" t="s">
        <v>70</v>
      </c>
      <c r="G132" s="196"/>
      <c r="H132" s="180" t="s">
        <v>37</v>
      </c>
      <c r="I132" s="187">
        <f ca="1">IFERROR(__xludf.DUMMYFUNCTION("IMPORTRANGE(""https://docs.google.com/spreadsheets/d/11923uPwbBZFjjGgGUA6NLw09EwE0CqkOc4q9oUmW1yo/edit?usp=sharing"",""ลำพูน!I62"")"),20)</f>
        <v>20</v>
      </c>
      <c r="J132" s="203">
        <f ca="1">IFERROR(__xludf.DUMMYFUNCTION("IMPORTRANGE(""https://docs.google.com/spreadsheets/d/11923uPwbBZFjjGgGUA6NLw09EwE0CqkOc4q9oUmW1yo/edit?usp=sharing"",""ลำพูน!J62"")"),20)</f>
        <v>20</v>
      </c>
      <c r="K132" s="223">
        <f t="shared" ref="K132:K133" ca="1" si="63">IF(I132&gt;0,J132*100/I132,0)</f>
        <v>100</v>
      </c>
      <c r="L132" s="168"/>
      <c r="M132" s="168"/>
      <c r="N132" s="168"/>
      <c r="O132" s="181"/>
      <c r="P132" s="181"/>
    </row>
    <row r="133" spans="1:16" ht="21.75" customHeight="1" x14ac:dyDescent="0.3">
      <c r="A133" s="175"/>
      <c r="B133" s="176"/>
      <c r="C133" s="176"/>
      <c r="D133" s="193"/>
      <c r="E133" s="198"/>
      <c r="F133" s="194" t="s">
        <v>71</v>
      </c>
      <c r="G133" s="196"/>
      <c r="H133" s="180" t="s">
        <v>37</v>
      </c>
      <c r="I133" s="187">
        <f ca="1">IFERROR(__xludf.DUMMYFUNCTION("IMPORTRANGE(""https://docs.google.com/spreadsheets/d/11923uPwbBZFjjGgGUA6NLw09EwE0CqkOc4q9oUmW1yo/edit?usp=sharing"",""ลำพูน!I63"")"),20)</f>
        <v>20</v>
      </c>
      <c r="J133" s="203">
        <f ca="1">IFERROR(__xludf.DUMMYFUNCTION("IMPORTRANGE(""https://docs.google.com/spreadsheets/d/11923uPwbBZFjjGgGUA6NLw09EwE0CqkOc4q9oUmW1yo/edit?usp=sharing"",""ลำพูน!J63"")"),0)</f>
        <v>0</v>
      </c>
      <c r="K133" s="223">
        <f t="shared" ca="1" si="63"/>
        <v>0</v>
      </c>
      <c r="L133" s="168"/>
      <c r="M133" s="168"/>
      <c r="N133" s="168"/>
      <c r="O133" s="181"/>
      <c r="P133" s="181"/>
    </row>
    <row r="134" spans="1:16" ht="21.75" customHeight="1" x14ac:dyDescent="0.3">
      <c r="A134" s="175"/>
      <c r="B134" s="176"/>
      <c r="C134" s="176"/>
      <c r="D134" s="193"/>
      <c r="E134" s="194" t="s">
        <v>54</v>
      </c>
      <c r="F134" s="195"/>
      <c r="G134" s="196"/>
      <c r="H134" s="186"/>
      <c r="I134" s="187"/>
      <c r="J134" s="187">
        <f ca="1">IFERROR(__xludf.DUMMYFUNCTION("IMPORTRANGE(""https://docs.google.com/spreadsheets/d/11923uPwbBZFjjGgGUA6NLw09EwE0CqkOc4q9oUmW1yo/edit?usp=sharing"",""ลำพูน!J64"")"),0)</f>
        <v>0</v>
      </c>
      <c r="K134" s="223"/>
      <c r="L134" s="168"/>
      <c r="M134" s="168"/>
      <c r="N134" s="168"/>
      <c r="O134" s="181"/>
      <c r="P134" s="181"/>
    </row>
    <row r="135" spans="1:16" ht="21.75" customHeight="1" x14ac:dyDescent="0.3">
      <c r="A135" s="233"/>
      <c r="B135" s="234"/>
      <c r="C135" s="234"/>
      <c r="D135" s="235">
        <v>3</v>
      </c>
      <c r="E135" s="236" t="s">
        <v>55</v>
      </c>
      <c r="F135" s="237"/>
      <c r="G135" s="238"/>
      <c r="H135" s="239"/>
      <c r="I135" s="240"/>
      <c r="J135" s="241">
        <f ca="1">IFERROR(__xludf.DUMMYFUNCTION("IMPORTRANGE(""https://docs.google.com/spreadsheets/d/11923uPwbBZFjjGgGUA6NLw09EwE0CqkOc4q9oUmW1yo/edit?usp=sharing"",""ลำพูน!J65"")"),0)</f>
        <v>0</v>
      </c>
      <c r="K135" s="242"/>
      <c r="L135" s="243"/>
      <c r="M135" s="243"/>
      <c r="N135" s="243"/>
      <c r="O135" s="244"/>
      <c r="P135" s="244"/>
    </row>
    <row r="136" spans="1:16" ht="21.75" customHeight="1" x14ac:dyDescent="0.3">
      <c r="A136" s="245" t="s">
        <v>72</v>
      </c>
      <c r="B136" s="246"/>
      <c r="C136" s="246"/>
      <c r="D136" s="246"/>
      <c r="E136" s="247"/>
      <c r="F136" s="247"/>
      <c r="G136" s="248"/>
      <c r="H136" s="249"/>
      <c r="I136" s="250"/>
      <c r="J136" s="250"/>
      <c r="K136" s="251"/>
      <c r="L136" s="252"/>
      <c r="M136" s="252"/>
      <c r="N136" s="252"/>
      <c r="O136" s="252"/>
      <c r="P136" s="252"/>
    </row>
    <row r="137" spans="1:16" ht="21.75" customHeight="1" x14ac:dyDescent="0.3">
      <c r="A137" s="253" t="s">
        <v>73</v>
      </c>
      <c r="B137" s="254"/>
      <c r="C137" s="254"/>
      <c r="D137" s="255"/>
      <c r="E137" s="255"/>
      <c r="F137" s="255"/>
      <c r="G137" s="256"/>
      <c r="H137" s="257"/>
      <c r="I137" s="258"/>
      <c r="J137" s="258"/>
      <c r="K137" s="259"/>
      <c r="L137" s="259"/>
      <c r="M137" s="259"/>
      <c r="N137" s="259"/>
      <c r="O137" s="260"/>
      <c r="P137" s="260"/>
    </row>
    <row r="138" spans="1:16" ht="21.75" customHeight="1" x14ac:dyDescent="0.3">
      <c r="A138" s="261"/>
      <c r="B138" s="262" t="s">
        <v>74</v>
      </c>
      <c r="C138" s="263"/>
      <c r="D138" s="262"/>
      <c r="E138" s="262"/>
      <c r="F138" s="262"/>
      <c r="G138" s="264"/>
      <c r="H138" s="265" t="s">
        <v>37</v>
      </c>
      <c r="I138" s="266">
        <f ca="1">IFERROR(__xludf.DUMMYFUNCTION("IMPORTRANGE(""https://docs.google.com/spreadsheets/d/11923uPwbBZFjjGgGUA6NLw09EwE0CqkOc4q9oUmW1yo/edit?usp=sharing"",""ลำพูน!I68"")"),150)</f>
        <v>150</v>
      </c>
      <c r="J138" s="266">
        <f ca="1">IFERROR(__xludf.DUMMYFUNCTION("IMPORTRANGE(""https://docs.google.com/spreadsheets/d/11923uPwbBZFjjGgGUA6NLw09EwE0CqkOc4q9oUmW1yo/edit?usp=sharing"",""ลำพูน!J68"")"),150)</f>
        <v>150</v>
      </c>
      <c r="K138" s="267">
        <f ca="1">IF(I138&gt;0,J138*100/I138,0)</f>
        <v>100</v>
      </c>
      <c r="L138" s="268"/>
      <c r="M138" s="268"/>
      <c r="N138" s="268"/>
      <c r="O138" s="267"/>
      <c r="P138" s="267"/>
    </row>
    <row r="139" spans="1:16" ht="21.75" customHeight="1" x14ac:dyDescent="0.3">
      <c r="A139" s="261"/>
      <c r="B139" s="262" t="s">
        <v>75</v>
      </c>
      <c r="C139" s="263"/>
      <c r="D139" s="262"/>
      <c r="E139" s="262"/>
      <c r="F139" s="262"/>
      <c r="G139" s="264"/>
      <c r="H139" s="265"/>
      <c r="I139" s="266"/>
      <c r="J139" s="266"/>
      <c r="K139" s="267"/>
      <c r="L139" s="268"/>
      <c r="M139" s="268"/>
      <c r="N139" s="268"/>
      <c r="O139" s="267"/>
      <c r="P139" s="267"/>
    </row>
    <row r="140" spans="1:16" ht="21.75" customHeight="1" x14ac:dyDescent="0.45">
      <c r="A140" s="145"/>
      <c r="B140" s="146"/>
      <c r="C140" s="147" t="s">
        <v>16</v>
      </c>
      <c r="D140" s="537" t="s">
        <v>17</v>
      </c>
      <c r="E140" s="528"/>
      <c r="F140" s="528"/>
      <c r="G140" s="528"/>
      <c r="H140" s="148" t="s">
        <v>12</v>
      </c>
      <c r="I140" s="162"/>
      <c r="J140" s="162"/>
      <c r="K140" s="163"/>
      <c r="L140" s="151">
        <f t="shared" ref="L140:N140" ca="1" si="64">L141+L142</f>
        <v>1352900</v>
      </c>
      <c r="M140" s="151">
        <f t="shared" ca="1" si="64"/>
        <v>914950</v>
      </c>
      <c r="N140" s="151">
        <f t="shared" ca="1" si="64"/>
        <v>702357</v>
      </c>
      <c r="O140" s="150">
        <f t="shared" ref="O140:O142" ca="1" si="65">IF(L140&gt;0,N140*100/L140,0)</f>
        <v>51.914923497671666</v>
      </c>
      <c r="P140" s="150">
        <f t="shared" ref="P140:P142" ca="1" si="66">IF(M140&gt;0,N140*100/M140,0)</f>
        <v>76.764522651511015</v>
      </c>
    </row>
    <row r="141" spans="1:16" ht="21.75" customHeight="1" x14ac:dyDescent="0.45">
      <c r="A141" s="152"/>
      <c r="B141" s="32"/>
      <c r="C141" s="32"/>
      <c r="D141" s="32"/>
      <c r="E141" s="32"/>
      <c r="F141" s="32"/>
      <c r="G141" s="33" t="s">
        <v>18</v>
      </c>
      <c r="H141" s="153" t="s">
        <v>12</v>
      </c>
      <c r="I141" s="162"/>
      <c r="J141" s="162"/>
      <c r="K141" s="163"/>
      <c r="L141" s="87">
        <f t="shared" ref="L141:N141" si="67">L143+L147</f>
        <v>0</v>
      </c>
      <c r="M141" s="87">
        <f t="shared" si="67"/>
        <v>0</v>
      </c>
      <c r="N141" s="87">
        <f t="shared" si="67"/>
        <v>0</v>
      </c>
      <c r="O141" s="155">
        <f t="shared" si="65"/>
        <v>0</v>
      </c>
      <c r="P141" s="155">
        <f t="shared" si="66"/>
        <v>0</v>
      </c>
    </row>
    <row r="142" spans="1:16" ht="21.75" customHeight="1" x14ac:dyDescent="0.45">
      <c r="A142" s="152"/>
      <c r="B142" s="32"/>
      <c r="C142" s="32"/>
      <c r="D142" s="32"/>
      <c r="E142" s="32"/>
      <c r="F142" s="32"/>
      <c r="G142" s="33" t="s">
        <v>19</v>
      </c>
      <c r="H142" s="153" t="s">
        <v>12</v>
      </c>
      <c r="I142" s="162"/>
      <c r="J142" s="162"/>
      <c r="K142" s="163"/>
      <c r="L142" s="87">
        <f t="shared" ref="L142:N142" ca="1" si="68">L144+L148</f>
        <v>1352900</v>
      </c>
      <c r="M142" s="87">
        <f t="shared" ca="1" si="68"/>
        <v>914950</v>
      </c>
      <c r="N142" s="87">
        <f t="shared" ca="1" si="68"/>
        <v>702357</v>
      </c>
      <c r="O142" s="155">
        <f t="shared" ca="1" si="65"/>
        <v>51.914923497671666</v>
      </c>
      <c r="P142" s="155">
        <f t="shared" ca="1" si="66"/>
        <v>76.764522651511015</v>
      </c>
    </row>
    <row r="143" spans="1:16" ht="21.75" customHeight="1" x14ac:dyDescent="0.3">
      <c r="A143" s="156"/>
      <c r="B143" s="157"/>
      <c r="C143" s="157" t="s">
        <v>16</v>
      </c>
      <c r="D143" s="158" t="s">
        <v>38</v>
      </c>
      <c r="E143" s="159"/>
      <c r="F143" s="159"/>
      <c r="G143" s="160" t="s">
        <v>39</v>
      </c>
      <c r="H143" s="161" t="s">
        <v>12</v>
      </c>
      <c r="I143" s="162" t="s">
        <v>40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3">
      <c r="A144" s="156"/>
      <c r="B144" s="157"/>
      <c r="C144" s="157"/>
      <c r="D144" s="166"/>
      <c r="E144" s="159"/>
      <c r="F144" s="159" t="s">
        <v>40</v>
      </c>
      <c r="G144" s="160" t="s">
        <v>41</v>
      </c>
      <c r="H144" s="161" t="s">
        <v>12</v>
      </c>
      <c r="I144" s="162"/>
      <c r="J144" s="162"/>
      <c r="K144" s="163"/>
      <c r="L144" s="167">
        <f ca="1">L145+L146</f>
        <v>1114900</v>
      </c>
      <c r="M144" s="167">
        <f ca="1">IFERROR(__xludf.DUMMYFUNCTION("IMPORTRANGE(""https://docs.google.com/spreadsheets/d/1Yj_ptqi66GCucihVvJfMjLAmec39IyEx_6qawtMGysU/edit?usp=sharing"",""สบก!BJ33"")"),676950)</f>
        <v>676950</v>
      </c>
      <c r="N144" s="168">
        <f ca="1">IFERROR(__xludf.DUMMYFUNCTION("IMPORTRANGE(""https://docs.google.com/spreadsheets/d/1Yj_ptqi66GCucihVvJfMjLAmec39IyEx_6qawtMGysU/edit?usp=sharing"",""สบก!BK33"")"),464357)</f>
        <v>464357</v>
      </c>
      <c r="O144" s="168">
        <f ca="1">IF(L144&gt;0,N144*100/L144,0)</f>
        <v>41.650103148264421</v>
      </c>
      <c r="P144" s="168">
        <f ca="1">IF(M144&gt;0,N144*100/M144,0)</f>
        <v>68.595464953098457</v>
      </c>
    </row>
    <row r="145" spans="1:16" ht="21.75" customHeight="1" x14ac:dyDescent="0.3">
      <c r="A145" s="156"/>
      <c r="B145" s="157"/>
      <c r="C145" s="157"/>
      <c r="D145" s="166"/>
      <c r="E145" s="159"/>
      <c r="F145" s="159"/>
      <c r="G145" s="169" t="s">
        <v>42</v>
      </c>
      <c r="H145" s="161" t="s">
        <v>12</v>
      </c>
      <c r="I145" s="162"/>
      <c r="J145" s="162"/>
      <c r="K145" s="163"/>
      <c r="L145" s="167">
        <f ca="1">IFERROR(__xludf.DUMMYFUNCTION("IMPORTRANGE(""https://docs.google.com/spreadsheets/d/1Yj_ptqi66GCucihVvJfMjLAmec39IyEx_6qawtMGysU/edit?usp=sharing"",""สบก!BF33"")"),264000)</f>
        <v>264000</v>
      </c>
      <c r="M145" s="167"/>
      <c r="N145" s="167"/>
      <c r="O145" s="168"/>
      <c r="P145" s="168"/>
    </row>
    <row r="146" spans="1:16" ht="21.75" customHeight="1" x14ac:dyDescent="0.3">
      <c r="A146" s="156"/>
      <c r="B146" s="157"/>
      <c r="C146" s="157"/>
      <c r="D146" s="166"/>
      <c r="E146" s="159"/>
      <c r="F146" s="159"/>
      <c r="G146" s="169" t="s">
        <v>43</v>
      </c>
      <c r="H146" s="161" t="s">
        <v>12</v>
      </c>
      <c r="I146" s="162"/>
      <c r="J146" s="162"/>
      <c r="K146" s="163"/>
      <c r="L146" s="167">
        <f ca="1">IFERROR(__xludf.DUMMYFUNCTION("IMPORTRANGE(""https://docs.google.com/spreadsheets/d/1Yj_ptqi66GCucihVvJfMjLAmec39IyEx_6qawtMGysU/edit?usp=sharing"",""สบก!BG33"")"),850900)</f>
        <v>850900</v>
      </c>
      <c r="M146" s="167"/>
      <c r="N146" s="167"/>
      <c r="O146" s="168"/>
      <c r="P146" s="168"/>
    </row>
    <row r="147" spans="1:16" ht="21.75" customHeight="1" x14ac:dyDescent="0.45">
      <c r="A147" s="170"/>
      <c r="B147" s="80"/>
      <c r="C147" s="81" t="s">
        <v>16</v>
      </c>
      <c r="D147" s="534" t="s">
        <v>23</v>
      </c>
      <c r="E147" s="530"/>
      <c r="F147" s="88"/>
      <c r="G147" s="82" t="s">
        <v>18</v>
      </c>
      <c r="H147" s="171" t="s">
        <v>12</v>
      </c>
      <c r="I147" s="187"/>
      <c r="J147" s="187"/>
      <c r="K147" s="223"/>
      <c r="L147" s="41">
        <v>0</v>
      </c>
      <c r="M147" s="41"/>
      <c r="N147" s="41"/>
      <c r="O147" s="41"/>
      <c r="P147" s="41"/>
    </row>
    <row r="148" spans="1:16" ht="21.75" customHeight="1" x14ac:dyDescent="0.45">
      <c r="A148" s="172"/>
      <c r="B148" s="91"/>
      <c r="C148" s="91"/>
      <c r="D148" s="173"/>
      <c r="E148" s="92"/>
      <c r="F148" s="92"/>
      <c r="G148" s="93" t="s">
        <v>19</v>
      </c>
      <c r="H148" s="174" t="s">
        <v>12</v>
      </c>
      <c r="I148" s="187"/>
      <c r="J148" s="187"/>
      <c r="K148" s="223"/>
      <c r="L148" s="49">
        <f ca="1">IFERROR(__xludf.DUMMYFUNCTION("IMPORTRANGE(""https://docs.google.com/spreadsheets/d/1Yj_ptqi66GCucihVvJfMjLAmec39IyEx_6qawtMGysU/edit?usp=sharing"",""สบก!BH33"")"),238000)</f>
        <v>238000</v>
      </c>
      <c r="M148" s="49">
        <f ca="1">L148</f>
        <v>238000</v>
      </c>
      <c r="N148" s="49">
        <f ca="1">IFERROR(__xludf.DUMMYFUNCTION("IMPORTRANGE(""https://docs.google.com/spreadsheets/d/1Yj_ptqi66GCucihVvJfMjLAmec39IyEx_6qawtMGysU/edit?usp=sharing"",""สบก!BL33"")"),238000)</f>
        <v>238000</v>
      </c>
      <c r="O148" s="49">
        <f ca="1">IF(L148&gt;0,N148*100/L148,0)</f>
        <v>100</v>
      </c>
      <c r="P148" s="49">
        <f ca="1">IF(M148&gt;0,N148*100/M148,0)</f>
        <v>100</v>
      </c>
    </row>
    <row r="149" spans="1:16" ht="21.75" customHeight="1" x14ac:dyDescent="0.3">
      <c r="A149" s="269"/>
      <c r="B149" s="270"/>
      <c r="C149" s="271" t="s">
        <v>76</v>
      </c>
      <c r="D149" s="271"/>
      <c r="E149" s="271"/>
      <c r="F149" s="271"/>
      <c r="G149" s="272"/>
      <c r="H149" s="273" t="s">
        <v>77</v>
      </c>
      <c r="I149" s="274">
        <f ca="1">IFERROR(__xludf.DUMMYFUNCTION("IMPORTRANGE(""https://docs.google.com/spreadsheets/d/11923uPwbBZFjjGgGUA6NLw09EwE0CqkOc4q9oUmW1yo/edit?usp=sharing"",""ลำพูน!I74"")"),4)</f>
        <v>4</v>
      </c>
      <c r="J149" s="274">
        <f ca="1">IFERROR(__xludf.DUMMYFUNCTION("IMPORTRANGE(""https://docs.google.com/spreadsheets/d/11923uPwbBZFjjGgGUA6NLw09EwE0CqkOc4q9oUmW1yo/edit?usp=sharing"",""ลำพูน!J74"")"),2)</f>
        <v>2</v>
      </c>
      <c r="K149" s="275">
        <f ca="1">IF(I149&gt;0,J149*100/I149,0)</f>
        <v>50</v>
      </c>
      <c r="L149" s="276"/>
      <c r="M149" s="276"/>
      <c r="N149" s="276"/>
      <c r="O149" s="276"/>
      <c r="P149" s="276"/>
    </row>
    <row r="150" spans="1:16" ht="21.75" customHeight="1" x14ac:dyDescent="0.3">
      <c r="A150" s="156"/>
      <c r="B150" s="157"/>
      <c r="C150" s="157" t="s">
        <v>16</v>
      </c>
      <c r="D150" s="158" t="s">
        <v>38</v>
      </c>
      <c r="E150" s="159"/>
      <c r="F150" s="159"/>
      <c r="G150" s="160" t="s">
        <v>39</v>
      </c>
      <c r="H150" s="161" t="s">
        <v>12</v>
      </c>
      <c r="I150" s="162" t="s">
        <v>40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3">
      <c r="A151" s="156"/>
      <c r="B151" s="157"/>
      <c r="C151" s="157"/>
      <c r="D151" s="166"/>
      <c r="E151" s="159"/>
      <c r="F151" s="159" t="s">
        <v>40</v>
      </c>
      <c r="G151" s="160" t="s">
        <v>41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3">
      <c r="A152" s="156"/>
      <c r="B152" s="157"/>
      <c r="C152" s="157"/>
      <c r="D152" s="166"/>
      <c r="E152" s="159"/>
      <c r="F152" s="159"/>
      <c r="G152" s="169" t="s">
        <v>43</v>
      </c>
      <c r="H152" s="161" t="s">
        <v>12</v>
      </c>
      <c r="I152" s="162"/>
      <c r="J152" s="162"/>
      <c r="K152" s="163"/>
      <c r="L152" s="168"/>
      <c r="M152" s="168"/>
      <c r="N152" s="167"/>
      <c r="O152" s="168"/>
      <c r="P152" s="168"/>
    </row>
    <row r="153" spans="1:16" ht="21.75" customHeight="1" x14ac:dyDescent="0.3">
      <c r="A153" s="175"/>
      <c r="B153" s="176"/>
      <c r="C153" s="157" t="s">
        <v>16</v>
      </c>
      <c r="D153" s="177" t="s">
        <v>44</v>
      </c>
      <c r="E153" s="178"/>
      <c r="F153" s="178"/>
      <c r="G153" s="179"/>
      <c r="H153" s="180"/>
      <c r="I153" s="162"/>
      <c r="J153" s="162"/>
      <c r="K153" s="163"/>
      <c r="L153" s="181"/>
      <c r="M153" s="181"/>
      <c r="N153" s="181"/>
      <c r="O153" s="181"/>
      <c r="P153" s="181"/>
    </row>
    <row r="154" spans="1:16" ht="21.75" customHeight="1" x14ac:dyDescent="0.3">
      <c r="A154" s="175"/>
      <c r="B154" s="176"/>
      <c r="C154" s="176"/>
      <c r="D154" s="182">
        <v>1</v>
      </c>
      <c r="E154" s="183" t="s">
        <v>45</v>
      </c>
      <c r="F154" s="184"/>
      <c r="G154" s="185"/>
      <c r="H154" s="186"/>
      <c r="I154" s="187"/>
      <c r="J154" s="188">
        <f ca="1">IFERROR(__xludf.DUMMYFUNCTION("IMPORTRANGE(""https://docs.google.com/spreadsheets/d/11923uPwbBZFjjGgGUA6NLw09EwE0CqkOc4q9oUmW1yo/edit?usp=sharing"",""ลำพูน!J79"")"),0)</f>
        <v>0</v>
      </c>
      <c r="K154" s="163"/>
      <c r="L154" s="181"/>
      <c r="M154" s="181"/>
      <c r="N154" s="181"/>
      <c r="O154" s="181"/>
      <c r="P154" s="181"/>
    </row>
    <row r="155" spans="1:16" ht="21.75" customHeight="1" x14ac:dyDescent="0.3">
      <c r="A155" s="175"/>
      <c r="B155" s="176"/>
      <c r="C155" s="176"/>
      <c r="D155" s="189">
        <v>2</v>
      </c>
      <c r="E155" s="190" t="s">
        <v>46</v>
      </c>
      <c r="F155" s="191"/>
      <c r="G155" s="192"/>
      <c r="H155" s="186"/>
      <c r="I155" s="187"/>
      <c r="J155" s="197">
        <f ca="1">IFERROR(__xludf.DUMMYFUNCTION("IMPORTRANGE(""https://docs.google.com/spreadsheets/d/11923uPwbBZFjjGgGUA6NLw09EwE0CqkOc4q9oUmW1yo/edit?usp=sharing"",""ลำพูน!J80"")"),1)</f>
        <v>1</v>
      </c>
      <c r="K155" s="163"/>
      <c r="L155" s="181"/>
      <c r="M155" s="181"/>
      <c r="N155" s="181"/>
      <c r="O155" s="181"/>
      <c r="P155" s="181"/>
    </row>
    <row r="156" spans="1:16" ht="21.75" customHeight="1" x14ac:dyDescent="0.3">
      <c r="A156" s="175"/>
      <c r="B156" s="176"/>
      <c r="C156" s="176"/>
      <c r="D156" s="193"/>
      <c r="E156" s="194" t="s">
        <v>47</v>
      </c>
      <c r="F156" s="195"/>
      <c r="G156" s="196"/>
      <c r="H156" s="186"/>
      <c r="I156" s="187"/>
      <c r="J156" s="197">
        <f ca="1">IFERROR(__xludf.DUMMYFUNCTION("IMPORTRANGE(""https://docs.google.com/spreadsheets/d/11923uPwbBZFjjGgGUA6NLw09EwE0CqkOc4q9oUmW1yo/edit?usp=sharing"",""ลำพูน!J81"")"),0)</f>
        <v>0</v>
      </c>
      <c r="K156" s="163"/>
      <c r="L156" s="181"/>
      <c r="M156" s="181"/>
      <c r="N156" s="181"/>
      <c r="O156" s="181"/>
      <c r="P156" s="181"/>
    </row>
    <row r="157" spans="1:16" ht="21.75" customHeight="1" x14ac:dyDescent="0.3">
      <c r="A157" s="175"/>
      <c r="B157" s="176"/>
      <c r="C157" s="176"/>
      <c r="D157" s="193"/>
      <c r="E157" s="194" t="s">
        <v>48</v>
      </c>
      <c r="F157" s="195"/>
      <c r="G157" s="196"/>
      <c r="H157" s="186"/>
      <c r="I157" s="187"/>
      <c r="J157" s="197">
        <f ca="1">IFERROR(__xludf.DUMMYFUNCTION("IMPORTRANGE(""https://docs.google.com/spreadsheets/d/11923uPwbBZFjjGgGUA6NLw09EwE0CqkOc4q9oUmW1yo/edit?usp=sharing"",""ลำพูน!J82"")"),1)</f>
        <v>1</v>
      </c>
      <c r="K157" s="163"/>
      <c r="L157" s="181"/>
      <c r="M157" s="181"/>
      <c r="N157" s="181"/>
      <c r="O157" s="181"/>
      <c r="P157" s="181"/>
    </row>
    <row r="158" spans="1:16" ht="21.75" customHeight="1" x14ac:dyDescent="0.3">
      <c r="A158" s="175"/>
      <c r="B158" s="176"/>
      <c r="C158" s="176"/>
      <c r="D158" s="193"/>
      <c r="E158" s="198"/>
      <c r="F158" s="194" t="s">
        <v>78</v>
      </c>
      <c r="G158" s="196"/>
      <c r="H158" s="180" t="s">
        <v>77</v>
      </c>
      <c r="I158" s="187">
        <f ca="1">IFERROR(__xludf.DUMMYFUNCTION("IMPORTRANGE(""https://docs.google.com/spreadsheets/d/11923uPwbBZFjjGgGUA6NLw09EwE0CqkOc4q9oUmW1yo/edit?usp=sharing"",""ลำพูน!I83"")"),4)</f>
        <v>4</v>
      </c>
      <c r="J158" s="188">
        <f ca="1">IFERROR(__xludf.DUMMYFUNCTION("IMPORTRANGE(""https://docs.google.com/spreadsheets/d/11923uPwbBZFjjGgGUA6NLw09EwE0CqkOc4q9oUmW1yo/edit?usp=sharing"",""ลำพูน!J83"")"),2)</f>
        <v>2</v>
      </c>
      <c r="K158" s="163">
        <f ca="1">IF(I158&gt;0,J158*100/I158,0)</f>
        <v>50</v>
      </c>
      <c r="L158" s="181"/>
      <c r="M158" s="181"/>
      <c r="N158" s="181"/>
      <c r="O158" s="181"/>
      <c r="P158" s="181"/>
    </row>
    <row r="159" spans="1:16" ht="21.75" customHeight="1" x14ac:dyDescent="0.3">
      <c r="A159" s="175"/>
      <c r="B159" s="176"/>
      <c r="C159" s="176"/>
      <c r="D159" s="193"/>
      <c r="E159" s="195"/>
      <c r="F159" s="277" t="s">
        <v>79</v>
      </c>
      <c r="G159" s="196"/>
      <c r="H159" s="278" t="s">
        <v>37</v>
      </c>
      <c r="I159" s="187"/>
      <c r="J159" s="203">
        <f ca="1">IFERROR(__xludf.DUMMYFUNCTION("IMPORTRANGE(""https://docs.google.com/spreadsheets/d/11923uPwbBZFjjGgGUA6NLw09EwE0CqkOc4q9oUmW1yo/edit?usp=sharing"",""ลำพูน!J84"")"),119)</f>
        <v>119</v>
      </c>
      <c r="K159" s="163"/>
      <c r="L159" s="181"/>
      <c r="M159" s="181"/>
      <c r="N159" s="181"/>
      <c r="O159" s="181"/>
      <c r="P159" s="181"/>
    </row>
    <row r="160" spans="1:16" ht="21.75" customHeight="1" x14ac:dyDescent="0.45">
      <c r="A160" s="175"/>
      <c r="B160" s="176"/>
      <c r="C160" s="176"/>
      <c r="D160" s="193"/>
      <c r="E160" s="195"/>
      <c r="F160" s="195"/>
      <c r="G160" s="279" t="s">
        <v>80</v>
      </c>
      <c r="H160" s="278" t="s">
        <v>37</v>
      </c>
      <c r="I160" s="187"/>
      <c r="J160" s="280">
        <f ca="1">IFERROR(__xludf.DUMMYFUNCTION("IMPORTRANGE(""https://docs.google.com/spreadsheets/d/11923uPwbBZFjjGgGUA6NLw09EwE0CqkOc4q9oUmW1yo/edit?usp=sharing"",""ลำพูน!J85"")"),119)</f>
        <v>119</v>
      </c>
      <c r="K160" s="163"/>
      <c r="L160" s="181"/>
      <c r="M160" s="181"/>
      <c r="N160" s="181"/>
      <c r="O160" s="181"/>
      <c r="P160" s="181"/>
    </row>
    <row r="161" spans="1:16" ht="21.75" customHeight="1" x14ac:dyDescent="0.45">
      <c r="A161" s="175"/>
      <c r="B161" s="176"/>
      <c r="C161" s="176"/>
      <c r="D161" s="193"/>
      <c r="E161" s="195"/>
      <c r="F161" s="195"/>
      <c r="G161" s="279" t="s">
        <v>81</v>
      </c>
      <c r="H161" s="278" t="s">
        <v>37</v>
      </c>
      <c r="I161" s="187"/>
      <c r="J161" s="280">
        <f ca="1">IFERROR(__xludf.DUMMYFUNCTION("IMPORTRANGE(""https://docs.google.com/spreadsheets/d/11923uPwbBZFjjGgGUA6NLw09EwE0CqkOc4q9oUmW1yo/edit?usp=sharing"",""ลำพูน!J86"")"),0)</f>
        <v>0</v>
      </c>
      <c r="K161" s="163"/>
      <c r="L161" s="181"/>
      <c r="M161" s="181"/>
      <c r="N161" s="181"/>
      <c r="O161" s="181"/>
      <c r="P161" s="181"/>
    </row>
    <row r="162" spans="1:16" ht="21.75" customHeight="1" x14ac:dyDescent="0.3">
      <c r="A162" s="175"/>
      <c r="B162" s="176"/>
      <c r="C162" s="176"/>
      <c r="D162" s="193"/>
      <c r="E162" s="194" t="s">
        <v>54</v>
      </c>
      <c r="F162" s="195"/>
      <c r="G162" s="196"/>
      <c r="H162" s="186"/>
      <c r="I162" s="187"/>
      <c r="J162" s="197">
        <f ca="1">IFERROR(__xludf.DUMMYFUNCTION("IMPORTRANGE(""https://docs.google.com/spreadsheets/d/11923uPwbBZFjjGgGUA6NLw09EwE0CqkOc4q9oUmW1yo/edit?usp=sharing"",""ลำพูน!J87"")"),0)</f>
        <v>0</v>
      </c>
      <c r="K162" s="163"/>
      <c r="L162" s="181"/>
      <c r="M162" s="181"/>
      <c r="N162" s="181"/>
      <c r="O162" s="181"/>
      <c r="P162" s="181"/>
    </row>
    <row r="163" spans="1:16" ht="21.75" customHeight="1" x14ac:dyDescent="0.3">
      <c r="A163" s="175"/>
      <c r="B163" s="176"/>
      <c r="C163" s="176"/>
      <c r="D163" s="205">
        <v>3</v>
      </c>
      <c r="E163" s="206" t="s">
        <v>55</v>
      </c>
      <c r="F163" s="207"/>
      <c r="G163" s="208"/>
      <c r="H163" s="186"/>
      <c r="I163" s="187"/>
      <c r="J163" s="209">
        <f ca="1">IFERROR(__xludf.DUMMYFUNCTION("IMPORTRANGE(""https://docs.google.com/spreadsheets/d/11923uPwbBZFjjGgGUA6NLw09EwE0CqkOc4q9oUmW1yo/edit?usp=sharing"",""ลำพูน!J88"")"),0)</f>
        <v>0</v>
      </c>
      <c r="K163" s="163"/>
      <c r="L163" s="181"/>
      <c r="M163" s="181"/>
      <c r="N163" s="181"/>
      <c r="O163" s="181"/>
      <c r="P163" s="181"/>
    </row>
    <row r="164" spans="1:16" ht="21.75" customHeight="1" x14ac:dyDescent="0.3">
      <c r="A164" s="269"/>
      <c r="B164" s="270"/>
      <c r="C164" s="271" t="s">
        <v>82</v>
      </c>
      <c r="D164" s="271"/>
      <c r="E164" s="271"/>
      <c r="F164" s="271"/>
      <c r="G164" s="272"/>
      <c r="H164" s="281" t="s">
        <v>83</v>
      </c>
      <c r="I164" s="282">
        <f ca="1">IFERROR(__xludf.DUMMYFUNCTION("IMPORTRANGE(""https://docs.google.com/spreadsheets/d/11923uPwbBZFjjGgGUA6NLw09EwE0CqkOc4q9oUmW1yo/edit?usp=sharing"",""ลำพูน!I89"")"),2)</f>
        <v>2</v>
      </c>
      <c r="J164" s="282">
        <f ca="1">IFERROR(__xludf.DUMMYFUNCTION("IMPORTRANGE(""https://docs.google.com/spreadsheets/d/11923uPwbBZFjjGgGUA6NLw09EwE0CqkOc4q9oUmW1yo/edit?usp=sharing"",""ลำพูน!J89"")"),2)</f>
        <v>2</v>
      </c>
      <c r="K164" s="283">
        <f ca="1">IF(I164&gt;0,J164*100/I164,0)</f>
        <v>100</v>
      </c>
      <c r="L164" s="276"/>
      <c r="M164" s="276"/>
      <c r="N164" s="276"/>
      <c r="O164" s="276"/>
      <c r="P164" s="276"/>
    </row>
    <row r="165" spans="1:16" ht="21.75" customHeight="1" x14ac:dyDescent="0.3">
      <c r="A165" s="156"/>
      <c r="B165" s="157"/>
      <c r="C165" s="157" t="s">
        <v>16</v>
      </c>
      <c r="D165" s="158" t="s">
        <v>38</v>
      </c>
      <c r="E165" s="159"/>
      <c r="F165" s="159"/>
      <c r="G165" s="160" t="s">
        <v>39</v>
      </c>
      <c r="H165" s="161" t="s">
        <v>12</v>
      </c>
      <c r="I165" s="162" t="s">
        <v>40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3">
      <c r="A166" s="156"/>
      <c r="B166" s="157"/>
      <c r="C166" s="157"/>
      <c r="D166" s="166"/>
      <c r="E166" s="159"/>
      <c r="F166" s="159" t="s">
        <v>40</v>
      </c>
      <c r="G166" s="160" t="s">
        <v>41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3">
      <c r="A167" s="156"/>
      <c r="B167" s="157"/>
      <c r="C167" s="157"/>
      <c r="D167" s="166"/>
      <c r="E167" s="159"/>
      <c r="F167" s="159"/>
      <c r="G167" s="169" t="s">
        <v>43</v>
      </c>
      <c r="H167" s="161" t="s">
        <v>12</v>
      </c>
      <c r="I167" s="162"/>
      <c r="J167" s="162"/>
      <c r="K167" s="163"/>
      <c r="L167" s="168"/>
      <c r="M167" s="168"/>
      <c r="N167" s="167"/>
      <c r="O167" s="168"/>
      <c r="P167" s="168"/>
    </row>
    <row r="168" spans="1:16" ht="21.75" customHeight="1" x14ac:dyDescent="0.3">
      <c r="A168" s="175"/>
      <c r="B168" s="176"/>
      <c r="C168" s="157" t="s">
        <v>16</v>
      </c>
      <c r="D168" s="177" t="s">
        <v>44</v>
      </c>
      <c r="E168" s="178"/>
      <c r="F168" s="178"/>
      <c r="G168" s="179"/>
      <c r="H168" s="180"/>
      <c r="I168" s="162"/>
      <c r="J168" s="162"/>
      <c r="K168" s="163"/>
      <c r="L168" s="181"/>
      <c r="M168" s="181"/>
      <c r="N168" s="181"/>
      <c r="O168" s="181"/>
      <c r="P168" s="181"/>
    </row>
    <row r="169" spans="1:16" ht="21.75" customHeight="1" x14ac:dyDescent="0.3">
      <c r="A169" s="175"/>
      <c r="B169" s="176"/>
      <c r="C169" s="176"/>
      <c r="D169" s="182">
        <v>1</v>
      </c>
      <c r="E169" s="183" t="s">
        <v>45</v>
      </c>
      <c r="F169" s="184"/>
      <c r="G169" s="185"/>
      <c r="H169" s="186"/>
      <c r="I169" s="187"/>
      <c r="J169" s="188">
        <f ca="1">IFERROR(__xludf.DUMMYFUNCTION("IMPORTRANGE(""https://docs.google.com/spreadsheets/d/11923uPwbBZFjjGgGUA6NLw09EwE0CqkOc4q9oUmW1yo/edit?usp=sharing"",""ลำพูน!J94"")"),0)</f>
        <v>0</v>
      </c>
      <c r="K169" s="163"/>
      <c r="L169" s="181"/>
      <c r="M169" s="181"/>
      <c r="N169" s="181"/>
      <c r="O169" s="181"/>
      <c r="P169" s="181"/>
    </row>
    <row r="170" spans="1:16" ht="21.75" customHeight="1" x14ac:dyDescent="0.3">
      <c r="A170" s="175"/>
      <c r="B170" s="176"/>
      <c r="C170" s="176"/>
      <c r="D170" s="189">
        <v>2</v>
      </c>
      <c r="E170" s="190" t="s">
        <v>46</v>
      </c>
      <c r="F170" s="191"/>
      <c r="G170" s="192"/>
      <c r="H170" s="186"/>
      <c r="I170" s="187"/>
      <c r="J170" s="197">
        <f ca="1">IFERROR(__xludf.DUMMYFUNCTION("IMPORTRANGE(""https://docs.google.com/spreadsheets/d/11923uPwbBZFjjGgGUA6NLw09EwE0CqkOc4q9oUmW1yo/edit?usp=sharing"",""ลำพูน!J95"")"),1)</f>
        <v>1</v>
      </c>
      <c r="K170" s="163"/>
      <c r="L170" s="181"/>
      <c r="M170" s="181"/>
      <c r="N170" s="181"/>
      <c r="O170" s="181"/>
      <c r="P170" s="181"/>
    </row>
    <row r="171" spans="1:16" ht="21.75" customHeight="1" x14ac:dyDescent="0.3">
      <c r="A171" s="175"/>
      <c r="B171" s="176"/>
      <c r="C171" s="176"/>
      <c r="D171" s="193"/>
      <c r="E171" s="194" t="s">
        <v>47</v>
      </c>
      <c r="F171" s="195"/>
      <c r="G171" s="196"/>
      <c r="H171" s="186"/>
      <c r="I171" s="187"/>
      <c r="J171" s="197">
        <f ca="1">IFERROR(__xludf.DUMMYFUNCTION("IMPORTRANGE(""https://docs.google.com/spreadsheets/d/11923uPwbBZFjjGgGUA6NLw09EwE0CqkOc4q9oUmW1yo/edit?usp=sharing"",""ลำพูน!J96"")"),1)</f>
        <v>1</v>
      </c>
      <c r="K171" s="163"/>
      <c r="L171" s="181"/>
      <c r="M171" s="181"/>
      <c r="N171" s="181"/>
      <c r="O171" s="181"/>
      <c r="P171" s="181"/>
    </row>
    <row r="172" spans="1:16" ht="21.75" customHeight="1" x14ac:dyDescent="0.3">
      <c r="A172" s="175"/>
      <c r="B172" s="176"/>
      <c r="C172" s="176"/>
      <c r="D172" s="193"/>
      <c r="E172" s="194" t="s">
        <v>48</v>
      </c>
      <c r="F172" s="195"/>
      <c r="G172" s="196"/>
      <c r="H172" s="186"/>
      <c r="I172" s="187"/>
      <c r="J172" s="197">
        <f ca="1">IFERROR(__xludf.DUMMYFUNCTION("IMPORTRANGE(""https://docs.google.com/spreadsheets/d/11923uPwbBZFjjGgGUA6NLw09EwE0CqkOc4q9oUmW1yo/edit?usp=sharing"",""ลำพูน!J97"")"),0)</f>
        <v>0</v>
      </c>
      <c r="K172" s="163"/>
      <c r="L172" s="181"/>
      <c r="M172" s="181"/>
      <c r="N172" s="181"/>
      <c r="O172" s="181"/>
      <c r="P172" s="181"/>
    </row>
    <row r="173" spans="1:16" ht="21.75" customHeight="1" x14ac:dyDescent="0.3">
      <c r="A173" s="175"/>
      <c r="B173" s="176"/>
      <c r="C173" s="176"/>
      <c r="D173" s="193"/>
      <c r="E173" s="198"/>
      <c r="F173" s="204" t="s">
        <v>84</v>
      </c>
      <c r="G173" s="196"/>
      <c r="H173" s="180" t="s">
        <v>83</v>
      </c>
      <c r="I173" s="187">
        <f ca="1">IFERROR(__xludf.DUMMYFUNCTION("IMPORTRANGE(""https://docs.google.com/spreadsheets/d/11923uPwbBZFjjGgGUA6NLw09EwE0CqkOc4q9oUmW1yo/edit?usp=sharing"",""ลำพูน!I98"")"),2)</f>
        <v>2</v>
      </c>
      <c r="J173" s="188">
        <f ca="1">IFERROR(__xludf.DUMMYFUNCTION("IMPORTRANGE(""https://docs.google.com/spreadsheets/d/11923uPwbBZFjjGgGUA6NLw09EwE0CqkOc4q9oUmW1yo/edit?usp=sharing"",""ลำพูน!J98"")"),2)</f>
        <v>2</v>
      </c>
      <c r="K173" s="163">
        <f ca="1">IF(I173&gt;0,J173*100/I173,0)</f>
        <v>100</v>
      </c>
      <c r="L173" s="168"/>
      <c r="M173" s="168"/>
      <c r="N173" s="167"/>
      <c r="O173" s="168"/>
      <c r="P173" s="168"/>
    </row>
    <row r="174" spans="1:16" ht="21.75" customHeight="1" x14ac:dyDescent="0.3">
      <c r="A174" s="175"/>
      <c r="B174" s="176"/>
      <c r="C174" s="176"/>
      <c r="D174" s="193"/>
      <c r="E174" s="194" t="s">
        <v>54</v>
      </c>
      <c r="F174" s="195"/>
      <c r="G174" s="196"/>
      <c r="H174" s="186"/>
      <c r="I174" s="187"/>
      <c r="J174" s="197">
        <f ca="1">IFERROR(__xludf.DUMMYFUNCTION("IMPORTRANGE(""https://docs.google.com/spreadsheets/d/11923uPwbBZFjjGgGUA6NLw09EwE0CqkOc4q9oUmW1yo/edit?usp=sharing"",""ลำพูน!J99"")"),0)</f>
        <v>0</v>
      </c>
      <c r="K174" s="163"/>
      <c r="L174" s="181"/>
      <c r="M174" s="181"/>
      <c r="N174" s="181"/>
      <c r="O174" s="181"/>
      <c r="P174" s="181"/>
    </row>
    <row r="175" spans="1:16" ht="21.75" customHeight="1" x14ac:dyDescent="0.3">
      <c r="A175" s="175"/>
      <c r="B175" s="176"/>
      <c r="C175" s="176"/>
      <c r="D175" s="205">
        <v>3</v>
      </c>
      <c r="E175" s="206" t="s">
        <v>55</v>
      </c>
      <c r="F175" s="207"/>
      <c r="G175" s="208"/>
      <c r="H175" s="186"/>
      <c r="I175" s="187"/>
      <c r="J175" s="209">
        <f ca="1">IFERROR(__xludf.DUMMYFUNCTION("IMPORTRANGE(""https://docs.google.com/spreadsheets/d/11923uPwbBZFjjGgGUA6NLw09EwE0CqkOc4q9oUmW1yo/edit?usp=sharing"",""ลำพูน!J100"")"),0)</f>
        <v>0</v>
      </c>
      <c r="K175" s="163"/>
      <c r="L175" s="181"/>
      <c r="M175" s="181"/>
      <c r="N175" s="181"/>
      <c r="O175" s="181"/>
      <c r="P175" s="181"/>
    </row>
    <row r="176" spans="1:16" ht="21.75" customHeight="1" x14ac:dyDescent="0.3">
      <c r="A176" s="269"/>
      <c r="B176" s="270"/>
      <c r="C176" s="271" t="s">
        <v>85</v>
      </c>
      <c r="D176" s="271"/>
      <c r="E176" s="271"/>
      <c r="F176" s="271"/>
      <c r="G176" s="272"/>
      <c r="H176" s="281" t="s">
        <v>83</v>
      </c>
      <c r="I176" s="282">
        <f ca="1">IFERROR(__xludf.DUMMYFUNCTION("IMPORTRANGE(""https://docs.google.com/spreadsheets/d/11923uPwbBZFjjGgGUA6NLw09EwE0CqkOc4q9oUmW1yo/edit?usp=sharing"",""ลำพูน!I101"")"),0)</f>
        <v>0</v>
      </c>
      <c r="J176" s="282">
        <f ca="1">IFERROR(__xludf.DUMMYFUNCTION("IMPORTRANGE(""https://docs.google.com/spreadsheets/d/11923uPwbBZFjjGgGUA6NLw09EwE0CqkOc4q9oUmW1yo/edit?usp=sharing"",""ลำพูน!J101"")"),0)</f>
        <v>0</v>
      </c>
      <c r="K176" s="283">
        <f ca="1">IF(I176&gt;0,J176*100/I176,0)</f>
        <v>0</v>
      </c>
      <c r="L176" s="276"/>
      <c r="M176" s="276"/>
      <c r="N176" s="276"/>
      <c r="O176" s="276"/>
      <c r="P176" s="276"/>
    </row>
    <row r="177" spans="1:16" ht="21.75" customHeight="1" x14ac:dyDescent="0.3">
      <c r="A177" s="156"/>
      <c r="B177" s="157"/>
      <c r="C177" s="157" t="s">
        <v>16</v>
      </c>
      <c r="D177" s="158" t="s">
        <v>38</v>
      </c>
      <c r="E177" s="159"/>
      <c r="F177" s="159"/>
      <c r="G177" s="160" t="s">
        <v>39</v>
      </c>
      <c r="H177" s="161" t="s">
        <v>12</v>
      </c>
      <c r="I177" s="162" t="s">
        <v>40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3">
      <c r="A178" s="156"/>
      <c r="B178" s="157"/>
      <c r="C178" s="157"/>
      <c r="D178" s="166"/>
      <c r="E178" s="159"/>
      <c r="F178" s="159" t="s">
        <v>40</v>
      </c>
      <c r="G178" s="160" t="s">
        <v>41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3">
      <c r="A179" s="156"/>
      <c r="B179" s="157"/>
      <c r="C179" s="157"/>
      <c r="D179" s="166"/>
      <c r="E179" s="159"/>
      <c r="F179" s="159"/>
      <c r="G179" s="169" t="s">
        <v>43</v>
      </c>
      <c r="H179" s="161" t="s">
        <v>12</v>
      </c>
      <c r="I179" s="162"/>
      <c r="J179" s="187"/>
      <c r="K179" s="223"/>
      <c r="L179" s="168"/>
      <c r="M179" s="168"/>
      <c r="N179" s="167"/>
      <c r="O179" s="168"/>
      <c r="P179" s="168"/>
    </row>
    <row r="180" spans="1:16" ht="21.75" customHeight="1" x14ac:dyDescent="0.3">
      <c r="A180" s="175"/>
      <c r="B180" s="176"/>
      <c r="C180" s="157" t="s">
        <v>16</v>
      </c>
      <c r="D180" s="177" t="s">
        <v>44</v>
      </c>
      <c r="E180" s="178"/>
      <c r="F180" s="178"/>
      <c r="G180" s="179"/>
      <c r="H180" s="180"/>
      <c r="I180" s="162"/>
      <c r="J180" s="187"/>
      <c r="K180" s="223"/>
      <c r="L180" s="168"/>
      <c r="M180" s="168"/>
      <c r="N180" s="168"/>
      <c r="O180" s="181"/>
      <c r="P180" s="181"/>
    </row>
    <row r="181" spans="1:16" ht="21.75" customHeight="1" x14ac:dyDescent="0.3">
      <c r="A181" s="175"/>
      <c r="B181" s="176"/>
      <c r="C181" s="176"/>
      <c r="D181" s="182">
        <v>1</v>
      </c>
      <c r="E181" s="183" t="s">
        <v>45</v>
      </c>
      <c r="F181" s="184"/>
      <c r="G181" s="185"/>
      <c r="H181" s="186"/>
      <c r="I181" s="187"/>
      <c r="J181" s="187">
        <f ca="1">IFERROR(__xludf.DUMMYFUNCTION("IMPORTRANGE(""https://docs.google.com/spreadsheets/d/11923uPwbBZFjjGgGUA6NLw09EwE0CqkOc4q9oUmW1yo/edit?usp=sharing"",""ลำพูน!J106"")"),0)</f>
        <v>0</v>
      </c>
      <c r="K181" s="223"/>
      <c r="L181" s="168"/>
      <c r="M181" s="168"/>
      <c r="N181" s="168"/>
      <c r="O181" s="181"/>
      <c r="P181" s="181"/>
    </row>
    <row r="182" spans="1:16" ht="21.75" customHeight="1" x14ac:dyDescent="0.3">
      <c r="A182" s="175"/>
      <c r="B182" s="176"/>
      <c r="C182" s="176"/>
      <c r="D182" s="189">
        <v>2</v>
      </c>
      <c r="E182" s="190" t="s">
        <v>46</v>
      </c>
      <c r="F182" s="191"/>
      <c r="G182" s="192"/>
      <c r="H182" s="186"/>
      <c r="I182" s="187"/>
      <c r="J182" s="187">
        <f ca="1">IFERROR(__xludf.DUMMYFUNCTION("IMPORTRANGE(""https://docs.google.com/spreadsheets/d/11923uPwbBZFjjGgGUA6NLw09EwE0CqkOc4q9oUmW1yo/edit?usp=sharing"",""ลำพูน!J107"")"),0)</f>
        <v>0</v>
      </c>
      <c r="K182" s="223"/>
      <c r="L182" s="168"/>
      <c r="M182" s="168"/>
      <c r="N182" s="168"/>
      <c r="O182" s="181"/>
      <c r="P182" s="181"/>
    </row>
    <row r="183" spans="1:16" ht="21.75" customHeight="1" x14ac:dyDescent="0.3">
      <c r="A183" s="175"/>
      <c r="B183" s="176"/>
      <c r="C183" s="176"/>
      <c r="D183" s="193"/>
      <c r="E183" s="194" t="s">
        <v>47</v>
      </c>
      <c r="F183" s="195"/>
      <c r="G183" s="196"/>
      <c r="H183" s="186"/>
      <c r="I183" s="187"/>
      <c r="J183" s="187">
        <f ca="1">IFERROR(__xludf.DUMMYFUNCTION("IMPORTRANGE(""https://docs.google.com/spreadsheets/d/11923uPwbBZFjjGgGUA6NLw09EwE0CqkOc4q9oUmW1yo/edit?usp=sharing"",""ลำพูน!J108"")"),0)</f>
        <v>0</v>
      </c>
      <c r="K183" s="223"/>
      <c r="L183" s="168"/>
      <c r="M183" s="168"/>
      <c r="N183" s="168"/>
      <c r="O183" s="181"/>
      <c r="P183" s="181"/>
    </row>
    <row r="184" spans="1:16" ht="21.75" customHeight="1" x14ac:dyDescent="0.3">
      <c r="A184" s="175"/>
      <c r="B184" s="176"/>
      <c r="C184" s="176"/>
      <c r="D184" s="193"/>
      <c r="E184" s="194" t="s">
        <v>48</v>
      </c>
      <c r="F184" s="195"/>
      <c r="G184" s="196"/>
      <c r="H184" s="186"/>
      <c r="I184" s="187"/>
      <c r="J184" s="187">
        <f ca="1">IFERROR(__xludf.DUMMYFUNCTION("IMPORTRANGE(""https://docs.google.com/spreadsheets/d/11923uPwbBZFjjGgGUA6NLw09EwE0CqkOc4q9oUmW1yo/edit?usp=sharing"",""ลำพูน!J109"")"),0)</f>
        <v>0</v>
      </c>
      <c r="K184" s="223"/>
      <c r="L184" s="168"/>
      <c r="M184" s="168"/>
      <c r="N184" s="168"/>
      <c r="O184" s="181"/>
      <c r="P184" s="181"/>
    </row>
    <row r="185" spans="1:16" ht="21.75" customHeight="1" x14ac:dyDescent="0.3">
      <c r="A185" s="175"/>
      <c r="B185" s="176"/>
      <c r="C185" s="176"/>
      <c r="D185" s="193"/>
      <c r="E185" s="198"/>
      <c r="F185" s="194" t="s">
        <v>86</v>
      </c>
      <c r="G185" s="196"/>
      <c r="H185" s="180" t="s">
        <v>83</v>
      </c>
      <c r="I185" s="187">
        <f ca="1">IFERROR(__xludf.DUMMYFUNCTION("IMPORTRANGE(""https://docs.google.com/spreadsheets/d/11923uPwbBZFjjGgGUA6NLw09EwE0CqkOc4q9oUmW1yo/edit?usp=sharing"",""ลำพูน!I110"")"),0)</f>
        <v>0</v>
      </c>
      <c r="J185" s="203">
        <f ca="1">IFERROR(__xludf.DUMMYFUNCTION("IMPORTRANGE(""https://docs.google.com/spreadsheets/d/11923uPwbBZFjjGgGUA6NLw09EwE0CqkOc4q9oUmW1yo/edit?usp=sharing"",""ลำพูน!J110"")"),0)</f>
        <v>0</v>
      </c>
      <c r="K185" s="223">
        <f t="shared" ref="K185:K186" ca="1" si="69">IF(I185&gt;0,J185*100/I185,0)</f>
        <v>0</v>
      </c>
      <c r="L185" s="168"/>
      <c r="M185" s="168"/>
      <c r="N185" s="167"/>
      <c r="O185" s="168"/>
      <c r="P185" s="168"/>
    </row>
    <row r="186" spans="1:16" ht="21.75" customHeight="1" x14ac:dyDescent="0.3">
      <c r="A186" s="175"/>
      <c r="B186" s="176"/>
      <c r="C186" s="176"/>
      <c r="D186" s="193"/>
      <c r="E186" s="198"/>
      <c r="F186" s="194" t="s">
        <v>87</v>
      </c>
      <c r="G186" s="196"/>
      <c r="H186" s="180" t="s">
        <v>83</v>
      </c>
      <c r="I186" s="187">
        <f ca="1">IFERROR(__xludf.DUMMYFUNCTION("IMPORTRANGE(""https://docs.google.com/spreadsheets/d/11923uPwbBZFjjGgGUA6NLw09EwE0CqkOc4q9oUmW1yo/edit?usp=sharing"",""ลำพูน!I111"")"),0)</f>
        <v>0</v>
      </c>
      <c r="J186" s="203">
        <f ca="1">IFERROR(__xludf.DUMMYFUNCTION("IMPORTRANGE(""https://docs.google.com/spreadsheets/d/11923uPwbBZFjjGgGUA6NLw09EwE0CqkOc4q9oUmW1yo/edit?usp=sharing"",""ลำพูน!J111"")"),0)</f>
        <v>0</v>
      </c>
      <c r="K186" s="223">
        <f t="shared" ca="1" si="69"/>
        <v>0</v>
      </c>
      <c r="L186" s="168"/>
      <c r="M186" s="168"/>
      <c r="N186" s="167"/>
      <c r="O186" s="168"/>
      <c r="P186" s="168"/>
    </row>
    <row r="187" spans="1:16" ht="21.75" customHeight="1" x14ac:dyDescent="0.3">
      <c r="A187" s="175"/>
      <c r="B187" s="176"/>
      <c r="C187" s="176"/>
      <c r="D187" s="193"/>
      <c r="E187" s="194" t="s">
        <v>54</v>
      </c>
      <c r="F187" s="195"/>
      <c r="G187" s="196"/>
      <c r="H187" s="186"/>
      <c r="I187" s="187"/>
      <c r="J187" s="187">
        <f ca="1">IFERROR(__xludf.DUMMYFUNCTION("IMPORTRANGE(""https://docs.google.com/spreadsheets/d/11923uPwbBZFjjGgGUA6NLw09EwE0CqkOc4q9oUmW1yo/edit?usp=sharing"",""ลำพูน!J112"")"),0)</f>
        <v>0</v>
      </c>
      <c r="K187" s="223"/>
      <c r="L187" s="168"/>
      <c r="M187" s="168"/>
      <c r="N187" s="168"/>
      <c r="O187" s="181"/>
      <c r="P187" s="181"/>
    </row>
    <row r="188" spans="1:16" ht="21.75" customHeight="1" x14ac:dyDescent="0.3">
      <c r="A188" s="175"/>
      <c r="B188" s="176"/>
      <c r="C188" s="176"/>
      <c r="D188" s="205">
        <v>3</v>
      </c>
      <c r="E188" s="206" t="s">
        <v>55</v>
      </c>
      <c r="F188" s="207"/>
      <c r="G188" s="208"/>
      <c r="H188" s="186"/>
      <c r="I188" s="187"/>
      <c r="J188" s="226">
        <f ca="1">IFERROR(__xludf.DUMMYFUNCTION("IMPORTRANGE(""https://docs.google.com/spreadsheets/d/11923uPwbBZFjjGgGUA6NLw09EwE0CqkOc4q9oUmW1yo/edit?usp=sharing"",""ลำพูน!J113"")"),0)</f>
        <v>0</v>
      </c>
      <c r="K188" s="223"/>
      <c r="L188" s="168"/>
      <c r="M188" s="168"/>
      <c r="N188" s="168"/>
      <c r="O188" s="181"/>
      <c r="P188" s="181"/>
    </row>
    <row r="189" spans="1:16" ht="21.75" customHeight="1" x14ac:dyDescent="0.3">
      <c r="A189" s="269"/>
      <c r="B189" s="270"/>
      <c r="C189" s="271" t="s">
        <v>88</v>
      </c>
      <c r="D189" s="271"/>
      <c r="E189" s="271"/>
      <c r="F189" s="271"/>
      <c r="G189" s="272"/>
      <c r="H189" s="284" t="s">
        <v>89</v>
      </c>
      <c r="I189" s="282">
        <f ca="1">IFERROR(__xludf.DUMMYFUNCTION("IMPORTRANGE(""https://docs.google.com/spreadsheets/d/11923uPwbBZFjjGgGUA6NLw09EwE0CqkOc4q9oUmW1yo/edit?usp=sharing"",""ลำพูน!I114"")"),100000)</f>
        <v>100000</v>
      </c>
      <c r="J189" s="282">
        <f ca="1">IFERROR(__xludf.DUMMYFUNCTION("IMPORTRANGE(""https://docs.google.com/spreadsheets/d/11923uPwbBZFjjGgGUA6NLw09EwE0CqkOc4q9oUmW1yo/edit?usp=sharing"",""ลำพูน!J114"")"),0)</f>
        <v>0</v>
      </c>
      <c r="K189" s="283">
        <f ca="1">IF(I189&gt;0,J189*100/I189,0)</f>
        <v>0</v>
      </c>
      <c r="L189" s="276"/>
      <c r="M189" s="276"/>
      <c r="N189" s="276"/>
      <c r="O189" s="276"/>
      <c r="P189" s="276"/>
    </row>
    <row r="190" spans="1:16" ht="21.75" customHeight="1" x14ac:dyDescent="0.3">
      <c r="A190" s="156"/>
      <c r="B190" s="157"/>
      <c r="C190" s="157" t="s">
        <v>16</v>
      </c>
      <c r="D190" s="158" t="s">
        <v>38</v>
      </c>
      <c r="E190" s="159"/>
      <c r="F190" s="159"/>
      <c r="G190" s="160" t="s">
        <v>39</v>
      </c>
      <c r="H190" s="161" t="s">
        <v>12</v>
      </c>
      <c r="I190" s="162" t="s">
        <v>40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3">
      <c r="A191" s="156"/>
      <c r="B191" s="157"/>
      <c r="C191" s="157"/>
      <c r="D191" s="166"/>
      <c r="E191" s="159"/>
      <c r="F191" s="159" t="s">
        <v>40</v>
      </c>
      <c r="G191" s="160" t="s">
        <v>41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3">
      <c r="A192" s="156"/>
      <c r="B192" s="157"/>
      <c r="C192" s="157"/>
      <c r="D192" s="166"/>
      <c r="E192" s="159"/>
      <c r="F192" s="159"/>
      <c r="G192" s="169" t="s">
        <v>43</v>
      </c>
      <c r="H192" s="161" t="s">
        <v>12</v>
      </c>
      <c r="I192" s="162"/>
      <c r="J192" s="162"/>
      <c r="K192" s="163"/>
      <c r="L192" s="168"/>
      <c r="M192" s="168"/>
      <c r="N192" s="167"/>
      <c r="O192" s="168"/>
      <c r="P192" s="168"/>
    </row>
    <row r="193" spans="1:16" ht="21.75" customHeight="1" x14ac:dyDescent="0.3">
      <c r="A193" s="175"/>
      <c r="B193" s="176"/>
      <c r="C193" s="157" t="s">
        <v>16</v>
      </c>
      <c r="D193" s="177" t="s">
        <v>44</v>
      </c>
      <c r="E193" s="178"/>
      <c r="F193" s="178"/>
      <c r="G193" s="179"/>
      <c r="H193" s="180"/>
      <c r="I193" s="162"/>
      <c r="J193" s="162"/>
      <c r="K193" s="163"/>
      <c r="L193" s="181"/>
      <c r="M193" s="181"/>
      <c r="N193" s="181"/>
      <c r="O193" s="181"/>
      <c r="P193" s="181"/>
    </row>
    <row r="194" spans="1:16" ht="21.75" customHeight="1" x14ac:dyDescent="0.3">
      <c r="A194" s="175"/>
      <c r="B194" s="176"/>
      <c r="C194" s="176"/>
      <c r="D194" s="182">
        <v>1</v>
      </c>
      <c r="E194" s="183" t="s">
        <v>45</v>
      </c>
      <c r="F194" s="184"/>
      <c r="G194" s="185"/>
      <c r="H194" s="186"/>
      <c r="I194" s="187"/>
      <c r="J194" s="197">
        <f ca="1">IFERROR(__xludf.DUMMYFUNCTION("IMPORTRANGE(""https://docs.google.com/spreadsheets/d/11923uPwbBZFjjGgGUA6NLw09EwE0CqkOc4q9oUmW1yo/edit?usp=sharing"",""ลำพูน!J119"")"),1)</f>
        <v>1</v>
      </c>
      <c r="K194" s="163"/>
      <c r="L194" s="181"/>
      <c r="M194" s="181"/>
      <c r="N194" s="181"/>
      <c r="O194" s="181"/>
      <c r="P194" s="181"/>
    </row>
    <row r="195" spans="1:16" ht="21.75" customHeight="1" x14ac:dyDescent="0.3">
      <c r="A195" s="175"/>
      <c r="B195" s="176"/>
      <c r="C195" s="176"/>
      <c r="D195" s="189">
        <v>2</v>
      </c>
      <c r="E195" s="190" t="s">
        <v>46</v>
      </c>
      <c r="F195" s="191"/>
      <c r="G195" s="192"/>
      <c r="H195" s="186"/>
      <c r="I195" s="187"/>
      <c r="J195" s="188">
        <f ca="1">IFERROR(__xludf.DUMMYFUNCTION("IMPORTRANGE(""https://docs.google.com/spreadsheets/d/11923uPwbBZFjjGgGUA6NLw09EwE0CqkOc4q9oUmW1yo/edit?usp=sharing"",""ลำพูน!J120"")"),0)</f>
        <v>0</v>
      </c>
      <c r="K195" s="163"/>
      <c r="L195" s="181"/>
      <c r="M195" s="181"/>
      <c r="N195" s="181"/>
      <c r="O195" s="181"/>
      <c r="P195" s="181"/>
    </row>
    <row r="196" spans="1:16" ht="21.75" customHeight="1" x14ac:dyDescent="0.3">
      <c r="A196" s="175"/>
      <c r="B196" s="176"/>
      <c r="C196" s="176"/>
      <c r="D196" s="193"/>
      <c r="E196" s="194" t="s">
        <v>47</v>
      </c>
      <c r="F196" s="195"/>
      <c r="G196" s="196"/>
      <c r="H196" s="186"/>
      <c r="I196" s="187"/>
      <c r="J196" s="188">
        <f ca="1">IFERROR(__xludf.DUMMYFUNCTION("IMPORTRANGE(""https://docs.google.com/spreadsheets/d/11923uPwbBZFjjGgGUA6NLw09EwE0CqkOc4q9oUmW1yo/edit?usp=sharing"",""ลำพูน!J121"")"),0)</f>
        <v>0</v>
      </c>
      <c r="K196" s="163"/>
      <c r="L196" s="181"/>
      <c r="M196" s="181"/>
      <c r="N196" s="181"/>
      <c r="O196" s="181"/>
      <c r="P196" s="181"/>
    </row>
    <row r="197" spans="1:16" ht="21.75" customHeight="1" x14ac:dyDescent="0.3">
      <c r="A197" s="175"/>
      <c r="B197" s="176"/>
      <c r="C197" s="176"/>
      <c r="D197" s="193"/>
      <c r="E197" s="194" t="s">
        <v>48</v>
      </c>
      <c r="F197" s="195"/>
      <c r="G197" s="196"/>
      <c r="H197" s="186"/>
      <c r="I197" s="187"/>
      <c r="J197" s="197">
        <f ca="1">IFERROR(__xludf.DUMMYFUNCTION("IMPORTRANGE(""https://docs.google.com/spreadsheets/d/11923uPwbBZFjjGgGUA6NLw09EwE0CqkOc4q9oUmW1yo/edit?usp=sharing"",""ลำพูน!J122"")"),0)</f>
        <v>0</v>
      </c>
      <c r="K197" s="163"/>
      <c r="L197" s="181"/>
      <c r="M197" s="181"/>
      <c r="N197" s="181"/>
      <c r="O197" s="181"/>
      <c r="P197" s="181"/>
    </row>
    <row r="198" spans="1:16" ht="21.75" customHeight="1" x14ac:dyDescent="0.3">
      <c r="A198" s="175"/>
      <c r="B198" s="176"/>
      <c r="C198" s="176"/>
      <c r="D198" s="193"/>
      <c r="E198" s="195"/>
      <c r="F198" s="195" t="s">
        <v>90</v>
      </c>
      <c r="G198" s="196"/>
      <c r="H198" s="180"/>
      <c r="I198" s="187"/>
      <c r="J198" s="187"/>
      <c r="K198" s="163"/>
      <c r="L198" s="181"/>
      <c r="M198" s="181"/>
      <c r="N198" s="181"/>
      <c r="O198" s="181"/>
      <c r="P198" s="181"/>
    </row>
    <row r="199" spans="1:16" ht="21.75" customHeight="1" x14ac:dyDescent="0.3">
      <c r="A199" s="175"/>
      <c r="B199" s="176"/>
      <c r="C199" s="176"/>
      <c r="D199" s="193"/>
      <c r="E199" s="198"/>
      <c r="F199" s="195"/>
      <c r="G199" s="194" t="s">
        <v>91</v>
      </c>
      <c r="H199" s="180" t="s">
        <v>89</v>
      </c>
      <c r="I199" s="187">
        <f ca="1">IFERROR(__xludf.DUMMYFUNCTION("IMPORTRANGE(""https://docs.google.com/spreadsheets/d/11923uPwbBZFjjGgGUA6NLw09EwE0CqkOc4q9oUmW1yo/edit?usp=sharing"",""ลำพูน!I124"")"),100000)</f>
        <v>100000</v>
      </c>
      <c r="J199" s="188">
        <f ca="1">IFERROR(__xludf.DUMMYFUNCTION("IMPORTRANGE(""https://docs.google.com/spreadsheets/d/11923uPwbBZFjjGgGUA6NLw09EwE0CqkOc4q9oUmW1yo/edit?usp=sharing"",""ลำพูน!J124"")"),0)</f>
        <v>0</v>
      </c>
      <c r="K199" s="163">
        <f t="shared" ref="K199:K201" ca="1" si="70">IF(I199&gt;0,J199*100/I199,0)</f>
        <v>0</v>
      </c>
      <c r="L199" s="181"/>
      <c r="M199" s="181"/>
      <c r="N199" s="181"/>
      <c r="O199" s="181"/>
      <c r="P199" s="181"/>
    </row>
    <row r="200" spans="1:16" ht="21.75" customHeight="1" x14ac:dyDescent="0.3">
      <c r="A200" s="175"/>
      <c r="B200" s="176"/>
      <c r="C200" s="176"/>
      <c r="D200" s="193"/>
      <c r="E200" s="198"/>
      <c r="F200" s="195"/>
      <c r="G200" s="194" t="s">
        <v>92</v>
      </c>
      <c r="H200" s="180" t="s">
        <v>89</v>
      </c>
      <c r="I200" s="187">
        <f ca="1">IFERROR(__xludf.DUMMYFUNCTION("IMPORTRANGE(""https://docs.google.com/spreadsheets/d/11923uPwbBZFjjGgGUA6NLw09EwE0CqkOc4q9oUmW1yo/edit?usp=sharing"",""ลำพูน!I125"")"),100000)</f>
        <v>100000</v>
      </c>
      <c r="J200" s="188">
        <f ca="1">IFERROR(__xludf.DUMMYFUNCTION("IMPORTRANGE(""https://docs.google.com/spreadsheets/d/11923uPwbBZFjjGgGUA6NLw09EwE0CqkOc4q9oUmW1yo/edit?usp=sharing"",""ลำพูน!J125"")"),0)</f>
        <v>0</v>
      </c>
      <c r="K200" s="163">
        <f t="shared" ca="1" si="70"/>
        <v>0</v>
      </c>
      <c r="L200" s="168"/>
      <c r="M200" s="168"/>
      <c r="N200" s="167"/>
      <c r="O200" s="168"/>
      <c r="P200" s="168"/>
    </row>
    <row r="201" spans="1:16" ht="21.75" customHeight="1" x14ac:dyDescent="0.3">
      <c r="A201" s="175"/>
      <c r="B201" s="176"/>
      <c r="C201" s="176"/>
      <c r="D201" s="193"/>
      <c r="E201" s="198"/>
      <c r="F201" s="195" t="s">
        <v>93</v>
      </c>
      <c r="G201" s="196"/>
      <c r="H201" s="180" t="s">
        <v>37</v>
      </c>
      <c r="I201" s="187">
        <f ca="1">IFERROR(__xludf.DUMMYFUNCTION("IMPORTRANGE(""https://docs.google.com/spreadsheets/d/11923uPwbBZFjjGgGUA6NLw09EwE0CqkOc4q9oUmW1yo/edit?usp=sharing"",""ลำพูน!I126"")"),0)</f>
        <v>0</v>
      </c>
      <c r="J201" s="188">
        <f ca="1">IFERROR(__xludf.DUMMYFUNCTION("IMPORTRANGE(""https://docs.google.com/spreadsheets/d/11923uPwbBZFjjGgGUA6NLw09EwE0CqkOc4q9oUmW1yo/edit?usp=sharing"",""ลำพูน!J126"")"),0)</f>
        <v>0</v>
      </c>
      <c r="K201" s="163">
        <f t="shared" ca="1" si="70"/>
        <v>0</v>
      </c>
      <c r="L201" s="168"/>
      <c r="M201" s="168"/>
      <c r="N201" s="167"/>
      <c r="O201" s="168"/>
      <c r="P201" s="168"/>
    </row>
    <row r="202" spans="1:16" ht="21.75" customHeight="1" x14ac:dyDescent="0.3">
      <c r="A202" s="175"/>
      <c r="B202" s="176"/>
      <c r="C202" s="176"/>
      <c r="D202" s="193"/>
      <c r="E202" s="194" t="s">
        <v>54</v>
      </c>
      <c r="F202" s="195"/>
      <c r="G202" s="196"/>
      <c r="H202" s="186"/>
      <c r="I202" s="187"/>
      <c r="J202" s="197">
        <f ca="1">IFERROR(__xludf.DUMMYFUNCTION("IMPORTRANGE(""https://docs.google.com/spreadsheets/d/11923uPwbBZFjjGgGUA6NLw09EwE0CqkOc4q9oUmW1yo/edit?usp=sharing"",""ลำพูน!J127"")"),0)</f>
        <v>0</v>
      </c>
      <c r="K202" s="163"/>
      <c r="L202" s="181"/>
      <c r="M202" s="181"/>
      <c r="N202" s="181"/>
      <c r="O202" s="181"/>
      <c r="P202" s="181"/>
    </row>
    <row r="203" spans="1:16" ht="21.75" customHeight="1" x14ac:dyDescent="0.3">
      <c r="A203" s="233"/>
      <c r="B203" s="234"/>
      <c r="C203" s="234"/>
      <c r="D203" s="235">
        <v>3</v>
      </c>
      <c r="E203" s="236" t="s">
        <v>55</v>
      </c>
      <c r="F203" s="237"/>
      <c r="G203" s="238"/>
      <c r="H203" s="239"/>
      <c r="I203" s="240"/>
      <c r="J203" s="285">
        <f ca="1">IFERROR(__xludf.DUMMYFUNCTION("IMPORTRANGE(""https://docs.google.com/spreadsheets/d/11923uPwbBZFjjGgGUA6NLw09EwE0CqkOc4q9oUmW1yo/edit?usp=sharing"",""ลำพูน!J128"")"),0)</f>
        <v>0</v>
      </c>
      <c r="K203" s="286"/>
      <c r="L203" s="244"/>
      <c r="M203" s="244"/>
      <c r="N203" s="244"/>
      <c r="O203" s="244"/>
      <c r="P203" s="244"/>
    </row>
    <row r="204" spans="1:16" ht="21.75" customHeight="1" x14ac:dyDescent="0.3">
      <c r="A204" s="269"/>
      <c r="B204" s="270"/>
      <c r="C204" s="287" t="s">
        <v>94</v>
      </c>
      <c r="D204" s="271"/>
      <c r="E204" s="271"/>
      <c r="F204" s="271"/>
      <c r="G204" s="272"/>
      <c r="H204" s="284" t="s">
        <v>37</v>
      </c>
      <c r="I204" s="282">
        <f ca="1">IFERROR(__xludf.DUMMYFUNCTION("IMPORTRANGE(""https://docs.google.com/spreadsheets/d/11923uPwbBZFjjGgGUA6NLw09EwE0CqkOc4q9oUmW1yo/edit?usp=sharing"",""ลำพูน!I129"")"),150)</f>
        <v>150</v>
      </c>
      <c r="J204" s="282">
        <f ca="1">IFERROR(__xludf.DUMMYFUNCTION("IMPORTRANGE(""https://docs.google.com/spreadsheets/d/11923uPwbBZFjjGgGUA6NLw09EwE0CqkOc4q9oUmW1yo/edit?usp=sharing"",""ลำพูน!J129"")"),150)</f>
        <v>150</v>
      </c>
      <c r="K204" s="283">
        <f ca="1">IF(I204&gt;0,J204*100/I204,0)</f>
        <v>100</v>
      </c>
      <c r="L204" s="276"/>
      <c r="M204" s="276"/>
      <c r="N204" s="276"/>
      <c r="O204" s="276"/>
      <c r="P204" s="276"/>
    </row>
    <row r="205" spans="1:16" ht="21.75" customHeight="1" x14ac:dyDescent="0.3">
      <c r="A205" s="156"/>
      <c r="B205" s="157"/>
      <c r="C205" s="157" t="s">
        <v>16</v>
      </c>
      <c r="D205" s="158" t="s">
        <v>38</v>
      </c>
      <c r="E205" s="159"/>
      <c r="F205" s="159"/>
      <c r="G205" s="160" t="s">
        <v>39</v>
      </c>
      <c r="H205" s="161" t="s">
        <v>12</v>
      </c>
      <c r="I205" s="162" t="s">
        <v>40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3">
      <c r="A206" s="156"/>
      <c r="B206" s="157"/>
      <c r="C206" s="157"/>
      <c r="D206" s="166"/>
      <c r="E206" s="159"/>
      <c r="F206" s="159" t="s">
        <v>40</v>
      </c>
      <c r="G206" s="160" t="s">
        <v>41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3">
      <c r="A207" s="156"/>
      <c r="B207" s="157"/>
      <c r="C207" s="157"/>
      <c r="D207" s="166"/>
      <c r="E207" s="159"/>
      <c r="F207" s="159"/>
      <c r="G207" s="169" t="s">
        <v>43</v>
      </c>
      <c r="H207" s="161" t="s">
        <v>12</v>
      </c>
      <c r="I207" s="162"/>
      <c r="J207" s="187"/>
      <c r="K207" s="223"/>
      <c r="L207" s="168"/>
      <c r="M207" s="168"/>
      <c r="N207" s="167"/>
      <c r="O207" s="168"/>
      <c r="P207" s="168"/>
    </row>
    <row r="208" spans="1:16" ht="21.75" customHeight="1" x14ac:dyDescent="0.3">
      <c r="A208" s="175"/>
      <c r="B208" s="176"/>
      <c r="C208" s="157" t="s">
        <v>16</v>
      </c>
      <c r="D208" s="177" t="s">
        <v>44</v>
      </c>
      <c r="E208" s="178"/>
      <c r="F208" s="178"/>
      <c r="G208" s="179"/>
      <c r="H208" s="180"/>
      <c r="I208" s="162"/>
      <c r="J208" s="187"/>
      <c r="K208" s="223"/>
      <c r="L208" s="168"/>
      <c r="M208" s="168"/>
      <c r="N208" s="168"/>
      <c r="O208" s="181"/>
      <c r="P208" s="181"/>
    </row>
    <row r="209" spans="1:16" ht="21.75" customHeight="1" x14ac:dyDescent="0.3">
      <c r="A209" s="175"/>
      <c r="B209" s="176"/>
      <c r="C209" s="176"/>
      <c r="D209" s="182">
        <v>1</v>
      </c>
      <c r="E209" s="183" t="s">
        <v>45</v>
      </c>
      <c r="F209" s="184"/>
      <c r="G209" s="185"/>
      <c r="H209" s="186"/>
      <c r="I209" s="187"/>
      <c r="J209" s="187">
        <f ca="1">IFERROR(__xludf.DUMMYFUNCTION("IMPORTRANGE(""https://docs.google.com/spreadsheets/d/11923uPwbBZFjjGgGUA6NLw09EwE0CqkOc4q9oUmW1yo/edit?usp=sharing"",""ลำพูน!J134"")"),0)</f>
        <v>0</v>
      </c>
      <c r="K209" s="223"/>
      <c r="L209" s="168"/>
      <c r="M209" s="168"/>
      <c r="N209" s="168"/>
      <c r="O209" s="181"/>
      <c r="P209" s="181"/>
    </row>
    <row r="210" spans="1:16" ht="21.75" customHeight="1" x14ac:dyDescent="0.3">
      <c r="A210" s="175"/>
      <c r="B210" s="176"/>
      <c r="C210" s="176"/>
      <c r="D210" s="189">
        <v>2</v>
      </c>
      <c r="E210" s="190" t="s">
        <v>46</v>
      </c>
      <c r="F210" s="191"/>
      <c r="G210" s="192"/>
      <c r="H210" s="186"/>
      <c r="I210" s="187"/>
      <c r="J210" s="187">
        <f ca="1">IFERROR(__xludf.DUMMYFUNCTION("IMPORTRANGE(""https://docs.google.com/spreadsheets/d/11923uPwbBZFjjGgGUA6NLw09EwE0CqkOc4q9oUmW1yo/edit?usp=sharing"",""ลำพูน!J135"")"),1)</f>
        <v>1</v>
      </c>
      <c r="K210" s="223"/>
      <c r="L210" s="168"/>
      <c r="M210" s="168"/>
      <c r="N210" s="168"/>
      <c r="O210" s="181"/>
      <c r="P210" s="181"/>
    </row>
    <row r="211" spans="1:16" ht="21.75" customHeight="1" x14ac:dyDescent="0.3">
      <c r="A211" s="175"/>
      <c r="B211" s="176"/>
      <c r="C211" s="176"/>
      <c r="D211" s="193"/>
      <c r="E211" s="194" t="s">
        <v>47</v>
      </c>
      <c r="F211" s="195"/>
      <c r="G211" s="196"/>
      <c r="H211" s="186"/>
      <c r="I211" s="187"/>
      <c r="J211" s="187">
        <f ca="1">IFERROR(__xludf.DUMMYFUNCTION("IMPORTRANGE(""https://docs.google.com/spreadsheets/d/11923uPwbBZFjjGgGUA6NLw09EwE0CqkOc4q9oUmW1yo/edit?usp=sharing"",""ลำพูน!J136"")"),0)</f>
        <v>0</v>
      </c>
      <c r="K211" s="223"/>
      <c r="L211" s="168"/>
      <c r="M211" s="168"/>
      <c r="N211" s="168"/>
      <c r="O211" s="181"/>
      <c r="P211" s="181"/>
    </row>
    <row r="212" spans="1:16" ht="21.75" customHeight="1" x14ac:dyDescent="0.3">
      <c r="A212" s="175"/>
      <c r="B212" s="176"/>
      <c r="C212" s="176"/>
      <c r="D212" s="193"/>
      <c r="E212" s="194" t="s">
        <v>48</v>
      </c>
      <c r="F212" s="195"/>
      <c r="G212" s="196"/>
      <c r="H212" s="186"/>
      <c r="I212" s="187"/>
      <c r="J212" s="187">
        <f ca="1">IFERROR(__xludf.DUMMYFUNCTION("IMPORTRANGE(""https://docs.google.com/spreadsheets/d/11923uPwbBZFjjGgGUA6NLw09EwE0CqkOc4q9oUmW1yo/edit?usp=sharing"",""ลำพูน!J137"")"),1)</f>
        <v>1</v>
      </c>
      <c r="K212" s="223"/>
      <c r="L212" s="168"/>
      <c r="M212" s="168"/>
      <c r="N212" s="168"/>
      <c r="O212" s="181"/>
      <c r="P212" s="181"/>
    </row>
    <row r="213" spans="1:16" ht="21.75" customHeight="1" x14ac:dyDescent="0.3">
      <c r="A213" s="175"/>
      <c r="B213" s="176"/>
      <c r="C213" s="176"/>
      <c r="D213" s="193"/>
      <c r="E213" s="198"/>
      <c r="F213" s="195" t="s">
        <v>95</v>
      </c>
      <c r="G213" s="196"/>
      <c r="H213" s="180" t="s">
        <v>37</v>
      </c>
      <c r="I213" s="187">
        <f ca="1">IFERROR(__xludf.DUMMYFUNCTION("IMPORTRANGE(""https://docs.google.com/spreadsheets/d/11923uPwbBZFjjGgGUA6NLw09EwE0CqkOc4q9oUmW1yo/edit?usp=sharing"",""ลำพูน!I138"")"),150)</f>
        <v>150</v>
      </c>
      <c r="J213" s="203">
        <f ca="1">IFERROR(__xludf.DUMMYFUNCTION("IMPORTRANGE(""https://docs.google.com/spreadsheets/d/11923uPwbBZFjjGgGUA6NLw09EwE0CqkOc4q9oUmW1yo/edit?usp=sharing"",""ลำพูน!J138"")"),150)</f>
        <v>150</v>
      </c>
      <c r="K213" s="223">
        <f ca="1">IF(I213&gt;0,J213*100/I213,0)</f>
        <v>100</v>
      </c>
      <c r="L213" s="168"/>
      <c r="M213" s="168"/>
      <c r="N213" s="167"/>
      <c r="O213" s="168"/>
      <c r="P213" s="168"/>
    </row>
    <row r="214" spans="1:16" ht="21.75" customHeight="1" x14ac:dyDescent="0.3">
      <c r="A214" s="175"/>
      <c r="B214" s="176"/>
      <c r="C214" s="176"/>
      <c r="D214" s="193"/>
      <c r="E214" s="198"/>
      <c r="F214" s="194" t="s">
        <v>53</v>
      </c>
      <c r="G214" s="196"/>
      <c r="H214" s="180"/>
      <c r="I214" s="187"/>
      <c r="J214" s="187"/>
      <c r="K214" s="223"/>
      <c r="L214" s="168"/>
      <c r="M214" s="168"/>
      <c r="N214" s="168"/>
      <c r="O214" s="181"/>
      <c r="P214" s="181"/>
    </row>
    <row r="215" spans="1:16" ht="21.75" customHeight="1" x14ac:dyDescent="0.3">
      <c r="A215" s="175"/>
      <c r="B215" s="176"/>
      <c r="C215" s="176"/>
      <c r="D215" s="193"/>
      <c r="E215" s="198"/>
      <c r="F215" s="195"/>
      <c r="G215" s="225" t="s">
        <v>96</v>
      </c>
      <c r="H215" s="180" t="s">
        <v>37</v>
      </c>
      <c r="I215" s="187">
        <f ca="1">IFERROR(__xludf.DUMMYFUNCTION("IMPORTRANGE(""https://docs.google.com/spreadsheets/d/11923uPwbBZFjjGgGUA6NLw09EwE0CqkOc4q9oUmW1yo/edit?usp=sharing"",""ลำพูน!I140"")"),0)</f>
        <v>0</v>
      </c>
      <c r="J215" s="203">
        <f ca="1">IFERROR(__xludf.DUMMYFUNCTION("IMPORTRANGE(""https://docs.google.com/spreadsheets/d/11923uPwbBZFjjGgGUA6NLw09EwE0CqkOc4q9oUmW1yo/edit?usp=sharing"",""ลำพูน!J140"")"),0)</f>
        <v>0</v>
      </c>
      <c r="K215" s="223">
        <f t="shared" ref="K215:K216" ca="1" si="71">IF(I215&gt;0,J215*100/I215,0)</f>
        <v>0</v>
      </c>
      <c r="L215" s="168"/>
      <c r="M215" s="168"/>
      <c r="N215" s="167"/>
      <c r="O215" s="168"/>
      <c r="P215" s="168"/>
    </row>
    <row r="216" spans="1:16" ht="21.75" customHeight="1" x14ac:dyDescent="0.3">
      <c r="A216" s="175"/>
      <c r="B216" s="176"/>
      <c r="C216" s="176"/>
      <c r="D216" s="193"/>
      <c r="E216" s="198"/>
      <c r="F216" s="195"/>
      <c r="G216" s="225" t="s">
        <v>97</v>
      </c>
      <c r="H216" s="180" t="s">
        <v>59</v>
      </c>
      <c r="I216" s="187">
        <f ca="1">IFERROR(__xludf.DUMMYFUNCTION("IMPORTRANGE(""https://docs.google.com/spreadsheets/d/11923uPwbBZFjjGgGUA6NLw09EwE0CqkOc4q9oUmW1yo/edit?usp=sharing"",""ลำพูน!I141"")"),3)</f>
        <v>3</v>
      </c>
      <c r="J216" s="203">
        <f ca="1">IFERROR(__xludf.DUMMYFUNCTION("IMPORTRANGE(""https://docs.google.com/spreadsheets/d/11923uPwbBZFjjGgGUA6NLw09EwE0CqkOc4q9oUmW1yo/edit?usp=sharing"",""ลำพูน!J141"")"),0)</f>
        <v>0</v>
      </c>
      <c r="K216" s="223">
        <f t="shared" ca="1" si="71"/>
        <v>0</v>
      </c>
      <c r="L216" s="168"/>
      <c r="M216" s="168"/>
      <c r="N216" s="167"/>
      <c r="O216" s="168"/>
      <c r="P216" s="168"/>
    </row>
    <row r="217" spans="1:16" ht="21.75" customHeight="1" x14ac:dyDescent="0.3">
      <c r="A217" s="175"/>
      <c r="B217" s="176"/>
      <c r="C217" s="176"/>
      <c r="D217" s="193"/>
      <c r="E217" s="194" t="s">
        <v>54</v>
      </c>
      <c r="F217" s="195"/>
      <c r="G217" s="196"/>
      <c r="H217" s="186"/>
      <c r="I217" s="187"/>
      <c r="J217" s="187">
        <f ca="1">IFERROR(__xludf.DUMMYFUNCTION("IMPORTRANGE(""https://docs.google.com/spreadsheets/d/11923uPwbBZFjjGgGUA6NLw09EwE0CqkOc4q9oUmW1yo/edit?usp=sharing"",""ลำพูน!J142"")"),0)</f>
        <v>0</v>
      </c>
      <c r="K217" s="223"/>
      <c r="L217" s="168"/>
      <c r="M217" s="168"/>
      <c r="N217" s="168"/>
      <c r="O217" s="181"/>
      <c r="P217" s="181"/>
    </row>
    <row r="218" spans="1:16" ht="21.75" customHeight="1" x14ac:dyDescent="0.3">
      <c r="A218" s="233"/>
      <c r="B218" s="234"/>
      <c r="C218" s="234"/>
      <c r="D218" s="235">
        <v>3</v>
      </c>
      <c r="E218" s="236" t="s">
        <v>55</v>
      </c>
      <c r="F218" s="237"/>
      <c r="G218" s="238"/>
      <c r="H218" s="239"/>
      <c r="I218" s="240"/>
      <c r="J218" s="241">
        <f ca="1">IFERROR(__xludf.DUMMYFUNCTION("IMPORTRANGE(""https://docs.google.com/spreadsheets/d/11923uPwbBZFjjGgGUA6NLw09EwE0CqkOc4q9oUmW1yo/edit?usp=sharing"",""ลำพูน!J143"")"),0)</f>
        <v>0</v>
      </c>
      <c r="K218" s="242"/>
      <c r="L218" s="243"/>
      <c r="M218" s="243"/>
      <c r="N218" s="243"/>
      <c r="O218" s="244"/>
      <c r="P218" s="244"/>
    </row>
    <row r="219" spans="1:16" ht="21.75" customHeight="1" x14ac:dyDescent="0.3">
      <c r="A219" s="261"/>
      <c r="B219" s="262" t="s">
        <v>98</v>
      </c>
      <c r="C219" s="263"/>
      <c r="D219" s="262"/>
      <c r="E219" s="262"/>
      <c r="F219" s="262"/>
      <c r="G219" s="264"/>
      <c r="H219" s="265" t="s">
        <v>37</v>
      </c>
      <c r="I219" s="266">
        <f ca="1">IFERROR(__xludf.DUMMYFUNCTION("IMPORTRANGE(""https://docs.google.com/spreadsheets/d/11923uPwbBZFjjGgGUA6NLw09EwE0CqkOc4q9oUmW1yo/edit?usp=sharing"",""ลำพูน!I144"")"),15)</f>
        <v>15</v>
      </c>
      <c r="J219" s="266">
        <f ca="1">IFERROR(__xludf.DUMMYFUNCTION("IMPORTRANGE(""https://docs.google.com/spreadsheets/d/11923uPwbBZFjjGgGUA6NLw09EwE0CqkOc4q9oUmW1yo/edit?usp=sharing"",""ลำพูน!J144"")"),15)</f>
        <v>15</v>
      </c>
      <c r="K219" s="267">
        <f ca="1">IF(I219&gt;0,J219*100/I219,0)</f>
        <v>100</v>
      </c>
      <c r="L219" s="268"/>
      <c r="M219" s="268"/>
      <c r="N219" s="268"/>
      <c r="O219" s="267"/>
      <c r="P219" s="267"/>
    </row>
    <row r="220" spans="1:16" ht="21.75" customHeight="1" x14ac:dyDescent="0.45">
      <c r="A220" s="145"/>
      <c r="B220" s="146"/>
      <c r="C220" s="147" t="s">
        <v>16</v>
      </c>
      <c r="D220" s="537" t="s">
        <v>17</v>
      </c>
      <c r="E220" s="528"/>
      <c r="F220" s="528"/>
      <c r="G220" s="528"/>
      <c r="H220" s="148" t="s">
        <v>12</v>
      </c>
      <c r="I220" s="162"/>
      <c r="J220" s="162"/>
      <c r="K220" s="163"/>
      <c r="L220" s="151">
        <f t="shared" ref="L220:N220" ca="1" si="72">L221+L222</f>
        <v>21125</v>
      </c>
      <c r="M220" s="151">
        <f t="shared" ca="1" si="72"/>
        <v>21125</v>
      </c>
      <c r="N220" s="151">
        <f t="shared" ca="1" si="72"/>
        <v>21125</v>
      </c>
      <c r="O220" s="150">
        <f t="shared" ref="O220:O222" ca="1" si="73">IF(L220&gt;0,N220*100/L220,0)</f>
        <v>100</v>
      </c>
      <c r="P220" s="150">
        <f t="shared" ref="P220:P222" ca="1" si="74">IF(M220&gt;0,N220*100/M220,0)</f>
        <v>100</v>
      </c>
    </row>
    <row r="221" spans="1:16" ht="21.75" customHeight="1" x14ac:dyDescent="0.45">
      <c r="A221" s="152"/>
      <c r="B221" s="32"/>
      <c r="C221" s="32"/>
      <c r="D221" s="32"/>
      <c r="E221" s="32"/>
      <c r="F221" s="32"/>
      <c r="G221" s="33" t="s">
        <v>18</v>
      </c>
      <c r="H221" s="153" t="s">
        <v>12</v>
      </c>
      <c r="I221" s="162"/>
      <c r="J221" s="162"/>
      <c r="K221" s="163"/>
      <c r="L221" s="87">
        <f t="shared" ref="L221:N221" si="75">L223+L227</f>
        <v>0</v>
      </c>
      <c r="M221" s="87">
        <f t="shared" si="75"/>
        <v>0</v>
      </c>
      <c r="N221" s="87">
        <f t="shared" si="75"/>
        <v>0</v>
      </c>
      <c r="O221" s="155">
        <f t="shared" si="73"/>
        <v>0</v>
      </c>
      <c r="P221" s="155">
        <f t="shared" si="74"/>
        <v>0</v>
      </c>
    </row>
    <row r="222" spans="1:16" ht="21.75" customHeight="1" x14ac:dyDescent="0.45">
      <c r="A222" s="152"/>
      <c r="B222" s="32"/>
      <c r="C222" s="32"/>
      <c r="D222" s="32"/>
      <c r="E222" s="32"/>
      <c r="F222" s="32"/>
      <c r="G222" s="33" t="s">
        <v>19</v>
      </c>
      <c r="H222" s="153" t="s">
        <v>12</v>
      </c>
      <c r="I222" s="162"/>
      <c r="J222" s="162"/>
      <c r="K222" s="163"/>
      <c r="L222" s="87">
        <f t="shared" ref="L222:N222" ca="1" si="76">L224+L228</f>
        <v>21125</v>
      </c>
      <c r="M222" s="87">
        <f t="shared" ca="1" si="76"/>
        <v>21125</v>
      </c>
      <c r="N222" s="87">
        <f t="shared" ca="1" si="76"/>
        <v>21125</v>
      </c>
      <c r="O222" s="155">
        <f t="shared" ca="1" si="73"/>
        <v>100</v>
      </c>
      <c r="P222" s="155">
        <f t="shared" ca="1" si="74"/>
        <v>100</v>
      </c>
    </row>
    <row r="223" spans="1:16" ht="21.75" customHeight="1" x14ac:dyDescent="0.3">
      <c r="A223" s="156"/>
      <c r="B223" s="157"/>
      <c r="C223" s="157" t="s">
        <v>16</v>
      </c>
      <c r="D223" s="158" t="s">
        <v>38</v>
      </c>
      <c r="E223" s="159"/>
      <c r="F223" s="159"/>
      <c r="G223" s="160" t="s">
        <v>39</v>
      </c>
      <c r="H223" s="161" t="s">
        <v>12</v>
      </c>
      <c r="I223" s="162" t="s">
        <v>40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3">
      <c r="A224" s="156"/>
      <c r="B224" s="157"/>
      <c r="C224" s="157"/>
      <c r="D224" s="166"/>
      <c r="E224" s="159"/>
      <c r="F224" s="159" t="s">
        <v>40</v>
      </c>
      <c r="G224" s="160" t="s">
        <v>41</v>
      </c>
      <c r="H224" s="161" t="s">
        <v>12</v>
      </c>
      <c r="I224" s="162"/>
      <c r="J224" s="162"/>
      <c r="K224" s="163"/>
      <c r="L224" s="167">
        <f ca="1">L225+L226</f>
        <v>21125</v>
      </c>
      <c r="M224" s="167">
        <f ca="1">IFERROR(__xludf.DUMMYFUNCTION("IMPORTRANGE(""https://docs.google.com/spreadsheets/d/1Yj_ptqi66GCucihVvJfMjLAmec39IyEx_6qawtMGysU/edit?usp=sharing"",""สบก!BS33"")"),21125)</f>
        <v>21125</v>
      </c>
      <c r="N224" s="168">
        <f ca="1">IFERROR(__xludf.DUMMYFUNCTION("IMPORTRANGE(""https://docs.google.com/spreadsheets/d/1Yj_ptqi66GCucihVvJfMjLAmec39IyEx_6qawtMGysU/edit?usp=sharing"",""สบก!BT33"")"),21125)</f>
        <v>21125</v>
      </c>
      <c r="O224" s="168">
        <f ca="1">IF(L224&gt;0,N224*100/L224,0)</f>
        <v>100</v>
      </c>
      <c r="P224" s="168">
        <f ca="1">IF(M224&gt;0,N224*100/M224,0)</f>
        <v>100</v>
      </c>
    </row>
    <row r="225" spans="1:16" ht="21.75" customHeight="1" x14ac:dyDescent="0.3">
      <c r="A225" s="156"/>
      <c r="B225" s="157"/>
      <c r="C225" s="157"/>
      <c r="D225" s="166"/>
      <c r="E225" s="159"/>
      <c r="F225" s="159"/>
      <c r="G225" s="169" t="s">
        <v>42</v>
      </c>
      <c r="H225" s="161" t="s">
        <v>12</v>
      </c>
      <c r="I225" s="162"/>
      <c r="J225" s="162"/>
      <c r="K225" s="163"/>
      <c r="L225" s="167">
        <f ca="1">IFERROR(__xludf.DUMMYFUNCTION("IMPORTRANGE(""https://docs.google.com/spreadsheets/d/1Yj_ptqi66GCucihVvJfMjLAmec39IyEx_6qawtMGysU/edit?usp=sharing"",""สบก!BO33"")"),0)</f>
        <v>0</v>
      </c>
      <c r="M225" s="167"/>
      <c r="N225" s="167"/>
      <c r="O225" s="168"/>
      <c r="P225" s="168"/>
    </row>
    <row r="226" spans="1:16" ht="21.75" customHeight="1" x14ac:dyDescent="0.3">
      <c r="A226" s="156"/>
      <c r="B226" s="157"/>
      <c r="C226" s="157"/>
      <c r="D226" s="166"/>
      <c r="E226" s="159"/>
      <c r="F226" s="159"/>
      <c r="G226" s="169" t="s">
        <v>43</v>
      </c>
      <c r="H226" s="161" t="s">
        <v>12</v>
      </c>
      <c r="I226" s="162"/>
      <c r="J226" s="162"/>
      <c r="K226" s="163"/>
      <c r="L226" s="167">
        <f ca="1">IFERROR(__xludf.DUMMYFUNCTION("IMPORTRANGE(""https://docs.google.com/spreadsheets/d/1Yj_ptqi66GCucihVvJfMjLAmec39IyEx_6qawtMGysU/edit?usp=sharing"",""สบก!BP33"")"),21125)</f>
        <v>21125</v>
      </c>
      <c r="M226" s="167"/>
      <c r="N226" s="167"/>
      <c r="O226" s="168"/>
      <c r="P226" s="168"/>
    </row>
    <row r="227" spans="1:16" ht="21.75" customHeight="1" x14ac:dyDescent="0.45">
      <c r="A227" s="170"/>
      <c r="B227" s="80"/>
      <c r="C227" s="81" t="s">
        <v>16</v>
      </c>
      <c r="D227" s="534" t="s">
        <v>23</v>
      </c>
      <c r="E227" s="530"/>
      <c r="F227" s="88"/>
      <c r="G227" s="82" t="s">
        <v>18</v>
      </c>
      <c r="H227" s="171" t="s">
        <v>12</v>
      </c>
      <c r="I227" s="200"/>
      <c r="J227" s="200"/>
      <c r="K227" s="288"/>
      <c r="L227" s="41">
        <v>0</v>
      </c>
      <c r="M227" s="41"/>
      <c r="N227" s="41"/>
      <c r="O227" s="41"/>
      <c r="P227" s="41"/>
    </row>
    <row r="228" spans="1:16" ht="21.75" customHeight="1" x14ac:dyDescent="0.45">
      <c r="A228" s="172"/>
      <c r="B228" s="91"/>
      <c r="C228" s="91"/>
      <c r="D228" s="173"/>
      <c r="E228" s="92"/>
      <c r="F228" s="92"/>
      <c r="G228" s="93" t="s">
        <v>19</v>
      </c>
      <c r="H228" s="174" t="s">
        <v>12</v>
      </c>
      <c r="I228" s="200"/>
      <c r="J228" s="200"/>
      <c r="K228" s="288"/>
      <c r="L228" s="49">
        <f ca="1">IFERROR(__xludf.DUMMYFUNCTION("IMPORTRANGE(""https://docs.google.com/spreadsheets/d/1Yj_ptqi66GCucihVvJfMjLAmec39IyEx_6qawtMGysU/edit?usp=sharing"",""สบก!BQ33"")"),0)</f>
        <v>0</v>
      </c>
      <c r="M228" s="49"/>
      <c r="N228" s="49">
        <f ca="1">IFERROR(__xludf.DUMMYFUNCTION("IMPORTRANGE(""https://docs.google.com/spreadsheets/d/1Yj_ptqi66GCucihVvJfMjLAmec39IyEx_6qawtMGysU/edit?usp=sharing"",""สบก!BU33"")"),0)</f>
        <v>0</v>
      </c>
      <c r="O228" s="49">
        <f ca="1">IF(L228&gt;0,N228*100/L228,0)</f>
        <v>0</v>
      </c>
      <c r="P228" s="49"/>
    </row>
    <row r="229" spans="1:16" ht="21.75" customHeight="1" x14ac:dyDescent="0.3">
      <c r="A229" s="175"/>
      <c r="B229" s="289"/>
      <c r="C229" s="263" t="s">
        <v>99</v>
      </c>
      <c r="D229" s="262"/>
      <c r="E229" s="262"/>
      <c r="F229" s="262"/>
      <c r="G229" s="264"/>
      <c r="H229" s="265" t="s">
        <v>37</v>
      </c>
      <c r="I229" s="266">
        <f ca="1">IFERROR(__xludf.DUMMYFUNCTION("IMPORTRANGE(""https://docs.google.com/spreadsheets/d/11923uPwbBZFjjGgGUA6NLw09EwE0CqkOc4q9oUmW1yo/edit?usp=sharing"",""ลำพูน!I149"")"),15)</f>
        <v>15</v>
      </c>
      <c r="J229" s="266">
        <f ca="1">IFERROR(__xludf.DUMMYFUNCTION("IMPORTRANGE(""https://docs.google.com/spreadsheets/d/11923uPwbBZFjjGgGUA6NLw09EwE0CqkOc4q9oUmW1yo/edit?usp=sharing"",""ลำพูน!J149"")"),15)</f>
        <v>15</v>
      </c>
      <c r="K229" s="267">
        <f ca="1">IF(I229&gt;0,J229*100/I229,0)</f>
        <v>100</v>
      </c>
      <c r="L229" s="290"/>
      <c r="M229" s="290"/>
      <c r="N229" s="290"/>
      <c r="O229" s="290"/>
      <c r="P229" s="290"/>
    </row>
    <row r="230" spans="1:16" ht="21.75" customHeight="1" x14ac:dyDescent="0.3">
      <c r="A230" s="175"/>
      <c r="B230" s="176"/>
      <c r="C230" s="157" t="s">
        <v>16</v>
      </c>
      <c r="D230" s="177" t="s">
        <v>44</v>
      </c>
      <c r="E230" s="178"/>
      <c r="F230" s="178"/>
      <c r="G230" s="179"/>
      <c r="H230" s="180"/>
      <c r="I230" s="162"/>
      <c r="J230" s="162"/>
      <c r="K230" s="163"/>
      <c r="L230" s="181"/>
      <c r="M230" s="181"/>
      <c r="N230" s="181"/>
      <c r="O230" s="181"/>
      <c r="P230" s="181"/>
    </row>
    <row r="231" spans="1:16" ht="21.75" customHeight="1" x14ac:dyDescent="0.3">
      <c r="A231" s="175"/>
      <c r="B231" s="176"/>
      <c r="C231" s="176"/>
      <c r="D231" s="182">
        <v>1</v>
      </c>
      <c r="E231" s="183" t="s">
        <v>45</v>
      </c>
      <c r="F231" s="184"/>
      <c r="G231" s="185"/>
      <c r="H231" s="186"/>
      <c r="I231" s="187"/>
      <c r="J231" s="197">
        <f ca="1">IFERROR(__xludf.DUMMYFUNCTION("IMPORTRANGE(""https://docs.google.com/spreadsheets/d/11923uPwbBZFjjGgGUA6NLw09EwE0CqkOc4q9oUmW1yo/edit?usp=sharing"",""ลำพูน!J151"")"),0)</f>
        <v>0</v>
      </c>
      <c r="K231" s="163"/>
      <c r="L231" s="181"/>
      <c r="M231" s="181"/>
      <c r="N231" s="181"/>
      <c r="O231" s="181"/>
      <c r="P231" s="181"/>
    </row>
    <row r="232" spans="1:16" ht="21.75" customHeight="1" x14ac:dyDescent="0.3">
      <c r="A232" s="175"/>
      <c r="B232" s="176"/>
      <c r="C232" s="176"/>
      <c r="D232" s="189">
        <v>2</v>
      </c>
      <c r="E232" s="190" t="s">
        <v>46</v>
      </c>
      <c r="F232" s="191"/>
      <c r="G232" s="192"/>
      <c r="H232" s="186"/>
      <c r="I232" s="187"/>
      <c r="J232" s="188">
        <f ca="1">IFERROR(__xludf.DUMMYFUNCTION("IMPORTRANGE(""https://docs.google.com/spreadsheets/d/11923uPwbBZFjjGgGUA6NLw09EwE0CqkOc4q9oUmW1yo/edit?usp=sharing"",""ลำพูน!J152"")"),0)</f>
        <v>0</v>
      </c>
      <c r="K232" s="163"/>
      <c r="L232" s="181" t="s">
        <v>40</v>
      </c>
      <c r="M232" s="181"/>
      <c r="N232" s="181" t="s">
        <v>40</v>
      </c>
      <c r="O232" s="181"/>
      <c r="P232" s="181"/>
    </row>
    <row r="233" spans="1:16" ht="21.75" customHeight="1" x14ac:dyDescent="0.3">
      <c r="A233" s="175"/>
      <c r="B233" s="176"/>
      <c r="C233" s="176"/>
      <c r="D233" s="193"/>
      <c r="E233" s="194" t="s">
        <v>47</v>
      </c>
      <c r="F233" s="195"/>
      <c r="G233" s="196"/>
      <c r="H233" s="186"/>
      <c r="I233" s="187"/>
      <c r="J233" s="188">
        <f ca="1">IFERROR(__xludf.DUMMYFUNCTION("IMPORTRANGE(""https://docs.google.com/spreadsheets/d/11923uPwbBZFjjGgGUA6NLw09EwE0CqkOc4q9oUmW1yo/edit?usp=sharing"",""ลำพูน!J153"")"),1)</f>
        <v>1</v>
      </c>
      <c r="K233" s="163"/>
      <c r="L233" s="181"/>
      <c r="M233" s="181"/>
      <c r="N233" s="181"/>
      <c r="O233" s="181"/>
      <c r="P233" s="181"/>
    </row>
    <row r="234" spans="1:16" ht="21.75" customHeight="1" x14ac:dyDescent="0.3">
      <c r="A234" s="175"/>
      <c r="B234" s="176"/>
      <c r="C234" s="176"/>
      <c r="D234" s="193"/>
      <c r="E234" s="194" t="s">
        <v>48</v>
      </c>
      <c r="F234" s="195"/>
      <c r="G234" s="196"/>
      <c r="H234" s="186"/>
      <c r="I234" s="187"/>
      <c r="J234" s="197">
        <f ca="1">IFERROR(__xludf.DUMMYFUNCTION("IMPORTRANGE(""https://docs.google.com/spreadsheets/d/11923uPwbBZFjjGgGUA6NLw09EwE0CqkOc4q9oUmW1yo/edit?usp=sharing"",""ลำพูน!J154"")"),0)</f>
        <v>0</v>
      </c>
      <c r="K234" s="163"/>
      <c r="L234" s="181"/>
      <c r="M234" s="181"/>
      <c r="N234" s="181"/>
      <c r="O234" s="181"/>
      <c r="P234" s="181"/>
    </row>
    <row r="235" spans="1:16" ht="21.75" customHeight="1" x14ac:dyDescent="0.3">
      <c r="A235" s="175"/>
      <c r="B235" s="176"/>
      <c r="C235" s="176"/>
      <c r="D235" s="193"/>
      <c r="E235" s="198"/>
      <c r="F235" s="195"/>
      <c r="G235" s="291" t="s">
        <v>70</v>
      </c>
      <c r="H235" s="186" t="s">
        <v>37</v>
      </c>
      <c r="I235" s="187">
        <f ca="1">IFERROR(__xludf.DUMMYFUNCTION("IMPORTRANGE(""https://docs.google.com/spreadsheets/d/11923uPwbBZFjjGgGUA6NLw09EwE0CqkOc4q9oUmW1yo/edit?usp=sharing"",""ลำพูน!I155"")"),15)</f>
        <v>15</v>
      </c>
      <c r="J235" s="188">
        <f ca="1">IFERROR(__xludf.DUMMYFUNCTION("IMPORTRANGE(""https://docs.google.com/spreadsheets/d/11923uPwbBZFjjGgGUA6NLw09EwE0CqkOc4q9oUmW1yo/edit?usp=sharing"",""ลำพูน!J155"")"),15)</f>
        <v>15</v>
      </c>
      <c r="K235" s="163">
        <f ca="1">IF(I235&gt;0,J235*100/I235,0)</f>
        <v>100</v>
      </c>
      <c r="L235" s="181"/>
      <c r="M235" s="181"/>
      <c r="N235" s="181"/>
      <c r="O235" s="181"/>
      <c r="P235" s="181"/>
    </row>
    <row r="236" spans="1:16" ht="21.75" customHeight="1" x14ac:dyDescent="0.3">
      <c r="A236" s="175"/>
      <c r="B236" s="176"/>
      <c r="C236" s="176"/>
      <c r="D236" s="193"/>
      <c r="E236" s="194" t="s">
        <v>54</v>
      </c>
      <c r="F236" s="195"/>
      <c r="G236" s="196"/>
      <c r="H236" s="186"/>
      <c r="I236" s="187"/>
      <c r="J236" s="197">
        <f ca="1">IFERROR(__xludf.DUMMYFUNCTION("IMPORTRANGE(""https://docs.google.com/spreadsheets/d/11923uPwbBZFjjGgGUA6NLw09EwE0CqkOc4q9oUmW1yo/edit?usp=sharing"",""ลำพูน!J156"")"),1)</f>
        <v>1</v>
      </c>
      <c r="K236" s="163"/>
      <c r="L236" s="181"/>
      <c r="M236" s="181"/>
      <c r="N236" s="181"/>
      <c r="O236" s="181"/>
      <c r="P236" s="181"/>
    </row>
    <row r="237" spans="1:16" ht="21.75" customHeight="1" x14ac:dyDescent="0.3">
      <c r="A237" s="175"/>
      <c r="B237" s="176"/>
      <c r="C237" s="176"/>
      <c r="D237" s="205">
        <v>3</v>
      </c>
      <c r="E237" s="206" t="s">
        <v>55</v>
      </c>
      <c r="F237" s="207"/>
      <c r="G237" s="208"/>
      <c r="H237" s="186"/>
      <c r="I237" s="187"/>
      <c r="J237" s="209">
        <f ca="1">IFERROR(__xludf.DUMMYFUNCTION("IMPORTRANGE(""https://docs.google.com/spreadsheets/d/11923uPwbBZFjjGgGUA6NLw09EwE0CqkOc4q9oUmW1yo/edit?usp=sharing"",""ลำพูน!J157"")"),1)</f>
        <v>1</v>
      </c>
      <c r="K237" s="163"/>
      <c r="L237" s="181"/>
      <c r="M237" s="181"/>
      <c r="N237" s="181"/>
      <c r="O237" s="181"/>
      <c r="P237" s="181"/>
    </row>
    <row r="238" spans="1:16" ht="21.75" customHeight="1" x14ac:dyDescent="0.3">
      <c r="A238" s="175"/>
      <c r="B238" s="176"/>
      <c r="C238" s="263" t="s">
        <v>100</v>
      </c>
      <c r="D238" s="292"/>
      <c r="E238" s="262"/>
      <c r="F238" s="262"/>
      <c r="G238" s="264"/>
      <c r="H238" s="265" t="s">
        <v>37</v>
      </c>
      <c r="I238" s="266">
        <f ca="1">IFERROR(__xludf.DUMMYFUNCTION("IMPORTRANGE(""https://docs.google.com/spreadsheets/d/11923uPwbBZFjjGgGUA6NLw09EwE0CqkOc4q9oUmW1yo/edit?usp=sharing"",""ลำพูน!I158"")"),0)</f>
        <v>0</v>
      </c>
      <c r="J238" s="266">
        <f ca="1">IFERROR(__xludf.DUMMYFUNCTION("IMPORTRANGE(""https://docs.google.com/spreadsheets/d/11923uPwbBZFjjGgGUA6NLw09EwE0CqkOc4q9oUmW1yo/edit?usp=sharing"",""ลำพูน!J158"")"),0)</f>
        <v>0</v>
      </c>
      <c r="K238" s="267">
        <f ca="1">IF(I238&gt;0,J238*100/I238,0)</f>
        <v>0</v>
      </c>
      <c r="L238" s="181"/>
      <c r="M238" s="181"/>
      <c r="N238" s="181"/>
      <c r="O238" s="181"/>
      <c r="P238" s="181"/>
    </row>
    <row r="239" spans="1:16" ht="21.75" customHeight="1" x14ac:dyDescent="0.3">
      <c r="A239" s="175"/>
      <c r="B239" s="176"/>
      <c r="C239" s="157" t="s">
        <v>16</v>
      </c>
      <c r="D239" s="177" t="s">
        <v>44</v>
      </c>
      <c r="E239" s="178"/>
      <c r="F239" s="178"/>
      <c r="G239" s="179"/>
      <c r="H239" s="180"/>
      <c r="I239" s="162"/>
      <c r="J239" s="162"/>
      <c r="K239" s="163"/>
      <c r="L239" s="181"/>
      <c r="M239" s="181"/>
      <c r="N239" s="181"/>
      <c r="O239" s="181"/>
      <c r="P239" s="181"/>
    </row>
    <row r="240" spans="1:16" ht="21.75" customHeight="1" x14ac:dyDescent="0.3">
      <c r="A240" s="175"/>
      <c r="B240" s="176"/>
      <c r="C240" s="176"/>
      <c r="D240" s="182">
        <v>1</v>
      </c>
      <c r="E240" s="183" t="s">
        <v>45</v>
      </c>
      <c r="F240" s="184"/>
      <c r="G240" s="185"/>
      <c r="H240" s="186"/>
      <c r="I240" s="187"/>
      <c r="J240" s="187" t="str">
        <f ca="1">IFERROR(__xludf.DUMMYFUNCTION("IMPORTRANGE(""https://docs.google.com/spreadsheets/d/11923uPwbBZFjjGgGUA6NLw09EwE0CqkOc4q9oUmW1yo/edit?usp=sharing"",""ลำพูน!J159"")"),"")</f>
        <v/>
      </c>
      <c r="K240" s="163"/>
      <c r="L240" s="181"/>
      <c r="M240" s="181"/>
      <c r="N240" s="181"/>
      <c r="O240" s="181"/>
      <c r="P240" s="181"/>
    </row>
    <row r="241" spans="1:16" ht="21.75" customHeight="1" x14ac:dyDescent="0.3">
      <c r="A241" s="175"/>
      <c r="B241" s="176"/>
      <c r="C241" s="176"/>
      <c r="D241" s="189">
        <v>2</v>
      </c>
      <c r="E241" s="190" t="s">
        <v>46</v>
      </c>
      <c r="F241" s="191"/>
      <c r="G241" s="192"/>
      <c r="H241" s="186"/>
      <c r="I241" s="187"/>
      <c r="J241" s="187">
        <f ca="1">IFERROR(__xludf.DUMMYFUNCTION("IMPORTRANGE(""https://docs.google.com/spreadsheets/d/11923uPwbBZFjjGgGUA6NLw09EwE0CqkOc4q9oUmW1yo/edit?usp=sharing"",""ลำพูน!J161"")"),0)</f>
        <v>0</v>
      </c>
      <c r="K241" s="163"/>
      <c r="L241" s="181" t="s">
        <v>40</v>
      </c>
      <c r="M241" s="181"/>
      <c r="N241" s="181" t="s">
        <v>40</v>
      </c>
      <c r="O241" s="181"/>
      <c r="P241" s="181"/>
    </row>
    <row r="242" spans="1:16" ht="21.75" customHeight="1" x14ac:dyDescent="0.3">
      <c r="A242" s="175"/>
      <c r="B242" s="176"/>
      <c r="C242" s="176"/>
      <c r="D242" s="193"/>
      <c r="E242" s="194" t="s">
        <v>47</v>
      </c>
      <c r="F242" s="195"/>
      <c r="G242" s="196"/>
      <c r="H242" s="186"/>
      <c r="I242" s="187"/>
      <c r="J242" s="187">
        <f ca="1">IFERROR(__xludf.DUMMYFUNCTION("IMPORTRANGE(""https://docs.google.com/spreadsheets/d/11923uPwbBZFjjGgGUA6NLw09EwE0CqkOc4q9oUmW1yo/edit?usp=sharing"",""ลำพูน!J162"")"),0)</f>
        <v>0</v>
      </c>
      <c r="K242" s="163"/>
      <c r="L242" s="181"/>
      <c r="M242" s="181"/>
      <c r="N242" s="181"/>
      <c r="O242" s="181"/>
      <c r="P242" s="181"/>
    </row>
    <row r="243" spans="1:16" ht="21.75" customHeight="1" x14ac:dyDescent="0.3">
      <c r="A243" s="175"/>
      <c r="B243" s="176"/>
      <c r="C243" s="176"/>
      <c r="D243" s="193"/>
      <c r="E243" s="194" t="s">
        <v>48</v>
      </c>
      <c r="F243" s="195"/>
      <c r="G243" s="196"/>
      <c r="H243" s="186"/>
      <c r="I243" s="187"/>
      <c r="J243" s="187">
        <f ca="1">IFERROR(__xludf.DUMMYFUNCTION("IMPORTRANGE(""https://docs.google.com/spreadsheets/d/11923uPwbBZFjjGgGUA6NLw09EwE0CqkOc4q9oUmW1yo/edit?usp=sharing"",""ลำพูน!J163"")"),0)</f>
        <v>0</v>
      </c>
      <c r="K243" s="163"/>
      <c r="L243" s="181"/>
      <c r="M243" s="181"/>
      <c r="N243" s="181"/>
      <c r="O243" s="181"/>
      <c r="P243" s="181"/>
    </row>
    <row r="244" spans="1:16" ht="21.75" customHeight="1" x14ac:dyDescent="0.3">
      <c r="A244" s="175"/>
      <c r="B244" s="176"/>
      <c r="C244" s="176"/>
      <c r="D244" s="193"/>
      <c r="E244" s="195"/>
      <c r="F244" s="194" t="s">
        <v>101</v>
      </c>
      <c r="G244" s="195"/>
      <c r="H244" s="186" t="s">
        <v>37</v>
      </c>
      <c r="I244" s="203">
        <f ca="1">IFERROR(__xludf.DUMMYFUNCTION("IMPORTRANGE(""https://docs.google.com/spreadsheets/d/11923uPwbBZFjjGgGUA6NLw09EwE0CqkOc4q9oUmW1yo/edit?usp=sharing"",""ลำพูน!I164"")"),0)</f>
        <v>0</v>
      </c>
      <c r="J244" s="187">
        <f ca="1">IFERROR(__xludf.DUMMYFUNCTION("IMPORTRANGE(""https://docs.google.com/spreadsheets/d/11923uPwbBZFjjGgGUA6NLw09EwE0CqkOc4q9oUmW1yo/edit?usp=sharing"",""ลำพูน!J164"")"),0)</f>
        <v>0</v>
      </c>
      <c r="K244" s="163">
        <f ca="1">IF(I244&gt;0,J244*100/I244,0)</f>
        <v>0</v>
      </c>
      <c r="L244" s="181"/>
      <c r="M244" s="181"/>
      <c r="N244" s="181"/>
      <c r="O244" s="181"/>
      <c r="P244" s="181"/>
    </row>
    <row r="245" spans="1:16" ht="21.75" customHeight="1" x14ac:dyDescent="0.3">
      <c r="A245" s="175"/>
      <c r="B245" s="176"/>
      <c r="C245" s="176"/>
      <c r="D245" s="193"/>
      <c r="E245" s="194" t="s">
        <v>54</v>
      </c>
      <c r="F245" s="195"/>
      <c r="G245" s="196"/>
      <c r="H245" s="186"/>
      <c r="I245" s="187"/>
      <c r="J245" s="187">
        <f ca="1">IFERROR(__xludf.DUMMYFUNCTION("IMPORTRANGE(""https://docs.google.com/spreadsheets/d/11923uPwbBZFjjGgGUA6NLw09EwE0CqkOc4q9oUmW1yo/edit?usp=sharing"",""ลำพูน!J165"")"),0)</f>
        <v>0</v>
      </c>
      <c r="K245" s="163"/>
      <c r="L245" s="181"/>
      <c r="M245" s="181"/>
      <c r="N245" s="181"/>
      <c r="O245" s="181"/>
      <c r="P245" s="181"/>
    </row>
    <row r="246" spans="1:16" ht="21.75" customHeight="1" x14ac:dyDescent="0.3">
      <c r="A246" s="233"/>
      <c r="B246" s="234"/>
      <c r="C246" s="234"/>
      <c r="D246" s="235">
        <v>3</v>
      </c>
      <c r="E246" s="236" t="s">
        <v>55</v>
      </c>
      <c r="F246" s="237"/>
      <c r="G246" s="238"/>
      <c r="H246" s="239"/>
      <c r="I246" s="240"/>
      <c r="J246" s="241">
        <f ca="1">IFERROR(__xludf.DUMMYFUNCTION("IMPORTRANGE(""https://docs.google.com/spreadsheets/d/11923uPwbBZFjjGgGUA6NLw09EwE0CqkOc4q9oUmW1yo/edit?usp=sharing"",""ลำพูน!J166"")"),0)</f>
        <v>0</v>
      </c>
      <c r="K246" s="286"/>
      <c r="L246" s="244"/>
      <c r="M246" s="244"/>
      <c r="N246" s="244"/>
      <c r="O246" s="244"/>
      <c r="P246" s="244"/>
    </row>
    <row r="247" spans="1:16" ht="21.75" customHeight="1" x14ac:dyDescent="0.3">
      <c r="A247" s="293" t="s">
        <v>102</v>
      </c>
      <c r="B247" s="294"/>
      <c r="C247" s="294"/>
      <c r="D247" s="294"/>
      <c r="E247" s="295"/>
      <c r="F247" s="295"/>
      <c r="G247" s="296"/>
      <c r="H247" s="297"/>
      <c r="I247" s="298"/>
      <c r="J247" s="298"/>
      <c r="K247" s="299"/>
      <c r="L247" s="300"/>
      <c r="M247" s="300"/>
      <c r="N247" s="300"/>
      <c r="O247" s="301"/>
      <c r="P247" s="301"/>
    </row>
    <row r="248" spans="1:16" ht="21.75" customHeight="1" x14ac:dyDescent="0.3">
      <c r="A248" s="302" t="s">
        <v>103</v>
      </c>
      <c r="B248" s="303"/>
      <c r="C248" s="303"/>
      <c r="D248" s="304"/>
      <c r="E248" s="304"/>
      <c r="F248" s="304"/>
      <c r="G248" s="305"/>
      <c r="H248" s="306"/>
      <c r="I248" s="307"/>
      <c r="J248" s="307"/>
      <c r="K248" s="308"/>
      <c r="L248" s="308"/>
      <c r="M248" s="308"/>
      <c r="N248" s="308"/>
      <c r="O248" s="309"/>
      <c r="P248" s="309"/>
    </row>
    <row r="249" spans="1:16" ht="21.75" customHeight="1" x14ac:dyDescent="0.3">
      <c r="A249" s="310"/>
      <c r="B249" s="311" t="s">
        <v>104</v>
      </c>
      <c r="C249" s="311"/>
      <c r="D249" s="311"/>
      <c r="E249" s="311"/>
      <c r="F249" s="311"/>
      <c r="G249" s="312"/>
      <c r="H249" s="313" t="s">
        <v>37</v>
      </c>
      <c r="I249" s="314">
        <f ca="1">IFERROR(__xludf.DUMMYFUNCTION("IMPORTRANGE(""https://docs.google.com/spreadsheets/d/11923uPwbBZFjjGgGUA6NLw09EwE0CqkOc4q9oUmW1yo/edit?usp=sharing"",""ลำพูน!I169"")"),0)</f>
        <v>0</v>
      </c>
      <c r="J249" s="314">
        <f ca="1">IFERROR(__xludf.DUMMYFUNCTION("IMPORTRANGE(""https://docs.google.com/spreadsheets/d/11923uPwbBZFjjGgGUA6NLw09EwE0CqkOc4q9oUmW1yo/edit?usp=sharing"",""ลำพูน!J169"")"),0)</f>
        <v>0</v>
      </c>
      <c r="K249" s="315">
        <f ca="1">IF(I249&gt;0,J249*100/I249,0)</f>
        <v>0</v>
      </c>
      <c r="L249" s="316"/>
      <c r="M249" s="316"/>
      <c r="N249" s="316"/>
      <c r="O249" s="315"/>
      <c r="P249" s="315"/>
    </row>
    <row r="250" spans="1:16" ht="21.75" customHeight="1" x14ac:dyDescent="0.45">
      <c r="A250" s="145"/>
      <c r="B250" s="146"/>
      <c r="C250" s="147" t="s">
        <v>16</v>
      </c>
      <c r="D250" s="537" t="s">
        <v>17</v>
      </c>
      <c r="E250" s="528"/>
      <c r="F250" s="528"/>
      <c r="G250" s="528"/>
      <c r="H250" s="148" t="s">
        <v>12</v>
      </c>
      <c r="I250" s="162"/>
      <c r="J250" s="162"/>
      <c r="K250" s="163"/>
      <c r="L250" s="151">
        <f t="shared" ref="L250:N250" ca="1" si="77">L251+L252</f>
        <v>0</v>
      </c>
      <c r="M250" s="151">
        <f t="shared" ca="1" si="77"/>
        <v>0</v>
      </c>
      <c r="N250" s="151">
        <f t="shared" ca="1" si="77"/>
        <v>0</v>
      </c>
      <c r="O250" s="150">
        <f t="shared" ref="O250:O252" ca="1" si="78">IF(L250&gt;0,N250*100/L250,0)</f>
        <v>0</v>
      </c>
      <c r="P250" s="150">
        <f t="shared" ref="P250:P252" ca="1" si="79">IF(M250&gt;0,N250*100/M250,0)</f>
        <v>0</v>
      </c>
    </row>
    <row r="251" spans="1:16" ht="21.75" customHeight="1" x14ac:dyDescent="0.45">
      <c r="A251" s="152"/>
      <c r="B251" s="32"/>
      <c r="C251" s="32"/>
      <c r="D251" s="32"/>
      <c r="E251" s="32"/>
      <c r="F251" s="32"/>
      <c r="G251" s="33" t="s">
        <v>18</v>
      </c>
      <c r="H251" s="153" t="s">
        <v>12</v>
      </c>
      <c r="I251" s="162"/>
      <c r="J251" s="162"/>
      <c r="K251" s="163"/>
      <c r="L251" s="87">
        <f t="shared" ref="L251:N251" si="80">L253+L257</f>
        <v>0</v>
      </c>
      <c r="M251" s="87">
        <f t="shared" si="80"/>
        <v>0</v>
      </c>
      <c r="N251" s="87">
        <f t="shared" si="80"/>
        <v>0</v>
      </c>
      <c r="O251" s="155">
        <f t="shared" si="78"/>
        <v>0</v>
      </c>
      <c r="P251" s="155">
        <f t="shared" si="79"/>
        <v>0</v>
      </c>
    </row>
    <row r="252" spans="1:16" ht="21.75" customHeight="1" x14ac:dyDescent="0.45">
      <c r="A252" s="152"/>
      <c r="B252" s="32"/>
      <c r="C252" s="32"/>
      <c r="D252" s="32"/>
      <c r="E252" s="32"/>
      <c r="F252" s="32"/>
      <c r="G252" s="33" t="s">
        <v>19</v>
      </c>
      <c r="H252" s="153" t="s">
        <v>12</v>
      </c>
      <c r="I252" s="162"/>
      <c r="J252" s="162"/>
      <c r="K252" s="163"/>
      <c r="L252" s="87">
        <f t="shared" ref="L252:N252" ca="1" si="81">L254+L258</f>
        <v>0</v>
      </c>
      <c r="M252" s="87">
        <f t="shared" ca="1" si="81"/>
        <v>0</v>
      </c>
      <c r="N252" s="87">
        <f t="shared" ca="1" si="81"/>
        <v>0</v>
      </c>
      <c r="O252" s="155">
        <f t="shared" ca="1" si="78"/>
        <v>0</v>
      </c>
      <c r="P252" s="155">
        <f t="shared" ca="1" si="79"/>
        <v>0</v>
      </c>
    </row>
    <row r="253" spans="1:16" ht="21.75" customHeight="1" x14ac:dyDescent="0.3">
      <c r="A253" s="156"/>
      <c r="B253" s="157"/>
      <c r="C253" s="157" t="s">
        <v>16</v>
      </c>
      <c r="D253" s="158" t="s">
        <v>38</v>
      </c>
      <c r="E253" s="159"/>
      <c r="F253" s="159"/>
      <c r="G253" s="160" t="s">
        <v>39</v>
      </c>
      <c r="H253" s="161" t="s">
        <v>12</v>
      </c>
      <c r="I253" s="162" t="s">
        <v>40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3">
      <c r="A254" s="156"/>
      <c r="B254" s="157"/>
      <c r="C254" s="157"/>
      <c r="D254" s="166"/>
      <c r="E254" s="159"/>
      <c r="F254" s="159" t="s">
        <v>40</v>
      </c>
      <c r="G254" s="160" t="s">
        <v>41</v>
      </c>
      <c r="H254" s="161" t="s">
        <v>12</v>
      </c>
      <c r="I254" s="162"/>
      <c r="J254" s="162"/>
      <c r="K254" s="163"/>
      <c r="L254" s="167">
        <f ca="1">L255+L256</f>
        <v>0</v>
      </c>
      <c r="M254" s="167">
        <f ca="1">IFERROR(__xludf.DUMMYFUNCTION("IMPORTRANGE(""https://docs.google.com/spreadsheets/d/1Yj_ptqi66GCucihVvJfMjLAmec39IyEx_6qawtMGysU/edit?usp=sharing"",""สบก!CB33"")"),0)</f>
        <v>0</v>
      </c>
      <c r="N254" s="168">
        <f ca="1">IFERROR(__xludf.DUMMYFUNCTION("IMPORTRANGE(""https://docs.google.com/spreadsheets/d/1Yj_ptqi66GCucihVvJfMjLAmec39IyEx_6qawtMGysU/edit?usp=sharing"",""สบก!CC33"")"),0)</f>
        <v>0</v>
      </c>
      <c r="O254" s="168">
        <f ca="1">IF(L254&gt;0,N254*100/L254,0)</f>
        <v>0</v>
      </c>
      <c r="P254" s="168">
        <f ca="1">IF(M254&gt;0,N254*100/M254,0)</f>
        <v>0</v>
      </c>
    </row>
    <row r="255" spans="1:16" ht="21.75" customHeight="1" x14ac:dyDescent="0.3">
      <c r="A255" s="156"/>
      <c r="B255" s="157"/>
      <c r="C255" s="157"/>
      <c r="D255" s="166"/>
      <c r="E255" s="159"/>
      <c r="F255" s="159"/>
      <c r="G255" s="169" t="s">
        <v>42</v>
      </c>
      <c r="H255" s="161" t="s">
        <v>12</v>
      </c>
      <c r="I255" s="162"/>
      <c r="J255" s="162"/>
      <c r="K255" s="163"/>
      <c r="L255" s="167">
        <f ca="1">IFERROR(__xludf.DUMMYFUNCTION("IMPORTRANGE(""https://docs.google.com/spreadsheets/d/1Yj_ptqi66GCucihVvJfMjLAmec39IyEx_6qawtMGysU/edit?usp=sharing"",""สบก!BX33"")"),0)</f>
        <v>0</v>
      </c>
      <c r="M255" s="167"/>
      <c r="N255" s="167"/>
      <c r="O255" s="168"/>
      <c r="P255" s="168"/>
    </row>
    <row r="256" spans="1:16" ht="21.75" customHeight="1" x14ac:dyDescent="0.3">
      <c r="A256" s="156"/>
      <c r="B256" s="157"/>
      <c r="C256" s="157"/>
      <c r="D256" s="166"/>
      <c r="E256" s="159"/>
      <c r="F256" s="159"/>
      <c r="G256" s="169" t="s">
        <v>43</v>
      </c>
      <c r="H256" s="161" t="s">
        <v>12</v>
      </c>
      <c r="I256" s="162"/>
      <c r="J256" s="162"/>
      <c r="K256" s="163"/>
      <c r="L256" s="167">
        <f ca="1">IFERROR(__xludf.DUMMYFUNCTION("IMPORTRANGE(""https://docs.google.com/spreadsheets/d/1Yj_ptqi66GCucihVvJfMjLAmec39IyEx_6qawtMGysU/edit?usp=sharing"",""สบก!BY33"")"),0)</f>
        <v>0</v>
      </c>
      <c r="M256" s="167"/>
      <c r="N256" s="167"/>
      <c r="O256" s="168"/>
      <c r="P256" s="168"/>
    </row>
    <row r="257" spans="1:16" ht="21.75" customHeight="1" x14ac:dyDescent="0.45">
      <c r="A257" s="170"/>
      <c r="B257" s="80"/>
      <c r="C257" s="81" t="s">
        <v>16</v>
      </c>
      <c r="D257" s="534" t="s">
        <v>23</v>
      </c>
      <c r="E257" s="530"/>
      <c r="F257" s="88"/>
      <c r="G257" s="82" t="s">
        <v>18</v>
      </c>
      <c r="H257" s="171" t="s">
        <v>12</v>
      </c>
      <c r="I257" s="162"/>
      <c r="J257" s="162"/>
      <c r="K257" s="163"/>
      <c r="L257" s="41">
        <v>0</v>
      </c>
      <c r="M257" s="41"/>
      <c r="N257" s="41"/>
      <c r="O257" s="41"/>
      <c r="P257" s="41"/>
    </row>
    <row r="258" spans="1:16" ht="21.75" customHeight="1" x14ac:dyDescent="0.45">
      <c r="A258" s="172"/>
      <c r="B258" s="91"/>
      <c r="C258" s="91"/>
      <c r="D258" s="173"/>
      <c r="E258" s="92"/>
      <c r="F258" s="92"/>
      <c r="G258" s="93" t="s">
        <v>19</v>
      </c>
      <c r="H258" s="174" t="s">
        <v>12</v>
      </c>
      <c r="I258" s="162"/>
      <c r="J258" s="162"/>
      <c r="K258" s="163"/>
      <c r="L258" s="49">
        <f ca="1">IFERROR(__xludf.DUMMYFUNCTION("IMPORTRANGE(""https://docs.google.com/spreadsheets/d/1Yj_ptqi66GCucihVvJfMjLAmec39IyEx_6qawtMGysU/edit?usp=sharing"",""สบก!BZ33"")"),0)</f>
        <v>0</v>
      </c>
      <c r="M258" s="49"/>
      <c r="N258" s="49">
        <f ca="1">IFERROR(__xludf.DUMMYFUNCTION("IMPORTRANGE(""https://docs.google.com/spreadsheets/d/1Yj_ptqi66GCucihVvJfMjLAmec39IyEx_6qawtMGysU/edit?usp=sharing"",""สบก!CD33"")"),0)</f>
        <v>0</v>
      </c>
      <c r="O258" s="49">
        <f ca="1">IF(L258&gt;0,N258*100/L258,0)</f>
        <v>0</v>
      </c>
      <c r="P258" s="49"/>
    </row>
    <row r="259" spans="1:16" ht="21.75" customHeight="1" x14ac:dyDescent="0.3">
      <c r="A259" s="175"/>
      <c r="B259" s="176"/>
      <c r="C259" s="157" t="s">
        <v>16</v>
      </c>
      <c r="D259" s="177" t="s">
        <v>44</v>
      </c>
      <c r="E259" s="178"/>
      <c r="F259" s="178"/>
      <c r="G259" s="179"/>
      <c r="H259" s="180"/>
      <c r="I259" s="162"/>
      <c r="J259" s="162"/>
      <c r="K259" s="163"/>
      <c r="L259" s="181"/>
      <c r="M259" s="181"/>
      <c r="N259" s="181"/>
      <c r="O259" s="181"/>
      <c r="P259" s="181"/>
    </row>
    <row r="260" spans="1:16" ht="21.75" customHeight="1" x14ac:dyDescent="0.3">
      <c r="A260" s="175"/>
      <c r="B260" s="176"/>
      <c r="C260" s="176"/>
      <c r="D260" s="182">
        <v>1</v>
      </c>
      <c r="E260" s="183" t="s">
        <v>45</v>
      </c>
      <c r="F260" s="184"/>
      <c r="G260" s="185"/>
      <c r="H260" s="186"/>
      <c r="I260" s="187"/>
      <c r="J260" s="188">
        <f ca="1">IFERROR(__xludf.DUMMYFUNCTION("IMPORTRANGE(""https://docs.google.com/spreadsheets/d/11923uPwbBZFjjGgGUA6NLw09EwE0CqkOc4q9oUmW1yo/edit?usp=sharing"",""ลำพูน!J175"")"),0)</f>
        <v>0</v>
      </c>
      <c r="K260" s="163"/>
      <c r="L260" s="181"/>
      <c r="M260" s="181"/>
      <c r="N260" s="181"/>
      <c r="O260" s="181"/>
      <c r="P260" s="181"/>
    </row>
    <row r="261" spans="1:16" ht="21.75" customHeight="1" x14ac:dyDescent="0.3">
      <c r="A261" s="175"/>
      <c r="B261" s="176"/>
      <c r="C261" s="176"/>
      <c r="D261" s="189">
        <v>2</v>
      </c>
      <c r="E261" s="190" t="s">
        <v>46</v>
      </c>
      <c r="F261" s="191"/>
      <c r="G261" s="192"/>
      <c r="H261" s="186"/>
      <c r="I261" s="187"/>
      <c r="J261" s="197">
        <f ca="1">IFERROR(__xludf.DUMMYFUNCTION("IMPORTRANGE(""https://docs.google.com/spreadsheets/d/11923uPwbBZFjjGgGUA6NLw09EwE0CqkOc4q9oUmW1yo/edit?usp=sharing"",""ลำพูน!J176"")"),0)</f>
        <v>0</v>
      </c>
      <c r="K261" s="163"/>
      <c r="L261" s="181" t="s">
        <v>40</v>
      </c>
      <c r="M261" s="181"/>
      <c r="N261" s="181" t="s">
        <v>40</v>
      </c>
      <c r="O261" s="181"/>
      <c r="P261" s="181"/>
    </row>
    <row r="262" spans="1:16" ht="21.75" customHeight="1" x14ac:dyDescent="0.3">
      <c r="A262" s="175"/>
      <c r="B262" s="176"/>
      <c r="C262" s="176"/>
      <c r="D262" s="193"/>
      <c r="E262" s="194" t="s">
        <v>47</v>
      </c>
      <c r="F262" s="195"/>
      <c r="G262" s="196"/>
      <c r="H262" s="186"/>
      <c r="I262" s="187"/>
      <c r="J262" s="197">
        <f ca="1">IFERROR(__xludf.DUMMYFUNCTION("IMPORTRANGE(""https://docs.google.com/spreadsheets/d/11923uPwbBZFjjGgGUA6NLw09EwE0CqkOc4q9oUmW1yo/edit?usp=sharing"",""ลำพูน!J177"")"),0)</f>
        <v>0</v>
      </c>
      <c r="K262" s="163"/>
      <c r="L262" s="181"/>
      <c r="M262" s="181"/>
      <c r="N262" s="181"/>
      <c r="O262" s="181"/>
      <c r="P262" s="181"/>
    </row>
    <row r="263" spans="1:16" ht="21.75" customHeight="1" x14ac:dyDescent="0.3">
      <c r="A263" s="175"/>
      <c r="B263" s="176"/>
      <c r="C263" s="176"/>
      <c r="D263" s="193"/>
      <c r="E263" s="194" t="s">
        <v>48</v>
      </c>
      <c r="F263" s="195"/>
      <c r="G263" s="196"/>
      <c r="H263" s="186"/>
      <c r="I263" s="187"/>
      <c r="J263" s="197">
        <f ca="1">IFERROR(__xludf.DUMMYFUNCTION("IMPORTRANGE(""https://docs.google.com/spreadsheets/d/11923uPwbBZFjjGgGUA6NLw09EwE0CqkOc4q9oUmW1yo/edit?usp=sharing"",""ลำพูน!J178"")"),0)</f>
        <v>0</v>
      </c>
      <c r="K263" s="163"/>
      <c r="L263" s="181"/>
      <c r="M263" s="181"/>
      <c r="N263" s="181"/>
      <c r="O263" s="181"/>
      <c r="P263" s="181"/>
    </row>
    <row r="264" spans="1:16" ht="21.75" customHeight="1" x14ac:dyDescent="0.3">
      <c r="A264" s="175"/>
      <c r="B264" s="176"/>
      <c r="C264" s="176"/>
      <c r="D264" s="193"/>
      <c r="E264" s="198"/>
      <c r="F264" s="194" t="s">
        <v>105</v>
      </c>
      <c r="G264" s="196"/>
      <c r="H264" s="180" t="s">
        <v>59</v>
      </c>
      <c r="I264" s="187">
        <f ca="1">IFERROR(__xludf.DUMMYFUNCTION("IMPORTRANGE(""https://docs.google.com/spreadsheets/d/11923uPwbBZFjjGgGUA6NLw09EwE0CqkOc4q9oUmW1yo/edit?usp=sharing"",""ลำพูน!I179"")"),0)</f>
        <v>0</v>
      </c>
      <c r="J264" s="188">
        <f ca="1">IFERROR(__xludf.DUMMYFUNCTION("IMPORTRANGE(""https://docs.google.com/spreadsheets/d/11923uPwbBZFjjGgGUA6NLw09EwE0CqkOc4q9oUmW1yo/edit?usp=sharing"",""ลำพูน!J179"")"),0)</f>
        <v>0</v>
      </c>
      <c r="K264" s="163">
        <f t="shared" ref="K264:K267" ca="1" si="82">IF(I264&gt;0,J264*100/I264,0)</f>
        <v>0</v>
      </c>
      <c r="L264" s="181"/>
      <c r="M264" s="181"/>
      <c r="N264" s="181"/>
      <c r="O264" s="181"/>
      <c r="P264" s="181"/>
    </row>
    <row r="265" spans="1:16" ht="21.75" customHeight="1" x14ac:dyDescent="0.3">
      <c r="A265" s="175"/>
      <c r="B265" s="176"/>
      <c r="C265" s="176"/>
      <c r="D265" s="193"/>
      <c r="E265" s="198"/>
      <c r="F265" s="194" t="s">
        <v>106</v>
      </c>
      <c r="G265" s="196"/>
      <c r="H265" s="180" t="s">
        <v>37</v>
      </c>
      <c r="I265" s="187">
        <f ca="1">IFERROR(__xludf.DUMMYFUNCTION("IMPORTRANGE(""https://docs.google.com/spreadsheets/d/11923uPwbBZFjjGgGUA6NLw09EwE0CqkOc4q9oUmW1yo/edit?usp=sharing"",""ลำพูน!I180"")"),0)</f>
        <v>0</v>
      </c>
      <c r="J265" s="188">
        <f ca="1">IFERROR(__xludf.DUMMYFUNCTION("IMPORTRANGE(""https://docs.google.com/spreadsheets/d/11923uPwbBZFjjGgGUA6NLw09EwE0CqkOc4q9oUmW1yo/edit?usp=sharing"",""ลำพูน!J180"")"),0)</f>
        <v>0</v>
      </c>
      <c r="K265" s="163">
        <f t="shared" ca="1" si="82"/>
        <v>0</v>
      </c>
      <c r="L265" s="181"/>
      <c r="M265" s="181"/>
      <c r="N265" s="181"/>
      <c r="O265" s="181"/>
      <c r="P265" s="181"/>
    </row>
    <row r="266" spans="1:16" ht="21.75" customHeight="1" x14ac:dyDescent="0.3">
      <c r="A266" s="175"/>
      <c r="B266" s="176"/>
      <c r="C266" s="176"/>
      <c r="D266" s="193"/>
      <c r="E266" s="198"/>
      <c r="F266" s="194" t="s">
        <v>107</v>
      </c>
      <c r="G266" s="196"/>
      <c r="H266" s="180" t="s">
        <v>37</v>
      </c>
      <c r="I266" s="187">
        <f ca="1">IFERROR(__xludf.DUMMYFUNCTION("IMPORTRANGE(""https://docs.google.com/spreadsheets/d/11923uPwbBZFjjGgGUA6NLw09EwE0CqkOc4q9oUmW1yo/edit?usp=sharing"",""ลำพูน!I181"")"),0)</f>
        <v>0</v>
      </c>
      <c r="J266" s="188">
        <f ca="1">IFERROR(__xludf.DUMMYFUNCTION("IMPORTRANGE(""https://docs.google.com/spreadsheets/d/11923uPwbBZFjjGgGUA6NLw09EwE0CqkOc4q9oUmW1yo/edit?usp=sharing"",""ลำพูน!J181"")"),0)</f>
        <v>0</v>
      </c>
      <c r="K266" s="163">
        <f t="shared" ca="1" si="82"/>
        <v>0</v>
      </c>
      <c r="L266" s="181"/>
      <c r="M266" s="181"/>
      <c r="N266" s="181"/>
      <c r="O266" s="181"/>
      <c r="P266" s="181"/>
    </row>
    <row r="267" spans="1:16" ht="21.75" customHeight="1" x14ac:dyDescent="0.3">
      <c r="A267" s="175"/>
      <c r="B267" s="176"/>
      <c r="C267" s="176"/>
      <c r="D267" s="193"/>
      <c r="E267" s="198"/>
      <c r="F267" s="194" t="s">
        <v>108</v>
      </c>
      <c r="G267" s="196"/>
      <c r="H267" s="180" t="s">
        <v>37</v>
      </c>
      <c r="I267" s="187">
        <f ca="1">IFERROR(__xludf.DUMMYFUNCTION("IMPORTRANGE(""https://docs.google.com/spreadsheets/d/11923uPwbBZFjjGgGUA6NLw09EwE0CqkOc4q9oUmW1yo/edit?usp=sharing"",""ลำพูน!I182"")"),0)</f>
        <v>0</v>
      </c>
      <c r="J267" s="188">
        <f ca="1">IFERROR(__xludf.DUMMYFUNCTION("IMPORTRANGE(""https://docs.google.com/spreadsheets/d/11923uPwbBZFjjGgGUA6NLw09EwE0CqkOc4q9oUmW1yo/edit?usp=sharing"",""ลำพูน!J182"")"),0)</f>
        <v>0</v>
      </c>
      <c r="K267" s="163">
        <f t="shared" ca="1" si="82"/>
        <v>0</v>
      </c>
      <c r="L267" s="181"/>
      <c r="M267" s="181"/>
      <c r="N267" s="181"/>
      <c r="O267" s="181"/>
      <c r="P267" s="181"/>
    </row>
    <row r="268" spans="1:16" ht="21.75" customHeight="1" x14ac:dyDescent="0.3">
      <c r="A268" s="175"/>
      <c r="B268" s="176"/>
      <c r="C268" s="176"/>
      <c r="D268" s="193"/>
      <c r="E268" s="194" t="s">
        <v>54</v>
      </c>
      <c r="F268" s="195"/>
      <c r="G268" s="196"/>
      <c r="H268" s="186"/>
      <c r="I268" s="187"/>
      <c r="J268" s="197">
        <f ca="1">IFERROR(__xludf.DUMMYFUNCTION("IMPORTRANGE(""https://docs.google.com/spreadsheets/d/11923uPwbBZFjjGgGUA6NLw09EwE0CqkOc4q9oUmW1yo/edit?usp=sharing"",""ลำพูน!J183"")"),0)</f>
        <v>0</v>
      </c>
      <c r="K268" s="163"/>
      <c r="L268" s="181"/>
      <c r="M268" s="181"/>
      <c r="N268" s="181"/>
      <c r="O268" s="181"/>
      <c r="P268" s="181"/>
    </row>
    <row r="269" spans="1:16" ht="21.75" customHeight="1" x14ac:dyDescent="0.3">
      <c r="A269" s="233"/>
      <c r="B269" s="234"/>
      <c r="C269" s="234"/>
      <c r="D269" s="235">
        <v>3</v>
      </c>
      <c r="E269" s="236" t="s">
        <v>55</v>
      </c>
      <c r="F269" s="237"/>
      <c r="G269" s="238"/>
      <c r="H269" s="239"/>
      <c r="I269" s="240"/>
      <c r="J269" s="285">
        <f ca="1">IFERROR(__xludf.DUMMYFUNCTION("IMPORTRANGE(""https://docs.google.com/spreadsheets/d/11923uPwbBZFjjGgGUA6NLw09EwE0CqkOc4q9oUmW1yo/edit?usp=sharing"",""ลำพูน!J184"")"),0)</f>
        <v>0</v>
      </c>
      <c r="K269" s="286"/>
      <c r="L269" s="244"/>
      <c r="M269" s="244"/>
      <c r="N269" s="244"/>
      <c r="O269" s="244"/>
      <c r="P269" s="244"/>
    </row>
    <row r="270" spans="1:16" ht="21.75" customHeight="1" x14ac:dyDescent="0.3">
      <c r="A270" s="310"/>
      <c r="B270" s="311" t="s">
        <v>109</v>
      </c>
      <c r="C270" s="311"/>
      <c r="D270" s="311"/>
      <c r="E270" s="311"/>
      <c r="F270" s="311"/>
      <c r="G270" s="312"/>
      <c r="H270" s="313" t="s">
        <v>37</v>
      </c>
      <c r="I270" s="314">
        <f ca="1">IFERROR(__xludf.DUMMYFUNCTION("IMPORTRANGE(""https://docs.google.com/spreadsheets/d/11923uPwbBZFjjGgGUA6NLw09EwE0CqkOc4q9oUmW1yo/edit?usp=sharing"",""ลำพูน!I185"")"),15)</f>
        <v>15</v>
      </c>
      <c r="J270" s="314">
        <f ca="1">IFERROR(__xludf.DUMMYFUNCTION("IMPORTRANGE(""https://docs.google.com/spreadsheets/d/11923uPwbBZFjjGgGUA6NLw09EwE0CqkOc4q9oUmW1yo/edit?usp=sharing"",""ลำพูน!J185"")"),15)</f>
        <v>15</v>
      </c>
      <c r="K270" s="315">
        <f ca="1">IF(I270&gt;0,J270*100/I270,0)</f>
        <v>100</v>
      </c>
      <c r="L270" s="316"/>
      <c r="M270" s="316"/>
      <c r="N270" s="316"/>
      <c r="O270" s="315"/>
      <c r="P270" s="315"/>
    </row>
    <row r="271" spans="1:16" ht="21.75" customHeight="1" x14ac:dyDescent="0.45">
      <c r="A271" s="145"/>
      <c r="B271" s="146"/>
      <c r="C271" s="147" t="s">
        <v>16</v>
      </c>
      <c r="D271" s="537" t="s">
        <v>17</v>
      </c>
      <c r="E271" s="528"/>
      <c r="F271" s="528"/>
      <c r="G271" s="528"/>
      <c r="H271" s="148" t="s">
        <v>12</v>
      </c>
      <c r="I271" s="162"/>
      <c r="J271" s="162"/>
      <c r="K271" s="163"/>
      <c r="L271" s="151">
        <f t="shared" ref="L271:N271" ca="1" si="83">L272+L273</f>
        <v>55200</v>
      </c>
      <c r="M271" s="151">
        <f t="shared" ca="1" si="83"/>
        <v>32250</v>
      </c>
      <c r="N271" s="151">
        <f t="shared" ca="1" si="83"/>
        <v>6415</v>
      </c>
      <c r="O271" s="150">
        <f t="shared" ref="O271:O273" ca="1" si="84">IF(L271&gt;0,N271*100/L271,0)</f>
        <v>11.621376811594203</v>
      </c>
      <c r="P271" s="150">
        <f t="shared" ref="P271:P273" ca="1" si="85">IF(M271&gt;0,N271*100/M271,0)</f>
        <v>19.891472868217054</v>
      </c>
    </row>
    <row r="272" spans="1:16" ht="21.75" customHeight="1" x14ac:dyDescent="0.45">
      <c r="A272" s="152"/>
      <c r="B272" s="32"/>
      <c r="C272" s="32"/>
      <c r="D272" s="32"/>
      <c r="E272" s="32"/>
      <c r="F272" s="32"/>
      <c r="G272" s="33" t="s">
        <v>18</v>
      </c>
      <c r="H272" s="153" t="s">
        <v>12</v>
      </c>
      <c r="I272" s="162"/>
      <c r="J272" s="162"/>
      <c r="K272" s="163"/>
      <c r="L272" s="87">
        <f t="shared" ref="L272:N272" si="86">L274+L278</f>
        <v>0</v>
      </c>
      <c r="M272" s="87">
        <f t="shared" si="86"/>
        <v>0</v>
      </c>
      <c r="N272" s="87">
        <f t="shared" si="86"/>
        <v>0</v>
      </c>
      <c r="O272" s="155">
        <f t="shared" si="84"/>
        <v>0</v>
      </c>
      <c r="P272" s="155">
        <f t="shared" si="85"/>
        <v>0</v>
      </c>
    </row>
    <row r="273" spans="1:16" ht="21.75" customHeight="1" x14ac:dyDescent="0.45">
      <c r="A273" s="152"/>
      <c r="B273" s="32"/>
      <c r="C273" s="32"/>
      <c r="D273" s="32"/>
      <c r="E273" s="32"/>
      <c r="F273" s="32"/>
      <c r="G273" s="33" t="s">
        <v>19</v>
      </c>
      <c r="H273" s="153" t="s">
        <v>12</v>
      </c>
      <c r="I273" s="162"/>
      <c r="J273" s="162"/>
      <c r="K273" s="163"/>
      <c r="L273" s="87">
        <f t="shared" ref="L273:N273" ca="1" si="87">L275+L279</f>
        <v>55200</v>
      </c>
      <c r="M273" s="87">
        <f t="shared" ca="1" si="87"/>
        <v>32250</v>
      </c>
      <c r="N273" s="87">
        <f t="shared" ca="1" si="87"/>
        <v>6415</v>
      </c>
      <c r="O273" s="155">
        <f t="shared" ca="1" si="84"/>
        <v>11.621376811594203</v>
      </c>
      <c r="P273" s="155">
        <f t="shared" ca="1" si="85"/>
        <v>19.891472868217054</v>
      </c>
    </row>
    <row r="274" spans="1:16" ht="21.75" customHeight="1" x14ac:dyDescent="0.3">
      <c r="A274" s="156"/>
      <c r="B274" s="157"/>
      <c r="C274" s="157" t="s">
        <v>16</v>
      </c>
      <c r="D274" s="158" t="s">
        <v>38</v>
      </c>
      <c r="E274" s="159"/>
      <c r="F274" s="159"/>
      <c r="G274" s="160" t="s">
        <v>39</v>
      </c>
      <c r="H274" s="161" t="s">
        <v>12</v>
      </c>
      <c r="I274" s="162" t="s">
        <v>40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3">
      <c r="A275" s="156"/>
      <c r="B275" s="157"/>
      <c r="C275" s="157"/>
      <c r="D275" s="166"/>
      <c r="E275" s="159"/>
      <c r="F275" s="159" t="s">
        <v>40</v>
      </c>
      <c r="G275" s="160" t="s">
        <v>41</v>
      </c>
      <c r="H275" s="161" t="s">
        <v>12</v>
      </c>
      <c r="I275" s="162"/>
      <c r="J275" s="162"/>
      <c r="K275" s="163"/>
      <c r="L275" s="167">
        <f ca="1">L276+L277</f>
        <v>55200</v>
      </c>
      <c r="M275" s="167">
        <f ca="1">IFERROR(__xludf.DUMMYFUNCTION("IMPORTRANGE(""https://docs.google.com/spreadsheets/d/1Yj_ptqi66GCucihVvJfMjLAmec39IyEx_6qawtMGysU/edit?usp=sharing"",""สบก!CK33"")"),32250)</f>
        <v>32250</v>
      </c>
      <c r="N275" s="168">
        <f ca="1">IFERROR(__xludf.DUMMYFUNCTION("IMPORTRANGE(""https://docs.google.com/spreadsheets/d/1Yj_ptqi66GCucihVvJfMjLAmec39IyEx_6qawtMGysU/edit?usp=sharing"",""สบก!CL33"")"),6415)</f>
        <v>6415</v>
      </c>
      <c r="O275" s="168">
        <f ca="1">IF(L275&gt;0,N275*100/L275,0)</f>
        <v>11.621376811594203</v>
      </c>
      <c r="P275" s="168">
        <f ca="1">IF(M275&gt;0,N275*100/M275,0)</f>
        <v>19.891472868217054</v>
      </c>
    </row>
    <row r="276" spans="1:16" ht="21.75" customHeight="1" x14ac:dyDescent="0.3">
      <c r="A276" s="156"/>
      <c r="B276" s="157"/>
      <c r="C276" s="157"/>
      <c r="D276" s="166"/>
      <c r="E276" s="159"/>
      <c r="F276" s="159"/>
      <c r="G276" s="169" t="s">
        <v>42</v>
      </c>
      <c r="H276" s="161" t="s">
        <v>12</v>
      </c>
      <c r="I276" s="162"/>
      <c r="J276" s="162"/>
      <c r="K276" s="163"/>
      <c r="L276" s="167">
        <f ca="1">IFERROR(__xludf.DUMMYFUNCTION("IMPORTRANGE(""https://docs.google.com/spreadsheets/d/1Yj_ptqi66GCucihVvJfMjLAmec39IyEx_6qawtMGysU/edit?usp=sharing"",""สบก!CG33"")"),0)</f>
        <v>0</v>
      </c>
      <c r="M276" s="167"/>
      <c r="N276" s="167"/>
      <c r="O276" s="168"/>
      <c r="P276" s="168"/>
    </row>
    <row r="277" spans="1:16" ht="21.75" customHeight="1" x14ac:dyDescent="0.3">
      <c r="A277" s="156"/>
      <c r="B277" s="157"/>
      <c r="C277" s="157"/>
      <c r="D277" s="166"/>
      <c r="E277" s="159"/>
      <c r="F277" s="159"/>
      <c r="G277" s="169" t="s">
        <v>43</v>
      </c>
      <c r="H277" s="161" t="s">
        <v>12</v>
      </c>
      <c r="I277" s="162"/>
      <c r="J277" s="162"/>
      <c r="K277" s="163"/>
      <c r="L277" s="167">
        <f ca="1">IFERROR(__xludf.DUMMYFUNCTION("IMPORTRANGE(""https://docs.google.com/spreadsheets/d/1Yj_ptqi66GCucihVvJfMjLAmec39IyEx_6qawtMGysU/edit?usp=sharing"",""สบก!CH33"")"),55200)</f>
        <v>55200</v>
      </c>
      <c r="M277" s="167"/>
      <c r="N277" s="167"/>
      <c r="O277" s="168"/>
      <c r="P277" s="168"/>
    </row>
    <row r="278" spans="1:16" ht="21.75" customHeight="1" x14ac:dyDescent="0.45">
      <c r="A278" s="170"/>
      <c r="B278" s="80"/>
      <c r="C278" s="81" t="s">
        <v>16</v>
      </c>
      <c r="D278" s="534" t="s">
        <v>23</v>
      </c>
      <c r="E278" s="530"/>
      <c r="F278" s="88"/>
      <c r="G278" s="82" t="s">
        <v>18</v>
      </c>
      <c r="H278" s="171" t="s">
        <v>12</v>
      </c>
      <c r="I278" s="162"/>
      <c r="J278" s="162"/>
      <c r="K278" s="163"/>
      <c r="L278" s="41">
        <v>0</v>
      </c>
      <c r="M278" s="41"/>
      <c r="N278" s="41"/>
      <c r="O278" s="41"/>
      <c r="P278" s="41"/>
    </row>
    <row r="279" spans="1:16" ht="21.75" customHeight="1" x14ac:dyDescent="0.45">
      <c r="A279" s="172"/>
      <c r="B279" s="91"/>
      <c r="C279" s="91"/>
      <c r="D279" s="173"/>
      <c r="E279" s="92"/>
      <c r="F279" s="92"/>
      <c r="G279" s="93" t="s">
        <v>19</v>
      </c>
      <c r="H279" s="174" t="s">
        <v>12</v>
      </c>
      <c r="I279" s="162"/>
      <c r="J279" s="162"/>
      <c r="K279" s="163"/>
      <c r="L279" s="49">
        <f ca="1">IFERROR(__xludf.DUMMYFUNCTION("IMPORTRANGE(""https://docs.google.com/spreadsheets/d/1Yj_ptqi66GCucihVvJfMjLAmec39IyEx_6qawtMGysU/edit?usp=sharing"",""สบก!CI33"")"),0)</f>
        <v>0</v>
      </c>
      <c r="M279" s="49"/>
      <c r="N279" s="49">
        <f ca="1">IFERROR(__xludf.DUMMYFUNCTION("IMPORTRANGE(""https://docs.google.com/spreadsheets/d/1Yj_ptqi66GCucihVvJfMjLAmec39IyEx_6qawtMGysU/edit?usp=sharing"",""สบก!CM33"")"),0)</f>
        <v>0</v>
      </c>
      <c r="O279" s="49">
        <f ca="1">IF(L279&gt;0,N279*100/L279,0)</f>
        <v>0</v>
      </c>
      <c r="P279" s="49"/>
    </row>
    <row r="280" spans="1:16" ht="21.75" customHeight="1" x14ac:dyDescent="0.3">
      <c r="A280" s="175"/>
      <c r="B280" s="176"/>
      <c r="C280" s="157" t="s">
        <v>16</v>
      </c>
      <c r="D280" s="177" t="s">
        <v>44</v>
      </c>
      <c r="E280" s="178"/>
      <c r="F280" s="178"/>
      <c r="G280" s="179"/>
      <c r="H280" s="180"/>
      <c r="I280" s="162"/>
      <c r="J280" s="162"/>
      <c r="K280" s="163"/>
      <c r="L280" s="181"/>
      <c r="M280" s="181"/>
      <c r="N280" s="181"/>
      <c r="O280" s="181"/>
      <c r="P280" s="181"/>
    </row>
    <row r="281" spans="1:16" ht="21.75" customHeight="1" x14ac:dyDescent="0.3">
      <c r="A281" s="175"/>
      <c r="B281" s="176"/>
      <c r="C281" s="176"/>
      <c r="D281" s="182">
        <v>1</v>
      </c>
      <c r="E281" s="183" t="s">
        <v>45</v>
      </c>
      <c r="F281" s="184"/>
      <c r="G281" s="185"/>
      <c r="H281" s="186"/>
      <c r="I281" s="187"/>
      <c r="J281" s="188">
        <f ca="1">IFERROR(__xludf.DUMMYFUNCTION("IMPORTRANGE(""https://docs.google.com/spreadsheets/d/11923uPwbBZFjjGgGUA6NLw09EwE0CqkOc4q9oUmW1yo/edit?usp=sharing"",""ลำพูน!J191"")"),0)</f>
        <v>0</v>
      </c>
      <c r="K281" s="163"/>
      <c r="L281" s="181"/>
      <c r="M281" s="181"/>
      <c r="N281" s="181"/>
      <c r="O281" s="181"/>
      <c r="P281" s="181"/>
    </row>
    <row r="282" spans="1:16" ht="21.75" customHeight="1" x14ac:dyDescent="0.3">
      <c r="A282" s="175"/>
      <c r="B282" s="176"/>
      <c r="C282" s="176"/>
      <c r="D282" s="189">
        <v>2</v>
      </c>
      <c r="E282" s="190" t="s">
        <v>46</v>
      </c>
      <c r="F282" s="191"/>
      <c r="G282" s="192"/>
      <c r="H282" s="186"/>
      <c r="I282" s="187"/>
      <c r="J282" s="197">
        <f ca="1">IFERROR(__xludf.DUMMYFUNCTION("IMPORTRANGE(""https://docs.google.com/spreadsheets/d/11923uPwbBZFjjGgGUA6NLw09EwE0CqkOc4q9oUmW1yo/edit?usp=sharing"",""ลำพูน!J192"")"),1)</f>
        <v>1</v>
      </c>
      <c r="K282" s="163"/>
      <c r="L282" s="181"/>
      <c r="M282" s="181"/>
      <c r="N282" s="181"/>
      <c r="O282" s="181"/>
      <c r="P282" s="181"/>
    </row>
    <row r="283" spans="1:16" ht="21.75" customHeight="1" x14ac:dyDescent="0.3">
      <c r="A283" s="175"/>
      <c r="B283" s="176"/>
      <c r="C283" s="176"/>
      <c r="D283" s="193"/>
      <c r="E283" s="194" t="s">
        <v>47</v>
      </c>
      <c r="F283" s="195"/>
      <c r="G283" s="196"/>
      <c r="H283" s="186"/>
      <c r="I283" s="187"/>
      <c r="J283" s="197">
        <f ca="1">IFERROR(__xludf.DUMMYFUNCTION("IMPORTRANGE(""https://docs.google.com/spreadsheets/d/11923uPwbBZFjjGgGUA6NLw09EwE0CqkOc4q9oUmW1yo/edit?usp=sharing"",""ลำพูน!J193"")"),1)</f>
        <v>1</v>
      </c>
      <c r="K283" s="163"/>
      <c r="L283" s="181"/>
      <c r="M283" s="181"/>
      <c r="N283" s="181"/>
      <c r="O283" s="181"/>
      <c r="P283" s="181"/>
    </row>
    <row r="284" spans="1:16" ht="21.75" customHeight="1" x14ac:dyDescent="0.3">
      <c r="A284" s="175"/>
      <c r="B284" s="176"/>
      <c r="C284" s="176"/>
      <c r="D284" s="193"/>
      <c r="E284" s="194" t="s">
        <v>48</v>
      </c>
      <c r="F284" s="195"/>
      <c r="G284" s="196"/>
      <c r="H284" s="186"/>
      <c r="I284" s="187"/>
      <c r="J284" s="197">
        <f ca="1">IFERROR(__xludf.DUMMYFUNCTION("IMPORTRANGE(""https://docs.google.com/spreadsheets/d/11923uPwbBZFjjGgGUA6NLw09EwE0CqkOc4q9oUmW1yo/edit?usp=sharing"",""ลำพูน!J194"")"),1)</f>
        <v>1</v>
      </c>
      <c r="K284" s="163"/>
      <c r="L284" s="181"/>
      <c r="M284" s="181"/>
      <c r="N284" s="181"/>
      <c r="O284" s="181"/>
      <c r="P284" s="181"/>
    </row>
    <row r="285" spans="1:16" ht="21.75" customHeight="1" x14ac:dyDescent="0.3">
      <c r="A285" s="175"/>
      <c r="B285" s="176"/>
      <c r="C285" s="176"/>
      <c r="D285" s="193"/>
      <c r="E285" s="195"/>
      <c r="F285" s="194" t="s">
        <v>110</v>
      </c>
      <c r="G285" s="196"/>
      <c r="H285" s="186" t="s">
        <v>37</v>
      </c>
      <c r="I285" s="187">
        <f ca="1">IFERROR(__xludf.DUMMYFUNCTION("IMPORTRANGE(""https://docs.google.com/spreadsheets/d/11923uPwbBZFjjGgGUA6NLw09EwE0CqkOc4q9oUmW1yo/edit?usp=sharing"",""ลำพูน!I195"")"),15)</f>
        <v>15</v>
      </c>
      <c r="J285" s="188">
        <f ca="1">IFERROR(__xludf.DUMMYFUNCTION("IMPORTRANGE(""https://docs.google.com/spreadsheets/d/11923uPwbBZFjjGgGUA6NLw09EwE0CqkOc4q9oUmW1yo/edit?usp=sharing"",""ลำพูน!J195"")"),15)</f>
        <v>15</v>
      </c>
      <c r="K285" s="163">
        <f ca="1">IF(I285&gt;0,J285*100/I285,0)</f>
        <v>100</v>
      </c>
      <c r="L285" s="181"/>
      <c r="M285" s="181"/>
      <c r="N285" s="181"/>
      <c r="O285" s="181"/>
      <c r="P285" s="181"/>
    </row>
    <row r="286" spans="1:16" ht="21.75" customHeight="1" x14ac:dyDescent="0.3">
      <c r="A286" s="175"/>
      <c r="B286" s="176"/>
      <c r="C286" s="176"/>
      <c r="D286" s="193"/>
      <c r="E286" s="194" t="s">
        <v>54</v>
      </c>
      <c r="F286" s="195"/>
      <c r="G286" s="196"/>
      <c r="H286" s="186"/>
      <c r="I286" s="187"/>
      <c r="J286" s="197">
        <f ca="1">IFERROR(__xludf.DUMMYFUNCTION("IMPORTRANGE(""https://docs.google.com/spreadsheets/d/11923uPwbBZFjjGgGUA6NLw09EwE0CqkOc4q9oUmW1yo/edit?usp=sharing"",""ลำพูน!J196"")"),0)</f>
        <v>0</v>
      </c>
      <c r="K286" s="163"/>
      <c r="L286" s="181"/>
      <c r="M286" s="181"/>
      <c r="N286" s="181"/>
      <c r="O286" s="181"/>
      <c r="P286" s="181"/>
    </row>
    <row r="287" spans="1:16" ht="21.75" customHeight="1" x14ac:dyDescent="0.3">
      <c r="A287" s="175"/>
      <c r="B287" s="176"/>
      <c r="C287" s="176"/>
      <c r="D287" s="205">
        <v>3</v>
      </c>
      <c r="E287" s="206" t="s">
        <v>55</v>
      </c>
      <c r="F287" s="207"/>
      <c r="G287" s="208"/>
      <c r="H287" s="186"/>
      <c r="I287" s="187"/>
      <c r="J287" s="209">
        <f ca="1">IFERROR(__xludf.DUMMYFUNCTION("IMPORTRANGE(""https://docs.google.com/spreadsheets/d/11923uPwbBZFjjGgGUA6NLw09EwE0CqkOc4q9oUmW1yo/edit?usp=sharing"",""ลำพูน!J197"")"),0)</f>
        <v>0</v>
      </c>
      <c r="K287" s="163"/>
      <c r="L287" s="181"/>
      <c r="M287" s="181"/>
      <c r="N287" s="181"/>
      <c r="O287" s="181"/>
      <c r="P287" s="181"/>
    </row>
    <row r="288" spans="1:16" ht="21.75" customHeight="1" x14ac:dyDescent="0.3">
      <c r="A288" s="302" t="s">
        <v>111</v>
      </c>
      <c r="B288" s="303"/>
      <c r="C288" s="303"/>
      <c r="D288" s="304"/>
      <c r="E288" s="303"/>
      <c r="F288" s="303"/>
      <c r="G288" s="317"/>
      <c r="H288" s="318"/>
      <c r="I288" s="319"/>
      <c r="J288" s="319"/>
      <c r="K288" s="320"/>
      <c r="L288" s="320"/>
      <c r="M288" s="320"/>
      <c r="N288" s="320"/>
      <c r="O288" s="309"/>
      <c r="P288" s="309"/>
    </row>
    <row r="289" spans="1:16" ht="21.75" customHeight="1" x14ac:dyDescent="0.3">
      <c r="A289" s="321"/>
      <c r="B289" s="311" t="s">
        <v>112</v>
      </c>
      <c r="C289" s="322"/>
      <c r="D289" s="323"/>
      <c r="E289" s="311"/>
      <c r="F289" s="311"/>
      <c r="G289" s="312"/>
      <c r="H289" s="313" t="s">
        <v>37</v>
      </c>
      <c r="I289" s="314">
        <f ca="1">IFERROR(__xludf.DUMMYFUNCTION("IMPORTRANGE(""https://docs.google.com/spreadsheets/d/11923uPwbBZFjjGgGUA6NLw09EwE0CqkOc4q9oUmW1yo/edit?usp=sharing"",""ลำพูน!I199"")"),0)</f>
        <v>0</v>
      </c>
      <c r="J289" s="314">
        <f ca="1">IFERROR(__xludf.DUMMYFUNCTION("IMPORTRANGE(""https://docs.google.com/spreadsheets/d/11923uPwbBZFjjGgGUA6NLw09EwE0CqkOc4q9oUmW1yo/edit?usp=sharing"",""ลำพูน!J199"")"),0)</f>
        <v>0</v>
      </c>
      <c r="K289" s="315">
        <f ca="1">IF(I289&gt;0,J289*100/I289,0)</f>
        <v>0</v>
      </c>
      <c r="L289" s="316"/>
      <c r="M289" s="316"/>
      <c r="N289" s="316"/>
      <c r="O289" s="315"/>
      <c r="P289" s="315"/>
    </row>
    <row r="290" spans="1:16" ht="21.75" customHeight="1" x14ac:dyDescent="0.45">
      <c r="A290" s="145"/>
      <c r="B290" s="146"/>
      <c r="C290" s="147" t="s">
        <v>16</v>
      </c>
      <c r="D290" s="537" t="s">
        <v>17</v>
      </c>
      <c r="E290" s="528"/>
      <c r="F290" s="528"/>
      <c r="G290" s="528"/>
      <c r="H290" s="148" t="s">
        <v>12</v>
      </c>
      <c r="I290" s="187"/>
      <c r="J290" s="187"/>
      <c r="K290" s="223"/>
      <c r="L290" s="151">
        <f t="shared" ref="L290:N290" ca="1" si="88">L291+L292</f>
        <v>0</v>
      </c>
      <c r="M290" s="151">
        <f t="shared" ca="1" si="88"/>
        <v>0</v>
      </c>
      <c r="N290" s="151">
        <f t="shared" ca="1" si="88"/>
        <v>0</v>
      </c>
      <c r="O290" s="150">
        <f t="shared" ref="O290:O292" ca="1" si="89">IF(L290&gt;0,N290*100/L290,0)</f>
        <v>0</v>
      </c>
      <c r="P290" s="150">
        <f t="shared" ref="P290:P292" ca="1" si="90">IF(M290&gt;0,N290*100/M290,0)</f>
        <v>0</v>
      </c>
    </row>
    <row r="291" spans="1:16" ht="21.75" customHeight="1" x14ac:dyDescent="0.45">
      <c r="A291" s="152"/>
      <c r="B291" s="32"/>
      <c r="C291" s="32"/>
      <c r="D291" s="32"/>
      <c r="E291" s="32"/>
      <c r="F291" s="32"/>
      <c r="G291" s="33" t="s">
        <v>18</v>
      </c>
      <c r="H291" s="153" t="s">
        <v>12</v>
      </c>
      <c r="I291" s="187"/>
      <c r="J291" s="187"/>
      <c r="K291" s="223"/>
      <c r="L291" s="87">
        <f t="shared" ref="L291:N291" si="91">L293+L297</f>
        <v>0</v>
      </c>
      <c r="M291" s="87">
        <f t="shared" si="91"/>
        <v>0</v>
      </c>
      <c r="N291" s="87">
        <f t="shared" si="91"/>
        <v>0</v>
      </c>
      <c r="O291" s="155">
        <f t="shared" si="89"/>
        <v>0</v>
      </c>
      <c r="P291" s="155">
        <f t="shared" si="90"/>
        <v>0</v>
      </c>
    </row>
    <row r="292" spans="1:16" ht="21.75" customHeight="1" x14ac:dyDescent="0.45">
      <c r="A292" s="152"/>
      <c r="B292" s="32"/>
      <c r="C292" s="32"/>
      <c r="D292" s="32"/>
      <c r="E292" s="32"/>
      <c r="F292" s="32"/>
      <c r="G292" s="33" t="s">
        <v>19</v>
      </c>
      <c r="H292" s="153" t="s">
        <v>12</v>
      </c>
      <c r="I292" s="187"/>
      <c r="J292" s="187"/>
      <c r="K292" s="223"/>
      <c r="L292" s="87">
        <f t="shared" ref="L292:N292" ca="1" si="92">L294+L298</f>
        <v>0</v>
      </c>
      <c r="M292" s="87">
        <f t="shared" ca="1" si="92"/>
        <v>0</v>
      </c>
      <c r="N292" s="87">
        <f t="shared" ca="1" si="92"/>
        <v>0</v>
      </c>
      <c r="O292" s="155">
        <f t="shared" ca="1" si="89"/>
        <v>0</v>
      </c>
      <c r="P292" s="155">
        <f t="shared" ca="1" si="90"/>
        <v>0</v>
      </c>
    </row>
    <row r="293" spans="1:16" ht="21.75" customHeight="1" x14ac:dyDescent="0.3">
      <c r="A293" s="156"/>
      <c r="B293" s="157"/>
      <c r="C293" s="157" t="s">
        <v>16</v>
      </c>
      <c r="D293" s="158" t="s">
        <v>38</v>
      </c>
      <c r="E293" s="159"/>
      <c r="F293" s="159"/>
      <c r="G293" s="160" t="s">
        <v>39</v>
      </c>
      <c r="H293" s="161" t="s">
        <v>12</v>
      </c>
      <c r="I293" s="187" t="s">
        <v>40</v>
      </c>
      <c r="J293" s="187"/>
      <c r="K293" s="223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3">
      <c r="A294" s="156"/>
      <c r="B294" s="157"/>
      <c r="C294" s="157"/>
      <c r="D294" s="166"/>
      <c r="E294" s="159"/>
      <c r="F294" s="159" t="s">
        <v>40</v>
      </c>
      <c r="G294" s="160" t="s">
        <v>41</v>
      </c>
      <c r="H294" s="161" t="s">
        <v>12</v>
      </c>
      <c r="I294" s="187"/>
      <c r="J294" s="187"/>
      <c r="K294" s="223"/>
      <c r="L294" s="167">
        <f ca="1">L295+L296</f>
        <v>0</v>
      </c>
      <c r="M294" s="167">
        <f ca="1">IFERROR(__xludf.DUMMYFUNCTION("IMPORTRANGE(""https://docs.google.com/spreadsheets/d/1Yj_ptqi66GCucihVvJfMjLAmec39IyEx_6qawtMGysU/edit?usp=sharing"",""สบก!CT33"")"),0)</f>
        <v>0</v>
      </c>
      <c r="N294" s="168">
        <f ca="1">IFERROR(__xludf.DUMMYFUNCTION("IMPORTRANGE(""https://docs.google.com/spreadsheets/d/1Yj_ptqi66GCucihVvJfMjLAmec39IyEx_6qawtMGysU/edit?usp=sharing"",""สบก!CU33"")"),0)</f>
        <v>0</v>
      </c>
      <c r="O294" s="168">
        <f ca="1">IF(L294&gt;0,N294*100/L294,0)</f>
        <v>0</v>
      </c>
      <c r="P294" s="168">
        <f ca="1">IF(M294&gt;0,N294*100/M294,0)</f>
        <v>0</v>
      </c>
    </row>
    <row r="295" spans="1:16" ht="21.75" customHeight="1" x14ac:dyDescent="0.3">
      <c r="A295" s="156"/>
      <c r="B295" s="157"/>
      <c r="C295" s="157"/>
      <c r="D295" s="166"/>
      <c r="E295" s="159"/>
      <c r="F295" s="159"/>
      <c r="G295" s="169" t="s">
        <v>42</v>
      </c>
      <c r="H295" s="161" t="s">
        <v>12</v>
      </c>
      <c r="I295" s="187"/>
      <c r="J295" s="187"/>
      <c r="K295" s="223"/>
      <c r="L295" s="167">
        <f ca="1">IFERROR(__xludf.DUMMYFUNCTION("IMPORTRANGE(""https://docs.google.com/spreadsheets/d/1Yj_ptqi66GCucihVvJfMjLAmec39IyEx_6qawtMGysU/edit?usp=sharing"",""สบก!CP33"")"),0)</f>
        <v>0</v>
      </c>
      <c r="M295" s="167"/>
      <c r="N295" s="167"/>
      <c r="O295" s="168"/>
      <c r="P295" s="168"/>
    </row>
    <row r="296" spans="1:16" ht="21.75" customHeight="1" x14ac:dyDescent="0.3">
      <c r="A296" s="156"/>
      <c r="B296" s="157"/>
      <c r="C296" s="157"/>
      <c r="D296" s="166"/>
      <c r="E296" s="159"/>
      <c r="F296" s="159"/>
      <c r="G296" s="169" t="s">
        <v>43</v>
      </c>
      <c r="H296" s="161" t="s">
        <v>12</v>
      </c>
      <c r="I296" s="187"/>
      <c r="J296" s="187"/>
      <c r="K296" s="223"/>
      <c r="L296" s="167">
        <f ca="1">IFERROR(__xludf.DUMMYFUNCTION("IMPORTRANGE(""https://docs.google.com/spreadsheets/d/1Yj_ptqi66GCucihVvJfMjLAmec39IyEx_6qawtMGysU/edit?usp=sharing"",""สบก!CQ33"")"),0)</f>
        <v>0</v>
      </c>
      <c r="M296" s="167"/>
      <c r="N296" s="167"/>
      <c r="O296" s="168"/>
      <c r="P296" s="168"/>
    </row>
    <row r="297" spans="1:16" ht="21.75" customHeight="1" x14ac:dyDescent="0.45">
      <c r="A297" s="170"/>
      <c r="B297" s="80"/>
      <c r="C297" s="81" t="s">
        <v>16</v>
      </c>
      <c r="D297" s="534" t="s">
        <v>23</v>
      </c>
      <c r="E297" s="530"/>
      <c r="F297" s="88"/>
      <c r="G297" s="82" t="s">
        <v>18</v>
      </c>
      <c r="H297" s="171" t="s">
        <v>12</v>
      </c>
      <c r="I297" s="187"/>
      <c r="J297" s="187"/>
      <c r="K297" s="223"/>
      <c r="L297" s="41">
        <v>0</v>
      </c>
      <c r="M297" s="41"/>
      <c r="N297" s="41"/>
      <c r="O297" s="41"/>
      <c r="P297" s="41"/>
    </row>
    <row r="298" spans="1:16" ht="21.75" customHeight="1" x14ac:dyDescent="0.45">
      <c r="A298" s="172"/>
      <c r="B298" s="91"/>
      <c r="C298" s="91"/>
      <c r="D298" s="173"/>
      <c r="E298" s="92"/>
      <c r="F298" s="92"/>
      <c r="G298" s="93" t="s">
        <v>19</v>
      </c>
      <c r="H298" s="174" t="s">
        <v>12</v>
      </c>
      <c r="I298" s="187"/>
      <c r="J298" s="187"/>
      <c r="K298" s="223"/>
      <c r="L298" s="49">
        <f ca="1">IFERROR(__xludf.DUMMYFUNCTION("IMPORTRANGE(""https://docs.google.com/spreadsheets/d/1Yj_ptqi66GCucihVvJfMjLAmec39IyEx_6qawtMGysU/edit?usp=sharing"",""สบก!CR33"")"),0)</f>
        <v>0</v>
      </c>
      <c r="M298" s="49"/>
      <c r="N298" s="49">
        <f ca="1">IFERROR(__xludf.DUMMYFUNCTION("IMPORTRANGE(""https://docs.google.com/spreadsheets/d/1Yj_ptqi66GCucihVvJfMjLAmec39IyEx_6qawtMGysU/edit?usp=sharing"",""สบก!CV33"")"),0)</f>
        <v>0</v>
      </c>
      <c r="O298" s="49">
        <f ca="1">IF(L298&gt;0,N298*100/L298,0)</f>
        <v>0</v>
      </c>
      <c r="P298" s="49"/>
    </row>
    <row r="299" spans="1:16" ht="21.75" customHeight="1" x14ac:dyDescent="0.3">
      <c r="A299" s="175"/>
      <c r="B299" s="176"/>
      <c r="C299" s="157" t="s">
        <v>16</v>
      </c>
      <c r="D299" s="177" t="s">
        <v>44</v>
      </c>
      <c r="E299" s="178"/>
      <c r="F299" s="178"/>
      <c r="G299" s="179"/>
      <c r="H299" s="180"/>
      <c r="I299" s="187"/>
      <c r="J299" s="187"/>
      <c r="K299" s="223"/>
      <c r="L299" s="168"/>
      <c r="M299" s="168"/>
      <c r="N299" s="168"/>
      <c r="O299" s="181"/>
      <c r="P299" s="181"/>
    </row>
    <row r="300" spans="1:16" ht="21.75" customHeight="1" x14ac:dyDescent="0.3">
      <c r="A300" s="175"/>
      <c r="B300" s="176"/>
      <c r="C300" s="176"/>
      <c r="D300" s="182">
        <v>1</v>
      </c>
      <c r="E300" s="183" t="s">
        <v>45</v>
      </c>
      <c r="F300" s="184"/>
      <c r="G300" s="185"/>
      <c r="H300" s="186"/>
      <c r="I300" s="187"/>
      <c r="J300" s="187">
        <f ca="1">IFERROR(__xludf.DUMMYFUNCTION("IMPORTRANGE(""https://docs.google.com/spreadsheets/d/11923uPwbBZFjjGgGUA6NLw09EwE0CqkOc4q9oUmW1yo/edit?usp=sharing"",""ลำพูน!J205"")"),0)</f>
        <v>0</v>
      </c>
      <c r="K300" s="223"/>
      <c r="L300" s="168"/>
      <c r="M300" s="168"/>
      <c r="N300" s="168"/>
      <c r="O300" s="181"/>
      <c r="P300" s="181"/>
    </row>
    <row r="301" spans="1:16" ht="21.75" customHeight="1" x14ac:dyDescent="0.3">
      <c r="A301" s="175"/>
      <c r="B301" s="176"/>
      <c r="C301" s="176"/>
      <c r="D301" s="189">
        <v>2</v>
      </c>
      <c r="E301" s="190" t="s">
        <v>46</v>
      </c>
      <c r="F301" s="191"/>
      <c r="G301" s="192"/>
      <c r="H301" s="186"/>
      <c r="I301" s="187"/>
      <c r="J301" s="187">
        <f ca="1">IFERROR(__xludf.DUMMYFUNCTION("IMPORTRANGE(""https://docs.google.com/spreadsheets/d/11923uPwbBZFjjGgGUA6NLw09EwE0CqkOc4q9oUmW1yo/edit?usp=sharing"",""ลำพูน!J206"")"),0)</f>
        <v>0</v>
      </c>
      <c r="K301" s="223"/>
      <c r="L301" s="168" t="s">
        <v>40</v>
      </c>
      <c r="M301" s="168"/>
      <c r="N301" s="168" t="s">
        <v>40</v>
      </c>
      <c r="O301" s="181"/>
      <c r="P301" s="181"/>
    </row>
    <row r="302" spans="1:16" ht="21.75" customHeight="1" x14ac:dyDescent="0.3">
      <c r="A302" s="175"/>
      <c r="B302" s="176"/>
      <c r="C302" s="176"/>
      <c r="D302" s="193"/>
      <c r="E302" s="194" t="s">
        <v>47</v>
      </c>
      <c r="F302" s="195"/>
      <c r="G302" s="196"/>
      <c r="H302" s="186"/>
      <c r="I302" s="187"/>
      <c r="J302" s="187">
        <f ca="1">IFERROR(__xludf.DUMMYFUNCTION("IMPORTRANGE(""https://docs.google.com/spreadsheets/d/11923uPwbBZFjjGgGUA6NLw09EwE0CqkOc4q9oUmW1yo/edit?usp=sharing"",""ลำพูน!J207"")"),0)</f>
        <v>0</v>
      </c>
      <c r="K302" s="223"/>
      <c r="L302" s="168"/>
      <c r="M302" s="168"/>
      <c r="N302" s="168"/>
      <c r="O302" s="181"/>
      <c r="P302" s="181"/>
    </row>
    <row r="303" spans="1:16" ht="21.75" customHeight="1" x14ac:dyDescent="0.3">
      <c r="A303" s="175"/>
      <c r="B303" s="176"/>
      <c r="C303" s="176"/>
      <c r="D303" s="193"/>
      <c r="E303" s="194" t="s">
        <v>48</v>
      </c>
      <c r="F303" s="195"/>
      <c r="G303" s="196"/>
      <c r="H303" s="186"/>
      <c r="I303" s="187"/>
      <c r="J303" s="187">
        <f ca="1">IFERROR(__xludf.DUMMYFUNCTION("IMPORTRANGE(""https://docs.google.com/spreadsheets/d/11923uPwbBZFjjGgGUA6NLw09EwE0CqkOc4q9oUmW1yo/edit?usp=sharing"",""ลำพูน!J208"")"),0)</f>
        <v>0</v>
      </c>
      <c r="K303" s="223"/>
      <c r="L303" s="168"/>
      <c r="M303" s="168"/>
      <c r="N303" s="168"/>
      <c r="O303" s="181"/>
      <c r="P303" s="181"/>
    </row>
    <row r="304" spans="1:16" ht="21.75" customHeight="1" x14ac:dyDescent="0.3">
      <c r="A304" s="175"/>
      <c r="B304" s="176"/>
      <c r="C304" s="176"/>
      <c r="D304" s="193"/>
      <c r="E304" s="198"/>
      <c r="F304" s="194" t="s">
        <v>113</v>
      </c>
      <c r="G304" s="196"/>
      <c r="H304" s="180" t="s">
        <v>37</v>
      </c>
      <c r="I304" s="187">
        <f ca="1">IFERROR(__xludf.DUMMYFUNCTION("IMPORTRANGE(""https://docs.google.com/spreadsheets/d/11923uPwbBZFjjGgGUA6NLw09EwE0CqkOc4q9oUmW1yo/edit?usp=sharing"",""ลำพูน!I209"")"),0)</f>
        <v>0</v>
      </c>
      <c r="J304" s="203">
        <f ca="1">IFERROR(__xludf.DUMMYFUNCTION("IMPORTRANGE(""https://docs.google.com/spreadsheets/d/11923uPwbBZFjjGgGUA6NLw09EwE0CqkOc4q9oUmW1yo/edit?usp=sharing"",""ลำพูน!J209"")"),0)</f>
        <v>0</v>
      </c>
      <c r="K304" s="223">
        <f ca="1">IF(I304&gt;0,J304*100/I304,0)</f>
        <v>0</v>
      </c>
      <c r="L304" s="168"/>
      <c r="M304" s="168"/>
      <c r="N304" s="168"/>
      <c r="O304" s="181"/>
      <c r="P304" s="181"/>
    </row>
    <row r="305" spans="1:16" ht="21.75" customHeight="1" x14ac:dyDescent="0.3">
      <c r="A305" s="175"/>
      <c r="B305" s="176"/>
      <c r="C305" s="176"/>
      <c r="D305" s="193"/>
      <c r="E305" s="198"/>
      <c r="F305" s="194" t="s">
        <v>114</v>
      </c>
      <c r="G305" s="196"/>
      <c r="H305" s="180"/>
      <c r="I305" s="187"/>
      <c r="J305" s="187"/>
      <c r="K305" s="223"/>
      <c r="L305" s="168"/>
      <c r="M305" s="168"/>
      <c r="N305" s="168"/>
      <c r="O305" s="181"/>
      <c r="P305" s="181"/>
    </row>
    <row r="306" spans="1:16" ht="21.75" customHeight="1" x14ac:dyDescent="0.3">
      <c r="A306" s="175"/>
      <c r="B306" s="176"/>
      <c r="C306" s="176"/>
      <c r="D306" s="193"/>
      <c r="E306" s="198"/>
      <c r="F306" s="195" t="s">
        <v>53</v>
      </c>
      <c r="G306" s="196"/>
      <c r="H306" s="180" t="s">
        <v>37</v>
      </c>
      <c r="I306" s="187">
        <f ca="1">IFERROR(__xludf.DUMMYFUNCTION("IMPORTRANGE(""https://docs.google.com/spreadsheets/d/11923uPwbBZFjjGgGUA6NLw09EwE0CqkOc4q9oUmW1yo/edit?usp=sharing"",""ลำพูน!I211"")"),0)</f>
        <v>0</v>
      </c>
      <c r="J306" s="203">
        <f ca="1">IFERROR(__xludf.DUMMYFUNCTION("IMPORTRANGE(""https://docs.google.com/spreadsheets/d/11923uPwbBZFjjGgGUA6NLw09EwE0CqkOc4q9oUmW1yo/edit?usp=sharing"",""ลำพูน!J211"")"),0)</f>
        <v>0</v>
      </c>
      <c r="K306" s="223">
        <f ca="1">IF(I306&gt;0,J306*100/I306,0)</f>
        <v>0</v>
      </c>
      <c r="L306" s="168"/>
      <c r="M306" s="168"/>
      <c r="N306" s="168"/>
      <c r="O306" s="181"/>
      <c r="P306" s="181"/>
    </row>
    <row r="307" spans="1:16" ht="21.75" customHeight="1" x14ac:dyDescent="0.3">
      <c r="A307" s="175"/>
      <c r="B307" s="176"/>
      <c r="C307" s="176"/>
      <c r="D307" s="193"/>
      <c r="E307" s="194" t="s">
        <v>54</v>
      </c>
      <c r="F307" s="195"/>
      <c r="G307" s="196"/>
      <c r="H307" s="186"/>
      <c r="I307" s="187"/>
      <c r="J307" s="187">
        <f ca="1">IFERROR(__xludf.DUMMYFUNCTION("IMPORTRANGE(""https://docs.google.com/spreadsheets/d/11923uPwbBZFjjGgGUA6NLw09EwE0CqkOc4q9oUmW1yo/edit?usp=sharing"",""ลำพูน!J212"")"),0)</f>
        <v>0</v>
      </c>
      <c r="K307" s="223"/>
      <c r="L307" s="168"/>
      <c r="M307" s="168"/>
      <c r="N307" s="168"/>
      <c r="O307" s="181"/>
      <c r="P307" s="181"/>
    </row>
    <row r="308" spans="1:16" ht="21.75" customHeight="1" x14ac:dyDescent="0.3">
      <c r="A308" s="175"/>
      <c r="B308" s="176"/>
      <c r="C308" s="176"/>
      <c r="D308" s="205">
        <v>3</v>
      </c>
      <c r="E308" s="206" t="s">
        <v>55</v>
      </c>
      <c r="F308" s="207"/>
      <c r="G308" s="208"/>
      <c r="H308" s="186"/>
      <c r="I308" s="187"/>
      <c r="J308" s="324">
        <f ca="1">IFERROR(__xludf.DUMMYFUNCTION("IMPORTRANGE(""https://docs.google.com/spreadsheets/d/11923uPwbBZFjjGgGUA6NLw09EwE0CqkOc4q9oUmW1yo/edit?usp=sharing"",""ลำพูน!J213"")"),0)</f>
        <v>0</v>
      </c>
      <c r="K308" s="223"/>
      <c r="L308" s="168"/>
      <c r="M308" s="168"/>
      <c r="N308" s="168"/>
      <c r="O308" s="181"/>
      <c r="P308" s="181"/>
    </row>
    <row r="309" spans="1:16" ht="21.75" customHeight="1" x14ac:dyDescent="0.3">
      <c r="A309" s="325"/>
      <c r="B309" s="326" t="s">
        <v>115</v>
      </c>
      <c r="C309" s="327"/>
      <c r="D309" s="328"/>
      <c r="E309" s="326"/>
      <c r="F309" s="326"/>
      <c r="G309" s="329"/>
      <c r="H309" s="330" t="s">
        <v>116</v>
      </c>
      <c r="I309" s="331">
        <f ca="1">IFERROR(__xludf.DUMMYFUNCTION("IMPORTRANGE(""https://docs.google.com/spreadsheets/d/11923uPwbBZFjjGgGUA6NLw09EwE0CqkOc4q9oUmW1yo/edit?usp=sharing"",""ลำพูน!I214"")"),0)</f>
        <v>0</v>
      </c>
      <c r="J309" s="331">
        <f ca="1">IFERROR(__xludf.DUMMYFUNCTION("IMPORTRANGE(""https://docs.google.com/spreadsheets/d/11923uPwbBZFjjGgGUA6NLw09EwE0CqkOc4q9oUmW1yo/edit?usp=sharing"",""ลำพูน!J214"")"),0)</f>
        <v>0</v>
      </c>
      <c r="K309" s="332">
        <f ca="1">IF(I309&gt;0,J309*100/I309,0)</f>
        <v>0</v>
      </c>
      <c r="L309" s="333"/>
      <c r="M309" s="333"/>
      <c r="N309" s="333"/>
      <c r="O309" s="332"/>
      <c r="P309" s="332"/>
    </row>
    <row r="310" spans="1:16" ht="21.75" customHeight="1" x14ac:dyDescent="0.45">
      <c r="A310" s="145"/>
      <c r="B310" s="146"/>
      <c r="C310" s="147" t="s">
        <v>16</v>
      </c>
      <c r="D310" s="537" t="s">
        <v>17</v>
      </c>
      <c r="E310" s="528"/>
      <c r="F310" s="528"/>
      <c r="G310" s="528"/>
      <c r="H310" s="148" t="s">
        <v>12</v>
      </c>
      <c r="I310" s="334"/>
      <c r="J310" s="334"/>
      <c r="K310" s="335"/>
      <c r="L310" s="151">
        <f t="shared" ref="L310:N310" ca="1" si="93">L311+L312</f>
        <v>0</v>
      </c>
      <c r="M310" s="151">
        <f t="shared" ca="1" si="93"/>
        <v>0</v>
      </c>
      <c r="N310" s="151">
        <f t="shared" ca="1" si="93"/>
        <v>0</v>
      </c>
      <c r="O310" s="150">
        <f t="shared" ref="O310:O312" ca="1" si="94">IF(L310&gt;0,N310*100/L310,0)</f>
        <v>0</v>
      </c>
      <c r="P310" s="150">
        <f t="shared" ref="P310:P312" ca="1" si="95">IF(M310&gt;0,N310*100/M310,0)</f>
        <v>0</v>
      </c>
    </row>
    <row r="311" spans="1:16" ht="21.75" customHeight="1" x14ac:dyDescent="0.45">
      <c r="A311" s="152"/>
      <c r="B311" s="32"/>
      <c r="C311" s="32"/>
      <c r="D311" s="32"/>
      <c r="E311" s="32"/>
      <c r="F311" s="32"/>
      <c r="G311" s="33" t="s">
        <v>18</v>
      </c>
      <c r="H311" s="153" t="s">
        <v>12</v>
      </c>
      <c r="I311" s="334"/>
      <c r="J311" s="334"/>
      <c r="K311" s="335"/>
      <c r="L311" s="87">
        <f t="shared" ref="L311:N311" si="96">L313+L317</f>
        <v>0</v>
      </c>
      <c r="M311" s="87">
        <f t="shared" si="96"/>
        <v>0</v>
      </c>
      <c r="N311" s="87">
        <f t="shared" si="96"/>
        <v>0</v>
      </c>
      <c r="O311" s="155">
        <f t="shared" si="94"/>
        <v>0</v>
      </c>
      <c r="P311" s="155">
        <f t="shared" si="95"/>
        <v>0</v>
      </c>
    </row>
    <row r="312" spans="1:16" ht="21.75" customHeight="1" x14ac:dyDescent="0.45">
      <c r="A312" s="152"/>
      <c r="B312" s="32"/>
      <c r="C312" s="32"/>
      <c r="D312" s="32"/>
      <c r="E312" s="32"/>
      <c r="F312" s="32"/>
      <c r="G312" s="33" t="s">
        <v>19</v>
      </c>
      <c r="H312" s="153" t="s">
        <v>12</v>
      </c>
      <c r="I312" s="334"/>
      <c r="J312" s="334"/>
      <c r="K312" s="335"/>
      <c r="L312" s="87">
        <f t="shared" ref="L312:N312" ca="1" si="97">L314+L318</f>
        <v>0</v>
      </c>
      <c r="M312" s="87">
        <f t="shared" ca="1" si="97"/>
        <v>0</v>
      </c>
      <c r="N312" s="87">
        <f t="shared" ca="1" si="97"/>
        <v>0</v>
      </c>
      <c r="O312" s="155">
        <f t="shared" ca="1" si="94"/>
        <v>0</v>
      </c>
      <c r="P312" s="155">
        <f t="shared" ca="1" si="95"/>
        <v>0</v>
      </c>
    </row>
    <row r="313" spans="1:16" ht="21.75" customHeight="1" x14ac:dyDescent="0.3">
      <c r="A313" s="156"/>
      <c r="B313" s="157"/>
      <c r="C313" s="157" t="s">
        <v>16</v>
      </c>
      <c r="D313" s="158" t="s">
        <v>38</v>
      </c>
      <c r="E313" s="159"/>
      <c r="F313" s="159"/>
      <c r="G313" s="160" t="s">
        <v>39</v>
      </c>
      <c r="H313" s="161" t="s">
        <v>12</v>
      </c>
      <c r="I313" s="162" t="s">
        <v>40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3">
      <c r="A314" s="156"/>
      <c r="B314" s="157"/>
      <c r="C314" s="157"/>
      <c r="D314" s="166"/>
      <c r="E314" s="159"/>
      <c r="F314" s="159" t="s">
        <v>40</v>
      </c>
      <c r="G314" s="160" t="s">
        <v>41</v>
      </c>
      <c r="H314" s="161" t="s">
        <v>12</v>
      </c>
      <c r="I314" s="162"/>
      <c r="J314" s="162"/>
      <c r="K314" s="163"/>
      <c r="L314" s="167">
        <f ca="1">L315+L316</f>
        <v>0</v>
      </c>
      <c r="M314" s="167">
        <f ca="1">IFERROR(__xludf.DUMMYFUNCTION("IMPORTRANGE(""https://docs.google.com/spreadsheets/d/1Yj_ptqi66GCucihVvJfMjLAmec39IyEx_6qawtMGysU/edit?usp=sharing"",""สบก!DC33"")"),0)</f>
        <v>0</v>
      </c>
      <c r="N314" s="168">
        <f ca="1">IFERROR(__xludf.DUMMYFUNCTION("IMPORTRANGE(""https://docs.google.com/spreadsheets/d/1Yj_ptqi66GCucihVvJfMjLAmec39IyEx_6qawtMGysU/edit?usp=sharing"",""สบก!DD33"")"),0)</f>
        <v>0</v>
      </c>
      <c r="O314" s="168">
        <f ca="1">IF(L314&gt;0,N314*100/L314,0)</f>
        <v>0</v>
      </c>
      <c r="P314" s="168">
        <f ca="1">IF(M314&gt;0,N314*100/M314,0)</f>
        <v>0</v>
      </c>
    </row>
    <row r="315" spans="1:16" ht="21.75" customHeight="1" x14ac:dyDescent="0.3">
      <c r="A315" s="156"/>
      <c r="B315" s="157"/>
      <c r="C315" s="157"/>
      <c r="D315" s="166"/>
      <c r="E315" s="159"/>
      <c r="F315" s="159"/>
      <c r="G315" s="169" t="s">
        <v>42</v>
      </c>
      <c r="H315" s="161" t="s">
        <v>12</v>
      </c>
      <c r="I315" s="162"/>
      <c r="J315" s="162"/>
      <c r="K315" s="163"/>
      <c r="L315" s="167">
        <f ca="1">IFERROR(__xludf.DUMMYFUNCTION("IMPORTRANGE(""https://docs.google.com/spreadsheets/d/1Yj_ptqi66GCucihVvJfMjLAmec39IyEx_6qawtMGysU/edit?usp=sharing"",""สบก!CY33"")"),0)</f>
        <v>0</v>
      </c>
      <c r="M315" s="167"/>
      <c r="N315" s="167"/>
      <c r="O315" s="168"/>
      <c r="P315" s="168"/>
    </row>
    <row r="316" spans="1:16" ht="21.75" customHeight="1" x14ac:dyDescent="0.3">
      <c r="A316" s="156"/>
      <c r="B316" s="157"/>
      <c r="C316" s="157"/>
      <c r="D316" s="166"/>
      <c r="E316" s="159"/>
      <c r="F316" s="159"/>
      <c r="G316" s="169" t="s">
        <v>43</v>
      </c>
      <c r="H316" s="161" t="s">
        <v>12</v>
      </c>
      <c r="I316" s="162"/>
      <c r="J316" s="187"/>
      <c r="K316" s="223"/>
      <c r="L316" s="167">
        <f ca="1">IFERROR(__xludf.DUMMYFUNCTION("IMPORTRANGE(""https://docs.google.com/spreadsheets/d/1Yj_ptqi66GCucihVvJfMjLAmec39IyEx_6qawtMGysU/edit?usp=sharing"",""สบก!CZ33"")"),0)</f>
        <v>0</v>
      </c>
      <c r="M316" s="167"/>
      <c r="N316" s="167"/>
      <c r="O316" s="168"/>
      <c r="P316" s="168"/>
    </row>
    <row r="317" spans="1:16" ht="21.75" customHeight="1" x14ac:dyDescent="0.45">
      <c r="A317" s="170"/>
      <c r="B317" s="80"/>
      <c r="C317" s="81" t="s">
        <v>16</v>
      </c>
      <c r="D317" s="534" t="s">
        <v>23</v>
      </c>
      <c r="E317" s="530"/>
      <c r="F317" s="88"/>
      <c r="G317" s="82" t="s">
        <v>18</v>
      </c>
      <c r="H317" s="171" t="s">
        <v>12</v>
      </c>
      <c r="I317" s="162"/>
      <c r="J317" s="187"/>
      <c r="K317" s="223"/>
      <c r="L317" s="41">
        <v>0</v>
      </c>
      <c r="M317" s="41"/>
      <c r="N317" s="41"/>
      <c r="O317" s="41"/>
      <c r="P317" s="41"/>
    </row>
    <row r="318" spans="1:16" ht="21.75" customHeight="1" x14ac:dyDescent="0.45">
      <c r="A318" s="172"/>
      <c r="B318" s="91"/>
      <c r="C318" s="91"/>
      <c r="D318" s="173"/>
      <c r="E318" s="92"/>
      <c r="F318" s="92"/>
      <c r="G318" s="93" t="s">
        <v>19</v>
      </c>
      <c r="H318" s="174" t="s">
        <v>12</v>
      </c>
      <c r="I318" s="162"/>
      <c r="J318" s="187"/>
      <c r="K318" s="223"/>
      <c r="L318" s="49">
        <f ca="1">IFERROR(__xludf.DUMMYFUNCTION("IMPORTRANGE(""https://docs.google.com/spreadsheets/d/1Yj_ptqi66GCucihVvJfMjLAmec39IyEx_6qawtMGysU/edit?usp=sharing"",""สบก!DA33"")"),0)</f>
        <v>0</v>
      </c>
      <c r="M318" s="49"/>
      <c r="N318" s="49">
        <f ca="1">IFERROR(__xludf.DUMMYFUNCTION("IMPORTRANGE(""https://docs.google.com/spreadsheets/d/1Yj_ptqi66GCucihVvJfMjLAmec39IyEx_6qawtMGysU/edit?usp=sharing"",""สบก!DE33"")"),0)</f>
        <v>0</v>
      </c>
      <c r="O318" s="49">
        <f ca="1">IF(L318&gt;0,N318*100/L318,0)</f>
        <v>0</v>
      </c>
      <c r="P318" s="49"/>
    </row>
    <row r="319" spans="1:16" ht="21.75" customHeight="1" x14ac:dyDescent="0.3">
      <c r="A319" s="175"/>
      <c r="B319" s="176"/>
      <c r="C319" s="157" t="s">
        <v>16</v>
      </c>
      <c r="D319" s="177" t="s">
        <v>44</v>
      </c>
      <c r="E319" s="178"/>
      <c r="F319" s="178"/>
      <c r="G319" s="179"/>
      <c r="H319" s="180"/>
      <c r="I319" s="162"/>
      <c r="J319" s="187"/>
      <c r="K319" s="223"/>
      <c r="L319" s="168"/>
      <c r="M319" s="168"/>
      <c r="N319" s="168"/>
      <c r="O319" s="181"/>
      <c r="P319" s="181"/>
    </row>
    <row r="320" spans="1:16" ht="21.75" customHeight="1" x14ac:dyDescent="0.3">
      <c r="A320" s="175"/>
      <c r="B320" s="176"/>
      <c r="C320" s="176"/>
      <c r="D320" s="182">
        <v>1</v>
      </c>
      <c r="E320" s="183" t="s">
        <v>45</v>
      </c>
      <c r="F320" s="184"/>
      <c r="G320" s="185"/>
      <c r="H320" s="186"/>
      <c r="I320" s="187"/>
      <c r="J320" s="187">
        <f ca="1">IFERROR(__xludf.DUMMYFUNCTION("IMPORTRANGE(""https://docs.google.com/spreadsheets/d/11923uPwbBZFjjGgGUA6NLw09EwE0CqkOc4q9oUmW1yo/edit?usp=sharing"",""ลำพูน!J220"")"),0)</f>
        <v>0</v>
      </c>
      <c r="K320" s="223"/>
      <c r="L320" s="168"/>
      <c r="M320" s="168"/>
      <c r="N320" s="168"/>
      <c r="O320" s="181"/>
      <c r="P320" s="181"/>
    </row>
    <row r="321" spans="1:16" ht="21.75" customHeight="1" x14ac:dyDescent="0.3">
      <c r="A321" s="175"/>
      <c r="B321" s="176"/>
      <c r="C321" s="176"/>
      <c r="D321" s="189">
        <v>2</v>
      </c>
      <c r="E321" s="190" t="s">
        <v>46</v>
      </c>
      <c r="F321" s="191"/>
      <c r="G321" s="192"/>
      <c r="H321" s="186"/>
      <c r="I321" s="187"/>
      <c r="J321" s="187">
        <f ca="1">IFERROR(__xludf.DUMMYFUNCTION("IMPORTRANGE(""https://docs.google.com/spreadsheets/d/11923uPwbBZFjjGgGUA6NLw09EwE0CqkOc4q9oUmW1yo/edit?usp=sharing"",""ลำพูน!J221"")"),0)</f>
        <v>0</v>
      </c>
      <c r="K321" s="223"/>
      <c r="L321" s="168" t="s">
        <v>40</v>
      </c>
      <c r="M321" s="168"/>
      <c r="N321" s="168" t="s">
        <v>40</v>
      </c>
      <c r="O321" s="181"/>
      <c r="P321" s="181"/>
    </row>
    <row r="322" spans="1:16" ht="21.75" customHeight="1" x14ac:dyDescent="0.3">
      <c r="A322" s="175"/>
      <c r="B322" s="176"/>
      <c r="C322" s="176"/>
      <c r="D322" s="193"/>
      <c r="E322" s="194" t="s">
        <v>47</v>
      </c>
      <c r="F322" s="195"/>
      <c r="G322" s="196"/>
      <c r="H322" s="186"/>
      <c r="I322" s="187"/>
      <c r="J322" s="187">
        <f ca="1">IFERROR(__xludf.DUMMYFUNCTION("IMPORTRANGE(""https://docs.google.com/spreadsheets/d/11923uPwbBZFjjGgGUA6NLw09EwE0CqkOc4q9oUmW1yo/edit?usp=sharing"",""ลำพูน!J222"")"),0)</f>
        <v>0</v>
      </c>
      <c r="K322" s="223"/>
      <c r="L322" s="168"/>
      <c r="M322" s="168"/>
      <c r="N322" s="168"/>
      <c r="O322" s="181"/>
      <c r="P322" s="181"/>
    </row>
    <row r="323" spans="1:16" ht="21.75" customHeight="1" x14ac:dyDescent="0.3">
      <c r="A323" s="175"/>
      <c r="B323" s="176"/>
      <c r="C323" s="176"/>
      <c r="D323" s="193"/>
      <c r="E323" s="194" t="s">
        <v>48</v>
      </c>
      <c r="F323" s="195"/>
      <c r="G323" s="196"/>
      <c r="H323" s="186"/>
      <c r="I323" s="187"/>
      <c r="J323" s="187">
        <f ca="1">IFERROR(__xludf.DUMMYFUNCTION("IMPORTRANGE(""https://docs.google.com/spreadsheets/d/11923uPwbBZFjjGgGUA6NLw09EwE0CqkOc4q9oUmW1yo/edit?usp=sharing"",""ลำพูน!J223"")"),0)</f>
        <v>0</v>
      </c>
      <c r="K323" s="223"/>
      <c r="L323" s="168"/>
      <c r="M323" s="168"/>
      <c r="N323" s="168"/>
      <c r="O323" s="181"/>
      <c r="P323" s="181"/>
    </row>
    <row r="324" spans="1:16" ht="21.75" customHeight="1" x14ac:dyDescent="0.3">
      <c r="A324" s="175"/>
      <c r="B324" s="176"/>
      <c r="C324" s="176"/>
      <c r="D324" s="193"/>
      <c r="E324" s="198"/>
      <c r="F324" s="194" t="s">
        <v>117</v>
      </c>
      <c r="G324" s="196"/>
      <c r="H324" s="186" t="s">
        <v>116</v>
      </c>
      <c r="I324" s="187">
        <f ca="1">IFERROR(__xludf.DUMMYFUNCTION("IMPORTRANGE(""https://docs.google.com/spreadsheets/d/11923uPwbBZFjjGgGUA6NLw09EwE0CqkOc4q9oUmW1yo/edit?usp=sharing"",""ลำพูน!I224"")"),0)</f>
        <v>0</v>
      </c>
      <c r="J324" s="203">
        <f ca="1">IFERROR(__xludf.DUMMYFUNCTION("IMPORTRANGE(""https://docs.google.com/spreadsheets/d/11923uPwbBZFjjGgGUA6NLw09EwE0CqkOc4q9oUmW1yo/edit?usp=sharing"",""ลำพูน!J224"")"),0)</f>
        <v>0</v>
      </c>
      <c r="K324" s="223">
        <f ca="1">IF(I324&gt;0,J324*100/I324,0)</f>
        <v>0</v>
      </c>
      <c r="L324" s="168"/>
      <c r="M324" s="168"/>
      <c r="N324" s="168"/>
      <c r="O324" s="181"/>
      <c r="P324" s="181"/>
    </row>
    <row r="325" spans="1:16" ht="21.75" customHeight="1" x14ac:dyDescent="0.3">
      <c r="A325" s="175"/>
      <c r="B325" s="176"/>
      <c r="C325" s="176"/>
      <c r="D325" s="193"/>
      <c r="E325" s="194" t="s">
        <v>54</v>
      </c>
      <c r="F325" s="195"/>
      <c r="G325" s="196"/>
      <c r="H325" s="186"/>
      <c r="I325" s="187"/>
      <c r="J325" s="187">
        <f ca="1">IFERROR(__xludf.DUMMYFUNCTION("IMPORTRANGE(""https://docs.google.com/spreadsheets/d/11923uPwbBZFjjGgGUA6NLw09EwE0CqkOc4q9oUmW1yo/edit?usp=sharing"",""ลำพูน!J225"")"),0)</f>
        <v>0</v>
      </c>
      <c r="K325" s="223"/>
      <c r="L325" s="168"/>
      <c r="M325" s="168"/>
      <c r="N325" s="168"/>
      <c r="O325" s="181"/>
      <c r="P325" s="181"/>
    </row>
    <row r="326" spans="1:16" ht="21.75" customHeight="1" x14ac:dyDescent="0.3">
      <c r="A326" s="175"/>
      <c r="B326" s="176"/>
      <c r="C326" s="176"/>
      <c r="D326" s="205">
        <v>3</v>
      </c>
      <c r="E326" s="206" t="s">
        <v>55</v>
      </c>
      <c r="F326" s="207"/>
      <c r="G326" s="208"/>
      <c r="H326" s="186"/>
      <c r="I326" s="187"/>
      <c r="J326" s="226">
        <f ca="1">IFERROR(__xludf.DUMMYFUNCTION("IMPORTRANGE(""https://docs.google.com/spreadsheets/d/11923uPwbBZFjjGgGUA6NLw09EwE0CqkOc4q9oUmW1yo/edit?usp=sharing"",""ลำพูน!J226"")"),0)</f>
        <v>0</v>
      </c>
      <c r="K326" s="223"/>
      <c r="L326" s="168"/>
      <c r="M326" s="168"/>
      <c r="N326" s="168"/>
      <c r="O326" s="181"/>
      <c r="P326" s="181"/>
    </row>
    <row r="327" spans="1:16" ht="21.75" customHeight="1" x14ac:dyDescent="0.3">
      <c r="A327" s="302" t="s">
        <v>118</v>
      </c>
      <c r="B327" s="303"/>
      <c r="C327" s="303"/>
      <c r="D327" s="304"/>
      <c r="E327" s="303"/>
      <c r="F327" s="303"/>
      <c r="G327" s="317"/>
      <c r="H327" s="306"/>
      <c r="I327" s="307"/>
      <c r="J327" s="307"/>
      <c r="K327" s="308"/>
      <c r="L327" s="308"/>
      <c r="M327" s="308"/>
      <c r="N327" s="308"/>
      <c r="O327" s="309"/>
      <c r="P327" s="309"/>
    </row>
    <row r="328" spans="1:16" ht="21.75" customHeight="1" x14ac:dyDescent="0.3">
      <c r="A328" s="310"/>
      <c r="B328" s="336" t="s">
        <v>119</v>
      </c>
      <c r="C328" s="323"/>
      <c r="D328" s="311"/>
      <c r="E328" s="311"/>
      <c r="F328" s="311"/>
      <c r="G328" s="312"/>
      <c r="H328" s="313" t="s">
        <v>37</v>
      </c>
      <c r="I328" s="337">
        <f ca="1">IFERROR(__xludf.DUMMYFUNCTION("IMPORTRANGE(""https://docs.google.com/spreadsheets/d/11923uPwbBZFjjGgGUA6NLw09EwE0CqkOc4q9oUmW1yo/edit?usp=sharing"",""ลำพูน!I228"")"),222)</f>
        <v>222</v>
      </c>
      <c r="J328" s="337">
        <f ca="1">IFERROR(__xludf.DUMMYFUNCTION("IMPORTRANGE(""https://docs.google.com/spreadsheets/d/11923uPwbBZFjjGgGUA6NLw09EwE0CqkOc4q9oUmW1yo/edit?usp=sharing"",""ลำพูน!J228"")"),26)</f>
        <v>26</v>
      </c>
      <c r="K328" s="315">
        <f ca="1">IF(I328&gt;0,J328*100/I328,0)</f>
        <v>11.711711711711711</v>
      </c>
      <c r="L328" s="316"/>
      <c r="M328" s="316"/>
      <c r="N328" s="316"/>
      <c r="O328" s="315"/>
      <c r="P328" s="315"/>
    </row>
    <row r="329" spans="1:16" ht="21.75" customHeight="1" x14ac:dyDescent="0.45">
      <c r="A329" s="145"/>
      <c r="B329" s="146"/>
      <c r="C329" s="147" t="s">
        <v>16</v>
      </c>
      <c r="D329" s="537" t="s">
        <v>17</v>
      </c>
      <c r="E329" s="528"/>
      <c r="F329" s="528"/>
      <c r="G329" s="528"/>
      <c r="H329" s="148" t="s">
        <v>12</v>
      </c>
      <c r="I329" s="162"/>
      <c r="J329" s="162"/>
      <c r="K329" s="163"/>
      <c r="L329" s="151">
        <f t="shared" ref="L329:N329" ca="1" si="98">L330+L331</f>
        <v>733780</v>
      </c>
      <c r="M329" s="151">
        <f t="shared" ca="1" si="98"/>
        <v>386840</v>
      </c>
      <c r="N329" s="151">
        <f t="shared" ca="1" si="98"/>
        <v>249950</v>
      </c>
      <c r="O329" s="150">
        <f t="shared" ref="O329:O331" ca="1" si="99">IF(L329&gt;0,N329*100/L329,0)</f>
        <v>34.063343236392377</v>
      </c>
      <c r="P329" s="150">
        <f t="shared" ref="P329:P331" ca="1" si="100">IF(M329&gt;0,N329*100/M329,0)</f>
        <v>64.613276806948605</v>
      </c>
    </row>
    <row r="330" spans="1:16" ht="21.75" customHeight="1" x14ac:dyDescent="0.45">
      <c r="A330" s="152"/>
      <c r="B330" s="32"/>
      <c r="C330" s="32"/>
      <c r="D330" s="32"/>
      <c r="E330" s="32"/>
      <c r="F330" s="32"/>
      <c r="G330" s="33" t="s">
        <v>18</v>
      </c>
      <c r="H330" s="153" t="s">
        <v>12</v>
      </c>
      <c r="I330" s="162"/>
      <c r="J330" s="162"/>
      <c r="K330" s="163"/>
      <c r="L330" s="87">
        <f t="shared" ref="L330:N330" si="101">L332+L336</f>
        <v>0</v>
      </c>
      <c r="M330" s="87">
        <f t="shared" si="101"/>
        <v>0</v>
      </c>
      <c r="N330" s="87">
        <f t="shared" si="101"/>
        <v>0</v>
      </c>
      <c r="O330" s="155">
        <f t="shared" si="99"/>
        <v>0</v>
      </c>
      <c r="P330" s="155">
        <f t="shared" si="100"/>
        <v>0</v>
      </c>
    </row>
    <row r="331" spans="1:16" ht="21.75" customHeight="1" x14ac:dyDescent="0.45">
      <c r="A331" s="152"/>
      <c r="B331" s="32"/>
      <c r="C331" s="32"/>
      <c r="D331" s="32"/>
      <c r="E331" s="32"/>
      <c r="F331" s="32"/>
      <c r="G331" s="33" t="s">
        <v>19</v>
      </c>
      <c r="H331" s="153" t="s">
        <v>12</v>
      </c>
      <c r="I331" s="162"/>
      <c r="J331" s="162"/>
      <c r="K331" s="163"/>
      <c r="L331" s="87">
        <f t="shared" ref="L331:N331" ca="1" si="102">L333+L337</f>
        <v>733780</v>
      </c>
      <c r="M331" s="87">
        <f t="shared" ca="1" si="102"/>
        <v>386840</v>
      </c>
      <c r="N331" s="87">
        <f t="shared" ca="1" si="102"/>
        <v>249950</v>
      </c>
      <c r="O331" s="155">
        <f t="shared" ca="1" si="99"/>
        <v>34.063343236392377</v>
      </c>
      <c r="P331" s="155">
        <f t="shared" ca="1" si="100"/>
        <v>64.613276806948605</v>
      </c>
    </row>
    <row r="332" spans="1:16" ht="21.75" customHeight="1" x14ac:dyDescent="0.3">
      <c r="A332" s="156"/>
      <c r="B332" s="157"/>
      <c r="C332" s="157" t="s">
        <v>16</v>
      </c>
      <c r="D332" s="158" t="s">
        <v>38</v>
      </c>
      <c r="E332" s="159"/>
      <c r="F332" s="159"/>
      <c r="G332" s="160" t="s">
        <v>39</v>
      </c>
      <c r="H332" s="161" t="s">
        <v>12</v>
      </c>
      <c r="I332" s="162" t="s">
        <v>40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3">
      <c r="A333" s="156"/>
      <c r="B333" s="157"/>
      <c r="C333" s="157"/>
      <c r="D333" s="166"/>
      <c r="E333" s="159"/>
      <c r="F333" s="159" t="s">
        <v>40</v>
      </c>
      <c r="G333" s="160" t="s">
        <v>41</v>
      </c>
      <c r="H333" s="161" t="s">
        <v>12</v>
      </c>
      <c r="I333" s="162"/>
      <c r="J333" s="162"/>
      <c r="K333" s="163"/>
      <c r="L333" s="167">
        <f ca="1">L334+L335</f>
        <v>722380</v>
      </c>
      <c r="M333" s="167">
        <f ca="1">IFERROR(__xludf.DUMMYFUNCTION("IMPORTRANGE(""https://docs.google.com/spreadsheets/d/1Yj_ptqi66GCucihVvJfMjLAmec39IyEx_6qawtMGysU/edit?usp=sharing"",""สบก!DL33"")"),375440)</f>
        <v>375440</v>
      </c>
      <c r="N333" s="168">
        <f ca="1">IFERROR(__xludf.DUMMYFUNCTION("IMPORTRANGE(""https://docs.google.com/spreadsheets/d/1Yj_ptqi66GCucihVvJfMjLAmec39IyEx_6qawtMGysU/edit?usp=sharing"",""สบก!DM33"")"),238550)</f>
        <v>238550</v>
      </c>
      <c r="O333" s="168">
        <f ca="1">IF(L333&gt;0,N333*100/L333,0)</f>
        <v>33.022785791411721</v>
      </c>
      <c r="P333" s="168">
        <f ca="1">IF(M333&gt;0,N333*100/M333,0)</f>
        <v>63.538781163434905</v>
      </c>
    </row>
    <row r="334" spans="1:16" ht="21.75" customHeight="1" x14ac:dyDescent="0.3">
      <c r="A334" s="156"/>
      <c r="B334" s="157"/>
      <c r="C334" s="157"/>
      <c r="D334" s="166"/>
      <c r="E334" s="159"/>
      <c r="F334" s="159"/>
      <c r="G334" s="169" t="s">
        <v>42</v>
      </c>
      <c r="H334" s="161" t="s">
        <v>12</v>
      </c>
      <c r="I334" s="162"/>
      <c r="J334" s="162"/>
      <c r="K334" s="163"/>
      <c r="L334" s="167">
        <f ca="1">IFERROR(__xludf.DUMMYFUNCTION("IMPORTRANGE(""https://docs.google.com/spreadsheets/d/1Yj_ptqi66GCucihVvJfMjLAmec39IyEx_6qawtMGysU/edit?usp=sharing"",""สบก!DH33"")"),417600)</f>
        <v>417600</v>
      </c>
      <c r="M334" s="167"/>
      <c r="N334" s="167"/>
      <c r="O334" s="168"/>
      <c r="P334" s="168"/>
    </row>
    <row r="335" spans="1:16" ht="21.75" customHeight="1" x14ac:dyDescent="0.3">
      <c r="A335" s="156"/>
      <c r="B335" s="157"/>
      <c r="C335" s="157"/>
      <c r="D335" s="166"/>
      <c r="E335" s="159"/>
      <c r="F335" s="159"/>
      <c r="G335" s="169" t="s">
        <v>43</v>
      </c>
      <c r="H335" s="161" t="s">
        <v>12</v>
      </c>
      <c r="I335" s="162"/>
      <c r="J335" s="162"/>
      <c r="K335" s="163"/>
      <c r="L335" s="167">
        <f ca="1">IFERROR(__xludf.DUMMYFUNCTION("IMPORTRANGE(""https://docs.google.com/spreadsheets/d/1Yj_ptqi66GCucihVvJfMjLAmec39IyEx_6qawtMGysU/edit?usp=sharing"",""สบก!DI33"")"),304780)</f>
        <v>304780</v>
      </c>
      <c r="M335" s="167"/>
      <c r="N335" s="167"/>
      <c r="O335" s="168"/>
      <c r="P335" s="168"/>
    </row>
    <row r="336" spans="1:16" ht="21.75" customHeight="1" x14ac:dyDescent="0.45">
      <c r="A336" s="170"/>
      <c r="B336" s="80"/>
      <c r="C336" s="81" t="s">
        <v>16</v>
      </c>
      <c r="D336" s="534" t="s">
        <v>23</v>
      </c>
      <c r="E336" s="530"/>
      <c r="F336" s="88"/>
      <c r="G336" s="82" t="s">
        <v>18</v>
      </c>
      <c r="H336" s="171" t="s">
        <v>12</v>
      </c>
      <c r="I336" s="162"/>
      <c r="J336" s="162"/>
      <c r="K336" s="163"/>
      <c r="L336" s="41">
        <v>0</v>
      </c>
      <c r="M336" s="41"/>
      <c r="N336" s="41"/>
      <c r="O336" s="41"/>
      <c r="P336" s="41"/>
    </row>
    <row r="337" spans="1:16" ht="21.75" customHeight="1" x14ac:dyDescent="0.45">
      <c r="A337" s="172"/>
      <c r="B337" s="91"/>
      <c r="C337" s="91"/>
      <c r="D337" s="173"/>
      <c r="E337" s="92"/>
      <c r="F337" s="92"/>
      <c r="G337" s="93" t="s">
        <v>19</v>
      </c>
      <c r="H337" s="174" t="s">
        <v>12</v>
      </c>
      <c r="I337" s="162"/>
      <c r="J337" s="162"/>
      <c r="K337" s="163"/>
      <c r="L337" s="49">
        <f ca="1">IFERROR(__xludf.DUMMYFUNCTION("IMPORTRANGE(""https://docs.google.com/spreadsheets/d/1Yj_ptqi66GCucihVvJfMjLAmec39IyEx_6qawtMGysU/edit?usp=sharing"",""สบก!DJ33"")"),11400)</f>
        <v>11400</v>
      </c>
      <c r="M337" s="49">
        <f ca="1">L337</f>
        <v>11400</v>
      </c>
      <c r="N337" s="49">
        <f ca="1">IFERROR(__xludf.DUMMYFUNCTION("IMPORTRANGE(""https://docs.google.com/spreadsheets/d/1Yj_ptqi66GCucihVvJfMjLAmec39IyEx_6qawtMGysU/edit?usp=sharing"",""สบก!DN33"")"),11400)</f>
        <v>11400</v>
      </c>
      <c r="O337" s="49">
        <f ca="1">IF(L337&gt;0,N337*100/L337,0)</f>
        <v>100</v>
      </c>
      <c r="P337" s="49">
        <f ca="1">IF(M337&gt;0,N337*100/M337,0)</f>
        <v>100</v>
      </c>
    </row>
    <row r="338" spans="1:16" ht="21.75" customHeight="1" x14ac:dyDescent="0.3">
      <c r="A338" s="175"/>
      <c r="B338" s="289"/>
      <c r="C338" s="338" t="s">
        <v>120</v>
      </c>
      <c r="D338" s="195"/>
      <c r="E338" s="195"/>
      <c r="F338" s="195"/>
      <c r="G338" s="196"/>
      <c r="H338" s="180"/>
      <c r="I338" s="339"/>
      <c r="J338" s="339"/>
      <c r="K338" s="340"/>
      <c r="L338" s="181"/>
      <c r="M338" s="181"/>
      <c r="N338" s="181"/>
      <c r="O338" s="341"/>
      <c r="P338" s="341"/>
    </row>
    <row r="339" spans="1:16" ht="21.75" customHeight="1" x14ac:dyDescent="0.3">
      <c r="A339" s="175"/>
      <c r="B339" s="289"/>
      <c r="C339" s="176"/>
      <c r="D339" s="195"/>
      <c r="E339" s="194" t="s">
        <v>121</v>
      </c>
      <c r="F339" s="195"/>
      <c r="G339" s="196"/>
      <c r="H339" s="342" t="s">
        <v>37</v>
      </c>
      <c r="I339" s="203">
        <f ca="1">IFERROR(__xludf.DUMMYFUNCTION("IMPORTRANGE(""https://docs.google.com/spreadsheets/d/11923uPwbBZFjjGgGUA6NLw09EwE0CqkOc4q9oUmW1yo/edit?usp=sharing"",""ลำพูน!I234"")"),0)</f>
        <v>0</v>
      </c>
      <c r="J339" s="187">
        <f ca="1">IFERROR(__xludf.DUMMYFUNCTION("IMPORTRANGE(""https://docs.google.com/spreadsheets/d/11923uPwbBZFjjGgGUA6NLw09EwE0CqkOc4q9oUmW1yo/edit?usp=sharing"",""ลำพูน!J234"")"),34)</f>
        <v>34</v>
      </c>
      <c r="K339" s="340">
        <f t="shared" ref="K339:K346" ca="1" si="103">IF(I339&gt;0,J339*100/I339,0)</f>
        <v>0</v>
      </c>
      <c r="L339" s="181"/>
      <c r="M339" s="181"/>
      <c r="N339" s="181"/>
      <c r="O339" s="341"/>
      <c r="P339" s="341"/>
    </row>
    <row r="340" spans="1:16" ht="21.75" customHeight="1" x14ac:dyDescent="0.3">
      <c r="A340" s="175"/>
      <c r="B340" s="289"/>
      <c r="C340" s="176"/>
      <c r="D340" s="195"/>
      <c r="E340" s="195"/>
      <c r="F340" s="195"/>
      <c r="G340" s="196"/>
      <c r="H340" s="342" t="s">
        <v>122</v>
      </c>
      <c r="I340" s="187">
        <f ca="1">IFERROR(__xludf.DUMMYFUNCTION("IMPORTRANGE(""https://docs.google.com/spreadsheets/d/11923uPwbBZFjjGgGUA6NLw09EwE0CqkOc4q9oUmW1yo/edit?usp=sharing"",""ลำพูน!I235"")"),700)</f>
        <v>700</v>
      </c>
      <c r="J340" s="187">
        <f ca="1">IFERROR(__xludf.DUMMYFUNCTION("IMPORTRANGE(""https://docs.google.com/spreadsheets/d/11923uPwbBZFjjGgGUA6NLw09EwE0CqkOc4q9oUmW1yo/edit?usp=sharing"",""ลำพูน!J235"")"),88.22)</f>
        <v>88.22</v>
      </c>
      <c r="K340" s="340">
        <f t="shared" ca="1" si="103"/>
        <v>12.602857142857143</v>
      </c>
      <c r="L340" s="181"/>
      <c r="M340" s="181"/>
      <c r="N340" s="181"/>
      <c r="O340" s="341"/>
      <c r="P340" s="341"/>
    </row>
    <row r="341" spans="1:16" ht="21.75" customHeight="1" x14ac:dyDescent="0.3">
      <c r="A341" s="175"/>
      <c r="B341" s="289"/>
      <c r="C341" s="176"/>
      <c r="D341" s="195"/>
      <c r="E341" s="194" t="s">
        <v>123</v>
      </c>
      <c r="F341" s="195"/>
      <c r="G341" s="196"/>
      <c r="H341" s="180" t="s">
        <v>37</v>
      </c>
      <c r="I341" s="187">
        <f ca="1">IFERROR(__xludf.DUMMYFUNCTION("IMPORTRANGE(""https://docs.google.com/spreadsheets/d/11923uPwbBZFjjGgGUA6NLw09EwE0CqkOc4q9oUmW1yo/edit?usp=sharing"",""ลำพูน!I236"")"),222)</f>
        <v>222</v>
      </c>
      <c r="J341" s="187">
        <f ca="1">IFERROR(__xludf.DUMMYFUNCTION("IMPORTRANGE(""https://docs.google.com/spreadsheets/d/11923uPwbBZFjjGgGUA6NLw09EwE0CqkOc4q9oUmW1yo/edit?usp=sharing"",""ลำพูน!J236"")"),26)</f>
        <v>26</v>
      </c>
      <c r="K341" s="340">
        <f t="shared" ca="1" si="103"/>
        <v>11.711711711711711</v>
      </c>
      <c r="L341" s="181"/>
      <c r="M341" s="181"/>
      <c r="N341" s="181"/>
      <c r="O341" s="341"/>
      <c r="P341" s="341"/>
    </row>
    <row r="342" spans="1:16" ht="21.75" customHeight="1" x14ac:dyDescent="0.3">
      <c r="A342" s="175"/>
      <c r="B342" s="289"/>
      <c r="C342" s="176"/>
      <c r="D342" s="195"/>
      <c r="E342" s="195"/>
      <c r="F342" s="195"/>
      <c r="G342" s="196"/>
      <c r="H342" s="180" t="s">
        <v>122</v>
      </c>
      <c r="I342" s="343">
        <f ca="1">IFERROR(__xludf.DUMMYFUNCTION("IMPORTRANGE(""https://docs.google.com/spreadsheets/d/11923uPwbBZFjjGgGUA6NLw09EwE0CqkOc4q9oUmW1yo/edit?usp=sharing"",""ลำพูน!I237"")"),0)</f>
        <v>0</v>
      </c>
      <c r="J342" s="187">
        <f ca="1">IFERROR(__xludf.DUMMYFUNCTION("IMPORTRANGE(""https://docs.google.com/spreadsheets/d/11923uPwbBZFjjGgGUA6NLw09EwE0CqkOc4q9oUmW1yo/edit?usp=sharing"",""ลำพูน!J237"")"),173.64)</f>
        <v>173.64</v>
      </c>
      <c r="K342" s="340">
        <f t="shared" ca="1" si="103"/>
        <v>0</v>
      </c>
      <c r="L342" s="181"/>
      <c r="M342" s="181"/>
      <c r="N342" s="181"/>
      <c r="O342" s="341"/>
      <c r="P342" s="341"/>
    </row>
    <row r="343" spans="1:16" ht="21.75" customHeight="1" x14ac:dyDescent="0.3">
      <c r="A343" s="175"/>
      <c r="B343" s="289"/>
      <c r="C343" s="176"/>
      <c r="D343" s="195"/>
      <c r="E343" s="194" t="s">
        <v>124</v>
      </c>
      <c r="F343" s="195"/>
      <c r="G343" s="196"/>
      <c r="H343" s="180" t="s">
        <v>37</v>
      </c>
      <c r="I343" s="187">
        <f ca="1">IFERROR(__xludf.DUMMYFUNCTION("IMPORTRANGE(""https://docs.google.com/spreadsheets/d/11923uPwbBZFjjGgGUA6NLw09EwE0CqkOc4q9oUmW1yo/edit?usp=sharing"",""ลำพูน!I238"")"),222)</f>
        <v>222</v>
      </c>
      <c r="J343" s="187">
        <f ca="1">IFERROR(__xludf.DUMMYFUNCTION("IMPORTRANGE(""https://docs.google.com/spreadsheets/d/11923uPwbBZFjjGgGUA6NLw09EwE0CqkOc4q9oUmW1yo/edit?usp=sharing"",""ลำพูน!J238"")"),0)</f>
        <v>0</v>
      </c>
      <c r="K343" s="340">
        <f t="shared" ca="1" si="103"/>
        <v>0</v>
      </c>
      <c r="L343" s="181"/>
      <c r="M343" s="181"/>
      <c r="N343" s="181"/>
      <c r="O343" s="341"/>
      <c r="P343" s="341"/>
    </row>
    <row r="344" spans="1:16" ht="21.75" customHeight="1" x14ac:dyDescent="0.3">
      <c r="A344" s="175"/>
      <c r="B344" s="289"/>
      <c r="C344" s="176"/>
      <c r="D344" s="195"/>
      <c r="E344" s="195"/>
      <c r="F344" s="195"/>
      <c r="G344" s="196"/>
      <c r="H344" s="180" t="s">
        <v>122</v>
      </c>
      <c r="I344" s="343">
        <f ca="1">IFERROR(__xludf.DUMMYFUNCTION("IMPORTRANGE(""https://docs.google.com/spreadsheets/d/11923uPwbBZFjjGgGUA6NLw09EwE0CqkOc4q9oUmW1yo/edit?usp=sharing"",""ลำพูน!I239"")"),0)</f>
        <v>0</v>
      </c>
      <c r="J344" s="187">
        <f ca="1">IFERROR(__xludf.DUMMYFUNCTION("IMPORTRANGE(""https://docs.google.com/spreadsheets/d/11923uPwbBZFjjGgGUA6NLw09EwE0CqkOc4q9oUmW1yo/edit?usp=sharing"",""ลำพูน!J239"")"),0)</f>
        <v>0</v>
      </c>
      <c r="K344" s="340">
        <f t="shared" ca="1" si="103"/>
        <v>0</v>
      </c>
      <c r="L344" s="181"/>
      <c r="M344" s="181"/>
      <c r="N344" s="181"/>
      <c r="O344" s="341"/>
      <c r="P344" s="341"/>
    </row>
    <row r="345" spans="1:16" ht="21.75" customHeight="1" x14ac:dyDescent="0.3">
      <c r="A345" s="175"/>
      <c r="B345" s="289"/>
      <c r="C345" s="176"/>
      <c r="D345" s="195"/>
      <c r="E345" s="194" t="s">
        <v>125</v>
      </c>
      <c r="F345" s="195"/>
      <c r="G345" s="196"/>
      <c r="H345" s="180" t="s">
        <v>37</v>
      </c>
      <c r="I345" s="187">
        <f ca="1">IFERROR(__xludf.DUMMYFUNCTION("IMPORTRANGE(""https://docs.google.com/spreadsheets/d/11923uPwbBZFjjGgGUA6NLw09EwE0CqkOc4q9oUmW1yo/edit?usp=sharing"",""ลำพูน!I240"")"),222)</f>
        <v>222</v>
      </c>
      <c r="J345" s="187">
        <f ca="1">IFERROR(__xludf.DUMMYFUNCTION("IMPORTRANGE(""https://docs.google.com/spreadsheets/d/11923uPwbBZFjjGgGUA6NLw09EwE0CqkOc4q9oUmW1yo/edit?usp=sharing"",""ลำพูน!J240"")"),26)</f>
        <v>26</v>
      </c>
      <c r="K345" s="340">
        <f t="shared" ca="1" si="103"/>
        <v>11.711711711711711</v>
      </c>
      <c r="L345" s="181"/>
      <c r="M345" s="181"/>
      <c r="N345" s="181"/>
      <c r="O345" s="341"/>
      <c r="P345" s="341"/>
    </row>
    <row r="346" spans="1:16" ht="21.75" customHeight="1" x14ac:dyDescent="0.3">
      <c r="A346" s="233"/>
      <c r="B346" s="344"/>
      <c r="C346" s="234"/>
      <c r="D346" s="344"/>
      <c r="E346" s="345"/>
      <c r="F346" s="345"/>
      <c r="G346" s="346"/>
      <c r="H346" s="347" t="s">
        <v>122</v>
      </c>
      <c r="I346" s="348">
        <f ca="1">IFERROR(__xludf.DUMMYFUNCTION("IMPORTRANGE(""https://docs.google.com/spreadsheets/d/11923uPwbBZFjjGgGUA6NLw09EwE0CqkOc4q9oUmW1yo/edit?usp=sharing"",""ลำพูน!I241"")"),0)</f>
        <v>0</v>
      </c>
      <c r="J346" s="187">
        <f ca="1">IFERROR(__xludf.DUMMYFUNCTION("IMPORTRANGE(""https://docs.google.com/spreadsheets/d/11923uPwbBZFjjGgGUA6NLw09EwE0CqkOc4q9oUmW1yo/edit?usp=sharing"",""ลำพูน!J241"")"),173.64)</f>
        <v>173.64</v>
      </c>
      <c r="K346" s="349">
        <f t="shared" ca="1" si="103"/>
        <v>0</v>
      </c>
      <c r="L346" s="244"/>
      <c r="M346" s="244"/>
      <c r="N346" s="244"/>
      <c r="O346" s="350"/>
      <c r="P346" s="350"/>
    </row>
    <row r="347" spans="1:16" ht="21.75" customHeight="1" x14ac:dyDescent="0.3">
      <c r="A347" s="351" t="s">
        <v>126</v>
      </c>
      <c r="B347" s="352"/>
      <c r="C347" s="352"/>
      <c r="D347" s="352"/>
      <c r="E347" s="352"/>
      <c r="F347" s="352"/>
      <c r="G347" s="353"/>
      <c r="H347" s="354"/>
      <c r="I347" s="355"/>
      <c r="J347" s="355"/>
      <c r="K347" s="356"/>
      <c r="L347" s="356">
        <f ca="1">IFERROR(__xludf.DUMMYFUNCTION("IMPORTRANGE(""https://docs.google.com/spreadsheets/d/11923uPwbBZFjjGgGUA6NLw09EwE0CqkOc4q9oUmW1yo/edit?usp=sharing"",""ลำพูน!L242"")"),2384110)</f>
        <v>2384110</v>
      </c>
      <c r="M347" s="356"/>
      <c r="N347" s="356">
        <f ca="1">IFERROR(__xludf.DUMMYFUNCTION("IMPORTRANGE(""https://docs.google.com/spreadsheets/d/11923uPwbBZFjjGgGUA6NLw09EwE0CqkOc4q9oUmW1yo/edit?usp=sharing"",""ลำพูน!M242"")"),594138)</f>
        <v>594138</v>
      </c>
      <c r="O347" s="356">
        <f ca="1">+IF(L347&gt;0,N347*100/L347,0)</f>
        <v>24.92074610651354</v>
      </c>
      <c r="P347" s="356"/>
    </row>
    <row r="348" spans="1:16" ht="21.75" customHeight="1" x14ac:dyDescent="0.3">
      <c r="A348" s="357" t="s">
        <v>127</v>
      </c>
      <c r="B348" s="358"/>
      <c r="C348" s="358"/>
      <c r="D348" s="358"/>
      <c r="E348" s="358"/>
      <c r="F348" s="358"/>
      <c r="G348" s="359"/>
      <c r="H348" s="360"/>
      <c r="I348" s="361"/>
      <c r="J348" s="361"/>
      <c r="K348" s="362"/>
      <c r="L348" s="362"/>
      <c r="M348" s="362"/>
      <c r="N348" s="362"/>
      <c r="O348" s="363"/>
      <c r="P348" s="363"/>
    </row>
    <row r="349" spans="1:16" ht="21.75" customHeight="1" x14ac:dyDescent="0.3">
      <c r="A349" s="364"/>
      <c r="B349" s="365">
        <v>1</v>
      </c>
      <c r="C349" s="366" t="s">
        <v>128</v>
      </c>
      <c r="D349" s="366"/>
      <c r="E349" s="366"/>
      <c r="F349" s="366"/>
      <c r="G349" s="367"/>
      <c r="H349" s="368" t="s">
        <v>122</v>
      </c>
      <c r="I349" s="369">
        <f ca="1">IFERROR(__xludf.DUMMYFUNCTION("IMPORTRANGE(""https://docs.google.com/spreadsheets/d/11923uPwbBZFjjGgGUA6NLw09EwE0CqkOc4q9oUmW1yo/edit?usp=sharing"",""ลำพูน!I244"")"),200)</f>
        <v>200</v>
      </c>
      <c r="J349" s="369">
        <f ca="1">IFERROR(__xludf.DUMMYFUNCTION("IMPORTRANGE(""https://docs.google.com/spreadsheets/d/11923uPwbBZFjjGgGUA6NLw09EwE0CqkOc4q9oUmW1yo/edit?usp=sharing"",""ลำพูน!J244"")"),200)</f>
        <v>200</v>
      </c>
      <c r="K349" s="370">
        <f t="shared" ref="K349:K350" ca="1" si="104">IF(I349&gt;0,J349*100/I349,0)</f>
        <v>100</v>
      </c>
      <c r="L349" s="371">
        <f ca="1">IFERROR(__xludf.DUMMYFUNCTION("IMPORTRANGE(""https://docs.google.com/spreadsheets/d/11923uPwbBZFjjGgGUA6NLw09EwE0CqkOc4q9oUmW1yo/edit?usp=sharing"",""ลำพูน!L244"")"),459380)</f>
        <v>459380</v>
      </c>
      <c r="M349" s="371"/>
      <c r="N349" s="371">
        <f ca="1">IFERROR(__xludf.DUMMYFUNCTION("IMPORTRANGE(""https://docs.google.com/spreadsheets/d/11923uPwbBZFjjGgGUA6NLw09EwE0CqkOc4q9oUmW1yo/edit?usp=sharing"",""ลำพูน!M244"")"),323820)</f>
        <v>323820</v>
      </c>
      <c r="O349" s="371">
        <f ca="1">+IF(L349&gt;0,N349*100/L349,0)</f>
        <v>70.490661326135225</v>
      </c>
      <c r="P349" s="371"/>
    </row>
    <row r="350" spans="1:16" ht="21.75" customHeight="1" x14ac:dyDescent="0.3">
      <c r="A350" s="364"/>
      <c r="B350" s="365"/>
      <c r="C350" s="366"/>
      <c r="D350" s="366"/>
      <c r="E350" s="366"/>
      <c r="F350" s="366"/>
      <c r="G350" s="367"/>
      <c r="H350" s="368" t="s">
        <v>37</v>
      </c>
      <c r="I350" s="369">
        <f ca="1">IFERROR(__xludf.DUMMYFUNCTION("IMPORTRANGE(""https://docs.google.com/spreadsheets/d/11923uPwbBZFjjGgGUA6NLw09EwE0CqkOc4q9oUmW1yo/edit?usp=sharing"",""ลำพูน!I245"")"),70)</f>
        <v>70</v>
      </c>
      <c r="J350" s="369">
        <f ca="1">IFERROR(__xludf.DUMMYFUNCTION("IMPORTRANGE(""https://docs.google.com/spreadsheets/d/11923uPwbBZFjjGgGUA6NLw09EwE0CqkOc4q9oUmW1yo/edit?usp=sharing"",""ลำพูน!J245"")"),70)</f>
        <v>70</v>
      </c>
      <c r="K350" s="370">
        <f t="shared" ca="1" si="104"/>
        <v>100</v>
      </c>
      <c r="L350" s="371"/>
      <c r="M350" s="371"/>
      <c r="N350" s="371"/>
      <c r="O350" s="371"/>
      <c r="P350" s="371"/>
    </row>
    <row r="351" spans="1:16" ht="21.75" customHeight="1" x14ac:dyDescent="0.3">
      <c r="A351" s="156"/>
      <c r="B351" s="157"/>
      <c r="C351" s="157" t="s">
        <v>16</v>
      </c>
      <c r="D351" s="158" t="s">
        <v>38</v>
      </c>
      <c r="E351" s="159"/>
      <c r="F351" s="159"/>
      <c r="G351" s="160" t="s">
        <v>39</v>
      </c>
      <c r="H351" s="161" t="s">
        <v>12</v>
      </c>
      <c r="I351" s="162" t="s">
        <v>40</v>
      </c>
      <c r="J351" s="162"/>
      <c r="K351" s="163"/>
      <c r="L351" s="164">
        <f ca="1">IFERROR(__xludf.DUMMYFUNCTION("IMPORTRANGE(""https://docs.google.com/spreadsheets/d/11923uPwbBZFjjGgGUA6NLw09EwE0CqkOc4q9oUmW1yo/edit?usp=sharing"",""ลำพูน!L246"")"),0)</f>
        <v>0</v>
      </c>
      <c r="M351" s="164"/>
      <c r="N351" s="164">
        <f ca="1">IFERROR(__xludf.DUMMYFUNCTION("IMPORTRANGE(""https://docs.google.com/spreadsheets/d/11923uPwbBZFjjGgGUA6NLw09EwE0CqkOc4q9oUmW1yo/edit?usp=sharing"",""ลำพูน!M246"")"),0)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3">
      <c r="A352" s="156"/>
      <c r="B352" s="157"/>
      <c r="C352" s="157"/>
      <c r="D352" s="166"/>
      <c r="E352" s="159"/>
      <c r="F352" s="159" t="s">
        <v>40</v>
      </c>
      <c r="G352" s="160" t="s">
        <v>41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IFERROR(__xludf.DUMMYFUNCTION("IMPORTRANGE(""https://docs.google.com/spreadsheets/d/11923uPwbBZFjjGgGUA6NLw09EwE0CqkOc4q9oUmW1yo/edit?usp=sharing"",""ลำพูน!L247"")"),459380)</f>
        <v>459380</v>
      </c>
      <c r="M352" s="165"/>
      <c r="N352" s="164">
        <f ca="1">IFERROR(__xludf.DUMMYFUNCTION("IMPORTRANGE(""https://docs.google.com/spreadsheets/d/11923uPwbBZFjjGgGUA6NLw09EwE0CqkOc4q9oUmW1yo/edit?usp=sharing"",""ลำพูน!M247"")"),323820)</f>
        <v>323820</v>
      </c>
      <c r="O352" s="165">
        <f t="shared" ca="1" si="105"/>
        <v>70.490661326135225</v>
      </c>
      <c r="P352" s="165"/>
    </row>
    <row r="353" spans="1:16" ht="21.75" customHeight="1" x14ac:dyDescent="0.3">
      <c r="A353" s="156"/>
      <c r="B353" s="157"/>
      <c r="C353" s="157"/>
      <c r="D353" s="166"/>
      <c r="E353" s="159"/>
      <c r="F353" s="159"/>
      <c r="G353" s="372" t="s">
        <v>129</v>
      </c>
      <c r="H353" s="161" t="s">
        <v>12</v>
      </c>
      <c r="I353" s="162"/>
      <c r="J353" s="162"/>
      <c r="K353" s="163"/>
      <c r="L353" s="168">
        <f ca="1">IFERROR(__xludf.DUMMYFUNCTION("IMPORTRANGE(""https://docs.google.com/spreadsheets/d/11923uPwbBZFjjGgGUA6NLw09EwE0CqkOc4q9oUmW1yo/edit?usp=sharing"",""ลำพูน!L248"")"),0)</f>
        <v>0</v>
      </c>
      <c r="M353" s="168"/>
      <c r="N353" s="168">
        <f ca="1">IFERROR(__xludf.DUMMYFUNCTION("IMPORTRANGE(""https://docs.google.com/spreadsheets/d/11923uPwbBZFjjGgGUA6NLw09EwE0CqkOc4q9oUmW1yo/edit?usp=sharing"",""ลำพูน!M248"")"),0)</f>
        <v>0</v>
      </c>
      <c r="O353" s="168">
        <f t="shared" ca="1" si="105"/>
        <v>0</v>
      </c>
      <c r="P353" s="168"/>
    </row>
    <row r="354" spans="1:16" ht="21.75" customHeight="1" x14ac:dyDescent="0.3">
      <c r="A354" s="156"/>
      <c r="B354" s="157"/>
      <c r="C354" s="157"/>
      <c r="D354" s="166"/>
      <c r="E354" s="159"/>
      <c r="F354" s="159"/>
      <c r="G354" s="372" t="s">
        <v>130</v>
      </c>
      <c r="H354" s="161" t="s">
        <v>12</v>
      </c>
      <c r="I354" s="162"/>
      <c r="J354" s="162"/>
      <c r="K354" s="163"/>
      <c r="L354" s="168">
        <f ca="1">IFERROR(__xludf.DUMMYFUNCTION("IMPORTRANGE(""https://docs.google.com/spreadsheets/d/11923uPwbBZFjjGgGUA6NLw09EwE0CqkOc4q9oUmW1yo/edit?usp=sharing"",""ลำพูน!L249"")"),459380)</f>
        <v>459380</v>
      </c>
      <c r="M354" s="168"/>
      <c r="N354" s="167">
        <f ca="1">IFERROR(__xludf.DUMMYFUNCTION("IMPORTRANGE(""https://docs.google.com/spreadsheets/d/11923uPwbBZFjjGgGUA6NLw09EwE0CqkOc4q9oUmW1yo/edit?usp=sharing"",""ลำพูน!M249"")"),323820)</f>
        <v>323820</v>
      </c>
      <c r="O354" s="168">
        <f t="shared" ca="1" si="105"/>
        <v>70.490661326135225</v>
      </c>
      <c r="P354" s="168"/>
    </row>
    <row r="355" spans="1:16" ht="21.75" customHeight="1" x14ac:dyDescent="0.3">
      <c r="A355" s="373"/>
      <c r="B355" s="374"/>
      <c r="C355" s="157"/>
      <c r="D355" s="375"/>
      <c r="E355" s="159"/>
      <c r="F355" s="159"/>
      <c r="G355" s="376" t="s">
        <v>131</v>
      </c>
      <c r="H355" s="161" t="s">
        <v>12</v>
      </c>
      <c r="I355" s="187"/>
      <c r="J355" s="187"/>
      <c r="K355" s="223"/>
      <c r="L355" s="168"/>
      <c r="M355" s="168"/>
      <c r="N355" s="377">
        <f ca="1">IFERROR(__xludf.DUMMYFUNCTION("IMPORTRANGE(""https://docs.google.com/spreadsheets/d/11923uPwbBZFjjGgGUA6NLw09EwE0CqkOc4q9oUmW1yo/edit?usp=sharing"",""ลำพูน!M250"")"),84600)</f>
        <v>84600</v>
      </c>
      <c r="O355" s="168"/>
      <c r="P355" s="168"/>
    </row>
    <row r="356" spans="1:16" ht="21.75" customHeight="1" x14ac:dyDescent="0.3">
      <c r="A356" s="373"/>
      <c r="B356" s="374"/>
      <c r="C356" s="157"/>
      <c r="D356" s="375"/>
      <c r="E356" s="159"/>
      <c r="F356" s="159"/>
      <c r="G356" s="376" t="s">
        <v>132</v>
      </c>
      <c r="H356" s="161" t="s">
        <v>12</v>
      </c>
      <c r="I356" s="187"/>
      <c r="J356" s="187"/>
      <c r="K356" s="223"/>
      <c r="L356" s="168"/>
      <c r="M356" s="168"/>
      <c r="N356" s="377">
        <f ca="1">IFERROR(__xludf.DUMMYFUNCTION("IMPORTRANGE(""https://docs.google.com/spreadsheets/d/11923uPwbBZFjjGgGUA6NLw09EwE0CqkOc4q9oUmW1yo/edit?usp=sharing"",""ลำพูน!M251"")"),183800)</f>
        <v>183800</v>
      </c>
      <c r="O356" s="168"/>
      <c r="P356" s="168"/>
    </row>
    <row r="357" spans="1:16" ht="21.75" customHeight="1" x14ac:dyDescent="0.3">
      <c r="A357" s="373"/>
      <c r="B357" s="374"/>
      <c r="C357" s="157"/>
      <c r="D357" s="375"/>
      <c r="E357" s="159"/>
      <c r="F357" s="159"/>
      <c r="G357" s="376" t="s">
        <v>133</v>
      </c>
      <c r="H357" s="161" t="s">
        <v>12</v>
      </c>
      <c r="I357" s="187"/>
      <c r="J357" s="187"/>
      <c r="K357" s="223"/>
      <c r="L357" s="168"/>
      <c r="M357" s="168"/>
      <c r="N357" s="377">
        <f ca="1">IFERROR(__xludf.DUMMYFUNCTION("IMPORTRANGE(""https://docs.google.com/spreadsheets/d/11923uPwbBZFjjGgGUA6NLw09EwE0CqkOc4q9oUmW1yo/edit?usp=sharing"",""ลำพูน!M252"")"),42935)</f>
        <v>42935</v>
      </c>
      <c r="O357" s="168"/>
      <c r="P357" s="168"/>
    </row>
    <row r="358" spans="1:16" ht="21.75" customHeight="1" x14ac:dyDescent="0.3">
      <c r="A358" s="373"/>
      <c r="B358" s="374"/>
      <c r="C358" s="157"/>
      <c r="D358" s="375"/>
      <c r="E358" s="159"/>
      <c r="F358" s="159"/>
      <c r="G358" s="376" t="s">
        <v>134</v>
      </c>
      <c r="H358" s="161" t="s">
        <v>12</v>
      </c>
      <c r="I358" s="187"/>
      <c r="J358" s="187"/>
      <c r="K358" s="223"/>
      <c r="L358" s="168"/>
      <c r="M358" s="168"/>
      <c r="N358" s="377">
        <f ca="1">IFERROR(__xludf.DUMMYFUNCTION("IMPORTRANGE(""https://docs.google.com/spreadsheets/d/11923uPwbBZFjjGgGUA6NLw09EwE0CqkOc4q9oUmW1yo/edit?usp=sharing"",""ลำพูน!M253"")"),12485)</f>
        <v>12485</v>
      </c>
      <c r="O358" s="168"/>
      <c r="P358" s="168"/>
    </row>
    <row r="359" spans="1:16" ht="21.75" customHeight="1" x14ac:dyDescent="0.3">
      <c r="A359" s="175"/>
      <c r="B359" s="176"/>
      <c r="C359" s="157" t="s">
        <v>16</v>
      </c>
      <c r="D359" s="177" t="s">
        <v>44</v>
      </c>
      <c r="E359" s="178"/>
      <c r="F359" s="178"/>
      <c r="G359" s="179"/>
      <c r="H359" s="180"/>
      <c r="I359" s="162"/>
      <c r="J359" s="162"/>
      <c r="K359" s="163"/>
      <c r="L359" s="181"/>
      <c r="M359" s="181"/>
      <c r="N359" s="181"/>
      <c r="O359" s="181"/>
      <c r="P359" s="181"/>
    </row>
    <row r="360" spans="1:16" ht="21.75" customHeight="1" x14ac:dyDescent="0.3">
      <c r="A360" s="175"/>
      <c r="B360" s="176"/>
      <c r="C360" s="176"/>
      <c r="D360" s="182">
        <v>1</v>
      </c>
      <c r="E360" s="183" t="s">
        <v>45</v>
      </c>
      <c r="F360" s="184"/>
      <c r="G360" s="185"/>
      <c r="H360" s="186"/>
      <c r="I360" s="187"/>
      <c r="J360" s="197">
        <f ca="1">IFERROR(__xludf.DUMMYFUNCTION("IMPORTRANGE(""https://docs.google.com/spreadsheets/d/11923uPwbBZFjjGgGUA6NLw09EwE0CqkOc4q9oUmW1yo/edit?usp=sharing"",""ลำพูน!J255"")"),0)</f>
        <v>0</v>
      </c>
      <c r="K360" s="163"/>
      <c r="L360" s="181"/>
      <c r="M360" s="181"/>
      <c r="N360" s="181"/>
      <c r="O360" s="181"/>
      <c r="P360" s="181"/>
    </row>
    <row r="361" spans="1:16" ht="21.75" customHeight="1" x14ac:dyDescent="0.3">
      <c r="A361" s="175"/>
      <c r="B361" s="176"/>
      <c r="C361" s="176"/>
      <c r="D361" s="189">
        <v>2</v>
      </c>
      <c r="E361" s="190" t="s">
        <v>46</v>
      </c>
      <c r="F361" s="191"/>
      <c r="G361" s="192"/>
      <c r="H361" s="186"/>
      <c r="I361" s="187"/>
      <c r="J361" s="188">
        <f ca="1">IFERROR(__xludf.DUMMYFUNCTION("IMPORTRANGE(""https://docs.google.com/spreadsheets/d/11923uPwbBZFjjGgGUA6NLw09EwE0CqkOc4q9oUmW1yo/edit?usp=sharing"",""ลำพูน!J256"")"),1)</f>
        <v>1</v>
      </c>
      <c r="K361" s="163"/>
      <c r="L361" s="181" t="s">
        <v>40</v>
      </c>
      <c r="M361" s="181"/>
      <c r="N361" s="181" t="s">
        <v>40</v>
      </c>
      <c r="O361" s="181"/>
      <c r="P361" s="181"/>
    </row>
    <row r="362" spans="1:16" ht="21.75" customHeight="1" x14ac:dyDescent="0.3">
      <c r="A362" s="175"/>
      <c r="B362" s="176"/>
      <c r="C362" s="176"/>
      <c r="D362" s="193"/>
      <c r="E362" s="194" t="s">
        <v>47</v>
      </c>
      <c r="F362" s="195"/>
      <c r="G362" s="196"/>
      <c r="H362" s="186"/>
      <c r="I362" s="187"/>
      <c r="J362" s="188">
        <f ca="1">IFERROR(__xludf.DUMMYFUNCTION("IMPORTRANGE(""https://docs.google.com/spreadsheets/d/11923uPwbBZFjjGgGUA6NLw09EwE0CqkOc4q9oUmW1yo/edit?usp=sharing"",""ลำพูน!J257"")"),1)</f>
        <v>1</v>
      </c>
      <c r="K362" s="163"/>
      <c r="L362" s="181"/>
      <c r="M362" s="181"/>
      <c r="N362" s="181"/>
      <c r="O362" s="181"/>
      <c r="P362" s="181"/>
    </row>
    <row r="363" spans="1:16" ht="21.75" customHeight="1" x14ac:dyDescent="0.3">
      <c r="A363" s="175"/>
      <c r="B363" s="176"/>
      <c r="C363" s="176"/>
      <c r="D363" s="193"/>
      <c r="E363" s="194" t="s">
        <v>48</v>
      </c>
      <c r="F363" s="195"/>
      <c r="G363" s="196"/>
      <c r="H363" s="186"/>
      <c r="I363" s="187"/>
      <c r="J363" s="197">
        <f ca="1">IFERROR(__xludf.DUMMYFUNCTION("IMPORTRANGE(""https://docs.google.com/spreadsheets/d/11923uPwbBZFjjGgGUA6NLw09EwE0CqkOc4q9oUmW1yo/edit?usp=sharing"",""ลำพูน!J258"")"),1)</f>
        <v>1</v>
      </c>
      <c r="K363" s="163"/>
      <c r="L363" s="181"/>
      <c r="M363" s="181"/>
      <c r="N363" s="181"/>
      <c r="O363" s="181"/>
      <c r="P363" s="181"/>
    </row>
    <row r="364" spans="1:16" ht="21.75" hidden="1" customHeight="1" x14ac:dyDescent="0.3">
      <c r="A364" s="175"/>
      <c r="B364" s="176"/>
      <c r="C364" s="176"/>
      <c r="D364" s="193"/>
      <c r="E364" s="198"/>
      <c r="F364" s="194" t="s">
        <v>70</v>
      </c>
      <c r="G364" s="196"/>
      <c r="H364" s="180"/>
      <c r="I364" s="187"/>
      <c r="J364" s="187">
        <f ca="1">IFERROR(__xludf.DUMMYFUNCTION("IMPORTRANGE(""https://docs.google.com/spreadsheets/d/11923uPwbBZFjjGgGUA6NLw09EwE0CqkOc4q9oUmW1yo/edit?usp=sharing"",""ลำพูน!J166"")"),0)</f>
        <v>0</v>
      </c>
      <c r="K364" s="163"/>
      <c r="L364" s="181"/>
      <c r="M364" s="181"/>
      <c r="N364" s="181"/>
      <c r="O364" s="181"/>
      <c r="P364" s="181"/>
    </row>
    <row r="365" spans="1:16" ht="21.75" hidden="1" customHeight="1" x14ac:dyDescent="0.3">
      <c r="A365" s="175"/>
      <c r="B365" s="176"/>
      <c r="C365" s="176"/>
      <c r="D365" s="193"/>
      <c r="E365" s="198"/>
      <c r="F365" s="195"/>
      <c r="G365" s="225" t="s">
        <v>135</v>
      </c>
      <c r="H365" s="180" t="s">
        <v>37</v>
      </c>
      <c r="I365" s="187">
        <f ca="1">IFERROR(__xludf.DUMMYFUNCTION("IMPORTRANGE(""https://docs.google.com/spreadsheets/d/1C3CXT74ZlgGe6_JY_1olB1XN4rF0dxEuIIF-xsYjHgg/edit?usp=sharing"",""งบกองทุน!f63"")"),0)</f>
        <v>0</v>
      </c>
      <c r="J365" s="187">
        <f ca="1">IFERROR(__xludf.DUMMYFUNCTION("IMPORTRANGE(""https://docs.google.com/spreadsheets/d/11923uPwbBZFjjGgGUA6NLw09EwE0CqkOc4q9oUmW1yo/edit?usp=sharing"",""ลำพูน!J166"")"),0)</f>
        <v>0</v>
      </c>
      <c r="K365" s="163">
        <f ca="1">IF(I365&gt;0,J365*100/I365,0)</f>
        <v>0</v>
      </c>
      <c r="L365" s="181"/>
      <c r="M365" s="181"/>
      <c r="N365" s="181"/>
      <c r="O365" s="181"/>
      <c r="P365" s="181"/>
    </row>
    <row r="366" spans="1:16" ht="21.75" hidden="1" customHeight="1" x14ac:dyDescent="0.3">
      <c r="A366" s="175"/>
      <c r="B366" s="176"/>
      <c r="C366" s="176"/>
      <c r="D366" s="193"/>
      <c r="E366" s="198"/>
      <c r="F366" s="195"/>
      <c r="G366" s="196" t="s">
        <v>136</v>
      </c>
      <c r="H366" s="180"/>
      <c r="I366" s="162"/>
      <c r="J366" s="187">
        <f ca="1">IFERROR(__xludf.DUMMYFUNCTION("IMPORTRANGE(""https://docs.google.com/spreadsheets/d/11923uPwbBZFjjGgGUA6NLw09EwE0CqkOc4q9oUmW1yo/edit?usp=sharing"",""ลำพูน!J166"")"),0)</f>
        <v>0</v>
      </c>
      <c r="K366" s="163"/>
      <c r="L366" s="181"/>
      <c r="M366" s="181"/>
      <c r="N366" s="181"/>
      <c r="O366" s="181"/>
      <c r="P366" s="181"/>
    </row>
    <row r="367" spans="1:16" ht="21.75" hidden="1" customHeight="1" x14ac:dyDescent="0.3">
      <c r="A367" s="175"/>
      <c r="B367" s="176"/>
      <c r="C367" s="176"/>
      <c r="D367" s="193"/>
      <c r="E367" s="198"/>
      <c r="F367" s="195"/>
      <c r="G367" s="225" t="s">
        <v>137</v>
      </c>
      <c r="H367" s="186" t="s">
        <v>122</v>
      </c>
      <c r="I367" s="187">
        <f ca="1">SUM(I369,I371)</f>
        <v>0</v>
      </c>
      <c r="J367" s="187">
        <f ca="1">IFERROR(__xludf.DUMMYFUNCTION("IMPORTRANGE(""https://docs.google.com/spreadsheets/d/11923uPwbBZFjjGgGUA6NLw09EwE0CqkOc4q9oUmW1yo/edit?usp=sharing"",""ลำพูน!J166"")"),0)</f>
        <v>0</v>
      </c>
      <c r="K367" s="163">
        <f t="shared" ref="K367:K373" ca="1" si="106">IF(I367&gt;0,J367*100/I367,0)</f>
        <v>0</v>
      </c>
      <c r="L367" s="181"/>
      <c r="M367" s="181"/>
      <c r="N367" s="181"/>
      <c r="O367" s="181"/>
      <c r="P367" s="181"/>
    </row>
    <row r="368" spans="1:16" ht="21.75" customHeight="1" x14ac:dyDescent="0.3">
      <c r="A368" s="175"/>
      <c r="B368" s="176"/>
      <c r="C368" s="176"/>
      <c r="D368" s="193"/>
      <c r="E368" s="198"/>
      <c r="F368" s="378" t="s">
        <v>138</v>
      </c>
      <c r="G368" s="379"/>
      <c r="H368" s="186" t="s">
        <v>37</v>
      </c>
      <c r="I368" s="162">
        <f ca="1">IFERROR(__xludf.DUMMYFUNCTION("IMPORTRANGE(""https://docs.google.com/spreadsheets/d/11923uPwbBZFjjGgGUA6NLw09EwE0CqkOc4q9oUmW1yo/edit?usp=sharing"",""ลำพูน!I263"")"),70)</f>
        <v>70</v>
      </c>
      <c r="J368" s="187">
        <f ca="1">IFERROR(__xludf.DUMMYFUNCTION("IMPORTRANGE(""https://docs.google.com/spreadsheets/d/11923uPwbBZFjjGgGUA6NLw09EwE0CqkOc4q9oUmW1yo/edit?usp=sharing"",""ลำพูน!J263"")"),70)</f>
        <v>70</v>
      </c>
      <c r="K368" s="163">
        <f t="shared" ca="1" si="106"/>
        <v>100</v>
      </c>
      <c r="L368" s="181"/>
      <c r="M368" s="181"/>
      <c r="N368" s="181"/>
      <c r="O368" s="181"/>
      <c r="P368" s="181"/>
    </row>
    <row r="369" spans="1:16" ht="21.75" hidden="1" customHeight="1" x14ac:dyDescent="0.3">
      <c r="A369" s="175"/>
      <c r="B369" s="176"/>
      <c r="C369" s="176"/>
      <c r="D369" s="193"/>
      <c r="E369" s="198"/>
      <c r="F369" s="195"/>
      <c r="G369" s="379"/>
      <c r="H369" s="180" t="s">
        <v>122</v>
      </c>
      <c r="I369" s="162">
        <f ca="1">IFERROR(__xludf.DUMMYFUNCTION("IMPORTRANGE(""https://docs.google.com/spreadsheets/d/11923uPwbBZFjjGgGUA6NLw09EwE0CqkOc4q9oUmW1yo/edit?usp=sharing"",""ลำพูน!I164"")"),0)</f>
        <v>0</v>
      </c>
      <c r="J369" s="203">
        <f ca="1">IFERROR(__xludf.DUMMYFUNCTION("IMPORTRANGE(""https://docs.google.com/spreadsheets/d/11923uPwbBZFjjGgGUA6NLw09EwE0CqkOc4q9oUmW1yo/edit?usp=sharing"",""ลำพูน!J164"")"),0)</f>
        <v>0</v>
      </c>
      <c r="K369" s="163">
        <f t="shared" ca="1" si="106"/>
        <v>0</v>
      </c>
      <c r="L369" s="181"/>
      <c r="M369" s="181"/>
      <c r="N369" s="181"/>
      <c r="O369" s="181"/>
      <c r="P369" s="181"/>
    </row>
    <row r="370" spans="1:16" ht="21.75" customHeight="1" x14ac:dyDescent="0.3">
      <c r="A370" s="175"/>
      <c r="B370" s="176"/>
      <c r="C370" s="176"/>
      <c r="D370" s="193"/>
      <c r="E370" s="198"/>
      <c r="F370" s="195"/>
      <c r="G370" s="378" t="s">
        <v>139</v>
      </c>
      <c r="H370" s="180" t="s">
        <v>37</v>
      </c>
      <c r="I370" s="162">
        <f ca="1">IFERROR(__xludf.DUMMYFUNCTION("IMPORTRANGE(""https://docs.google.com/spreadsheets/d/11923uPwbBZFjjGgGUA6NLw09EwE0CqkOc4q9oUmW1yo/edit?usp=sharing"",""ลำพูน!I265"")"),70)</f>
        <v>70</v>
      </c>
      <c r="J370" s="203">
        <f ca="1">IFERROR(__xludf.DUMMYFUNCTION("IMPORTRANGE(""https://docs.google.com/spreadsheets/d/11923uPwbBZFjjGgGUA6NLw09EwE0CqkOc4q9oUmW1yo/edit?usp=sharing"",""ลำพูน!J265"")"),70)</f>
        <v>70</v>
      </c>
      <c r="K370" s="163">
        <f t="shared" ca="1" si="106"/>
        <v>100</v>
      </c>
      <c r="L370" s="181"/>
      <c r="M370" s="181"/>
      <c r="N370" s="181"/>
      <c r="O370" s="181"/>
      <c r="P370" s="181"/>
    </row>
    <row r="371" spans="1:16" ht="21.75" hidden="1" customHeight="1" x14ac:dyDescent="0.3">
      <c r="A371" s="175"/>
      <c r="B371" s="176"/>
      <c r="C371" s="176"/>
      <c r="D371" s="193"/>
      <c r="E371" s="198"/>
      <c r="F371" s="195"/>
      <c r="G371" s="379"/>
      <c r="H371" s="180" t="s">
        <v>122</v>
      </c>
      <c r="I371" s="162">
        <f ca="1">IFERROR(__xludf.DUMMYFUNCTION("IMPORTRANGE(""https://docs.google.com/spreadsheets/d/11923uPwbBZFjjGgGUA6NLw09EwE0CqkOc4q9oUmW1yo/edit?usp=sharing"",""ลำพูน!I164"")"),0)</f>
        <v>0</v>
      </c>
      <c r="J371" s="188">
        <f ca="1">IFERROR(__xludf.DUMMYFUNCTION("IMPORTRANGE(""https://docs.google.com/spreadsheets/d/11923uPwbBZFjjGgGUA6NLw09EwE0CqkOc4q9oUmW1yo/edit?usp=sharing"",""ลำพูน!J164"")"),0)</f>
        <v>0</v>
      </c>
      <c r="K371" s="163">
        <f t="shared" ca="1" si="106"/>
        <v>0</v>
      </c>
      <c r="L371" s="181"/>
      <c r="M371" s="181"/>
      <c r="N371" s="181"/>
      <c r="O371" s="181"/>
      <c r="P371" s="181"/>
    </row>
    <row r="372" spans="1:16" ht="21.75" customHeight="1" x14ac:dyDescent="0.3">
      <c r="A372" s="175"/>
      <c r="B372" s="176"/>
      <c r="C372" s="176"/>
      <c r="D372" s="193"/>
      <c r="E372" s="198"/>
      <c r="F372" s="195"/>
      <c r="G372" s="378" t="s">
        <v>140</v>
      </c>
      <c r="H372" s="180" t="s">
        <v>37</v>
      </c>
      <c r="I372" s="162">
        <f ca="1">IFERROR(__xludf.DUMMYFUNCTION("IMPORTRANGE(""https://docs.google.com/spreadsheets/d/11923uPwbBZFjjGgGUA6NLw09EwE0CqkOc4q9oUmW1yo/edit?usp=sharing"",""ลำพูน!I267"")"),70)</f>
        <v>70</v>
      </c>
      <c r="J372" s="188">
        <f ca="1">IFERROR(__xludf.DUMMYFUNCTION("IMPORTRANGE(""https://docs.google.com/spreadsheets/d/11923uPwbBZFjjGgGUA6NLw09EwE0CqkOc4q9oUmW1yo/edit?usp=sharing"",""ลำพูน!J267"")"),70)</f>
        <v>70</v>
      </c>
      <c r="K372" s="163">
        <f t="shared" ca="1" si="106"/>
        <v>100</v>
      </c>
      <c r="L372" s="181"/>
      <c r="M372" s="181"/>
      <c r="N372" s="181"/>
      <c r="O372" s="181"/>
      <c r="P372" s="181"/>
    </row>
    <row r="373" spans="1:16" ht="21.75" hidden="1" customHeight="1" x14ac:dyDescent="0.3">
      <c r="A373" s="175"/>
      <c r="B373" s="176"/>
      <c r="C373" s="176"/>
      <c r="D373" s="193"/>
      <c r="E373" s="198"/>
      <c r="F373" s="195"/>
      <c r="G373" s="225" t="s">
        <v>141</v>
      </c>
      <c r="H373" s="180" t="s">
        <v>37</v>
      </c>
      <c r="I373" s="187">
        <f ca="1">IFERROR(__xludf.DUMMYFUNCTION("IMPORTRANGE(""https://docs.google.com/spreadsheets/d/11923uPwbBZFjjGgGUA6NLw09EwE0CqkOc4q9oUmW1yo/edit?usp=sharing"",""ลำพูน!I164"")"),0)</f>
        <v>0</v>
      </c>
      <c r="J373" s="203">
        <f ca="1">IFERROR(__xludf.DUMMYFUNCTION("IMPORTRANGE(""https://docs.google.com/spreadsheets/d/11923uPwbBZFjjGgGUA6NLw09EwE0CqkOc4q9oUmW1yo/edit?usp=sharing"",""ลำพูน!J164"")"),0)</f>
        <v>0</v>
      </c>
      <c r="K373" s="163">
        <f t="shared" ca="1" si="106"/>
        <v>0</v>
      </c>
      <c r="L373" s="181"/>
      <c r="M373" s="181"/>
      <c r="N373" s="181"/>
      <c r="O373" s="181"/>
      <c r="P373" s="181"/>
    </row>
    <row r="374" spans="1:16" ht="21.75" hidden="1" customHeight="1" x14ac:dyDescent="0.3">
      <c r="A374" s="175"/>
      <c r="B374" s="176"/>
      <c r="C374" s="176"/>
      <c r="D374" s="193"/>
      <c r="E374" s="198"/>
      <c r="F374" s="195"/>
      <c r="G374" s="196" t="s">
        <v>142</v>
      </c>
      <c r="H374" s="180"/>
      <c r="I374" s="187">
        <f ca="1">IFERROR(__xludf.DUMMYFUNCTION("IMPORTRANGE(""https://docs.google.com/spreadsheets/d/11923uPwbBZFjjGgGUA6NLw09EwE0CqkOc4q9oUmW1yo/edit?usp=sharing"",""ลำพูน!I164"")"),0)</f>
        <v>0</v>
      </c>
      <c r="J374" s="187">
        <f ca="1">IFERROR(__xludf.DUMMYFUNCTION("IMPORTRANGE(""https://docs.google.com/spreadsheets/d/11923uPwbBZFjjGgGUA6NLw09EwE0CqkOc4q9oUmW1yo/edit?usp=sharing"",""ลำพูน!J164"")"),0)</f>
        <v>0</v>
      </c>
      <c r="K374" s="163"/>
      <c r="L374" s="181"/>
      <c r="M374" s="181"/>
      <c r="N374" s="181"/>
      <c r="O374" s="181"/>
      <c r="P374" s="181"/>
    </row>
    <row r="375" spans="1:16" ht="21.75" customHeight="1" x14ac:dyDescent="0.3">
      <c r="A375" s="175"/>
      <c r="B375" s="176"/>
      <c r="C375" s="176"/>
      <c r="D375" s="193"/>
      <c r="E375" s="195"/>
      <c r="F375" s="204" t="s">
        <v>53</v>
      </c>
      <c r="G375" s="196"/>
      <c r="H375" s="278" t="s">
        <v>122</v>
      </c>
      <c r="I375" s="187">
        <f ca="1">IFERROR(__xludf.DUMMYFUNCTION("IMPORTRANGE(""https://docs.google.com/spreadsheets/d/11923uPwbBZFjjGgGUA6NLw09EwE0CqkOc4q9oUmW1yo/edit?usp=sharing"",""ลำพูน!I270"")"),200)</f>
        <v>200</v>
      </c>
      <c r="J375" s="187">
        <f ca="1">IFERROR(__xludf.DUMMYFUNCTION("IMPORTRANGE(""https://docs.google.com/spreadsheets/d/11923uPwbBZFjjGgGUA6NLw09EwE0CqkOc4q9oUmW1yo/edit?usp=sharing"",""ลำพูน!J270"")"),200)</f>
        <v>200</v>
      </c>
      <c r="K375" s="163">
        <f t="shared" ref="K375:K377" ca="1" si="107">IF(I375&gt;0,J375*100/I375,0)</f>
        <v>100</v>
      </c>
      <c r="L375" s="181"/>
      <c r="M375" s="181"/>
      <c r="N375" s="181"/>
      <c r="O375" s="181"/>
      <c r="P375" s="181"/>
    </row>
    <row r="376" spans="1:16" ht="21.75" customHeight="1" x14ac:dyDescent="0.3">
      <c r="A376" s="175"/>
      <c r="B376" s="176"/>
      <c r="C376" s="176"/>
      <c r="D376" s="193"/>
      <c r="E376" s="195"/>
      <c r="F376" s="195"/>
      <c r="G376" s="279" t="s">
        <v>143</v>
      </c>
      <c r="H376" s="278" t="s">
        <v>122</v>
      </c>
      <c r="I376" s="187">
        <f ca="1">IFERROR(__xludf.DUMMYFUNCTION("IMPORTRANGE(""https://docs.google.com/spreadsheets/d/11923uPwbBZFjjGgGUA6NLw09EwE0CqkOc4q9oUmW1yo/edit?usp=sharing"",""ลำพูน!I271"")"),100)</f>
        <v>100</v>
      </c>
      <c r="J376" s="188">
        <f ca="1">IFERROR(__xludf.DUMMYFUNCTION("IMPORTRANGE(""https://docs.google.com/spreadsheets/d/11923uPwbBZFjjGgGUA6NLw09EwE0CqkOc4q9oUmW1yo/edit?usp=sharing"",""ลำพูน!J271"")"),100)</f>
        <v>100</v>
      </c>
      <c r="K376" s="163">
        <f t="shared" ca="1" si="107"/>
        <v>100</v>
      </c>
      <c r="L376" s="181"/>
      <c r="M376" s="181"/>
      <c r="N376" s="181"/>
      <c r="O376" s="181"/>
      <c r="P376" s="181"/>
    </row>
    <row r="377" spans="1:16" ht="21.75" customHeight="1" x14ac:dyDescent="0.3">
      <c r="A377" s="175"/>
      <c r="B377" s="176"/>
      <c r="C377" s="176"/>
      <c r="D377" s="193"/>
      <c r="E377" s="195"/>
      <c r="F377" s="195"/>
      <c r="G377" s="279" t="s">
        <v>144</v>
      </c>
      <c r="H377" s="278" t="s">
        <v>122</v>
      </c>
      <c r="I377" s="187">
        <f ca="1">IFERROR(__xludf.DUMMYFUNCTION("IMPORTRANGE(""https://docs.google.com/spreadsheets/d/11923uPwbBZFjjGgGUA6NLw09EwE0CqkOc4q9oUmW1yo/edit?usp=sharing"",""ลำพูน!I272"")"),100)</f>
        <v>100</v>
      </c>
      <c r="J377" s="203">
        <f ca="1">IFERROR(__xludf.DUMMYFUNCTION("IMPORTRANGE(""https://docs.google.com/spreadsheets/d/11923uPwbBZFjjGgGUA6NLw09EwE0CqkOc4q9oUmW1yo/edit?usp=sharing"",""ลำพูน!J272"")"),100)</f>
        <v>100</v>
      </c>
      <c r="K377" s="163">
        <f t="shared" ca="1" si="107"/>
        <v>100</v>
      </c>
      <c r="L377" s="181"/>
      <c r="M377" s="181"/>
      <c r="N377" s="181"/>
      <c r="O377" s="181"/>
      <c r="P377" s="181"/>
    </row>
    <row r="378" spans="1:16" ht="21.75" customHeight="1" x14ac:dyDescent="0.3">
      <c r="A378" s="175"/>
      <c r="B378" s="176"/>
      <c r="C378" s="176"/>
      <c r="D378" s="193"/>
      <c r="E378" s="194" t="s">
        <v>54</v>
      </c>
      <c r="F378" s="195"/>
      <c r="G378" s="196"/>
      <c r="H378" s="186"/>
      <c r="I378" s="187"/>
      <c r="J378" s="197">
        <f ca="1">IFERROR(__xludf.DUMMYFUNCTION("IMPORTRANGE(""https://docs.google.com/spreadsheets/d/11923uPwbBZFjjGgGUA6NLw09EwE0CqkOc4q9oUmW1yo/edit?usp=sharing"",""ลำพูน!J273"")"),1)</f>
        <v>1</v>
      </c>
      <c r="K378" s="163"/>
      <c r="L378" s="181"/>
      <c r="M378" s="181"/>
      <c r="N378" s="181"/>
      <c r="O378" s="181"/>
      <c r="P378" s="181"/>
    </row>
    <row r="379" spans="1:16" ht="21.75" customHeight="1" x14ac:dyDescent="0.3">
      <c r="A379" s="175"/>
      <c r="B379" s="176"/>
      <c r="C379" s="176"/>
      <c r="D379" s="205">
        <v>3</v>
      </c>
      <c r="E379" s="206" t="s">
        <v>55</v>
      </c>
      <c r="F379" s="207"/>
      <c r="G379" s="208"/>
      <c r="H379" s="186"/>
      <c r="I379" s="187"/>
      <c r="J379" s="209">
        <f ca="1">IFERROR(__xludf.DUMMYFUNCTION("IMPORTRANGE(""https://docs.google.com/spreadsheets/d/11923uPwbBZFjjGgGUA6NLw09EwE0CqkOc4q9oUmW1yo/edit?usp=sharing"",""ลำพูน!J274"")"),0)</f>
        <v>0</v>
      </c>
      <c r="K379" s="163"/>
      <c r="L379" s="181"/>
      <c r="M379" s="181"/>
      <c r="N379" s="181"/>
      <c r="O379" s="181"/>
      <c r="P379" s="181"/>
    </row>
    <row r="380" spans="1:16" ht="21.75" customHeight="1" x14ac:dyDescent="0.3">
      <c r="A380" s="364"/>
      <c r="B380" s="365">
        <v>2</v>
      </c>
      <c r="C380" s="366" t="s">
        <v>145</v>
      </c>
      <c r="D380" s="366"/>
      <c r="E380" s="380"/>
      <c r="F380" s="380"/>
      <c r="G380" s="381"/>
      <c r="H380" s="368" t="s">
        <v>122</v>
      </c>
      <c r="I380" s="369">
        <f ca="1">IFERROR(__xludf.DUMMYFUNCTION("IMPORTRANGE(""https://docs.google.com/spreadsheets/d/11923uPwbBZFjjGgGUA6NLw09EwE0CqkOc4q9oUmW1yo/edit?usp=sharing"",""ลำพูน!I275"")"),1000)</f>
        <v>1000</v>
      </c>
      <c r="J380" s="369">
        <f ca="1">IFERROR(__xludf.DUMMYFUNCTION("IMPORTRANGE(""https://docs.google.com/spreadsheets/d/11923uPwbBZFjjGgGUA6NLw09EwE0CqkOc4q9oUmW1yo/edit?usp=sharing"",""ลำพูน!J275"")"),0)</f>
        <v>0</v>
      </c>
      <c r="K380" s="370">
        <f t="shared" ref="K380:K381" ca="1" si="108">IF(I380&gt;0,J380*100/I380,0)</f>
        <v>0</v>
      </c>
      <c r="L380" s="371">
        <f ca="1">IFERROR(__xludf.DUMMYFUNCTION("IMPORTRANGE(""https://docs.google.com/spreadsheets/d/11923uPwbBZFjjGgGUA6NLw09EwE0CqkOc4q9oUmW1yo/edit?usp=sharing"",""ลำพูน!L275"")"),1028520)</f>
        <v>1028520</v>
      </c>
      <c r="M380" s="371"/>
      <c r="N380" s="371">
        <f ca="1">IFERROR(__xludf.DUMMYFUNCTION("IMPORTRANGE(""https://docs.google.com/spreadsheets/d/11923uPwbBZFjjGgGUA6NLw09EwE0CqkOc4q9oUmW1yo/edit?usp=sharing"",""ลำพูน!M275"")"),77675)</f>
        <v>77675</v>
      </c>
      <c r="O380" s="371">
        <f ca="1">+IF(L380&gt;0,N380*100/L380,0)</f>
        <v>7.552113716796951</v>
      </c>
      <c r="P380" s="371"/>
    </row>
    <row r="381" spans="1:16" ht="21.75" customHeight="1" x14ac:dyDescent="0.3">
      <c r="A381" s="364"/>
      <c r="B381" s="365"/>
      <c r="C381" s="366"/>
      <c r="D381" s="382"/>
      <c r="E381" s="383"/>
      <c r="F381" s="383"/>
      <c r="G381" s="384"/>
      <c r="H381" s="368" t="s">
        <v>37</v>
      </c>
      <c r="I381" s="369">
        <f ca="1">IFERROR(__xludf.DUMMYFUNCTION("IMPORTRANGE(""https://docs.google.com/spreadsheets/d/11923uPwbBZFjjGgGUA6NLw09EwE0CqkOc4q9oUmW1yo/edit?usp=sharing"",""ลำพูน!I276"")"),100)</f>
        <v>100</v>
      </c>
      <c r="J381" s="369">
        <f ca="1">IFERROR(__xludf.DUMMYFUNCTION("IMPORTRANGE(""https://docs.google.com/spreadsheets/d/11923uPwbBZFjjGgGUA6NLw09EwE0CqkOc4q9oUmW1yo/edit?usp=sharing"",""ลำพูน!J276"")"),100)</f>
        <v>100</v>
      </c>
      <c r="K381" s="370">
        <f t="shared" ca="1" si="108"/>
        <v>100</v>
      </c>
      <c r="L381" s="371"/>
      <c r="M381" s="371"/>
      <c r="N381" s="371"/>
      <c r="O381" s="371"/>
      <c r="P381" s="371"/>
    </row>
    <row r="382" spans="1:16" ht="21.75" customHeight="1" x14ac:dyDescent="0.3">
      <c r="A382" s="156"/>
      <c r="B382" s="157"/>
      <c r="C382" s="157" t="s">
        <v>16</v>
      </c>
      <c r="D382" s="158" t="s">
        <v>38</v>
      </c>
      <c r="E382" s="159"/>
      <c r="F382" s="159"/>
      <c r="G382" s="160" t="s">
        <v>39</v>
      </c>
      <c r="H382" s="161" t="s">
        <v>12</v>
      </c>
      <c r="I382" s="162" t="s">
        <v>40</v>
      </c>
      <c r="J382" s="162"/>
      <c r="K382" s="163"/>
      <c r="L382" s="164">
        <f ca="1">IFERROR(__xludf.DUMMYFUNCTION("IMPORTRANGE(""https://docs.google.com/spreadsheets/d/11923uPwbBZFjjGgGUA6NLw09EwE0CqkOc4q9oUmW1yo/edit?usp=sharing"",""ลำพูน!L277"")"),0)</f>
        <v>0</v>
      </c>
      <c r="M382" s="164"/>
      <c r="N382" s="164">
        <f ca="1">IFERROR(__xludf.DUMMYFUNCTION("IMPORTRANGE(""https://docs.google.com/spreadsheets/d/11923uPwbBZFjjGgGUA6NLw09EwE0CqkOc4q9oUmW1yo/edit?usp=sharing"",""ลำพูน!M277"")"),0)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3">
      <c r="A383" s="156"/>
      <c r="B383" s="157"/>
      <c r="C383" s="157"/>
      <c r="D383" s="166"/>
      <c r="E383" s="159"/>
      <c r="F383" s="159" t="s">
        <v>40</v>
      </c>
      <c r="G383" s="160" t="s">
        <v>41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IFERROR(__xludf.DUMMYFUNCTION("IMPORTRANGE(""https://docs.google.com/spreadsheets/d/11923uPwbBZFjjGgGUA6NLw09EwE0CqkOc4q9oUmW1yo/edit?usp=sharing"",""ลำพูน!L278"")"),1028520)</f>
        <v>1028520</v>
      </c>
      <c r="M383" s="165"/>
      <c r="N383" s="165">
        <f ca="1">IFERROR(__xludf.DUMMYFUNCTION("IMPORTRANGE(""https://docs.google.com/spreadsheets/d/11923uPwbBZFjjGgGUA6NLw09EwE0CqkOc4q9oUmW1yo/edit?usp=sharing"",""ลำพูน!M278"")"),77675)</f>
        <v>77675</v>
      </c>
      <c r="O383" s="165">
        <f t="shared" ca="1" si="109"/>
        <v>7.552113716796951</v>
      </c>
      <c r="P383" s="165"/>
    </row>
    <row r="384" spans="1:16" ht="21.75" customHeight="1" x14ac:dyDescent="0.3">
      <c r="A384" s="156"/>
      <c r="B384" s="157"/>
      <c r="C384" s="157"/>
      <c r="D384" s="166"/>
      <c r="E384" s="159"/>
      <c r="F384" s="159"/>
      <c r="G384" s="372" t="s">
        <v>129</v>
      </c>
      <c r="H384" s="161" t="s">
        <v>12</v>
      </c>
      <c r="I384" s="162"/>
      <c r="J384" s="162"/>
      <c r="K384" s="163"/>
      <c r="L384" s="168">
        <f ca="1">IFERROR(__xludf.DUMMYFUNCTION("IMPORTRANGE(""https://docs.google.com/spreadsheets/d/11923uPwbBZFjjGgGUA6NLw09EwE0CqkOc4q9oUmW1yo/edit?usp=sharing"",""ลำพูน!L279"")"),0)</f>
        <v>0</v>
      </c>
      <c r="M384" s="168"/>
      <c r="N384" s="168">
        <f ca="1">IFERROR(__xludf.DUMMYFUNCTION("IMPORTRANGE(""https://docs.google.com/spreadsheets/d/11923uPwbBZFjjGgGUA6NLw09EwE0CqkOc4q9oUmW1yo/edit?usp=sharing"",""ลำพูน!M279"")"),0)</f>
        <v>0</v>
      </c>
      <c r="O384" s="168">
        <f t="shared" ca="1" si="109"/>
        <v>0</v>
      </c>
      <c r="P384" s="168"/>
    </row>
    <row r="385" spans="1:16" ht="21.75" customHeight="1" x14ac:dyDescent="0.3">
      <c r="A385" s="156"/>
      <c r="B385" s="157"/>
      <c r="C385" s="157"/>
      <c r="D385" s="166"/>
      <c r="E385" s="159"/>
      <c r="F385" s="159"/>
      <c r="G385" s="372" t="s">
        <v>130</v>
      </c>
      <c r="H385" s="161" t="s">
        <v>12</v>
      </c>
      <c r="I385" s="162"/>
      <c r="J385" s="162"/>
      <c r="K385" s="163"/>
      <c r="L385" s="168">
        <f ca="1">IFERROR(__xludf.DUMMYFUNCTION("IMPORTRANGE(""https://docs.google.com/spreadsheets/d/11923uPwbBZFjjGgGUA6NLw09EwE0CqkOc4q9oUmW1yo/edit?usp=sharing"",""ลำพูน!L280"")"),1028520)</f>
        <v>1028520</v>
      </c>
      <c r="M385" s="168"/>
      <c r="N385" s="167">
        <f ca="1">IFERROR(__xludf.DUMMYFUNCTION("IMPORTRANGE(""https://docs.google.com/spreadsheets/d/11923uPwbBZFjjGgGUA6NLw09EwE0CqkOc4q9oUmW1yo/edit?usp=sharing"",""ลำพูน!M280"")"),77675)</f>
        <v>77675</v>
      </c>
      <c r="O385" s="168">
        <f t="shared" ca="1" si="109"/>
        <v>7.552113716796951</v>
      </c>
      <c r="P385" s="168"/>
    </row>
    <row r="386" spans="1:16" ht="21.75" customHeight="1" x14ac:dyDescent="0.3">
      <c r="A386" s="373"/>
      <c r="B386" s="374"/>
      <c r="C386" s="157"/>
      <c r="D386" s="375"/>
      <c r="E386" s="159"/>
      <c r="F386" s="159"/>
      <c r="G386" s="376" t="s">
        <v>131</v>
      </c>
      <c r="H386" s="161" t="s">
        <v>12</v>
      </c>
      <c r="I386" s="187"/>
      <c r="J386" s="187"/>
      <c r="K386" s="223"/>
      <c r="L386" s="168"/>
      <c r="M386" s="168"/>
      <c r="N386" s="377">
        <f ca="1">IFERROR(__xludf.DUMMYFUNCTION("IMPORTRANGE(""https://docs.google.com/spreadsheets/d/11923uPwbBZFjjGgGUA6NLw09EwE0CqkOc4q9oUmW1yo/edit?usp=sharing"",""ลำพูน!M281"")"),21740)</f>
        <v>21740</v>
      </c>
      <c r="O386" s="168"/>
      <c r="P386" s="168"/>
    </row>
    <row r="387" spans="1:16" ht="21.75" customHeight="1" x14ac:dyDescent="0.3">
      <c r="A387" s="373"/>
      <c r="B387" s="374"/>
      <c r="C387" s="157"/>
      <c r="D387" s="375"/>
      <c r="E387" s="159"/>
      <c r="F387" s="159"/>
      <c r="G387" s="376" t="s">
        <v>132</v>
      </c>
      <c r="H387" s="161" t="s">
        <v>12</v>
      </c>
      <c r="I387" s="187"/>
      <c r="J387" s="187"/>
      <c r="K387" s="223"/>
      <c r="L387" s="168"/>
      <c r="M387" s="168"/>
      <c r="N387" s="377">
        <f ca="1">IFERROR(__xludf.DUMMYFUNCTION("IMPORTRANGE(""https://docs.google.com/spreadsheets/d/11923uPwbBZFjjGgGUA6NLw09EwE0CqkOc4q9oUmW1yo/edit?usp=sharing"",""ลำพูน!M282"")"),0)</f>
        <v>0</v>
      </c>
      <c r="O387" s="168"/>
      <c r="P387" s="168"/>
    </row>
    <row r="388" spans="1:16" ht="21.75" customHeight="1" x14ac:dyDescent="0.3">
      <c r="A388" s="373"/>
      <c r="B388" s="374"/>
      <c r="C388" s="157"/>
      <c r="D388" s="375"/>
      <c r="E388" s="159"/>
      <c r="F388" s="159"/>
      <c r="G388" s="376" t="s">
        <v>133</v>
      </c>
      <c r="H388" s="161" t="s">
        <v>12</v>
      </c>
      <c r="I388" s="187"/>
      <c r="J388" s="187"/>
      <c r="K388" s="223"/>
      <c r="L388" s="168"/>
      <c r="M388" s="168"/>
      <c r="N388" s="377">
        <f ca="1">IFERROR(__xludf.DUMMYFUNCTION("IMPORTRANGE(""https://docs.google.com/spreadsheets/d/11923uPwbBZFjjGgGUA6NLw09EwE0CqkOc4q9oUmW1yo/edit?usp=sharing"",""ลำพูน!M283"")"),42935)</f>
        <v>42935</v>
      </c>
      <c r="O388" s="168"/>
      <c r="P388" s="168"/>
    </row>
    <row r="389" spans="1:16" ht="21.75" customHeight="1" x14ac:dyDescent="0.3">
      <c r="A389" s="373"/>
      <c r="B389" s="374"/>
      <c r="C389" s="157"/>
      <c r="D389" s="375"/>
      <c r="E389" s="159"/>
      <c r="F389" s="159"/>
      <c r="G389" s="376" t="s">
        <v>134</v>
      </c>
      <c r="H389" s="161" t="s">
        <v>12</v>
      </c>
      <c r="I389" s="187"/>
      <c r="J389" s="187"/>
      <c r="K389" s="223"/>
      <c r="L389" s="168"/>
      <c r="M389" s="168"/>
      <c r="N389" s="377">
        <f ca="1">IFERROR(__xludf.DUMMYFUNCTION("IMPORTRANGE(""https://docs.google.com/spreadsheets/d/11923uPwbBZFjjGgGUA6NLw09EwE0CqkOc4q9oUmW1yo/edit?usp=sharing"",""ลำพูน!M284"")"),13000)</f>
        <v>13000</v>
      </c>
      <c r="O389" s="168"/>
      <c r="P389" s="168"/>
    </row>
    <row r="390" spans="1:16" ht="21.75" customHeight="1" x14ac:dyDescent="0.3">
      <c r="A390" s="175"/>
      <c r="B390" s="176"/>
      <c r="C390" s="157" t="s">
        <v>16</v>
      </c>
      <c r="D390" s="177" t="s">
        <v>44</v>
      </c>
      <c r="E390" s="178"/>
      <c r="F390" s="178"/>
      <c r="G390" s="179"/>
      <c r="H390" s="180"/>
      <c r="I390" s="162"/>
      <c r="J390" s="162"/>
      <c r="K390" s="163"/>
      <c r="L390" s="181"/>
      <c r="M390" s="181"/>
      <c r="N390" s="181"/>
      <c r="O390" s="181"/>
      <c r="P390" s="181"/>
    </row>
    <row r="391" spans="1:16" ht="21.75" customHeight="1" x14ac:dyDescent="0.3">
      <c r="A391" s="175"/>
      <c r="B391" s="176"/>
      <c r="C391" s="176"/>
      <c r="D391" s="182">
        <v>1</v>
      </c>
      <c r="E391" s="183" t="s">
        <v>45</v>
      </c>
      <c r="F391" s="184"/>
      <c r="G391" s="185"/>
      <c r="H391" s="186"/>
      <c r="I391" s="187"/>
      <c r="J391" s="197">
        <f ca="1">IFERROR(__xludf.DUMMYFUNCTION("IMPORTRANGE(""https://docs.google.com/spreadsheets/d/11923uPwbBZFjjGgGUA6NLw09EwE0CqkOc4q9oUmW1yo/edit?usp=sharing"",""ลำพูน!J286"")"),0)</f>
        <v>0</v>
      </c>
      <c r="K391" s="163"/>
      <c r="L391" s="181"/>
      <c r="M391" s="181"/>
      <c r="N391" s="181"/>
      <c r="O391" s="181"/>
      <c r="P391" s="181"/>
    </row>
    <row r="392" spans="1:16" ht="21.75" customHeight="1" x14ac:dyDescent="0.3">
      <c r="A392" s="175"/>
      <c r="B392" s="176"/>
      <c r="C392" s="176"/>
      <c r="D392" s="189">
        <v>2</v>
      </c>
      <c r="E392" s="190" t="s">
        <v>46</v>
      </c>
      <c r="F392" s="191"/>
      <c r="G392" s="192"/>
      <c r="H392" s="186"/>
      <c r="I392" s="187"/>
      <c r="J392" s="188">
        <f ca="1">IFERROR(__xludf.DUMMYFUNCTION("IMPORTRANGE(""https://docs.google.com/spreadsheets/d/11923uPwbBZFjjGgGUA6NLw09EwE0CqkOc4q9oUmW1yo/edit?usp=sharing"",""ลำพูน!J287"")"),1)</f>
        <v>1</v>
      </c>
      <c r="K392" s="163"/>
      <c r="L392" s="181" t="s">
        <v>40</v>
      </c>
      <c r="M392" s="181"/>
      <c r="N392" s="181" t="s">
        <v>40</v>
      </c>
      <c r="O392" s="181"/>
      <c r="P392" s="181"/>
    </row>
    <row r="393" spans="1:16" ht="21.75" customHeight="1" x14ac:dyDescent="0.3">
      <c r="A393" s="175"/>
      <c r="B393" s="176"/>
      <c r="C393" s="176"/>
      <c r="D393" s="193"/>
      <c r="E393" s="194" t="s">
        <v>47</v>
      </c>
      <c r="F393" s="195"/>
      <c r="G393" s="196"/>
      <c r="H393" s="186"/>
      <c r="I393" s="187"/>
      <c r="J393" s="188">
        <f ca="1">IFERROR(__xludf.DUMMYFUNCTION("IMPORTRANGE(""https://docs.google.com/spreadsheets/d/11923uPwbBZFjjGgGUA6NLw09EwE0CqkOc4q9oUmW1yo/edit?usp=sharing"",""ลำพูน!J288"")"),1)</f>
        <v>1</v>
      </c>
      <c r="K393" s="163"/>
      <c r="L393" s="181"/>
      <c r="M393" s="181"/>
      <c r="N393" s="181"/>
      <c r="O393" s="181"/>
      <c r="P393" s="181"/>
    </row>
    <row r="394" spans="1:16" ht="21.75" customHeight="1" x14ac:dyDescent="0.3">
      <c r="A394" s="175"/>
      <c r="B394" s="176"/>
      <c r="C394" s="176"/>
      <c r="D394" s="193"/>
      <c r="E394" s="194" t="s">
        <v>48</v>
      </c>
      <c r="F394" s="195"/>
      <c r="G394" s="196"/>
      <c r="H394" s="186"/>
      <c r="I394" s="187"/>
      <c r="J394" s="197">
        <f ca="1">IFERROR(__xludf.DUMMYFUNCTION("IMPORTRANGE(""https://docs.google.com/spreadsheets/d/11923uPwbBZFjjGgGUA6NLw09EwE0CqkOc4q9oUmW1yo/edit?usp=sharing"",""ลำพูน!J289"")"),1)</f>
        <v>1</v>
      </c>
      <c r="K394" s="163"/>
      <c r="L394" s="181"/>
      <c r="M394" s="181"/>
      <c r="N394" s="181"/>
      <c r="O394" s="181"/>
      <c r="P394" s="181"/>
    </row>
    <row r="395" spans="1:16" ht="21.75" customHeight="1" x14ac:dyDescent="0.3">
      <c r="A395" s="175"/>
      <c r="B395" s="176"/>
      <c r="C395" s="176"/>
      <c r="D395" s="193"/>
      <c r="E395" s="198"/>
      <c r="F395" s="194" t="s">
        <v>146</v>
      </c>
      <c r="G395" s="195"/>
      <c r="H395" s="186"/>
      <c r="I395" s="187"/>
      <c r="J395" s="187"/>
      <c r="K395" s="163"/>
      <c r="L395" s="181"/>
      <c r="M395" s="181"/>
      <c r="N395" s="181"/>
      <c r="O395" s="181"/>
      <c r="P395" s="181"/>
    </row>
    <row r="396" spans="1:16" ht="21.75" customHeight="1" x14ac:dyDescent="0.3">
      <c r="A396" s="175"/>
      <c r="B396" s="176"/>
      <c r="C396" s="176"/>
      <c r="D396" s="193"/>
      <c r="E396" s="198"/>
      <c r="F396" s="195"/>
      <c r="G396" s="291" t="s">
        <v>70</v>
      </c>
      <c r="H396" s="186" t="s">
        <v>37</v>
      </c>
      <c r="I396" s="187">
        <f ca="1">IFERROR(__xludf.DUMMYFUNCTION("IMPORTRANGE(""https://docs.google.com/spreadsheets/d/11923uPwbBZFjjGgGUA6NLw09EwE0CqkOc4q9oUmW1yo/edit?usp=sharing"",""ลำพูน!I291"")"),100)</f>
        <v>100</v>
      </c>
      <c r="J396" s="197">
        <f ca="1">IFERROR(__xludf.DUMMYFUNCTION("IMPORTRANGE(""https://docs.google.com/spreadsheets/d/11923uPwbBZFjjGgGUA6NLw09EwE0CqkOc4q9oUmW1yo/edit?usp=sharing"",""ลำพูน!J291"")"),100)</f>
        <v>100</v>
      </c>
      <c r="K396" s="163">
        <f t="shared" ref="K396:K398" ca="1" si="110">IF(I396&gt;0,J396*100/I396,0)</f>
        <v>100</v>
      </c>
      <c r="L396" s="181"/>
      <c r="M396" s="181"/>
      <c r="N396" s="181"/>
      <c r="O396" s="181"/>
      <c r="P396" s="181"/>
    </row>
    <row r="397" spans="1:16" ht="21.75" customHeight="1" x14ac:dyDescent="0.3">
      <c r="A397" s="175"/>
      <c r="B397" s="176"/>
      <c r="C397" s="176"/>
      <c r="D397" s="193"/>
      <c r="E397" s="198"/>
      <c r="F397" s="195"/>
      <c r="G397" s="196" t="s">
        <v>53</v>
      </c>
      <c r="H397" s="186" t="s">
        <v>122</v>
      </c>
      <c r="I397" s="187">
        <f ca="1">IFERROR(__xludf.DUMMYFUNCTION("IMPORTRANGE(""https://docs.google.com/spreadsheets/d/11923uPwbBZFjjGgGUA6NLw09EwE0CqkOc4q9oUmW1yo/edit?usp=sharing"",""ลำพูน!I292"")"),1000)</f>
        <v>1000</v>
      </c>
      <c r="J397" s="197">
        <f ca="1">IFERROR(__xludf.DUMMYFUNCTION("IMPORTRANGE(""https://docs.google.com/spreadsheets/d/11923uPwbBZFjjGgGUA6NLw09EwE0CqkOc4q9oUmW1yo/edit?usp=sharing"",""ลำพูน!J292"")"),0)</f>
        <v>0</v>
      </c>
      <c r="K397" s="163">
        <f t="shared" ca="1" si="110"/>
        <v>0</v>
      </c>
      <c r="L397" s="181"/>
      <c r="M397" s="181"/>
      <c r="N397" s="181"/>
      <c r="O397" s="181"/>
      <c r="P397" s="181"/>
    </row>
    <row r="398" spans="1:16" ht="21.75" customHeight="1" x14ac:dyDescent="0.3">
      <c r="A398" s="175"/>
      <c r="B398" s="176"/>
      <c r="C398" s="176"/>
      <c r="D398" s="193"/>
      <c r="E398" s="198"/>
      <c r="F398" s="195"/>
      <c r="G398" s="196"/>
      <c r="H398" s="186" t="s">
        <v>37</v>
      </c>
      <c r="I398" s="187">
        <f ca="1">IFERROR(__xludf.DUMMYFUNCTION("IMPORTRANGE(""https://docs.google.com/spreadsheets/d/11923uPwbBZFjjGgGUA6NLw09EwE0CqkOc4q9oUmW1yo/edit?usp=sharing"",""ลำพูน!I293"")"),100)</f>
        <v>100</v>
      </c>
      <c r="J398" s="197">
        <f ca="1">IFERROR(__xludf.DUMMYFUNCTION("IMPORTRANGE(""https://docs.google.com/spreadsheets/d/11923uPwbBZFjjGgGUA6NLw09EwE0CqkOc4q9oUmW1yo/edit?usp=sharing"",""ลำพูน!J293"")"),0)</f>
        <v>0</v>
      </c>
      <c r="K398" s="163">
        <f t="shared" ca="1" si="110"/>
        <v>0</v>
      </c>
      <c r="L398" s="181"/>
      <c r="M398" s="181"/>
      <c r="N398" s="181"/>
      <c r="O398" s="181"/>
      <c r="P398" s="181"/>
    </row>
    <row r="399" spans="1:16" ht="21.75" customHeight="1" x14ac:dyDescent="0.3">
      <c r="A399" s="175"/>
      <c r="B399" s="176"/>
      <c r="C399" s="176"/>
      <c r="D399" s="193"/>
      <c r="E399" s="194" t="s">
        <v>54</v>
      </c>
      <c r="F399" s="195"/>
      <c r="G399" s="196"/>
      <c r="H399" s="186"/>
      <c r="I399" s="187"/>
      <c r="J399" s="197">
        <f ca="1">IFERROR(__xludf.DUMMYFUNCTION("IMPORTRANGE(""https://docs.google.com/spreadsheets/d/11923uPwbBZFjjGgGUA6NLw09EwE0CqkOc4q9oUmW1yo/edit?usp=sharing"",""ลำพูน!J294"")"),0)</f>
        <v>0</v>
      </c>
      <c r="K399" s="163"/>
      <c r="L399" s="181"/>
      <c r="M399" s="181"/>
      <c r="N399" s="181"/>
      <c r="O399" s="181"/>
      <c r="P399" s="181"/>
    </row>
    <row r="400" spans="1:16" ht="21.75" customHeight="1" x14ac:dyDescent="0.3">
      <c r="A400" s="175"/>
      <c r="B400" s="176"/>
      <c r="C400" s="176"/>
      <c r="D400" s="205">
        <v>3</v>
      </c>
      <c r="E400" s="206" t="s">
        <v>55</v>
      </c>
      <c r="F400" s="207"/>
      <c r="G400" s="208"/>
      <c r="H400" s="186"/>
      <c r="I400" s="187"/>
      <c r="J400" s="209">
        <f ca="1">IFERROR(__xludf.DUMMYFUNCTION("IMPORTRANGE(""https://docs.google.com/spreadsheets/d/11923uPwbBZFjjGgGUA6NLw09EwE0CqkOc4q9oUmW1yo/edit?usp=sharing"",""ลำพูน!J295"")"),0)</f>
        <v>0</v>
      </c>
      <c r="K400" s="163"/>
      <c r="L400" s="181"/>
      <c r="M400" s="181"/>
      <c r="N400" s="181"/>
      <c r="O400" s="181"/>
      <c r="P400" s="181"/>
    </row>
    <row r="401" spans="1:16" ht="21.75" customHeight="1" x14ac:dyDescent="0.3">
      <c r="A401" s="364"/>
      <c r="B401" s="365">
        <v>3</v>
      </c>
      <c r="C401" s="365" t="s">
        <v>147</v>
      </c>
      <c r="D401" s="366"/>
      <c r="E401" s="366"/>
      <c r="F401" s="366"/>
      <c r="G401" s="367"/>
      <c r="H401" s="368" t="s">
        <v>122</v>
      </c>
      <c r="I401" s="369">
        <f ca="1">IFERROR(__xludf.DUMMYFUNCTION("IMPORTRANGE(""https://docs.google.com/spreadsheets/d/11923uPwbBZFjjGgGUA6NLw09EwE0CqkOc4q9oUmW1yo/edit?usp=sharing"",""ลำพูน!I296"")"),165)</f>
        <v>165</v>
      </c>
      <c r="J401" s="369">
        <f ca="1">IFERROR(__xludf.DUMMYFUNCTION("IMPORTRANGE(""https://docs.google.com/spreadsheets/d/11923uPwbBZFjjGgGUA6NLw09EwE0CqkOc4q9oUmW1yo/edit?usp=sharing"",""ลำพูน!J296"")"),0)</f>
        <v>0</v>
      </c>
      <c r="K401" s="370">
        <f t="shared" ref="K401:K402" ca="1" si="111">IF(I401&gt;0,J401*100/I401,0)</f>
        <v>0</v>
      </c>
      <c r="L401" s="371">
        <f ca="1">IFERROR(__xludf.DUMMYFUNCTION("IMPORTRANGE(""https://docs.google.com/spreadsheets/d/11923uPwbBZFjjGgGUA6NLw09EwE0CqkOc4q9oUmW1yo/edit?usp=sharing"",""ลำพูน!L296"")"),188190)</f>
        <v>188190</v>
      </c>
      <c r="M401" s="371"/>
      <c r="N401" s="371">
        <f ca="1">IFERROR(__xludf.DUMMYFUNCTION("IMPORTRANGE(""https://docs.google.com/spreadsheets/d/11923uPwbBZFjjGgGUA6NLw09EwE0CqkOc4q9oUmW1yo/edit?usp=sharing"",""ลำพูน!M296"")"),12510)</f>
        <v>12510</v>
      </c>
      <c r="O401" s="371">
        <f ca="1">+IF(L401&gt;0,N401*100/L401,0)</f>
        <v>6.6475370636059301</v>
      </c>
      <c r="P401" s="371"/>
    </row>
    <row r="402" spans="1:16" ht="21.75" customHeight="1" x14ac:dyDescent="0.3">
      <c r="A402" s="364"/>
      <c r="B402" s="365"/>
      <c r="C402" s="365"/>
      <c r="D402" s="382"/>
      <c r="E402" s="382"/>
      <c r="F402" s="382"/>
      <c r="G402" s="385"/>
      <c r="H402" s="368" t="s">
        <v>37</v>
      </c>
      <c r="I402" s="369">
        <f ca="1">IFERROR(__xludf.DUMMYFUNCTION("IMPORTRANGE(""https://docs.google.com/spreadsheets/d/11923uPwbBZFjjGgGUA6NLw09EwE0CqkOc4q9oUmW1yo/edit?usp=sharing"",""ลำพูน!I297"")"),55)</f>
        <v>55</v>
      </c>
      <c r="J402" s="369">
        <f ca="1">IFERROR(__xludf.DUMMYFUNCTION("IMPORTRANGE(""https://docs.google.com/spreadsheets/d/11923uPwbBZFjjGgGUA6NLw09EwE0CqkOc4q9oUmW1yo/edit?usp=sharing"",""ลำพูน!J297"")"),0)</f>
        <v>0</v>
      </c>
      <c r="K402" s="370">
        <f t="shared" ca="1" si="111"/>
        <v>0</v>
      </c>
      <c r="L402" s="371"/>
      <c r="M402" s="371"/>
      <c r="N402" s="371"/>
      <c r="O402" s="371"/>
      <c r="P402" s="371"/>
    </row>
    <row r="403" spans="1:16" ht="21.75" customHeight="1" x14ac:dyDescent="0.3">
      <c r="A403" s="156"/>
      <c r="B403" s="157"/>
      <c r="C403" s="157" t="s">
        <v>16</v>
      </c>
      <c r="D403" s="158" t="s">
        <v>38</v>
      </c>
      <c r="E403" s="159"/>
      <c r="F403" s="159"/>
      <c r="G403" s="160" t="s">
        <v>39</v>
      </c>
      <c r="H403" s="161" t="s">
        <v>12</v>
      </c>
      <c r="I403" s="162" t="s">
        <v>40</v>
      </c>
      <c r="J403" s="162"/>
      <c r="K403" s="163"/>
      <c r="L403" s="164">
        <f ca="1">IFERROR(__xludf.DUMMYFUNCTION("IMPORTRANGE(""https://docs.google.com/spreadsheets/d/11923uPwbBZFjjGgGUA6NLw09EwE0CqkOc4q9oUmW1yo/edit?usp=sharing"",""ลำพูน!L298"")"),0)</f>
        <v>0</v>
      </c>
      <c r="M403" s="164"/>
      <c r="N403" s="168">
        <f ca="1">IFERROR(__xludf.DUMMYFUNCTION("IMPORTRANGE(""https://docs.google.com/spreadsheets/d/11923uPwbBZFjjGgGUA6NLw09EwE0CqkOc4q9oUmW1yo/edit?usp=sharing"",""ลำพูน!M298"")"),0)</f>
        <v>0</v>
      </c>
      <c r="O403" s="168">
        <f t="shared" ref="O403:O406" ca="1" si="112">+IF(L403&gt;0,N403*100/L403,0)</f>
        <v>0</v>
      </c>
      <c r="P403" s="168"/>
    </row>
    <row r="404" spans="1:16" ht="21.75" customHeight="1" x14ac:dyDescent="0.3">
      <c r="A404" s="156"/>
      <c r="B404" s="157"/>
      <c r="C404" s="157"/>
      <c r="D404" s="166"/>
      <c r="E404" s="159"/>
      <c r="F404" s="159" t="s">
        <v>40</v>
      </c>
      <c r="G404" s="160" t="s">
        <v>41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IFERROR(__xludf.DUMMYFUNCTION("IMPORTRANGE(""https://docs.google.com/spreadsheets/d/11923uPwbBZFjjGgGUA6NLw09EwE0CqkOc4q9oUmW1yo/edit?usp=sharing"",""ลำพูน!L299"")"),188190)</f>
        <v>188190</v>
      </c>
      <c r="M404" s="165"/>
      <c r="N404" s="168">
        <f ca="1">IFERROR(__xludf.DUMMYFUNCTION("IMPORTRANGE(""https://docs.google.com/spreadsheets/d/11923uPwbBZFjjGgGUA6NLw09EwE0CqkOc4q9oUmW1yo/edit?usp=sharing"",""ลำพูน!M299"")"),12510)</f>
        <v>12510</v>
      </c>
      <c r="O404" s="168">
        <f t="shared" ca="1" si="112"/>
        <v>6.6475370636059301</v>
      </c>
      <c r="P404" s="168"/>
    </row>
    <row r="405" spans="1:16" ht="21.75" customHeight="1" x14ac:dyDescent="0.3">
      <c r="A405" s="156"/>
      <c r="B405" s="157"/>
      <c r="C405" s="157"/>
      <c r="D405" s="166"/>
      <c r="E405" s="159"/>
      <c r="F405" s="159"/>
      <c r="G405" s="372" t="s">
        <v>129</v>
      </c>
      <c r="H405" s="161" t="s">
        <v>12</v>
      </c>
      <c r="I405" s="162"/>
      <c r="J405" s="162"/>
      <c r="K405" s="163"/>
      <c r="L405" s="168">
        <f ca="1">IFERROR(__xludf.DUMMYFUNCTION("IMPORTRANGE(""https://docs.google.com/spreadsheets/d/11923uPwbBZFjjGgGUA6NLw09EwE0CqkOc4q9oUmW1yo/edit?usp=sharing"",""ลำพูน!L300"")"),0)</f>
        <v>0</v>
      </c>
      <c r="M405" s="168"/>
      <c r="N405" s="168">
        <f ca="1">IFERROR(__xludf.DUMMYFUNCTION("IMPORTRANGE(""https://docs.google.com/spreadsheets/d/11923uPwbBZFjjGgGUA6NLw09EwE0CqkOc4q9oUmW1yo/edit?usp=sharing"",""ลำพูน!M300"")"),0)</f>
        <v>0</v>
      </c>
      <c r="O405" s="168">
        <f t="shared" ca="1" si="112"/>
        <v>0</v>
      </c>
      <c r="P405" s="168"/>
    </row>
    <row r="406" spans="1:16" ht="21.75" customHeight="1" x14ac:dyDescent="0.3">
      <c r="A406" s="156"/>
      <c r="B406" s="157"/>
      <c r="C406" s="157"/>
      <c r="D406" s="166"/>
      <c r="E406" s="159"/>
      <c r="F406" s="159"/>
      <c r="G406" s="372" t="s">
        <v>130</v>
      </c>
      <c r="H406" s="161" t="s">
        <v>12</v>
      </c>
      <c r="I406" s="162"/>
      <c r="J406" s="162"/>
      <c r="K406" s="163"/>
      <c r="L406" s="168">
        <f ca="1">IFERROR(__xludf.DUMMYFUNCTION("IMPORTRANGE(""https://docs.google.com/spreadsheets/d/11923uPwbBZFjjGgGUA6NLw09EwE0CqkOc4q9oUmW1yo/edit?usp=sharing"",""ลำพูน!L301"")"),188190)</f>
        <v>188190</v>
      </c>
      <c r="M406" s="168"/>
      <c r="N406" s="168">
        <f ca="1">IFERROR(__xludf.DUMMYFUNCTION("IMPORTRANGE(""https://docs.google.com/spreadsheets/d/11923uPwbBZFjjGgGUA6NLw09EwE0CqkOc4q9oUmW1yo/edit?usp=sharing"",""ลำพูน!M301"")"),12510)</f>
        <v>12510</v>
      </c>
      <c r="O406" s="168">
        <f t="shared" ca="1" si="112"/>
        <v>6.6475370636059301</v>
      </c>
      <c r="P406" s="168"/>
    </row>
    <row r="407" spans="1:16" ht="21.75" customHeight="1" x14ac:dyDescent="0.3">
      <c r="A407" s="373"/>
      <c r="B407" s="374"/>
      <c r="C407" s="157"/>
      <c r="D407" s="375"/>
      <c r="E407" s="159"/>
      <c r="F407" s="159"/>
      <c r="G407" s="376" t="s">
        <v>131</v>
      </c>
      <c r="H407" s="161" t="s">
        <v>12</v>
      </c>
      <c r="I407" s="187"/>
      <c r="J407" s="187"/>
      <c r="K407" s="223"/>
      <c r="L407" s="168"/>
      <c r="M407" s="168"/>
      <c r="N407" s="377">
        <f ca="1">IFERROR(__xludf.DUMMYFUNCTION("IMPORTRANGE(""https://docs.google.com/spreadsheets/d/11923uPwbBZFjjGgGUA6NLw09EwE0CqkOc4q9oUmW1yo/edit?usp=sharing"",""ลำพูน!M302"")"),12510)</f>
        <v>12510</v>
      </c>
      <c r="O407" s="168"/>
      <c r="P407" s="168"/>
    </row>
    <row r="408" spans="1:16" ht="21.75" customHeight="1" x14ac:dyDescent="0.3">
      <c r="A408" s="373"/>
      <c r="B408" s="374"/>
      <c r="C408" s="157"/>
      <c r="D408" s="375"/>
      <c r="E408" s="159"/>
      <c r="F408" s="159"/>
      <c r="G408" s="376" t="s">
        <v>132</v>
      </c>
      <c r="H408" s="161" t="s">
        <v>12</v>
      </c>
      <c r="I408" s="187"/>
      <c r="J408" s="187"/>
      <c r="K408" s="223"/>
      <c r="L408" s="168"/>
      <c r="M408" s="168"/>
      <c r="N408" s="377">
        <f ca="1">IFERROR(__xludf.DUMMYFUNCTION("IMPORTRANGE(""https://docs.google.com/spreadsheets/d/11923uPwbBZFjjGgGUA6NLw09EwE0CqkOc4q9oUmW1yo/edit?usp=sharing"",""ลำพูน!M303"")"),0)</f>
        <v>0</v>
      </c>
      <c r="O408" s="168"/>
      <c r="P408" s="168"/>
    </row>
    <row r="409" spans="1:16" ht="21.75" customHeight="1" x14ac:dyDescent="0.3">
      <c r="A409" s="373"/>
      <c r="B409" s="374"/>
      <c r="C409" s="157"/>
      <c r="D409" s="375"/>
      <c r="E409" s="159"/>
      <c r="F409" s="159"/>
      <c r="G409" s="376" t="s">
        <v>133</v>
      </c>
      <c r="H409" s="161" t="s">
        <v>12</v>
      </c>
      <c r="I409" s="187"/>
      <c r="J409" s="187"/>
      <c r="K409" s="223"/>
      <c r="L409" s="168"/>
      <c r="M409" s="168"/>
      <c r="N409" s="377">
        <f ca="1">IFERROR(__xludf.DUMMYFUNCTION("IMPORTRANGE(""https://docs.google.com/spreadsheets/d/11923uPwbBZFjjGgGUA6NLw09EwE0CqkOc4q9oUmW1yo/edit?usp=sharing"",""ลำพูน!M304"")"),0)</f>
        <v>0</v>
      </c>
      <c r="O409" s="168"/>
      <c r="P409" s="168"/>
    </row>
    <row r="410" spans="1:16" ht="21.75" customHeight="1" x14ac:dyDescent="0.3">
      <c r="A410" s="373"/>
      <c r="B410" s="374"/>
      <c r="C410" s="157"/>
      <c r="D410" s="375"/>
      <c r="E410" s="159"/>
      <c r="F410" s="159"/>
      <c r="G410" s="376" t="s">
        <v>134</v>
      </c>
      <c r="H410" s="161" t="s">
        <v>12</v>
      </c>
      <c r="I410" s="187"/>
      <c r="J410" s="187"/>
      <c r="K410" s="223"/>
      <c r="L410" s="168"/>
      <c r="M410" s="168"/>
      <c r="N410" s="377">
        <f ca="1">IFERROR(__xludf.DUMMYFUNCTION("IMPORTRANGE(""https://docs.google.com/spreadsheets/d/11923uPwbBZFjjGgGUA6NLw09EwE0CqkOc4q9oUmW1yo/edit?usp=sharing"",""ลำพูน!M305"")"),0)</f>
        <v>0</v>
      </c>
      <c r="O410" s="168"/>
      <c r="P410" s="168"/>
    </row>
    <row r="411" spans="1:16" ht="21.75" customHeight="1" x14ac:dyDescent="0.3">
      <c r="A411" s="175"/>
      <c r="B411" s="176"/>
      <c r="C411" s="157" t="s">
        <v>16</v>
      </c>
      <c r="D411" s="177" t="s">
        <v>44</v>
      </c>
      <c r="E411" s="178"/>
      <c r="F411" s="178"/>
      <c r="G411" s="179"/>
      <c r="H411" s="180"/>
      <c r="I411" s="162"/>
      <c r="J411" s="162"/>
      <c r="K411" s="163"/>
      <c r="L411" s="181"/>
      <c r="M411" s="181"/>
      <c r="N411" s="181"/>
      <c r="O411" s="181"/>
      <c r="P411" s="181"/>
    </row>
    <row r="412" spans="1:16" ht="21.75" customHeight="1" x14ac:dyDescent="0.3">
      <c r="A412" s="175"/>
      <c r="B412" s="176"/>
      <c r="C412" s="176"/>
      <c r="D412" s="182">
        <v>1</v>
      </c>
      <c r="E412" s="183" t="s">
        <v>45</v>
      </c>
      <c r="F412" s="184"/>
      <c r="G412" s="185"/>
      <c r="H412" s="186"/>
      <c r="I412" s="187"/>
      <c r="J412" s="197">
        <f ca="1">IFERROR(__xludf.DUMMYFUNCTION("IMPORTRANGE(""https://docs.google.com/spreadsheets/d/11923uPwbBZFjjGgGUA6NLw09EwE0CqkOc4q9oUmW1yo/edit?usp=sharing"",""ลำพูน!J307"")"),0)</f>
        <v>0</v>
      </c>
      <c r="K412" s="163"/>
      <c r="L412" s="181"/>
      <c r="M412" s="181"/>
      <c r="N412" s="181"/>
      <c r="O412" s="181"/>
      <c r="P412" s="181"/>
    </row>
    <row r="413" spans="1:16" ht="21.75" customHeight="1" x14ac:dyDescent="0.3">
      <c r="A413" s="175"/>
      <c r="B413" s="176"/>
      <c r="C413" s="176"/>
      <c r="D413" s="189">
        <v>2</v>
      </c>
      <c r="E413" s="190" t="s">
        <v>46</v>
      </c>
      <c r="F413" s="191"/>
      <c r="G413" s="192"/>
      <c r="H413" s="186"/>
      <c r="I413" s="187"/>
      <c r="J413" s="188">
        <f ca="1">IFERROR(__xludf.DUMMYFUNCTION("IMPORTRANGE(""https://docs.google.com/spreadsheets/d/11923uPwbBZFjjGgGUA6NLw09EwE0CqkOc4q9oUmW1yo/edit?usp=sharing"",""ลำพูน!J308"")"),1)</f>
        <v>1</v>
      </c>
      <c r="K413" s="163"/>
      <c r="L413" s="181" t="s">
        <v>40</v>
      </c>
      <c r="M413" s="181"/>
      <c r="N413" s="181" t="s">
        <v>40</v>
      </c>
      <c r="O413" s="181"/>
      <c r="P413" s="181"/>
    </row>
    <row r="414" spans="1:16" ht="21.75" customHeight="1" x14ac:dyDescent="0.3">
      <c r="A414" s="175"/>
      <c r="B414" s="176"/>
      <c r="C414" s="176"/>
      <c r="D414" s="193"/>
      <c r="E414" s="194" t="s">
        <v>47</v>
      </c>
      <c r="F414" s="195"/>
      <c r="G414" s="196"/>
      <c r="H414" s="186"/>
      <c r="I414" s="187"/>
      <c r="J414" s="188">
        <f ca="1">IFERROR(__xludf.DUMMYFUNCTION("IMPORTRANGE(""https://docs.google.com/spreadsheets/d/11923uPwbBZFjjGgGUA6NLw09EwE0CqkOc4q9oUmW1yo/edit?usp=sharing"",""ลำพูน!J309"")"),1)</f>
        <v>1</v>
      </c>
      <c r="K414" s="163"/>
      <c r="L414" s="181"/>
      <c r="M414" s="181"/>
      <c r="N414" s="181"/>
      <c r="O414" s="181"/>
      <c r="P414" s="181"/>
    </row>
    <row r="415" spans="1:16" ht="21.75" customHeight="1" x14ac:dyDescent="0.3">
      <c r="A415" s="175"/>
      <c r="B415" s="176"/>
      <c r="C415" s="176"/>
      <c r="D415" s="193"/>
      <c r="E415" s="194" t="s">
        <v>48</v>
      </c>
      <c r="F415" s="195"/>
      <c r="G415" s="196"/>
      <c r="H415" s="186"/>
      <c r="I415" s="187"/>
      <c r="J415" s="197">
        <f ca="1">IFERROR(__xludf.DUMMYFUNCTION("IMPORTRANGE(""https://docs.google.com/spreadsheets/d/11923uPwbBZFjjGgGUA6NLw09EwE0CqkOc4q9oUmW1yo/edit?usp=sharing"",""ลำพูน!J310"")"),1)</f>
        <v>1</v>
      </c>
      <c r="K415" s="163"/>
      <c r="L415" s="181"/>
      <c r="M415" s="181"/>
      <c r="N415" s="181"/>
      <c r="O415" s="181"/>
      <c r="P415" s="181"/>
    </row>
    <row r="416" spans="1:16" ht="21.75" customHeight="1" x14ac:dyDescent="0.3">
      <c r="A416" s="175"/>
      <c r="B416" s="176"/>
      <c r="C416" s="176"/>
      <c r="D416" s="193"/>
      <c r="E416" s="198"/>
      <c r="F416" s="194" t="s">
        <v>70</v>
      </c>
      <c r="G416" s="386"/>
      <c r="H416" s="387" t="s">
        <v>37</v>
      </c>
      <c r="I416" s="200">
        <f ca="1">IFERROR(__xludf.DUMMYFUNCTION("IMPORTRANGE(""https://docs.google.com/spreadsheets/d/11923uPwbBZFjjGgGUA6NLw09EwE0CqkOc4q9oUmW1yo/edit?usp=sharing"",""ลำพูน!I311"")"),55)</f>
        <v>55</v>
      </c>
      <c r="J416" s="200">
        <f ca="1">IFERROR(__xludf.DUMMYFUNCTION("IMPORTRANGE(""https://docs.google.com/spreadsheets/d/11923uPwbBZFjjGgGUA6NLw09EwE0CqkOc4q9oUmW1yo/edit?usp=sharing"",""ลำพูน!J311"")"),0)</f>
        <v>0</v>
      </c>
      <c r="K416" s="201">
        <f t="shared" ref="K416:K432" ca="1" si="113">IF(I416&gt;0,J416*100/I416,0)</f>
        <v>0</v>
      </c>
      <c r="L416" s="181"/>
      <c r="M416" s="181"/>
      <c r="N416" s="181"/>
      <c r="O416" s="181"/>
      <c r="P416" s="181"/>
    </row>
    <row r="417" spans="1:16" ht="21.75" customHeight="1" x14ac:dyDescent="0.45">
      <c r="A417" s="175"/>
      <c r="B417" s="176"/>
      <c r="C417" s="176"/>
      <c r="D417" s="193"/>
      <c r="E417" s="198"/>
      <c r="F417" s="388" t="s">
        <v>148</v>
      </c>
      <c r="G417" s="196"/>
      <c r="H417" s="199" t="s">
        <v>37</v>
      </c>
      <c r="I417" s="389">
        <f ca="1">IFERROR(__xludf.DUMMYFUNCTION("IMPORTRANGE(""https://docs.google.com/spreadsheets/d/11923uPwbBZFjjGgGUA6NLw09EwE0CqkOc4q9oUmW1yo/edit?usp=sharing"",""ลำพูน!I312"")"),10)</f>
        <v>10</v>
      </c>
      <c r="J417" s="390">
        <f ca="1">IFERROR(__xludf.DUMMYFUNCTION("IMPORTRANGE(""https://docs.google.com/spreadsheets/d/11923uPwbBZFjjGgGUA6NLw09EwE0CqkOc4q9oUmW1yo/edit?usp=sharing"",""ลำพูน!J312"")"),0)</f>
        <v>0</v>
      </c>
      <c r="K417" s="201">
        <f t="shared" ca="1" si="113"/>
        <v>0</v>
      </c>
      <c r="L417" s="181"/>
      <c r="M417" s="181"/>
      <c r="N417" s="181"/>
      <c r="O417" s="181"/>
      <c r="P417" s="181"/>
    </row>
    <row r="418" spans="1:16" ht="21.75" customHeight="1" x14ac:dyDescent="0.45">
      <c r="A418" s="175"/>
      <c r="B418" s="176"/>
      <c r="C418" s="176"/>
      <c r="D418" s="193"/>
      <c r="E418" s="198"/>
      <c r="F418" s="195"/>
      <c r="G418" s="196"/>
      <c r="H418" s="199" t="s">
        <v>122</v>
      </c>
      <c r="I418" s="389">
        <f ca="1">IFERROR(__xludf.DUMMYFUNCTION("IMPORTRANGE(""https://docs.google.com/spreadsheets/d/11923uPwbBZFjjGgGUA6NLw09EwE0CqkOc4q9oUmW1yo/edit?usp=sharing"",""ลำพูน!I313"")"),30)</f>
        <v>30</v>
      </c>
      <c r="J418" s="391">
        <f ca="1">IFERROR(__xludf.DUMMYFUNCTION("IMPORTRANGE(""https://docs.google.com/spreadsheets/d/11923uPwbBZFjjGgGUA6NLw09EwE0CqkOc4q9oUmW1yo/edit?usp=sharing"",""ลำพูน!J313"")"),0)</f>
        <v>0</v>
      </c>
      <c r="K418" s="201">
        <f t="shared" ca="1" si="113"/>
        <v>0</v>
      </c>
      <c r="L418" s="181"/>
      <c r="M418" s="181"/>
      <c r="N418" s="181"/>
      <c r="O418" s="181"/>
      <c r="P418" s="181"/>
    </row>
    <row r="419" spans="1:16" ht="21.75" customHeight="1" x14ac:dyDescent="0.45">
      <c r="A419" s="175"/>
      <c r="B419" s="176"/>
      <c r="C419" s="176"/>
      <c r="D419" s="193"/>
      <c r="E419" s="198"/>
      <c r="F419" s="195"/>
      <c r="G419" s="225" t="s">
        <v>149</v>
      </c>
      <c r="H419" s="180" t="s">
        <v>37</v>
      </c>
      <c r="I419" s="339">
        <f ca="1">IFERROR(__xludf.DUMMYFUNCTION("IMPORTRANGE(""https://docs.google.com/spreadsheets/d/11923uPwbBZFjjGgGUA6NLw09EwE0CqkOc4q9oUmW1yo/edit?usp=sharing"",""ลำพูน!I314"")"),10)</f>
        <v>10</v>
      </c>
      <c r="J419" s="392">
        <f ca="1">IFERROR(__xludf.DUMMYFUNCTION("IMPORTRANGE(""https://docs.google.com/spreadsheets/d/11923uPwbBZFjjGgGUA6NLw09EwE0CqkOc4q9oUmW1yo/edit?usp=sharing"",""ลำพูน!J314"")"),0)</f>
        <v>0</v>
      </c>
      <c r="K419" s="163">
        <f t="shared" ca="1" si="113"/>
        <v>0</v>
      </c>
      <c r="L419" s="181"/>
      <c r="M419" s="181"/>
      <c r="N419" s="181"/>
      <c r="O419" s="181"/>
      <c r="P419" s="181"/>
    </row>
    <row r="420" spans="1:16" ht="21.75" customHeight="1" x14ac:dyDescent="0.45">
      <c r="A420" s="233"/>
      <c r="B420" s="234"/>
      <c r="C420" s="234"/>
      <c r="D420" s="393"/>
      <c r="E420" s="394"/>
      <c r="F420" s="345"/>
      <c r="G420" s="395" t="s">
        <v>150</v>
      </c>
      <c r="H420" s="347" t="s">
        <v>37</v>
      </c>
      <c r="I420" s="396">
        <f ca="1">IFERROR(__xludf.DUMMYFUNCTION("IMPORTRANGE(""https://docs.google.com/spreadsheets/d/11923uPwbBZFjjGgGUA6NLw09EwE0CqkOc4q9oUmW1yo/edit?usp=sharing"",""ลำพูน!I315"")"),10)</f>
        <v>10</v>
      </c>
      <c r="J420" s="392">
        <f ca="1">IFERROR(__xludf.DUMMYFUNCTION("IMPORTRANGE(""https://docs.google.com/spreadsheets/d/11923uPwbBZFjjGgGUA6NLw09EwE0CqkOc4q9oUmW1yo/edit?usp=sharing"",""ลำพูน!J315"")"),0)</f>
        <v>0</v>
      </c>
      <c r="K420" s="286">
        <f t="shared" ca="1" si="113"/>
        <v>0</v>
      </c>
      <c r="L420" s="244"/>
      <c r="M420" s="244"/>
      <c r="N420" s="244"/>
      <c r="O420" s="244"/>
      <c r="P420" s="244"/>
    </row>
    <row r="421" spans="1:16" ht="21.75" customHeight="1" x14ac:dyDescent="0.45">
      <c r="A421" s="175"/>
      <c r="B421" s="176"/>
      <c r="C421" s="176"/>
      <c r="D421" s="193"/>
      <c r="E421" s="198"/>
      <c r="F421" s="388" t="s">
        <v>151</v>
      </c>
      <c r="G421" s="196"/>
      <c r="H421" s="199" t="s">
        <v>37</v>
      </c>
      <c r="I421" s="389">
        <f ca="1">IFERROR(__xludf.DUMMYFUNCTION("IMPORTRANGE(""https://docs.google.com/spreadsheets/d/11923uPwbBZFjjGgGUA6NLw09EwE0CqkOc4q9oUmW1yo/edit?usp=sharing"",""ลำพูน!I316"")"),35)</f>
        <v>35</v>
      </c>
      <c r="J421" s="390">
        <f ca="1">IFERROR(__xludf.DUMMYFUNCTION("IMPORTRANGE(""https://docs.google.com/spreadsheets/d/11923uPwbBZFjjGgGUA6NLw09EwE0CqkOc4q9oUmW1yo/edit?usp=sharing"",""ลำพูน!J316"")"),0)</f>
        <v>0</v>
      </c>
      <c r="K421" s="201">
        <f t="shared" ca="1" si="113"/>
        <v>0</v>
      </c>
      <c r="L421" s="181"/>
      <c r="M421" s="181"/>
      <c r="N421" s="181"/>
      <c r="O421" s="181"/>
      <c r="P421" s="181"/>
    </row>
    <row r="422" spans="1:16" ht="21.75" customHeight="1" x14ac:dyDescent="0.45">
      <c r="A422" s="175"/>
      <c r="B422" s="176"/>
      <c r="C422" s="176"/>
      <c r="D422" s="193"/>
      <c r="E422" s="198"/>
      <c r="F422" s="195"/>
      <c r="G422" s="196"/>
      <c r="H422" s="199" t="s">
        <v>122</v>
      </c>
      <c r="I422" s="389">
        <f ca="1">IFERROR(__xludf.DUMMYFUNCTION("IMPORTRANGE(""https://docs.google.com/spreadsheets/d/11923uPwbBZFjjGgGUA6NLw09EwE0CqkOc4q9oUmW1yo/edit?usp=sharing"",""ลำพูน!I317"")"),105)</f>
        <v>105</v>
      </c>
      <c r="J422" s="391">
        <f ca="1">IFERROR(__xludf.DUMMYFUNCTION("IMPORTRANGE(""https://docs.google.com/spreadsheets/d/11923uPwbBZFjjGgGUA6NLw09EwE0CqkOc4q9oUmW1yo/edit?usp=sharing"",""ลำพูน!J317"")"),0)</f>
        <v>0</v>
      </c>
      <c r="K422" s="201">
        <f t="shared" ca="1" si="113"/>
        <v>0</v>
      </c>
      <c r="L422" s="181"/>
      <c r="M422" s="181"/>
      <c r="N422" s="181"/>
      <c r="O422" s="181"/>
      <c r="P422" s="181"/>
    </row>
    <row r="423" spans="1:16" ht="21.75" customHeight="1" x14ac:dyDescent="0.45">
      <c r="A423" s="175"/>
      <c r="B423" s="176"/>
      <c r="C423" s="176"/>
      <c r="D423" s="193"/>
      <c r="E423" s="198"/>
      <c r="F423" s="195"/>
      <c r="G423" s="225" t="s">
        <v>152</v>
      </c>
      <c r="H423" s="180" t="s">
        <v>37</v>
      </c>
      <c r="I423" s="339">
        <f ca="1">IFERROR(__xludf.DUMMYFUNCTION("IMPORTRANGE(""https://docs.google.com/spreadsheets/d/11923uPwbBZFjjGgGUA6NLw09EwE0CqkOc4q9oUmW1yo/edit?usp=sharing"",""ลำพูน!I318"")"),35)</f>
        <v>35</v>
      </c>
      <c r="J423" s="392">
        <f ca="1">IFERROR(__xludf.DUMMYFUNCTION("IMPORTRANGE(""https://docs.google.com/spreadsheets/d/11923uPwbBZFjjGgGUA6NLw09EwE0CqkOc4q9oUmW1yo/edit?usp=sharing"",""ลำพูน!J318"")"),0)</f>
        <v>0</v>
      </c>
      <c r="K423" s="163">
        <f t="shared" ca="1" si="113"/>
        <v>0</v>
      </c>
      <c r="L423" s="181"/>
      <c r="M423" s="181"/>
      <c r="N423" s="181"/>
      <c r="O423" s="181"/>
      <c r="P423" s="181"/>
    </row>
    <row r="424" spans="1:16" ht="21.75" customHeight="1" x14ac:dyDescent="0.45">
      <c r="A424" s="175"/>
      <c r="B424" s="176"/>
      <c r="C424" s="176"/>
      <c r="D424" s="193"/>
      <c r="E424" s="198"/>
      <c r="F424" s="195"/>
      <c r="G424" s="225" t="s">
        <v>153</v>
      </c>
      <c r="H424" s="180" t="s">
        <v>37</v>
      </c>
      <c r="I424" s="339">
        <f ca="1">IFERROR(__xludf.DUMMYFUNCTION("IMPORTRANGE(""https://docs.google.com/spreadsheets/d/11923uPwbBZFjjGgGUA6NLw09EwE0CqkOc4q9oUmW1yo/edit?usp=sharing"",""ลำพูน!I319"")"),35)</f>
        <v>35</v>
      </c>
      <c r="J424" s="392">
        <f ca="1">IFERROR(__xludf.DUMMYFUNCTION("IMPORTRANGE(""https://docs.google.com/spreadsheets/d/11923uPwbBZFjjGgGUA6NLw09EwE0CqkOc4q9oUmW1yo/edit?usp=sharing"",""ลำพูน!J319"")"),0)</f>
        <v>0</v>
      </c>
      <c r="K424" s="163">
        <f t="shared" ca="1" si="113"/>
        <v>0</v>
      </c>
      <c r="L424" s="181"/>
      <c r="M424" s="181"/>
      <c r="N424" s="181"/>
      <c r="O424" s="181"/>
      <c r="P424" s="181"/>
    </row>
    <row r="425" spans="1:16" ht="21.75" customHeight="1" x14ac:dyDescent="0.45">
      <c r="A425" s="175"/>
      <c r="B425" s="176"/>
      <c r="C425" s="176"/>
      <c r="D425" s="193"/>
      <c r="E425" s="198"/>
      <c r="F425" s="195"/>
      <c r="G425" s="225" t="s">
        <v>154</v>
      </c>
      <c r="H425" s="180" t="s">
        <v>37</v>
      </c>
      <c r="I425" s="339">
        <f ca="1">IFERROR(__xludf.DUMMYFUNCTION("IMPORTRANGE(""https://docs.google.com/spreadsheets/d/11923uPwbBZFjjGgGUA6NLw09EwE0CqkOc4q9oUmW1yo/edit?usp=sharing"",""ลำพูน!I320"")"),35)</f>
        <v>35</v>
      </c>
      <c r="J425" s="392">
        <f ca="1">IFERROR(__xludf.DUMMYFUNCTION("IMPORTRANGE(""https://docs.google.com/spreadsheets/d/11923uPwbBZFjjGgGUA6NLw09EwE0CqkOc4q9oUmW1yo/edit?usp=sharing"",""ลำพูน!J320"")"),0)</f>
        <v>0</v>
      </c>
      <c r="K425" s="163">
        <f t="shared" ca="1" si="113"/>
        <v>0</v>
      </c>
      <c r="L425" s="181"/>
      <c r="M425" s="181"/>
      <c r="N425" s="181"/>
      <c r="O425" s="181"/>
      <c r="P425" s="181"/>
    </row>
    <row r="426" spans="1:16" ht="21.75" customHeight="1" x14ac:dyDescent="0.45">
      <c r="A426" s="175"/>
      <c r="B426" s="176"/>
      <c r="C426" s="176"/>
      <c r="D426" s="193"/>
      <c r="E426" s="198"/>
      <c r="F426" s="397" t="s">
        <v>155</v>
      </c>
      <c r="G426" s="196"/>
      <c r="H426" s="199" t="s">
        <v>37</v>
      </c>
      <c r="I426" s="389">
        <f ca="1">IFERROR(__xludf.DUMMYFUNCTION("IMPORTRANGE(""https://docs.google.com/spreadsheets/d/11923uPwbBZFjjGgGUA6NLw09EwE0CqkOc4q9oUmW1yo/edit?usp=sharing"",""ลำพูน!I321"")"),10)</f>
        <v>10</v>
      </c>
      <c r="J426" s="390">
        <f ca="1">IFERROR(__xludf.DUMMYFUNCTION("IMPORTRANGE(""https://docs.google.com/spreadsheets/d/11923uPwbBZFjjGgGUA6NLw09EwE0CqkOc4q9oUmW1yo/edit?usp=sharing"",""ลำพูน!J321"")"),0)</f>
        <v>0</v>
      </c>
      <c r="K426" s="201">
        <f t="shared" ca="1" si="113"/>
        <v>0</v>
      </c>
      <c r="L426" s="181"/>
      <c r="M426" s="181"/>
      <c r="N426" s="181"/>
      <c r="O426" s="181"/>
      <c r="P426" s="181"/>
    </row>
    <row r="427" spans="1:16" ht="21.75" customHeight="1" x14ac:dyDescent="0.45">
      <c r="A427" s="175"/>
      <c r="B427" s="176"/>
      <c r="C427" s="176"/>
      <c r="D427" s="193"/>
      <c r="E427" s="198"/>
      <c r="F427" s="195"/>
      <c r="G427" s="196"/>
      <c r="H427" s="199" t="s">
        <v>122</v>
      </c>
      <c r="I427" s="389">
        <f ca="1">IFERROR(__xludf.DUMMYFUNCTION("IMPORTRANGE(""https://docs.google.com/spreadsheets/d/11923uPwbBZFjjGgGUA6NLw09EwE0CqkOc4q9oUmW1yo/edit?usp=sharing"",""ลำพูน!I322"")"),30)</f>
        <v>30</v>
      </c>
      <c r="J427" s="391">
        <f ca="1">IFERROR(__xludf.DUMMYFUNCTION("IMPORTRANGE(""https://docs.google.com/spreadsheets/d/11923uPwbBZFjjGgGUA6NLw09EwE0CqkOc4q9oUmW1yo/edit?usp=sharing"",""ลำพูน!J322"")"),0)</f>
        <v>0</v>
      </c>
      <c r="K427" s="201">
        <f t="shared" ca="1" si="113"/>
        <v>0</v>
      </c>
      <c r="L427" s="181"/>
      <c r="M427" s="181"/>
      <c r="N427" s="181"/>
      <c r="O427" s="181"/>
      <c r="P427" s="181"/>
    </row>
    <row r="428" spans="1:16" ht="21.75" customHeight="1" x14ac:dyDescent="0.45">
      <c r="A428" s="175"/>
      <c r="B428" s="176"/>
      <c r="C428" s="176"/>
      <c r="D428" s="193"/>
      <c r="E428" s="198"/>
      <c r="F428" s="195"/>
      <c r="G428" s="225" t="s">
        <v>156</v>
      </c>
      <c r="H428" s="180" t="s">
        <v>37</v>
      </c>
      <c r="I428" s="398">
        <f ca="1">IFERROR(__xludf.DUMMYFUNCTION("IMPORTRANGE(""https://docs.google.com/spreadsheets/d/11923uPwbBZFjjGgGUA6NLw09EwE0CqkOc4q9oUmW1yo/edit?usp=sharing"",""ลำพูน!I323"")"),10)</f>
        <v>10</v>
      </c>
      <c r="J428" s="392">
        <f ca="1">IFERROR(__xludf.DUMMYFUNCTION("IMPORTRANGE(""https://docs.google.com/spreadsheets/d/11923uPwbBZFjjGgGUA6NLw09EwE0CqkOc4q9oUmW1yo/edit?usp=sharing"",""ลำพูน!J323"")"),10)</f>
        <v>10</v>
      </c>
      <c r="K428" s="163">
        <f t="shared" ca="1" si="113"/>
        <v>100</v>
      </c>
      <c r="L428" s="181"/>
      <c r="M428" s="181"/>
      <c r="N428" s="181"/>
      <c r="O428" s="181"/>
      <c r="P428" s="181"/>
    </row>
    <row r="429" spans="1:16" ht="21.75" customHeight="1" x14ac:dyDescent="0.45">
      <c r="A429" s="175"/>
      <c r="B429" s="176"/>
      <c r="C429" s="176"/>
      <c r="D429" s="193"/>
      <c r="E429" s="198"/>
      <c r="F429" s="195"/>
      <c r="G429" s="225" t="s">
        <v>157</v>
      </c>
      <c r="H429" s="180" t="s">
        <v>37</v>
      </c>
      <c r="I429" s="398">
        <f ca="1">IFERROR(__xludf.DUMMYFUNCTION("IMPORTRANGE(""https://docs.google.com/spreadsheets/d/11923uPwbBZFjjGgGUA6NLw09EwE0CqkOc4q9oUmW1yo/edit?usp=sharing"",""ลำพูน!I324"")"),10)</f>
        <v>10</v>
      </c>
      <c r="J429" s="392">
        <f ca="1">IFERROR(__xludf.DUMMYFUNCTION("IMPORTRANGE(""https://docs.google.com/spreadsheets/d/11923uPwbBZFjjGgGUA6NLw09EwE0CqkOc4q9oUmW1yo/edit?usp=sharing"",""ลำพูน!J324"")"),0)</f>
        <v>0</v>
      </c>
      <c r="K429" s="163">
        <f t="shared" ca="1" si="113"/>
        <v>0</v>
      </c>
      <c r="L429" s="181"/>
      <c r="M429" s="181"/>
      <c r="N429" s="181"/>
      <c r="O429" s="181"/>
      <c r="P429" s="181"/>
    </row>
    <row r="430" spans="1:16" ht="21.75" customHeight="1" x14ac:dyDescent="0.45">
      <c r="A430" s="175"/>
      <c r="B430" s="176"/>
      <c r="C430" s="176"/>
      <c r="D430" s="193"/>
      <c r="E430" s="198"/>
      <c r="F430" s="194" t="s">
        <v>53</v>
      </c>
      <c r="G430" s="386"/>
      <c r="H430" s="399" t="s">
        <v>37</v>
      </c>
      <c r="I430" s="200">
        <f ca="1">IFERROR(__xludf.DUMMYFUNCTION("IMPORTRANGE(""https://docs.google.com/spreadsheets/d/11923uPwbBZFjjGgGUA6NLw09EwE0CqkOc4q9oUmW1yo/edit?usp=sharing"",""ลำพูน!I325"")"),45)</f>
        <v>45</v>
      </c>
      <c r="J430" s="390">
        <f ca="1">IFERROR(__xludf.DUMMYFUNCTION("IMPORTRANGE(""https://docs.google.com/spreadsheets/d/11923uPwbBZFjjGgGUA6NLw09EwE0CqkOc4q9oUmW1yo/edit?usp=sharing"",""ลำพูน!J325"")"),0)</f>
        <v>0</v>
      </c>
      <c r="K430" s="201">
        <f t="shared" ca="1" si="113"/>
        <v>0</v>
      </c>
      <c r="L430" s="181"/>
      <c r="M430" s="181"/>
      <c r="N430" s="181"/>
      <c r="O430" s="181"/>
      <c r="P430" s="181"/>
    </row>
    <row r="431" spans="1:16" ht="21.75" customHeight="1" x14ac:dyDescent="0.45">
      <c r="A431" s="400"/>
      <c r="B431" s="401"/>
      <c r="C431" s="401"/>
      <c r="D431" s="402"/>
      <c r="E431" s="198"/>
      <c r="F431" s="195"/>
      <c r="G431" s="225" t="s">
        <v>158</v>
      </c>
      <c r="H431" s="180" t="s">
        <v>37</v>
      </c>
      <c r="I431" s="398">
        <f ca="1">IFERROR(__xludf.DUMMYFUNCTION("IMPORTRANGE(""https://docs.google.com/spreadsheets/d/11923uPwbBZFjjGgGUA6NLw09EwE0CqkOc4q9oUmW1yo/edit?usp=sharing"",""ลำพูน!I326"")"),10)</f>
        <v>10</v>
      </c>
      <c r="J431" s="392">
        <f ca="1">IFERROR(__xludf.DUMMYFUNCTION("IMPORTRANGE(""https://docs.google.com/spreadsheets/d/11923uPwbBZFjjGgGUA6NLw09EwE0CqkOc4q9oUmW1yo/edit?usp=sharing"",""ลำพูน!J326"")"),0)</f>
        <v>0</v>
      </c>
      <c r="K431" s="163">
        <f t="shared" ca="1" si="113"/>
        <v>0</v>
      </c>
      <c r="L431" s="181"/>
      <c r="M431" s="181"/>
      <c r="N431" s="181"/>
      <c r="O431" s="181"/>
      <c r="P431" s="181"/>
    </row>
    <row r="432" spans="1:16" ht="21.75" customHeight="1" x14ac:dyDescent="0.45">
      <c r="A432" s="400"/>
      <c r="B432" s="401"/>
      <c r="C432" s="401"/>
      <c r="D432" s="402"/>
      <c r="E432" s="198"/>
      <c r="F432" s="195"/>
      <c r="G432" s="225" t="s">
        <v>159</v>
      </c>
      <c r="H432" s="180" t="s">
        <v>37</v>
      </c>
      <c r="I432" s="398">
        <f ca="1">IFERROR(__xludf.DUMMYFUNCTION("IMPORTRANGE(""https://docs.google.com/spreadsheets/d/11923uPwbBZFjjGgGUA6NLw09EwE0CqkOc4q9oUmW1yo/edit?usp=sharing"",""ลำพูน!I327"")"),35)</f>
        <v>35</v>
      </c>
      <c r="J432" s="392">
        <f ca="1">IFERROR(__xludf.DUMMYFUNCTION("IMPORTRANGE(""https://docs.google.com/spreadsheets/d/11923uPwbBZFjjGgGUA6NLw09EwE0CqkOc4q9oUmW1yo/edit?usp=sharing"",""ลำพูน!J327"")"),0)</f>
        <v>0</v>
      </c>
      <c r="K432" s="163">
        <f t="shared" ca="1" si="113"/>
        <v>0</v>
      </c>
      <c r="L432" s="181"/>
      <c r="M432" s="181"/>
      <c r="N432" s="181"/>
      <c r="O432" s="181"/>
      <c r="P432" s="181"/>
    </row>
    <row r="433" spans="1:16" ht="21.75" customHeight="1" x14ac:dyDescent="0.3">
      <c r="A433" s="175"/>
      <c r="B433" s="176"/>
      <c r="C433" s="176"/>
      <c r="D433" s="193"/>
      <c r="E433" s="194" t="s">
        <v>54</v>
      </c>
      <c r="F433" s="195"/>
      <c r="G433" s="196"/>
      <c r="H433" s="186"/>
      <c r="I433" s="187"/>
      <c r="J433" s="197">
        <f ca="1">IFERROR(__xludf.DUMMYFUNCTION("IMPORTRANGE(""https://docs.google.com/spreadsheets/d/11923uPwbBZFjjGgGUA6NLw09EwE0CqkOc4q9oUmW1yo/edit?usp=sharing"",""ลำพูน!J328"")"),0)</f>
        <v>0</v>
      </c>
      <c r="K433" s="163"/>
      <c r="L433" s="181"/>
      <c r="M433" s="181"/>
      <c r="N433" s="181"/>
      <c r="O433" s="181"/>
      <c r="P433" s="181"/>
    </row>
    <row r="434" spans="1:16" ht="21.75" customHeight="1" x14ac:dyDescent="0.3">
      <c r="A434" s="175"/>
      <c r="B434" s="176"/>
      <c r="C434" s="176"/>
      <c r="D434" s="205">
        <v>3</v>
      </c>
      <c r="E434" s="206" t="s">
        <v>55</v>
      </c>
      <c r="F434" s="207"/>
      <c r="G434" s="208"/>
      <c r="H434" s="186"/>
      <c r="I434" s="187"/>
      <c r="J434" s="209">
        <f ca="1">IFERROR(__xludf.DUMMYFUNCTION("IMPORTRANGE(""https://docs.google.com/spreadsheets/d/11923uPwbBZFjjGgGUA6NLw09EwE0CqkOc4q9oUmW1yo/edit?usp=sharing"",""ลำพูน!J329"")"),0)</f>
        <v>0</v>
      </c>
      <c r="K434" s="163"/>
      <c r="L434" s="181"/>
      <c r="M434" s="181"/>
      <c r="N434" s="181"/>
      <c r="O434" s="181"/>
      <c r="P434" s="181"/>
    </row>
    <row r="435" spans="1:16" ht="21.75" customHeight="1" x14ac:dyDescent="0.3">
      <c r="A435" s="403"/>
      <c r="B435" s="404">
        <v>4</v>
      </c>
      <c r="C435" s="404" t="s">
        <v>160</v>
      </c>
      <c r="D435" s="405"/>
      <c r="E435" s="405"/>
      <c r="F435" s="405"/>
      <c r="G435" s="406"/>
      <c r="H435" s="407" t="s">
        <v>37</v>
      </c>
      <c r="I435" s="408">
        <f ca="1">IFERROR(__xludf.DUMMYFUNCTION("IMPORTRANGE(""https://docs.google.com/spreadsheets/d/11923uPwbBZFjjGgGUA6NLw09EwE0CqkOc4q9oUmW1yo/edit?usp=sharing"",""ลำพูน!I330"")"),20)</f>
        <v>20</v>
      </c>
      <c r="J435" s="408">
        <f ca="1">IFERROR(__xludf.DUMMYFUNCTION("IMPORTRANGE(""https://docs.google.com/spreadsheets/d/11923uPwbBZFjjGgGUA6NLw09EwE0CqkOc4q9oUmW1yo/edit?usp=sharing"",""ลำพูน!J330"")"),20)</f>
        <v>20</v>
      </c>
      <c r="K435" s="409">
        <f ca="1">IF(I435&gt;0,J435*100/I435,0)</f>
        <v>100</v>
      </c>
      <c r="L435" s="410">
        <f ca="1">IFERROR(__xludf.DUMMYFUNCTION("IMPORTRANGE(""https://docs.google.com/spreadsheets/d/11923uPwbBZFjjGgGUA6NLw09EwE0CqkOc4q9oUmW1yo/edit?usp=sharing"",""ลำพูน!L330"")"),95000)</f>
        <v>95000</v>
      </c>
      <c r="M435" s="410"/>
      <c r="N435" s="410">
        <f ca="1">IFERROR(__xludf.DUMMYFUNCTION("IMPORTRANGE(""https://docs.google.com/spreadsheets/d/11923uPwbBZFjjGgGUA6NLw09EwE0CqkOc4q9oUmW1yo/edit?usp=sharing"",""ลำพูน!M330"")"),41220)</f>
        <v>41220</v>
      </c>
      <c r="O435" s="410">
        <f t="shared" ref="O435:O439" ca="1" si="114">+IF(L435&gt;0,N435*100/L435,0)</f>
        <v>43.389473684210529</v>
      </c>
      <c r="P435" s="410"/>
    </row>
    <row r="436" spans="1:16" ht="21.75" customHeight="1" x14ac:dyDescent="0.3">
      <c r="A436" s="156"/>
      <c r="B436" s="157"/>
      <c r="C436" s="157" t="s">
        <v>16</v>
      </c>
      <c r="D436" s="158" t="s">
        <v>38</v>
      </c>
      <c r="E436" s="159"/>
      <c r="F436" s="159"/>
      <c r="G436" s="160" t="s">
        <v>39</v>
      </c>
      <c r="H436" s="161" t="s">
        <v>12</v>
      </c>
      <c r="I436" s="162" t="s">
        <v>40</v>
      </c>
      <c r="J436" s="162"/>
      <c r="K436" s="163"/>
      <c r="L436" s="164">
        <f ca="1">IFERROR(__xludf.DUMMYFUNCTION("IMPORTRANGE(""https://docs.google.com/spreadsheets/d/11923uPwbBZFjjGgGUA6NLw09EwE0CqkOc4q9oUmW1yo/edit?usp=sharing"",""ลำพูน!L331"")"),0)</f>
        <v>0</v>
      </c>
      <c r="M436" s="164"/>
      <c r="N436" s="168">
        <f ca="1">IFERROR(__xludf.DUMMYFUNCTION("IMPORTRANGE(""https://docs.google.com/spreadsheets/d/11923uPwbBZFjjGgGUA6NLw09EwE0CqkOc4q9oUmW1yo/edit?usp=sharing"",""ลำพูน!M331"")"),0)</f>
        <v>0</v>
      </c>
      <c r="O436" s="168">
        <f t="shared" ca="1" si="114"/>
        <v>0</v>
      </c>
      <c r="P436" s="168"/>
    </row>
    <row r="437" spans="1:16" ht="21.75" customHeight="1" x14ac:dyDescent="0.3">
      <c r="A437" s="156"/>
      <c r="B437" s="157"/>
      <c r="C437" s="157"/>
      <c r="D437" s="166"/>
      <c r="E437" s="159"/>
      <c r="F437" s="159" t="s">
        <v>40</v>
      </c>
      <c r="G437" s="160" t="s">
        <v>41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IFERROR(__xludf.DUMMYFUNCTION("IMPORTRANGE(""https://docs.google.com/spreadsheets/d/11923uPwbBZFjjGgGUA6NLw09EwE0CqkOc4q9oUmW1yo/edit?usp=sharing"",""ลำพูน!L332"")"),95000)</f>
        <v>95000</v>
      </c>
      <c r="M437" s="165"/>
      <c r="N437" s="168">
        <f ca="1">IFERROR(__xludf.DUMMYFUNCTION("IMPORTRANGE(""https://docs.google.com/spreadsheets/d/11923uPwbBZFjjGgGUA6NLw09EwE0CqkOc4q9oUmW1yo/edit?usp=sharing"",""ลำพูน!M332"")"),41220)</f>
        <v>41220</v>
      </c>
      <c r="O437" s="168">
        <f t="shared" ca="1" si="114"/>
        <v>43.389473684210529</v>
      </c>
      <c r="P437" s="168"/>
    </row>
    <row r="438" spans="1:16" ht="21.75" customHeight="1" x14ac:dyDescent="0.3">
      <c r="A438" s="156"/>
      <c r="B438" s="157"/>
      <c r="C438" s="157"/>
      <c r="D438" s="166"/>
      <c r="E438" s="159"/>
      <c r="F438" s="159"/>
      <c r="G438" s="372" t="s">
        <v>129</v>
      </c>
      <c r="H438" s="161" t="s">
        <v>12</v>
      </c>
      <c r="I438" s="162"/>
      <c r="J438" s="162"/>
      <c r="K438" s="163"/>
      <c r="L438" s="168">
        <f ca="1">IFERROR(__xludf.DUMMYFUNCTION("IMPORTRANGE(""https://docs.google.com/spreadsheets/d/11923uPwbBZFjjGgGUA6NLw09EwE0CqkOc4q9oUmW1yo/edit?usp=sharing"",""ลำพูน!L333"")"),0)</f>
        <v>0</v>
      </c>
      <c r="M438" s="168"/>
      <c r="N438" s="168">
        <f ca="1">IFERROR(__xludf.DUMMYFUNCTION("IMPORTRANGE(""https://docs.google.com/spreadsheets/d/11923uPwbBZFjjGgGUA6NLw09EwE0CqkOc4q9oUmW1yo/edit?usp=sharing"",""ลำพูน!M333"")"),0)</f>
        <v>0</v>
      </c>
      <c r="O438" s="168">
        <f t="shared" ca="1" si="114"/>
        <v>0</v>
      </c>
      <c r="P438" s="168"/>
    </row>
    <row r="439" spans="1:16" ht="21.75" customHeight="1" x14ac:dyDescent="0.3">
      <c r="A439" s="156"/>
      <c r="B439" s="157"/>
      <c r="C439" s="157"/>
      <c r="D439" s="166"/>
      <c r="E439" s="159"/>
      <c r="F439" s="159"/>
      <c r="G439" s="372" t="s">
        <v>130</v>
      </c>
      <c r="H439" s="161" t="s">
        <v>12</v>
      </c>
      <c r="I439" s="162"/>
      <c r="J439" s="162"/>
      <c r="K439" s="163"/>
      <c r="L439" s="168">
        <f ca="1">IFERROR(__xludf.DUMMYFUNCTION("IMPORTRANGE(""https://docs.google.com/spreadsheets/d/11923uPwbBZFjjGgGUA6NLw09EwE0CqkOc4q9oUmW1yo/edit?usp=sharing"",""ลำพูน!L334"")"),95000)</f>
        <v>95000</v>
      </c>
      <c r="M439" s="168"/>
      <c r="N439" s="168">
        <f ca="1">IFERROR(__xludf.DUMMYFUNCTION("IMPORTRANGE(""https://docs.google.com/spreadsheets/d/11923uPwbBZFjjGgGUA6NLw09EwE0CqkOc4q9oUmW1yo/edit?usp=sharing"",""ลำพูน!M334"")"),41220)</f>
        <v>41220</v>
      </c>
      <c r="O439" s="168">
        <f t="shared" ca="1" si="114"/>
        <v>43.389473684210529</v>
      </c>
      <c r="P439" s="168"/>
    </row>
    <row r="440" spans="1:16" ht="21.75" customHeight="1" x14ac:dyDescent="0.3">
      <c r="A440" s="373"/>
      <c r="B440" s="374"/>
      <c r="C440" s="157"/>
      <c r="D440" s="375"/>
      <c r="E440" s="159"/>
      <c r="F440" s="159"/>
      <c r="G440" s="376" t="s">
        <v>131</v>
      </c>
      <c r="H440" s="161" t="s">
        <v>12</v>
      </c>
      <c r="I440" s="187"/>
      <c r="J440" s="187"/>
      <c r="K440" s="223"/>
      <c r="L440" s="168"/>
      <c r="M440" s="168"/>
      <c r="N440" s="377">
        <f ca="1">IFERROR(__xludf.DUMMYFUNCTION("IMPORTRANGE(""https://docs.google.com/spreadsheets/d/11923uPwbBZFjjGgGUA6NLw09EwE0CqkOc4q9oUmW1yo/edit?usp=sharing"",""ลำพูน!M335"")"),41220)</f>
        <v>41220</v>
      </c>
      <c r="O440" s="168"/>
      <c r="P440" s="168"/>
    </row>
    <row r="441" spans="1:16" ht="21.75" customHeight="1" x14ac:dyDescent="0.3">
      <c r="A441" s="373"/>
      <c r="B441" s="374"/>
      <c r="C441" s="157"/>
      <c r="D441" s="375"/>
      <c r="E441" s="159"/>
      <c r="F441" s="159"/>
      <c r="G441" s="376" t="s">
        <v>132</v>
      </c>
      <c r="H441" s="161" t="s">
        <v>12</v>
      </c>
      <c r="I441" s="187"/>
      <c r="J441" s="187"/>
      <c r="K441" s="223"/>
      <c r="L441" s="168"/>
      <c r="M441" s="168"/>
      <c r="N441" s="377">
        <f ca="1">IFERROR(__xludf.DUMMYFUNCTION("IMPORTRANGE(""https://docs.google.com/spreadsheets/d/11923uPwbBZFjjGgGUA6NLw09EwE0CqkOc4q9oUmW1yo/edit?usp=sharing"",""ลำพูน!M336"")"),0)</f>
        <v>0</v>
      </c>
      <c r="O441" s="168"/>
      <c r="P441" s="168"/>
    </row>
    <row r="442" spans="1:16" ht="21.75" customHeight="1" x14ac:dyDescent="0.3">
      <c r="A442" s="373"/>
      <c r="B442" s="374"/>
      <c r="C442" s="157"/>
      <c r="D442" s="375"/>
      <c r="E442" s="159"/>
      <c r="F442" s="159"/>
      <c r="G442" s="376" t="s">
        <v>133</v>
      </c>
      <c r="H442" s="161" t="s">
        <v>12</v>
      </c>
      <c r="I442" s="187"/>
      <c r="J442" s="187"/>
      <c r="K442" s="223"/>
      <c r="L442" s="168"/>
      <c r="M442" s="168"/>
      <c r="N442" s="377">
        <f ca="1">IFERROR(__xludf.DUMMYFUNCTION("IMPORTRANGE(""https://docs.google.com/spreadsheets/d/11923uPwbBZFjjGgGUA6NLw09EwE0CqkOc4q9oUmW1yo/edit?usp=sharing"",""ลำพูน!M337"")"),0)</f>
        <v>0</v>
      </c>
      <c r="O442" s="168"/>
      <c r="P442" s="168"/>
    </row>
    <row r="443" spans="1:16" ht="21.75" customHeight="1" x14ac:dyDescent="0.3">
      <c r="A443" s="373"/>
      <c r="B443" s="374"/>
      <c r="C443" s="157"/>
      <c r="D443" s="375"/>
      <c r="E443" s="159"/>
      <c r="F443" s="159"/>
      <c r="G443" s="376" t="s">
        <v>134</v>
      </c>
      <c r="H443" s="161" t="s">
        <v>12</v>
      </c>
      <c r="I443" s="187"/>
      <c r="J443" s="187"/>
      <c r="K443" s="223"/>
      <c r="L443" s="168"/>
      <c r="M443" s="168"/>
      <c r="N443" s="377">
        <f ca="1">IFERROR(__xludf.DUMMYFUNCTION("IMPORTRANGE(""https://docs.google.com/spreadsheets/d/11923uPwbBZFjjGgGUA6NLw09EwE0CqkOc4q9oUmW1yo/edit?usp=sharing"",""ลำพูน!M338"")"),0)</f>
        <v>0</v>
      </c>
      <c r="O443" s="168"/>
      <c r="P443" s="168"/>
    </row>
    <row r="444" spans="1:16" ht="21.75" customHeight="1" x14ac:dyDescent="0.3">
      <c r="A444" s="175"/>
      <c r="B444" s="176"/>
      <c r="C444" s="157" t="s">
        <v>16</v>
      </c>
      <c r="D444" s="177" t="s">
        <v>44</v>
      </c>
      <c r="E444" s="178"/>
      <c r="F444" s="178"/>
      <c r="G444" s="179"/>
      <c r="H444" s="180"/>
      <c r="I444" s="162"/>
      <c r="J444" s="162"/>
      <c r="K444" s="163"/>
      <c r="L444" s="181"/>
      <c r="M444" s="181"/>
      <c r="N444" s="181"/>
      <c r="O444" s="181"/>
      <c r="P444" s="181"/>
    </row>
    <row r="445" spans="1:16" ht="21.75" customHeight="1" x14ac:dyDescent="0.3">
      <c r="A445" s="175"/>
      <c r="B445" s="176"/>
      <c r="C445" s="176"/>
      <c r="D445" s="182">
        <v>1</v>
      </c>
      <c r="E445" s="183" t="s">
        <v>45</v>
      </c>
      <c r="F445" s="184"/>
      <c r="G445" s="185"/>
      <c r="H445" s="186"/>
      <c r="I445" s="187"/>
      <c r="J445" s="209">
        <f ca="1">IFERROR(__xludf.DUMMYFUNCTION("IMPORTRANGE(""https://docs.google.com/spreadsheets/d/11923uPwbBZFjjGgGUA6NLw09EwE0CqkOc4q9oUmW1yo/edit?usp=sharing"",""ลำพูน!J340"")"),0)</f>
        <v>0</v>
      </c>
      <c r="K445" s="163"/>
      <c r="L445" s="181"/>
      <c r="M445" s="181"/>
      <c r="N445" s="181"/>
      <c r="O445" s="181"/>
      <c r="P445" s="181"/>
    </row>
    <row r="446" spans="1:16" ht="21.75" customHeight="1" x14ac:dyDescent="0.3">
      <c r="A446" s="175"/>
      <c r="B446" s="176"/>
      <c r="C446" s="176"/>
      <c r="D446" s="189">
        <v>2</v>
      </c>
      <c r="E446" s="190" t="s">
        <v>46</v>
      </c>
      <c r="F446" s="191"/>
      <c r="G446" s="192"/>
      <c r="H446" s="186"/>
      <c r="I446" s="187"/>
      <c r="J446" s="411">
        <f ca="1">IFERROR(__xludf.DUMMYFUNCTION("IMPORTRANGE(""https://docs.google.com/spreadsheets/d/11923uPwbBZFjjGgGUA6NLw09EwE0CqkOc4q9oUmW1yo/edit?usp=sharing"",""ลำพูน!J341"")"),0)</f>
        <v>0</v>
      </c>
      <c r="K446" s="163"/>
      <c r="L446" s="181" t="s">
        <v>40</v>
      </c>
      <c r="M446" s="181"/>
      <c r="N446" s="181" t="s">
        <v>40</v>
      </c>
      <c r="O446" s="181"/>
      <c r="P446" s="181"/>
    </row>
    <row r="447" spans="1:16" ht="21.75" customHeight="1" x14ac:dyDescent="0.3">
      <c r="A447" s="175"/>
      <c r="B447" s="176"/>
      <c r="C447" s="176"/>
      <c r="D447" s="193"/>
      <c r="E447" s="194" t="s">
        <v>161</v>
      </c>
      <c r="F447" s="195"/>
      <c r="G447" s="196"/>
      <c r="H447" s="186"/>
      <c r="I447" s="187"/>
      <c r="J447" s="188">
        <f ca="1">IFERROR(__xludf.DUMMYFUNCTION("IMPORTRANGE(""https://docs.google.com/spreadsheets/d/11923uPwbBZFjjGgGUA6NLw09EwE0CqkOc4q9oUmW1yo/edit?usp=sharing"",""ลำพูน!J342"")"),1)</f>
        <v>1</v>
      </c>
      <c r="K447" s="163"/>
      <c r="L447" s="181"/>
      <c r="M447" s="181"/>
      <c r="N447" s="181"/>
      <c r="O447" s="181"/>
      <c r="P447" s="181"/>
    </row>
    <row r="448" spans="1:16" ht="21.75" customHeight="1" x14ac:dyDescent="0.3">
      <c r="A448" s="175"/>
      <c r="B448" s="176"/>
      <c r="C448" s="176"/>
      <c r="D448" s="193"/>
      <c r="E448" s="194" t="s">
        <v>48</v>
      </c>
      <c r="F448" s="195"/>
      <c r="G448" s="196"/>
      <c r="H448" s="186"/>
      <c r="I448" s="187"/>
      <c r="J448" s="188">
        <f ca="1">IFERROR(__xludf.DUMMYFUNCTION("IMPORTRANGE(""https://docs.google.com/spreadsheets/d/11923uPwbBZFjjGgGUA6NLw09EwE0CqkOc4q9oUmW1yo/edit?usp=sharing"",""ลำพูน!J343"")"),1)</f>
        <v>1</v>
      </c>
      <c r="K448" s="163"/>
      <c r="L448" s="181"/>
      <c r="M448" s="181"/>
      <c r="N448" s="181"/>
      <c r="O448" s="181"/>
      <c r="P448" s="181"/>
    </row>
    <row r="449" spans="1:16" ht="21.75" customHeight="1" x14ac:dyDescent="0.3">
      <c r="A449" s="175"/>
      <c r="B449" s="176"/>
      <c r="C449" s="176"/>
      <c r="D449" s="193"/>
      <c r="E449" s="198"/>
      <c r="F449" s="412" t="s">
        <v>101</v>
      </c>
      <c r="G449" s="196"/>
      <c r="H449" s="186" t="s">
        <v>37</v>
      </c>
      <c r="I449" s="389">
        <f ca="1">IFERROR(__xludf.DUMMYFUNCTION("IMPORTRANGE(""https://docs.google.com/spreadsheets/d/11923uPwbBZFjjGgGUA6NLw09EwE0CqkOc4q9oUmW1yo/edit?usp=sharing"",""ลำพูน!I344"")"),20)</f>
        <v>20</v>
      </c>
      <c r="J449" s="200">
        <f ca="1">IFERROR(__xludf.DUMMYFUNCTION("IMPORTRANGE(""https://docs.google.com/spreadsheets/d/11923uPwbBZFjjGgGUA6NLw09EwE0CqkOc4q9oUmW1yo/edit?usp=sharing"",""ลำพูน!J344"")"),20)</f>
        <v>20</v>
      </c>
      <c r="K449" s="163">
        <f t="shared" ref="K449:K452" ca="1" si="115">IF(I449&gt;0,J449*100/I449,0)</f>
        <v>100</v>
      </c>
      <c r="L449" s="181"/>
      <c r="M449" s="181"/>
      <c r="N449" s="181"/>
      <c r="O449" s="181"/>
      <c r="P449" s="181"/>
    </row>
    <row r="450" spans="1:16" ht="21.75" customHeight="1" x14ac:dyDescent="0.3">
      <c r="A450" s="175"/>
      <c r="B450" s="176"/>
      <c r="C450" s="176"/>
      <c r="D450" s="193"/>
      <c r="E450" s="198"/>
      <c r="F450" s="195"/>
      <c r="G450" s="225" t="s">
        <v>162</v>
      </c>
      <c r="H450" s="186" t="s">
        <v>37</v>
      </c>
      <c r="I450" s="339">
        <f ca="1">IFERROR(__xludf.DUMMYFUNCTION("IMPORTRANGE(""https://docs.google.com/spreadsheets/d/11923uPwbBZFjjGgGUA6NLw09EwE0CqkOc4q9oUmW1yo/edit?usp=sharing"",""ลำพูน!I345"")"),20)</f>
        <v>20</v>
      </c>
      <c r="J450" s="188">
        <f ca="1">IFERROR(__xludf.DUMMYFUNCTION("IMPORTRANGE(""https://docs.google.com/spreadsheets/d/11923uPwbBZFjjGgGUA6NLw09EwE0CqkOc4q9oUmW1yo/edit?usp=sharing"",""ลำพูน!J345"")"),20)</f>
        <v>20</v>
      </c>
      <c r="K450" s="163">
        <f t="shared" ca="1" si="115"/>
        <v>100</v>
      </c>
      <c r="L450" s="181"/>
      <c r="M450" s="181"/>
      <c r="N450" s="181"/>
      <c r="O450" s="181"/>
      <c r="P450" s="181"/>
    </row>
    <row r="451" spans="1:16" ht="21.75" customHeight="1" x14ac:dyDescent="0.3">
      <c r="A451" s="175"/>
      <c r="B451" s="176"/>
      <c r="C451" s="176"/>
      <c r="D451" s="193"/>
      <c r="E451" s="198"/>
      <c r="F451" s="195"/>
      <c r="G451" s="279" t="s">
        <v>163</v>
      </c>
      <c r="H451" s="186" t="s">
        <v>37</v>
      </c>
      <c r="I451" s="339">
        <f ca="1">IFERROR(__xludf.DUMMYFUNCTION("IMPORTRANGE(""https://docs.google.com/spreadsheets/d/11923uPwbBZFjjGgGUA6NLw09EwE0CqkOc4q9oUmW1yo/edit?usp=sharing"",""ลำพูน!I346"")"),0)</f>
        <v>0</v>
      </c>
      <c r="J451" s="187">
        <f ca="1">IFERROR(__xludf.DUMMYFUNCTION("IMPORTRANGE(""https://docs.google.com/spreadsheets/d/11923uPwbBZFjjGgGUA6NLw09EwE0CqkOc4q9oUmW1yo/edit?usp=sharing"",""ลำพูน!J346"")"),0)</f>
        <v>0</v>
      </c>
      <c r="K451" s="163">
        <f t="shared" ca="1" si="115"/>
        <v>0</v>
      </c>
      <c r="L451" s="181"/>
      <c r="M451" s="181"/>
      <c r="N451" s="181"/>
      <c r="O451" s="181"/>
      <c r="P451" s="181"/>
    </row>
    <row r="452" spans="1:16" ht="21.75" customHeight="1" x14ac:dyDescent="0.3">
      <c r="A452" s="175"/>
      <c r="B452" s="176"/>
      <c r="C452" s="176"/>
      <c r="D452" s="193"/>
      <c r="E452" s="198"/>
      <c r="F452" s="195"/>
      <c r="G452" s="196" t="s">
        <v>164</v>
      </c>
      <c r="H452" s="186" t="s">
        <v>37</v>
      </c>
      <c r="I452" s="187">
        <f ca="1">IFERROR(__xludf.DUMMYFUNCTION("IMPORTRANGE(""https://docs.google.com/spreadsheets/d/11923uPwbBZFjjGgGUA6NLw09EwE0CqkOc4q9oUmW1yo/edit?usp=sharing"",""ลำพูน!I347"")"),0)</f>
        <v>0</v>
      </c>
      <c r="J452" s="187">
        <f ca="1">IFERROR(__xludf.DUMMYFUNCTION("IMPORTRANGE(""https://docs.google.com/spreadsheets/d/11923uPwbBZFjjGgGUA6NLw09EwE0CqkOc4q9oUmW1yo/edit?usp=sharing"",""ลำพูน!J347"")"),0)</f>
        <v>0</v>
      </c>
      <c r="K452" s="163">
        <f t="shared" ca="1" si="115"/>
        <v>0</v>
      </c>
      <c r="L452" s="181"/>
      <c r="M452" s="181"/>
      <c r="N452" s="181"/>
      <c r="O452" s="181"/>
      <c r="P452" s="181"/>
    </row>
    <row r="453" spans="1:16" ht="21.75" customHeight="1" x14ac:dyDescent="0.3">
      <c r="A453" s="175"/>
      <c r="B453" s="176"/>
      <c r="C453" s="176"/>
      <c r="D453" s="193"/>
      <c r="E453" s="194" t="s">
        <v>54</v>
      </c>
      <c r="F453" s="195"/>
      <c r="G453" s="196"/>
      <c r="H453" s="186"/>
      <c r="I453" s="187"/>
      <c r="J453" s="197">
        <f ca="1">IFERROR(__xludf.DUMMYFUNCTION("IMPORTRANGE(""https://docs.google.com/spreadsheets/d/11923uPwbBZFjjGgGUA6NLw09EwE0CqkOc4q9oUmW1yo/edit?usp=sharing"",""ลำพูน!J348"")"),0)</f>
        <v>0</v>
      </c>
      <c r="K453" s="163"/>
      <c r="L453" s="181"/>
      <c r="M453" s="181"/>
      <c r="N453" s="181"/>
      <c r="O453" s="181"/>
      <c r="P453" s="181"/>
    </row>
    <row r="454" spans="1:16" ht="21.75" customHeight="1" x14ac:dyDescent="0.3">
      <c r="A454" s="175"/>
      <c r="B454" s="176"/>
      <c r="C454" s="176"/>
      <c r="D454" s="205">
        <v>3</v>
      </c>
      <c r="E454" s="206" t="s">
        <v>55</v>
      </c>
      <c r="F454" s="207"/>
      <c r="G454" s="208"/>
      <c r="H454" s="186"/>
      <c r="I454" s="187"/>
      <c r="J454" s="209">
        <f ca="1">IFERROR(__xludf.DUMMYFUNCTION("IMPORTRANGE(""https://docs.google.com/spreadsheets/d/11923uPwbBZFjjGgGUA6NLw09EwE0CqkOc4q9oUmW1yo/edit?usp=sharing"",""ลำพูน!J349"")"),1)</f>
        <v>1</v>
      </c>
      <c r="K454" s="163"/>
      <c r="L454" s="181"/>
      <c r="M454" s="181"/>
      <c r="N454" s="181"/>
      <c r="O454" s="181"/>
      <c r="P454" s="181"/>
    </row>
    <row r="455" spans="1:16" ht="21.75" customHeight="1" x14ac:dyDescent="0.3">
      <c r="A455" s="364"/>
      <c r="B455" s="365">
        <v>5</v>
      </c>
      <c r="C455" s="366" t="s">
        <v>165</v>
      </c>
      <c r="D455" s="366"/>
      <c r="E455" s="366"/>
      <c r="F455" s="366"/>
      <c r="G455" s="367"/>
      <c r="H455" s="368" t="s">
        <v>122</v>
      </c>
      <c r="I455" s="369">
        <f ca="1">IFERROR(__xludf.DUMMYFUNCTION("IMPORTRANGE(""https://docs.google.com/spreadsheets/d/11923uPwbBZFjjGgGUA6NLw09EwE0CqkOc4q9oUmW1yo/edit?usp=sharing"",""ลำพูน!I350"")"),41345)</f>
        <v>41345</v>
      </c>
      <c r="J455" s="369">
        <f ca="1">IFERROR(__xludf.DUMMYFUNCTION("IMPORTRANGE(""https://docs.google.com/spreadsheets/d/11923uPwbBZFjjGgGUA6NLw09EwE0CqkOc4q9oUmW1yo/edit?usp=sharing"",""ลำพูน!J350"")"),0)</f>
        <v>0</v>
      </c>
      <c r="K455" s="370">
        <f ca="1">IF(I455&gt;0,J455*100/I455,0)</f>
        <v>0</v>
      </c>
      <c r="L455" s="371">
        <f ca="1">IFERROR(__xludf.DUMMYFUNCTION("IMPORTRANGE(""https://docs.google.com/spreadsheets/d/11923uPwbBZFjjGgGUA6NLw09EwE0CqkOc4q9oUmW1yo/edit?usp=sharing"",""ลำพูน!L350"")"),447250)</f>
        <v>447250</v>
      </c>
      <c r="M455" s="371"/>
      <c r="N455" s="371">
        <f ca="1">IFERROR(__xludf.DUMMYFUNCTION("IMPORTRANGE(""https://docs.google.com/spreadsheets/d/11923uPwbBZFjjGgGUA6NLw09EwE0CqkOc4q9oUmW1yo/edit?usp=sharing"",""ลำพูน!M350"")"),71789)</f>
        <v>71789</v>
      </c>
      <c r="O455" s="371">
        <f t="shared" ref="O455:O459" ca="1" si="116">+IF(L455&gt;0,N455*100/L455,0)</f>
        <v>16.051201788708777</v>
      </c>
      <c r="P455" s="371"/>
    </row>
    <row r="456" spans="1:16" ht="21.75" customHeight="1" x14ac:dyDescent="0.3">
      <c r="A456" s="156"/>
      <c r="B456" s="157"/>
      <c r="C456" s="157" t="s">
        <v>16</v>
      </c>
      <c r="D456" s="158" t="s">
        <v>38</v>
      </c>
      <c r="E456" s="159"/>
      <c r="F456" s="159"/>
      <c r="G456" s="160" t="s">
        <v>39</v>
      </c>
      <c r="H456" s="161" t="s">
        <v>12</v>
      </c>
      <c r="I456" s="162" t="s">
        <v>40</v>
      </c>
      <c r="J456" s="162"/>
      <c r="K456" s="163"/>
      <c r="L456" s="164">
        <f ca="1">IFERROR(__xludf.DUMMYFUNCTION("IMPORTRANGE(""https://docs.google.com/spreadsheets/d/11923uPwbBZFjjGgGUA6NLw09EwE0CqkOc4q9oUmW1yo/edit?usp=sharing"",""ลำพูน!L351"")"),0)</f>
        <v>0</v>
      </c>
      <c r="M456" s="164"/>
      <c r="N456" s="168">
        <f ca="1">IFERROR(__xludf.DUMMYFUNCTION("IMPORTRANGE(""https://docs.google.com/spreadsheets/d/11923uPwbBZFjjGgGUA6NLw09EwE0CqkOc4q9oUmW1yo/edit?usp=sharing"",""ลำพูน!M351"")"),0)</f>
        <v>0</v>
      </c>
      <c r="O456" s="168">
        <f t="shared" ca="1" si="116"/>
        <v>0</v>
      </c>
      <c r="P456" s="168"/>
    </row>
    <row r="457" spans="1:16" ht="21.75" customHeight="1" x14ac:dyDescent="0.3">
      <c r="A457" s="156"/>
      <c r="B457" s="157"/>
      <c r="C457" s="157"/>
      <c r="D457" s="166"/>
      <c r="E457" s="159"/>
      <c r="F457" s="159" t="s">
        <v>40</v>
      </c>
      <c r="G457" s="160" t="s">
        <v>41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IFERROR(__xludf.DUMMYFUNCTION("IMPORTRANGE(""https://docs.google.com/spreadsheets/d/11923uPwbBZFjjGgGUA6NLw09EwE0CqkOc4q9oUmW1yo/edit?usp=sharing"",""ลำพูน!L352"")"),447250)</f>
        <v>447250</v>
      </c>
      <c r="M457" s="165"/>
      <c r="N457" s="168">
        <f ca="1">IFERROR(__xludf.DUMMYFUNCTION("IMPORTRANGE(""https://docs.google.com/spreadsheets/d/11923uPwbBZFjjGgGUA6NLw09EwE0CqkOc4q9oUmW1yo/edit?usp=sharing"",""ลำพูน!M352"")"),71789)</f>
        <v>71789</v>
      </c>
      <c r="O457" s="168">
        <f t="shared" ca="1" si="116"/>
        <v>16.051201788708777</v>
      </c>
      <c r="P457" s="168"/>
    </row>
    <row r="458" spans="1:16" ht="21.75" customHeight="1" x14ac:dyDescent="0.3">
      <c r="A458" s="156"/>
      <c r="B458" s="157"/>
      <c r="C458" s="157"/>
      <c r="D458" s="166"/>
      <c r="E458" s="159"/>
      <c r="F458" s="159"/>
      <c r="G458" s="372" t="s">
        <v>129</v>
      </c>
      <c r="H458" s="161" t="s">
        <v>12</v>
      </c>
      <c r="I458" s="162"/>
      <c r="J458" s="162"/>
      <c r="K458" s="163"/>
      <c r="L458" s="168">
        <f ca="1">IFERROR(__xludf.DUMMYFUNCTION("IMPORTRANGE(""https://docs.google.com/spreadsheets/d/11923uPwbBZFjjGgGUA6NLw09EwE0CqkOc4q9oUmW1yo/edit?usp=sharing"",""ลำพูน!L353"")"),0)</f>
        <v>0</v>
      </c>
      <c r="M458" s="168"/>
      <c r="N458" s="168">
        <f ca="1">IFERROR(__xludf.DUMMYFUNCTION("IMPORTRANGE(""https://docs.google.com/spreadsheets/d/11923uPwbBZFjjGgGUA6NLw09EwE0CqkOc4q9oUmW1yo/edit?usp=sharing"",""ลำพูน!M353"")"),0)</f>
        <v>0</v>
      </c>
      <c r="O458" s="168">
        <f t="shared" ca="1" si="116"/>
        <v>0</v>
      </c>
      <c r="P458" s="168"/>
    </row>
    <row r="459" spans="1:16" ht="21.75" customHeight="1" x14ac:dyDescent="0.3">
      <c r="A459" s="156"/>
      <c r="B459" s="157"/>
      <c r="C459" s="157"/>
      <c r="D459" s="166"/>
      <c r="E459" s="159"/>
      <c r="F459" s="159"/>
      <c r="G459" s="372" t="s">
        <v>130</v>
      </c>
      <c r="H459" s="161" t="s">
        <v>12</v>
      </c>
      <c r="I459" s="162"/>
      <c r="J459" s="162"/>
      <c r="K459" s="163"/>
      <c r="L459" s="168">
        <f ca="1">IFERROR(__xludf.DUMMYFUNCTION("IMPORTRANGE(""https://docs.google.com/spreadsheets/d/11923uPwbBZFjjGgGUA6NLw09EwE0CqkOc4q9oUmW1yo/edit?usp=sharing"",""ลำพูน!L354"")"),447250)</f>
        <v>447250</v>
      </c>
      <c r="M459" s="168"/>
      <c r="N459" s="168">
        <f ca="1">IFERROR(__xludf.DUMMYFUNCTION("IMPORTRANGE(""https://docs.google.com/spreadsheets/d/11923uPwbBZFjjGgGUA6NLw09EwE0CqkOc4q9oUmW1yo/edit?usp=sharing"",""ลำพูน!M354"")"),71789)</f>
        <v>71789</v>
      </c>
      <c r="O459" s="168">
        <f t="shared" ca="1" si="116"/>
        <v>16.051201788708777</v>
      </c>
      <c r="P459" s="168"/>
    </row>
    <row r="460" spans="1:16" ht="21.75" customHeight="1" x14ac:dyDescent="0.3">
      <c r="A460" s="373"/>
      <c r="B460" s="374"/>
      <c r="C460" s="157"/>
      <c r="D460" s="375"/>
      <c r="E460" s="159"/>
      <c r="F460" s="159"/>
      <c r="G460" s="376" t="s">
        <v>131</v>
      </c>
      <c r="H460" s="161" t="s">
        <v>12</v>
      </c>
      <c r="I460" s="187"/>
      <c r="J460" s="187"/>
      <c r="K460" s="223"/>
      <c r="L460" s="168"/>
      <c r="M460" s="168"/>
      <c r="N460" s="167">
        <f ca="1">IFERROR(__xludf.DUMMYFUNCTION("IMPORTRANGE(""https://docs.google.com/spreadsheets/d/11923uPwbBZFjjGgGUA6NLw09EwE0CqkOc4q9oUmW1yo/edit?usp=sharing"",""ลำพูน!M355"")"),0)</f>
        <v>0</v>
      </c>
      <c r="O460" s="168"/>
      <c r="P460" s="168"/>
    </row>
    <row r="461" spans="1:16" ht="21.75" customHeight="1" x14ac:dyDescent="0.3">
      <c r="A461" s="373"/>
      <c r="B461" s="374"/>
      <c r="C461" s="157"/>
      <c r="D461" s="375"/>
      <c r="E461" s="159"/>
      <c r="F461" s="159"/>
      <c r="G461" s="376" t="s">
        <v>132</v>
      </c>
      <c r="H461" s="161" t="s">
        <v>12</v>
      </c>
      <c r="I461" s="187"/>
      <c r="J461" s="187"/>
      <c r="K461" s="223"/>
      <c r="L461" s="168"/>
      <c r="M461" s="168"/>
      <c r="N461" s="167">
        <f ca="1">IFERROR(__xludf.DUMMYFUNCTION("IMPORTRANGE(""https://docs.google.com/spreadsheets/d/11923uPwbBZFjjGgGUA6NLw09EwE0CqkOc4q9oUmW1yo/edit?usp=sharing"",""ลำพูน!M356"")"),0)</f>
        <v>0</v>
      </c>
      <c r="O461" s="168"/>
      <c r="P461" s="168"/>
    </row>
    <row r="462" spans="1:16" ht="21.75" customHeight="1" x14ac:dyDescent="0.3">
      <c r="A462" s="373"/>
      <c r="B462" s="374"/>
      <c r="C462" s="157"/>
      <c r="D462" s="375"/>
      <c r="E462" s="159"/>
      <c r="F462" s="159"/>
      <c r="G462" s="376" t="s">
        <v>133</v>
      </c>
      <c r="H462" s="161" t="s">
        <v>12</v>
      </c>
      <c r="I462" s="187"/>
      <c r="J462" s="187"/>
      <c r="K462" s="223"/>
      <c r="L462" s="168"/>
      <c r="M462" s="168"/>
      <c r="N462" s="377">
        <f ca="1">IFERROR(__xludf.DUMMYFUNCTION("IMPORTRANGE(""https://docs.google.com/spreadsheets/d/11923uPwbBZFjjGgGUA6NLw09EwE0CqkOc4q9oUmW1yo/edit?usp=sharing"",""ลำพูน!M357"")"),46839)</f>
        <v>46839</v>
      </c>
      <c r="O462" s="168"/>
      <c r="P462" s="168"/>
    </row>
    <row r="463" spans="1:16" ht="21.75" customHeight="1" x14ac:dyDescent="0.3">
      <c r="A463" s="373"/>
      <c r="B463" s="374"/>
      <c r="C463" s="157"/>
      <c r="D463" s="375"/>
      <c r="E463" s="159"/>
      <c r="F463" s="159"/>
      <c r="G463" s="376" t="s">
        <v>134</v>
      </c>
      <c r="H463" s="161" t="s">
        <v>12</v>
      </c>
      <c r="I463" s="187"/>
      <c r="J463" s="187"/>
      <c r="K463" s="223"/>
      <c r="L463" s="168"/>
      <c r="M463" s="168"/>
      <c r="N463" s="377">
        <f ca="1">IFERROR(__xludf.DUMMYFUNCTION("IMPORTRANGE(""https://docs.google.com/spreadsheets/d/11923uPwbBZFjjGgGUA6NLw09EwE0CqkOc4q9oUmW1yo/edit?usp=sharing"",""ลำพูน!M358"")"),24950)</f>
        <v>24950</v>
      </c>
      <c r="O463" s="168"/>
      <c r="P463" s="168"/>
    </row>
    <row r="464" spans="1:16" ht="21.75" customHeight="1" x14ac:dyDescent="0.3">
      <c r="A464" s="175"/>
      <c r="B464" s="176"/>
      <c r="C464" s="413" t="s">
        <v>166</v>
      </c>
      <c r="D464" s="413"/>
      <c r="E464" s="414"/>
      <c r="F464" s="414"/>
      <c r="G464" s="415"/>
      <c r="H464" s="265" t="s">
        <v>122</v>
      </c>
      <c r="I464" s="266">
        <f ca="1">IFERROR(__xludf.DUMMYFUNCTION("IMPORTRANGE(""https://docs.google.com/spreadsheets/d/11923uPwbBZFjjGgGUA6NLw09EwE0CqkOc4q9oUmW1yo/edit?usp=sharing"",""ลำพูน!I359"")"),41345)</f>
        <v>41345</v>
      </c>
      <c r="J464" s="266">
        <f ca="1">IFERROR(__xludf.DUMMYFUNCTION("IMPORTRANGE(""https://docs.google.com/spreadsheets/d/11923uPwbBZFjjGgGUA6NLw09EwE0CqkOc4q9oUmW1yo/edit?usp=sharing"",""ลำพูน!J359"")"),0)</f>
        <v>0</v>
      </c>
      <c r="K464" s="267">
        <f t="shared" ref="K464:K515" ca="1" si="117">IF(I464&gt;0,J464*100/I464,0)</f>
        <v>0</v>
      </c>
      <c r="L464" s="290"/>
      <c r="M464" s="290"/>
      <c r="N464" s="290"/>
      <c r="O464" s="290"/>
      <c r="P464" s="290"/>
    </row>
    <row r="465" spans="1:16" ht="21.75" customHeight="1" x14ac:dyDescent="0.3">
      <c r="A465" s="400"/>
      <c r="B465" s="401"/>
      <c r="C465" s="401"/>
      <c r="D465" s="402"/>
      <c r="E465" s="193" t="s">
        <v>167</v>
      </c>
      <c r="F465" s="195"/>
      <c r="G465" s="196"/>
      <c r="H465" s="416" t="s">
        <v>122</v>
      </c>
      <c r="I465" s="417">
        <f ca="1">IFERROR(__xludf.DUMMYFUNCTION("IMPORTRANGE(""https://docs.google.com/spreadsheets/d/11923uPwbBZFjjGgGUA6NLw09EwE0CqkOc4q9oUmW1yo/edit?usp=sharing"",""ลำพูน!I360"")"),41345)</f>
        <v>41345</v>
      </c>
      <c r="J465" s="418">
        <f ca="1">IFERROR(__xludf.DUMMYFUNCTION("IMPORTRANGE(""https://docs.google.com/spreadsheets/d/11923uPwbBZFjjGgGUA6NLw09EwE0CqkOc4q9oUmW1yo/edit?usp=sharing"",""ลำพูน!J360"")"),8257)</f>
        <v>8257</v>
      </c>
      <c r="K465" s="201">
        <f t="shared" ca="1" si="117"/>
        <v>19.970975934212117</v>
      </c>
      <c r="L465" s="181"/>
      <c r="M465" s="181"/>
      <c r="N465" s="181"/>
      <c r="O465" s="181"/>
      <c r="P465" s="181"/>
    </row>
    <row r="466" spans="1:16" ht="21.75" customHeight="1" x14ac:dyDescent="0.3">
      <c r="A466" s="400"/>
      <c r="B466" s="401"/>
      <c r="C466" s="401"/>
      <c r="D466" s="402"/>
      <c r="E466" s="195"/>
      <c r="F466" s="195"/>
      <c r="G466" s="196"/>
      <c r="H466" s="416" t="s">
        <v>36</v>
      </c>
      <c r="I466" s="417">
        <f ca="1">IFERROR(__xludf.DUMMYFUNCTION("IMPORTRANGE(""https://docs.google.com/spreadsheets/d/11923uPwbBZFjjGgGUA6NLw09EwE0CqkOc4q9oUmW1yo/edit?usp=sharing"",""ลำพูน!I361"")"),6424)</f>
        <v>6424</v>
      </c>
      <c r="J466" s="418">
        <f ca="1">IFERROR(__xludf.DUMMYFUNCTION("IMPORTRANGE(""https://docs.google.com/spreadsheets/d/11923uPwbBZFjjGgGUA6NLw09EwE0CqkOc4q9oUmW1yo/edit?usp=sharing"",""ลำพูน!J361"")"),1331)</f>
        <v>1331</v>
      </c>
      <c r="K466" s="201">
        <f t="shared" ca="1" si="117"/>
        <v>20.719178082191782</v>
      </c>
      <c r="L466" s="181"/>
      <c r="M466" s="181"/>
      <c r="N466" s="181"/>
      <c r="O466" s="181"/>
      <c r="P466" s="181"/>
    </row>
    <row r="467" spans="1:16" ht="21.75" customHeight="1" x14ac:dyDescent="0.3">
      <c r="A467" s="400"/>
      <c r="B467" s="401"/>
      <c r="C467" s="401"/>
      <c r="D467" s="402"/>
      <c r="E467" s="195"/>
      <c r="F467" s="388" t="s">
        <v>168</v>
      </c>
      <c r="G467" s="419"/>
      <c r="H467" s="420" t="s">
        <v>122</v>
      </c>
      <c r="I467" s="202">
        <f ca="1">IFERROR(__xludf.DUMMYFUNCTION("IMPORTRANGE(""https://docs.google.com/spreadsheets/d/11923uPwbBZFjjGgGUA6NLw09EwE0CqkOc4q9oUmW1yo/edit?usp=sharing"",""ลำพูน!I362"")"),0)</f>
        <v>0</v>
      </c>
      <c r="J467" s="188">
        <f ca="1">IFERROR(__xludf.DUMMYFUNCTION("IMPORTRANGE(""https://docs.google.com/spreadsheets/d/11923uPwbBZFjjGgGUA6NLw09EwE0CqkOc4q9oUmW1yo/edit?usp=sharing"",""ลำพูน!J362"")"),6094)</f>
        <v>6094</v>
      </c>
      <c r="K467" s="163">
        <f t="shared" ca="1" si="117"/>
        <v>0</v>
      </c>
      <c r="L467" s="181"/>
      <c r="M467" s="181"/>
      <c r="N467" s="181"/>
      <c r="O467" s="181"/>
      <c r="P467" s="181"/>
    </row>
    <row r="468" spans="1:16" ht="21.75" customHeight="1" x14ac:dyDescent="0.3">
      <c r="A468" s="400"/>
      <c r="B468" s="401"/>
      <c r="C468" s="401"/>
      <c r="D468" s="402"/>
      <c r="E468" s="195"/>
      <c r="F468" s="195"/>
      <c r="G468" s="419"/>
      <c r="H468" s="420" t="s">
        <v>36</v>
      </c>
      <c r="I468" s="202">
        <f ca="1">IFERROR(__xludf.DUMMYFUNCTION("IMPORTRANGE(""https://docs.google.com/spreadsheets/d/11923uPwbBZFjjGgGUA6NLw09EwE0CqkOc4q9oUmW1yo/edit?usp=sharing"",""ลำพูน!I363"")"),0)</f>
        <v>0</v>
      </c>
      <c r="J468" s="188">
        <f ca="1">IFERROR(__xludf.DUMMYFUNCTION("IMPORTRANGE(""https://docs.google.com/spreadsheets/d/11923uPwbBZFjjGgGUA6NLw09EwE0CqkOc4q9oUmW1yo/edit?usp=sharing"",""ลำพูน!J363"")"),1082)</f>
        <v>1082</v>
      </c>
      <c r="K468" s="163">
        <f t="shared" ca="1" si="117"/>
        <v>0</v>
      </c>
      <c r="L468" s="181"/>
      <c r="M468" s="181"/>
      <c r="N468" s="181"/>
      <c r="O468" s="181"/>
      <c r="P468" s="181"/>
    </row>
    <row r="469" spans="1:16" ht="21.75" customHeight="1" x14ac:dyDescent="0.3">
      <c r="A469" s="400"/>
      <c r="B469" s="401"/>
      <c r="C469" s="401"/>
      <c r="D469" s="402"/>
      <c r="E469" s="195"/>
      <c r="F469" s="388" t="s">
        <v>169</v>
      </c>
      <c r="G469" s="419"/>
      <c r="H469" s="420" t="s">
        <v>122</v>
      </c>
      <c r="I469" s="202">
        <f ca="1">IFERROR(__xludf.DUMMYFUNCTION("IMPORTRANGE(""https://docs.google.com/spreadsheets/d/11923uPwbBZFjjGgGUA6NLw09EwE0CqkOc4q9oUmW1yo/edit?usp=sharing"",""ลำพูน!I364"")"),0)</f>
        <v>0</v>
      </c>
      <c r="J469" s="188">
        <f ca="1">IFERROR(__xludf.DUMMYFUNCTION("IMPORTRANGE(""https://docs.google.com/spreadsheets/d/11923uPwbBZFjjGgGUA6NLw09EwE0CqkOc4q9oUmW1yo/edit?usp=sharing"",""ลำพูน!J364"")"),2076)</f>
        <v>2076</v>
      </c>
      <c r="K469" s="163">
        <f t="shared" ca="1" si="117"/>
        <v>0</v>
      </c>
      <c r="L469" s="181"/>
      <c r="M469" s="181"/>
      <c r="N469" s="181"/>
      <c r="O469" s="181"/>
      <c r="P469" s="181"/>
    </row>
    <row r="470" spans="1:16" ht="21.75" customHeight="1" x14ac:dyDescent="0.3">
      <c r="A470" s="400"/>
      <c r="B470" s="401"/>
      <c r="C470" s="401"/>
      <c r="D470" s="402"/>
      <c r="E470" s="195"/>
      <c r="F470" s="195"/>
      <c r="G470" s="419"/>
      <c r="H470" s="420" t="s">
        <v>36</v>
      </c>
      <c r="I470" s="202">
        <f ca="1">IFERROR(__xludf.DUMMYFUNCTION("IMPORTRANGE(""https://docs.google.com/spreadsheets/d/11923uPwbBZFjjGgGUA6NLw09EwE0CqkOc4q9oUmW1yo/edit?usp=sharing"",""ลำพูน!I365"")"),0)</f>
        <v>0</v>
      </c>
      <c r="J470" s="188">
        <f ca="1">IFERROR(__xludf.DUMMYFUNCTION("IMPORTRANGE(""https://docs.google.com/spreadsheets/d/11923uPwbBZFjjGgGUA6NLw09EwE0CqkOc4q9oUmW1yo/edit?usp=sharing"",""ลำพูน!J365"")"),227)</f>
        <v>227</v>
      </c>
      <c r="K470" s="163">
        <f t="shared" ca="1" si="117"/>
        <v>0</v>
      </c>
      <c r="L470" s="181"/>
      <c r="M470" s="181"/>
      <c r="N470" s="181"/>
      <c r="O470" s="181"/>
      <c r="P470" s="181"/>
    </row>
    <row r="471" spans="1:16" ht="21.75" customHeight="1" x14ac:dyDescent="0.3">
      <c r="A471" s="400"/>
      <c r="B471" s="401"/>
      <c r="C471" s="401"/>
      <c r="D471" s="402"/>
      <c r="E471" s="195"/>
      <c r="F471" s="388" t="s">
        <v>170</v>
      </c>
      <c r="G471" s="419"/>
      <c r="H471" s="420" t="s">
        <v>122</v>
      </c>
      <c r="I471" s="202">
        <f ca="1">IFERROR(__xludf.DUMMYFUNCTION("IMPORTRANGE(""https://docs.google.com/spreadsheets/d/11923uPwbBZFjjGgGUA6NLw09EwE0CqkOc4q9oUmW1yo/edit?usp=sharing"",""ลำพูน!I366"")"),0)</f>
        <v>0</v>
      </c>
      <c r="J471" s="188">
        <f ca="1">IFERROR(__xludf.DUMMYFUNCTION("IMPORTRANGE(""https://docs.google.com/spreadsheets/d/11923uPwbBZFjjGgGUA6NLw09EwE0CqkOc4q9oUmW1yo/edit?usp=sharing"",""ลำพูน!J366"")"),87)</f>
        <v>87</v>
      </c>
      <c r="K471" s="163">
        <f t="shared" ca="1" si="117"/>
        <v>0</v>
      </c>
      <c r="L471" s="181"/>
      <c r="M471" s="181"/>
      <c r="N471" s="181"/>
      <c r="O471" s="181"/>
      <c r="P471" s="181"/>
    </row>
    <row r="472" spans="1:16" ht="21.75" customHeight="1" x14ac:dyDescent="0.3">
      <c r="A472" s="400"/>
      <c r="B472" s="401"/>
      <c r="C472" s="401"/>
      <c r="D472" s="402"/>
      <c r="E472" s="195"/>
      <c r="F472" s="195"/>
      <c r="G472" s="195"/>
      <c r="H472" s="420" t="s">
        <v>36</v>
      </c>
      <c r="I472" s="202">
        <f ca="1">IFERROR(__xludf.DUMMYFUNCTION("IMPORTRANGE(""https://docs.google.com/spreadsheets/d/11923uPwbBZFjjGgGUA6NLw09EwE0CqkOc4q9oUmW1yo/edit?usp=sharing"",""ลำพูน!I367"")"),0)</f>
        <v>0</v>
      </c>
      <c r="J472" s="188">
        <f ca="1">IFERROR(__xludf.DUMMYFUNCTION("IMPORTRANGE(""https://docs.google.com/spreadsheets/d/11923uPwbBZFjjGgGUA6NLw09EwE0CqkOc4q9oUmW1yo/edit?usp=sharing"",""ลำพูน!J367"")"),22)</f>
        <v>22</v>
      </c>
      <c r="K472" s="163">
        <f t="shared" ca="1" si="117"/>
        <v>0</v>
      </c>
      <c r="L472" s="181"/>
      <c r="M472" s="181"/>
      <c r="N472" s="181"/>
      <c r="O472" s="181"/>
      <c r="P472" s="181"/>
    </row>
    <row r="473" spans="1:16" ht="21.75" customHeight="1" x14ac:dyDescent="0.3">
      <c r="A473" s="400"/>
      <c r="B473" s="401"/>
      <c r="C473" s="401"/>
      <c r="D473" s="402"/>
      <c r="E473" s="289" t="s">
        <v>171</v>
      </c>
      <c r="F473" s="195"/>
      <c r="G473" s="196"/>
      <c r="H473" s="416" t="s">
        <v>122</v>
      </c>
      <c r="I473" s="418">
        <f ca="1">IFERROR(__xludf.DUMMYFUNCTION("IMPORTRANGE(""https://docs.google.com/spreadsheets/d/11923uPwbBZFjjGgGUA6NLw09EwE0CqkOc4q9oUmW1yo/edit?usp=sharing"",""ลำพูน!I368"")"),41345)</f>
        <v>41345</v>
      </c>
      <c r="J473" s="418">
        <f ca="1">IFERROR(__xludf.DUMMYFUNCTION("IMPORTRANGE(""https://docs.google.com/spreadsheets/d/11923uPwbBZFjjGgGUA6NLw09EwE0CqkOc4q9oUmW1yo/edit?usp=sharing"",""ลำพูน!J368"")"),0)</f>
        <v>0</v>
      </c>
      <c r="K473" s="201">
        <f t="shared" ca="1" si="117"/>
        <v>0</v>
      </c>
      <c r="L473" s="181"/>
      <c r="M473" s="181"/>
      <c r="N473" s="181"/>
      <c r="O473" s="181"/>
      <c r="P473" s="181"/>
    </row>
    <row r="474" spans="1:16" ht="21.75" customHeight="1" x14ac:dyDescent="0.3">
      <c r="A474" s="400"/>
      <c r="B474" s="401"/>
      <c r="C474" s="401"/>
      <c r="D474" s="402"/>
      <c r="E474" s="195"/>
      <c r="F474" s="195"/>
      <c r="G474" s="196"/>
      <c r="H474" s="416" t="s">
        <v>36</v>
      </c>
      <c r="I474" s="417">
        <f ca="1">IFERROR(__xludf.DUMMYFUNCTION("IMPORTRANGE(""https://docs.google.com/spreadsheets/d/11923uPwbBZFjjGgGUA6NLw09EwE0CqkOc4q9oUmW1yo/edit?usp=sharing"",""ลำพูน!I369"")"),6424)</f>
        <v>6424</v>
      </c>
      <c r="J474" s="418">
        <f ca="1">IFERROR(__xludf.DUMMYFUNCTION("IMPORTRANGE(""https://docs.google.com/spreadsheets/d/11923uPwbBZFjjGgGUA6NLw09EwE0CqkOc4q9oUmW1yo/edit?usp=sharing"",""ลำพูน!J369"")"),0)</f>
        <v>0</v>
      </c>
      <c r="K474" s="163">
        <f t="shared" ca="1" si="117"/>
        <v>0</v>
      </c>
      <c r="L474" s="181"/>
      <c r="M474" s="181"/>
      <c r="N474" s="181"/>
      <c r="O474" s="181"/>
      <c r="P474" s="181"/>
    </row>
    <row r="475" spans="1:16" ht="21.75" customHeight="1" x14ac:dyDescent="0.3">
      <c r="A475" s="400"/>
      <c r="B475" s="401"/>
      <c r="C475" s="401"/>
      <c r="D475" s="402"/>
      <c r="E475" s="195"/>
      <c r="F475" s="194" t="s">
        <v>172</v>
      </c>
      <c r="G475" s="419"/>
      <c r="H475" s="420" t="s">
        <v>122</v>
      </c>
      <c r="I475" s="202">
        <f ca="1">IFERROR(__xludf.DUMMYFUNCTION("IMPORTRANGE(""https://docs.google.com/spreadsheets/d/11923uPwbBZFjjGgGUA6NLw09EwE0CqkOc4q9oUmW1yo/edit?usp=sharing"",""ลำพูน!I370"")"),0)</f>
        <v>0</v>
      </c>
      <c r="J475" s="188">
        <f ca="1">IFERROR(__xludf.DUMMYFUNCTION("IMPORTRANGE(""https://docs.google.com/spreadsheets/d/11923uPwbBZFjjGgGUA6NLw09EwE0CqkOc4q9oUmW1yo/edit?usp=sharing"",""ลำพูน!J370"")"),0)</f>
        <v>0</v>
      </c>
      <c r="K475" s="163">
        <f t="shared" ca="1" si="117"/>
        <v>0</v>
      </c>
      <c r="L475" s="181"/>
      <c r="M475" s="181"/>
      <c r="N475" s="181"/>
      <c r="O475" s="181"/>
      <c r="P475" s="181"/>
    </row>
    <row r="476" spans="1:16" ht="21.75" customHeight="1" x14ac:dyDescent="0.3">
      <c r="A476" s="400"/>
      <c r="B476" s="401"/>
      <c r="C476" s="401"/>
      <c r="D476" s="402"/>
      <c r="E476" s="195"/>
      <c r="F476" s="195"/>
      <c r="G476" s="419"/>
      <c r="H476" s="420" t="s">
        <v>36</v>
      </c>
      <c r="I476" s="202">
        <f ca="1">IFERROR(__xludf.DUMMYFUNCTION("IMPORTRANGE(""https://docs.google.com/spreadsheets/d/11923uPwbBZFjjGgGUA6NLw09EwE0CqkOc4q9oUmW1yo/edit?usp=sharing"",""ลำพูน!I371"")"),0)</f>
        <v>0</v>
      </c>
      <c r="J476" s="188">
        <f ca="1">IFERROR(__xludf.DUMMYFUNCTION("IMPORTRANGE(""https://docs.google.com/spreadsheets/d/11923uPwbBZFjjGgGUA6NLw09EwE0CqkOc4q9oUmW1yo/edit?usp=sharing"",""ลำพูน!J371"")"),0)</f>
        <v>0</v>
      </c>
      <c r="K476" s="163">
        <f t="shared" ca="1" si="117"/>
        <v>0</v>
      </c>
      <c r="L476" s="181"/>
      <c r="M476" s="181"/>
      <c r="N476" s="181"/>
      <c r="O476" s="181"/>
      <c r="P476" s="181"/>
    </row>
    <row r="477" spans="1:16" ht="21.75" customHeight="1" x14ac:dyDescent="0.3">
      <c r="A477" s="400"/>
      <c r="B477" s="401"/>
      <c r="C477" s="401"/>
      <c r="D477" s="402"/>
      <c r="E477" s="195"/>
      <c r="F477" s="194" t="s">
        <v>173</v>
      </c>
      <c r="G477" s="419"/>
      <c r="H477" s="420" t="s">
        <v>122</v>
      </c>
      <c r="I477" s="202">
        <f ca="1">IFERROR(__xludf.DUMMYFUNCTION("IMPORTRANGE(""https://docs.google.com/spreadsheets/d/11923uPwbBZFjjGgGUA6NLw09EwE0CqkOc4q9oUmW1yo/edit?usp=sharing"",""ลำพูน!I372"")"),0)</f>
        <v>0</v>
      </c>
      <c r="J477" s="188">
        <f ca="1">IFERROR(__xludf.DUMMYFUNCTION("IMPORTRANGE(""https://docs.google.com/spreadsheets/d/11923uPwbBZFjjGgGUA6NLw09EwE0CqkOc4q9oUmW1yo/edit?usp=sharing"",""ลำพูน!J372"")"),0)</f>
        <v>0</v>
      </c>
      <c r="K477" s="163">
        <f t="shared" ca="1" si="117"/>
        <v>0</v>
      </c>
      <c r="L477" s="181"/>
      <c r="M477" s="181"/>
      <c r="N477" s="181"/>
      <c r="O477" s="181"/>
      <c r="P477" s="181"/>
    </row>
    <row r="478" spans="1:16" ht="21.75" customHeight="1" x14ac:dyDescent="0.3">
      <c r="A478" s="400"/>
      <c r="B478" s="401"/>
      <c r="C478" s="401"/>
      <c r="D478" s="402"/>
      <c r="E478" s="195"/>
      <c r="F478" s="195"/>
      <c r="G478" s="419"/>
      <c r="H478" s="420" t="s">
        <v>36</v>
      </c>
      <c r="I478" s="202">
        <f ca="1">IFERROR(__xludf.DUMMYFUNCTION("IMPORTRANGE(""https://docs.google.com/spreadsheets/d/11923uPwbBZFjjGgGUA6NLw09EwE0CqkOc4q9oUmW1yo/edit?usp=sharing"",""ลำพูน!I373"")"),0)</f>
        <v>0</v>
      </c>
      <c r="J478" s="188">
        <f ca="1">IFERROR(__xludf.DUMMYFUNCTION("IMPORTRANGE(""https://docs.google.com/spreadsheets/d/11923uPwbBZFjjGgGUA6NLw09EwE0CqkOc4q9oUmW1yo/edit?usp=sharing"",""ลำพูน!J373"")"),0)</f>
        <v>0</v>
      </c>
      <c r="K478" s="163">
        <f t="shared" ca="1" si="117"/>
        <v>0</v>
      </c>
      <c r="L478" s="181"/>
      <c r="M478" s="181"/>
      <c r="N478" s="181"/>
      <c r="O478" s="181"/>
      <c r="P478" s="181"/>
    </row>
    <row r="479" spans="1:16" ht="21.75" customHeight="1" x14ac:dyDescent="0.3">
      <c r="A479" s="400"/>
      <c r="B479" s="401"/>
      <c r="C479" s="401"/>
      <c r="D479" s="402"/>
      <c r="E479" s="195"/>
      <c r="F479" s="194" t="s">
        <v>174</v>
      </c>
      <c r="G479" s="419"/>
      <c r="H479" s="420" t="s">
        <v>122</v>
      </c>
      <c r="I479" s="202">
        <f ca="1">IFERROR(__xludf.DUMMYFUNCTION("IMPORTRANGE(""https://docs.google.com/spreadsheets/d/11923uPwbBZFjjGgGUA6NLw09EwE0CqkOc4q9oUmW1yo/edit?usp=sharing"",""ลำพูน!I374"")"),0)</f>
        <v>0</v>
      </c>
      <c r="J479" s="188">
        <f ca="1">IFERROR(__xludf.DUMMYFUNCTION("IMPORTRANGE(""https://docs.google.com/spreadsheets/d/11923uPwbBZFjjGgGUA6NLw09EwE0CqkOc4q9oUmW1yo/edit?usp=sharing"",""ลำพูน!J374"")"),0)</f>
        <v>0</v>
      </c>
      <c r="K479" s="163">
        <f t="shared" ca="1" si="117"/>
        <v>0</v>
      </c>
      <c r="L479" s="181"/>
      <c r="M479" s="181"/>
      <c r="N479" s="181"/>
      <c r="O479" s="181"/>
      <c r="P479" s="181"/>
    </row>
    <row r="480" spans="1:16" ht="21.75" customHeight="1" x14ac:dyDescent="0.3">
      <c r="A480" s="400"/>
      <c r="B480" s="401"/>
      <c r="C480" s="401"/>
      <c r="D480" s="402"/>
      <c r="E480" s="195"/>
      <c r="F480" s="195"/>
      <c r="G480" s="196"/>
      <c r="H480" s="420" t="s">
        <v>36</v>
      </c>
      <c r="I480" s="202">
        <f ca="1">IFERROR(__xludf.DUMMYFUNCTION("IMPORTRANGE(""https://docs.google.com/spreadsheets/d/11923uPwbBZFjjGgGUA6NLw09EwE0CqkOc4q9oUmW1yo/edit?usp=sharing"",""ลำพูน!I375"")"),0)</f>
        <v>0</v>
      </c>
      <c r="J480" s="188">
        <f ca="1">IFERROR(__xludf.DUMMYFUNCTION("IMPORTRANGE(""https://docs.google.com/spreadsheets/d/11923uPwbBZFjjGgGUA6NLw09EwE0CqkOc4q9oUmW1yo/edit?usp=sharing"",""ลำพูน!J375"")"),0)</f>
        <v>0</v>
      </c>
      <c r="K480" s="163">
        <f t="shared" ca="1" si="117"/>
        <v>0</v>
      </c>
      <c r="L480" s="181"/>
      <c r="M480" s="181"/>
      <c r="N480" s="181"/>
      <c r="O480" s="181"/>
      <c r="P480" s="181"/>
    </row>
    <row r="481" spans="1:16" ht="21.75" customHeight="1" x14ac:dyDescent="0.3">
      <c r="A481" s="421"/>
      <c r="B481" s="422"/>
      <c r="C481" s="422"/>
      <c r="D481" s="423"/>
      <c r="E481" s="424" t="s">
        <v>175</v>
      </c>
      <c r="F481" s="425"/>
      <c r="G481" s="426"/>
      <c r="H481" s="427" t="s">
        <v>122</v>
      </c>
      <c r="I481" s="418">
        <f ca="1">IFERROR(__xludf.DUMMYFUNCTION("IMPORTRANGE(""https://docs.google.com/spreadsheets/d/11923uPwbBZFjjGgGUA6NLw09EwE0CqkOc4q9oUmW1yo/edit?usp=sharing"",""ลำพูน!I376"")"),41345)</f>
        <v>41345</v>
      </c>
      <c r="J481" s="418">
        <f ca="1">IFERROR(__xludf.DUMMYFUNCTION("IMPORTRANGE(""https://docs.google.com/spreadsheets/d/11923uPwbBZFjjGgGUA6NLw09EwE0CqkOc4q9oUmW1yo/edit?usp=sharing"",""ลำพูน!J376"")"),0)</f>
        <v>0</v>
      </c>
      <c r="K481" s="201">
        <f t="shared" ca="1" si="117"/>
        <v>0</v>
      </c>
      <c r="L481" s="428"/>
      <c r="M481" s="428"/>
      <c r="N481" s="428"/>
      <c r="O481" s="428"/>
      <c r="P481" s="428"/>
    </row>
    <row r="482" spans="1:16" ht="21.75" customHeight="1" x14ac:dyDescent="0.3">
      <c r="A482" s="400"/>
      <c r="B482" s="401"/>
      <c r="C482" s="401"/>
      <c r="D482" s="402"/>
      <c r="E482" s="195"/>
      <c r="F482" s="195"/>
      <c r="G482" s="196"/>
      <c r="H482" s="416" t="s">
        <v>36</v>
      </c>
      <c r="I482" s="417">
        <f ca="1">IFERROR(__xludf.DUMMYFUNCTION("IMPORTRANGE(""https://docs.google.com/spreadsheets/d/11923uPwbBZFjjGgGUA6NLw09EwE0CqkOc4q9oUmW1yo/edit?usp=sharing"",""ลำพูน!I377"")"),6424)</f>
        <v>6424</v>
      </c>
      <c r="J482" s="418">
        <f ca="1">IFERROR(__xludf.DUMMYFUNCTION("IMPORTRANGE(""https://docs.google.com/spreadsheets/d/11923uPwbBZFjjGgGUA6NLw09EwE0CqkOc4q9oUmW1yo/edit?usp=sharing"",""ลำพูน!J377"")"),0)</f>
        <v>0</v>
      </c>
      <c r="K482" s="163">
        <f t="shared" ca="1" si="117"/>
        <v>0</v>
      </c>
      <c r="L482" s="181"/>
      <c r="M482" s="181"/>
      <c r="N482" s="181"/>
      <c r="O482" s="181"/>
      <c r="P482" s="181"/>
    </row>
    <row r="483" spans="1:16" ht="21.75" customHeight="1" x14ac:dyDescent="0.3">
      <c r="A483" s="400"/>
      <c r="B483" s="401"/>
      <c r="C483" s="401"/>
      <c r="D483" s="402"/>
      <c r="E483" s="195"/>
      <c r="F483" s="194" t="s">
        <v>176</v>
      </c>
      <c r="G483" s="419"/>
      <c r="H483" s="420" t="s">
        <v>122</v>
      </c>
      <c r="I483" s="202">
        <f ca="1">IFERROR(__xludf.DUMMYFUNCTION("IMPORTRANGE(""https://docs.google.com/spreadsheets/d/11923uPwbBZFjjGgGUA6NLw09EwE0CqkOc4q9oUmW1yo/edit?usp=sharing"",""ลำพูน!I378"")"),0)</f>
        <v>0</v>
      </c>
      <c r="J483" s="188">
        <f ca="1">IFERROR(__xludf.DUMMYFUNCTION("IMPORTRANGE(""https://docs.google.com/spreadsheets/d/11923uPwbBZFjjGgGUA6NLw09EwE0CqkOc4q9oUmW1yo/edit?usp=sharing"",""ลำพูน!J378"")"),0)</f>
        <v>0</v>
      </c>
      <c r="K483" s="163">
        <f t="shared" ca="1" si="117"/>
        <v>0</v>
      </c>
      <c r="L483" s="181"/>
      <c r="M483" s="181"/>
      <c r="N483" s="181"/>
      <c r="O483" s="181"/>
      <c r="P483" s="181"/>
    </row>
    <row r="484" spans="1:16" ht="21.75" customHeight="1" x14ac:dyDescent="0.3">
      <c r="A484" s="400"/>
      <c r="B484" s="401"/>
      <c r="C484" s="401"/>
      <c r="D484" s="402"/>
      <c r="E484" s="195"/>
      <c r="F484" s="195"/>
      <c r="G484" s="419"/>
      <c r="H484" s="420" t="s">
        <v>36</v>
      </c>
      <c r="I484" s="202">
        <f ca="1">IFERROR(__xludf.DUMMYFUNCTION("IMPORTRANGE(""https://docs.google.com/spreadsheets/d/11923uPwbBZFjjGgGUA6NLw09EwE0CqkOc4q9oUmW1yo/edit?usp=sharing"",""ลำพูน!I379"")"),0)</f>
        <v>0</v>
      </c>
      <c r="J484" s="188">
        <f ca="1">IFERROR(__xludf.DUMMYFUNCTION("IMPORTRANGE(""https://docs.google.com/spreadsheets/d/11923uPwbBZFjjGgGUA6NLw09EwE0CqkOc4q9oUmW1yo/edit?usp=sharing"",""ลำพูน!J379"")"),0)</f>
        <v>0</v>
      </c>
      <c r="K484" s="163">
        <f t="shared" ca="1" si="117"/>
        <v>0</v>
      </c>
      <c r="L484" s="181"/>
      <c r="M484" s="181"/>
      <c r="N484" s="181"/>
      <c r="O484" s="181"/>
      <c r="P484" s="181"/>
    </row>
    <row r="485" spans="1:16" ht="21.75" customHeight="1" x14ac:dyDescent="0.3">
      <c r="A485" s="400"/>
      <c r="B485" s="401"/>
      <c r="C485" s="401"/>
      <c r="D485" s="402"/>
      <c r="E485" s="195"/>
      <c r="F485" s="194" t="s">
        <v>177</v>
      </c>
      <c r="G485" s="419"/>
      <c r="H485" s="420" t="s">
        <v>122</v>
      </c>
      <c r="I485" s="202">
        <f ca="1">IFERROR(__xludf.DUMMYFUNCTION("IMPORTRANGE(""https://docs.google.com/spreadsheets/d/11923uPwbBZFjjGgGUA6NLw09EwE0CqkOc4q9oUmW1yo/edit?usp=sharing"",""ลำพูน!I380"")"),0)</f>
        <v>0</v>
      </c>
      <c r="J485" s="188">
        <f ca="1">IFERROR(__xludf.DUMMYFUNCTION("IMPORTRANGE(""https://docs.google.com/spreadsheets/d/11923uPwbBZFjjGgGUA6NLw09EwE0CqkOc4q9oUmW1yo/edit?usp=sharing"",""ลำพูน!J380"")"),0)</f>
        <v>0</v>
      </c>
      <c r="K485" s="163">
        <f t="shared" ca="1" si="117"/>
        <v>0</v>
      </c>
      <c r="L485" s="181"/>
      <c r="M485" s="181"/>
      <c r="N485" s="181"/>
      <c r="O485" s="181"/>
      <c r="P485" s="181"/>
    </row>
    <row r="486" spans="1:16" ht="21.75" customHeight="1" x14ac:dyDescent="0.3">
      <c r="A486" s="400"/>
      <c r="B486" s="401"/>
      <c r="C486" s="401"/>
      <c r="D486" s="402"/>
      <c r="E486" s="195"/>
      <c r="F486" s="195"/>
      <c r="G486" s="419"/>
      <c r="H486" s="420" t="s">
        <v>36</v>
      </c>
      <c r="I486" s="202">
        <f ca="1">IFERROR(__xludf.DUMMYFUNCTION("IMPORTRANGE(""https://docs.google.com/spreadsheets/d/11923uPwbBZFjjGgGUA6NLw09EwE0CqkOc4q9oUmW1yo/edit?usp=sharing"",""ลำพูน!I381"")"),0)</f>
        <v>0</v>
      </c>
      <c r="J486" s="188">
        <f ca="1">IFERROR(__xludf.DUMMYFUNCTION("IMPORTRANGE(""https://docs.google.com/spreadsheets/d/11923uPwbBZFjjGgGUA6NLw09EwE0CqkOc4q9oUmW1yo/edit?usp=sharing"",""ลำพูน!J381"")"),0)</f>
        <v>0</v>
      </c>
      <c r="K486" s="163">
        <f t="shared" ca="1" si="117"/>
        <v>0</v>
      </c>
      <c r="L486" s="181"/>
      <c r="M486" s="181"/>
      <c r="N486" s="181"/>
      <c r="O486" s="181"/>
      <c r="P486" s="181"/>
    </row>
    <row r="487" spans="1:16" ht="21.75" customHeight="1" x14ac:dyDescent="0.3">
      <c r="A487" s="400"/>
      <c r="B487" s="401"/>
      <c r="C487" s="401"/>
      <c r="D487" s="402"/>
      <c r="E487" s="195"/>
      <c r="F487" s="194" t="s">
        <v>178</v>
      </c>
      <c r="G487" s="419"/>
      <c r="H487" s="420" t="s">
        <v>122</v>
      </c>
      <c r="I487" s="202">
        <f ca="1">IFERROR(__xludf.DUMMYFUNCTION("IMPORTRANGE(""https://docs.google.com/spreadsheets/d/11923uPwbBZFjjGgGUA6NLw09EwE0CqkOc4q9oUmW1yo/edit?usp=sharing"",""ลำพูน!I382"")"),0)</f>
        <v>0</v>
      </c>
      <c r="J487" s="418">
        <f ca="1">IFERROR(__xludf.DUMMYFUNCTION("IMPORTRANGE(""https://docs.google.com/spreadsheets/d/11923uPwbBZFjjGgGUA6NLw09EwE0CqkOc4q9oUmW1yo/edit?usp=sharing"",""ลำพูน!J382"")"),0)</f>
        <v>0</v>
      </c>
      <c r="K487" s="163">
        <f t="shared" ca="1" si="117"/>
        <v>0</v>
      </c>
      <c r="L487" s="181"/>
      <c r="M487" s="181"/>
      <c r="N487" s="181"/>
      <c r="O487" s="181"/>
      <c r="P487" s="181"/>
    </row>
    <row r="488" spans="1:16" ht="21.75" customHeight="1" x14ac:dyDescent="0.3">
      <c r="A488" s="400"/>
      <c r="B488" s="401"/>
      <c r="C488" s="401"/>
      <c r="D488" s="402"/>
      <c r="E488" s="195"/>
      <c r="F488" s="195"/>
      <c r="G488" s="195"/>
      <c r="H488" s="420" t="s">
        <v>36</v>
      </c>
      <c r="I488" s="202">
        <f ca="1">IFERROR(__xludf.DUMMYFUNCTION("IMPORTRANGE(""https://docs.google.com/spreadsheets/d/11923uPwbBZFjjGgGUA6NLw09EwE0CqkOc4q9oUmW1yo/edit?usp=sharing"",""ลำพูน!I383"")"),0)</f>
        <v>0</v>
      </c>
      <c r="J488" s="418">
        <f ca="1">IFERROR(__xludf.DUMMYFUNCTION("IMPORTRANGE(""https://docs.google.com/spreadsheets/d/11923uPwbBZFjjGgGUA6NLw09EwE0CqkOc4q9oUmW1yo/edit?usp=sharing"",""ลำพูน!J383"")"),0)</f>
        <v>0</v>
      </c>
      <c r="K488" s="163">
        <f t="shared" ca="1" si="117"/>
        <v>0</v>
      </c>
      <c r="L488" s="181"/>
      <c r="M488" s="181"/>
      <c r="N488" s="181"/>
      <c r="O488" s="181"/>
      <c r="P488" s="181"/>
    </row>
    <row r="489" spans="1:16" ht="21.75" customHeight="1" x14ac:dyDescent="0.3">
      <c r="A489" s="400"/>
      <c r="B489" s="401"/>
      <c r="C489" s="401"/>
      <c r="D489" s="402"/>
      <c r="E489" s="195"/>
      <c r="F489" s="195"/>
      <c r="G489" s="194" t="s">
        <v>179</v>
      </c>
      <c r="H489" s="420" t="s">
        <v>122</v>
      </c>
      <c r="I489" s="202">
        <f ca="1">IFERROR(__xludf.DUMMYFUNCTION("IMPORTRANGE(""https://docs.google.com/spreadsheets/d/11923uPwbBZFjjGgGUA6NLw09EwE0CqkOc4q9oUmW1yo/edit?usp=sharing"",""ลำพูน!I384"")"),0)</f>
        <v>0</v>
      </c>
      <c r="J489" s="188">
        <f ca="1">IFERROR(__xludf.DUMMYFUNCTION("IMPORTRANGE(""https://docs.google.com/spreadsheets/d/11923uPwbBZFjjGgGUA6NLw09EwE0CqkOc4q9oUmW1yo/edit?usp=sharing"",""ลำพูน!J384"")"),0)</f>
        <v>0</v>
      </c>
      <c r="K489" s="163">
        <f t="shared" ca="1" si="117"/>
        <v>0</v>
      </c>
      <c r="L489" s="181"/>
      <c r="M489" s="181"/>
      <c r="N489" s="181"/>
      <c r="O489" s="181"/>
      <c r="P489" s="181"/>
    </row>
    <row r="490" spans="1:16" ht="21.75" customHeight="1" x14ac:dyDescent="0.3">
      <c r="A490" s="400"/>
      <c r="B490" s="401"/>
      <c r="C490" s="401"/>
      <c r="D490" s="402"/>
      <c r="E490" s="195"/>
      <c r="F490" s="195"/>
      <c r="G490" s="195"/>
      <c r="H490" s="420" t="s">
        <v>36</v>
      </c>
      <c r="I490" s="202">
        <f ca="1">IFERROR(__xludf.DUMMYFUNCTION("IMPORTRANGE(""https://docs.google.com/spreadsheets/d/11923uPwbBZFjjGgGUA6NLw09EwE0CqkOc4q9oUmW1yo/edit?usp=sharing"",""ลำพูน!I385"")"),0)</f>
        <v>0</v>
      </c>
      <c r="J490" s="188">
        <f ca="1">IFERROR(__xludf.DUMMYFUNCTION("IMPORTRANGE(""https://docs.google.com/spreadsheets/d/11923uPwbBZFjjGgGUA6NLw09EwE0CqkOc4q9oUmW1yo/edit?usp=sharing"",""ลำพูน!J385"")"),0)</f>
        <v>0</v>
      </c>
      <c r="K490" s="163">
        <f t="shared" ca="1" si="117"/>
        <v>0</v>
      </c>
      <c r="L490" s="181"/>
      <c r="M490" s="181"/>
      <c r="N490" s="181"/>
      <c r="O490" s="181"/>
      <c r="P490" s="181"/>
    </row>
    <row r="491" spans="1:16" ht="21.75" customHeight="1" x14ac:dyDescent="0.3">
      <c r="A491" s="400"/>
      <c r="B491" s="401"/>
      <c r="C491" s="401"/>
      <c r="D491" s="402"/>
      <c r="E491" s="195"/>
      <c r="F491" s="195"/>
      <c r="G491" s="194" t="s">
        <v>180</v>
      </c>
      <c r="H491" s="420" t="s">
        <v>122</v>
      </c>
      <c r="I491" s="202">
        <f ca="1">IFERROR(__xludf.DUMMYFUNCTION("IMPORTRANGE(""https://docs.google.com/spreadsheets/d/11923uPwbBZFjjGgGUA6NLw09EwE0CqkOc4q9oUmW1yo/edit?usp=sharing"",""ลำพูน!I386"")"),0)</f>
        <v>0</v>
      </c>
      <c r="J491" s="188">
        <f ca="1">IFERROR(__xludf.DUMMYFUNCTION("IMPORTRANGE(""https://docs.google.com/spreadsheets/d/11923uPwbBZFjjGgGUA6NLw09EwE0CqkOc4q9oUmW1yo/edit?usp=sharing"",""ลำพูน!J386"")"),0)</f>
        <v>0</v>
      </c>
      <c r="K491" s="163">
        <f t="shared" ca="1" si="117"/>
        <v>0</v>
      </c>
      <c r="L491" s="181"/>
      <c r="M491" s="181"/>
      <c r="N491" s="181"/>
      <c r="O491" s="181"/>
      <c r="P491" s="181"/>
    </row>
    <row r="492" spans="1:16" ht="21.75" customHeight="1" x14ac:dyDescent="0.3">
      <c r="A492" s="400"/>
      <c r="B492" s="401"/>
      <c r="C492" s="401"/>
      <c r="D492" s="402"/>
      <c r="E492" s="195"/>
      <c r="F492" s="195"/>
      <c r="G492" s="196"/>
      <c r="H492" s="420" t="s">
        <v>36</v>
      </c>
      <c r="I492" s="202">
        <f ca="1">IFERROR(__xludf.DUMMYFUNCTION("IMPORTRANGE(""https://docs.google.com/spreadsheets/d/11923uPwbBZFjjGgGUA6NLw09EwE0CqkOc4q9oUmW1yo/edit?usp=sharing"",""ลำพูน!I387"")"),0)</f>
        <v>0</v>
      </c>
      <c r="J492" s="188">
        <f ca="1">IFERROR(__xludf.DUMMYFUNCTION("IMPORTRANGE(""https://docs.google.com/spreadsheets/d/11923uPwbBZFjjGgGUA6NLw09EwE0CqkOc4q9oUmW1yo/edit?usp=sharing"",""ลำพูน!J387"")"),0)</f>
        <v>0</v>
      </c>
      <c r="K492" s="163">
        <f t="shared" ca="1" si="117"/>
        <v>0</v>
      </c>
      <c r="L492" s="181"/>
      <c r="M492" s="181"/>
      <c r="N492" s="181"/>
      <c r="O492" s="181"/>
      <c r="P492" s="181"/>
    </row>
    <row r="493" spans="1:16" ht="21.75" customHeight="1" x14ac:dyDescent="0.3">
      <c r="A493" s="400"/>
      <c r="B493" s="401"/>
      <c r="C493" s="401"/>
      <c r="D493" s="402"/>
      <c r="E493" s="195"/>
      <c r="F493" s="194" t="s">
        <v>181</v>
      </c>
      <c r="G493" s="419"/>
      <c r="H493" s="420" t="s">
        <v>122</v>
      </c>
      <c r="I493" s="202">
        <f ca="1">IFERROR(__xludf.DUMMYFUNCTION("IMPORTRANGE(""https://docs.google.com/spreadsheets/d/11923uPwbBZFjjGgGUA6NLw09EwE0CqkOc4q9oUmW1yo/edit?usp=sharing"",""ลำพูน!I388"")"),0)</f>
        <v>0</v>
      </c>
      <c r="J493" s="188">
        <f ca="1">IFERROR(__xludf.DUMMYFUNCTION("IMPORTRANGE(""https://docs.google.com/spreadsheets/d/11923uPwbBZFjjGgGUA6NLw09EwE0CqkOc4q9oUmW1yo/edit?usp=sharing"",""ลำพูน!J388"")"),0)</f>
        <v>0</v>
      </c>
      <c r="K493" s="163">
        <f t="shared" ca="1" si="117"/>
        <v>0</v>
      </c>
      <c r="L493" s="181"/>
      <c r="M493" s="181"/>
      <c r="N493" s="181"/>
      <c r="O493" s="181"/>
      <c r="P493" s="181"/>
    </row>
    <row r="494" spans="1:16" ht="21.75" customHeight="1" x14ac:dyDescent="0.3">
      <c r="A494" s="429"/>
      <c r="B494" s="430"/>
      <c r="C494" s="430"/>
      <c r="D494" s="431"/>
      <c r="E494" s="345"/>
      <c r="F494" s="345"/>
      <c r="G494" s="345"/>
      <c r="H494" s="432" t="s">
        <v>36</v>
      </c>
      <c r="I494" s="433">
        <f ca="1">IFERROR(__xludf.DUMMYFUNCTION("IMPORTRANGE(""https://docs.google.com/spreadsheets/d/11923uPwbBZFjjGgGUA6NLw09EwE0CqkOc4q9oUmW1yo/edit?usp=sharing"",""ลำพูน!I389"")"),0)</f>
        <v>0</v>
      </c>
      <c r="J494" s="434">
        <f ca="1">IFERROR(__xludf.DUMMYFUNCTION("IMPORTRANGE(""https://docs.google.com/spreadsheets/d/11923uPwbBZFjjGgGUA6NLw09EwE0CqkOc4q9oUmW1yo/edit?usp=sharing"",""ลำพูน!J389"")"),0)</f>
        <v>0</v>
      </c>
      <c r="K494" s="286">
        <f t="shared" ca="1" si="117"/>
        <v>0</v>
      </c>
      <c r="L494" s="244"/>
      <c r="M494" s="244"/>
      <c r="N494" s="244"/>
      <c r="O494" s="244"/>
      <c r="P494" s="244"/>
    </row>
    <row r="495" spans="1:16" ht="21.75" customHeight="1" x14ac:dyDescent="0.3">
      <c r="A495" s="400"/>
      <c r="B495" s="401"/>
      <c r="C495" s="401"/>
      <c r="D495" s="402"/>
      <c r="E495" s="195"/>
      <c r="F495" s="195">
        <v>3.5</v>
      </c>
      <c r="G495" s="419" t="s">
        <v>182</v>
      </c>
      <c r="H495" s="420" t="s">
        <v>122</v>
      </c>
      <c r="I495" s="433">
        <f ca="1">IFERROR(__xludf.DUMMYFUNCTION("IMPORTRANGE(""https://docs.google.com/spreadsheets/d/11923uPwbBZFjjGgGUA6NLw09EwE0CqkOc4q9oUmW1yo/edit?usp=sharing"",""ลำพูน!I390"")"),0)</f>
        <v>0</v>
      </c>
      <c r="J495" s="434">
        <f ca="1">IFERROR(__xludf.DUMMYFUNCTION("IMPORTRANGE(""https://docs.google.com/spreadsheets/d/11923uPwbBZFjjGgGUA6NLw09EwE0CqkOc4q9oUmW1yo/edit?usp=sharing"",""ลำพูน!J390"")"),0)</f>
        <v>0</v>
      </c>
      <c r="K495" s="163">
        <f t="shared" ca="1" si="117"/>
        <v>0</v>
      </c>
      <c r="L495" s="181"/>
      <c r="M495" s="181"/>
      <c r="N495" s="181"/>
      <c r="O495" s="181"/>
      <c r="P495" s="181"/>
    </row>
    <row r="496" spans="1:16" ht="21.75" customHeight="1" x14ac:dyDescent="0.3">
      <c r="A496" s="429"/>
      <c r="B496" s="430"/>
      <c r="C496" s="430"/>
      <c r="D496" s="431"/>
      <c r="E496" s="345"/>
      <c r="F496" s="345"/>
      <c r="G496" s="345"/>
      <c r="H496" s="432" t="s">
        <v>36</v>
      </c>
      <c r="I496" s="433">
        <f ca="1">IFERROR(__xludf.DUMMYFUNCTION("IMPORTRANGE(""https://docs.google.com/spreadsheets/d/11923uPwbBZFjjGgGUA6NLw09EwE0CqkOc4q9oUmW1yo/edit?usp=sharing"",""ลำพูน!I391"")"),0)</f>
        <v>0</v>
      </c>
      <c r="J496" s="434">
        <f ca="1">IFERROR(__xludf.DUMMYFUNCTION("IMPORTRANGE(""https://docs.google.com/spreadsheets/d/11923uPwbBZFjjGgGUA6NLw09EwE0CqkOc4q9oUmW1yo/edit?usp=sharing"",""ลำพูน!J391"")"),0)</f>
        <v>0</v>
      </c>
      <c r="K496" s="286">
        <f t="shared" ca="1" si="117"/>
        <v>0</v>
      </c>
      <c r="L496" s="244"/>
      <c r="M496" s="244"/>
      <c r="N496" s="244"/>
      <c r="O496" s="244"/>
      <c r="P496" s="244"/>
    </row>
    <row r="497" spans="1:16" ht="21.75" customHeight="1" x14ac:dyDescent="0.3">
      <c r="A497" s="435"/>
      <c r="B497" s="436"/>
      <c r="C497" s="437" t="s">
        <v>183</v>
      </c>
      <c r="D497" s="437"/>
      <c r="E497" s="438"/>
      <c r="F497" s="438"/>
      <c r="G497" s="439"/>
      <c r="H497" s="440" t="s">
        <v>122</v>
      </c>
      <c r="I497" s="441">
        <f ca="1">IFERROR(__xludf.DUMMYFUNCTION("IMPORTRANGE(""https://docs.google.com/spreadsheets/d/11923uPwbBZFjjGgGUA6NLw09EwE0CqkOc4q9oUmW1yo/edit?usp=sharing"",""ลำพูน!I392"")"),138)</f>
        <v>138</v>
      </c>
      <c r="J497" s="441">
        <f ca="1">IFERROR(__xludf.DUMMYFUNCTION("IMPORTRANGE(""https://docs.google.com/spreadsheets/d/11923uPwbBZFjjGgGUA6NLw09EwE0CqkOc4q9oUmW1yo/edit?usp=sharing"",""ลำพูน!J392"")"),0)</f>
        <v>0</v>
      </c>
      <c r="K497" s="442">
        <f t="shared" ca="1" si="117"/>
        <v>0</v>
      </c>
      <c r="L497" s="443"/>
      <c r="M497" s="443"/>
      <c r="N497" s="443"/>
      <c r="O497" s="443"/>
      <c r="P497" s="443"/>
    </row>
    <row r="498" spans="1:16" ht="21.75" customHeight="1" x14ac:dyDescent="0.3">
      <c r="A498" s="175"/>
      <c r="B498" s="176"/>
      <c r="C498" s="176"/>
      <c r="D498" s="402"/>
      <c r="E498" s="444" t="s">
        <v>184</v>
      </c>
      <c r="F498" s="445"/>
      <c r="G498" s="446"/>
      <c r="H498" s="447" t="s">
        <v>122</v>
      </c>
      <c r="I498" s="418">
        <f ca="1">IFERROR(__xludf.DUMMYFUNCTION("IMPORTRANGE(""https://docs.google.com/spreadsheets/d/11923uPwbBZFjjGgGUA6NLw09EwE0CqkOc4q9oUmW1yo/edit?usp=sharing"",""ลำพูน!I393"")"),138)</f>
        <v>138</v>
      </c>
      <c r="J498" s="418">
        <f ca="1">IFERROR(__xludf.DUMMYFUNCTION("IMPORTRANGE(""https://docs.google.com/spreadsheets/d/11923uPwbBZFjjGgGUA6NLw09EwE0CqkOc4q9oUmW1yo/edit?usp=sharing"",""ลำพูน!J393"")"),0)</f>
        <v>0</v>
      </c>
      <c r="K498" s="163">
        <f t="shared" ca="1" si="117"/>
        <v>0</v>
      </c>
      <c r="L498" s="181"/>
      <c r="M498" s="181"/>
      <c r="N498" s="181"/>
      <c r="O498" s="181"/>
      <c r="P498" s="181"/>
    </row>
    <row r="499" spans="1:16" ht="21.75" customHeight="1" x14ac:dyDescent="0.3">
      <c r="A499" s="175"/>
      <c r="B499" s="176"/>
      <c r="C499" s="176"/>
      <c r="D499" s="193"/>
      <c r="E499" s="445"/>
      <c r="F499" s="445"/>
      <c r="G499" s="446"/>
      <c r="H499" s="447" t="s">
        <v>36</v>
      </c>
      <c r="I499" s="418">
        <f ca="1">IFERROR(__xludf.DUMMYFUNCTION("IMPORTRANGE(""https://docs.google.com/spreadsheets/d/11923uPwbBZFjjGgGUA6NLw09EwE0CqkOc4q9oUmW1yo/edit?usp=sharing"",""ลำพูน!I394"")"),17)</f>
        <v>17</v>
      </c>
      <c r="J499" s="418">
        <f ca="1">IFERROR(__xludf.DUMMYFUNCTION("IMPORTRANGE(""https://docs.google.com/spreadsheets/d/11923uPwbBZFjjGgGUA6NLw09EwE0CqkOc4q9oUmW1yo/edit?usp=sharing"",""ลำพูน!J394"")"),0)</f>
        <v>0</v>
      </c>
      <c r="K499" s="201">
        <f t="shared" ca="1" si="117"/>
        <v>0</v>
      </c>
      <c r="L499" s="181"/>
      <c r="M499" s="181"/>
      <c r="N499" s="181"/>
      <c r="O499" s="181"/>
      <c r="P499" s="181"/>
    </row>
    <row r="500" spans="1:16" ht="21.75" customHeight="1" x14ac:dyDescent="0.3">
      <c r="A500" s="175"/>
      <c r="B500" s="176"/>
      <c r="C500" s="176"/>
      <c r="D500" s="402"/>
      <c r="E500" s="402" t="s">
        <v>185</v>
      </c>
      <c r="F500" s="195"/>
      <c r="G500" s="196"/>
      <c r="H500" s="420" t="s">
        <v>122</v>
      </c>
      <c r="I500" s="202">
        <f ca="1">IFERROR(__xludf.DUMMYFUNCTION("IMPORTRANGE(""https://docs.google.com/spreadsheets/d/11923uPwbBZFjjGgGUA6NLw09EwE0CqkOc4q9oUmW1yo/edit?usp=sharing"",""ลำพูน!I395"")"),0)</f>
        <v>0</v>
      </c>
      <c r="J500" s="162">
        <f ca="1">IFERROR(__xludf.DUMMYFUNCTION("IMPORTRANGE(""https://docs.google.com/spreadsheets/d/11923uPwbBZFjjGgGUA6NLw09EwE0CqkOc4q9oUmW1yo/edit?usp=sharing"",""ลำพูน!J395"")"),0)</f>
        <v>0</v>
      </c>
      <c r="K500" s="163">
        <f t="shared" ca="1" si="117"/>
        <v>0</v>
      </c>
      <c r="L500" s="181"/>
      <c r="M500" s="181"/>
      <c r="N500" s="181"/>
      <c r="O500" s="181"/>
      <c r="P500" s="181"/>
    </row>
    <row r="501" spans="1:16" ht="21.75" customHeight="1" x14ac:dyDescent="0.3">
      <c r="A501" s="175"/>
      <c r="B501" s="176"/>
      <c r="C501" s="176"/>
      <c r="D501" s="193"/>
      <c r="E501" s="195"/>
      <c r="F501" s="195"/>
      <c r="G501" s="196"/>
      <c r="H501" s="420" t="s">
        <v>36</v>
      </c>
      <c r="I501" s="202">
        <f ca="1">IFERROR(__xludf.DUMMYFUNCTION("IMPORTRANGE(""https://docs.google.com/spreadsheets/d/11923uPwbBZFjjGgGUA6NLw09EwE0CqkOc4q9oUmW1yo/edit?usp=sharing"",""ลำพูน!I396"")"),0)</f>
        <v>0</v>
      </c>
      <c r="J501" s="162">
        <f ca="1">IFERROR(__xludf.DUMMYFUNCTION("IMPORTRANGE(""https://docs.google.com/spreadsheets/d/11923uPwbBZFjjGgGUA6NLw09EwE0CqkOc4q9oUmW1yo/edit?usp=sharing"",""ลำพูน!J396"")"),0)</f>
        <v>0</v>
      </c>
      <c r="K501" s="163">
        <f t="shared" ca="1" si="117"/>
        <v>0</v>
      </c>
      <c r="L501" s="181"/>
      <c r="M501" s="181"/>
      <c r="N501" s="181"/>
      <c r="O501" s="181"/>
      <c r="P501" s="181"/>
    </row>
    <row r="502" spans="1:16" ht="21.75" customHeight="1" x14ac:dyDescent="0.3">
      <c r="A502" s="175"/>
      <c r="B502" s="176"/>
      <c r="C502" s="176"/>
      <c r="D502" s="193"/>
      <c r="E502" s="195"/>
      <c r="F502" s="397" t="s">
        <v>186</v>
      </c>
      <c r="G502" s="419"/>
      <c r="H502" s="420" t="s">
        <v>122</v>
      </c>
      <c r="I502" s="202">
        <f ca="1">IFERROR(__xludf.DUMMYFUNCTION("IMPORTRANGE(""https://docs.google.com/spreadsheets/d/11923uPwbBZFjjGgGUA6NLw09EwE0CqkOc4q9oUmW1yo/edit?usp=sharing"",""ลำพูน!I397"")"),0)</f>
        <v>0</v>
      </c>
      <c r="J502" s="188">
        <f ca="1">IFERROR(__xludf.DUMMYFUNCTION("IMPORTRANGE(""https://docs.google.com/spreadsheets/d/11923uPwbBZFjjGgGUA6NLw09EwE0CqkOc4q9oUmW1yo/edit?usp=sharing"",""ลำพูน!J397"")"),0)</f>
        <v>0</v>
      </c>
      <c r="K502" s="163">
        <f t="shared" ca="1" si="117"/>
        <v>0</v>
      </c>
      <c r="L502" s="181"/>
      <c r="M502" s="181"/>
      <c r="N502" s="181"/>
      <c r="O502" s="181"/>
      <c r="P502" s="181"/>
    </row>
    <row r="503" spans="1:16" ht="21.75" customHeight="1" x14ac:dyDescent="0.3">
      <c r="A503" s="175"/>
      <c r="B503" s="176"/>
      <c r="C503" s="176"/>
      <c r="D503" s="193"/>
      <c r="E503" s="195"/>
      <c r="F503" s="195"/>
      <c r="G503" s="419"/>
      <c r="H503" s="420" t="s">
        <v>36</v>
      </c>
      <c r="I503" s="187">
        <f ca="1">IFERROR(__xludf.DUMMYFUNCTION("IMPORTRANGE(""https://docs.google.com/spreadsheets/d/11923uPwbBZFjjGgGUA6NLw09EwE0CqkOc4q9oUmW1yo/edit?usp=sharing"",""ลำพูน!I398"")"),0)</f>
        <v>0</v>
      </c>
      <c r="J503" s="197">
        <f ca="1">IFERROR(__xludf.DUMMYFUNCTION("IMPORTRANGE(""https://docs.google.com/spreadsheets/d/11923uPwbBZFjjGgGUA6NLw09EwE0CqkOc4q9oUmW1yo/edit?usp=sharing"",""ลำพูน!J398"")"),0)</f>
        <v>0</v>
      </c>
      <c r="K503" s="163">
        <f t="shared" ca="1" si="117"/>
        <v>0</v>
      </c>
      <c r="L503" s="181"/>
      <c r="M503" s="181"/>
      <c r="N503" s="181"/>
      <c r="O503" s="181"/>
      <c r="P503" s="181"/>
    </row>
    <row r="504" spans="1:16" ht="21.75" customHeight="1" x14ac:dyDescent="0.3">
      <c r="A504" s="175"/>
      <c r="B504" s="176"/>
      <c r="C504" s="176"/>
      <c r="D504" s="193"/>
      <c r="E504" s="195"/>
      <c r="F504" s="388" t="s">
        <v>187</v>
      </c>
      <c r="G504" s="419"/>
      <c r="H504" s="420" t="s">
        <v>122</v>
      </c>
      <c r="I504" s="203">
        <f ca="1">IFERROR(__xludf.DUMMYFUNCTION("IMPORTRANGE(""https://docs.google.com/spreadsheets/d/11923uPwbBZFjjGgGUA6NLw09EwE0CqkOc4q9oUmW1yo/edit?usp=sharing"",""ลำพูน!I399"")"),0)</f>
        <v>0</v>
      </c>
      <c r="J504" s="188">
        <f ca="1">IFERROR(__xludf.DUMMYFUNCTION("IMPORTRANGE(""https://docs.google.com/spreadsheets/d/11923uPwbBZFjjGgGUA6NLw09EwE0CqkOc4q9oUmW1yo/edit?usp=sharing"",""ลำพูน!J399"")"),0)</f>
        <v>0</v>
      </c>
      <c r="K504" s="163">
        <f t="shared" ca="1" si="117"/>
        <v>0</v>
      </c>
      <c r="L504" s="181"/>
      <c r="M504" s="181"/>
      <c r="N504" s="181"/>
      <c r="O504" s="181"/>
      <c r="P504" s="181"/>
    </row>
    <row r="505" spans="1:16" ht="21.75" customHeight="1" x14ac:dyDescent="0.3">
      <c r="A505" s="175"/>
      <c r="B505" s="176"/>
      <c r="C505" s="176"/>
      <c r="D505" s="193"/>
      <c r="E505" s="195"/>
      <c r="F505" s="195"/>
      <c r="G505" s="419"/>
      <c r="H505" s="420" t="s">
        <v>36</v>
      </c>
      <c r="I505" s="187">
        <f ca="1">IFERROR(__xludf.DUMMYFUNCTION("IMPORTRANGE(""https://docs.google.com/spreadsheets/d/11923uPwbBZFjjGgGUA6NLw09EwE0CqkOc4q9oUmW1yo/edit?usp=sharing"",""ลำพูน!I400"")"),0)</f>
        <v>0</v>
      </c>
      <c r="J505" s="197">
        <f ca="1">IFERROR(__xludf.DUMMYFUNCTION("IMPORTRANGE(""https://docs.google.com/spreadsheets/d/11923uPwbBZFjjGgGUA6NLw09EwE0CqkOc4q9oUmW1yo/edit?usp=sharing"",""ลำพูน!J400"")"),0)</f>
        <v>0</v>
      </c>
      <c r="K505" s="163">
        <f t="shared" ca="1" si="117"/>
        <v>0</v>
      </c>
      <c r="L505" s="181"/>
      <c r="M505" s="181"/>
      <c r="N505" s="181"/>
      <c r="O505" s="181"/>
      <c r="P505" s="181"/>
    </row>
    <row r="506" spans="1:16" ht="21.75" customHeight="1" x14ac:dyDescent="0.3">
      <c r="A506" s="175"/>
      <c r="B506" s="176"/>
      <c r="C506" s="176"/>
      <c r="D506" s="193"/>
      <c r="E506" s="195"/>
      <c r="F506" s="397" t="s">
        <v>188</v>
      </c>
      <c r="G506" s="419"/>
      <c r="H506" s="420" t="s">
        <v>122</v>
      </c>
      <c r="I506" s="203">
        <f ca="1">IFERROR(__xludf.DUMMYFUNCTION("IMPORTRANGE(""https://docs.google.com/spreadsheets/d/11923uPwbBZFjjGgGUA6NLw09EwE0CqkOc4q9oUmW1yo/edit?usp=sharing"",""ลำพูน!I401"")"),0)</f>
        <v>0</v>
      </c>
      <c r="J506" s="188">
        <f ca="1">IFERROR(__xludf.DUMMYFUNCTION("IMPORTRANGE(""https://docs.google.com/spreadsheets/d/11923uPwbBZFjjGgGUA6NLw09EwE0CqkOc4q9oUmW1yo/edit?usp=sharing"",""ลำพูน!J401"")"),0)</f>
        <v>0</v>
      </c>
      <c r="K506" s="163">
        <f t="shared" ca="1" si="117"/>
        <v>0</v>
      </c>
      <c r="L506" s="181"/>
      <c r="M506" s="181"/>
      <c r="N506" s="181"/>
      <c r="O506" s="181"/>
      <c r="P506" s="181"/>
    </row>
    <row r="507" spans="1:16" ht="21.75" customHeight="1" x14ac:dyDescent="0.3">
      <c r="A507" s="175"/>
      <c r="B507" s="176"/>
      <c r="C507" s="176"/>
      <c r="D507" s="193"/>
      <c r="E507" s="195"/>
      <c r="F507" s="195"/>
      <c r="G507" s="195"/>
      <c r="H507" s="420" t="s">
        <v>36</v>
      </c>
      <c r="I507" s="187">
        <f ca="1">IFERROR(__xludf.DUMMYFUNCTION("IMPORTRANGE(""https://docs.google.com/spreadsheets/d/11923uPwbBZFjjGgGUA6NLw09EwE0CqkOc4q9oUmW1yo/edit?usp=sharing"",""ลำพูน!I402"")"),0)</f>
        <v>0</v>
      </c>
      <c r="J507" s="197">
        <f ca="1">IFERROR(__xludf.DUMMYFUNCTION("IMPORTRANGE(""https://docs.google.com/spreadsheets/d/11923uPwbBZFjjGgGUA6NLw09EwE0CqkOc4q9oUmW1yo/edit?usp=sharing"",""ลำพูน!J402"")"),0)</f>
        <v>0</v>
      </c>
      <c r="K507" s="163">
        <f t="shared" ca="1" si="117"/>
        <v>0</v>
      </c>
      <c r="L507" s="181"/>
      <c r="M507" s="181"/>
      <c r="N507" s="181"/>
      <c r="O507" s="181"/>
      <c r="P507" s="181"/>
    </row>
    <row r="508" spans="1:16" ht="21.75" customHeight="1" x14ac:dyDescent="0.3">
      <c r="A508" s="175"/>
      <c r="B508" s="176"/>
      <c r="C508" s="176"/>
      <c r="D508" s="193"/>
      <c r="E508" s="194" t="s">
        <v>189</v>
      </c>
      <c r="F508" s="195"/>
      <c r="G508" s="419"/>
      <c r="H508" s="420" t="s">
        <v>122</v>
      </c>
      <c r="I508" s="187">
        <f ca="1">IFERROR(__xludf.DUMMYFUNCTION("IMPORTRANGE(""https://docs.google.com/spreadsheets/d/11923uPwbBZFjjGgGUA6NLw09EwE0CqkOc4q9oUmW1yo/edit?usp=sharing"",""ลำพูน!I403"")"),0)</f>
        <v>0</v>
      </c>
      <c r="J508" s="162">
        <f ca="1">IFERROR(__xludf.DUMMYFUNCTION("IMPORTRANGE(""https://docs.google.com/spreadsheets/d/11923uPwbBZFjjGgGUA6NLw09EwE0CqkOc4q9oUmW1yo/edit?usp=sharing"",""ลำพูน!J403"")"),0)</f>
        <v>0</v>
      </c>
      <c r="K508" s="163">
        <f t="shared" ca="1" si="117"/>
        <v>0</v>
      </c>
      <c r="L508" s="181"/>
      <c r="M508" s="181"/>
      <c r="N508" s="181"/>
      <c r="O508" s="181"/>
      <c r="P508" s="181"/>
    </row>
    <row r="509" spans="1:16" ht="21.75" customHeight="1" x14ac:dyDescent="0.3">
      <c r="A509" s="175"/>
      <c r="B509" s="176"/>
      <c r="C509" s="176"/>
      <c r="D509" s="193"/>
      <c r="E509" s="195"/>
      <c r="F509" s="195"/>
      <c r="G509" s="195"/>
      <c r="H509" s="420" t="s">
        <v>36</v>
      </c>
      <c r="I509" s="187">
        <f ca="1">IFERROR(__xludf.DUMMYFUNCTION("IMPORTRANGE(""https://docs.google.com/spreadsheets/d/11923uPwbBZFjjGgGUA6NLw09EwE0CqkOc4q9oUmW1yo/edit?usp=sharing"",""ลำพูน!I404"")"),0)</f>
        <v>0</v>
      </c>
      <c r="J509" s="162">
        <f ca="1">IFERROR(__xludf.DUMMYFUNCTION("IMPORTRANGE(""https://docs.google.com/spreadsheets/d/11923uPwbBZFjjGgGUA6NLw09EwE0CqkOc4q9oUmW1yo/edit?usp=sharing"",""ลำพูน!J404"")"),0)</f>
        <v>0</v>
      </c>
      <c r="K509" s="163">
        <f t="shared" ca="1" si="117"/>
        <v>0</v>
      </c>
      <c r="L509" s="181"/>
      <c r="M509" s="181"/>
      <c r="N509" s="181"/>
      <c r="O509" s="181"/>
      <c r="P509" s="181"/>
    </row>
    <row r="510" spans="1:16" ht="21.75" customHeight="1" x14ac:dyDescent="0.3">
      <c r="A510" s="175"/>
      <c r="B510" s="176"/>
      <c r="C510" s="176"/>
      <c r="D510" s="193"/>
      <c r="E510" s="195"/>
      <c r="F510" s="194" t="s">
        <v>190</v>
      </c>
      <c r="G510" s="195"/>
      <c r="H510" s="420" t="s">
        <v>122</v>
      </c>
      <c r="I510" s="187">
        <f ca="1">IFERROR(__xludf.DUMMYFUNCTION("IMPORTRANGE(""https://docs.google.com/spreadsheets/d/11923uPwbBZFjjGgGUA6NLw09EwE0CqkOc4q9oUmW1yo/edit?usp=sharing"",""ลำพูน!I405"")"),0)</f>
        <v>0</v>
      </c>
      <c r="J510" s="197">
        <f ca="1">IFERROR(__xludf.DUMMYFUNCTION("IMPORTRANGE(""https://docs.google.com/spreadsheets/d/11923uPwbBZFjjGgGUA6NLw09EwE0CqkOc4q9oUmW1yo/edit?usp=sharing"",""ลำพูน!J405"")"),0)</f>
        <v>0</v>
      </c>
      <c r="K510" s="163">
        <f t="shared" ca="1" si="117"/>
        <v>0</v>
      </c>
      <c r="L510" s="181"/>
      <c r="M510" s="181"/>
      <c r="N510" s="181"/>
      <c r="O510" s="181"/>
      <c r="P510" s="181"/>
    </row>
    <row r="511" spans="1:16" ht="21.75" customHeight="1" x14ac:dyDescent="0.3">
      <c r="A511" s="175"/>
      <c r="B511" s="176"/>
      <c r="C511" s="176"/>
      <c r="D511" s="193"/>
      <c r="E511" s="195"/>
      <c r="F511" s="195"/>
      <c r="G511" s="195"/>
      <c r="H511" s="420" t="s">
        <v>36</v>
      </c>
      <c r="I511" s="187">
        <f ca="1">IFERROR(__xludf.DUMMYFUNCTION("IMPORTRANGE(""https://docs.google.com/spreadsheets/d/11923uPwbBZFjjGgGUA6NLw09EwE0CqkOc4q9oUmW1yo/edit?usp=sharing"",""ลำพูน!I406"")"),0)</f>
        <v>0</v>
      </c>
      <c r="J511" s="197">
        <f ca="1">IFERROR(__xludf.DUMMYFUNCTION("IMPORTRANGE(""https://docs.google.com/spreadsheets/d/11923uPwbBZFjjGgGUA6NLw09EwE0CqkOc4q9oUmW1yo/edit?usp=sharing"",""ลำพูน!J406"")"),0)</f>
        <v>0</v>
      </c>
      <c r="K511" s="163">
        <f t="shared" ca="1" si="117"/>
        <v>0</v>
      </c>
      <c r="L511" s="181"/>
      <c r="M511" s="181"/>
      <c r="N511" s="181"/>
      <c r="O511" s="181"/>
      <c r="P511" s="181"/>
    </row>
    <row r="512" spans="1:16" ht="21.75" customHeight="1" x14ac:dyDescent="0.3">
      <c r="A512" s="175"/>
      <c r="B512" s="176"/>
      <c r="C512" s="176"/>
      <c r="D512" s="193"/>
      <c r="E512" s="195"/>
      <c r="F512" s="194" t="s">
        <v>191</v>
      </c>
      <c r="G512" s="195"/>
      <c r="H512" s="420" t="s">
        <v>122</v>
      </c>
      <c r="I512" s="187">
        <f ca="1">IFERROR(__xludf.DUMMYFUNCTION("IMPORTRANGE(""https://docs.google.com/spreadsheets/d/11923uPwbBZFjjGgGUA6NLw09EwE0CqkOc4q9oUmW1yo/edit?usp=sharing"",""ลำพูน!I407"")"),0)</f>
        <v>0</v>
      </c>
      <c r="J512" s="197">
        <f ca="1">IFERROR(__xludf.DUMMYFUNCTION("IMPORTRANGE(""https://docs.google.com/spreadsheets/d/11923uPwbBZFjjGgGUA6NLw09EwE0CqkOc4q9oUmW1yo/edit?usp=sharing"",""ลำพูน!J407"")"),0)</f>
        <v>0</v>
      </c>
      <c r="K512" s="163">
        <f t="shared" ca="1" si="117"/>
        <v>0</v>
      </c>
      <c r="L512" s="181"/>
      <c r="M512" s="181"/>
      <c r="N512" s="181"/>
      <c r="O512" s="181"/>
      <c r="P512" s="181"/>
    </row>
    <row r="513" spans="1:16" ht="21.75" customHeight="1" x14ac:dyDescent="0.3">
      <c r="A513" s="175"/>
      <c r="B513" s="176"/>
      <c r="C513" s="176"/>
      <c r="D513" s="193"/>
      <c r="E513" s="195"/>
      <c r="F513" s="195"/>
      <c r="G513" s="196"/>
      <c r="H513" s="420" t="s">
        <v>36</v>
      </c>
      <c r="I513" s="187">
        <f ca="1">IFERROR(__xludf.DUMMYFUNCTION("IMPORTRANGE(""https://docs.google.com/spreadsheets/d/11923uPwbBZFjjGgGUA6NLw09EwE0CqkOc4q9oUmW1yo/edit?usp=sharing"",""ลำพูน!I408"")"),0)</f>
        <v>0</v>
      </c>
      <c r="J513" s="197">
        <f ca="1">IFERROR(__xludf.DUMMYFUNCTION("IMPORTRANGE(""https://docs.google.com/spreadsheets/d/11923uPwbBZFjjGgGUA6NLw09EwE0CqkOc4q9oUmW1yo/edit?usp=sharing"",""ลำพูน!J408"")"),0)</f>
        <v>0</v>
      </c>
      <c r="K513" s="163">
        <f t="shared" ca="1" si="117"/>
        <v>0</v>
      </c>
      <c r="L513" s="181"/>
      <c r="M513" s="181"/>
      <c r="N513" s="181"/>
      <c r="O513" s="181"/>
      <c r="P513" s="181"/>
    </row>
    <row r="514" spans="1:16" ht="21.75" customHeight="1" x14ac:dyDescent="0.3">
      <c r="A514" s="175"/>
      <c r="B514" s="176"/>
      <c r="C514" s="176"/>
      <c r="D514" s="402"/>
      <c r="E514" s="448" t="s">
        <v>192</v>
      </c>
      <c r="F514" s="195"/>
      <c r="G514" s="196"/>
      <c r="H514" s="420" t="s">
        <v>122</v>
      </c>
      <c r="I514" s="187">
        <f ca="1">IFERROR(__xludf.DUMMYFUNCTION("IMPORTRANGE(""https://docs.google.com/spreadsheets/d/11923uPwbBZFjjGgGUA6NLw09EwE0CqkOc4q9oUmW1yo/edit?usp=sharing"",""ลำพูน!I409"")"),0)</f>
        <v>0</v>
      </c>
      <c r="J514" s="197">
        <f ca="1">IFERROR(__xludf.DUMMYFUNCTION("IMPORTRANGE(""https://docs.google.com/spreadsheets/d/11923uPwbBZFjjGgGUA6NLw09EwE0CqkOc4q9oUmW1yo/edit?usp=sharing"",""ลำพูน!J409"")"),0)</f>
        <v>0</v>
      </c>
      <c r="K514" s="163">
        <f t="shared" ca="1" si="117"/>
        <v>0</v>
      </c>
      <c r="L514" s="181"/>
      <c r="M514" s="181"/>
      <c r="N514" s="181"/>
      <c r="O514" s="181"/>
      <c r="P514" s="181"/>
    </row>
    <row r="515" spans="1:16" ht="21.75" customHeight="1" x14ac:dyDescent="0.3">
      <c r="A515" s="175"/>
      <c r="B515" s="176"/>
      <c r="C515" s="176"/>
      <c r="D515" s="193"/>
      <c r="E515" s="195"/>
      <c r="F515" s="195"/>
      <c r="G515" s="196"/>
      <c r="H515" s="420" t="s">
        <v>36</v>
      </c>
      <c r="I515" s="187">
        <f ca="1">IFERROR(__xludf.DUMMYFUNCTION("IMPORTRANGE(""https://docs.google.com/spreadsheets/d/11923uPwbBZFjjGgGUA6NLw09EwE0CqkOc4q9oUmW1yo/edit?usp=sharing"",""ลำพูน!I410"")"),0)</f>
        <v>0</v>
      </c>
      <c r="J515" s="197">
        <f ca="1">IFERROR(__xludf.DUMMYFUNCTION("IMPORTRANGE(""https://docs.google.com/spreadsheets/d/11923uPwbBZFjjGgGUA6NLw09EwE0CqkOc4q9oUmW1yo/edit?usp=sharing"",""ลำพูน!J410"")"),0)</f>
        <v>0</v>
      </c>
      <c r="K515" s="163">
        <f t="shared" ca="1" si="117"/>
        <v>0</v>
      </c>
      <c r="L515" s="181"/>
      <c r="M515" s="181"/>
      <c r="N515" s="181"/>
      <c r="O515" s="181"/>
      <c r="P515" s="181"/>
    </row>
    <row r="516" spans="1:16" ht="21.75" customHeight="1" x14ac:dyDescent="0.3">
      <c r="A516" s="175"/>
      <c r="B516" s="176"/>
      <c r="C516" s="413" t="s">
        <v>193</v>
      </c>
      <c r="D516" s="413"/>
      <c r="E516" s="449"/>
      <c r="F516" s="449"/>
      <c r="G516" s="450"/>
      <c r="H516" s="451" t="s">
        <v>122</v>
      </c>
      <c r="I516" s="266">
        <f ca="1">IFERROR(__xludf.DUMMYFUNCTION("IMPORTRANGE(""https://docs.google.com/spreadsheets/d/11923uPwbBZFjjGgGUA6NLw09EwE0CqkOc4q9oUmW1yo/edit?usp=sharing"",""ลำพูน!I411"")"),0)</f>
        <v>0</v>
      </c>
      <c r="J516" s="266">
        <f ca="1">IFERROR(__xludf.DUMMYFUNCTION("IMPORTRANGE(""https://docs.google.com/spreadsheets/d/11923uPwbBZFjjGgGUA6NLw09EwE0CqkOc4q9oUmW1yo/edit?usp=sharing"",""ลำพูน!J411"")"),0)</f>
        <v>0</v>
      </c>
      <c r="K516" s="267">
        <v>0</v>
      </c>
      <c r="L516" s="181"/>
      <c r="M516" s="181"/>
      <c r="N516" s="181"/>
      <c r="O516" s="181"/>
      <c r="P516" s="181"/>
    </row>
    <row r="517" spans="1:16" ht="21.75" customHeight="1" x14ac:dyDescent="0.3">
      <c r="A517" s="175"/>
      <c r="B517" s="176"/>
      <c r="C517" s="452"/>
      <c r="D517" s="452"/>
      <c r="E517" s="452" t="s">
        <v>194</v>
      </c>
      <c r="F517" s="453"/>
      <c r="G517" s="454"/>
      <c r="H517" s="455" t="s">
        <v>122</v>
      </c>
      <c r="I517" s="282">
        <f ca="1">IFERROR(__xludf.DUMMYFUNCTION("IMPORTRANGE(""https://docs.google.com/spreadsheets/d/11923uPwbBZFjjGgGUA6NLw09EwE0CqkOc4q9oUmW1yo/edit?usp=sharing"",""ลำพูน!I412"")"),0)</f>
        <v>0</v>
      </c>
      <c r="J517" s="282">
        <f ca="1">IFERROR(__xludf.DUMMYFUNCTION("IMPORTRANGE(""https://docs.google.com/spreadsheets/d/11923uPwbBZFjjGgGUA6NLw09EwE0CqkOc4q9oUmW1yo/edit?usp=sharing"",""ลำพูน!J412"")"),0)</f>
        <v>0</v>
      </c>
      <c r="K517" s="283">
        <v>0</v>
      </c>
      <c r="L517" s="181"/>
      <c r="M517" s="181"/>
      <c r="N517" s="181"/>
      <c r="O517" s="181"/>
      <c r="P517" s="181"/>
    </row>
    <row r="518" spans="1:16" ht="21.75" customHeight="1" x14ac:dyDescent="0.3">
      <c r="A518" s="175"/>
      <c r="B518" s="176"/>
      <c r="C518" s="452"/>
      <c r="D518" s="452"/>
      <c r="E518" s="452" t="s">
        <v>195</v>
      </c>
      <c r="F518" s="453"/>
      <c r="G518" s="454"/>
      <c r="H518" s="455" t="s">
        <v>36</v>
      </c>
      <c r="I518" s="282">
        <f ca="1">IFERROR(__xludf.DUMMYFUNCTION("IMPORTRANGE(""https://docs.google.com/spreadsheets/d/11923uPwbBZFjjGgGUA6NLw09EwE0CqkOc4q9oUmW1yo/edit?usp=sharing"",""ลำพูน!I413"")"),0)</f>
        <v>0</v>
      </c>
      <c r="J518" s="282">
        <f ca="1">IFERROR(__xludf.DUMMYFUNCTION("IMPORTRANGE(""https://docs.google.com/spreadsheets/d/11923uPwbBZFjjGgGUA6NLw09EwE0CqkOc4q9oUmW1yo/edit?usp=sharing"",""ลำพูน!J413"")"),0)</f>
        <v>0</v>
      </c>
      <c r="K518" s="283">
        <v>0</v>
      </c>
      <c r="L518" s="181"/>
      <c r="M518" s="181"/>
      <c r="N518" s="181"/>
      <c r="O518" s="181"/>
      <c r="P518" s="181"/>
    </row>
    <row r="519" spans="1:16" ht="21.75" customHeight="1" x14ac:dyDescent="0.3">
      <c r="A519" s="175"/>
      <c r="B519" s="176"/>
      <c r="C519" s="176"/>
      <c r="D519" s="193"/>
      <c r="E519" s="195"/>
      <c r="F519" s="195"/>
      <c r="G519" s="225" t="s">
        <v>196</v>
      </c>
      <c r="H519" s="420" t="s">
        <v>122</v>
      </c>
      <c r="I519" s="187">
        <f ca="1">IFERROR(__xludf.DUMMYFUNCTION("IMPORTRANGE(""https://docs.google.com/spreadsheets/d/11923uPwbBZFjjGgGUA6NLw09EwE0CqkOc4q9oUmW1yo/edit?usp=sharing"",""ลำพูน!I414"")"),0)</f>
        <v>0</v>
      </c>
      <c r="J519" s="187">
        <f ca="1">IFERROR(__xludf.DUMMYFUNCTION("IMPORTRANGE(""https://docs.google.com/spreadsheets/d/11923uPwbBZFjjGgGUA6NLw09EwE0CqkOc4q9oUmW1yo/edit?usp=sharing"",""ลำพูน!J414"")"),0)</f>
        <v>0</v>
      </c>
      <c r="K519" s="163">
        <v>0</v>
      </c>
      <c r="L519" s="181"/>
      <c r="M519" s="181"/>
      <c r="N519" s="181"/>
      <c r="O519" s="181"/>
      <c r="P519" s="181"/>
    </row>
    <row r="520" spans="1:16" ht="21.75" customHeight="1" x14ac:dyDescent="0.3">
      <c r="A520" s="175"/>
      <c r="B520" s="176"/>
      <c r="C520" s="176"/>
      <c r="D520" s="193"/>
      <c r="E520" s="195"/>
      <c r="F520" s="195"/>
      <c r="G520" s="196"/>
      <c r="H520" s="420" t="s">
        <v>36</v>
      </c>
      <c r="I520" s="187">
        <f ca="1">IFERROR(__xludf.DUMMYFUNCTION("IMPORTRANGE(""https://docs.google.com/spreadsheets/d/11923uPwbBZFjjGgGUA6NLw09EwE0CqkOc4q9oUmW1yo/edit?usp=sharing"",""ลำพูน!I415"")"),0)</f>
        <v>0</v>
      </c>
      <c r="J520" s="187">
        <f ca="1">IFERROR(__xludf.DUMMYFUNCTION("IMPORTRANGE(""https://docs.google.com/spreadsheets/d/11923uPwbBZFjjGgGUA6NLw09EwE0CqkOc4q9oUmW1yo/edit?usp=sharing"",""ลำพูน!J415"")"),0)</f>
        <v>0</v>
      </c>
      <c r="K520" s="163">
        <v>0</v>
      </c>
      <c r="L520" s="181"/>
      <c r="M520" s="181"/>
      <c r="N520" s="181"/>
      <c r="O520" s="181"/>
      <c r="P520" s="181"/>
    </row>
    <row r="521" spans="1:16" ht="21.75" customHeight="1" x14ac:dyDescent="0.3">
      <c r="A521" s="175"/>
      <c r="B521" s="176"/>
      <c r="C521" s="176"/>
      <c r="D521" s="193"/>
      <c r="E521" s="195"/>
      <c r="F521" s="195"/>
      <c r="G521" s="225" t="s">
        <v>197</v>
      </c>
      <c r="H521" s="420" t="s">
        <v>122</v>
      </c>
      <c r="I521" s="187">
        <f ca="1">IFERROR(__xludf.DUMMYFUNCTION("IMPORTRANGE(""https://docs.google.com/spreadsheets/d/11923uPwbBZFjjGgGUA6NLw09EwE0CqkOc4q9oUmW1yo/edit?usp=sharing"",""ลำพูน!I416"")"),0)</f>
        <v>0</v>
      </c>
      <c r="J521" s="187">
        <f ca="1">IFERROR(__xludf.DUMMYFUNCTION("IMPORTRANGE(""https://docs.google.com/spreadsheets/d/11923uPwbBZFjjGgGUA6NLw09EwE0CqkOc4q9oUmW1yo/edit?usp=sharing"",""ลำพูน!J416"")"),0)</f>
        <v>0</v>
      </c>
      <c r="K521" s="163">
        <v>0</v>
      </c>
      <c r="L521" s="181"/>
      <c r="M521" s="181"/>
      <c r="N521" s="181"/>
      <c r="O521" s="181"/>
      <c r="P521" s="181"/>
    </row>
    <row r="522" spans="1:16" ht="21.75" customHeight="1" x14ac:dyDescent="0.3">
      <c r="A522" s="175"/>
      <c r="B522" s="176"/>
      <c r="C522" s="176"/>
      <c r="D522" s="193"/>
      <c r="E522" s="195"/>
      <c r="F522" s="195"/>
      <c r="G522" s="196"/>
      <c r="H522" s="420" t="s">
        <v>36</v>
      </c>
      <c r="I522" s="187">
        <f ca="1">IFERROR(__xludf.DUMMYFUNCTION("IMPORTRANGE(""https://docs.google.com/spreadsheets/d/11923uPwbBZFjjGgGUA6NLw09EwE0CqkOc4q9oUmW1yo/edit?usp=sharing"",""ลำพูน!I417"")"),0)</f>
        <v>0</v>
      </c>
      <c r="J522" s="187">
        <f ca="1">IFERROR(__xludf.DUMMYFUNCTION("IMPORTRANGE(""https://docs.google.com/spreadsheets/d/11923uPwbBZFjjGgGUA6NLw09EwE0CqkOc4q9oUmW1yo/edit?usp=sharing"",""ลำพูน!J417"")"),0)</f>
        <v>0</v>
      </c>
      <c r="K522" s="163">
        <v>0</v>
      </c>
      <c r="L522" s="181"/>
      <c r="M522" s="181"/>
      <c r="N522" s="181"/>
      <c r="O522" s="181"/>
      <c r="P522" s="181"/>
    </row>
    <row r="523" spans="1:16" ht="21.75" customHeight="1" x14ac:dyDescent="0.3">
      <c r="A523" s="175"/>
      <c r="B523" s="176"/>
      <c r="C523" s="176"/>
      <c r="D523" s="193"/>
      <c r="E523" s="195"/>
      <c r="F523" s="195"/>
      <c r="G523" s="456" t="s">
        <v>198</v>
      </c>
      <c r="H523" s="420" t="s">
        <v>122</v>
      </c>
      <c r="I523" s="187">
        <f ca="1">IFERROR(__xludf.DUMMYFUNCTION("IMPORTRANGE(""https://docs.google.com/spreadsheets/d/11923uPwbBZFjjGgGUA6NLw09EwE0CqkOc4q9oUmW1yo/edit?usp=sharing"",""ลำพูน!I418"")"),0)</f>
        <v>0</v>
      </c>
      <c r="J523" s="187">
        <f ca="1">IFERROR(__xludf.DUMMYFUNCTION("IMPORTRANGE(""https://docs.google.com/spreadsheets/d/11923uPwbBZFjjGgGUA6NLw09EwE0CqkOc4q9oUmW1yo/edit?usp=sharing"",""ลำพูน!J418"")"),157)</f>
        <v>157</v>
      </c>
      <c r="K523" s="163">
        <v>0</v>
      </c>
      <c r="L523" s="181"/>
      <c r="M523" s="181"/>
      <c r="N523" s="181"/>
      <c r="O523" s="181"/>
      <c r="P523" s="181"/>
    </row>
    <row r="524" spans="1:16" ht="21.75" customHeight="1" x14ac:dyDescent="0.3">
      <c r="A524" s="175"/>
      <c r="B524" s="176"/>
      <c r="C524" s="176"/>
      <c r="D524" s="193"/>
      <c r="E524" s="195"/>
      <c r="F524" s="195"/>
      <c r="G524" s="196"/>
      <c r="H524" s="420" t="s">
        <v>36</v>
      </c>
      <c r="I524" s="187">
        <f ca="1">IFERROR(__xludf.DUMMYFUNCTION("IMPORTRANGE(""https://docs.google.com/spreadsheets/d/11923uPwbBZFjjGgGUA6NLw09EwE0CqkOc4q9oUmW1yo/edit?usp=sharing"",""ลำพูน!I419"")"),0)</f>
        <v>0</v>
      </c>
      <c r="J524" s="187">
        <f ca="1">IFERROR(__xludf.DUMMYFUNCTION("IMPORTRANGE(""https://docs.google.com/spreadsheets/d/11923uPwbBZFjjGgGUA6NLw09EwE0CqkOc4q9oUmW1yo/edit?usp=sharing"",""ลำพูน!J419"")"),18)</f>
        <v>18</v>
      </c>
      <c r="K524" s="163">
        <v>0</v>
      </c>
      <c r="L524" s="181"/>
      <c r="M524" s="181"/>
      <c r="N524" s="181"/>
      <c r="O524" s="181"/>
      <c r="P524" s="181"/>
    </row>
    <row r="525" spans="1:16" ht="21.75" customHeight="1" x14ac:dyDescent="0.3">
      <c r="A525" s="175"/>
      <c r="B525" s="176"/>
      <c r="C525" s="452"/>
      <c r="D525" s="452"/>
      <c r="E525" s="452" t="s">
        <v>199</v>
      </c>
      <c r="F525" s="453"/>
      <c r="G525" s="454"/>
      <c r="H525" s="455" t="s">
        <v>122</v>
      </c>
      <c r="I525" s="282">
        <f ca="1">IFERROR(__xludf.DUMMYFUNCTION("IMPORTRANGE(""https://docs.google.com/spreadsheets/d/11923uPwbBZFjjGgGUA6NLw09EwE0CqkOc4q9oUmW1yo/edit?usp=sharing"",""ลำพูน!I420"")"),157)</f>
        <v>157</v>
      </c>
      <c r="J525" s="282">
        <f ca="1">IFERROR(__xludf.DUMMYFUNCTION("IMPORTRANGE(""https://docs.google.com/spreadsheets/d/11923uPwbBZFjjGgGUA6NLw09EwE0CqkOc4q9oUmW1yo/edit?usp=sharing"",""ลำพูน!J420"")"),0)</f>
        <v>0</v>
      </c>
      <c r="K525" s="283">
        <v>0</v>
      </c>
      <c r="L525" s="181"/>
      <c r="M525" s="181"/>
      <c r="N525" s="181"/>
      <c r="O525" s="181"/>
      <c r="P525" s="181"/>
    </row>
    <row r="526" spans="1:16" ht="21.75" customHeight="1" x14ac:dyDescent="0.3">
      <c r="A526" s="175"/>
      <c r="B526" s="176"/>
      <c r="C526" s="452"/>
      <c r="D526" s="452"/>
      <c r="E526" s="452" t="s">
        <v>200</v>
      </c>
      <c r="F526" s="453"/>
      <c r="G526" s="454"/>
      <c r="H526" s="455" t="s">
        <v>36</v>
      </c>
      <c r="I526" s="282">
        <f ca="1">IFERROR(__xludf.DUMMYFUNCTION("IMPORTRANGE(""https://docs.google.com/spreadsheets/d/11923uPwbBZFjjGgGUA6NLw09EwE0CqkOc4q9oUmW1yo/edit?usp=sharing"",""ลำพูน!I421"")"),18)</f>
        <v>18</v>
      </c>
      <c r="J526" s="282">
        <f ca="1">IFERROR(__xludf.DUMMYFUNCTION("IMPORTRANGE(""https://docs.google.com/spreadsheets/d/11923uPwbBZFjjGgGUA6NLw09EwE0CqkOc4q9oUmW1yo/edit?usp=sharing"",""ลำพูน!J421"")"),0)</f>
        <v>0</v>
      </c>
      <c r="K526" s="283">
        <v>0</v>
      </c>
      <c r="L526" s="181"/>
      <c r="M526" s="181"/>
      <c r="N526" s="181"/>
      <c r="O526" s="181"/>
      <c r="P526" s="181"/>
    </row>
    <row r="527" spans="1:16" ht="21.75" customHeight="1" x14ac:dyDescent="0.3">
      <c r="A527" s="175"/>
      <c r="B527" s="176"/>
      <c r="C527" s="176"/>
      <c r="D527" s="193"/>
      <c r="E527" s="195"/>
      <c r="F527" s="195"/>
      <c r="G527" s="225" t="s">
        <v>196</v>
      </c>
      <c r="H527" s="420" t="s">
        <v>122</v>
      </c>
      <c r="I527" s="187">
        <f ca="1">IFERROR(__xludf.DUMMYFUNCTION("IMPORTRANGE(""https://docs.google.com/spreadsheets/d/11923uPwbBZFjjGgGUA6NLw09EwE0CqkOc4q9oUmW1yo/edit?usp=sharing"",""ลำพูน!I422"")"),0)</f>
        <v>0</v>
      </c>
      <c r="J527" s="197">
        <f ca="1">IFERROR(__xludf.DUMMYFUNCTION("IMPORTRANGE(""https://docs.google.com/spreadsheets/d/11923uPwbBZFjjGgGUA6NLw09EwE0CqkOc4q9oUmW1yo/edit?usp=sharing"",""ลำพูน!J422"")"),0)</f>
        <v>0</v>
      </c>
      <c r="K527" s="163">
        <v>0</v>
      </c>
      <c r="L527" s="181"/>
      <c r="M527" s="181"/>
      <c r="N527" s="181"/>
      <c r="O527" s="181"/>
      <c r="P527" s="181"/>
    </row>
    <row r="528" spans="1:16" ht="21.75" customHeight="1" x14ac:dyDescent="0.3">
      <c r="A528" s="175"/>
      <c r="B528" s="176"/>
      <c r="C528" s="176"/>
      <c r="D528" s="193"/>
      <c r="E528" s="195"/>
      <c r="F528" s="195"/>
      <c r="G528" s="196"/>
      <c r="H528" s="420" t="s">
        <v>36</v>
      </c>
      <c r="I528" s="187">
        <f ca="1">IFERROR(__xludf.DUMMYFUNCTION("IMPORTRANGE(""https://docs.google.com/spreadsheets/d/11923uPwbBZFjjGgGUA6NLw09EwE0CqkOc4q9oUmW1yo/edit?usp=sharing"",""ลำพูน!I423"")"),0)</f>
        <v>0</v>
      </c>
      <c r="J528" s="197">
        <f ca="1">IFERROR(__xludf.DUMMYFUNCTION("IMPORTRANGE(""https://docs.google.com/spreadsheets/d/11923uPwbBZFjjGgGUA6NLw09EwE0CqkOc4q9oUmW1yo/edit?usp=sharing"",""ลำพูน!J423"")"),0)</f>
        <v>0</v>
      </c>
      <c r="K528" s="163">
        <v>0</v>
      </c>
      <c r="L528" s="181"/>
      <c r="M528" s="181"/>
      <c r="N528" s="181"/>
      <c r="O528" s="181"/>
      <c r="P528" s="181"/>
    </row>
    <row r="529" spans="1:16" ht="21.75" customHeight="1" x14ac:dyDescent="0.3">
      <c r="A529" s="175"/>
      <c r="B529" s="176"/>
      <c r="C529" s="176"/>
      <c r="D529" s="193"/>
      <c r="E529" s="195"/>
      <c r="F529" s="195"/>
      <c r="G529" s="225" t="s">
        <v>197</v>
      </c>
      <c r="H529" s="420" t="s">
        <v>122</v>
      </c>
      <c r="I529" s="187">
        <f ca="1">IFERROR(__xludf.DUMMYFUNCTION("IMPORTRANGE(""https://docs.google.com/spreadsheets/d/11923uPwbBZFjjGgGUA6NLw09EwE0CqkOc4q9oUmW1yo/edit?usp=sharing"",""ลำพูน!I424"")"),0)</f>
        <v>0</v>
      </c>
      <c r="J529" s="197">
        <f ca="1">IFERROR(__xludf.DUMMYFUNCTION("IMPORTRANGE(""https://docs.google.com/spreadsheets/d/11923uPwbBZFjjGgGUA6NLw09EwE0CqkOc4q9oUmW1yo/edit?usp=sharing"",""ลำพูน!J424"")"),0)</f>
        <v>0</v>
      </c>
      <c r="K529" s="163">
        <v>0</v>
      </c>
      <c r="L529" s="181"/>
      <c r="M529" s="181"/>
      <c r="N529" s="181"/>
      <c r="O529" s="181"/>
      <c r="P529" s="181"/>
    </row>
    <row r="530" spans="1:16" ht="21.75" customHeight="1" x14ac:dyDescent="0.3">
      <c r="A530" s="175"/>
      <c r="B530" s="176"/>
      <c r="C530" s="176"/>
      <c r="D530" s="193"/>
      <c r="E530" s="195"/>
      <c r="F530" s="195"/>
      <c r="G530" s="196"/>
      <c r="H530" s="420" t="s">
        <v>36</v>
      </c>
      <c r="I530" s="187">
        <f ca="1">IFERROR(__xludf.DUMMYFUNCTION("IMPORTRANGE(""https://docs.google.com/spreadsheets/d/11923uPwbBZFjjGgGUA6NLw09EwE0CqkOc4q9oUmW1yo/edit?usp=sharing"",""ลำพูน!I425"")"),0)</f>
        <v>0</v>
      </c>
      <c r="J530" s="197">
        <f ca="1">IFERROR(__xludf.DUMMYFUNCTION("IMPORTRANGE(""https://docs.google.com/spreadsheets/d/11923uPwbBZFjjGgGUA6NLw09EwE0CqkOc4q9oUmW1yo/edit?usp=sharing"",""ลำพูน!J425"")"),0)</f>
        <v>0</v>
      </c>
      <c r="K530" s="163">
        <v>0</v>
      </c>
      <c r="L530" s="181"/>
      <c r="M530" s="181"/>
      <c r="N530" s="181"/>
      <c r="O530" s="181"/>
      <c r="P530" s="181"/>
    </row>
    <row r="531" spans="1:16" ht="21.75" customHeight="1" x14ac:dyDescent="0.3">
      <c r="A531" s="175"/>
      <c r="B531" s="176"/>
      <c r="C531" s="176"/>
      <c r="D531" s="193"/>
      <c r="E531" s="195"/>
      <c r="F531" s="195"/>
      <c r="G531" s="225" t="s">
        <v>201</v>
      </c>
      <c r="H531" s="420" t="s">
        <v>122</v>
      </c>
      <c r="I531" s="187">
        <f ca="1">IFERROR(__xludf.DUMMYFUNCTION("IMPORTRANGE(""https://docs.google.com/spreadsheets/d/11923uPwbBZFjjGgGUA6NLw09EwE0CqkOc4q9oUmW1yo/edit?usp=sharing"",""ลำพูน!I426"")"),0)</f>
        <v>0</v>
      </c>
      <c r="J531" s="197">
        <f ca="1">IFERROR(__xludf.DUMMYFUNCTION("IMPORTRANGE(""https://docs.google.com/spreadsheets/d/11923uPwbBZFjjGgGUA6NLw09EwE0CqkOc4q9oUmW1yo/edit?usp=sharing"",""ลำพูน!J426"")"),0)</f>
        <v>0</v>
      </c>
      <c r="K531" s="163">
        <v>0</v>
      </c>
      <c r="L531" s="181"/>
      <c r="M531" s="181"/>
      <c r="N531" s="181"/>
      <c r="O531" s="181"/>
      <c r="P531" s="181"/>
    </row>
    <row r="532" spans="1:16" ht="21.75" customHeight="1" x14ac:dyDescent="0.3">
      <c r="A532" s="457"/>
      <c r="B532" s="458"/>
      <c r="C532" s="458"/>
      <c r="D532" s="459"/>
      <c r="E532" s="460"/>
      <c r="F532" s="460"/>
      <c r="G532" s="461"/>
      <c r="H532" s="462" t="s">
        <v>36</v>
      </c>
      <c r="I532" s="463">
        <f ca="1">IFERROR(__xludf.DUMMYFUNCTION("IMPORTRANGE(""https://docs.google.com/spreadsheets/d/11923uPwbBZFjjGgGUA6NLw09EwE0CqkOc4q9oUmW1yo/edit?usp=sharing"",""ลำพูน!I427"")"),0)</f>
        <v>0</v>
      </c>
      <c r="J532" s="464">
        <f ca="1">IFERROR(__xludf.DUMMYFUNCTION("IMPORTRANGE(""https://docs.google.com/spreadsheets/d/11923uPwbBZFjjGgGUA6NLw09EwE0CqkOc4q9oUmW1yo/edit?usp=sharing"",""ลำพูน!J427"")"),0)</f>
        <v>0</v>
      </c>
      <c r="K532" s="465">
        <v>0</v>
      </c>
      <c r="L532" s="466"/>
      <c r="M532" s="466"/>
      <c r="N532" s="466"/>
      <c r="O532" s="466"/>
      <c r="P532" s="466"/>
    </row>
    <row r="533" spans="1:16" ht="21.75" customHeight="1" x14ac:dyDescent="0.3">
      <c r="A533" s="403"/>
      <c r="B533" s="404">
        <v>6</v>
      </c>
      <c r="C533" s="405" t="s">
        <v>202</v>
      </c>
      <c r="D533" s="405"/>
      <c r="E533" s="405"/>
      <c r="F533" s="405"/>
      <c r="G533" s="406"/>
      <c r="H533" s="407" t="s">
        <v>37</v>
      </c>
      <c r="I533" s="408">
        <f ca="1">IFERROR(__xludf.DUMMYFUNCTION("IMPORTRANGE(""https://docs.google.com/spreadsheets/d/11923uPwbBZFjjGgGUA6NLw09EwE0CqkOc4q9oUmW1yo/edit?usp=sharing"",""ลำพูน!I428"")"),22)</f>
        <v>22</v>
      </c>
      <c r="J533" s="408">
        <f ca="1">IFERROR(__xludf.DUMMYFUNCTION("IMPORTRANGE(""https://docs.google.com/spreadsheets/d/11923uPwbBZFjjGgGUA6NLw09EwE0CqkOc4q9oUmW1yo/edit?usp=sharing"",""ลำพูน!J428"")"),22)</f>
        <v>22</v>
      </c>
      <c r="K533" s="409">
        <f ca="1">IF(I533&gt;0,J533*100/I533,0)</f>
        <v>100</v>
      </c>
      <c r="L533" s="410">
        <f ca="1">IFERROR(__xludf.DUMMYFUNCTION("IMPORTRANGE(""https://docs.google.com/spreadsheets/d/11923uPwbBZFjjGgGUA6NLw09EwE0CqkOc4q9oUmW1yo/edit?usp=sharing"",""ลำพูน!L428"")"),34340)</f>
        <v>34340</v>
      </c>
      <c r="M533" s="410"/>
      <c r="N533" s="410">
        <f ca="1">IFERROR(__xludf.DUMMYFUNCTION("IMPORTRANGE(""https://docs.google.com/spreadsheets/d/11923uPwbBZFjjGgGUA6NLw09EwE0CqkOc4q9oUmW1yo/edit?usp=sharing"",""ลำพูน!M428"")"),17969)</f>
        <v>17969</v>
      </c>
      <c r="O533" s="410">
        <f t="shared" ref="O533:O537" ca="1" si="118">+IF(L533&gt;0,N533*100/L533,0)</f>
        <v>52.32673267326733</v>
      </c>
      <c r="P533" s="410"/>
    </row>
    <row r="534" spans="1:16" ht="21.75" customHeight="1" x14ac:dyDescent="0.3">
      <c r="A534" s="156"/>
      <c r="B534" s="157"/>
      <c r="C534" s="157" t="s">
        <v>16</v>
      </c>
      <c r="D534" s="158" t="s">
        <v>38</v>
      </c>
      <c r="E534" s="159"/>
      <c r="F534" s="159"/>
      <c r="G534" s="160" t="s">
        <v>39</v>
      </c>
      <c r="H534" s="161" t="s">
        <v>12</v>
      </c>
      <c r="I534" s="162" t="s">
        <v>40</v>
      </c>
      <c r="J534" s="162"/>
      <c r="K534" s="163"/>
      <c r="L534" s="164">
        <f ca="1">IFERROR(__xludf.DUMMYFUNCTION("IMPORTRANGE(""https://docs.google.com/spreadsheets/d/11923uPwbBZFjjGgGUA6NLw09EwE0CqkOc4q9oUmW1yo/edit?usp=sharing"",""ลำพูน!L429"")"),0)</f>
        <v>0</v>
      </c>
      <c r="M534" s="164"/>
      <c r="N534" s="168">
        <f ca="1">IFERROR(__xludf.DUMMYFUNCTION("IMPORTRANGE(""https://docs.google.com/spreadsheets/d/11923uPwbBZFjjGgGUA6NLw09EwE0CqkOc4q9oUmW1yo/edit?usp=sharing"",""ลำพูน!M429"")"),0)</f>
        <v>0</v>
      </c>
      <c r="O534" s="168">
        <f t="shared" ca="1" si="118"/>
        <v>0</v>
      </c>
      <c r="P534" s="168"/>
    </row>
    <row r="535" spans="1:16" ht="21.75" customHeight="1" x14ac:dyDescent="0.3">
      <c r="A535" s="156"/>
      <c r="B535" s="157"/>
      <c r="C535" s="157"/>
      <c r="D535" s="166"/>
      <c r="E535" s="159"/>
      <c r="F535" s="159" t="s">
        <v>40</v>
      </c>
      <c r="G535" s="160" t="s">
        <v>41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IFERROR(__xludf.DUMMYFUNCTION("IMPORTRANGE(""https://docs.google.com/spreadsheets/d/11923uPwbBZFjjGgGUA6NLw09EwE0CqkOc4q9oUmW1yo/edit?usp=sharing"",""ลำพูน!L430"")"),34340)</f>
        <v>34340</v>
      </c>
      <c r="M535" s="165"/>
      <c r="N535" s="168">
        <f ca="1">IFERROR(__xludf.DUMMYFUNCTION("IMPORTRANGE(""https://docs.google.com/spreadsheets/d/11923uPwbBZFjjGgGUA6NLw09EwE0CqkOc4q9oUmW1yo/edit?usp=sharing"",""ลำพูน!M430"")"),17969)</f>
        <v>17969</v>
      </c>
      <c r="O535" s="168">
        <f t="shared" ca="1" si="118"/>
        <v>52.32673267326733</v>
      </c>
      <c r="P535" s="168"/>
    </row>
    <row r="536" spans="1:16" ht="21.75" customHeight="1" x14ac:dyDescent="0.3">
      <c r="A536" s="156"/>
      <c r="B536" s="157"/>
      <c r="C536" s="157"/>
      <c r="D536" s="166"/>
      <c r="E536" s="159"/>
      <c r="F536" s="159"/>
      <c r="G536" s="372" t="s">
        <v>129</v>
      </c>
      <c r="H536" s="161" t="s">
        <v>12</v>
      </c>
      <c r="I536" s="162"/>
      <c r="J536" s="162"/>
      <c r="K536" s="163"/>
      <c r="L536" s="168">
        <f ca="1">IFERROR(__xludf.DUMMYFUNCTION("IMPORTRANGE(""https://docs.google.com/spreadsheets/d/11923uPwbBZFjjGgGUA6NLw09EwE0CqkOc4q9oUmW1yo/edit?usp=sharing"",""ลำพูน!L431"")"),0)</f>
        <v>0</v>
      </c>
      <c r="M536" s="168"/>
      <c r="N536" s="168">
        <f ca="1">IFERROR(__xludf.DUMMYFUNCTION("IMPORTRANGE(""https://docs.google.com/spreadsheets/d/11923uPwbBZFjjGgGUA6NLw09EwE0CqkOc4q9oUmW1yo/edit?usp=sharing"",""ลำพูน!M431"")"),0)</f>
        <v>0</v>
      </c>
      <c r="O536" s="168">
        <f t="shared" ca="1" si="118"/>
        <v>0</v>
      </c>
      <c r="P536" s="168"/>
    </row>
    <row r="537" spans="1:16" ht="21.75" customHeight="1" x14ac:dyDescent="0.3">
      <c r="A537" s="156"/>
      <c r="B537" s="157"/>
      <c r="C537" s="157"/>
      <c r="D537" s="166"/>
      <c r="E537" s="159"/>
      <c r="F537" s="159"/>
      <c r="G537" s="372" t="s">
        <v>130</v>
      </c>
      <c r="H537" s="161" t="s">
        <v>12</v>
      </c>
      <c r="I537" s="162"/>
      <c r="J537" s="162"/>
      <c r="K537" s="163"/>
      <c r="L537" s="168">
        <f ca="1">IFERROR(__xludf.DUMMYFUNCTION("IMPORTRANGE(""https://docs.google.com/spreadsheets/d/11923uPwbBZFjjGgGUA6NLw09EwE0CqkOc4q9oUmW1yo/edit?usp=sharing"",""ลำพูน!L432"")"),34340)</f>
        <v>34340</v>
      </c>
      <c r="M537" s="168"/>
      <c r="N537" s="168">
        <f ca="1">IFERROR(__xludf.DUMMYFUNCTION("IMPORTRANGE(""https://docs.google.com/spreadsheets/d/11923uPwbBZFjjGgGUA6NLw09EwE0CqkOc4q9oUmW1yo/edit?usp=sharing"",""ลำพูน!M432"")"),17969)</f>
        <v>17969</v>
      </c>
      <c r="O537" s="168">
        <f t="shared" ca="1" si="118"/>
        <v>52.32673267326733</v>
      </c>
      <c r="P537" s="168"/>
    </row>
    <row r="538" spans="1:16" ht="21.75" customHeight="1" x14ac:dyDescent="0.3">
      <c r="A538" s="373"/>
      <c r="B538" s="374"/>
      <c r="C538" s="157"/>
      <c r="D538" s="375"/>
      <c r="E538" s="159"/>
      <c r="F538" s="159"/>
      <c r="G538" s="376" t="s">
        <v>131</v>
      </c>
      <c r="H538" s="161" t="s">
        <v>12</v>
      </c>
      <c r="I538" s="187"/>
      <c r="J538" s="187"/>
      <c r="K538" s="223"/>
      <c r="L538" s="168"/>
      <c r="M538" s="168"/>
      <c r="N538" s="377">
        <f ca="1">IFERROR(__xludf.DUMMYFUNCTION("IMPORTRANGE(""https://docs.google.com/spreadsheets/d/11923uPwbBZFjjGgGUA6NLw09EwE0CqkOc4q9oUmW1yo/edit?usp=sharing"",""ลำพูน!M433"")"),17969)</f>
        <v>17969</v>
      </c>
      <c r="O538" s="168"/>
      <c r="P538" s="168"/>
    </row>
    <row r="539" spans="1:16" ht="21.75" customHeight="1" x14ac:dyDescent="0.3">
      <c r="A539" s="373"/>
      <c r="B539" s="374"/>
      <c r="C539" s="157"/>
      <c r="D539" s="375"/>
      <c r="E539" s="159"/>
      <c r="F539" s="159"/>
      <c r="G539" s="376" t="s">
        <v>132</v>
      </c>
      <c r="H539" s="161" t="s">
        <v>12</v>
      </c>
      <c r="I539" s="187"/>
      <c r="J539" s="187"/>
      <c r="K539" s="223"/>
      <c r="L539" s="168"/>
      <c r="M539" s="168"/>
      <c r="N539" s="377">
        <f ca="1">IFERROR(__xludf.DUMMYFUNCTION("IMPORTRANGE(""https://docs.google.com/spreadsheets/d/11923uPwbBZFjjGgGUA6NLw09EwE0CqkOc4q9oUmW1yo/edit?usp=sharing"",""ลำพูน!M434"")"),0)</f>
        <v>0</v>
      </c>
      <c r="O539" s="168"/>
      <c r="P539" s="168"/>
    </row>
    <row r="540" spans="1:16" ht="21.75" customHeight="1" x14ac:dyDescent="0.3">
      <c r="A540" s="373"/>
      <c r="B540" s="374"/>
      <c r="C540" s="157"/>
      <c r="D540" s="375"/>
      <c r="E540" s="159"/>
      <c r="F540" s="159"/>
      <c r="G540" s="376" t="s">
        <v>133</v>
      </c>
      <c r="H540" s="161" t="s">
        <v>12</v>
      </c>
      <c r="I540" s="187"/>
      <c r="J540" s="187"/>
      <c r="K540" s="223"/>
      <c r="L540" s="168"/>
      <c r="M540" s="168"/>
      <c r="N540" s="377">
        <f ca="1">IFERROR(__xludf.DUMMYFUNCTION("IMPORTRANGE(""https://docs.google.com/spreadsheets/d/11923uPwbBZFjjGgGUA6NLw09EwE0CqkOc4q9oUmW1yo/edit?usp=sharing"",""ลำพูน!M435"")"),0)</f>
        <v>0</v>
      </c>
      <c r="O540" s="168"/>
      <c r="P540" s="168"/>
    </row>
    <row r="541" spans="1:16" ht="21.75" customHeight="1" x14ac:dyDescent="0.3">
      <c r="A541" s="373"/>
      <c r="B541" s="374"/>
      <c r="C541" s="157"/>
      <c r="D541" s="375"/>
      <c r="E541" s="159"/>
      <c r="F541" s="159"/>
      <c r="G541" s="376" t="s">
        <v>134</v>
      </c>
      <c r="H541" s="161" t="s">
        <v>12</v>
      </c>
      <c r="I541" s="187"/>
      <c r="J541" s="187"/>
      <c r="K541" s="223"/>
      <c r="L541" s="168"/>
      <c r="M541" s="168"/>
      <c r="N541" s="377">
        <f ca="1">IFERROR(__xludf.DUMMYFUNCTION("IMPORTRANGE(""https://docs.google.com/spreadsheets/d/11923uPwbBZFjjGgGUA6NLw09EwE0CqkOc4q9oUmW1yo/edit?usp=sharing"",""ลำพูน!M436"")"),0)</f>
        <v>0</v>
      </c>
      <c r="O541" s="168"/>
      <c r="P541" s="168"/>
    </row>
    <row r="542" spans="1:16" ht="21.75" customHeight="1" x14ac:dyDescent="0.3">
      <c r="A542" s="175"/>
      <c r="B542" s="176"/>
      <c r="C542" s="157" t="s">
        <v>16</v>
      </c>
      <c r="D542" s="177" t="s">
        <v>44</v>
      </c>
      <c r="E542" s="178"/>
      <c r="F542" s="178"/>
      <c r="G542" s="179"/>
      <c r="H542" s="180"/>
      <c r="I542" s="162"/>
      <c r="J542" s="162"/>
      <c r="K542" s="163"/>
      <c r="L542" s="181"/>
      <c r="M542" s="181"/>
      <c r="N542" s="181"/>
      <c r="O542" s="181"/>
      <c r="P542" s="181"/>
    </row>
    <row r="543" spans="1:16" ht="21.75" customHeight="1" x14ac:dyDescent="0.3">
      <c r="A543" s="175"/>
      <c r="B543" s="176"/>
      <c r="C543" s="176"/>
      <c r="D543" s="182">
        <v>1</v>
      </c>
      <c r="E543" s="183" t="s">
        <v>45</v>
      </c>
      <c r="F543" s="184"/>
      <c r="G543" s="185"/>
      <c r="H543" s="186"/>
      <c r="I543" s="187"/>
      <c r="J543" s="197">
        <f ca="1">IFERROR(__xludf.DUMMYFUNCTION("IMPORTRANGE(""https://docs.google.com/spreadsheets/d/11923uPwbBZFjjGgGUA6NLw09EwE0CqkOc4q9oUmW1yo/edit?usp=sharing"",""ลำพูน!J438"")"),0)</f>
        <v>0</v>
      </c>
      <c r="K543" s="163"/>
      <c r="L543" s="181"/>
      <c r="M543" s="181"/>
      <c r="N543" s="181"/>
      <c r="O543" s="181"/>
      <c r="P543" s="181"/>
    </row>
    <row r="544" spans="1:16" ht="21.75" customHeight="1" x14ac:dyDescent="0.3">
      <c r="A544" s="175"/>
      <c r="B544" s="176"/>
      <c r="C544" s="176"/>
      <c r="D544" s="189">
        <v>2</v>
      </c>
      <c r="E544" s="190" t="s">
        <v>46</v>
      </c>
      <c r="F544" s="191"/>
      <c r="G544" s="192"/>
      <c r="H544" s="186"/>
      <c r="I544" s="187"/>
      <c r="J544" s="188">
        <f ca="1">IFERROR(__xludf.DUMMYFUNCTION("IMPORTRANGE(""https://docs.google.com/spreadsheets/d/11923uPwbBZFjjGgGUA6NLw09EwE0CqkOc4q9oUmW1yo/edit?usp=sharing"",""ลำพูน!J439"")"),1)</f>
        <v>1</v>
      </c>
      <c r="K544" s="163"/>
      <c r="L544" s="181" t="s">
        <v>40</v>
      </c>
      <c r="M544" s="181"/>
      <c r="N544" s="181" t="s">
        <v>40</v>
      </c>
      <c r="O544" s="181"/>
      <c r="P544" s="181"/>
    </row>
    <row r="545" spans="1:16" ht="21.75" customHeight="1" x14ac:dyDescent="0.3">
      <c r="A545" s="175"/>
      <c r="B545" s="176"/>
      <c r="C545" s="176"/>
      <c r="D545" s="193"/>
      <c r="E545" s="194" t="s">
        <v>47</v>
      </c>
      <c r="F545" s="195"/>
      <c r="G545" s="196"/>
      <c r="H545" s="186"/>
      <c r="I545" s="187"/>
      <c r="J545" s="188">
        <f ca="1">IFERROR(__xludf.DUMMYFUNCTION("IMPORTRANGE(""https://docs.google.com/spreadsheets/d/11923uPwbBZFjjGgGUA6NLw09EwE0CqkOc4q9oUmW1yo/edit?usp=sharing"",""ลำพูน!J440"")"),1)</f>
        <v>1</v>
      </c>
      <c r="K545" s="163"/>
      <c r="L545" s="181"/>
      <c r="M545" s="181"/>
      <c r="N545" s="181"/>
      <c r="O545" s="181"/>
      <c r="P545" s="181"/>
    </row>
    <row r="546" spans="1:16" ht="21.75" customHeight="1" x14ac:dyDescent="0.3">
      <c r="A546" s="175"/>
      <c r="B546" s="176"/>
      <c r="C546" s="176"/>
      <c r="D546" s="193"/>
      <c r="E546" s="194" t="s">
        <v>48</v>
      </c>
      <c r="F546" s="195"/>
      <c r="G546" s="196"/>
      <c r="H546" s="186"/>
      <c r="I546" s="187"/>
      <c r="J546" s="197">
        <f ca="1">IFERROR(__xludf.DUMMYFUNCTION("IMPORTRANGE(""https://docs.google.com/spreadsheets/d/11923uPwbBZFjjGgGUA6NLw09EwE0CqkOc4q9oUmW1yo/edit?usp=sharing"",""ลำพูน!J441"")"),1)</f>
        <v>1</v>
      </c>
      <c r="K546" s="163"/>
      <c r="L546" s="181"/>
      <c r="M546" s="181"/>
      <c r="N546" s="181"/>
      <c r="O546" s="181"/>
      <c r="P546" s="181"/>
    </row>
    <row r="547" spans="1:16" ht="21.75" customHeight="1" x14ac:dyDescent="0.3">
      <c r="A547" s="175"/>
      <c r="B547" s="176"/>
      <c r="C547" s="176"/>
      <c r="D547" s="193"/>
      <c r="E547" s="198"/>
      <c r="F547" s="195"/>
      <c r="G547" s="225" t="s">
        <v>203</v>
      </c>
      <c r="H547" s="186" t="s">
        <v>37</v>
      </c>
      <c r="I547" s="203">
        <f ca="1">IFERROR(__xludf.DUMMYFUNCTION("IMPORTRANGE(""https://docs.google.com/spreadsheets/d/11923uPwbBZFjjGgGUA6NLw09EwE0CqkOc4q9oUmW1yo/edit?usp=sharing"",""ลำพูน!I442"")"),22)</f>
        <v>22</v>
      </c>
      <c r="J547" s="188">
        <f ca="1">IFERROR(__xludf.DUMMYFUNCTION("IMPORTRANGE(""https://docs.google.com/spreadsheets/d/11923uPwbBZFjjGgGUA6NLw09EwE0CqkOc4q9oUmW1yo/edit?usp=sharing"",""ลำพูน!J442"")"),22)</f>
        <v>22</v>
      </c>
      <c r="K547" s="163">
        <f t="shared" ref="K547:K548" ca="1" si="119">IF(I547&gt;0,J547*100/I547,0)</f>
        <v>100</v>
      </c>
      <c r="L547" s="181"/>
      <c r="M547" s="181"/>
      <c r="N547" s="181"/>
      <c r="O547" s="181"/>
      <c r="P547" s="181"/>
    </row>
    <row r="548" spans="1:16" ht="21.75" hidden="1" customHeight="1" x14ac:dyDescent="0.3">
      <c r="A548" s="175"/>
      <c r="B548" s="176"/>
      <c r="C548" s="176"/>
      <c r="D548" s="193"/>
      <c r="E548" s="198"/>
      <c r="F548" s="195"/>
      <c r="G548" s="225" t="s">
        <v>204</v>
      </c>
      <c r="H548" s="186" t="s">
        <v>37</v>
      </c>
      <c r="I548" s="339">
        <f ca="1">IFERROR(__xludf.DUMMYFUNCTION("IMPORTRANGE(""https://docs.google.com/spreadsheets/d/1C3CXT74ZlgGe6_JY_1olB1XN4rF0dxEuIIF-xsYjHgg/edit?usp=sharing"",""งบกองทุน!dr63"")"),0)</f>
        <v>0</v>
      </c>
      <c r="J548" s="197">
        <f ca="1">IFERROR(__xludf.DUMMYFUNCTION("IMPORTRANGE(""https://docs.google.com/spreadsheets/d/11923uPwbBZFjjGgGUA6NLw09EwE0CqkOc4q9oUmW1yo/edit?usp=sharing"",""ลำพูน!J166"")"),0)</f>
        <v>0</v>
      </c>
      <c r="K548" s="163">
        <f t="shared" ca="1" si="119"/>
        <v>0</v>
      </c>
      <c r="L548" s="181"/>
      <c r="M548" s="181"/>
      <c r="N548" s="181"/>
      <c r="O548" s="181"/>
      <c r="P548" s="181"/>
    </row>
    <row r="549" spans="1:16" ht="21.75" customHeight="1" x14ac:dyDescent="0.3">
      <c r="A549" s="175"/>
      <c r="B549" s="176"/>
      <c r="C549" s="176"/>
      <c r="D549" s="193"/>
      <c r="E549" s="194" t="s">
        <v>54</v>
      </c>
      <c r="F549" s="195"/>
      <c r="G549" s="196"/>
      <c r="H549" s="186"/>
      <c r="I549" s="187"/>
      <c r="J549" s="197">
        <f ca="1">IFERROR(__xludf.DUMMYFUNCTION("IMPORTRANGE(""https://docs.google.com/spreadsheets/d/11923uPwbBZFjjGgGUA6NLw09EwE0CqkOc4q9oUmW1yo/edit?usp=sharing"",""ลำพูน!J444"")"),1)</f>
        <v>1</v>
      </c>
      <c r="K549" s="163"/>
      <c r="L549" s="181"/>
      <c r="M549" s="181"/>
      <c r="N549" s="181"/>
      <c r="O549" s="181"/>
      <c r="P549" s="181"/>
    </row>
    <row r="550" spans="1:16" ht="21.75" customHeight="1" x14ac:dyDescent="0.3">
      <c r="A550" s="457"/>
      <c r="B550" s="458"/>
      <c r="C550" s="458"/>
      <c r="D550" s="467">
        <v>3</v>
      </c>
      <c r="E550" s="468" t="s">
        <v>55</v>
      </c>
      <c r="F550" s="469"/>
      <c r="G550" s="470"/>
      <c r="H550" s="471"/>
      <c r="I550" s="463"/>
      <c r="J550" s="472">
        <f ca="1">IFERROR(__xludf.DUMMYFUNCTION("IMPORTRANGE(""https://docs.google.com/spreadsheets/d/11923uPwbBZFjjGgGUA6NLw09EwE0CqkOc4q9oUmW1yo/edit?usp=sharing"",""ลำพูน!J445"")"),0)</f>
        <v>0</v>
      </c>
      <c r="K550" s="465"/>
      <c r="L550" s="466"/>
      <c r="M550" s="466"/>
      <c r="N550" s="466"/>
      <c r="O550" s="466"/>
      <c r="P550" s="466"/>
    </row>
    <row r="551" spans="1:16" ht="21.75" customHeight="1" x14ac:dyDescent="0.3">
      <c r="A551" s="403"/>
      <c r="B551" s="404">
        <v>7</v>
      </c>
      <c r="C551" s="405" t="s">
        <v>205</v>
      </c>
      <c r="D551" s="405"/>
      <c r="E551" s="405"/>
      <c r="F551" s="405"/>
      <c r="G551" s="406"/>
      <c r="H551" s="407" t="s">
        <v>122</v>
      </c>
      <c r="I551" s="408">
        <f ca="1">IFERROR(__xludf.DUMMYFUNCTION("IMPORTRANGE(""https://docs.google.com/spreadsheets/d/11923uPwbBZFjjGgGUA6NLw09EwE0CqkOc4q9oUmW1yo/edit?usp=sharing"",""ลำพูน!I446"")"),0)</f>
        <v>0</v>
      </c>
      <c r="J551" s="408">
        <f ca="1">IFERROR(__xludf.DUMMYFUNCTION("IMPORTRANGE(""https://docs.google.com/spreadsheets/d/11923uPwbBZFjjGgGUA6NLw09EwE0CqkOc4q9oUmW1yo/edit?usp=sharing"",""ลำพูน!J446"")"),0)</f>
        <v>0</v>
      </c>
      <c r="K551" s="409">
        <f ca="1">IF(I551&gt;0,J551*100/I551,0)</f>
        <v>0</v>
      </c>
      <c r="L551" s="410">
        <f ca="1">IFERROR(__xludf.DUMMYFUNCTION("IMPORTRANGE(""https://docs.google.com/spreadsheets/d/11923uPwbBZFjjGgGUA6NLw09EwE0CqkOc4q9oUmW1yo/edit?usp=sharing"",""ลำพูน!L446"")"),0)</f>
        <v>0</v>
      </c>
      <c r="M551" s="410"/>
      <c r="N551" s="410">
        <f ca="1">IFERROR(__xludf.DUMMYFUNCTION("IMPORTRANGE(""https://docs.google.com/spreadsheets/d/11923uPwbBZFjjGgGUA6NLw09EwE0CqkOc4q9oUmW1yo/edit?usp=sharing"",""ลำพูน!M446"")"),0)</f>
        <v>0</v>
      </c>
      <c r="O551" s="410">
        <f t="shared" ref="O551:O555" ca="1" si="120">+IF(L551&gt;0,N551*100/L551,0)</f>
        <v>0</v>
      </c>
      <c r="P551" s="410"/>
    </row>
    <row r="552" spans="1:16" ht="21.75" customHeight="1" x14ac:dyDescent="0.3">
      <c r="A552" s="156"/>
      <c r="B552" s="157"/>
      <c r="C552" s="157" t="s">
        <v>16</v>
      </c>
      <c r="D552" s="158" t="s">
        <v>38</v>
      </c>
      <c r="E552" s="159"/>
      <c r="F552" s="159"/>
      <c r="G552" s="160" t="s">
        <v>39</v>
      </c>
      <c r="H552" s="161" t="s">
        <v>12</v>
      </c>
      <c r="I552" s="162" t="s">
        <v>40</v>
      </c>
      <c r="J552" s="162"/>
      <c r="K552" s="163"/>
      <c r="L552" s="164">
        <f ca="1">IFERROR(__xludf.DUMMYFUNCTION("IMPORTRANGE(""https://docs.google.com/spreadsheets/d/11923uPwbBZFjjGgGUA6NLw09EwE0CqkOc4q9oUmW1yo/edit?usp=sharing"",""ลำพูน!L447"")"),0)</f>
        <v>0</v>
      </c>
      <c r="M552" s="164"/>
      <c r="N552" s="168">
        <f ca="1">IFERROR(__xludf.DUMMYFUNCTION("IMPORTRANGE(""https://docs.google.com/spreadsheets/d/11923uPwbBZFjjGgGUA6NLw09EwE0CqkOc4q9oUmW1yo/edit?usp=sharing"",""ลำพูน!M447"")"),0)</f>
        <v>0</v>
      </c>
      <c r="O552" s="168">
        <f t="shared" ca="1" si="120"/>
        <v>0</v>
      </c>
      <c r="P552" s="168"/>
    </row>
    <row r="553" spans="1:16" ht="21.75" customHeight="1" x14ac:dyDescent="0.3">
      <c r="A553" s="156"/>
      <c r="B553" s="157"/>
      <c r="C553" s="157"/>
      <c r="D553" s="166"/>
      <c r="E553" s="159"/>
      <c r="F553" s="159" t="s">
        <v>40</v>
      </c>
      <c r="G553" s="160" t="s">
        <v>41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IFERROR(__xludf.DUMMYFUNCTION("IMPORTRANGE(""https://docs.google.com/spreadsheets/d/11923uPwbBZFjjGgGUA6NLw09EwE0CqkOc4q9oUmW1yo/edit?usp=sharing"",""ลำพูน!L448"")"),0)</f>
        <v>0</v>
      </c>
      <c r="M553" s="165"/>
      <c r="N553" s="168">
        <f ca="1">IFERROR(__xludf.DUMMYFUNCTION("IMPORTRANGE(""https://docs.google.com/spreadsheets/d/11923uPwbBZFjjGgGUA6NLw09EwE0CqkOc4q9oUmW1yo/edit?usp=sharing"",""ลำพูน!M448"")"),0)</f>
        <v>0</v>
      </c>
      <c r="O553" s="168">
        <f t="shared" ca="1" si="120"/>
        <v>0</v>
      </c>
      <c r="P553" s="168"/>
    </row>
    <row r="554" spans="1:16" ht="21.75" customHeight="1" x14ac:dyDescent="0.3">
      <c r="A554" s="156"/>
      <c r="B554" s="157"/>
      <c r="C554" s="157"/>
      <c r="D554" s="166"/>
      <c r="E554" s="159"/>
      <c r="F554" s="159"/>
      <c r="G554" s="372" t="s">
        <v>129</v>
      </c>
      <c r="H554" s="161" t="s">
        <v>12</v>
      </c>
      <c r="I554" s="162"/>
      <c r="J554" s="162"/>
      <c r="K554" s="163"/>
      <c r="L554" s="168">
        <f ca="1">IFERROR(__xludf.DUMMYFUNCTION("IMPORTRANGE(""https://docs.google.com/spreadsheets/d/11923uPwbBZFjjGgGUA6NLw09EwE0CqkOc4q9oUmW1yo/edit?usp=sharing"",""ลำพูน!L449"")"),0)</f>
        <v>0</v>
      </c>
      <c r="M554" s="168"/>
      <c r="N554" s="168">
        <f ca="1">IFERROR(__xludf.DUMMYFUNCTION("IMPORTRANGE(""https://docs.google.com/spreadsheets/d/11923uPwbBZFjjGgGUA6NLw09EwE0CqkOc4q9oUmW1yo/edit?usp=sharing"",""ลำพูน!M449"")"),0)</f>
        <v>0</v>
      </c>
      <c r="O554" s="168">
        <f t="shared" ca="1" si="120"/>
        <v>0</v>
      </c>
      <c r="P554" s="168"/>
    </row>
    <row r="555" spans="1:16" ht="21.75" customHeight="1" x14ac:dyDescent="0.3">
      <c r="A555" s="156"/>
      <c r="B555" s="157"/>
      <c r="C555" s="157"/>
      <c r="D555" s="166"/>
      <c r="E555" s="159"/>
      <c r="F555" s="159"/>
      <c r="G555" s="372" t="s">
        <v>130</v>
      </c>
      <c r="H555" s="161" t="s">
        <v>12</v>
      </c>
      <c r="I555" s="162"/>
      <c r="J555" s="162"/>
      <c r="K555" s="163"/>
      <c r="L555" s="168">
        <f ca="1">IFERROR(__xludf.DUMMYFUNCTION("IMPORTRANGE(""https://docs.google.com/spreadsheets/d/11923uPwbBZFjjGgGUA6NLw09EwE0CqkOc4q9oUmW1yo/edit?usp=sharing"",""ลำพูน!L450"")"),0)</f>
        <v>0</v>
      </c>
      <c r="M555" s="168"/>
      <c r="N555" s="168">
        <f ca="1">IFERROR(__xludf.DUMMYFUNCTION("IMPORTRANGE(""https://docs.google.com/spreadsheets/d/11923uPwbBZFjjGgGUA6NLw09EwE0CqkOc4q9oUmW1yo/edit?usp=sharing"",""ลำพูน!M450"")"),0)</f>
        <v>0</v>
      </c>
      <c r="O555" s="168">
        <f t="shared" ca="1" si="120"/>
        <v>0</v>
      </c>
      <c r="P555" s="168"/>
    </row>
    <row r="556" spans="1:16" ht="21.75" customHeight="1" x14ac:dyDescent="0.3">
      <c r="A556" s="373"/>
      <c r="B556" s="374"/>
      <c r="C556" s="157"/>
      <c r="D556" s="375"/>
      <c r="E556" s="159"/>
      <c r="F556" s="159"/>
      <c r="G556" s="376" t="s">
        <v>131</v>
      </c>
      <c r="H556" s="161" t="s">
        <v>12</v>
      </c>
      <c r="I556" s="187"/>
      <c r="J556" s="187"/>
      <c r="K556" s="223"/>
      <c r="L556" s="168"/>
      <c r="M556" s="168"/>
      <c r="N556" s="167">
        <f ca="1">IFERROR(__xludf.DUMMYFUNCTION("IMPORTRANGE(""https://docs.google.com/spreadsheets/d/11923uPwbBZFjjGgGUA6NLw09EwE0CqkOc4q9oUmW1yo/edit?usp=sharing"",""ลำพูน!M451"")"),0)</f>
        <v>0</v>
      </c>
      <c r="O556" s="168"/>
      <c r="P556" s="168"/>
    </row>
    <row r="557" spans="1:16" ht="21.75" customHeight="1" x14ac:dyDescent="0.3">
      <c r="A557" s="373"/>
      <c r="B557" s="374"/>
      <c r="C557" s="157"/>
      <c r="D557" s="375"/>
      <c r="E557" s="159"/>
      <c r="F557" s="159"/>
      <c r="G557" s="376" t="s">
        <v>132</v>
      </c>
      <c r="H557" s="161" t="s">
        <v>12</v>
      </c>
      <c r="I557" s="187"/>
      <c r="J557" s="187"/>
      <c r="K557" s="223"/>
      <c r="L557" s="168"/>
      <c r="M557" s="168"/>
      <c r="N557" s="167">
        <f ca="1">IFERROR(__xludf.DUMMYFUNCTION("IMPORTRANGE(""https://docs.google.com/spreadsheets/d/11923uPwbBZFjjGgGUA6NLw09EwE0CqkOc4q9oUmW1yo/edit?usp=sharing"",""ลำพูน!M452"")"),0)</f>
        <v>0</v>
      </c>
      <c r="O557" s="168"/>
      <c r="P557" s="168"/>
    </row>
    <row r="558" spans="1:16" ht="21.75" customHeight="1" x14ac:dyDescent="0.3">
      <c r="A558" s="373"/>
      <c r="B558" s="374"/>
      <c r="C558" s="157"/>
      <c r="D558" s="375"/>
      <c r="E558" s="159"/>
      <c r="F558" s="159"/>
      <c r="G558" s="376" t="s">
        <v>133</v>
      </c>
      <c r="H558" s="161" t="s">
        <v>12</v>
      </c>
      <c r="I558" s="187"/>
      <c r="J558" s="187"/>
      <c r="K558" s="223"/>
      <c r="L558" s="168"/>
      <c r="M558" s="168"/>
      <c r="N558" s="167">
        <f ca="1">IFERROR(__xludf.DUMMYFUNCTION("IMPORTRANGE(""https://docs.google.com/spreadsheets/d/11923uPwbBZFjjGgGUA6NLw09EwE0CqkOc4q9oUmW1yo/edit?usp=sharing"",""ลำพูน!M453"")"),0)</f>
        <v>0</v>
      </c>
      <c r="O558" s="168"/>
      <c r="P558" s="168"/>
    </row>
    <row r="559" spans="1:16" ht="21.75" customHeight="1" x14ac:dyDescent="0.3">
      <c r="A559" s="373"/>
      <c r="B559" s="374"/>
      <c r="C559" s="157"/>
      <c r="D559" s="375"/>
      <c r="E559" s="159"/>
      <c r="F559" s="159"/>
      <c r="G559" s="376" t="s">
        <v>134</v>
      </c>
      <c r="H559" s="161" t="s">
        <v>12</v>
      </c>
      <c r="I559" s="187"/>
      <c r="J559" s="187"/>
      <c r="K559" s="223"/>
      <c r="L559" s="168"/>
      <c r="M559" s="168"/>
      <c r="N559" s="167">
        <f ca="1">IFERROR(__xludf.DUMMYFUNCTION("IMPORTRANGE(""https://docs.google.com/spreadsheets/d/11923uPwbBZFjjGgGUA6NLw09EwE0CqkOc4q9oUmW1yo/edit?usp=sharing"",""ลำพูน!M454"")"),0)</f>
        <v>0</v>
      </c>
      <c r="O559" s="168"/>
      <c r="P559" s="168"/>
    </row>
    <row r="560" spans="1:16" ht="21.75" customHeight="1" x14ac:dyDescent="0.3">
      <c r="A560" s="175"/>
      <c r="B560" s="176"/>
      <c r="C560" s="176"/>
      <c r="D560" s="193"/>
      <c r="E560" s="195"/>
      <c r="F560" s="277" t="s">
        <v>206</v>
      </c>
      <c r="G560" s="196"/>
      <c r="H560" s="473" t="s">
        <v>122</v>
      </c>
      <c r="I560" s="162">
        <f ca="1">IFERROR(__xludf.DUMMYFUNCTION("IMPORTRANGE(""https://docs.google.com/spreadsheets/d/11923uPwbBZFjjGgGUA6NLw09EwE0CqkOc4q9oUmW1yo/edit?usp=sharing"",""ลำพูน!I455"")"),0)</f>
        <v>0</v>
      </c>
      <c r="J560" s="162">
        <f ca="1">IFERROR(__xludf.DUMMYFUNCTION("IMPORTRANGE(""https://docs.google.com/spreadsheets/d/11923uPwbBZFjjGgGUA6NLw09EwE0CqkOc4q9oUmW1yo/edit?usp=sharing"",""ลำพูน!J455"")"),0)</f>
        <v>0</v>
      </c>
      <c r="K560" s="223">
        <f t="shared" ref="K560:K564" ca="1" si="121">IF(I560&gt;0,J560*100/I560,0)</f>
        <v>0</v>
      </c>
      <c r="L560" s="168"/>
      <c r="M560" s="168"/>
      <c r="N560" s="168"/>
      <c r="O560" s="181"/>
      <c r="P560" s="181"/>
    </row>
    <row r="561" spans="1:16" ht="21.75" customHeight="1" x14ac:dyDescent="0.3">
      <c r="A561" s="175"/>
      <c r="B561" s="176"/>
      <c r="C561" s="176"/>
      <c r="D561" s="193"/>
      <c r="E561" s="195"/>
      <c r="F561" s="195"/>
      <c r="G561" s="196"/>
      <c r="H561" s="473" t="s">
        <v>36</v>
      </c>
      <c r="I561" s="162">
        <f ca="1">IFERROR(__xludf.DUMMYFUNCTION("IMPORTRANGE(""https://docs.google.com/spreadsheets/d/11923uPwbBZFjjGgGUA6NLw09EwE0CqkOc4q9oUmW1yo/edit?usp=sharing"",""ลำพูน!I456"")"),0)</f>
        <v>0</v>
      </c>
      <c r="J561" s="203">
        <f ca="1">IFERROR(__xludf.DUMMYFUNCTION("IMPORTRANGE(""https://docs.google.com/spreadsheets/d/11923uPwbBZFjjGgGUA6NLw09EwE0CqkOc4q9oUmW1yo/edit?usp=sharing"",""ลำพูน!J456"")"),0)</f>
        <v>0</v>
      </c>
      <c r="K561" s="223">
        <f t="shared" ca="1" si="121"/>
        <v>0</v>
      </c>
      <c r="L561" s="168"/>
      <c r="M561" s="168"/>
      <c r="N561" s="168"/>
      <c r="O561" s="181"/>
      <c r="P561" s="181"/>
    </row>
    <row r="562" spans="1:16" ht="21.75" customHeight="1" x14ac:dyDescent="0.3">
      <c r="A562" s="175"/>
      <c r="B562" s="176"/>
      <c r="C562" s="176"/>
      <c r="D562" s="193"/>
      <c r="E562" s="195"/>
      <c r="F562" s="195" t="s">
        <v>207</v>
      </c>
      <c r="G562" s="196"/>
      <c r="H562" s="473" t="s">
        <v>122</v>
      </c>
      <c r="I562" s="162">
        <v>0</v>
      </c>
      <c r="J562" s="203" t="str">
        <f ca="1">IFERROR(__xludf.DUMMYFUNCTION("IMPORTRANGE(""https://docs.google.com/spreadsheets/d/11923uPwbBZFjjGgGUA6NLw09EwE0CqkOc4q9oUmW1yo/edit?usp=sharing"",""ลำพูน!J457"")"),"")</f>
        <v/>
      </c>
      <c r="K562" s="163">
        <f t="shared" si="121"/>
        <v>0</v>
      </c>
      <c r="L562" s="181"/>
      <c r="M562" s="181"/>
      <c r="N562" s="181"/>
      <c r="O562" s="181"/>
      <c r="P562" s="181"/>
    </row>
    <row r="563" spans="1:16" ht="21.75" customHeight="1" x14ac:dyDescent="0.3">
      <c r="A563" s="175"/>
      <c r="B563" s="176"/>
      <c r="C563" s="176"/>
      <c r="D563" s="193"/>
      <c r="E563" s="195"/>
      <c r="F563" s="195"/>
      <c r="G563" s="196"/>
      <c r="H563" s="473" t="s">
        <v>36</v>
      </c>
      <c r="I563" s="162">
        <v>0</v>
      </c>
      <c r="J563" s="187" t="str">
        <f ca="1">IFERROR(__xludf.DUMMYFUNCTION("IMPORTRANGE(""https://docs.google.com/spreadsheets/d/11923uPwbBZFjjGgGUA6NLw09EwE0CqkOc4q9oUmW1yo/edit?usp=sharing"",""ลำพูน!J458"")"),"")</f>
        <v/>
      </c>
      <c r="K563" s="163">
        <f t="shared" si="121"/>
        <v>0</v>
      </c>
      <c r="L563" s="181"/>
      <c r="M563" s="181"/>
      <c r="N563" s="181"/>
      <c r="O563" s="181"/>
      <c r="P563" s="181"/>
    </row>
    <row r="564" spans="1:16" ht="21.75" customHeight="1" x14ac:dyDescent="0.3">
      <c r="A564" s="364"/>
      <c r="B564" s="365">
        <v>8</v>
      </c>
      <c r="C564" s="366" t="s">
        <v>208</v>
      </c>
      <c r="D564" s="366"/>
      <c r="E564" s="366"/>
      <c r="F564" s="366"/>
      <c r="G564" s="367"/>
      <c r="H564" s="368" t="s">
        <v>37</v>
      </c>
      <c r="I564" s="369">
        <f ca="1">IFERROR(__xludf.DUMMYFUNCTION("IMPORTRANGE(""https://docs.google.com/spreadsheets/d/11923uPwbBZFjjGgGUA6NLw09EwE0CqkOc4q9oUmW1yo/edit?usp=sharing"",""ลำพูน!I459"")"),650)</f>
        <v>650</v>
      </c>
      <c r="J564" s="369">
        <f ca="1">IFERROR(__xludf.DUMMYFUNCTION("IMPORTRANGE(""https://docs.google.com/spreadsheets/d/11923uPwbBZFjjGgGUA6NLw09EwE0CqkOc4q9oUmW1yo/edit?usp=sharing"",""ลำพูน!J459"")"),489)</f>
        <v>489</v>
      </c>
      <c r="K564" s="370">
        <f t="shared" ca="1" si="121"/>
        <v>75.230769230769226</v>
      </c>
      <c r="L564" s="371">
        <f ca="1">IFERROR(__xludf.DUMMYFUNCTION("IMPORTRANGE(""https://docs.google.com/spreadsheets/d/11923uPwbBZFjjGgGUA6NLw09EwE0CqkOc4q9oUmW1yo/edit?usp=sharing"",""ลำพูน!L459"")"),126880)</f>
        <v>126880</v>
      </c>
      <c r="M564" s="371"/>
      <c r="N564" s="371">
        <f ca="1">IFERROR(__xludf.DUMMYFUNCTION("IMPORTRANGE(""https://docs.google.com/spreadsheets/d/11923uPwbBZFjjGgGUA6NLw09EwE0CqkOc4q9oUmW1yo/edit?usp=sharing"",""ลำพูน!M459"")"),48305)</f>
        <v>48305</v>
      </c>
      <c r="O564" s="371">
        <f t="shared" ref="O564:O568" ca="1" si="122">+IF(L564&gt;0,N564*100/L564,0)</f>
        <v>38.071406052963432</v>
      </c>
      <c r="P564" s="371"/>
    </row>
    <row r="565" spans="1:16" ht="21.75" customHeight="1" x14ac:dyDescent="0.3">
      <c r="A565" s="156"/>
      <c r="B565" s="157"/>
      <c r="C565" s="157" t="s">
        <v>16</v>
      </c>
      <c r="D565" s="158" t="s">
        <v>38</v>
      </c>
      <c r="E565" s="159"/>
      <c r="F565" s="159"/>
      <c r="G565" s="160" t="s">
        <v>39</v>
      </c>
      <c r="H565" s="161" t="s">
        <v>12</v>
      </c>
      <c r="I565" s="162" t="s">
        <v>40</v>
      </c>
      <c r="J565" s="162"/>
      <c r="K565" s="163"/>
      <c r="L565" s="164">
        <f ca="1">IFERROR(__xludf.DUMMYFUNCTION("IMPORTRANGE(""https://docs.google.com/spreadsheets/d/11923uPwbBZFjjGgGUA6NLw09EwE0CqkOc4q9oUmW1yo/edit?usp=sharing"",""ลำพูน!L460"")"),0)</f>
        <v>0</v>
      </c>
      <c r="M565" s="164"/>
      <c r="N565" s="168">
        <f ca="1">IFERROR(__xludf.DUMMYFUNCTION("IMPORTRANGE(""https://docs.google.com/spreadsheets/d/11923uPwbBZFjjGgGUA6NLw09EwE0CqkOc4q9oUmW1yo/edit?usp=sharing"",""ลำพูน!M460"")"),0)</f>
        <v>0</v>
      </c>
      <c r="O565" s="168">
        <f t="shared" ca="1" si="122"/>
        <v>0</v>
      </c>
      <c r="P565" s="168"/>
    </row>
    <row r="566" spans="1:16" ht="21.75" customHeight="1" x14ac:dyDescent="0.3">
      <c r="A566" s="156"/>
      <c r="B566" s="157"/>
      <c r="C566" s="157"/>
      <c r="D566" s="166"/>
      <c r="E566" s="159"/>
      <c r="F566" s="159" t="s">
        <v>40</v>
      </c>
      <c r="G566" s="160" t="s">
        <v>41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IFERROR(__xludf.DUMMYFUNCTION("IMPORTRANGE(""https://docs.google.com/spreadsheets/d/11923uPwbBZFjjGgGUA6NLw09EwE0CqkOc4q9oUmW1yo/edit?usp=sharing"",""ลำพูน!L461"")"),126880)</f>
        <v>126880</v>
      </c>
      <c r="M566" s="165"/>
      <c r="N566" s="168">
        <f ca="1">IFERROR(__xludf.DUMMYFUNCTION("IMPORTRANGE(""https://docs.google.com/spreadsheets/d/11923uPwbBZFjjGgGUA6NLw09EwE0CqkOc4q9oUmW1yo/edit?usp=sharing"",""ลำพูน!M461"")"),48305)</f>
        <v>48305</v>
      </c>
      <c r="O566" s="168">
        <f t="shared" ca="1" si="122"/>
        <v>38.071406052963432</v>
      </c>
      <c r="P566" s="168"/>
    </row>
    <row r="567" spans="1:16" ht="21.75" customHeight="1" x14ac:dyDescent="0.3">
      <c r="A567" s="156"/>
      <c r="B567" s="157"/>
      <c r="C567" s="157"/>
      <c r="D567" s="166"/>
      <c r="E567" s="159"/>
      <c r="F567" s="159"/>
      <c r="G567" s="372" t="s">
        <v>129</v>
      </c>
      <c r="H567" s="161" t="s">
        <v>12</v>
      </c>
      <c r="I567" s="162"/>
      <c r="J567" s="162"/>
      <c r="K567" s="163"/>
      <c r="L567" s="168">
        <f ca="1">IFERROR(__xludf.DUMMYFUNCTION("IMPORTRANGE(""https://docs.google.com/spreadsheets/d/11923uPwbBZFjjGgGUA6NLw09EwE0CqkOc4q9oUmW1yo/edit?usp=sharing"",""ลำพูน!L462"")"),0)</f>
        <v>0</v>
      </c>
      <c r="M567" s="168"/>
      <c r="N567" s="168">
        <f ca="1">IFERROR(__xludf.DUMMYFUNCTION("IMPORTRANGE(""https://docs.google.com/spreadsheets/d/11923uPwbBZFjjGgGUA6NLw09EwE0CqkOc4q9oUmW1yo/edit?usp=sharing"",""ลำพูน!M462"")"),0)</f>
        <v>0</v>
      </c>
      <c r="O567" s="168">
        <f t="shared" ca="1" si="122"/>
        <v>0</v>
      </c>
      <c r="P567" s="168"/>
    </row>
    <row r="568" spans="1:16" ht="21.75" customHeight="1" x14ac:dyDescent="0.3">
      <c r="A568" s="156"/>
      <c r="B568" s="157"/>
      <c r="C568" s="157"/>
      <c r="D568" s="166"/>
      <c r="E568" s="159"/>
      <c r="F568" s="159"/>
      <c r="G568" s="372" t="s">
        <v>130</v>
      </c>
      <c r="H568" s="161" t="s">
        <v>12</v>
      </c>
      <c r="I568" s="162"/>
      <c r="J568" s="162"/>
      <c r="K568" s="163"/>
      <c r="L568" s="168">
        <f ca="1">IFERROR(__xludf.DUMMYFUNCTION("IMPORTRANGE(""https://docs.google.com/spreadsheets/d/11923uPwbBZFjjGgGUA6NLw09EwE0CqkOc4q9oUmW1yo/edit?usp=sharing"",""ลำพูน!L463"")"),126880)</f>
        <v>126880</v>
      </c>
      <c r="M568" s="168"/>
      <c r="N568" s="168">
        <f ca="1">IFERROR(__xludf.DUMMYFUNCTION("IMPORTRANGE(""https://docs.google.com/spreadsheets/d/11923uPwbBZFjjGgGUA6NLw09EwE0CqkOc4q9oUmW1yo/edit?usp=sharing"",""ลำพูน!M463"")"),48305)</f>
        <v>48305</v>
      </c>
      <c r="O568" s="168">
        <f t="shared" ca="1" si="122"/>
        <v>38.071406052963432</v>
      </c>
      <c r="P568" s="168"/>
    </row>
    <row r="569" spans="1:16" ht="21.75" customHeight="1" x14ac:dyDescent="0.3">
      <c r="A569" s="373"/>
      <c r="B569" s="374"/>
      <c r="C569" s="157"/>
      <c r="D569" s="375"/>
      <c r="E569" s="159"/>
      <c r="F569" s="159"/>
      <c r="G569" s="376" t="s">
        <v>131</v>
      </c>
      <c r="H569" s="161" t="s">
        <v>12</v>
      </c>
      <c r="I569" s="187"/>
      <c r="J569" s="187"/>
      <c r="K569" s="223"/>
      <c r="L569" s="168"/>
      <c r="M569" s="168"/>
      <c r="N569" s="167">
        <f ca="1">IFERROR(__xludf.DUMMYFUNCTION("IMPORTRANGE(""https://docs.google.com/spreadsheets/d/11923uPwbBZFjjGgGUA6NLw09EwE0CqkOc4q9oUmW1yo/edit?usp=sharing"",""ลำพูน!M464"")"),0)</f>
        <v>0</v>
      </c>
      <c r="O569" s="168"/>
      <c r="P569" s="168"/>
    </row>
    <row r="570" spans="1:16" ht="21.75" customHeight="1" x14ac:dyDescent="0.3">
      <c r="A570" s="373"/>
      <c r="B570" s="374"/>
      <c r="C570" s="157"/>
      <c r="D570" s="375"/>
      <c r="E570" s="159"/>
      <c r="F570" s="159"/>
      <c r="G570" s="376" t="s">
        <v>132</v>
      </c>
      <c r="H570" s="161" t="s">
        <v>12</v>
      </c>
      <c r="I570" s="187"/>
      <c r="J570" s="187"/>
      <c r="K570" s="223"/>
      <c r="L570" s="168"/>
      <c r="M570" s="168"/>
      <c r="N570" s="167">
        <f ca="1">IFERROR(__xludf.DUMMYFUNCTION("IMPORTRANGE(""https://docs.google.com/spreadsheets/d/11923uPwbBZFjjGgGUA6NLw09EwE0CqkOc4q9oUmW1yo/edit?usp=sharing"",""ลำพูน!M465"")"),0)</f>
        <v>0</v>
      </c>
      <c r="O570" s="168"/>
      <c r="P570" s="168"/>
    </row>
    <row r="571" spans="1:16" ht="21.75" customHeight="1" x14ac:dyDescent="0.3">
      <c r="A571" s="373"/>
      <c r="B571" s="374"/>
      <c r="C571" s="157"/>
      <c r="D571" s="375"/>
      <c r="E571" s="159"/>
      <c r="F571" s="159"/>
      <c r="G571" s="376" t="s">
        <v>133</v>
      </c>
      <c r="H571" s="161" t="s">
        <v>12</v>
      </c>
      <c r="I571" s="187"/>
      <c r="J571" s="187"/>
      <c r="K571" s="223"/>
      <c r="L571" s="168"/>
      <c r="M571" s="168"/>
      <c r="N571" s="377">
        <f ca="1">IFERROR(__xludf.DUMMYFUNCTION("IMPORTRANGE(""https://docs.google.com/spreadsheets/d/11923uPwbBZFjjGgGUA6NLw09EwE0CqkOc4q9oUmW1yo/edit?usp=sharing"",""ลำพูน!M466"")"),42935)</f>
        <v>42935</v>
      </c>
      <c r="O571" s="168"/>
      <c r="P571" s="168"/>
    </row>
    <row r="572" spans="1:16" ht="21.75" customHeight="1" x14ac:dyDescent="0.3">
      <c r="A572" s="373"/>
      <c r="B572" s="374"/>
      <c r="C572" s="157"/>
      <c r="D572" s="375"/>
      <c r="E572" s="159"/>
      <c r="F572" s="159"/>
      <c r="G572" s="376" t="s">
        <v>134</v>
      </c>
      <c r="H572" s="161" t="s">
        <v>12</v>
      </c>
      <c r="I572" s="187"/>
      <c r="J572" s="187"/>
      <c r="K572" s="223"/>
      <c r="L572" s="168"/>
      <c r="M572" s="168"/>
      <c r="N572" s="377">
        <f ca="1">IFERROR(__xludf.DUMMYFUNCTION("IMPORTRANGE(""https://docs.google.com/spreadsheets/d/11923uPwbBZFjjGgGUA6NLw09EwE0CqkOc4q9oUmW1yo/edit?usp=sharing"",""ลำพูน!M467"")"),5370)</f>
        <v>5370</v>
      </c>
      <c r="O572" s="168"/>
      <c r="P572" s="168"/>
    </row>
    <row r="573" spans="1:16" ht="21.75" customHeight="1" x14ac:dyDescent="0.3">
      <c r="A573" s="175"/>
      <c r="B573" s="176"/>
      <c r="C573" s="176"/>
      <c r="D573" s="195"/>
      <c r="E573" s="194" t="s">
        <v>40</v>
      </c>
      <c r="F573" s="412" t="s">
        <v>209</v>
      </c>
      <c r="G573" s="386"/>
      <c r="H573" s="474" t="s">
        <v>37</v>
      </c>
      <c r="I573" s="418">
        <f ca="1">IFERROR(__xludf.DUMMYFUNCTION("IMPORTRANGE(""https://docs.google.com/spreadsheets/d/11923uPwbBZFjjGgGUA6NLw09EwE0CqkOc4q9oUmW1yo/edit?usp=sharing"",""ลำพูน!I468"")"),650)</f>
        <v>650</v>
      </c>
      <c r="J573" s="418">
        <f ca="1">IFERROR(__xludf.DUMMYFUNCTION("IMPORTRANGE(""https://docs.google.com/spreadsheets/d/11923uPwbBZFjjGgGUA6NLw09EwE0CqkOc4q9oUmW1yo/edit?usp=sharing"",""ลำพูน!J468"")"),489)</f>
        <v>489</v>
      </c>
      <c r="K573" s="201">
        <f ca="1">IF(I573&gt;0,J573*100/I573,0)</f>
        <v>75.230769230769226</v>
      </c>
      <c r="L573" s="181"/>
      <c r="M573" s="181"/>
      <c r="N573" s="181"/>
      <c r="O573" s="181"/>
      <c r="P573" s="181"/>
    </row>
    <row r="574" spans="1:16" ht="21.75" customHeight="1" x14ac:dyDescent="0.3">
      <c r="A574" s="175"/>
      <c r="B574" s="176"/>
      <c r="C574" s="176"/>
      <c r="D574" s="195"/>
      <c r="E574" s="195"/>
      <c r="F574" s="194" t="s">
        <v>210</v>
      </c>
      <c r="G574" s="196"/>
      <c r="H574" s="473"/>
      <c r="I574" s="162"/>
      <c r="J574" s="162"/>
      <c r="K574" s="163"/>
      <c r="L574" s="181"/>
      <c r="M574" s="181"/>
      <c r="N574" s="181"/>
      <c r="O574" s="181"/>
      <c r="P574" s="181"/>
    </row>
    <row r="575" spans="1:16" ht="21.75" customHeight="1" x14ac:dyDescent="0.3">
      <c r="A575" s="175"/>
      <c r="B575" s="176"/>
      <c r="C575" s="176"/>
      <c r="D575" s="195"/>
      <c r="E575" s="194" t="s">
        <v>40</v>
      </c>
      <c r="F575" s="194" t="s">
        <v>211</v>
      </c>
      <c r="G575" s="196"/>
      <c r="H575" s="473" t="s">
        <v>77</v>
      </c>
      <c r="I575" s="202">
        <f ca="1">IFERROR(__xludf.DUMMYFUNCTION("IMPORTRANGE(""https://docs.google.com/spreadsheets/d/11923uPwbBZFjjGgGUA6NLw09EwE0CqkOc4q9oUmW1yo/edit?usp=sharing"",""ลำพูน!I470"")"),0)</f>
        <v>0</v>
      </c>
      <c r="J575" s="197">
        <f ca="1">IFERROR(__xludf.DUMMYFUNCTION("IMPORTRANGE(""https://docs.google.com/spreadsheets/d/11923uPwbBZFjjGgGUA6NLw09EwE0CqkOc4q9oUmW1yo/edit?usp=sharing"",""ลำพูน!J470"")"),0)</f>
        <v>0</v>
      </c>
      <c r="K575" s="163">
        <f t="shared" ref="K575:K579" ca="1" si="123">IF(I575&gt;0,J575*100/I575,0)</f>
        <v>0</v>
      </c>
      <c r="L575" s="181"/>
      <c r="M575" s="181"/>
      <c r="N575" s="181"/>
      <c r="O575" s="181"/>
      <c r="P575" s="181"/>
    </row>
    <row r="576" spans="1:16" ht="21.75" customHeight="1" x14ac:dyDescent="0.3">
      <c r="A576" s="175"/>
      <c r="B576" s="176"/>
      <c r="C576" s="176"/>
      <c r="D576" s="195"/>
      <c r="E576" s="195"/>
      <c r="F576" s="194" t="s">
        <v>212</v>
      </c>
      <c r="G576" s="196"/>
      <c r="H576" s="473" t="s">
        <v>37</v>
      </c>
      <c r="I576" s="202">
        <f ca="1">IFERROR(__xludf.DUMMYFUNCTION("IMPORTRANGE(""https://docs.google.com/spreadsheets/d/11923uPwbBZFjjGgGUA6NLw09EwE0CqkOc4q9oUmW1yo/edit?usp=sharing"",""ลำพูน!I471"")"),0)</f>
        <v>0</v>
      </c>
      <c r="J576" s="197">
        <f ca="1">IFERROR(__xludf.DUMMYFUNCTION("IMPORTRANGE(""https://docs.google.com/spreadsheets/d/11923uPwbBZFjjGgGUA6NLw09EwE0CqkOc4q9oUmW1yo/edit?usp=sharing"",""ลำพูน!J471"")"),0)</f>
        <v>0</v>
      </c>
      <c r="K576" s="163">
        <f t="shared" ca="1" si="123"/>
        <v>0</v>
      </c>
      <c r="L576" s="181"/>
      <c r="M576" s="181"/>
      <c r="N576" s="181"/>
      <c r="O576" s="181"/>
      <c r="P576" s="181"/>
    </row>
    <row r="577" spans="1:16" ht="21.75" customHeight="1" x14ac:dyDescent="0.3">
      <c r="A577" s="175"/>
      <c r="B577" s="176"/>
      <c r="C577" s="176"/>
      <c r="D577" s="195"/>
      <c r="E577" s="195"/>
      <c r="F577" s="194" t="s">
        <v>213</v>
      </c>
      <c r="G577" s="196"/>
      <c r="H577" s="473" t="s">
        <v>37</v>
      </c>
      <c r="I577" s="202">
        <f ca="1">IFERROR(__xludf.DUMMYFUNCTION("IMPORTRANGE(""https://docs.google.com/spreadsheets/d/11923uPwbBZFjjGgGUA6NLw09EwE0CqkOc4q9oUmW1yo/edit?usp=sharing"",""ลำพูน!I472"")"),0)</f>
        <v>0</v>
      </c>
      <c r="J577" s="188">
        <f ca="1">IFERROR(__xludf.DUMMYFUNCTION("IMPORTRANGE(""https://docs.google.com/spreadsheets/d/11923uPwbBZFjjGgGUA6NLw09EwE0CqkOc4q9oUmW1yo/edit?usp=sharing"",""ลำพูน!J472"")"),489)</f>
        <v>489</v>
      </c>
      <c r="K577" s="163">
        <f t="shared" ca="1" si="123"/>
        <v>0</v>
      </c>
      <c r="L577" s="181"/>
      <c r="M577" s="181"/>
      <c r="N577" s="181"/>
      <c r="O577" s="181"/>
      <c r="P577" s="181"/>
    </row>
    <row r="578" spans="1:16" ht="21.75" customHeight="1" x14ac:dyDescent="0.3">
      <c r="A578" s="175"/>
      <c r="B578" s="176"/>
      <c r="C578" s="176"/>
      <c r="D578" s="195"/>
      <c r="E578" s="195"/>
      <c r="F578" s="194" t="s">
        <v>214</v>
      </c>
      <c r="G578" s="419"/>
      <c r="H578" s="473" t="s">
        <v>37</v>
      </c>
      <c r="I578" s="202">
        <f ca="1">IFERROR(__xludf.DUMMYFUNCTION("IMPORTRANGE(""https://docs.google.com/spreadsheets/d/11923uPwbBZFjjGgGUA6NLw09EwE0CqkOc4q9oUmW1yo/edit?usp=sharing"",""ลำพูน!I473"")"),0)</f>
        <v>0</v>
      </c>
      <c r="J578" s="197">
        <f ca="1">IFERROR(__xludf.DUMMYFUNCTION("IMPORTRANGE(""https://docs.google.com/spreadsheets/d/11923uPwbBZFjjGgGUA6NLw09EwE0CqkOc4q9oUmW1yo/edit?usp=sharing"",""ลำพูน!J473"")"),0)</f>
        <v>0</v>
      </c>
      <c r="K578" s="163">
        <f t="shared" ca="1" si="123"/>
        <v>0</v>
      </c>
      <c r="L578" s="181"/>
      <c r="M578" s="181"/>
      <c r="N578" s="181"/>
      <c r="O578" s="181"/>
      <c r="P578" s="181"/>
    </row>
    <row r="579" spans="1:16" ht="21.75" customHeight="1" x14ac:dyDescent="0.3">
      <c r="A579" s="175"/>
      <c r="B579" s="176"/>
      <c r="C579" s="176"/>
      <c r="D579" s="195"/>
      <c r="E579" s="195"/>
      <c r="F579" s="194" t="s">
        <v>215</v>
      </c>
      <c r="G579" s="419"/>
      <c r="H579" s="473" t="s">
        <v>37</v>
      </c>
      <c r="I579" s="202">
        <f ca="1">IFERROR(__xludf.DUMMYFUNCTION("IMPORTRANGE(""https://docs.google.com/spreadsheets/d/11923uPwbBZFjjGgGUA6NLw09EwE0CqkOc4q9oUmW1yo/edit?usp=sharing"",""ลำพูน!I474"")"),0)</f>
        <v>0</v>
      </c>
      <c r="J579" s="197">
        <f ca="1">IFERROR(__xludf.DUMMYFUNCTION("IMPORTRANGE(""https://docs.google.com/spreadsheets/d/11923uPwbBZFjjGgGUA6NLw09EwE0CqkOc4q9oUmW1yo/edit?usp=sharing"",""ลำพูน!J474"")"),0)</f>
        <v>0</v>
      </c>
      <c r="K579" s="163">
        <f t="shared" ca="1" si="123"/>
        <v>0</v>
      </c>
      <c r="L579" s="181"/>
      <c r="M579" s="181"/>
      <c r="N579" s="181"/>
      <c r="O579" s="181"/>
      <c r="P579" s="181"/>
    </row>
    <row r="580" spans="1:16" ht="21.75" customHeight="1" x14ac:dyDescent="0.3">
      <c r="A580" s="364"/>
      <c r="B580" s="365">
        <v>9</v>
      </c>
      <c r="C580" s="475" t="s">
        <v>216</v>
      </c>
      <c r="D580" s="366"/>
      <c r="E580" s="366"/>
      <c r="F580" s="366"/>
      <c r="G580" s="367"/>
      <c r="H580" s="368" t="s">
        <v>37</v>
      </c>
      <c r="I580" s="369">
        <f ca="1">IFERROR(__xludf.DUMMYFUNCTION("IMPORTRANGE(""https://docs.google.com/spreadsheets/d/11923uPwbBZFjjGgGUA6NLw09EwE0CqkOc4q9oUmW1yo/edit?usp=sharing"",""ลำพูน!I475"")"),0)</f>
        <v>0</v>
      </c>
      <c r="J580" s="369">
        <f ca="1">IFERROR(__xludf.DUMMYFUNCTION("IMPORTRANGE(""https://docs.google.com/spreadsheets/d/11923uPwbBZFjjGgGUA6NLw09EwE0CqkOc4q9oUmW1yo/edit?usp=sharing"",""ลำพูน!J475"")"),0)</f>
        <v>0</v>
      </c>
      <c r="K580" s="370">
        <f ca="1">IF(I580&gt;0,J580*100/I580,0)</f>
        <v>0</v>
      </c>
      <c r="L580" s="371">
        <f ca="1">IFERROR(__xludf.DUMMYFUNCTION("IMPORTRANGE(""https://docs.google.com/spreadsheets/d/11923uPwbBZFjjGgGUA6NLw09EwE0CqkOc4q9oUmW1yo/edit?usp=sharing"",""ลำพูน!L475"")"),0)</f>
        <v>0</v>
      </c>
      <c r="M580" s="371"/>
      <c r="N580" s="371">
        <f ca="1">IFERROR(__xludf.DUMMYFUNCTION("IMPORTRANGE(""https://docs.google.com/spreadsheets/d/11923uPwbBZFjjGgGUA6NLw09EwE0CqkOc4q9oUmW1yo/edit?usp=sharing"",""ลำพูน!M475"")"),0)</f>
        <v>0</v>
      </c>
      <c r="O580" s="371">
        <f t="shared" ref="O580:O584" ca="1" si="124">+IF(L580&gt;0,N580*100/L580,0)</f>
        <v>0</v>
      </c>
      <c r="P580" s="371"/>
    </row>
    <row r="581" spans="1:16" ht="21.75" customHeight="1" x14ac:dyDescent="0.3">
      <c r="A581" s="156"/>
      <c r="B581" s="157"/>
      <c r="C581" s="157" t="s">
        <v>16</v>
      </c>
      <c r="D581" s="158" t="s">
        <v>38</v>
      </c>
      <c r="E581" s="159"/>
      <c r="F581" s="159"/>
      <c r="G581" s="160" t="s">
        <v>39</v>
      </c>
      <c r="H581" s="161" t="s">
        <v>12</v>
      </c>
      <c r="I581" s="162" t="s">
        <v>40</v>
      </c>
      <c r="J581" s="162"/>
      <c r="K581" s="163"/>
      <c r="L581" s="164">
        <f ca="1">IFERROR(__xludf.DUMMYFUNCTION("IMPORTRANGE(""https://docs.google.com/spreadsheets/d/11923uPwbBZFjjGgGUA6NLw09EwE0CqkOc4q9oUmW1yo/edit?usp=sharing"",""ลำพูน!L476"")"),0)</f>
        <v>0</v>
      </c>
      <c r="M581" s="164"/>
      <c r="N581" s="168">
        <f ca="1">IFERROR(__xludf.DUMMYFUNCTION("IMPORTRANGE(""https://docs.google.com/spreadsheets/d/11923uPwbBZFjjGgGUA6NLw09EwE0CqkOc4q9oUmW1yo/edit?usp=sharing"",""ลำพูน!M476"")"),0)</f>
        <v>0</v>
      </c>
      <c r="O581" s="168">
        <f t="shared" ca="1" si="124"/>
        <v>0</v>
      </c>
      <c r="P581" s="168"/>
    </row>
    <row r="582" spans="1:16" ht="21.75" customHeight="1" x14ac:dyDescent="0.3">
      <c r="A582" s="156"/>
      <c r="B582" s="157"/>
      <c r="C582" s="157"/>
      <c r="D582" s="166"/>
      <c r="E582" s="159"/>
      <c r="F582" s="159" t="s">
        <v>40</v>
      </c>
      <c r="G582" s="160" t="s">
        <v>41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IFERROR(__xludf.DUMMYFUNCTION("IMPORTRANGE(""https://docs.google.com/spreadsheets/d/11923uPwbBZFjjGgGUA6NLw09EwE0CqkOc4q9oUmW1yo/edit?usp=sharing"",""ลำพูน!L477"")"),0)</f>
        <v>0</v>
      </c>
      <c r="M582" s="165"/>
      <c r="N582" s="168">
        <f ca="1">IFERROR(__xludf.DUMMYFUNCTION("IMPORTRANGE(""https://docs.google.com/spreadsheets/d/11923uPwbBZFjjGgGUA6NLw09EwE0CqkOc4q9oUmW1yo/edit?usp=sharing"",""ลำพูน!M477"")"),0)</f>
        <v>0</v>
      </c>
      <c r="O582" s="168">
        <f t="shared" ca="1" si="124"/>
        <v>0</v>
      </c>
      <c r="P582" s="168"/>
    </row>
    <row r="583" spans="1:16" ht="21.75" customHeight="1" x14ac:dyDescent="0.3">
      <c r="A583" s="156"/>
      <c r="B583" s="157"/>
      <c r="C583" s="157"/>
      <c r="D583" s="166"/>
      <c r="E583" s="159"/>
      <c r="F583" s="159"/>
      <c r="G583" s="372" t="s">
        <v>129</v>
      </c>
      <c r="H583" s="161" t="s">
        <v>12</v>
      </c>
      <c r="I583" s="162"/>
      <c r="J583" s="162"/>
      <c r="K583" s="163"/>
      <c r="L583" s="168">
        <f ca="1">IFERROR(__xludf.DUMMYFUNCTION("IMPORTRANGE(""https://docs.google.com/spreadsheets/d/11923uPwbBZFjjGgGUA6NLw09EwE0CqkOc4q9oUmW1yo/edit?usp=sharing"",""ลำพูน!L478"")"),0)</f>
        <v>0</v>
      </c>
      <c r="M583" s="168"/>
      <c r="N583" s="168">
        <f ca="1">IFERROR(__xludf.DUMMYFUNCTION("IMPORTRANGE(""https://docs.google.com/spreadsheets/d/11923uPwbBZFjjGgGUA6NLw09EwE0CqkOc4q9oUmW1yo/edit?usp=sharing"",""ลำพูน!M478"")"),0)</f>
        <v>0</v>
      </c>
      <c r="O583" s="168">
        <f t="shared" ca="1" si="124"/>
        <v>0</v>
      </c>
      <c r="P583" s="168"/>
    </row>
    <row r="584" spans="1:16" ht="21.75" customHeight="1" x14ac:dyDescent="0.3">
      <c r="A584" s="156"/>
      <c r="B584" s="157"/>
      <c r="C584" s="157"/>
      <c r="D584" s="166"/>
      <c r="E584" s="159"/>
      <c r="F584" s="159"/>
      <c r="G584" s="372" t="s">
        <v>130</v>
      </c>
      <c r="H584" s="161" t="s">
        <v>12</v>
      </c>
      <c r="I584" s="162"/>
      <c r="J584" s="162"/>
      <c r="K584" s="163"/>
      <c r="L584" s="168">
        <f ca="1">IFERROR(__xludf.DUMMYFUNCTION("IMPORTRANGE(""https://docs.google.com/spreadsheets/d/11923uPwbBZFjjGgGUA6NLw09EwE0CqkOc4q9oUmW1yo/edit?usp=sharing"",""ลำพูน!L479"")"),0)</f>
        <v>0</v>
      </c>
      <c r="M584" s="168"/>
      <c r="N584" s="168">
        <f ca="1">IFERROR(__xludf.DUMMYFUNCTION("IMPORTRANGE(""https://docs.google.com/spreadsheets/d/11923uPwbBZFjjGgGUA6NLw09EwE0CqkOc4q9oUmW1yo/edit?usp=sharing"",""ลำพูน!M479"")"),0)</f>
        <v>0</v>
      </c>
      <c r="O584" s="168">
        <f t="shared" ca="1" si="124"/>
        <v>0</v>
      </c>
      <c r="P584" s="168"/>
    </row>
    <row r="585" spans="1:16" ht="21.75" customHeight="1" x14ac:dyDescent="0.3">
      <c r="A585" s="373"/>
      <c r="B585" s="374"/>
      <c r="C585" s="157"/>
      <c r="D585" s="375"/>
      <c r="E585" s="159"/>
      <c r="F585" s="159"/>
      <c r="G585" s="376" t="s">
        <v>131</v>
      </c>
      <c r="H585" s="161" t="s">
        <v>12</v>
      </c>
      <c r="I585" s="187"/>
      <c r="J585" s="187"/>
      <c r="K585" s="223"/>
      <c r="L585" s="168"/>
      <c r="M585" s="168"/>
      <c r="N585" s="167">
        <f ca="1">IFERROR(__xludf.DUMMYFUNCTION("IMPORTRANGE(""https://docs.google.com/spreadsheets/d/11923uPwbBZFjjGgGUA6NLw09EwE0CqkOc4q9oUmW1yo/edit?usp=sharing"",""ลำพูน!M480"")"),0)</f>
        <v>0</v>
      </c>
      <c r="O585" s="168"/>
      <c r="P585" s="168"/>
    </row>
    <row r="586" spans="1:16" ht="21.75" customHeight="1" x14ac:dyDescent="0.3">
      <c r="A586" s="373"/>
      <c r="B586" s="374"/>
      <c r="C586" s="157"/>
      <c r="D586" s="375"/>
      <c r="E586" s="159"/>
      <c r="F586" s="159"/>
      <c r="G586" s="376" t="s">
        <v>132</v>
      </c>
      <c r="H586" s="161" t="s">
        <v>12</v>
      </c>
      <c r="I586" s="187"/>
      <c r="J586" s="187"/>
      <c r="K586" s="223"/>
      <c r="L586" s="168"/>
      <c r="M586" s="168"/>
      <c r="N586" s="167">
        <f ca="1">IFERROR(__xludf.DUMMYFUNCTION("IMPORTRANGE(""https://docs.google.com/spreadsheets/d/11923uPwbBZFjjGgGUA6NLw09EwE0CqkOc4q9oUmW1yo/edit?usp=sharing"",""ลำพูน!M481"")"),0)</f>
        <v>0</v>
      </c>
      <c r="O586" s="168"/>
      <c r="P586" s="168"/>
    </row>
    <row r="587" spans="1:16" ht="21.75" customHeight="1" x14ac:dyDescent="0.3">
      <c r="A587" s="373"/>
      <c r="B587" s="374"/>
      <c r="C587" s="157"/>
      <c r="D587" s="375"/>
      <c r="E587" s="159"/>
      <c r="F587" s="159"/>
      <c r="G587" s="376" t="s">
        <v>133</v>
      </c>
      <c r="H587" s="161" t="s">
        <v>12</v>
      </c>
      <c r="I587" s="187"/>
      <c r="J587" s="187"/>
      <c r="K587" s="223"/>
      <c r="L587" s="168"/>
      <c r="M587" s="168"/>
      <c r="N587" s="167">
        <f ca="1">IFERROR(__xludf.DUMMYFUNCTION("IMPORTRANGE(""https://docs.google.com/spreadsheets/d/11923uPwbBZFjjGgGUA6NLw09EwE0CqkOc4q9oUmW1yo/edit?usp=sharing"",""ลำพูน!M482"")"),0)</f>
        <v>0</v>
      </c>
      <c r="O587" s="168"/>
      <c r="P587" s="168"/>
    </row>
    <row r="588" spans="1:16" ht="21.75" customHeight="1" x14ac:dyDescent="0.3">
      <c r="A588" s="373"/>
      <c r="B588" s="374"/>
      <c r="C588" s="157"/>
      <c r="D588" s="375"/>
      <c r="E588" s="159"/>
      <c r="F588" s="159"/>
      <c r="G588" s="376" t="s">
        <v>134</v>
      </c>
      <c r="H588" s="161" t="s">
        <v>12</v>
      </c>
      <c r="I588" s="187"/>
      <c r="J588" s="187"/>
      <c r="K588" s="223"/>
      <c r="L588" s="168"/>
      <c r="M588" s="168"/>
      <c r="N588" s="167">
        <f ca="1">IFERROR(__xludf.DUMMYFUNCTION("IMPORTRANGE(""https://docs.google.com/spreadsheets/d/11923uPwbBZFjjGgGUA6NLw09EwE0CqkOc4q9oUmW1yo/edit?usp=sharing"",""ลำพูน!M483"")"),0)</f>
        <v>0</v>
      </c>
      <c r="O588" s="168"/>
      <c r="P588" s="168"/>
    </row>
    <row r="589" spans="1:16" ht="21.75" customHeight="1" x14ac:dyDescent="0.3">
      <c r="A589" s="476"/>
      <c r="B589" s="166"/>
      <c r="C589" s="157"/>
      <c r="D589" s="289"/>
      <c r="E589" s="194" t="s">
        <v>217</v>
      </c>
      <c r="F589" s="195"/>
      <c r="G589" s="196"/>
      <c r="H589" s="180" t="s">
        <v>36</v>
      </c>
      <c r="I589" s="339">
        <f ca="1">IFERROR(__xludf.DUMMYFUNCTION("IMPORTRANGE(""https://docs.google.com/spreadsheets/d/11923uPwbBZFjjGgGUA6NLw09EwE0CqkOc4q9oUmW1yo/edit?usp=sharing"",""ลำพูน!I484"")"),0)</f>
        <v>0</v>
      </c>
      <c r="J589" s="187">
        <f ca="1">IFERROR(__xludf.DUMMYFUNCTION("IMPORTRANGE(""https://docs.google.com/spreadsheets/d/11923uPwbBZFjjGgGUA6NLw09EwE0CqkOc4q9oUmW1yo/edit?usp=sharing"",""ลำพูน!J484"")"),0)</f>
        <v>0</v>
      </c>
      <c r="K589" s="163">
        <f t="shared" ref="K589:K596" ca="1" si="125">IF(I589&gt;0,J589*100/I589,0)</f>
        <v>0</v>
      </c>
      <c r="L589" s="181"/>
      <c r="M589" s="181"/>
      <c r="N589" s="168"/>
      <c r="O589" s="181"/>
      <c r="P589" s="181"/>
    </row>
    <row r="590" spans="1:16" ht="21.75" customHeight="1" x14ac:dyDescent="0.3">
      <c r="A590" s="476"/>
      <c r="B590" s="166"/>
      <c r="C590" s="157"/>
      <c r="D590" s="289"/>
      <c r="E590" s="195"/>
      <c r="F590" s="195"/>
      <c r="G590" s="196"/>
      <c r="H590" s="180" t="s">
        <v>122</v>
      </c>
      <c r="I590" s="343">
        <f ca="1">IFERROR(__xludf.DUMMYFUNCTION("IMPORTRANGE(""https://docs.google.com/spreadsheets/d/11923uPwbBZFjjGgGUA6NLw09EwE0CqkOc4q9oUmW1yo/edit?usp=sharing"",""ลำพูน!I485"")"),0)</f>
        <v>0</v>
      </c>
      <c r="J590" s="187">
        <f ca="1">IFERROR(__xludf.DUMMYFUNCTION("IMPORTRANGE(""https://docs.google.com/spreadsheets/d/11923uPwbBZFjjGgGUA6NLw09EwE0CqkOc4q9oUmW1yo/edit?usp=sharing"",""ลำพูน!J485"")"),0)</f>
        <v>0</v>
      </c>
      <c r="K590" s="477">
        <f t="shared" ca="1" si="125"/>
        <v>0</v>
      </c>
      <c r="L590" s="181"/>
      <c r="M590" s="181"/>
      <c r="N590" s="168"/>
      <c r="O590" s="181"/>
      <c r="P590" s="181"/>
    </row>
    <row r="591" spans="1:16" ht="21.75" customHeight="1" x14ac:dyDescent="0.3">
      <c r="A591" s="476"/>
      <c r="B591" s="166"/>
      <c r="C591" s="157"/>
      <c r="D591" s="289"/>
      <c r="E591" s="194" t="s">
        <v>123</v>
      </c>
      <c r="F591" s="195"/>
      <c r="G591" s="196"/>
      <c r="H591" s="180" t="s">
        <v>37</v>
      </c>
      <c r="I591" s="339">
        <f ca="1">IFERROR(__xludf.DUMMYFUNCTION("IMPORTRANGE(""https://docs.google.com/spreadsheets/d/11923uPwbBZFjjGgGUA6NLw09EwE0CqkOc4q9oUmW1yo/edit?usp=sharing"",""ลำพูน!I486"")"),0)</f>
        <v>0</v>
      </c>
      <c r="J591" s="187">
        <f ca="1">IFERROR(__xludf.DUMMYFUNCTION("IMPORTRANGE(""https://docs.google.com/spreadsheets/d/11923uPwbBZFjjGgGUA6NLw09EwE0CqkOc4q9oUmW1yo/edit?usp=sharing"",""ลำพูน!J486"")"),0)</f>
        <v>0</v>
      </c>
      <c r="K591" s="163">
        <f t="shared" ca="1" si="125"/>
        <v>0</v>
      </c>
      <c r="L591" s="181"/>
      <c r="M591" s="181"/>
      <c r="N591" s="181"/>
      <c r="O591" s="181"/>
      <c r="P591" s="181"/>
    </row>
    <row r="592" spans="1:16" ht="21.75" customHeight="1" x14ac:dyDescent="0.3">
      <c r="A592" s="476"/>
      <c r="B592" s="166"/>
      <c r="C592" s="157"/>
      <c r="D592" s="289"/>
      <c r="E592" s="195"/>
      <c r="F592" s="195"/>
      <c r="G592" s="196"/>
      <c r="H592" s="180" t="s">
        <v>122</v>
      </c>
      <c r="I592" s="343">
        <f ca="1">IFERROR(__xludf.DUMMYFUNCTION("IMPORTRANGE(""https://docs.google.com/spreadsheets/d/11923uPwbBZFjjGgGUA6NLw09EwE0CqkOc4q9oUmW1yo/edit?usp=sharing"",""ลำพูน!I487"")"),0)</f>
        <v>0</v>
      </c>
      <c r="J592" s="187">
        <f ca="1">IFERROR(__xludf.DUMMYFUNCTION("IMPORTRANGE(""https://docs.google.com/spreadsheets/d/11923uPwbBZFjjGgGUA6NLw09EwE0CqkOc4q9oUmW1yo/edit?usp=sharing"",""ลำพูน!J487"")"),0)</f>
        <v>0</v>
      </c>
      <c r="K592" s="340">
        <f t="shared" ca="1" si="125"/>
        <v>0</v>
      </c>
      <c r="L592" s="181"/>
      <c r="M592" s="181"/>
      <c r="N592" s="181"/>
      <c r="O592" s="181"/>
      <c r="P592" s="181"/>
    </row>
    <row r="593" spans="1:16" ht="21.75" customHeight="1" x14ac:dyDescent="0.3">
      <c r="A593" s="476"/>
      <c r="B593" s="166"/>
      <c r="C593" s="157"/>
      <c r="D593" s="289"/>
      <c r="E593" s="194" t="s">
        <v>124</v>
      </c>
      <c r="F593" s="195"/>
      <c r="G593" s="196"/>
      <c r="H593" s="180" t="s">
        <v>37</v>
      </c>
      <c r="I593" s="339">
        <f ca="1">IFERROR(__xludf.DUMMYFUNCTION("IMPORTRANGE(""https://docs.google.com/spreadsheets/d/11923uPwbBZFjjGgGUA6NLw09EwE0CqkOc4q9oUmW1yo/edit?usp=sharing"",""ลำพูน!I488"")"),0)</f>
        <v>0</v>
      </c>
      <c r="J593" s="187">
        <f ca="1">IFERROR(__xludf.DUMMYFUNCTION("IMPORTRANGE(""https://docs.google.com/spreadsheets/d/11923uPwbBZFjjGgGUA6NLw09EwE0CqkOc4q9oUmW1yo/edit?usp=sharing"",""ลำพูน!J488"")"),0)</f>
        <v>0</v>
      </c>
      <c r="K593" s="163">
        <f t="shared" ca="1" si="125"/>
        <v>0</v>
      </c>
      <c r="L593" s="181"/>
      <c r="M593" s="181"/>
      <c r="N593" s="181"/>
      <c r="O593" s="181"/>
      <c r="P593" s="181"/>
    </row>
    <row r="594" spans="1:16" ht="21.75" customHeight="1" x14ac:dyDescent="0.3">
      <c r="A594" s="476"/>
      <c r="B594" s="166"/>
      <c r="C594" s="157"/>
      <c r="D594" s="289"/>
      <c r="E594" s="195"/>
      <c r="F594" s="195"/>
      <c r="G594" s="196"/>
      <c r="H594" s="180" t="s">
        <v>122</v>
      </c>
      <c r="I594" s="343">
        <f ca="1">IFERROR(__xludf.DUMMYFUNCTION("IMPORTRANGE(""https://docs.google.com/spreadsheets/d/11923uPwbBZFjjGgGUA6NLw09EwE0CqkOc4q9oUmW1yo/edit?usp=sharing"",""ลำพูน!I489"")"),0)</f>
        <v>0</v>
      </c>
      <c r="J594" s="187">
        <f ca="1">IFERROR(__xludf.DUMMYFUNCTION("IMPORTRANGE(""https://docs.google.com/spreadsheets/d/11923uPwbBZFjjGgGUA6NLw09EwE0CqkOc4q9oUmW1yo/edit?usp=sharing"",""ลำพูน!J489"")"),0)</f>
        <v>0</v>
      </c>
      <c r="K594" s="340">
        <f t="shared" ca="1" si="125"/>
        <v>0</v>
      </c>
      <c r="L594" s="181"/>
      <c r="M594" s="181"/>
      <c r="N594" s="181"/>
      <c r="O594" s="181"/>
      <c r="P594" s="181"/>
    </row>
    <row r="595" spans="1:16" ht="21.75" customHeight="1" x14ac:dyDescent="0.3">
      <c r="A595" s="476"/>
      <c r="B595" s="166"/>
      <c r="C595" s="157"/>
      <c r="D595" s="289"/>
      <c r="E595" s="194" t="s">
        <v>125</v>
      </c>
      <c r="F595" s="195"/>
      <c r="G595" s="196"/>
      <c r="H595" s="180" t="s">
        <v>37</v>
      </c>
      <c r="I595" s="339">
        <f ca="1">IFERROR(__xludf.DUMMYFUNCTION("IMPORTRANGE(""https://docs.google.com/spreadsheets/d/11923uPwbBZFjjGgGUA6NLw09EwE0CqkOc4q9oUmW1yo/edit?usp=sharing"",""ลำพูน!I490"")"),0)</f>
        <v>0</v>
      </c>
      <c r="J595" s="187">
        <f ca="1">IFERROR(__xludf.DUMMYFUNCTION("IMPORTRANGE(""https://docs.google.com/spreadsheets/d/11923uPwbBZFjjGgGUA6NLw09EwE0CqkOc4q9oUmW1yo/edit?usp=sharing"",""ลำพูน!J490"")"),0)</f>
        <v>0</v>
      </c>
      <c r="K595" s="163">
        <f t="shared" ca="1" si="125"/>
        <v>0</v>
      </c>
      <c r="L595" s="181"/>
      <c r="M595" s="181"/>
      <c r="N595" s="181"/>
      <c r="O595" s="181"/>
      <c r="P595" s="181"/>
    </row>
    <row r="596" spans="1:16" ht="21.75" customHeight="1" x14ac:dyDescent="0.3">
      <c r="A596" s="478"/>
      <c r="B596" s="479"/>
      <c r="C596" s="480"/>
      <c r="D596" s="481"/>
      <c r="E596" s="460"/>
      <c r="F596" s="460"/>
      <c r="G596" s="461"/>
      <c r="H596" s="482" t="s">
        <v>122</v>
      </c>
      <c r="I596" s="483">
        <f ca="1">IFERROR(__xludf.DUMMYFUNCTION("IMPORTRANGE(""https://docs.google.com/spreadsheets/d/11923uPwbBZFjjGgGUA6NLw09EwE0CqkOc4q9oUmW1yo/edit?usp=sharing"",""ลำพูน!I491"")"),0)</f>
        <v>0</v>
      </c>
      <c r="J596" s="240">
        <f ca="1">IFERROR(__xludf.DUMMYFUNCTION("IMPORTRANGE(""https://docs.google.com/spreadsheets/d/11923uPwbBZFjjGgGUA6NLw09EwE0CqkOc4q9oUmW1yo/edit?usp=sharing"",""ลำพูน!J491"")"),0)</f>
        <v>0</v>
      </c>
      <c r="K596" s="484">
        <f t="shared" ca="1" si="125"/>
        <v>0</v>
      </c>
      <c r="L596" s="466"/>
      <c r="M596" s="466"/>
      <c r="N596" s="466"/>
      <c r="O596" s="466"/>
      <c r="P596" s="466"/>
    </row>
    <row r="597" spans="1:16" ht="21.75" customHeight="1" x14ac:dyDescent="0.3">
      <c r="A597" s="403"/>
      <c r="B597" s="404">
        <v>10</v>
      </c>
      <c r="C597" s="405" t="s">
        <v>218</v>
      </c>
      <c r="D597" s="405"/>
      <c r="E597" s="405"/>
      <c r="F597" s="405"/>
      <c r="G597" s="406"/>
      <c r="H597" s="407" t="s">
        <v>122</v>
      </c>
      <c r="I597" s="408">
        <f ca="1">IFERROR(__xludf.DUMMYFUNCTION("IMPORTRANGE(""https://docs.google.com/spreadsheets/d/11923uPwbBZFjjGgGUA6NLw09EwE0CqkOc4q9oUmW1yo/edit?usp=sharing"",""ลำพูน!I492"")"),50)</f>
        <v>50</v>
      </c>
      <c r="J597" s="485">
        <f ca="1">IFERROR(__xludf.DUMMYFUNCTION("IMPORTRANGE(""https://docs.google.com/spreadsheets/d/11923uPwbBZFjjGgGUA6NLw09EwE0CqkOc4q9oUmW1yo/edit?usp=sharing"",""ลำพูน!J492"")"),0)</f>
        <v>0</v>
      </c>
      <c r="K597" s="409">
        <f ca="1">IF(I597&gt;0,J597*100/I597,0)</f>
        <v>0</v>
      </c>
      <c r="L597" s="410">
        <f ca="1">IFERROR(__xludf.DUMMYFUNCTION("IMPORTRANGE(""https://docs.google.com/spreadsheets/d/11923uPwbBZFjjGgGUA6NLw09EwE0CqkOc4q9oUmW1yo/edit?usp=sharing"",""ลำพูน!L492"")"),4550)</f>
        <v>4550</v>
      </c>
      <c r="M597" s="410"/>
      <c r="N597" s="410">
        <f ca="1">IFERROR(__xludf.DUMMYFUNCTION("IMPORTRANGE(""https://docs.google.com/spreadsheets/d/11923uPwbBZFjjGgGUA6NLw09EwE0CqkOc4q9oUmW1yo/edit?usp=sharing"",""ลำพูน!M492"")"),850)</f>
        <v>850</v>
      </c>
      <c r="O597" s="410">
        <f t="shared" ref="O597:O601" ca="1" si="126">+IF(L597&gt;0,N597*100/L597,0)</f>
        <v>18.681318681318682</v>
      </c>
      <c r="P597" s="410"/>
    </row>
    <row r="598" spans="1:16" ht="21.75" customHeight="1" x14ac:dyDescent="0.3">
      <c r="A598" s="156"/>
      <c r="B598" s="157"/>
      <c r="C598" s="157" t="s">
        <v>16</v>
      </c>
      <c r="D598" s="158" t="s">
        <v>38</v>
      </c>
      <c r="E598" s="159"/>
      <c r="F598" s="159"/>
      <c r="G598" s="160" t="s">
        <v>39</v>
      </c>
      <c r="H598" s="161" t="s">
        <v>12</v>
      </c>
      <c r="I598" s="162" t="s">
        <v>40</v>
      </c>
      <c r="J598" s="162"/>
      <c r="K598" s="163"/>
      <c r="L598" s="164">
        <f ca="1">IFERROR(__xludf.DUMMYFUNCTION("IMPORTRANGE(""https://docs.google.com/spreadsheets/d/11923uPwbBZFjjGgGUA6NLw09EwE0CqkOc4q9oUmW1yo/edit?usp=sharing"",""ลำพูน!L493"")"),0)</f>
        <v>0</v>
      </c>
      <c r="M598" s="164"/>
      <c r="N598" s="168">
        <f ca="1">IFERROR(__xludf.DUMMYFUNCTION("IMPORTRANGE(""https://docs.google.com/spreadsheets/d/11923uPwbBZFjjGgGUA6NLw09EwE0CqkOc4q9oUmW1yo/edit?usp=sharing"",""ลำพูน!M493"")"),0)</f>
        <v>0</v>
      </c>
      <c r="O598" s="168">
        <f t="shared" ca="1" si="126"/>
        <v>0</v>
      </c>
      <c r="P598" s="168"/>
    </row>
    <row r="599" spans="1:16" ht="21.75" customHeight="1" x14ac:dyDescent="0.3">
      <c r="A599" s="156"/>
      <c r="B599" s="157"/>
      <c r="C599" s="157"/>
      <c r="D599" s="166"/>
      <c r="E599" s="159"/>
      <c r="F599" s="159" t="s">
        <v>40</v>
      </c>
      <c r="G599" s="160" t="s">
        <v>41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IFERROR(__xludf.DUMMYFUNCTION("IMPORTRANGE(""https://docs.google.com/spreadsheets/d/11923uPwbBZFjjGgGUA6NLw09EwE0CqkOc4q9oUmW1yo/edit?usp=sharing"",""ลำพูน!L494"")"),4550)</f>
        <v>4550</v>
      </c>
      <c r="M599" s="165"/>
      <c r="N599" s="168">
        <f ca="1">IFERROR(__xludf.DUMMYFUNCTION("IMPORTRANGE(""https://docs.google.com/spreadsheets/d/11923uPwbBZFjjGgGUA6NLw09EwE0CqkOc4q9oUmW1yo/edit?usp=sharing"",""ลำพูน!M494"")"),850)</f>
        <v>850</v>
      </c>
      <c r="O599" s="168">
        <f t="shared" ca="1" si="126"/>
        <v>18.681318681318682</v>
      </c>
      <c r="P599" s="168"/>
    </row>
    <row r="600" spans="1:16" ht="21.75" customHeight="1" x14ac:dyDescent="0.3">
      <c r="A600" s="156"/>
      <c r="B600" s="157"/>
      <c r="C600" s="157"/>
      <c r="D600" s="166"/>
      <c r="E600" s="159"/>
      <c r="F600" s="159"/>
      <c r="G600" s="372" t="s">
        <v>129</v>
      </c>
      <c r="H600" s="161" t="s">
        <v>12</v>
      </c>
      <c r="I600" s="162"/>
      <c r="J600" s="162"/>
      <c r="K600" s="163"/>
      <c r="L600" s="168">
        <f ca="1">IFERROR(__xludf.DUMMYFUNCTION("IMPORTRANGE(""https://docs.google.com/spreadsheets/d/11923uPwbBZFjjGgGUA6NLw09EwE0CqkOc4q9oUmW1yo/edit?usp=sharing"",""ลำพูน!L495"")"),0)</f>
        <v>0</v>
      </c>
      <c r="M600" s="168"/>
      <c r="N600" s="168">
        <f ca="1">IFERROR(__xludf.DUMMYFUNCTION("IMPORTRANGE(""https://docs.google.com/spreadsheets/d/11923uPwbBZFjjGgGUA6NLw09EwE0CqkOc4q9oUmW1yo/edit?usp=sharing"",""ลำพูน!M495"")"),0)</f>
        <v>0</v>
      </c>
      <c r="O600" s="168">
        <f t="shared" ca="1" si="126"/>
        <v>0</v>
      </c>
      <c r="P600" s="168"/>
    </row>
    <row r="601" spans="1:16" ht="21.75" customHeight="1" x14ac:dyDescent="0.3">
      <c r="A601" s="156"/>
      <c r="B601" s="157"/>
      <c r="C601" s="157"/>
      <c r="D601" s="166"/>
      <c r="E601" s="159"/>
      <c r="F601" s="159"/>
      <c r="G601" s="372" t="s">
        <v>130</v>
      </c>
      <c r="H601" s="161" t="s">
        <v>12</v>
      </c>
      <c r="I601" s="162"/>
      <c r="J601" s="162"/>
      <c r="K601" s="163"/>
      <c r="L601" s="168">
        <f ca="1">IFERROR(__xludf.DUMMYFUNCTION("IMPORTRANGE(""https://docs.google.com/spreadsheets/d/11923uPwbBZFjjGgGUA6NLw09EwE0CqkOc4q9oUmW1yo/edit?usp=sharing"",""ลำพูน!L496"")"),4550)</f>
        <v>4550</v>
      </c>
      <c r="M601" s="168"/>
      <c r="N601" s="168">
        <f ca="1">IFERROR(__xludf.DUMMYFUNCTION("IMPORTRANGE(""https://docs.google.com/spreadsheets/d/11923uPwbBZFjjGgGUA6NLw09EwE0CqkOc4q9oUmW1yo/edit?usp=sharing"",""ลำพูน!M496"")"),850)</f>
        <v>850</v>
      </c>
      <c r="O601" s="168">
        <f t="shared" ca="1" si="126"/>
        <v>18.681318681318682</v>
      </c>
      <c r="P601" s="168"/>
    </row>
    <row r="602" spans="1:16" ht="21.75" customHeight="1" x14ac:dyDescent="0.3">
      <c r="A602" s="373"/>
      <c r="B602" s="374"/>
      <c r="C602" s="157"/>
      <c r="D602" s="375"/>
      <c r="E602" s="159"/>
      <c r="F602" s="159"/>
      <c r="G602" s="376" t="s">
        <v>131</v>
      </c>
      <c r="H602" s="161" t="s">
        <v>12</v>
      </c>
      <c r="I602" s="187"/>
      <c r="J602" s="187"/>
      <c r="K602" s="223"/>
      <c r="L602" s="168"/>
      <c r="M602" s="168"/>
      <c r="N602" s="167">
        <f ca="1">IFERROR(__xludf.DUMMYFUNCTION("IMPORTRANGE(""https://docs.google.com/spreadsheets/d/11923uPwbBZFjjGgGUA6NLw09EwE0CqkOc4q9oUmW1yo/edit?usp=sharing"",""ลำพูน!M497"")"),0)</f>
        <v>0</v>
      </c>
      <c r="O602" s="168"/>
      <c r="P602" s="168"/>
    </row>
    <row r="603" spans="1:16" ht="21.75" customHeight="1" x14ac:dyDescent="0.3">
      <c r="A603" s="373"/>
      <c r="B603" s="374"/>
      <c r="C603" s="157"/>
      <c r="D603" s="375"/>
      <c r="E603" s="159"/>
      <c r="F603" s="159"/>
      <c r="G603" s="376" t="s">
        <v>132</v>
      </c>
      <c r="H603" s="161" t="s">
        <v>12</v>
      </c>
      <c r="I603" s="187"/>
      <c r="J603" s="187"/>
      <c r="K603" s="223"/>
      <c r="L603" s="168"/>
      <c r="M603" s="168"/>
      <c r="N603" s="167">
        <f ca="1">IFERROR(__xludf.DUMMYFUNCTION("IMPORTRANGE(""https://docs.google.com/spreadsheets/d/11923uPwbBZFjjGgGUA6NLw09EwE0CqkOc4q9oUmW1yo/edit?usp=sharing"",""ลำพูน!M498"")"),0)</f>
        <v>0</v>
      </c>
      <c r="O603" s="168"/>
      <c r="P603" s="168"/>
    </row>
    <row r="604" spans="1:16" ht="21.75" customHeight="1" x14ac:dyDescent="0.3">
      <c r="A604" s="373"/>
      <c r="B604" s="374"/>
      <c r="C604" s="157"/>
      <c r="D604" s="375"/>
      <c r="E604" s="159"/>
      <c r="F604" s="159"/>
      <c r="G604" s="376" t="s">
        <v>133</v>
      </c>
      <c r="H604" s="161" t="s">
        <v>12</v>
      </c>
      <c r="I604" s="187"/>
      <c r="J604" s="187"/>
      <c r="K604" s="223"/>
      <c r="L604" s="168"/>
      <c r="M604" s="168"/>
      <c r="N604" s="377">
        <f ca="1">IFERROR(__xludf.DUMMYFUNCTION("IMPORTRANGE(""https://docs.google.com/spreadsheets/d/11923uPwbBZFjjGgGUA6NLw09EwE0CqkOc4q9oUmW1yo/edit?usp=sharing"",""ลำพูน!M499"")"),0)</f>
        <v>0</v>
      </c>
      <c r="O604" s="168"/>
      <c r="P604" s="168"/>
    </row>
    <row r="605" spans="1:16" ht="21.75" customHeight="1" x14ac:dyDescent="0.3">
      <c r="A605" s="373"/>
      <c r="B605" s="374"/>
      <c r="C605" s="157"/>
      <c r="D605" s="375"/>
      <c r="E605" s="159"/>
      <c r="F605" s="159"/>
      <c r="G605" s="376" t="s">
        <v>134</v>
      </c>
      <c r="H605" s="161" t="s">
        <v>12</v>
      </c>
      <c r="I605" s="187"/>
      <c r="J605" s="187"/>
      <c r="K605" s="223"/>
      <c r="L605" s="168"/>
      <c r="M605" s="168"/>
      <c r="N605" s="377">
        <f ca="1">IFERROR(__xludf.DUMMYFUNCTION("IMPORTRANGE(""https://docs.google.com/spreadsheets/d/11923uPwbBZFjjGgGUA6NLw09EwE0CqkOc4q9oUmW1yo/edit?usp=sharing"",""ลำพูน!M500"")"),850)</f>
        <v>850</v>
      </c>
      <c r="O605" s="168"/>
      <c r="P605" s="168"/>
    </row>
    <row r="606" spans="1:16" ht="21.75" customHeight="1" x14ac:dyDescent="0.3">
      <c r="A606" s="175"/>
      <c r="B606" s="176"/>
      <c r="C606" s="157" t="s">
        <v>16</v>
      </c>
      <c r="D606" s="177" t="s">
        <v>44</v>
      </c>
      <c r="E606" s="178"/>
      <c r="F606" s="178"/>
      <c r="G606" s="179"/>
      <c r="H606" s="180"/>
      <c r="I606" s="162"/>
      <c r="J606" s="162"/>
      <c r="K606" s="163"/>
      <c r="L606" s="181"/>
      <c r="M606" s="181"/>
      <c r="N606" s="181"/>
      <c r="O606" s="181"/>
      <c r="P606" s="181"/>
    </row>
    <row r="607" spans="1:16" ht="21.75" customHeight="1" x14ac:dyDescent="0.3">
      <c r="A607" s="175"/>
      <c r="B607" s="176"/>
      <c r="C607" s="176"/>
      <c r="D607" s="182">
        <v>1</v>
      </c>
      <c r="E607" s="183" t="s">
        <v>45</v>
      </c>
      <c r="F607" s="184"/>
      <c r="G607" s="185"/>
      <c r="H607" s="186"/>
      <c r="I607" s="187"/>
      <c r="J607" s="197">
        <f ca="1">IFERROR(__xludf.DUMMYFUNCTION("IMPORTRANGE(""https://docs.google.com/spreadsheets/d/11923uPwbBZFjjGgGUA6NLw09EwE0CqkOc4q9oUmW1yo/edit?usp=sharing"",""ลำพูน!J502"")"),0)</f>
        <v>0</v>
      </c>
      <c r="K607" s="163"/>
      <c r="L607" s="181"/>
      <c r="M607" s="181"/>
      <c r="N607" s="181"/>
      <c r="O607" s="181"/>
      <c r="P607" s="181"/>
    </row>
    <row r="608" spans="1:16" ht="21.75" customHeight="1" x14ac:dyDescent="0.3">
      <c r="A608" s="175"/>
      <c r="B608" s="176"/>
      <c r="C608" s="176"/>
      <c r="D608" s="189">
        <v>2</v>
      </c>
      <c r="E608" s="190" t="s">
        <v>46</v>
      </c>
      <c r="F608" s="191"/>
      <c r="G608" s="192"/>
      <c r="H608" s="186"/>
      <c r="I608" s="187"/>
      <c r="J608" s="197">
        <f ca="1">IFERROR(__xludf.DUMMYFUNCTION("IMPORTRANGE(""https://docs.google.com/spreadsheets/d/11923uPwbBZFjjGgGUA6NLw09EwE0CqkOc4q9oUmW1yo/edit?usp=sharing"",""ลำพูน!J503"")"),1)</f>
        <v>1</v>
      </c>
      <c r="K608" s="163"/>
      <c r="L608" s="181" t="s">
        <v>40</v>
      </c>
      <c r="M608" s="181"/>
      <c r="N608" s="181" t="s">
        <v>40</v>
      </c>
      <c r="O608" s="181"/>
      <c r="P608" s="181"/>
    </row>
    <row r="609" spans="1:16" ht="21.75" hidden="1" customHeight="1" x14ac:dyDescent="0.3">
      <c r="A609" s="373"/>
      <c r="B609" s="374"/>
      <c r="C609" s="374"/>
      <c r="D609" s="486"/>
      <c r="E609" s="487" t="s">
        <v>47</v>
      </c>
      <c r="F609" s="488"/>
      <c r="G609" s="379"/>
      <c r="H609" s="186"/>
      <c r="I609" s="187"/>
      <c r="J609" s="187">
        <f ca="1">IFERROR(__xludf.DUMMYFUNCTION("IMPORTRANGE(""https://docs.google.com/spreadsheets/d/11923uPwbBZFjjGgGUA6NLw09EwE0CqkOc4q9oUmW1yo/edit?usp=sharing"",""ลำพูน!J166"")"),0)</f>
        <v>0</v>
      </c>
      <c r="K609" s="223"/>
      <c r="L609" s="168"/>
      <c r="M609" s="168"/>
      <c r="N609" s="168"/>
      <c r="O609" s="168"/>
      <c r="P609" s="168"/>
    </row>
    <row r="610" spans="1:16" ht="21.75" hidden="1" customHeight="1" x14ac:dyDescent="0.3">
      <c r="A610" s="373"/>
      <c r="B610" s="374"/>
      <c r="C610" s="374"/>
      <c r="D610" s="486"/>
      <c r="E610" s="487" t="s">
        <v>48</v>
      </c>
      <c r="F610" s="488"/>
      <c r="G610" s="379"/>
      <c r="H610" s="186"/>
      <c r="I610" s="187"/>
      <c r="J610" s="187">
        <f ca="1">IFERROR(__xludf.DUMMYFUNCTION("IMPORTRANGE(""https://docs.google.com/spreadsheets/d/11923uPwbBZFjjGgGUA6NLw09EwE0CqkOc4q9oUmW1yo/edit?usp=sharing"",""ลำพูน!J166"")"),0)</f>
        <v>0</v>
      </c>
      <c r="K610" s="223"/>
      <c r="L610" s="168"/>
      <c r="M610" s="168"/>
      <c r="N610" s="168"/>
      <c r="O610" s="168"/>
      <c r="P610" s="168"/>
    </row>
    <row r="611" spans="1:16" ht="21.75" customHeight="1" x14ac:dyDescent="0.3">
      <c r="A611" s="175"/>
      <c r="B611" s="176"/>
      <c r="C611" s="176"/>
      <c r="D611" s="193"/>
      <c r="E611" s="195"/>
      <c r="F611" s="195" t="s">
        <v>219</v>
      </c>
      <c r="G611" s="196"/>
      <c r="H611" s="180" t="s">
        <v>122</v>
      </c>
      <c r="I611" s="187">
        <f ca="1">IFERROR(__xludf.DUMMYFUNCTION("IMPORTRANGE(""https://docs.google.com/spreadsheets/d/11923uPwbBZFjjGgGUA6NLw09EwE0CqkOc4q9oUmW1yo/edit?usp=sharing"",""ลำพูน!I506"")"),50)</f>
        <v>50</v>
      </c>
      <c r="J611" s="162">
        <f ca="1">IFERROR(__xludf.DUMMYFUNCTION("IMPORTRANGE(""https://docs.google.com/spreadsheets/d/11923uPwbBZFjjGgGUA6NLw09EwE0CqkOc4q9oUmW1yo/edit?usp=sharing"",""ลำพูน!J506"")"),0)</f>
        <v>0</v>
      </c>
      <c r="K611" s="163">
        <f t="shared" ref="K611:K619" ca="1" si="127">IF(I$611&gt;0,J611*100/I$611,0)</f>
        <v>0</v>
      </c>
      <c r="L611" s="181"/>
      <c r="M611" s="181"/>
      <c r="N611" s="181"/>
      <c r="O611" s="181"/>
      <c r="P611" s="181"/>
    </row>
    <row r="612" spans="1:16" ht="21.75" customHeight="1" x14ac:dyDescent="0.3">
      <c r="A612" s="175"/>
      <c r="B612" s="176"/>
      <c r="C612" s="176"/>
      <c r="D612" s="193"/>
      <c r="E612" s="198"/>
      <c r="F612" s="195"/>
      <c r="G612" s="225" t="s">
        <v>220</v>
      </c>
      <c r="H612" s="180" t="s">
        <v>122</v>
      </c>
      <c r="I612" s="203">
        <f ca="1">IFERROR(__xludf.DUMMYFUNCTION("IMPORTRANGE(""https://docs.google.com/spreadsheets/d/11923uPwbBZFjjGgGUA6NLw09EwE0CqkOc4q9oUmW1yo/edit?usp=sharing"",""ลำพูน!I507"")"),0)</f>
        <v>0</v>
      </c>
      <c r="J612" s="197">
        <f ca="1">IFERROR(__xludf.DUMMYFUNCTION("IMPORTRANGE(""https://docs.google.com/spreadsheets/d/11923uPwbBZFjjGgGUA6NLw09EwE0CqkOc4q9oUmW1yo/edit?usp=sharing"",""ลำพูน!J507"")"),50)</f>
        <v>50</v>
      </c>
      <c r="K612" s="163">
        <f t="shared" ca="1" si="127"/>
        <v>100</v>
      </c>
      <c r="L612" s="181"/>
      <c r="M612" s="181"/>
      <c r="N612" s="181"/>
      <c r="O612" s="181"/>
      <c r="P612" s="181"/>
    </row>
    <row r="613" spans="1:16" ht="21.75" customHeight="1" x14ac:dyDescent="0.3">
      <c r="A613" s="175"/>
      <c r="B613" s="176"/>
      <c r="C613" s="176"/>
      <c r="D613" s="193"/>
      <c r="E613" s="198"/>
      <c r="F613" s="195"/>
      <c r="G613" s="225" t="s">
        <v>221</v>
      </c>
      <c r="H613" s="180" t="s">
        <v>122</v>
      </c>
      <c r="I613" s="203">
        <f ca="1">IFERROR(__xludf.DUMMYFUNCTION("IMPORTRANGE(""https://docs.google.com/spreadsheets/d/11923uPwbBZFjjGgGUA6NLw09EwE0CqkOc4q9oUmW1yo/edit?usp=sharing"",""ลำพูน!I508"")"),0)</f>
        <v>0</v>
      </c>
      <c r="J613" s="197">
        <f ca="1">IFERROR(__xludf.DUMMYFUNCTION("IMPORTRANGE(""https://docs.google.com/spreadsheets/d/11923uPwbBZFjjGgGUA6NLw09EwE0CqkOc4q9oUmW1yo/edit?usp=sharing"",""ลำพูน!J508"")"),50)</f>
        <v>50</v>
      </c>
      <c r="K613" s="163">
        <f t="shared" ca="1" si="127"/>
        <v>100</v>
      </c>
      <c r="L613" s="181"/>
      <c r="M613" s="181"/>
      <c r="N613" s="181"/>
      <c r="O613" s="181"/>
      <c r="P613" s="181"/>
    </row>
    <row r="614" spans="1:16" ht="21.75" customHeight="1" x14ac:dyDescent="0.3">
      <c r="A614" s="175"/>
      <c r="B614" s="176"/>
      <c r="C614" s="176"/>
      <c r="D614" s="193"/>
      <c r="E614" s="198"/>
      <c r="F614" s="195"/>
      <c r="G614" s="225" t="s">
        <v>222</v>
      </c>
      <c r="H614" s="180" t="s">
        <v>122</v>
      </c>
      <c r="I614" s="203">
        <f ca="1">IFERROR(__xludf.DUMMYFUNCTION("IMPORTRANGE(""https://docs.google.com/spreadsheets/d/11923uPwbBZFjjGgGUA6NLw09EwE0CqkOc4q9oUmW1yo/edit?usp=sharing"",""ลำพูน!I509"")"),0)</f>
        <v>0</v>
      </c>
      <c r="J614" s="197">
        <f ca="1">IFERROR(__xludf.DUMMYFUNCTION("IMPORTRANGE(""https://docs.google.com/spreadsheets/d/11923uPwbBZFjjGgGUA6NLw09EwE0CqkOc4q9oUmW1yo/edit?usp=sharing"",""ลำพูน!J509"")"),50)</f>
        <v>50</v>
      </c>
      <c r="K614" s="163">
        <f t="shared" ca="1" si="127"/>
        <v>100</v>
      </c>
      <c r="L614" s="181"/>
      <c r="M614" s="181"/>
      <c r="N614" s="181"/>
      <c r="O614" s="181"/>
      <c r="P614" s="181"/>
    </row>
    <row r="615" spans="1:16" ht="21.75" customHeight="1" x14ac:dyDescent="0.3">
      <c r="A615" s="175"/>
      <c r="B615" s="176"/>
      <c r="C615" s="176"/>
      <c r="D615" s="193"/>
      <c r="E615" s="198"/>
      <c r="F615" s="195"/>
      <c r="G615" s="225" t="s">
        <v>223</v>
      </c>
      <c r="H615" s="180" t="s">
        <v>122</v>
      </c>
      <c r="I615" s="203">
        <f ca="1">IFERROR(__xludf.DUMMYFUNCTION("IMPORTRANGE(""https://docs.google.com/spreadsheets/d/11923uPwbBZFjjGgGUA6NLw09EwE0CqkOc4q9oUmW1yo/edit?usp=sharing"",""ลำพูน!I510"")"),0)</f>
        <v>0</v>
      </c>
      <c r="J615" s="197">
        <f ca="1">IFERROR(__xludf.DUMMYFUNCTION("IMPORTRANGE(""https://docs.google.com/spreadsheets/d/11923uPwbBZFjjGgGUA6NLw09EwE0CqkOc4q9oUmW1yo/edit?usp=sharing"",""ลำพูน!J510"")"),50)</f>
        <v>50</v>
      </c>
      <c r="K615" s="163">
        <f t="shared" ca="1" si="127"/>
        <v>100</v>
      </c>
      <c r="L615" s="181"/>
      <c r="M615" s="181"/>
      <c r="N615" s="181"/>
      <c r="O615" s="181"/>
      <c r="P615" s="181"/>
    </row>
    <row r="616" spans="1:16" ht="21.75" customHeight="1" x14ac:dyDescent="0.3">
      <c r="A616" s="175"/>
      <c r="B616" s="176"/>
      <c r="C616" s="176"/>
      <c r="D616" s="193"/>
      <c r="E616" s="198"/>
      <c r="F616" s="195"/>
      <c r="G616" s="194" t="s">
        <v>224</v>
      </c>
      <c r="H616" s="180" t="s">
        <v>122</v>
      </c>
      <c r="I616" s="203">
        <f ca="1">IFERROR(__xludf.DUMMYFUNCTION("IMPORTRANGE(""https://docs.google.com/spreadsheets/d/11923uPwbBZFjjGgGUA6NLw09EwE0CqkOc4q9oUmW1yo/edit?usp=sharing"",""ลำพูน!I511"")"),0)</f>
        <v>0</v>
      </c>
      <c r="J616" s="197">
        <f ca="1">IFERROR(__xludf.DUMMYFUNCTION("IMPORTRANGE(""https://docs.google.com/spreadsheets/d/11923uPwbBZFjjGgGUA6NLw09EwE0CqkOc4q9oUmW1yo/edit?usp=sharing"",""ลำพูน!J511"")"),50)</f>
        <v>50</v>
      </c>
      <c r="K616" s="163">
        <f t="shared" ca="1" si="127"/>
        <v>100</v>
      </c>
      <c r="L616" s="181"/>
      <c r="M616" s="181"/>
      <c r="N616" s="181"/>
      <c r="O616" s="181"/>
      <c r="P616" s="181"/>
    </row>
    <row r="617" spans="1:16" ht="21.75" customHeight="1" x14ac:dyDescent="0.3">
      <c r="A617" s="175"/>
      <c r="B617" s="176"/>
      <c r="C617" s="176"/>
      <c r="D617" s="193"/>
      <c r="E617" s="198"/>
      <c r="F617" s="195"/>
      <c r="G617" s="194" t="s">
        <v>225</v>
      </c>
      <c r="H617" s="180" t="s">
        <v>122</v>
      </c>
      <c r="I617" s="187">
        <f ca="1">IFERROR(__xludf.DUMMYFUNCTION("IMPORTRANGE(""https://docs.google.com/spreadsheets/d/11923uPwbBZFjjGgGUA6NLw09EwE0CqkOc4q9oUmW1yo/edit?usp=sharing"",""ลำพูน!I512"")"),0)</f>
        <v>0</v>
      </c>
      <c r="J617" s="187">
        <f ca="1">IFERROR(__xludf.DUMMYFUNCTION("IMPORTRANGE(""https://docs.google.com/spreadsheets/d/11923uPwbBZFjjGgGUA6NLw09EwE0CqkOc4q9oUmW1yo/edit?usp=sharing"",""ลำพูน!J512"")"),0)</f>
        <v>0</v>
      </c>
      <c r="K617" s="163">
        <f t="shared" ca="1" si="127"/>
        <v>0</v>
      </c>
      <c r="L617" s="181"/>
      <c r="M617" s="181"/>
      <c r="N617" s="181"/>
      <c r="O617" s="181"/>
      <c r="P617" s="181"/>
    </row>
    <row r="618" spans="1:16" ht="21.75" customHeight="1" x14ac:dyDescent="0.3">
      <c r="A618" s="175"/>
      <c r="B618" s="176"/>
      <c r="C618" s="176"/>
      <c r="D618" s="193"/>
      <c r="E618" s="198"/>
      <c r="F618" s="195"/>
      <c r="G618" s="489" t="s">
        <v>226</v>
      </c>
      <c r="H618" s="180" t="s">
        <v>122</v>
      </c>
      <c r="I618" s="203">
        <f ca="1">IFERROR(__xludf.DUMMYFUNCTION("IMPORTRANGE(""https://docs.google.com/spreadsheets/d/11923uPwbBZFjjGgGUA6NLw09EwE0CqkOc4q9oUmW1yo/edit?usp=sharing"",""ลำพูน!I513"")"),0)</f>
        <v>0</v>
      </c>
      <c r="J618" s="188">
        <f ca="1">IFERROR(__xludf.DUMMYFUNCTION("IMPORTRANGE(""https://docs.google.com/spreadsheets/d/11923uPwbBZFjjGgGUA6NLw09EwE0CqkOc4q9oUmW1yo/edit?usp=sharing"",""ลำพูน!J513"")"),0)</f>
        <v>0</v>
      </c>
      <c r="K618" s="163">
        <f t="shared" ca="1" si="127"/>
        <v>0</v>
      </c>
      <c r="L618" s="181"/>
      <c r="M618" s="181"/>
      <c r="N618" s="181"/>
      <c r="O618" s="181"/>
      <c r="P618" s="181"/>
    </row>
    <row r="619" spans="1:16" ht="21.75" customHeight="1" x14ac:dyDescent="0.3">
      <c r="A619" s="175"/>
      <c r="B619" s="176"/>
      <c r="C619" s="176"/>
      <c r="D619" s="193"/>
      <c r="E619" s="198"/>
      <c r="F619" s="195"/>
      <c r="G619" s="489" t="s">
        <v>227</v>
      </c>
      <c r="H619" s="180" t="s">
        <v>122</v>
      </c>
      <c r="I619" s="203">
        <f ca="1">IFERROR(__xludf.DUMMYFUNCTION("IMPORTRANGE(""https://docs.google.com/spreadsheets/d/11923uPwbBZFjjGgGUA6NLw09EwE0CqkOc4q9oUmW1yo/edit?usp=sharing"",""ลำพูน!I514"")"),0)</f>
        <v>0</v>
      </c>
      <c r="J619" s="188">
        <f ca="1">IFERROR(__xludf.DUMMYFUNCTION("IMPORTRANGE(""https://docs.google.com/spreadsheets/d/11923uPwbBZFjjGgGUA6NLw09EwE0CqkOc4q9oUmW1yo/edit?usp=sharing"",""ลำพูน!J514"")"),0)</f>
        <v>0</v>
      </c>
      <c r="K619" s="163">
        <f t="shared" ca="1" si="127"/>
        <v>0</v>
      </c>
      <c r="L619" s="181"/>
      <c r="M619" s="181"/>
      <c r="N619" s="181"/>
      <c r="O619" s="181"/>
      <c r="P619" s="181"/>
    </row>
    <row r="620" spans="1:16" ht="21.75" customHeight="1" x14ac:dyDescent="0.3">
      <c r="A620" s="175"/>
      <c r="B620" s="176"/>
      <c r="C620" s="176"/>
      <c r="D620" s="193"/>
      <c r="E620" s="195"/>
      <c r="F620" s="194" t="s">
        <v>228</v>
      </c>
      <c r="G620" s="196"/>
      <c r="H620" s="180" t="s">
        <v>122</v>
      </c>
      <c r="I620" s="187">
        <f ca="1">IFERROR(__xludf.DUMMYFUNCTION("IMPORTRANGE(""https://docs.google.com/spreadsheets/d/11923uPwbBZFjjGgGUA6NLw09EwE0CqkOc4q9oUmW1yo/edit?usp=sharing"",""ลำพูน!I515"")"),0)</f>
        <v>0</v>
      </c>
      <c r="J620" s="202">
        <f ca="1">IFERROR(__xludf.DUMMYFUNCTION("IMPORTRANGE(""https://docs.google.com/spreadsheets/d/11923uPwbBZFjjGgGUA6NLw09EwE0CqkOc4q9oUmW1yo/edit?usp=sharing"",""ลำพูน!J515"")"),0)</f>
        <v>0</v>
      </c>
      <c r="K620" s="163">
        <f t="shared" ref="K620:K626" ca="1" si="128">IF(I$620&gt;0,J620*100/I$620,0)</f>
        <v>0</v>
      </c>
      <c r="L620" s="181"/>
      <c r="M620" s="181"/>
      <c r="N620" s="181"/>
      <c r="O620" s="181"/>
      <c r="P620" s="181"/>
    </row>
    <row r="621" spans="1:16" ht="21.75" customHeight="1" x14ac:dyDescent="0.3">
      <c r="A621" s="175"/>
      <c r="B621" s="176"/>
      <c r="C621" s="176"/>
      <c r="D621" s="193"/>
      <c r="E621" s="198"/>
      <c r="F621" s="195"/>
      <c r="G621" s="225" t="s">
        <v>225</v>
      </c>
      <c r="H621" s="180" t="s">
        <v>122</v>
      </c>
      <c r="I621" s="202">
        <f ca="1">IFERROR(__xludf.DUMMYFUNCTION("IMPORTRANGE(""https://docs.google.com/spreadsheets/d/11923uPwbBZFjjGgGUA6NLw09EwE0CqkOc4q9oUmW1yo/edit?usp=sharing"",""ลำพูน!I516"")"),0)</f>
        <v>0</v>
      </c>
      <c r="J621" s="202">
        <f ca="1">IFERROR(__xludf.DUMMYFUNCTION("IMPORTRANGE(""https://docs.google.com/spreadsheets/d/11923uPwbBZFjjGgGUA6NLw09EwE0CqkOc4q9oUmW1yo/edit?usp=sharing"",""ลำพูน!J516"")"),0)</f>
        <v>0</v>
      </c>
      <c r="K621" s="163">
        <f t="shared" ca="1" si="128"/>
        <v>0</v>
      </c>
      <c r="L621" s="181"/>
      <c r="M621" s="181"/>
      <c r="N621" s="181"/>
      <c r="O621" s="181"/>
      <c r="P621" s="181"/>
    </row>
    <row r="622" spans="1:16" ht="21.75" customHeight="1" x14ac:dyDescent="0.3">
      <c r="A622" s="175"/>
      <c r="B622" s="176"/>
      <c r="C622" s="176"/>
      <c r="D622" s="193"/>
      <c r="E622" s="198"/>
      <c r="F622" s="195"/>
      <c r="G622" s="489" t="s">
        <v>226</v>
      </c>
      <c r="H622" s="180" t="s">
        <v>122</v>
      </c>
      <c r="I622" s="203">
        <f ca="1">IFERROR(__xludf.DUMMYFUNCTION("IMPORTRANGE(""https://docs.google.com/spreadsheets/d/11923uPwbBZFjjGgGUA6NLw09EwE0CqkOc4q9oUmW1yo/edit?usp=sharing"",""ลำพูน!I517"")"),0)</f>
        <v>0</v>
      </c>
      <c r="J622" s="188">
        <f ca="1">IFERROR(__xludf.DUMMYFUNCTION("IMPORTRANGE(""https://docs.google.com/spreadsheets/d/11923uPwbBZFjjGgGUA6NLw09EwE0CqkOc4q9oUmW1yo/edit?usp=sharing"",""ลำพูน!J517"")"),0)</f>
        <v>0</v>
      </c>
      <c r="K622" s="163">
        <f t="shared" ca="1" si="128"/>
        <v>0</v>
      </c>
      <c r="L622" s="181"/>
      <c r="M622" s="181"/>
      <c r="N622" s="181"/>
      <c r="O622" s="181"/>
      <c r="P622" s="181"/>
    </row>
    <row r="623" spans="1:16" ht="21.75" customHeight="1" x14ac:dyDescent="0.3">
      <c r="A623" s="175"/>
      <c r="B623" s="176"/>
      <c r="C623" s="176"/>
      <c r="D623" s="193"/>
      <c r="E623" s="198"/>
      <c r="F623" s="195"/>
      <c r="G623" s="489" t="s">
        <v>227</v>
      </c>
      <c r="H623" s="180" t="s">
        <v>122</v>
      </c>
      <c r="I623" s="203">
        <f ca="1">IFERROR(__xludf.DUMMYFUNCTION("IMPORTRANGE(""https://docs.google.com/spreadsheets/d/11923uPwbBZFjjGgGUA6NLw09EwE0CqkOc4q9oUmW1yo/edit?usp=sharing"",""ลำพูน!I518"")"),0)</f>
        <v>0</v>
      </c>
      <c r="J623" s="188">
        <f ca="1">IFERROR(__xludf.DUMMYFUNCTION("IMPORTRANGE(""https://docs.google.com/spreadsheets/d/11923uPwbBZFjjGgGUA6NLw09EwE0CqkOc4q9oUmW1yo/edit?usp=sharing"",""ลำพูน!J518"")"),0)</f>
        <v>0</v>
      </c>
      <c r="K623" s="163">
        <f t="shared" ca="1" si="128"/>
        <v>0</v>
      </c>
      <c r="L623" s="181"/>
      <c r="M623" s="181"/>
      <c r="N623" s="181"/>
      <c r="O623" s="181"/>
      <c r="P623" s="181"/>
    </row>
    <row r="624" spans="1:16" ht="21.75" customHeight="1" x14ac:dyDescent="0.3">
      <c r="A624" s="175"/>
      <c r="B624" s="176"/>
      <c r="C624" s="176"/>
      <c r="D624" s="193"/>
      <c r="E624" s="198"/>
      <c r="F624" s="195"/>
      <c r="G624" s="225" t="s">
        <v>229</v>
      </c>
      <c r="H624" s="180" t="s">
        <v>122</v>
      </c>
      <c r="I624" s="187">
        <f ca="1">IFERROR(__xludf.DUMMYFUNCTION("IMPORTRANGE(""https://docs.google.com/spreadsheets/d/11923uPwbBZFjjGgGUA6NLw09EwE0CqkOc4q9oUmW1yo/edit?usp=sharing"",""ลำพูน!I519"")"),0)</f>
        <v>0</v>
      </c>
      <c r="J624" s="187">
        <f ca="1">IFERROR(__xludf.DUMMYFUNCTION("IMPORTRANGE(""https://docs.google.com/spreadsheets/d/11923uPwbBZFjjGgGUA6NLw09EwE0CqkOc4q9oUmW1yo/edit?usp=sharing"",""ลำพูน!J519"")"),0)</f>
        <v>0</v>
      </c>
      <c r="K624" s="163">
        <f t="shared" ca="1" si="128"/>
        <v>0</v>
      </c>
      <c r="L624" s="181"/>
      <c r="M624" s="181"/>
      <c r="N624" s="181"/>
      <c r="O624" s="181"/>
      <c r="P624" s="181"/>
    </row>
    <row r="625" spans="1:16" ht="21.75" customHeight="1" x14ac:dyDescent="0.3">
      <c r="A625" s="175"/>
      <c r="B625" s="176"/>
      <c r="C625" s="176"/>
      <c r="D625" s="193"/>
      <c r="E625" s="198"/>
      <c r="F625" s="195"/>
      <c r="G625" s="489" t="s">
        <v>230</v>
      </c>
      <c r="H625" s="180" t="s">
        <v>122</v>
      </c>
      <c r="I625" s="203">
        <f ca="1">IFERROR(__xludf.DUMMYFUNCTION("IMPORTRANGE(""https://docs.google.com/spreadsheets/d/11923uPwbBZFjjGgGUA6NLw09EwE0CqkOc4q9oUmW1yo/edit?usp=sharing"",""ลำพูน!I520"")"),0)</f>
        <v>0</v>
      </c>
      <c r="J625" s="188">
        <f ca="1">IFERROR(__xludf.DUMMYFUNCTION("IMPORTRANGE(""https://docs.google.com/spreadsheets/d/11923uPwbBZFjjGgGUA6NLw09EwE0CqkOc4q9oUmW1yo/edit?usp=sharing"",""ลำพูน!J520"")"),0)</f>
        <v>0</v>
      </c>
      <c r="K625" s="163">
        <f t="shared" ca="1" si="128"/>
        <v>0</v>
      </c>
      <c r="L625" s="181"/>
      <c r="M625" s="181"/>
      <c r="N625" s="181"/>
      <c r="O625" s="181"/>
      <c r="P625" s="181"/>
    </row>
    <row r="626" spans="1:16" ht="21.75" customHeight="1" x14ac:dyDescent="0.3">
      <c r="A626" s="175"/>
      <c r="B626" s="176"/>
      <c r="C626" s="176"/>
      <c r="D626" s="193"/>
      <c r="E626" s="198"/>
      <c r="F626" s="195"/>
      <c r="G626" s="489" t="s">
        <v>231</v>
      </c>
      <c r="H626" s="180" t="s">
        <v>122</v>
      </c>
      <c r="I626" s="203">
        <f ca="1">IFERROR(__xludf.DUMMYFUNCTION("IMPORTRANGE(""https://docs.google.com/spreadsheets/d/11923uPwbBZFjjGgGUA6NLw09EwE0CqkOc4q9oUmW1yo/edit?usp=sharing"",""ลำพูน!I521"")"),0)</f>
        <v>0</v>
      </c>
      <c r="J626" s="188">
        <f ca="1">IFERROR(__xludf.DUMMYFUNCTION("IMPORTRANGE(""https://docs.google.com/spreadsheets/d/11923uPwbBZFjjGgGUA6NLw09EwE0CqkOc4q9oUmW1yo/edit?usp=sharing"",""ลำพูน!J521"")"),0)</f>
        <v>0</v>
      </c>
      <c r="K626" s="163">
        <f t="shared" ca="1" si="128"/>
        <v>0</v>
      </c>
      <c r="L626" s="181"/>
      <c r="M626" s="181"/>
      <c r="N626" s="181"/>
      <c r="O626" s="181"/>
      <c r="P626" s="181"/>
    </row>
    <row r="627" spans="1:16" ht="21.75" customHeight="1" x14ac:dyDescent="0.3">
      <c r="A627" s="490" t="s">
        <v>232</v>
      </c>
      <c r="B627" s="491"/>
      <c r="C627" s="491"/>
      <c r="D627" s="491"/>
      <c r="E627" s="491"/>
      <c r="F627" s="491"/>
      <c r="G627" s="492"/>
      <c r="H627" s="493"/>
      <c r="I627" s="494"/>
      <c r="J627" s="494"/>
      <c r="K627" s="495"/>
      <c r="L627" s="495"/>
      <c r="M627" s="495"/>
      <c r="N627" s="495"/>
      <c r="O627" s="496"/>
      <c r="P627" s="496"/>
    </row>
    <row r="628" spans="1:16" ht="21.75" customHeight="1" x14ac:dyDescent="0.3">
      <c r="A628" s="476"/>
      <c r="B628" s="497" t="s">
        <v>233</v>
      </c>
      <c r="C628" s="157"/>
      <c r="D628" s="166"/>
      <c r="E628" s="159"/>
      <c r="F628" s="159"/>
      <c r="G628" s="160"/>
      <c r="H628" s="498" t="s">
        <v>12</v>
      </c>
      <c r="I628" s="339">
        <f ca="1">IFERROR(__xludf.DUMMYFUNCTION("IMPORTRANGE(""https://docs.google.com/spreadsheets/d/11923uPwbBZFjjGgGUA6NLw09EwE0CqkOc4q9oUmW1yo/edit?usp=sharing"",""ลำพูน!I523"")"),6577500)</f>
        <v>6577500</v>
      </c>
      <c r="J628" s="339">
        <f ca="1">IFERROR(__xludf.DUMMYFUNCTION("IMPORTRANGE(""https://docs.google.com/spreadsheets/d/11923uPwbBZFjjGgGUA6NLw09EwE0CqkOc4q9oUmW1yo/edit?usp=sharing"",""ลำพูน!J523"")"),2730047)</f>
        <v>2730047</v>
      </c>
      <c r="K628" s="340">
        <f t="shared" ref="K628:K635" ca="1" si="129">IF(I628&gt;0,J628*100/I628,0)</f>
        <v>41.505845686050932</v>
      </c>
      <c r="L628" s="340"/>
      <c r="M628" s="340"/>
      <c r="N628" s="340"/>
      <c r="O628" s="168"/>
      <c r="P628" s="168"/>
    </row>
    <row r="629" spans="1:16" ht="21.75" customHeight="1" x14ac:dyDescent="0.3">
      <c r="A629" s="476"/>
      <c r="B629" s="157"/>
      <c r="C629" s="157"/>
      <c r="D629" s="166"/>
      <c r="E629" s="159"/>
      <c r="F629" s="159"/>
      <c r="G629" s="160"/>
      <c r="H629" s="498" t="s">
        <v>37</v>
      </c>
      <c r="I629" s="339">
        <f ca="1">IFERROR(__xludf.DUMMYFUNCTION("IMPORTRANGE(""https://docs.google.com/spreadsheets/d/11923uPwbBZFjjGgGUA6NLw09EwE0CqkOc4q9oUmW1yo/edit?usp=sharing"",""ลำพูน!I524"")"),219)</f>
        <v>219</v>
      </c>
      <c r="J629" s="339">
        <f ca="1">IFERROR(__xludf.DUMMYFUNCTION("IMPORTRANGE(""https://docs.google.com/spreadsheets/d/11923uPwbBZFjjGgGUA6NLw09EwE0CqkOc4q9oUmW1yo/edit?usp=sharing"",""ลำพูน!J524"")"),95)</f>
        <v>95</v>
      </c>
      <c r="K629" s="340">
        <f t="shared" ca="1" si="129"/>
        <v>43.378995433789953</v>
      </c>
      <c r="L629" s="340"/>
      <c r="M629" s="340"/>
      <c r="N629" s="340"/>
      <c r="O629" s="168"/>
      <c r="P629" s="168"/>
    </row>
    <row r="630" spans="1:16" ht="21.75" customHeight="1" x14ac:dyDescent="0.3">
      <c r="A630" s="476"/>
      <c r="B630" s="497" t="s">
        <v>234</v>
      </c>
      <c r="C630" s="157"/>
      <c r="D630" s="166"/>
      <c r="E630" s="159"/>
      <c r="F630" s="159"/>
      <c r="G630" s="160"/>
      <c r="H630" s="498" t="s">
        <v>12</v>
      </c>
      <c r="I630" s="339">
        <f ca="1">IFERROR(__xludf.DUMMYFUNCTION("IMPORTRANGE(""https://docs.google.com/spreadsheets/d/11923uPwbBZFjjGgGUA6NLw09EwE0CqkOc4q9oUmW1yo/edit?usp=sharing"",""ลำพูน!I525"")"),5461063.69)</f>
        <v>5461063.6900000004</v>
      </c>
      <c r="J630" s="339">
        <f ca="1">IFERROR(__xludf.DUMMYFUNCTION("IMPORTRANGE(""https://docs.google.com/spreadsheets/d/11923uPwbBZFjjGgGUA6NLw09EwE0CqkOc4q9oUmW1yo/edit?usp=sharing"",""ลำพูน!J525"")"),120739.11)</f>
        <v>120739.11</v>
      </c>
      <c r="K630" s="340">
        <f t="shared" ca="1" si="129"/>
        <v>2.2109082928494463</v>
      </c>
      <c r="L630" s="340"/>
      <c r="M630" s="340"/>
      <c r="N630" s="340"/>
      <c r="O630" s="168"/>
      <c r="P630" s="168"/>
    </row>
    <row r="631" spans="1:16" ht="21.75" customHeight="1" x14ac:dyDescent="0.3">
      <c r="A631" s="476"/>
      <c r="B631" s="157"/>
      <c r="C631" s="157"/>
      <c r="D631" s="166"/>
      <c r="E631" s="159"/>
      <c r="F631" s="159"/>
      <c r="G631" s="160"/>
      <c r="H631" s="498" t="s">
        <v>37</v>
      </c>
      <c r="I631" s="339">
        <f ca="1">IFERROR(__xludf.DUMMYFUNCTION("IMPORTRANGE(""https://docs.google.com/spreadsheets/d/11923uPwbBZFjjGgGUA6NLw09EwE0CqkOc4q9oUmW1yo/edit?usp=sharing"",""ลำพูน!I526"")"),213)</f>
        <v>213</v>
      </c>
      <c r="J631" s="339">
        <f ca="1">IFERROR(__xludf.DUMMYFUNCTION("IMPORTRANGE(""https://docs.google.com/spreadsheets/d/11923uPwbBZFjjGgGUA6NLw09EwE0CqkOc4q9oUmW1yo/edit?usp=sharing"",""ลำพูน!J526"")"),22)</f>
        <v>22</v>
      </c>
      <c r="K631" s="340">
        <f t="shared" ca="1" si="129"/>
        <v>10.328638497652582</v>
      </c>
      <c r="L631" s="340"/>
      <c r="M631" s="340"/>
      <c r="N631" s="340"/>
      <c r="O631" s="168"/>
      <c r="P631" s="168"/>
    </row>
    <row r="632" spans="1:16" ht="21.75" customHeight="1" x14ac:dyDescent="0.3">
      <c r="A632" s="476"/>
      <c r="B632" s="497" t="s">
        <v>235</v>
      </c>
      <c r="C632" s="157"/>
      <c r="D632" s="166"/>
      <c r="E632" s="159"/>
      <c r="F632" s="159"/>
      <c r="G632" s="160"/>
      <c r="H632" s="498" t="s">
        <v>12</v>
      </c>
      <c r="I632" s="339">
        <f ca="1">IFERROR(__xludf.DUMMYFUNCTION("IMPORTRANGE(""https://docs.google.com/spreadsheets/d/11923uPwbBZFjjGgGUA6NLw09EwE0CqkOc4q9oUmW1yo/edit?usp=sharing"",""ลำพูน!I527"")"),3460652.83)</f>
        <v>3460652.83</v>
      </c>
      <c r="J632" s="339">
        <f ca="1">IFERROR(__xludf.DUMMYFUNCTION("IMPORTRANGE(""https://docs.google.com/spreadsheets/d/11923uPwbBZFjjGgGUA6NLw09EwE0CqkOc4q9oUmW1yo/edit?usp=sharing"",""ลำพูน!J527"")"),209545.48)</f>
        <v>209545.48</v>
      </c>
      <c r="K632" s="340">
        <f t="shared" ca="1" si="129"/>
        <v>6.0550852770747303</v>
      </c>
      <c r="L632" s="340"/>
      <c r="M632" s="340"/>
      <c r="N632" s="340"/>
      <c r="O632" s="168"/>
      <c r="P632" s="168"/>
    </row>
    <row r="633" spans="1:16" ht="21.75" customHeight="1" x14ac:dyDescent="0.3">
      <c r="A633" s="476"/>
      <c r="B633" s="497"/>
      <c r="C633" s="157"/>
      <c r="D633" s="166"/>
      <c r="E633" s="159"/>
      <c r="F633" s="159"/>
      <c r="G633" s="160"/>
      <c r="H633" s="498" t="s">
        <v>37</v>
      </c>
      <c r="I633" s="339">
        <f ca="1">IFERROR(__xludf.DUMMYFUNCTION("IMPORTRANGE(""https://docs.google.com/spreadsheets/d/11923uPwbBZFjjGgGUA6NLw09EwE0CqkOc4q9oUmW1yo/edit?usp=sharing"",""ลำพูน!I528"")"),468)</f>
        <v>468</v>
      </c>
      <c r="J633" s="339">
        <f ca="1">IFERROR(__xludf.DUMMYFUNCTION("IMPORTRANGE(""https://docs.google.com/spreadsheets/d/11923uPwbBZFjjGgGUA6NLw09EwE0CqkOc4q9oUmW1yo/edit?usp=sharing"",""ลำพูน!J528"")"),59)</f>
        <v>59</v>
      </c>
      <c r="K633" s="340">
        <f t="shared" ca="1" si="129"/>
        <v>12.606837606837606</v>
      </c>
      <c r="L633" s="340"/>
      <c r="M633" s="340"/>
      <c r="N633" s="340"/>
      <c r="O633" s="168"/>
      <c r="P633" s="168"/>
    </row>
    <row r="634" spans="1:16" ht="21.75" customHeight="1" x14ac:dyDescent="0.3">
      <c r="A634" s="476"/>
      <c r="B634" s="497" t="s">
        <v>236</v>
      </c>
      <c r="C634" s="157"/>
      <c r="D634" s="166"/>
      <c r="E634" s="159"/>
      <c r="F634" s="159"/>
      <c r="G634" s="160"/>
      <c r="H634" s="498" t="s">
        <v>12</v>
      </c>
      <c r="I634" s="339">
        <f ca="1">IFERROR(__xludf.DUMMYFUNCTION("IMPORTRANGE(""https://docs.google.com/spreadsheets/d/11923uPwbBZFjjGgGUA6NLw09EwE0CqkOc4q9oUmW1yo/edit?usp=sharing"",""ลำพูน!I529"")"),7000000)</f>
        <v>7000000</v>
      </c>
      <c r="J634" s="339">
        <f ca="1">IFERROR(__xludf.DUMMYFUNCTION("IMPORTRANGE(""https://docs.google.com/spreadsheets/d/11923uPwbBZFjjGgGUA6NLw09EwE0CqkOc4q9oUmW1yo/edit?usp=sharing"",""ลำพูน!J529"")"),2260000)</f>
        <v>2260000</v>
      </c>
      <c r="K634" s="340">
        <f t="shared" ca="1" si="129"/>
        <v>32.285714285714285</v>
      </c>
      <c r="L634" s="340"/>
      <c r="M634" s="340"/>
      <c r="N634" s="340"/>
      <c r="O634" s="168"/>
      <c r="P634" s="168"/>
    </row>
    <row r="635" spans="1:16" ht="21.75" customHeight="1" x14ac:dyDescent="0.3">
      <c r="A635" s="478"/>
      <c r="B635" s="480"/>
      <c r="C635" s="480"/>
      <c r="D635" s="479"/>
      <c r="E635" s="499"/>
      <c r="F635" s="499"/>
      <c r="G635" s="500"/>
      <c r="H635" s="501" t="s">
        <v>37</v>
      </c>
      <c r="I635" s="502">
        <f ca="1">IFERROR(__xludf.DUMMYFUNCTION("IMPORTRANGE(""https://docs.google.com/spreadsheets/d/11923uPwbBZFjjGgGUA6NLw09EwE0CqkOc4q9oUmW1yo/edit?usp=sharing"",""ลำพูน!I530"")"),230)</f>
        <v>230</v>
      </c>
      <c r="J635" s="502">
        <f ca="1">IFERROR(__xludf.DUMMYFUNCTION("IMPORTRANGE(""https://docs.google.com/spreadsheets/d/11923uPwbBZFjjGgGUA6NLw09EwE0CqkOc4q9oUmW1yo/edit?usp=sharing"",""ลำพูน!J530"")"),72)</f>
        <v>72</v>
      </c>
      <c r="K635" s="484">
        <f t="shared" ca="1" si="129"/>
        <v>31.304347826086957</v>
      </c>
      <c r="L635" s="484"/>
      <c r="M635" s="484"/>
      <c r="N635" s="484"/>
      <c r="O635" s="503"/>
      <c r="P635" s="503"/>
    </row>
    <row r="636" spans="1:16" ht="21.75" customHeight="1" x14ac:dyDescent="0.3">
      <c r="A636" s="504"/>
      <c r="B636" s="504"/>
      <c r="C636" s="504"/>
      <c r="D636" s="504"/>
      <c r="E636" s="505" t="s">
        <v>237</v>
      </c>
      <c r="F636" s="505"/>
      <c r="G636" s="505"/>
      <c r="H636" s="506"/>
      <c r="I636" s="506"/>
      <c r="J636" s="506"/>
      <c r="K636" s="507"/>
      <c r="L636" s="508"/>
      <c r="M636" s="508"/>
      <c r="N636" s="508"/>
      <c r="O636" s="509"/>
      <c r="P636" s="509"/>
    </row>
    <row r="637" spans="1:16" ht="21.75" customHeight="1" x14ac:dyDescent="0.3">
      <c r="A637" s="504"/>
      <c r="B637" s="504"/>
      <c r="C637" s="504"/>
      <c r="D637" s="504"/>
      <c r="E637" s="506"/>
      <c r="F637" s="506"/>
      <c r="G637" s="506"/>
      <c r="H637" s="506"/>
      <c r="I637" s="506"/>
      <c r="J637" s="506"/>
      <c r="K637" s="507"/>
      <c r="L637" s="508"/>
      <c r="M637" s="508"/>
      <c r="N637" s="508"/>
      <c r="O637" s="509"/>
      <c r="P637" s="509"/>
    </row>
    <row r="638" spans="1:16" ht="21.75" customHeight="1" x14ac:dyDescent="0.3">
      <c r="A638" s="504"/>
      <c r="B638" s="504"/>
      <c r="C638" s="504"/>
      <c r="D638" s="504"/>
      <c r="E638" s="506"/>
      <c r="F638" s="506"/>
      <c r="G638" s="506"/>
      <c r="H638" s="506"/>
      <c r="I638" s="506"/>
      <c r="J638" s="506"/>
      <c r="K638" s="507"/>
      <c r="L638" s="508"/>
      <c r="M638" s="508"/>
      <c r="N638" s="508"/>
      <c r="O638" s="509"/>
      <c r="P638" s="509"/>
    </row>
    <row r="639" spans="1:16" ht="21.75" customHeight="1" x14ac:dyDescent="0.3">
      <c r="A639" s="504"/>
      <c r="B639" s="504"/>
      <c r="C639" s="504"/>
      <c r="D639" s="504"/>
      <c r="E639" s="506"/>
      <c r="F639" s="506"/>
      <c r="G639" s="506"/>
      <c r="H639" s="506"/>
      <c r="I639" s="506"/>
      <c r="J639" s="506"/>
      <c r="K639" s="507"/>
      <c r="L639" s="508"/>
      <c r="M639" s="508"/>
      <c r="N639" s="508"/>
      <c r="O639" s="509"/>
      <c r="P639" s="509"/>
    </row>
    <row r="640" spans="1:16" ht="21.75" customHeight="1" x14ac:dyDescent="0.3">
      <c r="A640" s="504"/>
      <c r="B640" s="504"/>
      <c r="C640" s="504"/>
      <c r="D640" s="504"/>
      <c r="E640" s="506"/>
      <c r="F640" s="506"/>
      <c r="G640" s="506"/>
      <c r="H640" s="506"/>
      <c r="I640" s="506"/>
      <c r="J640" s="506"/>
      <c r="K640" s="507"/>
      <c r="L640" s="508"/>
      <c r="M640" s="508"/>
      <c r="N640" s="508"/>
      <c r="O640" s="509"/>
      <c r="P640" s="509"/>
    </row>
    <row r="641" spans="1:16" ht="21.75" customHeight="1" x14ac:dyDescent="0.3">
      <c r="A641" s="504"/>
      <c r="B641" s="504"/>
      <c r="C641" s="504"/>
      <c r="D641" s="504"/>
      <c r="E641" s="506"/>
      <c r="F641" s="506"/>
      <c r="G641" s="506"/>
      <c r="H641" s="506"/>
      <c r="I641" s="506"/>
      <c r="J641" s="506"/>
      <c r="K641" s="507"/>
      <c r="L641" s="508"/>
      <c r="M641" s="508"/>
      <c r="N641" s="508"/>
      <c r="O641" s="509"/>
      <c r="P641" s="509"/>
    </row>
    <row r="642" spans="1:16" ht="21.75" customHeight="1" x14ac:dyDescent="0.3">
      <c r="A642" s="504"/>
      <c r="B642" s="504"/>
      <c r="C642" s="504"/>
      <c r="D642" s="504"/>
      <c r="E642" s="506"/>
      <c r="F642" s="506"/>
      <c r="G642" s="506"/>
      <c r="H642" s="506"/>
      <c r="I642" s="506"/>
      <c r="J642" s="506"/>
      <c r="K642" s="507"/>
      <c r="L642" s="508"/>
      <c r="M642" s="508"/>
      <c r="N642" s="508"/>
      <c r="O642" s="509"/>
      <c r="P642" s="509"/>
    </row>
    <row r="643" spans="1:16" ht="21.75" customHeight="1" x14ac:dyDescent="0.3">
      <c r="A643" s="504"/>
      <c r="B643" s="504"/>
      <c r="C643" s="504"/>
      <c r="D643" s="504"/>
      <c r="E643" s="506"/>
      <c r="F643" s="506"/>
      <c r="G643" s="506"/>
      <c r="H643" s="506"/>
      <c r="I643" s="506"/>
      <c r="J643" s="506"/>
      <c r="K643" s="507"/>
      <c r="L643" s="508"/>
      <c r="M643" s="508"/>
      <c r="N643" s="508"/>
      <c r="O643" s="509"/>
      <c r="P643" s="509"/>
    </row>
    <row r="644" spans="1:16" ht="21.75" customHeight="1" x14ac:dyDescent="0.3">
      <c r="A644" s="504"/>
      <c r="B644" s="504"/>
      <c r="C644" s="504"/>
      <c r="D644" s="504"/>
      <c r="E644" s="506"/>
      <c r="F644" s="506"/>
      <c r="G644" s="506"/>
      <c r="H644" s="506"/>
      <c r="I644" s="506"/>
      <c r="J644" s="506"/>
      <c r="K644" s="507"/>
      <c r="L644" s="508"/>
      <c r="M644" s="508"/>
      <c r="N644" s="508"/>
      <c r="O644" s="509"/>
      <c r="P644" s="509"/>
    </row>
    <row r="645" spans="1:16" ht="21.75" customHeight="1" x14ac:dyDescent="0.3">
      <c r="A645" s="504"/>
      <c r="B645" s="504"/>
      <c r="C645" s="504"/>
      <c r="D645" s="504"/>
      <c r="E645" s="506"/>
      <c r="F645" s="506"/>
      <c r="G645" s="506"/>
      <c r="H645" s="506"/>
      <c r="I645" s="506"/>
      <c r="J645" s="506"/>
      <c r="K645" s="507"/>
      <c r="L645" s="508"/>
      <c r="M645" s="508"/>
      <c r="N645" s="508"/>
      <c r="O645" s="509"/>
      <c r="P645" s="509"/>
    </row>
    <row r="646" spans="1:16" ht="21.75" customHeight="1" x14ac:dyDescent="0.3">
      <c r="A646" s="504"/>
      <c r="B646" s="504"/>
      <c r="C646" s="504"/>
      <c r="D646" s="504"/>
      <c r="E646" s="506"/>
      <c r="F646" s="506"/>
      <c r="G646" s="506"/>
      <c r="H646" s="506"/>
      <c r="I646" s="506"/>
      <c r="J646" s="506"/>
      <c r="K646" s="507"/>
      <c r="L646" s="508"/>
      <c r="M646" s="508"/>
      <c r="N646" s="508"/>
      <c r="O646" s="509"/>
      <c r="P646" s="509"/>
    </row>
    <row r="647" spans="1:16" ht="21.75" customHeight="1" x14ac:dyDescent="0.3">
      <c r="A647" s="504"/>
      <c r="B647" s="504"/>
      <c r="C647" s="504"/>
      <c r="D647" s="504"/>
      <c r="E647" s="506"/>
      <c r="F647" s="506"/>
      <c r="G647" s="506"/>
      <c r="H647" s="506"/>
      <c r="I647" s="506"/>
      <c r="J647" s="506"/>
      <c r="K647" s="507"/>
      <c r="L647" s="508"/>
      <c r="M647" s="508"/>
      <c r="N647" s="508"/>
      <c r="O647" s="509"/>
      <c r="P647" s="509"/>
    </row>
    <row r="648" spans="1:16" ht="21.75" customHeight="1" x14ac:dyDescent="0.3">
      <c r="A648" s="504"/>
      <c r="B648" s="504"/>
      <c r="C648" s="504"/>
      <c r="D648" s="504"/>
      <c r="E648" s="506"/>
      <c r="F648" s="506"/>
      <c r="G648" s="506"/>
      <c r="H648" s="506"/>
      <c r="I648" s="506"/>
      <c r="J648" s="506"/>
      <c r="K648" s="507"/>
      <c r="L648" s="508"/>
      <c r="M648" s="508"/>
      <c r="N648" s="508"/>
      <c r="O648" s="509"/>
      <c r="P648" s="509"/>
    </row>
    <row r="649" spans="1:16" ht="21.75" customHeight="1" x14ac:dyDescent="0.3">
      <c r="A649" s="504"/>
      <c r="B649" s="504"/>
      <c r="C649" s="504"/>
      <c r="D649" s="504"/>
      <c r="E649" s="506"/>
      <c r="F649" s="506"/>
      <c r="G649" s="506"/>
      <c r="H649" s="506"/>
      <c r="I649" s="506"/>
      <c r="J649" s="506"/>
      <c r="K649" s="507"/>
      <c r="L649" s="508"/>
      <c r="M649" s="508"/>
      <c r="N649" s="508"/>
      <c r="O649" s="509"/>
      <c r="P649" s="509"/>
    </row>
    <row r="650" spans="1:16" ht="21.75" customHeight="1" x14ac:dyDescent="0.3">
      <c r="A650" s="504"/>
      <c r="B650" s="504"/>
      <c r="C650" s="504"/>
      <c r="D650" s="504"/>
      <c r="E650" s="506"/>
      <c r="F650" s="506"/>
      <c r="G650" s="506"/>
      <c r="H650" s="506"/>
      <c r="I650" s="506"/>
      <c r="J650" s="506"/>
      <c r="K650" s="507"/>
      <c r="L650" s="508"/>
      <c r="M650" s="508"/>
      <c r="N650" s="508"/>
      <c r="O650" s="509"/>
      <c r="P650" s="509"/>
    </row>
    <row r="651" spans="1:16" ht="21.75" customHeight="1" x14ac:dyDescent="0.3">
      <c r="A651" s="504"/>
      <c r="B651" s="504"/>
      <c r="C651" s="504"/>
      <c r="D651" s="504"/>
      <c r="E651" s="506"/>
      <c r="F651" s="506"/>
      <c r="G651" s="506"/>
      <c r="H651" s="506"/>
      <c r="I651" s="506"/>
      <c r="J651" s="506"/>
      <c r="K651" s="507"/>
      <c r="L651" s="508"/>
      <c r="M651" s="508"/>
      <c r="N651" s="508"/>
      <c r="O651" s="509"/>
      <c r="P651" s="509"/>
    </row>
    <row r="652" spans="1:16" ht="21.75" customHeight="1" x14ac:dyDescent="0.3">
      <c r="A652" s="504"/>
      <c r="B652" s="504"/>
      <c r="C652" s="504"/>
      <c r="D652" s="504"/>
      <c r="E652" s="506"/>
      <c r="F652" s="506"/>
      <c r="G652" s="506"/>
      <c r="H652" s="506"/>
      <c r="I652" s="506"/>
      <c r="J652" s="506"/>
      <c r="K652" s="507"/>
      <c r="L652" s="508"/>
      <c r="M652" s="508"/>
      <c r="N652" s="508"/>
      <c r="O652" s="509"/>
      <c r="P652" s="509"/>
    </row>
    <row r="653" spans="1:16" ht="21.75" customHeight="1" x14ac:dyDescent="0.3">
      <c r="A653" s="504"/>
      <c r="B653" s="504"/>
      <c r="C653" s="504"/>
      <c r="D653" s="504"/>
      <c r="E653" s="506"/>
      <c r="F653" s="506"/>
      <c r="G653" s="506"/>
      <c r="H653" s="506"/>
      <c r="I653" s="506"/>
      <c r="J653" s="506"/>
      <c r="K653" s="507"/>
      <c r="L653" s="508"/>
      <c r="M653" s="508"/>
      <c r="N653" s="508"/>
      <c r="O653" s="509"/>
      <c r="P653" s="509"/>
    </row>
    <row r="654" spans="1:16" ht="21.75" customHeight="1" x14ac:dyDescent="0.3">
      <c r="A654" s="504"/>
      <c r="B654" s="504"/>
      <c r="C654" s="504"/>
      <c r="D654" s="504"/>
      <c r="E654" s="506"/>
      <c r="F654" s="506"/>
      <c r="G654" s="506"/>
      <c r="H654" s="506"/>
      <c r="I654" s="506"/>
      <c r="J654" s="506"/>
      <c r="K654" s="507"/>
      <c r="L654" s="508"/>
      <c r="M654" s="508"/>
      <c r="N654" s="508"/>
      <c r="O654" s="509"/>
      <c r="P654" s="509"/>
    </row>
    <row r="655" spans="1:16" ht="21.75" customHeight="1" x14ac:dyDescent="0.3">
      <c r="A655" s="504"/>
      <c r="B655" s="504"/>
      <c r="C655" s="504"/>
      <c r="D655" s="504"/>
      <c r="E655" s="506"/>
      <c r="F655" s="506"/>
      <c r="G655" s="506"/>
      <c r="H655" s="506"/>
      <c r="I655" s="506"/>
      <c r="J655" s="506"/>
      <c r="K655" s="507"/>
      <c r="L655" s="508"/>
      <c r="M655" s="508"/>
      <c r="N655" s="508"/>
      <c r="O655" s="509"/>
      <c r="P655" s="509"/>
    </row>
    <row r="656" spans="1:16" ht="21.75" customHeight="1" x14ac:dyDescent="0.3">
      <c r="A656" s="504"/>
      <c r="B656" s="504"/>
      <c r="C656" s="504"/>
      <c r="D656" s="504"/>
      <c r="E656" s="506"/>
      <c r="F656" s="506"/>
      <c r="G656" s="506"/>
      <c r="H656" s="506"/>
      <c r="I656" s="506"/>
      <c r="J656" s="506"/>
      <c r="K656" s="507"/>
      <c r="L656" s="508"/>
      <c r="M656" s="508"/>
      <c r="N656" s="508"/>
      <c r="O656" s="509"/>
      <c r="P656" s="509"/>
    </row>
    <row r="657" spans="1:16" ht="21.75" customHeight="1" x14ac:dyDescent="0.3">
      <c r="A657" s="504"/>
      <c r="B657" s="504"/>
      <c r="C657" s="504"/>
      <c r="D657" s="504"/>
      <c r="E657" s="506"/>
      <c r="F657" s="506"/>
      <c r="G657" s="506"/>
      <c r="H657" s="506"/>
      <c r="I657" s="506"/>
      <c r="J657" s="506"/>
      <c r="K657" s="507"/>
      <c r="L657" s="508"/>
      <c r="M657" s="508"/>
      <c r="N657" s="508"/>
      <c r="O657" s="509"/>
      <c r="P657" s="509"/>
    </row>
    <row r="658" spans="1:16" ht="21.75" customHeight="1" x14ac:dyDescent="0.3">
      <c r="A658" s="504"/>
      <c r="B658" s="504"/>
      <c r="C658" s="504"/>
      <c r="D658" s="504"/>
      <c r="E658" s="506"/>
      <c r="F658" s="506"/>
      <c r="G658" s="506"/>
      <c r="H658" s="506"/>
      <c r="I658" s="506"/>
      <c r="J658" s="506"/>
      <c r="K658" s="507"/>
      <c r="L658" s="508"/>
      <c r="M658" s="508"/>
      <c r="N658" s="508"/>
      <c r="O658" s="509"/>
      <c r="P658" s="509"/>
    </row>
    <row r="659" spans="1:16" ht="21.75" customHeight="1" x14ac:dyDescent="0.3">
      <c r="A659" s="504"/>
      <c r="B659" s="504"/>
      <c r="C659" s="504"/>
      <c r="D659" s="504"/>
      <c r="E659" s="506"/>
      <c r="F659" s="506"/>
      <c r="G659" s="506"/>
      <c r="H659" s="506"/>
      <c r="I659" s="506"/>
      <c r="J659" s="506"/>
      <c r="K659" s="507"/>
      <c r="L659" s="508"/>
      <c r="M659" s="508"/>
      <c r="N659" s="508"/>
      <c r="O659" s="509"/>
      <c r="P659" s="509"/>
    </row>
    <row r="660" spans="1:16" ht="21.75" customHeight="1" x14ac:dyDescent="0.3">
      <c r="A660" s="504"/>
      <c r="B660" s="504"/>
      <c r="C660" s="504"/>
      <c r="D660" s="504"/>
      <c r="E660" s="506"/>
      <c r="F660" s="506"/>
      <c r="G660" s="506"/>
      <c r="H660" s="506"/>
      <c r="I660" s="506"/>
      <c r="J660" s="506"/>
      <c r="K660" s="507"/>
      <c r="L660" s="508"/>
      <c r="M660" s="508"/>
      <c r="N660" s="508"/>
      <c r="O660" s="509"/>
      <c r="P660" s="509"/>
    </row>
    <row r="661" spans="1:16" ht="21.75" customHeight="1" x14ac:dyDescent="0.3">
      <c r="A661" s="504"/>
      <c r="B661" s="504"/>
      <c r="C661" s="504"/>
      <c r="D661" s="504"/>
      <c r="E661" s="506"/>
      <c r="F661" s="506"/>
      <c r="G661" s="506"/>
      <c r="H661" s="506"/>
      <c r="I661" s="506"/>
      <c r="J661" s="506"/>
      <c r="K661" s="507"/>
      <c r="L661" s="508"/>
      <c r="M661" s="508"/>
      <c r="N661" s="508"/>
      <c r="O661" s="509"/>
      <c r="P661" s="509"/>
    </row>
    <row r="662" spans="1:16" ht="21.75" customHeight="1" x14ac:dyDescent="0.3">
      <c r="A662" s="504"/>
      <c r="B662" s="504"/>
      <c r="C662" s="504"/>
      <c r="D662" s="504"/>
      <c r="E662" s="506"/>
      <c r="F662" s="506"/>
      <c r="G662" s="506"/>
      <c r="H662" s="506"/>
      <c r="I662" s="506"/>
      <c r="J662" s="506"/>
      <c r="K662" s="507"/>
      <c r="L662" s="508"/>
      <c r="M662" s="508"/>
      <c r="N662" s="508"/>
      <c r="O662" s="509"/>
      <c r="P662" s="509"/>
    </row>
    <row r="663" spans="1:16" ht="21.75" customHeight="1" x14ac:dyDescent="0.3">
      <c r="A663" s="504"/>
      <c r="B663" s="504"/>
      <c r="C663" s="504"/>
      <c r="D663" s="504"/>
      <c r="E663" s="506"/>
      <c r="F663" s="506"/>
      <c r="G663" s="506"/>
      <c r="H663" s="506"/>
      <c r="I663" s="506"/>
      <c r="J663" s="506"/>
      <c r="K663" s="507"/>
      <c r="L663" s="508"/>
      <c r="M663" s="508"/>
      <c r="N663" s="508"/>
      <c r="O663" s="509"/>
      <c r="P663" s="509"/>
    </row>
    <row r="664" spans="1:16" ht="21.75" customHeight="1" x14ac:dyDescent="0.3">
      <c r="A664" s="504"/>
      <c r="B664" s="504"/>
      <c r="C664" s="504"/>
      <c r="D664" s="504"/>
      <c r="E664" s="506"/>
      <c r="F664" s="506"/>
      <c r="G664" s="506"/>
      <c r="H664" s="506"/>
      <c r="I664" s="506"/>
      <c r="J664" s="506"/>
      <c r="K664" s="507"/>
      <c r="L664" s="508"/>
      <c r="M664" s="508"/>
      <c r="N664" s="508"/>
      <c r="O664" s="509"/>
      <c r="P664" s="509"/>
    </row>
    <row r="665" spans="1:16" ht="21.75" customHeight="1" x14ac:dyDescent="0.3">
      <c r="A665" s="504"/>
      <c r="B665" s="504"/>
      <c r="C665" s="504"/>
      <c r="D665" s="504"/>
      <c r="E665" s="506"/>
      <c r="F665" s="506"/>
      <c r="G665" s="506"/>
      <c r="H665" s="506"/>
      <c r="I665" s="506"/>
      <c r="J665" s="506"/>
      <c r="K665" s="507"/>
      <c r="L665" s="508"/>
      <c r="M665" s="508"/>
      <c r="N665" s="508"/>
      <c r="O665" s="509"/>
      <c r="P665" s="509"/>
    </row>
    <row r="666" spans="1:16" ht="21.75" customHeight="1" x14ac:dyDescent="0.3">
      <c r="A666" s="504"/>
      <c r="B666" s="504"/>
      <c r="C666" s="504"/>
      <c r="D666" s="504"/>
      <c r="E666" s="506"/>
      <c r="F666" s="506"/>
      <c r="G666" s="506"/>
      <c r="H666" s="506"/>
      <c r="I666" s="506"/>
      <c r="J666" s="506"/>
      <c r="K666" s="507"/>
      <c r="L666" s="508"/>
      <c r="M666" s="508"/>
      <c r="N666" s="508"/>
      <c r="O666" s="509"/>
      <c r="P666" s="509"/>
    </row>
    <row r="667" spans="1:16" ht="21.75" customHeight="1" x14ac:dyDescent="0.3">
      <c r="A667" s="504"/>
      <c r="B667" s="504"/>
      <c r="C667" s="504"/>
      <c r="D667" s="504"/>
      <c r="E667" s="506"/>
      <c r="F667" s="506"/>
      <c r="G667" s="506"/>
      <c r="H667" s="506"/>
      <c r="I667" s="506"/>
      <c r="J667" s="506"/>
      <c r="K667" s="507"/>
      <c r="L667" s="508"/>
      <c r="M667" s="508"/>
      <c r="N667" s="508"/>
      <c r="O667" s="509"/>
      <c r="P667" s="509"/>
    </row>
    <row r="668" spans="1:16" ht="21.75" customHeight="1" x14ac:dyDescent="0.3">
      <c r="A668" s="504"/>
      <c r="B668" s="504"/>
      <c r="C668" s="504"/>
      <c r="D668" s="504"/>
      <c r="E668" s="506"/>
      <c r="F668" s="506"/>
      <c r="G668" s="506"/>
      <c r="H668" s="506"/>
      <c r="I668" s="506"/>
      <c r="J668" s="506"/>
      <c r="K668" s="507"/>
      <c r="L668" s="508"/>
      <c r="M668" s="508"/>
      <c r="N668" s="508"/>
      <c r="O668" s="509"/>
      <c r="P668" s="509"/>
    </row>
    <row r="669" spans="1:16" ht="21.75" customHeight="1" x14ac:dyDescent="0.3">
      <c r="A669" s="504"/>
      <c r="B669" s="504"/>
      <c r="C669" s="504"/>
      <c r="D669" s="504"/>
      <c r="E669" s="506"/>
      <c r="F669" s="506"/>
      <c r="G669" s="506"/>
      <c r="H669" s="506"/>
      <c r="I669" s="506"/>
      <c r="J669" s="506"/>
      <c r="K669" s="507"/>
      <c r="L669" s="508"/>
      <c r="M669" s="508"/>
      <c r="N669" s="508"/>
      <c r="O669" s="509"/>
      <c r="P669" s="509"/>
    </row>
    <row r="670" spans="1:16" ht="21.75" customHeight="1" x14ac:dyDescent="0.3">
      <c r="A670" s="504"/>
      <c r="B670" s="504"/>
      <c r="C670" s="504"/>
      <c r="D670" s="504"/>
      <c r="E670" s="506"/>
      <c r="F670" s="506"/>
      <c r="G670" s="506"/>
      <c r="H670" s="506"/>
      <c r="I670" s="506"/>
      <c r="J670" s="506"/>
      <c r="K670" s="507"/>
      <c r="L670" s="508"/>
      <c r="M670" s="508"/>
      <c r="N670" s="508"/>
      <c r="O670" s="509"/>
      <c r="P670" s="509"/>
    </row>
    <row r="671" spans="1:16" ht="21.75" customHeight="1" x14ac:dyDescent="0.3">
      <c r="A671" s="504"/>
      <c r="B671" s="504"/>
      <c r="C671" s="504"/>
      <c r="D671" s="504"/>
      <c r="E671" s="506"/>
      <c r="F671" s="506"/>
      <c r="G671" s="506"/>
      <c r="H671" s="506"/>
      <c r="I671" s="506"/>
      <c r="J671" s="506"/>
      <c r="K671" s="507"/>
      <c r="L671" s="508"/>
      <c r="M671" s="508"/>
      <c r="N671" s="508"/>
      <c r="O671" s="509"/>
      <c r="P671" s="509"/>
    </row>
    <row r="672" spans="1:16" ht="21.75" customHeight="1" x14ac:dyDescent="0.3">
      <c r="A672" s="504"/>
      <c r="B672" s="504"/>
      <c r="C672" s="504"/>
      <c r="D672" s="504"/>
      <c r="E672" s="506"/>
      <c r="F672" s="506"/>
      <c r="G672" s="506"/>
      <c r="H672" s="506"/>
      <c r="I672" s="506"/>
      <c r="J672" s="506"/>
      <c r="K672" s="507"/>
      <c r="L672" s="508"/>
      <c r="M672" s="508"/>
      <c r="N672" s="508"/>
      <c r="O672" s="509"/>
      <c r="P672" s="509"/>
    </row>
    <row r="673" spans="1:16" ht="21.75" customHeight="1" x14ac:dyDescent="0.3">
      <c r="A673" s="504"/>
      <c r="B673" s="504"/>
      <c r="C673" s="504"/>
      <c r="D673" s="504"/>
      <c r="E673" s="506"/>
      <c r="F673" s="506"/>
      <c r="G673" s="506"/>
      <c r="H673" s="506"/>
      <c r="I673" s="506"/>
      <c r="J673" s="506"/>
      <c r="K673" s="507"/>
      <c r="L673" s="508"/>
      <c r="M673" s="508"/>
      <c r="N673" s="508"/>
      <c r="O673" s="509"/>
      <c r="P673" s="509"/>
    </row>
    <row r="674" spans="1:16" ht="21.75" customHeight="1" x14ac:dyDescent="0.3">
      <c r="A674" s="504"/>
      <c r="B674" s="504"/>
      <c r="C674" s="504"/>
      <c r="D674" s="504"/>
      <c r="E674" s="506"/>
      <c r="F674" s="506"/>
      <c r="G674" s="506"/>
      <c r="H674" s="506"/>
      <c r="I674" s="506"/>
      <c r="J674" s="506"/>
      <c r="K674" s="507"/>
      <c r="L674" s="508"/>
      <c r="M674" s="508"/>
      <c r="N674" s="508"/>
      <c r="O674" s="509"/>
      <c r="P674" s="509"/>
    </row>
    <row r="675" spans="1:16" ht="21.75" customHeight="1" x14ac:dyDescent="0.3">
      <c r="A675" s="504"/>
      <c r="B675" s="504"/>
      <c r="C675" s="504"/>
      <c r="D675" s="504"/>
      <c r="E675" s="506"/>
      <c r="F675" s="506"/>
      <c r="G675" s="506"/>
      <c r="H675" s="506"/>
      <c r="I675" s="506"/>
      <c r="J675" s="506"/>
      <c r="K675" s="507"/>
      <c r="L675" s="508"/>
      <c r="M675" s="508"/>
      <c r="N675" s="508"/>
      <c r="O675" s="509"/>
      <c r="P675" s="509"/>
    </row>
    <row r="676" spans="1:16" ht="21.75" customHeight="1" x14ac:dyDescent="0.3">
      <c r="A676" s="504"/>
      <c r="B676" s="504"/>
      <c r="C676" s="504"/>
      <c r="D676" s="504"/>
      <c r="E676" s="506"/>
      <c r="F676" s="506"/>
      <c r="G676" s="506"/>
      <c r="H676" s="506"/>
      <c r="I676" s="506"/>
      <c r="J676" s="506"/>
      <c r="K676" s="507"/>
      <c r="L676" s="508"/>
      <c r="M676" s="508"/>
      <c r="N676" s="508"/>
      <c r="O676" s="509"/>
      <c r="P676" s="509"/>
    </row>
    <row r="677" spans="1:16" ht="21.75" customHeight="1" x14ac:dyDescent="0.3">
      <c r="A677" s="504"/>
      <c r="B677" s="504"/>
      <c r="C677" s="504"/>
      <c r="D677" s="504"/>
      <c r="E677" s="506"/>
      <c r="F677" s="506"/>
      <c r="G677" s="506"/>
      <c r="H677" s="506"/>
      <c r="I677" s="506"/>
      <c r="J677" s="506"/>
      <c r="K677" s="507"/>
      <c r="L677" s="508"/>
      <c r="M677" s="508"/>
      <c r="N677" s="508"/>
      <c r="O677" s="509"/>
      <c r="P677" s="509"/>
    </row>
    <row r="678" spans="1:16" ht="21.75" customHeight="1" x14ac:dyDescent="0.3">
      <c r="A678" s="504"/>
      <c r="B678" s="504"/>
      <c r="C678" s="504"/>
      <c r="D678" s="504"/>
      <c r="E678" s="506"/>
      <c r="F678" s="506"/>
      <c r="G678" s="506"/>
      <c r="H678" s="506"/>
      <c r="I678" s="506"/>
      <c r="J678" s="506"/>
      <c r="K678" s="507"/>
      <c r="L678" s="508"/>
      <c r="M678" s="508"/>
      <c r="N678" s="508"/>
      <c r="O678" s="509"/>
      <c r="P678" s="509"/>
    </row>
    <row r="679" spans="1:16" ht="21.75" customHeight="1" x14ac:dyDescent="0.3">
      <c r="A679" s="504"/>
      <c r="B679" s="504"/>
      <c r="C679" s="504"/>
      <c r="D679" s="504"/>
      <c r="E679" s="506"/>
      <c r="F679" s="506"/>
      <c r="G679" s="506"/>
      <c r="H679" s="506"/>
      <c r="I679" s="506"/>
      <c r="J679" s="506"/>
      <c r="K679" s="507"/>
      <c r="L679" s="508"/>
      <c r="M679" s="508"/>
      <c r="N679" s="508"/>
      <c r="O679" s="509"/>
      <c r="P679" s="509"/>
    </row>
    <row r="680" spans="1:16" ht="21.75" customHeight="1" x14ac:dyDescent="0.3">
      <c r="A680" s="504"/>
      <c r="B680" s="504"/>
      <c r="C680" s="504"/>
      <c r="D680" s="504"/>
      <c r="E680" s="506"/>
      <c r="F680" s="506"/>
      <c r="G680" s="506"/>
      <c r="H680" s="506"/>
      <c r="I680" s="506"/>
      <c r="J680" s="506"/>
      <c r="K680" s="507"/>
      <c r="L680" s="508"/>
      <c r="M680" s="508"/>
      <c r="N680" s="508"/>
      <c r="O680" s="509"/>
      <c r="P680" s="509"/>
    </row>
    <row r="681" spans="1:16" ht="21.75" customHeight="1" x14ac:dyDescent="0.3">
      <c r="A681" s="504"/>
      <c r="B681" s="504"/>
      <c r="C681" s="504"/>
      <c r="D681" s="504"/>
      <c r="E681" s="506"/>
      <c r="F681" s="506"/>
      <c r="G681" s="506"/>
      <c r="H681" s="506"/>
      <c r="I681" s="506"/>
      <c r="J681" s="506"/>
      <c r="K681" s="507"/>
      <c r="L681" s="508"/>
      <c r="M681" s="508"/>
      <c r="N681" s="508"/>
      <c r="O681" s="509"/>
      <c r="P681" s="509"/>
    </row>
    <row r="682" spans="1:16" ht="21.75" customHeight="1" x14ac:dyDescent="0.3">
      <c r="A682" s="504"/>
      <c r="B682" s="504"/>
      <c r="C682" s="504"/>
      <c r="D682" s="504"/>
      <c r="E682" s="506"/>
      <c r="F682" s="506"/>
      <c r="G682" s="506"/>
      <c r="H682" s="506"/>
      <c r="I682" s="506"/>
      <c r="J682" s="506"/>
      <c r="K682" s="507"/>
      <c r="L682" s="508"/>
      <c r="M682" s="508"/>
      <c r="N682" s="508"/>
      <c r="O682" s="509"/>
      <c r="P682" s="509"/>
    </row>
    <row r="683" spans="1:16" ht="21.75" customHeight="1" x14ac:dyDescent="0.3">
      <c r="A683" s="504"/>
      <c r="B683" s="504"/>
      <c r="C683" s="504"/>
      <c r="D683" s="504"/>
      <c r="E683" s="506"/>
      <c r="F683" s="506"/>
      <c r="G683" s="506"/>
      <c r="H683" s="506"/>
      <c r="I683" s="506"/>
      <c r="J683" s="506"/>
      <c r="K683" s="507"/>
      <c r="L683" s="508"/>
      <c r="M683" s="508"/>
      <c r="N683" s="508"/>
      <c r="O683" s="509"/>
      <c r="P683" s="509"/>
    </row>
    <row r="684" spans="1:16" ht="21.75" customHeight="1" x14ac:dyDescent="0.3">
      <c r="A684" s="504"/>
      <c r="B684" s="504"/>
      <c r="C684" s="504"/>
      <c r="D684" s="504"/>
      <c r="E684" s="506"/>
      <c r="F684" s="506"/>
      <c r="G684" s="506"/>
      <c r="H684" s="506"/>
      <c r="I684" s="506"/>
      <c r="J684" s="506"/>
      <c r="K684" s="507"/>
      <c r="L684" s="508"/>
      <c r="M684" s="508"/>
      <c r="N684" s="508"/>
      <c r="O684" s="509"/>
      <c r="P684" s="509"/>
    </row>
    <row r="685" spans="1:16" ht="21.75" customHeight="1" x14ac:dyDescent="0.3">
      <c r="A685" s="504"/>
      <c r="B685" s="504"/>
      <c r="C685" s="504"/>
      <c r="D685" s="504"/>
      <c r="E685" s="506"/>
      <c r="F685" s="506"/>
      <c r="G685" s="506"/>
      <c r="H685" s="506"/>
      <c r="I685" s="506"/>
      <c r="J685" s="506"/>
      <c r="K685" s="507"/>
      <c r="L685" s="508"/>
      <c r="M685" s="508"/>
      <c r="N685" s="508"/>
      <c r="O685" s="509"/>
      <c r="P685" s="509"/>
    </row>
    <row r="686" spans="1:16" ht="21.75" customHeight="1" x14ac:dyDescent="0.3">
      <c r="A686" s="504"/>
      <c r="B686" s="504"/>
      <c r="C686" s="504"/>
      <c r="D686" s="504"/>
      <c r="E686" s="506"/>
      <c r="F686" s="506"/>
      <c r="G686" s="506"/>
      <c r="H686" s="506"/>
      <c r="I686" s="506"/>
      <c r="J686" s="506"/>
      <c r="K686" s="507"/>
      <c r="L686" s="508"/>
      <c r="M686" s="508"/>
      <c r="N686" s="508"/>
      <c r="O686" s="509"/>
      <c r="P686" s="509"/>
    </row>
    <row r="687" spans="1:16" ht="21.75" customHeight="1" x14ac:dyDescent="0.3">
      <c r="A687" s="504"/>
      <c r="B687" s="504"/>
      <c r="C687" s="504"/>
      <c r="D687" s="504"/>
      <c r="E687" s="506"/>
      <c r="F687" s="506"/>
      <c r="G687" s="506"/>
      <c r="H687" s="506"/>
      <c r="I687" s="506"/>
      <c r="J687" s="506"/>
      <c r="K687" s="507"/>
      <c r="L687" s="508"/>
      <c r="M687" s="508"/>
      <c r="N687" s="508"/>
      <c r="O687" s="509"/>
      <c r="P687" s="509"/>
    </row>
    <row r="688" spans="1:16" ht="21.75" customHeight="1" x14ac:dyDescent="0.3">
      <c r="A688" s="504"/>
      <c r="B688" s="504"/>
      <c r="C688" s="504"/>
      <c r="D688" s="504"/>
      <c r="E688" s="506"/>
      <c r="F688" s="506"/>
      <c r="G688" s="506"/>
      <c r="H688" s="506"/>
      <c r="I688" s="506"/>
      <c r="J688" s="506"/>
      <c r="K688" s="507"/>
      <c r="L688" s="508"/>
      <c r="M688" s="508"/>
      <c r="N688" s="508"/>
      <c r="O688" s="509"/>
      <c r="P688" s="509"/>
    </row>
    <row r="689" spans="1:16" ht="21.75" customHeight="1" x14ac:dyDescent="0.3">
      <c r="A689" s="504"/>
      <c r="B689" s="504"/>
      <c r="C689" s="504"/>
      <c r="D689" s="504"/>
      <c r="E689" s="506"/>
      <c r="F689" s="506"/>
      <c r="G689" s="506"/>
      <c r="H689" s="506"/>
      <c r="I689" s="506"/>
      <c r="J689" s="506"/>
      <c r="K689" s="507"/>
      <c r="L689" s="508"/>
      <c r="M689" s="508"/>
      <c r="N689" s="508"/>
      <c r="O689" s="509"/>
      <c r="P689" s="509"/>
    </row>
    <row r="690" spans="1:16" ht="21.75" customHeight="1" x14ac:dyDescent="0.3">
      <c r="A690" s="504"/>
      <c r="B690" s="504"/>
      <c r="C690" s="504"/>
      <c r="D690" s="504"/>
      <c r="E690" s="506"/>
      <c r="F690" s="506"/>
      <c r="G690" s="506"/>
      <c r="H690" s="506"/>
      <c r="I690" s="506"/>
      <c r="J690" s="506"/>
      <c r="K690" s="507"/>
      <c r="L690" s="508"/>
      <c r="M690" s="508"/>
      <c r="N690" s="508"/>
      <c r="O690" s="509"/>
      <c r="P690" s="509"/>
    </row>
    <row r="691" spans="1:16" ht="21.75" customHeight="1" x14ac:dyDescent="0.3">
      <c r="A691" s="504"/>
      <c r="B691" s="504"/>
      <c r="C691" s="504"/>
      <c r="D691" s="504"/>
      <c r="E691" s="506"/>
      <c r="F691" s="506"/>
      <c r="G691" s="506"/>
      <c r="H691" s="506"/>
      <c r="I691" s="506"/>
      <c r="J691" s="506"/>
      <c r="K691" s="507"/>
      <c r="L691" s="508"/>
      <c r="M691" s="508"/>
      <c r="N691" s="508"/>
      <c r="O691" s="509"/>
      <c r="P691" s="509"/>
    </row>
    <row r="692" spans="1:16" ht="21.75" customHeight="1" x14ac:dyDescent="0.3">
      <c r="A692" s="504"/>
      <c r="B692" s="504"/>
      <c r="C692" s="504"/>
      <c r="D692" s="504"/>
      <c r="E692" s="506"/>
      <c r="F692" s="506"/>
      <c r="G692" s="506"/>
      <c r="H692" s="506"/>
      <c r="I692" s="506"/>
      <c r="J692" s="506"/>
      <c r="K692" s="507"/>
      <c r="L692" s="508"/>
      <c r="M692" s="508"/>
      <c r="N692" s="508"/>
      <c r="O692" s="509"/>
      <c r="P692" s="509"/>
    </row>
    <row r="693" spans="1:16" ht="21.75" customHeight="1" x14ac:dyDescent="0.3">
      <c r="A693" s="504"/>
      <c r="B693" s="504"/>
      <c r="C693" s="504"/>
      <c r="D693" s="504"/>
      <c r="E693" s="506"/>
      <c r="F693" s="506"/>
      <c r="G693" s="506"/>
      <c r="H693" s="506"/>
      <c r="I693" s="506"/>
      <c r="J693" s="506"/>
      <c r="K693" s="507"/>
      <c r="L693" s="508"/>
      <c r="M693" s="508"/>
      <c r="N693" s="508"/>
      <c r="O693" s="509"/>
      <c r="P693" s="509"/>
    </row>
    <row r="694" spans="1:16" ht="21.75" customHeight="1" x14ac:dyDescent="0.3">
      <c r="A694" s="504"/>
      <c r="B694" s="504"/>
      <c r="C694" s="504"/>
      <c r="D694" s="504"/>
      <c r="E694" s="506"/>
      <c r="F694" s="506"/>
      <c r="G694" s="506"/>
      <c r="H694" s="506"/>
      <c r="I694" s="506"/>
      <c r="J694" s="506"/>
      <c r="K694" s="507"/>
      <c r="L694" s="508"/>
      <c r="M694" s="508"/>
      <c r="N694" s="508"/>
      <c r="O694" s="509"/>
      <c r="P694" s="509"/>
    </row>
    <row r="695" spans="1:16" ht="21.75" customHeight="1" x14ac:dyDescent="0.3">
      <c r="A695" s="504"/>
      <c r="B695" s="504"/>
      <c r="C695" s="504"/>
      <c r="D695" s="504"/>
      <c r="E695" s="506"/>
      <c r="F695" s="506"/>
      <c r="G695" s="506"/>
      <c r="H695" s="506"/>
      <c r="I695" s="506"/>
      <c r="J695" s="506"/>
      <c r="K695" s="507"/>
      <c r="L695" s="508"/>
      <c r="M695" s="508"/>
      <c r="N695" s="508"/>
      <c r="O695" s="509"/>
      <c r="P695" s="509"/>
    </row>
    <row r="696" spans="1:16" ht="21.75" customHeight="1" x14ac:dyDescent="0.3">
      <c r="A696" s="504"/>
      <c r="B696" s="504"/>
      <c r="C696" s="504"/>
      <c r="D696" s="504"/>
      <c r="E696" s="506"/>
      <c r="F696" s="506"/>
      <c r="G696" s="506"/>
      <c r="H696" s="506"/>
      <c r="I696" s="506"/>
      <c r="J696" s="506"/>
      <c r="K696" s="507"/>
      <c r="L696" s="508"/>
      <c r="M696" s="508"/>
      <c r="N696" s="508"/>
      <c r="O696" s="509"/>
      <c r="P696" s="509"/>
    </row>
    <row r="697" spans="1:16" ht="21.75" customHeight="1" x14ac:dyDescent="0.3">
      <c r="A697" s="504"/>
      <c r="B697" s="504"/>
      <c r="C697" s="504"/>
      <c r="D697" s="504"/>
      <c r="E697" s="506"/>
      <c r="F697" s="506"/>
      <c r="G697" s="506"/>
      <c r="H697" s="506"/>
      <c r="I697" s="506"/>
      <c r="J697" s="506"/>
      <c r="K697" s="507"/>
      <c r="L697" s="508"/>
      <c r="M697" s="508"/>
      <c r="N697" s="508"/>
      <c r="O697" s="509"/>
      <c r="P697" s="509"/>
    </row>
    <row r="698" spans="1:16" ht="21.75" customHeight="1" x14ac:dyDescent="0.3">
      <c r="A698" s="504"/>
      <c r="B698" s="504"/>
      <c r="C698" s="504"/>
      <c r="D698" s="504"/>
      <c r="E698" s="506"/>
      <c r="F698" s="506"/>
      <c r="G698" s="506"/>
      <c r="H698" s="506"/>
      <c r="I698" s="506"/>
      <c r="J698" s="506"/>
      <c r="K698" s="507"/>
      <c r="L698" s="508"/>
      <c r="M698" s="508"/>
      <c r="N698" s="508"/>
      <c r="O698" s="509"/>
      <c r="P698" s="509"/>
    </row>
    <row r="699" spans="1:16" ht="21.75" customHeight="1" x14ac:dyDescent="0.3">
      <c r="A699" s="504"/>
      <c r="B699" s="504"/>
      <c r="C699" s="504"/>
      <c r="D699" s="504"/>
      <c r="E699" s="506"/>
      <c r="F699" s="506"/>
      <c r="G699" s="506"/>
      <c r="H699" s="506"/>
      <c r="I699" s="506"/>
      <c r="J699" s="506"/>
      <c r="K699" s="507"/>
      <c r="L699" s="508"/>
      <c r="M699" s="508"/>
      <c r="N699" s="508"/>
      <c r="O699" s="509"/>
      <c r="P699" s="509"/>
    </row>
    <row r="700" spans="1:16" ht="21.75" customHeight="1" x14ac:dyDescent="0.3">
      <c r="A700" s="504"/>
      <c r="B700" s="504"/>
      <c r="C700" s="504"/>
      <c r="D700" s="504"/>
      <c r="E700" s="506"/>
      <c r="F700" s="506"/>
      <c r="G700" s="506"/>
      <c r="H700" s="506"/>
      <c r="I700" s="506"/>
      <c r="J700" s="506"/>
      <c r="K700" s="507"/>
      <c r="L700" s="508"/>
      <c r="M700" s="508"/>
      <c r="N700" s="508"/>
      <c r="O700" s="509"/>
      <c r="P700" s="509"/>
    </row>
    <row r="701" spans="1:16" ht="21.75" customHeight="1" x14ac:dyDescent="0.3">
      <c r="A701" s="504"/>
      <c r="B701" s="504"/>
      <c r="C701" s="504"/>
      <c r="D701" s="504"/>
      <c r="E701" s="506"/>
      <c r="F701" s="506"/>
      <c r="G701" s="506"/>
      <c r="H701" s="506"/>
      <c r="I701" s="506"/>
      <c r="J701" s="506"/>
      <c r="K701" s="507"/>
      <c r="L701" s="508"/>
      <c r="M701" s="508"/>
      <c r="N701" s="508"/>
      <c r="O701" s="509"/>
      <c r="P701" s="509"/>
    </row>
    <row r="702" spans="1:16" ht="21.75" customHeight="1" x14ac:dyDescent="0.3">
      <c r="A702" s="504"/>
      <c r="B702" s="504"/>
      <c r="C702" s="504"/>
      <c r="D702" s="504"/>
      <c r="E702" s="506"/>
      <c r="F702" s="506"/>
      <c r="G702" s="506"/>
      <c r="H702" s="506"/>
      <c r="I702" s="506"/>
      <c r="J702" s="506"/>
      <c r="K702" s="507"/>
      <c r="L702" s="508"/>
      <c r="M702" s="508"/>
      <c r="N702" s="508"/>
      <c r="O702" s="509"/>
      <c r="P702" s="509"/>
    </row>
    <row r="703" spans="1:16" ht="21.75" customHeight="1" x14ac:dyDescent="0.3">
      <c r="A703" s="504"/>
      <c r="B703" s="504"/>
      <c r="C703" s="504"/>
      <c r="D703" s="504"/>
      <c r="E703" s="506"/>
      <c r="F703" s="506"/>
      <c r="G703" s="506"/>
      <c r="H703" s="506"/>
      <c r="I703" s="506"/>
      <c r="J703" s="506"/>
      <c r="K703" s="507"/>
      <c r="L703" s="508"/>
      <c r="M703" s="508"/>
      <c r="N703" s="508"/>
      <c r="O703" s="509"/>
      <c r="P703" s="509"/>
    </row>
    <row r="704" spans="1:16" ht="21.75" customHeight="1" x14ac:dyDescent="0.3">
      <c r="A704" s="504"/>
      <c r="B704" s="504"/>
      <c r="C704" s="504"/>
      <c r="D704" s="504"/>
      <c r="E704" s="506"/>
      <c r="F704" s="506"/>
      <c r="G704" s="506"/>
      <c r="H704" s="506"/>
      <c r="I704" s="506"/>
      <c r="J704" s="506"/>
      <c r="K704" s="507"/>
      <c r="L704" s="508"/>
      <c r="M704" s="508"/>
      <c r="N704" s="508"/>
      <c r="O704" s="509"/>
      <c r="P704" s="509"/>
    </row>
    <row r="705" spans="1:16" ht="21.75" customHeight="1" x14ac:dyDescent="0.3">
      <c r="A705" s="504"/>
      <c r="B705" s="504"/>
      <c r="C705" s="504"/>
      <c r="D705" s="504"/>
      <c r="E705" s="506"/>
      <c r="F705" s="506"/>
      <c r="G705" s="506"/>
      <c r="H705" s="506"/>
      <c r="I705" s="506"/>
      <c r="J705" s="506"/>
      <c r="K705" s="507"/>
      <c r="L705" s="508"/>
      <c r="M705" s="508"/>
      <c r="N705" s="508"/>
      <c r="O705" s="509"/>
      <c r="P705" s="509"/>
    </row>
    <row r="706" spans="1:16" ht="21.75" customHeight="1" x14ac:dyDescent="0.3">
      <c r="A706" s="504"/>
      <c r="B706" s="504"/>
      <c r="C706" s="504"/>
      <c r="D706" s="504"/>
      <c r="E706" s="506"/>
      <c r="F706" s="506"/>
      <c r="G706" s="506"/>
      <c r="H706" s="506"/>
      <c r="I706" s="506"/>
      <c r="J706" s="506"/>
      <c r="K706" s="507"/>
      <c r="L706" s="508"/>
      <c r="M706" s="508"/>
      <c r="N706" s="508"/>
      <c r="O706" s="509"/>
      <c r="P706" s="509"/>
    </row>
    <row r="707" spans="1:16" ht="21.75" customHeight="1" x14ac:dyDescent="0.3">
      <c r="A707" s="504"/>
      <c r="B707" s="504"/>
      <c r="C707" s="504"/>
      <c r="D707" s="504"/>
      <c r="E707" s="506"/>
      <c r="F707" s="506"/>
      <c r="G707" s="506"/>
      <c r="H707" s="506"/>
      <c r="I707" s="506"/>
      <c r="J707" s="506"/>
      <c r="K707" s="507"/>
      <c r="L707" s="508"/>
      <c r="M707" s="508"/>
      <c r="N707" s="508"/>
      <c r="O707" s="509"/>
      <c r="P707" s="509"/>
    </row>
    <row r="708" spans="1:16" ht="21.75" customHeight="1" x14ac:dyDescent="0.3">
      <c r="A708" s="504"/>
      <c r="B708" s="504"/>
      <c r="C708" s="504"/>
      <c r="D708" s="504"/>
      <c r="E708" s="506"/>
      <c r="F708" s="506"/>
      <c r="G708" s="506"/>
      <c r="H708" s="506"/>
      <c r="I708" s="506"/>
      <c r="J708" s="506"/>
      <c r="K708" s="507"/>
      <c r="L708" s="508"/>
      <c r="M708" s="508"/>
      <c r="N708" s="508"/>
      <c r="O708" s="509"/>
      <c r="P708" s="509"/>
    </row>
    <row r="709" spans="1:16" ht="21.75" customHeight="1" x14ac:dyDescent="0.3">
      <c r="A709" s="504"/>
      <c r="B709" s="504"/>
      <c r="C709" s="504"/>
      <c r="D709" s="504"/>
      <c r="E709" s="506"/>
      <c r="F709" s="506"/>
      <c r="G709" s="506"/>
      <c r="H709" s="506"/>
      <c r="I709" s="506"/>
      <c r="J709" s="506"/>
      <c r="K709" s="507"/>
      <c r="L709" s="508"/>
      <c r="M709" s="508"/>
      <c r="N709" s="508"/>
      <c r="O709" s="509"/>
      <c r="P709" s="509"/>
    </row>
    <row r="710" spans="1:16" ht="21.75" customHeight="1" x14ac:dyDescent="0.3">
      <c r="A710" s="504"/>
      <c r="B710" s="504"/>
      <c r="C710" s="504"/>
      <c r="D710" s="504"/>
      <c r="E710" s="506"/>
      <c r="F710" s="506"/>
      <c r="G710" s="506"/>
      <c r="H710" s="506"/>
      <c r="I710" s="506"/>
      <c r="J710" s="506"/>
      <c r="K710" s="507"/>
      <c r="L710" s="508"/>
      <c r="M710" s="508"/>
      <c r="N710" s="508"/>
      <c r="O710" s="509"/>
      <c r="P710" s="509"/>
    </row>
    <row r="711" spans="1:16" ht="21.75" customHeight="1" x14ac:dyDescent="0.3">
      <c r="A711" s="504"/>
      <c r="B711" s="504"/>
      <c r="C711" s="504"/>
      <c r="D711" s="504"/>
      <c r="E711" s="506"/>
      <c r="F711" s="506"/>
      <c r="G711" s="506"/>
      <c r="H711" s="506"/>
      <c r="I711" s="506"/>
      <c r="J711" s="506"/>
      <c r="K711" s="507"/>
      <c r="L711" s="508"/>
      <c r="M711" s="508"/>
      <c r="N711" s="508"/>
      <c r="O711" s="509"/>
      <c r="P711" s="509"/>
    </row>
    <row r="712" spans="1:16" ht="21.75" customHeight="1" x14ac:dyDescent="0.3">
      <c r="A712" s="504"/>
      <c r="B712" s="504"/>
      <c r="C712" s="504"/>
      <c r="D712" s="504"/>
      <c r="E712" s="506"/>
      <c r="F712" s="506"/>
      <c r="G712" s="506"/>
      <c r="H712" s="506"/>
      <c r="I712" s="506"/>
      <c r="J712" s="506"/>
      <c r="K712" s="507"/>
      <c r="L712" s="508"/>
      <c r="M712" s="508"/>
      <c r="N712" s="508"/>
      <c r="O712" s="509"/>
      <c r="P712" s="509"/>
    </row>
    <row r="713" spans="1:16" ht="21.75" customHeight="1" x14ac:dyDescent="0.3">
      <c r="A713" s="504"/>
      <c r="B713" s="504"/>
      <c r="C713" s="504"/>
      <c r="D713" s="504"/>
      <c r="E713" s="506"/>
      <c r="F713" s="506"/>
      <c r="G713" s="506"/>
      <c r="H713" s="506"/>
      <c r="I713" s="506"/>
      <c r="J713" s="506"/>
      <c r="K713" s="507"/>
      <c r="L713" s="508"/>
      <c r="M713" s="508"/>
      <c r="N713" s="508"/>
      <c r="O713" s="509"/>
      <c r="P713" s="509"/>
    </row>
    <row r="714" spans="1:16" ht="21.75" customHeight="1" x14ac:dyDescent="0.3">
      <c r="A714" s="504"/>
      <c r="B714" s="504"/>
      <c r="C714" s="504"/>
      <c r="D714" s="504"/>
      <c r="E714" s="506"/>
      <c r="F714" s="506"/>
      <c r="G714" s="506"/>
      <c r="H714" s="506"/>
      <c r="I714" s="506"/>
      <c r="J714" s="506"/>
      <c r="K714" s="507"/>
      <c r="L714" s="508"/>
      <c r="M714" s="508"/>
      <c r="N714" s="508"/>
      <c r="O714" s="509"/>
      <c r="P714" s="509"/>
    </row>
    <row r="715" spans="1:16" ht="21.75" customHeight="1" x14ac:dyDescent="0.3">
      <c r="A715" s="504"/>
      <c r="B715" s="504"/>
      <c r="C715" s="504"/>
      <c r="D715" s="504"/>
      <c r="E715" s="506"/>
      <c r="F715" s="506"/>
      <c r="G715" s="506"/>
      <c r="H715" s="506"/>
      <c r="I715" s="506"/>
      <c r="J715" s="506"/>
      <c r="K715" s="507"/>
      <c r="L715" s="508"/>
      <c r="M715" s="508"/>
      <c r="N715" s="508"/>
      <c r="O715" s="509"/>
      <c r="P715" s="509"/>
    </row>
    <row r="716" spans="1:16" ht="21.75" customHeight="1" x14ac:dyDescent="0.3">
      <c r="A716" s="504"/>
      <c r="B716" s="504"/>
      <c r="C716" s="504"/>
      <c r="D716" s="504"/>
      <c r="E716" s="506"/>
      <c r="F716" s="506"/>
      <c r="G716" s="506"/>
      <c r="H716" s="506"/>
      <c r="I716" s="506"/>
      <c r="J716" s="506"/>
      <c r="K716" s="507"/>
      <c r="L716" s="508"/>
      <c r="M716" s="508"/>
      <c r="N716" s="508"/>
      <c r="O716" s="509"/>
      <c r="P716" s="509"/>
    </row>
    <row r="717" spans="1:16" ht="21.75" customHeight="1" x14ac:dyDescent="0.3">
      <c r="A717" s="504"/>
      <c r="B717" s="504"/>
      <c r="C717" s="504"/>
      <c r="D717" s="504"/>
      <c r="E717" s="506"/>
      <c r="F717" s="506"/>
      <c r="G717" s="506"/>
      <c r="H717" s="506"/>
      <c r="I717" s="506"/>
      <c r="J717" s="506"/>
      <c r="K717" s="507"/>
      <c r="L717" s="508"/>
      <c r="M717" s="508"/>
      <c r="N717" s="508"/>
      <c r="O717" s="509"/>
      <c r="P717" s="509"/>
    </row>
    <row r="718" spans="1:16" ht="21.75" customHeight="1" x14ac:dyDescent="0.3">
      <c r="A718" s="504"/>
      <c r="B718" s="504"/>
      <c r="C718" s="504"/>
      <c r="D718" s="504"/>
      <c r="E718" s="506"/>
      <c r="F718" s="506"/>
      <c r="G718" s="506"/>
      <c r="H718" s="506"/>
      <c r="I718" s="506"/>
      <c r="J718" s="506"/>
      <c r="K718" s="507"/>
      <c r="L718" s="508"/>
      <c r="M718" s="508"/>
      <c r="N718" s="508"/>
      <c r="O718" s="509"/>
      <c r="P718" s="509"/>
    </row>
    <row r="719" spans="1:16" ht="21.75" customHeight="1" x14ac:dyDescent="0.3">
      <c r="A719" s="504"/>
      <c r="B719" s="504"/>
      <c r="C719" s="504"/>
      <c r="D719" s="504"/>
      <c r="E719" s="506"/>
      <c r="F719" s="506"/>
      <c r="G719" s="506"/>
      <c r="H719" s="506"/>
      <c r="I719" s="506"/>
      <c r="J719" s="506"/>
      <c r="K719" s="507"/>
      <c r="L719" s="508"/>
      <c r="M719" s="508"/>
      <c r="N719" s="508"/>
      <c r="O719" s="509"/>
      <c r="P719" s="509"/>
    </row>
    <row r="720" spans="1:16" ht="21.75" customHeight="1" x14ac:dyDescent="0.3">
      <c r="A720" s="504"/>
      <c r="B720" s="504"/>
      <c r="C720" s="504"/>
      <c r="D720" s="504"/>
      <c r="E720" s="506"/>
      <c r="F720" s="506"/>
      <c r="G720" s="506"/>
      <c r="H720" s="506"/>
      <c r="I720" s="506"/>
      <c r="J720" s="506"/>
      <c r="K720" s="507"/>
      <c r="L720" s="508"/>
      <c r="M720" s="508"/>
      <c r="N720" s="508"/>
      <c r="O720" s="509"/>
      <c r="P720" s="509"/>
    </row>
    <row r="721" spans="1:16" ht="21.75" customHeight="1" x14ac:dyDescent="0.3">
      <c r="A721" s="504"/>
      <c r="B721" s="504"/>
      <c r="C721" s="504"/>
      <c r="D721" s="504"/>
      <c r="E721" s="506"/>
      <c r="F721" s="506"/>
      <c r="G721" s="506"/>
      <c r="H721" s="506"/>
      <c r="I721" s="506"/>
      <c r="J721" s="506"/>
      <c r="K721" s="507"/>
      <c r="L721" s="508"/>
      <c r="M721" s="508"/>
      <c r="N721" s="508"/>
      <c r="O721" s="509"/>
      <c r="P721" s="509"/>
    </row>
    <row r="722" spans="1:16" ht="21.75" customHeight="1" x14ac:dyDescent="0.3">
      <c r="A722" s="504"/>
      <c r="B722" s="504"/>
      <c r="C722" s="504"/>
      <c r="D722" s="504"/>
      <c r="E722" s="506"/>
      <c r="F722" s="506"/>
      <c r="G722" s="506"/>
      <c r="H722" s="506"/>
      <c r="I722" s="506"/>
      <c r="J722" s="506"/>
      <c r="K722" s="507"/>
      <c r="L722" s="508"/>
      <c r="M722" s="508"/>
      <c r="N722" s="508"/>
      <c r="O722" s="509"/>
      <c r="P722" s="509"/>
    </row>
    <row r="723" spans="1:16" ht="21.75" customHeight="1" x14ac:dyDescent="0.3">
      <c r="A723" s="504"/>
      <c r="B723" s="504"/>
      <c r="C723" s="504"/>
      <c r="D723" s="504"/>
      <c r="E723" s="506"/>
      <c r="F723" s="506"/>
      <c r="G723" s="506"/>
      <c r="H723" s="506"/>
      <c r="I723" s="506"/>
      <c r="J723" s="506"/>
      <c r="K723" s="507"/>
      <c r="L723" s="508"/>
      <c r="M723" s="508"/>
      <c r="N723" s="508"/>
      <c r="O723" s="509"/>
      <c r="P723" s="509"/>
    </row>
    <row r="724" spans="1:16" ht="21.75" customHeight="1" x14ac:dyDescent="0.3">
      <c r="A724" s="504"/>
      <c r="B724" s="504"/>
      <c r="C724" s="504"/>
      <c r="D724" s="504"/>
      <c r="E724" s="506"/>
      <c r="F724" s="506"/>
      <c r="G724" s="506"/>
      <c r="H724" s="506"/>
      <c r="I724" s="506"/>
      <c r="J724" s="506"/>
      <c r="K724" s="507"/>
      <c r="L724" s="508"/>
      <c r="M724" s="508"/>
      <c r="N724" s="508"/>
      <c r="O724" s="509"/>
      <c r="P724" s="509"/>
    </row>
    <row r="725" spans="1:16" ht="21.75" customHeight="1" x14ac:dyDescent="0.3">
      <c r="A725" s="504"/>
      <c r="B725" s="504"/>
      <c r="C725" s="504"/>
      <c r="D725" s="504"/>
      <c r="E725" s="506"/>
      <c r="F725" s="506"/>
      <c r="G725" s="506"/>
      <c r="H725" s="506"/>
      <c r="I725" s="506"/>
      <c r="J725" s="506"/>
      <c r="K725" s="507"/>
      <c r="L725" s="508"/>
      <c r="M725" s="508"/>
      <c r="N725" s="508"/>
      <c r="O725" s="509"/>
      <c r="P725" s="509"/>
    </row>
    <row r="726" spans="1:16" ht="21.75" customHeight="1" x14ac:dyDescent="0.3">
      <c r="A726" s="504"/>
      <c r="B726" s="504"/>
      <c r="C726" s="504"/>
      <c r="D726" s="504"/>
      <c r="E726" s="506"/>
      <c r="F726" s="506"/>
      <c r="G726" s="506"/>
      <c r="H726" s="506"/>
      <c r="I726" s="506"/>
      <c r="J726" s="506"/>
      <c r="K726" s="507"/>
      <c r="L726" s="508"/>
      <c r="M726" s="508"/>
      <c r="N726" s="508"/>
      <c r="O726" s="509"/>
      <c r="P726" s="509"/>
    </row>
    <row r="727" spans="1:16" ht="21.75" customHeight="1" x14ac:dyDescent="0.3">
      <c r="A727" s="504"/>
      <c r="B727" s="504"/>
      <c r="C727" s="504"/>
      <c r="D727" s="504"/>
      <c r="E727" s="506"/>
      <c r="F727" s="506"/>
      <c r="G727" s="506"/>
      <c r="H727" s="506"/>
      <c r="I727" s="506"/>
      <c r="J727" s="506"/>
      <c r="K727" s="507"/>
      <c r="L727" s="508"/>
      <c r="M727" s="508"/>
      <c r="N727" s="508"/>
      <c r="O727" s="509"/>
      <c r="P727" s="509"/>
    </row>
    <row r="728" spans="1:16" ht="21.75" customHeight="1" x14ac:dyDescent="0.3">
      <c r="A728" s="504"/>
      <c r="B728" s="504"/>
      <c r="C728" s="504"/>
      <c r="D728" s="504"/>
      <c r="E728" s="506"/>
      <c r="F728" s="506"/>
      <c r="G728" s="506"/>
      <c r="H728" s="506"/>
      <c r="I728" s="506"/>
      <c r="J728" s="506"/>
      <c r="K728" s="507"/>
      <c r="L728" s="508"/>
      <c r="M728" s="508"/>
      <c r="N728" s="508"/>
      <c r="O728" s="509"/>
      <c r="P728" s="509"/>
    </row>
    <row r="729" spans="1:16" ht="21.75" customHeight="1" x14ac:dyDescent="0.3">
      <c r="A729" s="504"/>
      <c r="B729" s="504"/>
      <c r="C729" s="504"/>
      <c r="D729" s="504"/>
      <c r="E729" s="506"/>
      <c r="F729" s="506"/>
      <c r="G729" s="506"/>
      <c r="H729" s="506"/>
      <c r="I729" s="506"/>
      <c r="J729" s="506"/>
      <c r="K729" s="507"/>
      <c r="L729" s="508"/>
      <c r="M729" s="508"/>
      <c r="N729" s="508"/>
      <c r="O729" s="509"/>
      <c r="P729" s="509"/>
    </row>
    <row r="730" spans="1:16" ht="21.75" customHeight="1" x14ac:dyDescent="0.3">
      <c r="A730" s="504"/>
      <c r="B730" s="504"/>
      <c r="C730" s="504"/>
      <c r="D730" s="504"/>
      <c r="E730" s="506"/>
      <c r="F730" s="506"/>
      <c r="G730" s="506"/>
      <c r="H730" s="506"/>
      <c r="I730" s="506"/>
      <c r="J730" s="506"/>
      <c r="K730" s="507"/>
      <c r="L730" s="508"/>
      <c r="M730" s="508"/>
      <c r="N730" s="508"/>
      <c r="O730" s="509"/>
      <c r="P730" s="509"/>
    </row>
    <row r="731" spans="1:16" ht="21.75" customHeight="1" x14ac:dyDescent="0.3">
      <c r="A731" s="504"/>
      <c r="B731" s="504"/>
      <c r="C731" s="504"/>
      <c r="D731" s="504"/>
      <c r="E731" s="506"/>
      <c r="F731" s="506"/>
      <c r="G731" s="506"/>
      <c r="H731" s="506"/>
      <c r="I731" s="506"/>
      <c r="J731" s="506"/>
      <c r="K731" s="507"/>
      <c r="L731" s="508"/>
      <c r="M731" s="508"/>
      <c r="N731" s="508"/>
      <c r="O731" s="509"/>
      <c r="P731" s="509"/>
    </row>
    <row r="732" spans="1:16" ht="21.75" customHeight="1" x14ac:dyDescent="0.3">
      <c r="A732" s="504"/>
      <c r="B732" s="504"/>
      <c r="C732" s="504"/>
      <c r="D732" s="504"/>
      <c r="E732" s="506"/>
      <c r="F732" s="506"/>
      <c r="G732" s="506"/>
      <c r="H732" s="506"/>
      <c r="I732" s="506"/>
      <c r="J732" s="506"/>
      <c r="K732" s="507"/>
      <c r="L732" s="508"/>
      <c r="M732" s="508"/>
      <c r="N732" s="508"/>
      <c r="O732" s="509"/>
      <c r="P732" s="509"/>
    </row>
    <row r="733" spans="1:16" ht="21.75" customHeight="1" x14ac:dyDescent="0.3">
      <c r="A733" s="504"/>
      <c r="B733" s="504"/>
      <c r="C733" s="504"/>
      <c r="D733" s="504"/>
      <c r="E733" s="506"/>
      <c r="F733" s="506"/>
      <c r="G733" s="506"/>
      <c r="H733" s="506"/>
      <c r="I733" s="506"/>
      <c r="J733" s="506"/>
      <c r="K733" s="507"/>
      <c r="L733" s="508"/>
      <c r="M733" s="508"/>
      <c r="N733" s="508"/>
      <c r="O733" s="509"/>
      <c r="P733" s="509"/>
    </row>
    <row r="734" spans="1:16" ht="21.75" customHeight="1" x14ac:dyDescent="0.3">
      <c r="A734" s="504"/>
      <c r="B734" s="504"/>
      <c r="C734" s="504"/>
      <c r="D734" s="504"/>
      <c r="E734" s="506"/>
      <c r="F734" s="506"/>
      <c r="G734" s="506"/>
      <c r="H734" s="506"/>
      <c r="I734" s="506"/>
      <c r="J734" s="506"/>
      <c r="K734" s="507"/>
      <c r="L734" s="508"/>
      <c r="M734" s="508"/>
      <c r="N734" s="508"/>
      <c r="O734" s="509"/>
      <c r="P734" s="509"/>
    </row>
    <row r="735" spans="1:16" ht="21.75" customHeight="1" x14ac:dyDescent="0.3">
      <c r="A735" s="504"/>
      <c r="B735" s="504"/>
      <c r="C735" s="504"/>
      <c r="D735" s="504"/>
      <c r="E735" s="506"/>
      <c r="F735" s="506"/>
      <c r="G735" s="506"/>
      <c r="H735" s="506"/>
      <c r="I735" s="506"/>
      <c r="J735" s="506"/>
      <c r="K735" s="507"/>
      <c r="L735" s="508"/>
      <c r="M735" s="508"/>
      <c r="N735" s="508"/>
      <c r="O735" s="509"/>
      <c r="P735" s="509"/>
    </row>
    <row r="736" spans="1:16" ht="21.75" customHeight="1" x14ac:dyDescent="0.3">
      <c r="A736" s="504"/>
      <c r="B736" s="504"/>
      <c r="C736" s="504"/>
      <c r="D736" s="504"/>
      <c r="E736" s="506"/>
      <c r="F736" s="506"/>
      <c r="G736" s="506"/>
      <c r="H736" s="506"/>
      <c r="I736" s="506"/>
      <c r="J736" s="506"/>
      <c r="K736" s="507"/>
      <c r="L736" s="508"/>
      <c r="M736" s="508"/>
      <c r="N736" s="508"/>
      <c r="O736" s="509"/>
      <c r="P736" s="509"/>
    </row>
    <row r="737" spans="1:16" ht="21.75" customHeight="1" x14ac:dyDescent="0.3">
      <c r="A737" s="504"/>
      <c r="B737" s="504"/>
      <c r="C737" s="504"/>
      <c r="D737" s="504"/>
      <c r="E737" s="506"/>
      <c r="F737" s="506"/>
      <c r="G737" s="506"/>
      <c r="H737" s="506"/>
      <c r="I737" s="506"/>
      <c r="J737" s="506"/>
      <c r="K737" s="507"/>
      <c r="L737" s="508"/>
      <c r="M737" s="508"/>
      <c r="N737" s="508"/>
      <c r="O737" s="509"/>
      <c r="P737" s="509"/>
    </row>
    <row r="738" spans="1:16" ht="21.75" customHeight="1" x14ac:dyDescent="0.3">
      <c r="A738" s="504"/>
      <c r="B738" s="504"/>
      <c r="C738" s="504"/>
      <c r="D738" s="504"/>
      <c r="E738" s="506"/>
      <c r="F738" s="506"/>
      <c r="G738" s="506"/>
      <c r="H738" s="506"/>
      <c r="I738" s="506"/>
      <c r="J738" s="506"/>
      <c r="K738" s="507"/>
      <c r="L738" s="508"/>
      <c r="M738" s="508"/>
      <c r="N738" s="508"/>
      <c r="O738" s="509"/>
      <c r="P738" s="509"/>
    </row>
    <row r="739" spans="1:16" ht="21.75" customHeight="1" x14ac:dyDescent="0.3">
      <c r="A739" s="504"/>
      <c r="B739" s="504"/>
      <c r="C739" s="504"/>
      <c r="D739" s="504"/>
      <c r="E739" s="506"/>
      <c r="F739" s="506"/>
      <c r="G739" s="506"/>
      <c r="H739" s="506"/>
      <c r="I739" s="506"/>
      <c r="J739" s="506"/>
      <c r="K739" s="507"/>
      <c r="L739" s="508"/>
      <c r="M739" s="508"/>
      <c r="N739" s="508"/>
      <c r="O739" s="509"/>
      <c r="P739" s="509"/>
    </row>
    <row r="740" spans="1:16" ht="21.75" customHeight="1" x14ac:dyDescent="0.3">
      <c r="A740" s="504"/>
      <c r="B740" s="504"/>
      <c r="C740" s="504"/>
      <c r="D740" s="504"/>
      <c r="E740" s="506"/>
      <c r="F740" s="506"/>
      <c r="G740" s="506"/>
      <c r="H740" s="506"/>
      <c r="I740" s="506"/>
      <c r="J740" s="506"/>
      <c r="K740" s="507"/>
      <c r="L740" s="508"/>
      <c r="M740" s="508"/>
      <c r="N740" s="508"/>
      <c r="O740" s="509"/>
      <c r="P740" s="509"/>
    </row>
    <row r="741" spans="1:16" ht="21.75" customHeight="1" x14ac:dyDescent="0.3">
      <c r="A741" s="504"/>
      <c r="B741" s="504"/>
      <c r="C741" s="504"/>
      <c r="D741" s="504"/>
      <c r="E741" s="506"/>
      <c r="F741" s="506"/>
      <c r="G741" s="506"/>
      <c r="H741" s="506"/>
      <c r="I741" s="506"/>
      <c r="J741" s="506"/>
      <c r="K741" s="507"/>
      <c r="L741" s="508"/>
      <c r="M741" s="508"/>
      <c r="N741" s="508"/>
      <c r="O741" s="509"/>
      <c r="P741" s="509"/>
    </row>
    <row r="742" spans="1:16" ht="21.75" customHeight="1" x14ac:dyDescent="0.3">
      <c r="A742" s="504"/>
      <c r="B742" s="504"/>
      <c r="C742" s="504"/>
      <c r="D742" s="504"/>
      <c r="E742" s="506"/>
      <c r="F742" s="506"/>
      <c r="G742" s="506"/>
      <c r="H742" s="506"/>
      <c r="I742" s="506"/>
      <c r="J742" s="506"/>
      <c r="K742" s="507"/>
      <c r="L742" s="508"/>
      <c r="M742" s="508"/>
      <c r="N742" s="508"/>
      <c r="O742" s="509"/>
      <c r="P742" s="509"/>
    </row>
    <row r="743" spans="1:16" ht="21.75" customHeight="1" x14ac:dyDescent="0.3">
      <c r="A743" s="504"/>
      <c r="B743" s="504"/>
      <c r="C743" s="504"/>
      <c r="D743" s="504"/>
      <c r="E743" s="506"/>
      <c r="F743" s="506"/>
      <c r="G743" s="506"/>
      <c r="H743" s="506"/>
      <c r="I743" s="506"/>
      <c r="J743" s="506"/>
      <c r="K743" s="507"/>
      <c r="L743" s="508"/>
      <c r="M743" s="508"/>
      <c r="N743" s="508"/>
      <c r="O743" s="509"/>
      <c r="P743" s="509"/>
    </row>
    <row r="744" spans="1:16" ht="21.75" customHeight="1" x14ac:dyDescent="0.3">
      <c r="A744" s="504"/>
      <c r="B744" s="504"/>
      <c r="C744" s="504"/>
      <c r="D744" s="504"/>
      <c r="E744" s="506"/>
      <c r="F744" s="506"/>
      <c r="G744" s="506"/>
      <c r="H744" s="506"/>
      <c r="I744" s="506"/>
      <c r="J744" s="506"/>
      <c r="K744" s="507"/>
      <c r="L744" s="508"/>
      <c r="M744" s="508"/>
      <c r="N744" s="508"/>
      <c r="O744" s="509"/>
      <c r="P744" s="509"/>
    </row>
    <row r="745" spans="1:16" ht="21.75" customHeight="1" x14ac:dyDescent="0.3">
      <c r="A745" s="504"/>
      <c r="B745" s="504"/>
      <c r="C745" s="504"/>
      <c r="D745" s="504"/>
      <c r="E745" s="506"/>
      <c r="F745" s="506"/>
      <c r="G745" s="506"/>
      <c r="H745" s="506"/>
      <c r="I745" s="506"/>
      <c r="J745" s="506"/>
      <c r="K745" s="507"/>
      <c r="L745" s="508"/>
      <c r="M745" s="508"/>
      <c r="N745" s="508"/>
      <c r="O745" s="509"/>
      <c r="P745" s="509"/>
    </row>
    <row r="746" spans="1:16" ht="21.75" customHeight="1" x14ac:dyDescent="0.3">
      <c r="A746" s="504"/>
      <c r="B746" s="504"/>
      <c r="C746" s="504"/>
      <c r="D746" s="504"/>
      <c r="E746" s="506"/>
      <c r="F746" s="506"/>
      <c r="G746" s="506"/>
      <c r="H746" s="506"/>
      <c r="I746" s="506"/>
      <c r="J746" s="506"/>
      <c r="K746" s="507"/>
      <c r="L746" s="508"/>
      <c r="M746" s="508"/>
      <c r="N746" s="508"/>
      <c r="O746" s="509"/>
      <c r="P746" s="509"/>
    </row>
    <row r="747" spans="1:16" ht="21.75" customHeight="1" x14ac:dyDescent="0.3">
      <c r="A747" s="504"/>
      <c r="B747" s="504"/>
      <c r="C747" s="504"/>
      <c r="D747" s="504"/>
      <c r="E747" s="506"/>
      <c r="F747" s="506"/>
      <c r="G747" s="506"/>
      <c r="H747" s="506"/>
      <c r="I747" s="506"/>
      <c r="J747" s="506"/>
      <c r="K747" s="507"/>
      <c r="L747" s="508"/>
      <c r="M747" s="508"/>
      <c r="N747" s="508"/>
      <c r="O747" s="509"/>
      <c r="P747" s="509"/>
    </row>
    <row r="748" spans="1:16" ht="21.75" customHeight="1" x14ac:dyDescent="0.3">
      <c r="A748" s="504"/>
      <c r="B748" s="504"/>
      <c r="C748" s="504"/>
      <c r="D748" s="504"/>
      <c r="E748" s="506"/>
      <c r="F748" s="506"/>
      <c r="G748" s="506"/>
      <c r="H748" s="506"/>
      <c r="I748" s="506"/>
      <c r="J748" s="506"/>
      <c r="K748" s="507"/>
      <c r="L748" s="508"/>
      <c r="M748" s="508"/>
      <c r="N748" s="508"/>
      <c r="O748" s="509"/>
      <c r="P748" s="509"/>
    </row>
    <row r="749" spans="1:16" ht="21.75" customHeight="1" x14ac:dyDescent="0.3">
      <c r="A749" s="504"/>
      <c r="B749" s="504"/>
      <c r="C749" s="504"/>
      <c r="D749" s="504"/>
      <c r="E749" s="506"/>
      <c r="F749" s="506"/>
      <c r="G749" s="506"/>
      <c r="H749" s="506"/>
      <c r="I749" s="506"/>
      <c r="J749" s="506"/>
      <c r="K749" s="507"/>
      <c r="L749" s="508"/>
      <c r="M749" s="508"/>
      <c r="N749" s="508"/>
      <c r="O749" s="509"/>
      <c r="P749" s="509"/>
    </row>
    <row r="750" spans="1:16" ht="21.75" customHeight="1" x14ac:dyDescent="0.3">
      <c r="A750" s="504"/>
      <c r="B750" s="504"/>
      <c r="C750" s="504"/>
      <c r="D750" s="504"/>
      <c r="E750" s="506"/>
      <c r="F750" s="506"/>
      <c r="G750" s="506"/>
      <c r="H750" s="506"/>
      <c r="I750" s="506"/>
      <c r="J750" s="506"/>
      <c r="K750" s="507"/>
      <c r="L750" s="508"/>
      <c r="M750" s="508"/>
      <c r="N750" s="508"/>
      <c r="O750" s="509"/>
      <c r="P750" s="509"/>
    </row>
    <row r="751" spans="1:16" ht="21.75" customHeight="1" x14ac:dyDescent="0.3">
      <c r="A751" s="504"/>
      <c r="B751" s="504"/>
      <c r="C751" s="504"/>
      <c r="D751" s="504"/>
      <c r="E751" s="506"/>
      <c r="F751" s="506"/>
      <c r="G751" s="506"/>
      <c r="H751" s="506"/>
      <c r="I751" s="506"/>
      <c r="J751" s="506"/>
      <c r="K751" s="507"/>
      <c r="L751" s="508"/>
      <c r="M751" s="508"/>
      <c r="N751" s="508"/>
      <c r="O751" s="509"/>
      <c r="P751" s="509"/>
    </row>
    <row r="752" spans="1:16" ht="21.75" customHeight="1" x14ac:dyDescent="0.3">
      <c r="A752" s="504"/>
      <c r="B752" s="504"/>
      <c r="C752" s="504"/>
      <c r="D752" s="504"/>
      <c r="E752" s="506"/>
      <c r="F752" s="506"/>
      <c r="G752" s="506"/>
      <c r="H752" s="506"/>
      <c r="I752" s="506"/>
      <c r="J752" s="506"/>
      <c r="K752" s="507"/>
      <c r="L752" s="508"/>
      <c r="M752" s="508"/>
      <c r="N752" s="508"/>
      <c r="O752" s="509"/>
      <c r="P752" s="509"/>
    </row>
    <row r="753" spans="1:16" ht="21.75" customHeight="1" x14ac:dyDescent="0.3">
      <c r="A753" s="504"/>
      <c r="B753" s="504"/>
      <c r="C753" s="504"/>
      <c r="D753" s="504"/>
      <c r="E753" s="506"/>
      <c r="F753" s="506"/>
      <c r="G753" s="506"/>
      <c r="H753" s="506"/>
      <c r="I753" s="506"/>
      <c r="J753" s="506"/>
      <c r="K753" s="507"/>
      <c r="L753" s="508"/>
      <c r="M753" s="508"/>
      <c r="N753" s="508"/>
      <c r="O753" s="509"/>
      <c r="P753" s="509"/>
    </row>
    <row r="754" spans="1:16" ht="21.75" customHeight="1" x14ac:dyDescent="0.3">
      <c r="A754" s="504"/>
      <c r="B754" s="504"/>
      <c r="C754" s="504"/>
      <c r="D754" s="504"/>
      <c r="E754" s="506"/>
      <c r="F754" s="506"/>
      <c r="G754" s="506"/>
      <c r="H754" s="506"/>
      <c r="I754" s="506"/>
      <c r="J754" s="506"/>
      <c r="K754" s="507"/>
      <c r="L754" s="508"/>
      <c r="M754" s="508"/>
      <c r="N754" s="508"/>
      <c r="O754" s="509"/>
      <c r="P754" s="509"/>
    </row>
    <row r="755" spans="1:16" ht="21.75" customHeight="1" x14ac:dyDescent="0.3">
      <c r="A755" s="504"/>
      <c r="B755" s="504"/>
      <c r="C755" s="504"/>
      <c r="D755" s="504"/>
      <c r="E755" s="506"/>
      <c r="F755" s="506"/>
      <c r="G755" s="506"/>
      <c r="H755" s="506"/>
      <c r="I755" s="506"/>
      <c r="J755" s="506"/>
      <c r="K755" s="507"/>
      <c r="L755" s="508"/>
      <c r="M755" s="508"/>
      <c r="N755" s="508"/>
      <c r="O755" s="509"/>
      <c r="P755" s="509"/>
    </row>
    <row r="756" spans="1:16" ht="21.75" customHeight="1" x14ac:dyDescent="0.3">
      <c r="A756" s="504"/>
      <c r="B756" s="504"/>
      <c r="C756" s="504"/>
      <c r="D756" s="504"/>
      <c r="E756" s="506"/>
      <c r="F756" s="506"/>
      <c r="G756" s="506"/>
      <c r="H756" s="506"/>
      <c r="I756" s="506"/>
      <c r="J756" s="506"/>
      <c r="K756" s="507"/>
      <c r="L756" s="508"/>
      <c r="M756" s="508"/>
      <c r="N756" s="508"/>
      <c r="O756" s="509"/>
      <c r="P756" s="509"/>
    </row>
    <row r="757" spans="1:16" ht="21.75" customHeight="1" x14ac:dyDescent="0.3">
      <c r="A757" s="504"/>
      <c r="B757" s="504"/>
      <c r="C757" s="504"/>
      <c r="D757" s="504"/>
      <c r="E757" s="506"/>
      <c r="F757" s="506"/>
      <c r="G757" s="506"/>
      <c r="H757" s="506"/>
      <c r="I757" s="506"/>
      <c r="J757" s="506"/>
      <c r="K757" s="507"/>
      <c r="L757" s="508"/>
      <c r="M757" s="508"/>
      <c r="N757" s="508"/>
      <c r="O757" s="509"/>
      <c r="P757" s="509"/>
    </row>
    <row r="758" spans="1:16" ht="21.75" customHeight="1" x14ac:dyDescent="0.3">
      <c r="A758" s="504"/>
      <c r="B758" s="504"/>
      <c r="C758" s="504"/>
      <c r="D758" s="504"/>
      <c r="E758" s="506"/>
      <c r="F758" s="506"/>
      <c r="G758" s="506"/>
      <c r="H758" s="506"/>
      <c r="I758" s="506"/>
      <c r="J758" s="506"/>
      <c r="K758" s="507"/>
      <c r="L758" s="508"/>
      <c r="M758" s="508"/>
      <c r="N758" s="508"/>
      <c r="O758" s="509"/>
      <c r="P758" s="509"/>
    </row>
    <row r="759" spans="1:16" ht="21.75" customHeight="1" x14ac:dyDescent="0.3">
      <c r="A759" s="504"/>
      <c r="B759" s="504"/>
      <c r="C759" s="504"/>
      <c r="D759" s="504"/>
      <c r="E759" s="506"/>
      <c r="F759" s="506"/>
      <c r="G759" s="506"/>
      <c r="H759" s="506"/>
      <c r="I759" s="506"/>
      <c r="J759" s="506"/>
      <c r="K759" s="507"/>
      <c r="L759" s="508"/>
      <c r="M759" s="508"/>
      <c r="N759" s="508"/>
      <c r="O759" s="509"/>
      <c r="P759" s="509"/>
    </row>
    <row r="760" spans="1:16" ht="21.75" customHeight="1" x14ac:dyDescent="0.3">
      <c r="A760" s="504"/>
      <c r="B760" s="504"/>
      <c r="C760" s="504"/>
      <c r="D760" s="504"/>
      <c r="E760" s="506"/>
      <c r="F760" s="506"/>
      <c r="G760" s="506"/>
      <c r="H760" s="506"/>
      <c r="I760" s="506"/>
      <c r="J760" s="506"/>
      <c r="K760" s="507"/>
      <c r="L760" s="508"/>
      <c r="M760" s="508"/>
      <c r="N760" s="508"/>
      <c r="O760" s="509"/>
      <c r="P760" s="509"/>
    </row>
    <row r="761" spans="1:16" ht="21.75" customHeight="1" x14ac:dyDescent="0.3">
      <c r="A761" s="504"/>
      <c r="B761" s="504"/>
      <c r="C761" s="504"/>
      <c r="D761" s="504"/>
      <c r="E761" s="506"/>
      <c r="F761" s="506"/>
      <c r="G761" s="506"/>
      <c r="H761" s="506"/>
      <c r="I761" s="506"/>
      <c r="J761" s="506"/>
      <c r="K761" s="507"/>
      <c r="L761" s="508"/>
      <c r="M761" s="508"/>
      <c r="N761" s="508"/>
      <c r="O761" s="509"/>
      <c r="P761" s="509"/>
    </row>
    <row r="762" spans="1:16" ht="21.75" customHeight="1" x14ac:dyDescent="0.3">
      <c r="A762" s="504"/>
      <c r="B762" s="504"/>
      <c r="C762" s="504"/>
      <c r="D762" s="504"/>
      <c r="E762" s="506"/>
      <c r="F762" s="506"/>
      <c r="G762" s="506"/>
      <c r="H762" s="506"/>
      <c r="I762" s="506"/>
      <c r="J762" s="506"/>
      <c r="K762" s="507"/>
      <c r="L762" s="508"/>
      <c r="M762" s="508"/>
      <c r="N762" s="508"/>
      <c r="O762" s="509"/>
      <c r="P762" s="509"/>
    </row>
    <row r="763" spans="1:16" ht="21.75" customHeight="1" x14ac:dyDescent="0.3">
      <c r="A763" s="504"/>
      <c r="B763" s="504"/>
      <c r="C763" s="504"/>
      <c r="D763" s="504"/>
      <c r="E763" s="506"/>
      <c r="F763" s="506"/>
      <c r="G763" s="506"/>
      <c r="H763" s="506"/>
      <c r="I763" s="506"/>
      <c r="J763" s="506"/>
      <c r="K763" s="507"/>
      <c r="L763" s="508"/>
      <c r="M763" s="508"/>
      <c r="N763" s="508"/>
      <c r="O763" s="509"/>
      <c r="P763" s="509"/>
    </row>
    <row r="764" spans="1:16" ht="21.75" customHeight="1" x14ac:dyDescent="0.3">
      <c r="A764" s="504"/>
      <c r="B764" s="504"/>
      <c r="C764" s="504"/>
      <c r="D764" s="504"/>
      <c r="E764" s="506"/>
      <c r="F764" s="506"/>
      <c r="G764" s="506"/>
      <c r="H764" s="506"/>
      <c r="I764" s="506"/>
      <c r="J764" s="506"/>
      <c r="K764" s="507"/>
      <c r="L764" s="508"/>
      <c r="M764" s="508"/>
      <c r="N764" s="508"/>
      <c r="O764" s="509"/>
      <c r="P764" s="509"/>
    </row>
    <row r="765" spans="1:16" ht="21.75" customHeight="1" x14ac:dyDescent="0.3">
      <c r="A765" s="504"/>
      <c r="B765" s="504"/>
      <c r="C765" s="504"/>
      <c r="D765" s="504"/>
      <c r="E765" s="506"/>
      <c r="F765" s="506"/>
      <c r="G765" s="506"/>
      <c r="H765" s="506"/>
      <c r="I765" s="506"/>
      <c r="J765" s="506"/>
      <c r="K765" s="507"/>
      <c r="L765" s="508"/>
      <c r="M765" s="508"/>
      <c r="N765" s="508"/>
      <c r="O765" s="509"/>
      <c r="P765" s="509"/>
    </row>
    <row r="766" spans="1:16" ht="21.75" customHeight="1" x14ac:dyDescent="0.3">
      <c r="A766" s="504"/>
      <c r="B766" s="504"/>
      <c r="C766" s="504"/>
      <c r="D766" s="504"/>
      <c r="E766" s="506"/>
      <c r="F766" s="506"/>
      <c r="G766" s="506"/>
      <c r="H766" s="506"/>
      <c r="I766" s="506"/>
      <c r="J766" s="506"/>
      <c r="K766" s="507"/>
      <c r="L766" s="508"/>
      <c r="M766" s="508"/>
      <c r="N766" s="508"/>
      <c r="O766" s="509"/>
      <c r="P766" s="509"/>
    </row>
    <row r="767" spans="1:16" ht="21.75" customHeight="1" x14ac:dyDescent="0.3">
      <c r="A767" s="504"/>
      <c r="B767" s="504"/>
      <c r="C767" s="504"/>
      <c r="D767" s="504"/>
      <c r="E767" s="506"/>
      <c r="F767" s="506"/>
      <c r="G767" s="506"/>
      <c r="H767" s="506"/>
      <c r="I767" s="506"/>
      <c r="J767" s="506"/>
      <c r="K767" s="507"/>
      <c r="L767" s="508"/>
      <c r="M767" s="508"/>
      <c r="N767" s="508"/>
      <c r="O767" s="509"/>
      <c r="P767" s="509"/>
    </row>
    <row r="768" spans="1:16" ht="21.75" customHeight="1" x14ac:dyDescent="0.3">
      <c r="A768" s="504"/>
      <c r="B768" s="504"/>
      <c r="C768" s="504"/>
      <c r="D768" s="504"/>
      <c r="E768" s="506"/>
      <c r="F768" s="506"/>
      <c r="G768" s="506"/>
      <c r="H768" s="506"/>
      <c r="I768" s="506"/>
      <c r="J768" s="506"/>
      <c r="K768" s="507"/>
      <c r="L768" s="508"/>
      <c r="M768" s="508"/>
      <c r="N768" s="508"/>
      <c r="O768" s="509"/>
      <c r="P768" s="509"/>
    </row>
    <row r="769" spans="1:16" ht="21.75" customHeight="1" x14ac:dyDescent="0.3">
      <c r="A769" s="504"/>
      <c r="B769" s="504"/>
      <c r="C769" s="504"/>
      <c r="D769" s="504"/>
      <c r="E769" s="506"/>
      <c r="F769" s="506"/>
      <c r="G769" s="506"/>
      <c r="H769" s="506"/>
      <c r="I769" s="506"/>
      <c r="J769" s="506"/>
      <c r="K769" s="507"/>
      <c r="L769" s="508"/>
      <c r="M769" s="508"/>
      <c r="N769" s="508"/>
      <c r="O769" s="509"/>
      <c r="P769" s="509"/>
    </row>
    <row r="770" spans="1:16" ht="21.75" customHeight="1" x14ac:dyDescent="0.3">
      <c r="A770" s="504"/>
      <c r="B770" s="504"/>
      <c r="C770" s="504"/>
      <c r="D770" s="504"/>
      <c r="E770" s="506"/>
      <c r="F770" s="506"/>
      <c r="G770" s="506"/>
      <c r="H770" s="506"/>
      <c r="I770" s="506"/>
      <c r="J770" s="506"/>
      <c r="K770" s="507"/>
      <c r="L770" s="508"/>
      <c r="M770" s="508"/>
      <c r="N770" s="508"/>
      <c r="O770" s="509"/>
      <c r="P770" s="509"/>
    </row>
    <row r="771" spans="1:16" ht="21.75" customHeight="1" x14ac:dyDescent="0.3">
      <c r="A771" s="504"/>
      <c r="B771" s="504"/>
      <c r="C771" s="504"/>
      <c r="D771" s="504"/>
      <c r="E771" s="506"/>
      <c r="F771" s="506"/>
      <c r="G771" s="506"/>
      <c r="H771" s="506"/>
      <c r="I771" s="506"/>
      <c r="J771" s="506"/>
      <c r="K771" s="507"/>
      <c r="L771" s="508"/>
      <c r="M771" s="508"/>
      <c r="N771" s="508"/>
      <c r="O771" s="509"/>
      <c r="P771" s="509"/>
    </row>
    <row r="772" spans="1:16" ht="21.75" customHeight="1" x14ac:dyDescent="0.3">
      <c r="A772" s="504"/>
      <c r="B772" s="504"/>
      <c r="C772" s="504"/>
      <c r="D772" s="504"/>
      <c r="E772" s="506"/>
      <c r="F772" s="506"/>
      <c r="G772" s="506"/>
      <c r="H772" s="506"/>
      <c r="I772" s="506"/>
      <c r="J772" s="506"/>
      <c r="K772" s="507"/>
      <c r="L772" s="508"/>
      <c r="M772" s="508"/>
      <c r="N772" s="508"/>
      <c r="O772" s="509"/>
      <c r="P772" s="509"/>
    </row>
    <row r="773" spans="1:16" ht="21.75" customHeight="1" x14ac:dyDescent="0.3">
      <c r="A773" s="504"/>
      <c r="B773" s="504"/>
      <c r="C773" s="504"/>
      <c r="D773" s="504"/>
      <c r="E773" s="506"/>
      <c r="F773" s="506"/>
      <c r="G773" s="506"/>
      <c r="H773" s="506"/>
      <c r="I773" s="506"/>
      <c r="J773" s="506"/>
      <c r="K773" s="507"/>
      <c r="L773" s="508"/>
      <c r="M773" s="508"/>
      <c r="N773" s="508"/>
      <c r="O773" s="509"/>
      <c r="P773" s="509"/>
    </row>
    <row r="774" spans="1:16" ht="21.75" customHeight="1" x14ac:dyDescent="0.3">
      <c r="A774" s="504"/>
      <c r="B774" s="504"/>
      <c r="C774" s="504"/>
      <c r="D774" s="504"/>
      <c r="E774" s="506"/>
      <c r="F774" s="506"/>
      <c r="G774" s="506"/>
      <c r="H774" s="506"/>
      <c r="I774" s="506"/>
      <c r="J774" s="506"/>
      <c r="K774" s="507"/>
      <c r="L774" s="508"/>
      <c r="M774" s="508"/>
      <c r="N774" s="508"/>
      <c r="O774" s="509"/>
      <c r="P774" s="509"/>
    </row>
    <row r="775" spans="1:16" ht="21.75" customHeight="1" x14ac:dyDescent="0.3">
      <c r="A775" s="504"/>
      <c r="B775" s="504"/>
      <c r="C775" s="504"/>
      <c r="D775" s="504"/>
      <c r="E775" s="506"/>
      <c r="F775" s="506"/>
      <c r="G775" s="506"/>
      <c r="H775" s="506"/>
      <c r="I775" s="506"/>
      <c r="J775" s="506"/>
      <c r="K775" s="507"/>
      <c r="L775" s="508"/>
      <c r="M775" s="508"/>
      <c r="N775" s="508"/>
      <c r="O775" s="509"/>
      <c r="P775" s="509"/>
    </row>
    <row r="776" spans="1:16" ht="21.75" customHeight="1" x14ac:dyDescent="0.3">
      <c r="A776" s="504"/>
      <c r="B776" s="504"/>
      <c r="C776" s="504"/>
      <c r="D776" s="504"/>
      <c r="E776" s="506"/>
      <c r="F776" s="506"/>
      <c r="G776" s="506"/>
      <c r="H776" s="506"/>
      <c r="I776" s="506"/>
      <c r="J776" s="506"/>
      <c r="K776" s="507"/>
      <c r="L776" s="508"/>
      <c r="M776" s="508"/>
      <c r="N776" s="508"/>
      <c r="O776" s="509"/>
      <c r="P776" s="509"/>
    </row>
    <row r="777" spans="1:16" ht="21.75" customHeight="1" x14ac:dyDescent="0.3">
      <c r="A777" s="504"/>
      <c r="B777" s="504"/>
      <c r="C777" s="504"/>
      <c r="D777" s="504"/>
      <c r="E777" s="506"/>
      <c r="F777" s="506"/>
      <c r="G777" s="506"/>
      <c r="H777" s="506"/>
      <c r="I777" s="506"/>
      <c r="J777" s="506"/>
      <c r="K777" s="507"/>
      <c r="L777" s="508"/>
      <c r="M777" s="508"/>
      <c r="N777" s="508"/>
      <c r="O777" s="509"/>
      <c r="P777" s="509"/>
    </row>
    <row r="778" spans="1:16" ht="21.75" customHeight="1" x14ac:dyDescent="0.3">
      <c r="A778" s="504"/>
      <c r="B778" s="504"/>
      <c r="C778" s="504"/>
      <c r="D778" s="504"/>
      <c r="E778" s="506"/>
      <c r="F778" s="506"/>
      <c r="G778" s="506"/>
      <c r="H778" s="506"/>
      <c r="I778" s="506"/>
      <c r="J778" s="506"/>
      <c r="K778" s="507"/>
      <c r="L778" s="508"/>
      <c r="M778" s="508"/>
      <c r="N778" s="508"/>
      <c r="O778" s="509"/>
      <c r="P778" s="509"/>
    </row>
    <row r="779" spans="1:16" ht="21.75" customHeight="1" x14ac:dyDescent="0.3">
      <c r="A779" s="504"/>
      <c r="B779" s="504"/>
      <c r="C779" s="504"/>
      <c r="D779" s="504"/>
      <c r="E779" s="506"/>
      <c r="F779" s="506"/>
      <c r="G779" s="506"/>
      <c r="H779" s="506"/>
      <c r="I779" s="506"/>
      <c r="J779" s="506"/>
      <c r="K779" s="507"/>
      <c r="L779" s="508"/>
      <c r="M779" s="508"/>
      <c r="N779" s="508"/>
      <c r="O779" s="509"/>
      <c r="P779" s="509"/>
    </row>
    <row r="780" spans="1:16" ht="21.75" customHeight="1" x14ac:dyDescent="0.3">
      <c r="A780" s="504"/>
      <c r="B780" s="504"/>
      <c r="C780" s="504"/>
      <c r="D780" s="504"/>
      <c r="E780" s="506"/>
      <c r="F780" s="506"/>
      <c r="G780" s="506"/>
      <c r="H780" s="506"/>
      <c r="I780" s="506"/>
      <c r="J780" s="506"/>
      <c r="K780" s="507"/>
      <c r="L780" s="508"/>
      <c r="M780" s="508"/>
      <c r="N780" s="508"/>
      <c r="O780" s="509"/>
      <c r="P780" s="509"/>
    </row>
    <row r="781" spans="1:16" ht="21.75" customHeight="1" x14ac:dyDescent="0.3">
      <c r="A781" s="504"/>
      <c r="B781" s="504"/>
      <c r="C781" s="504"/>
      <c r="D781" s="504"/>
      <c r="E781" s="506"/>
      <c r="F781" s="506"/>
      <c r="G781" s="506"/>
      <c r="H781" s="506"/>
      <c r="I781" s="506"/>
      <c r="J781" s="506"/>
      <c r="K781" s="507"/>
      <c r="L781" s="508"/>
      <c r="M781" s="508"/>
      <c r="N781" s="508"/>
      <c r="O781" s="509"/>
      <c r="P781" s="509"/>
    </row>
    <row r="782" spans="1:16" ht="21.75" customHeight="1" x14ac:dyDescent="0.3">
      <c r="A782" s="504"/>
      <c r="B782" s="504"/>
      <c r="C782" s="504"/>
      <c r="D782" s="504"/>
      <c r="E782" s="506"/>
      <c r="F782" s="506"/>
      <c r="G782" s="506"/>
      <c r="H782" s="506"/>
      <c r="I782" s="506"/>
      <c r="J782" s="506"/>
      <c r="K782" s="507"/>
      <c r="L782" s="508"/>
      <c r="M782" s="508"/>
      <c r="N782" s="508"/>
      <c r="O782" s="509"/>
      <c r="P782" s="509"/>
    </row>
    <row r="783" spans="1:16" ht="21.75" customHeight="1" x14ac:dyDescent="0.3">
      <c r="A783" s="504"/>
      <c r="B783" s="504"/>
      <c r="C783" s="504"/>
      <c r="D783" s="504"/>
      <c r="E783" s="506"/>
      <c r="F783" s="506"/>
      <c r="G783" s="506"/>
      <c r="H783" s="506"/>
      <c r="I783" s="506"/>
      <c r="J783" s="506"/>
      <c r="K783" s="507"/>
      <c r="L783" s="508"/>
      <c r="M783" s="508"/>
      <c r="N783" s="508"/>
      <c r="O783" s="509"/>
      <c r="P783" s="509"/>
    </row>
    <row r="784" spans="1:16" ht="21.75" customHeight="1" x14ac:dyDescent="0.3">
      <c r="A784" s="504"/>
      <c r="B784" s="504"/>
      <c r="C784" s="504"/>
      <c r="D784" s="504"/>
      <c r="E784" s="506"/>
      <c r="F784" s="506"/>
      <c r="G784" s="506"/>
      <c r="H784" s="506"/>
      <c r="I784" s="506"/>
      <c r="J784" s="506"/>
      <c r="K784" s="507"/>
      <c r="L784" s="508"/>
      <c r="M784" s="508"/>
      <c r="N784" s="508"/>
      <c r="O784" s="509"/>
      <c r="P784" s="509"/>
    </row>
    <row r="785" spans="1:16" ht="21.75" customHeight="1" x14ac:dyDescent="0.3">
      <c r="A785" s="504"/>
      <c r="B785" s="504"/>
      <c r="C785" s="504"/>
      <c r="D785" s="504"/>
      <c r="E785" s="506"/>
      <c r="F785" s="506"/>
      <c r="G785" s="506"/>
      <c r="H785" s="506"/>
      <c r="I785" s="506"/>
      <c r="J785" s="506"/>
      <c r="K785" s="507"/>
      <c r="L785" s="508"/>
      <c r="M785" s="508"/>
      <c r="N785" s="508"/>
      <c r="O785" s="509"/>
      <c r="P785" s="509"/>
    </row>
    <row r="786" spans="1:16" ht="21.75" customHeight="1" x14ac:dyDescent="0.3">
      <c r="A786" s="504"/>
      <c r="B786" s="504"/>
      <c r="C786" s="504"/>
      <c r="D786" s="504"/>
      <c r="E786" s="506"/>
      <c r="F786" s="506"/>
      <c r="G786" s="506"/>
      <c r="H786" s="506"/>
      <c r="I786" s="506"/>
      <c r="J786" s="506"/>
      <c r="K786" s="507"/>
      <c r="L786" s="508"/>
      <c r="M786" s="508"/>
      <c r="N786" s="508"/>
      <c r="O786" s="509"/>
      <c r="P786" s="509"/>
    </row>
    <row r="787" spans="1:16" ht="21.75" customHeight="1" x14ac:dyDescent="0.3">
      <c r="A787" s="504"/>
      <c r="B787" s="504"/>
      <c r="C787" s="504"/>
      <c r="D787" s="504"/>
      <c r="E787" s="506"/>
      <c r="F787" s="506"/>
      <c r="G787" s="506"/>
      <c r="H787" s="506"/>
      <c r="I787" s="506"/>
      <c r="J787" s="506"/>
      <c r="K787" s="507"/>
      <c r="L787" s="508"/>
      <c r="M787" s="508"/>
      <c r="N787" s="508"/>
      <c r="O787" s="509"/>
      <c r="P787" s="509"/>
    </row>
    <row r="788" spans="1:16" ht="21.75" customHeight="1" x14ac:dyDescent="0.3">
      <c r="A788" s="504"/>
      <c r="B788" s="504"/>
      <c r="C788" s="504"/>
      <c r="D788" s="504"/>
      <c r="E788" s="506"/>
      <c r="F788" s="506"/>
      <c r="G788" s="506"/>
      <c r="H788" s="506"/>
      <c r="I788" s="506"/>
      <c r="J788" s="506"/>
      <c r="K788" s="507"/>
      <c r="L788" s="508"/>
      <c r="M788" s="508"/>
      <c r="N788" s="508"/>
      <c r="O788" s="509"/>
      <c r="P788" s="509"/>
    </row>
    <row r="789" spans="1:16" ht="21.75" customHeight="1" x14ac:dyDescent="0.3">
      <c r="A789" s="504"/>
      <c r="B789" s="504"/>
      <c r="C789" s="504"/>
      <c r="D789" s="504"/>
      <c r="E789" s="506"/>
      <c r="F789" s="506"/>
      <c r="G789" s="506"/>
      <c r="H789" s="506"/>
      <c r="I789" s="506"/>
      <c r="J789" s="506"/>
      <c r="K789" s="507"/>
      <c r="L789" s="508"/>
      <c r="M789" s="508"/>
      <c r="N789" s="508"/>
      <c r="O789" s="509"/>
      <c r="P789" s="509"/>
    </row>
    <row r="790" spans="1:16" ht="21.75" customHeight="1" x14ac:dyDescent="0.3">
      <c r="A790" s="504"/>
      <c r="B790" s="504"/>
      <c r="C790" s="504"/>
      <c r="D790" s="504"/>
      <c r="E790" s="506"/>
      <c r="F790" s="506"/>
      <c r="G790" s="506"/>
      <c r="H790" s="506"/>
      <c r="I790" s="506"/>
      <c r="J790" s="506"/>
      <c r="K790" s="507"/>
      <c r="L790" s="508"/>
      <c r="M790" s="508"/>
      <c r="N790" s="508"/>
      <c r="O790" s="509"/>
      <c r="P790" s="509"/>
    </row>
    <row r="791" spans="1:16" ht="21.75" customHeight="1" x14ac:dyDescent="0.3">
      <c r="A791" s="504"/>
      <c r="B791" s="504"/>
      <c r="C791" s="504"/>
      <c r="D791" s="504"/>
      <c r="E791" s="506"/>
      <c r="F791" s="506"/>
      <c r="G791" s="506"/>
      <c r="H791" s="506"/>
      <c r="I791" s="506"/>
      <c r="J791" s="506"/>
      <c r="K791" s="507"/>
      <c r="L791" s="508"/>
      <c r="M791" s="508"/>
      <c r="N791" s="508"/>
      <c r="O791" s="509"/>
      <c r="P791" s="509"/>
    </row>
    <row r="792" spans="1:16" ht="21.75" customHeight="1" x14ac:dyDescent="0.3">
      <c r="A792" s="504"/>
      <c r="B792" s="504"/>
      <c r="C792" s="504"/>
      <c r="D792" s="504"/>
      <c r="E792" s="506"/>
      <c r="F792" s="506"/>
      <c r="G792" s="506"/>
      <c r="H792" s="506"/>
      <c r="I792" s="506"/>
      <c r="J792" s="506"/>
      <c r="K792" s="507"/>
      <c r="L792" s="508"/>
      <c r="M792" s="508"/>
      <c r="N792" s="508"/>
      <c r="O792" s="509"/>
      <c r="P792" s="509"/>
    </row>
    <row r="793" spans="1:16" ht="21.75" customHeight="1" x14ac:dyDescent="0.3">
      <c r="A793" s="504"/>
      <c r="B793" s="504"/>
      <c r="C793" s="504"/>
      <c r="D793" s="504"/>
      <c r="E793" s="506"/>
      <c r="F793" s="506"/>
      <c r="G793" s="506"/>
      <c r="H793" s="506"/>
      <c r="I793" s="506"/>
      <c r="J793" s="506"/>
      <c r="K793" s="507"/>
      <c r="L793" s="508"/>
      <c r="M793" s="508"/>
      <c r="N793" s="508"/>
      <c r="O793" s="509"/>
      <c r="P793" s="509"/>
    </row>
    <row r="794" spans="1:16" ht="21.75" customHeight="1" x14ac:dyDescent="0.3">
      <c r="A794" s="504"/>
      <c r="B794" s="504"/>
      <c r="C794" s="504"/>
      <c r="D794" s="504"/>
      <c r="E794" s="506"/>
      <c r="F794" s="506"/>
      <c r="G794" s="506"/>
      <c r="H794" s="506"/>
      <c r="I794" s="506"/>
      <c r="J794" s="506"/>
      <c r="K794" s="507"/>
      <c r="L794" s="508"/>
      <c r="M794" s="508"/>
      <c r="N794" s="508"/>
      <c r="O794" s="509"/>
      <c r="P794" s="509"/>
    </row>
    <row r="795" spans="1:16" ht="21.75" customHeight="1" x14ac:dyDescent="0.3">
      <c r="A795" s="504"/>
      <c r="B795" s="504"/>
      <c r="C795" s="504"/>
      <c r="D795" s="504"/>
      <c r="E795" s="506"/>
      <c r="F795" s="506"/>
      <c r="G795" s="506"/>
      <c r="H795" s="506"/>
      <c r="I795" s="506"/>
      <c r="J795" s="506"/>
      <c r="K795" s="507"/>
      <c r="L795" s="508"/>
      <c r="M795" s="508"/>
      <c r="N795" s="508"/>
      <c r="O795" s="509"/>
      <c r="P795" s="509"/>
    </row>
    <row r="796" spans="1:16" ht="21.75" customHeight="1" x14ac:dyDescent="0.3">
      <c r="A796" s="504"/>
      <c r="B796" s="504"/>
      <c r="C796" s="504"/>
      <c r="D796" s="504"/>
      <c r="E796" s="506"/>
      <c r="F796" s="506"/>
      <c r="G796" s="506"/>
      <c r="H796" s="506"/>
      <c r="I796" s="506"/>
      <c r="J796" s="506"/>
      <c r="K796" s="507"/>
      <c r="L796" s="508"/>
      <c r="M796" s="508"/>
      <c r="N796" s="508"/>
      <c r="O796" s="509"/>
      <c r="P796" s="509"/>
    </row>
    <row r="797" spans="1:16" ht="21.75" customHeight="1" x14ac:dyDescent="0.3">
      <c r="A797" s="504"/>
      <c r="B797" s="504"/>
      <c r="C797" s="504"/>
      <c r="D797" s="504"/>
      <c r="E797" s="506"/>
      <c r="F797" s="506"/>
      <c r="G797" s="506"/>
      <c r="H797" s="506"/>
      <c r="I797" s="506"/>
      <c r="J797" s="506"/>
      <c r="K797" s="507"/>
      <c r="L797" s="508"/>
      <c r="M797" s="508"/>
      <c r="N797" s="508"/>
      <c r="O797" s="509"/>
      <c r="P797" s="509"/>
    </row>
    <row r="798" spans="1:16" ht="21.75" customHeight="1" x14ac:dyDescent="0.3">
      <c r="A798" s="504"/>
      <c r="B798" s="504"/>
      <c r="C798" s="504"/>
      <c r="D798" s="504"/>
      <c r="E798" s="506"/>
      <c r="F798" s="506"/>
      <c r="G798" s="506"/>
      <c r="H798" s="506"/>
      <c r="I798" s="506"/>
      <c r="J798" s="506"/>
      <c r="K798" s="507"/>
      <c r="L798" s="508"/>
      <c r="M798" s="508"/>
      <c r="N798" s="508"/>
      <c r="O798" s="509"/>
      <c r="P798" s="509"/>
    </row>
    <row r="799" spans="1:16" ht="21.75" customHeight="1" x14ac:dyDescent="0.3">
      <c r="A799" s="504"/>
      <c r="B799" s="504"/>
      <c r="C799" s="504"/>
      <c r="D799" s="504"/>
      <c r="E799" s="506"/>
      <c r="F799" s="506"/>
      <c r="G799" s="506"/>
      <c r="H799" s="506"/>
      <c r="I799" s="506"/>
      <c r="J799" s="506"/>
      <c r="K799" s="507"/>
      <c r="L799" s="508"/>
      <c r="M799" s="508"/>
      <c r="N799" s="508"/>
      <c r="O799" s="509"/>
      <c r="P799" s="509"/>
    </row>
    <row r="800" spans="1:16" ht="21.75" customHeight="1" x14ac:dyDescent="0.3">
      <c r="A800" s="504"/>
      <c r="B800" s="504"/>
      <c r="C800" s="504"/>
      <c r="D800" s="504"/>
      <c r="E800" s="506"/>
      <c r="F800" s="506"/>
      <c r="G800" s="506"/>
      <c r="H800" s="506"/>
      <c r="I800" s="506"/>
      <c r="J800" s="506"/>
      <c r="K800" s="507"/>
      <c r="L800" s="508"/>
      <c r="M800" s="508"/>
      <c r="N800" s="508"/>
      <c r="O800" s="509"/>
      <c r="P800" s="509"/>
    </row>
    <row r="801" spans="1:16" ht="21.75" customHeight="1" x14ac:dyDescent="0.3">
      <c r="A801" s="504"/>
      <c r="B801" s="504"/>
      <c r="C801" s="504"/>
      <c r="D801" s="504"/>
      <c r="E801" s="506"/>
      <c r="F801" s="506"/>
      <c r="G801" s="506"/>
      <c r="H801" s="506"/>
      <c r="I801" s="506"/>
      <c r="J801" s="506"/>
      <c r="K801" s="507"/>
      <c r="L801" s="508"/>
      <c r="M801" s="508"/>
      <c r="N801" s="508"/>
      <c r="O801" s="509"/>
      <c r="P801" s="509"/>
    </row>
    <row r="802" spans="1:16" ht="21.75" customHeight="1" x14ac:dyDescent="0.3">
      <c r="A802" s="504"/>
      <c r="B802" s="504"/>
      <c r="C802" s="504"/>
      <c r="D802" s="504"/>
      <c r="E802" s="506"/>
      <c r="F802" s="506"/>
      <c r="G802" s="506"/>
      <c r="H802" s="506"/>
      <c r="I802" s="506"/>
      <c r="J802" s="506"/>
      <c r="K802" s="507"/>
      <c r="L802" s="508"/>
      <c r="M802" s="508"/>
      <c r="N802" s="508"/>
      <c r="O802" s="509"/>
      <c r="P802" s="509"/>
    </row>
    <row r="803" spans="1:16" ht="21.75" customHeight="1" x14ac:dyDescent="0.3">
      <c r="A803" s="504"/>
      <c r="B803" s="504"/>
      <c r="C803" s="504"/>
      <c r="D803" s="504"/>
      <c r="E803" s="506"/>
      <c r="F803" s="506"/>
      <c r="G803" s="506"/>
      <c r="H803" s="506"/>
      <c r="I803" s="506"/>
      <c r="J803" s="506"/>
      <c r="K803" s="507"/>
      <c r="L803" s="508"/>
      <c r="M803" s="508"/>
      <c r="N803" s="508"/>
      <c r="O803" s="509"/>
      <c r="P803" s="509"/>
    </row>
    <row r="804" spans="1:16" ht="21.75" customHeight="1" x14ac:dyDescent="0.3">
      <c r="A804" s="504"/>
      <c r="B804" s="504"/>
      <c r="C804" s="504"/>
      <c r="D804" s="504"/>
      <c r="E804" s="506"/>
      <c r="F804" s="506"/>
      <c r="G804" s="506"/>
      <c r="H804" s="506"/>
      <c r="I804" s="506"/>
      <c r="J804" s="506"/>
      <c r="K804" s="507"/>
      <c r="L804" s="508"/>
      <c r="M804" s="508"/>
      <c r="N804" s="508"/>
      <c r="O804" s="509"/>
      <c r="P804" s="509"/>
    </row>
    <row r="805" spans="1:16" ht="21.75" customHeight="1" x14ac:dyDescent="0.3">
      <c r="A805" s="504"/>
      <c r="B805" s="504"/>
      <c r="C805" s="504"/>
      <c r="D805" s="504"/>
      <c r="E805" s="506"/>
      <c r="F805" s="506"/>
      <c r="G805" s="506"/>
      <c r="H805" s="506"/>
      <c r="I805" s="506"/>
      <c r="J805" s="506"/>
      <c r="K805" s="507"/>
      <c r="L805" s="508"/>
      <c r="M805" s="508"/>
      <c r="N805" s="508"/>
      <c r="O805" s="509"/>
      <c r="P805" s="509"/>
    </row>
    <row r="806" spans="1:16" ht="21.75" customHeight="1" x14ac:dyDescent="0.3">
      <c r="A806" s="504"/>
      <c r="B806" s="504"/>
      <c r="C806" s="504"/>
      <c r="D806" s="504"/>
      <c r="E806" s="506"/>
      <c r="F806" s="506"/>
      <c r="G806" s="506"/>
      <c r="H806" s="506"/>
      <c r="I806" s="506"/>
      <c r="J806" s="506"/>
      <c r="K806" s="507"/>
      <c r="L806" s="508"/>
      <c r="M806" s="508"/>
      <c r="N806" s="508"/>
      <c r="O806" s="509"/>
      <c r="P806" s="509"/>
    </row>
    <row r="807" spans="1:16" ht="21.75" customHeight="1" x14ac:dyDescent="0.3">
      <c r="A807" s="504"/>
      <c r="B807" s="504"/>
      <c r="C807" s="504"/>
      <c r="D807" s="504"/>
      <c r="E807" s="506"/>
      <c r="F807" s="506"/>
      <c r="G807" s="506"/>
      <c r="H807" s="506"/>
      <c r="I807" s="506"/>
      <c r="J807" s="506"/>
      <c r="K807" s="507"/>
      <c r="L807" s="508"/>
      <c r="M807" s="508"/>
      <c r="N807" s="508"/>
      <c r="O807" s="509"/>
      <c r="P807" s="509"/>
    </row>
    <row r="808" spans="1:16" ht="21.75" customHeight="1" x14ac:dyDescent="0.3">
      <c r="A808" s="504"/>
      <c r="B808" s="504"/>
      <c r="C808" s="504"/>
      <c r="D808" s="504"/>
      <c r="E808" s="506"/>
      <c r="F808" s="506"/>
      <c r="G808" s="506"/>
      <c r="H808" s="506"/>
      <c r="I808" s="506"/>
      <c r="J808" s="506"/>
      <c r="K808" s="507"/>
      <c r="L808" s="508"/>
      <c r="M808" s="508"/>
      <c r="N808" s="508"/>
      <c r="O808" s="509"/>
      <c r="P808" s="509"/>
    </row>
    <row r="809" spans="1:16" ht="21.75" customHeight="1" x14ac:dyDescent="0.3">
      <c r="A809" s="504"/>
      <c r="B809" s="504"/>
      <c r="C809" s="504"/>
      <c r="D809" s="504"/>
      <c r="E809" s="506"/>
      <c r="F809" s="506"/>
      <c r="G809" s="506"/>
      <c r="H809" s="506"/>
      <c r="I809" s="506"/>
      <c r="J809" s="506"/>
      <c r="K809" s="507"/>
      <c r="L809" s="508"/>
      <c r="M809" s="508"/>
      <c r="N809" s="508"/>
      <c r="O809" s="509"/>
      <c r="P809" s="509"/>
    </row>
    <row r="810" spans="1:16" ht="21.75" customHeight="1" x14ac:dyDescent="0.3">
      <c r="A810" s="504"/>
      <c r="B810" s="504"/>
      <c r="C810" s="504"/>
      <c r="D810" s="504"/>
      <c r="E810" s="506"/>
      <c r="F810" s="506"/>
      <c r="G810" s="506"/>
      <c r="H810" s="506"/>
      <c r="I810" s="506"/>
      <c r="J810" s="506"/>
      <c r="K810" s="507"/>
      <c r="L810" s="508"/>
      <c r="M810" s="508"/>
      <c r="N810" s="508"/>
      <c r="O810" s="509"/>
      <c r="P810" s="509"/>
    </row>
    <row r="811" spans="1:16" ht="21.75" customHeight="1" x14ac:dyDescent="0.3">
      <c r="A811" s="504"/>
      <c r="B811" s="504"/>
      <c r="C811" s="504"/>
      <c r="D811" s="504"/>
      <c r="E811" s="506"/>
      <c r="F811" s="506"/>
      <c r="G811" s="506"/>
      <c r="H811" s="506"/>
      <c r="I811" s="506"/>
      <c r="J811" s="506"/>
      <c r="K811" s="507"/>
      <c r="L811" s="508"/>
      <c r="M811" s="508"/>
      <c r="N811" s="508"/>
      <c r="O811" s="509"/>
      <c r="P811" s="509"/>
    </row>
    <row r="812" spans="1:16" ht="21.75" customHeight="1" x14ac:dyDescent="0.3">
      <c r="A812" s="504"/>
      <c r="B812" s="504"/>
      <c r="C812" s="504"/>
      <c r="D812" s="504"/>
      <c r="E812" s="506"/>
      <c r="F812" s="506"/>
      <c r="G812" s="506"/>
      <c r="H812" s="506"/>
      <c r="I812" s="506"/>
      <c r="J812" s="506"/>
      <c r="K812" s="507"/>
      <c r="L812" s="508"/>
      <c r="M812" s="508"/>
      <c r="N812" s="508"/>
      <c r="O812" s="509"/>
      <c r="P812" s="509"/>
    </row>
    <row r="813" spans="1:16" ht="21.75" customHeight="1" x14ac:dyDescent="0.3">
      <c r="A813" s="504"/>
      <c r="B813" s="504"/>
      <c r="C813" s="504"/>
      <c r="D813" s="504"/>
      <c r="E813" s="506"/>
      <c r="F813" s="506"/>
      <c r="G813" s="506"/>
      <c r="H813" s="506"/>
      <c r="I813" s="506"/>
      <c r="J813" s="506"/>
      <c r="K813" s="507"/>
      <c r="L813" s="508"/>
      <c r="M813" s="508"/>
      <c r="N813" s="508"/>
      <c r="O813" s="509"/>
      <c r="P813" s="509"/>
    </row>
    <row r="814" spans="1:16" ht="21.75" customHeight="1" x14ac:dyDescent="0.3">
      <c r="A814" s="504"/>
      <c r="B814" s="504"/>
      <c r="C814" s="504"/>
      <c r="D814" s="504"/>
      <c r="E814" s="506"/>
      <c r="F814" s="506"/>
      <c r="G814" s="506"/>
      <c r="H814" s="506"/>
      <c r="I814" s="506"/>
      <c r="J814" s="506"/>
      <c r="K814" s="507"/>
      <c r="L814" s="508"/>
      <c r="M814" s="508"/>
      <c r="N814" s="508"/>
      <c r="O814" s="509"/>
      <c r="P814" s="509"/>
    </row>
    <row r="815" spans="1:16" ht="21.75" customHeight="1" x14ac:dyDescent="0.3">
      <c r="A815" s="504"/>
      <c r="B815" s="504"/>
      <c r="C815" s="504"/>
      <c r="D815" s="504"/>
      <c r="E815" s="506"/>
      <c r="F815" s="506"/>
      <c r="G815" s="506"/>
      <c r="H815" s="506"/>
      <c r="I815" s="506"/>
      <c r="J815" s="506"/>
      <c r="K815" s="507"/>
      <c r="L815" s="508"/>
      <c r="M815" s="508"/>
      <c r="N815" s="508"/>
      <c r="O815" s="509"/>
      <c r="P815" s="509"/>
    </row>
    <row r="816" spans="1:16" ht="21.75" customHeight="1" x14ac:dyDescent="0.3">
      <c r="A816" s="504"/>
      <c r="B816" s="504"/>
      <c r="C816" s="504"/>
      <c r="D816" s="504"/>
      <c r="E816" s="506"/>
      <c r="F816" s="506"/>
      <c r="G816" s="506"/>
      <c r="H816" s="506"/>
      <c r="I816" s="506"/>
      <c r="J816" s="506"/>
      <c r="K816" s="507"/>
      <c r="L816" s="508"/>
      <c r="M816" s="508"/>
      <c r="N816" s="508"/>
      <c r="O816" s="509"/>
      <c r="P816" s="509"/>
    </row>
    <row r="817" spans="1:16" ht="21.75" customHeight="1" x14ac:dyDescent="0.3">
      <c r="A817" s="504"/>
      <c r="B817" s="504"/>
      <c r="C817" s="504"/>
      <c r="D817" s="504"/>
      <c r="E817" s="506"/>
      <c r="F817" s="506"/>
      <c r="G817" s="506"/>
      <c r="H817" s="506"/>
      <c r="I817" s="506"/>
      <c r="J817" s="506"/>
      <c r="K817" s="507"/>
      <c r="L817" s="508"/>
      <c r="M817" s="508"/>
      <c r="N817" s="508"/>
      <c r="O817" s="509"/>
      <c r="P817" s="509"/>
    </row>
    <row r="818" spans="1:16" ht="21.75" customHeight="1" x14ac:dyDescent="0.3">
      <c r="A818" s="504"/>
      <c r="B818" s="504"/>
      <c r="C818" s="504"/>
      <c r="D818" s="504"/>
      <c r="E818" s="506"/>
      <c r="F818" s="506"/>
      <c r="G818" s="506"/>
      <c r="H818" s="506"/>
      <c r="I818" s="506"/>
      <c r="J818" s="506"/>
      <c r="K818" s="507"/>
      <c r="L818" s="508"/>
      <c r="M818" s="508"/>
      <c r="N818" s="508"/>
      <c r="O818" s="509"/>
      <c r="P818" s="509"/>
    </row>
    <row r="819" spans="1:16" ht="21.75" customHeight="1" x14ac:dyDescent="0.3">
      <c r="A819" s="504"/>
      <c r="B819" s="504"/>
      <c r="C819" s="504"/>
      <c r="D819" s="504"/>
      <c r="E819" s="506"/>
      <c r="F819" s="506"/>
      <c r="G819" s="506"/>
      <c r="H819" s="506"/>
      <c r="I819" s="506"/>
      <c r="J819" s="506"/>
      <c r="K819" s="507"/>
      <c r="L819" s="508"/>
      <c r="M819" s="508"/>
      <c r="N819" s="508"/>
      <c r="O819" s="509"/>
      <c r="P819" s="509"/>
    </row>
    <row r="820" spans="1:16" ht="21.75" customHeight="1" x14ac:dyDescent="0.3">
      <c r="A820" s="504"/>
      <c r="B820" s="504"/>
      <c r="C820" s="504"/>
      <c r="D820" s="504"/>
      <c r="E820" s="506"/>
      <c r="F820" s="506"/>
      <c r="G820" s="506"/>
      <c r="H820" s="506"/>
      <c r="I820" s="506"/>
      <c r="J820" s="506"/>
      <c r="K820" s="507"/>
      <c r="L820" s="508"/>
      <c r="M820" s="508"/>
      <c r="N820" s="508"/>
      <c r="O820" s="509"/>
      <c r="P820" s="509"/>
    </row>
    <row r="821" spans="1:16" ht="21.75" customHeight="1" x14ac:dyDescent="0.3">
      <c r="A821" s="504"/>
      <c r="B821" s="504"/>
      <c r="C821" s="504"/>
      <c r="D821" s="504"/>
      <c r="E821" s="506"/>
      <c r="F821" s="506"/>
      <c r="G821" s="506"/>
      <c r="H821" s="506"/>
      <c r="I821" s="506"/>
      <c r="J821" s="506"/>
      <c r="K821" s="507"/>
      <c r="L821" s="508"/>
      <c r="M821" s="508"/>
      <c r="N821" s="508"/>
      <c r="O821" s="509"/>
      <c r="P821" s="509"/>
    </row>
    <row r="822" spans="1:16" ht="21.75" customHeight="1" x14ac:dyDescent="0.3">
      <c r="A822" s="504"/>
      <c r="B822" s="504"/>
      <c r="C822" s="504"/>
      <c r="D822" s="504"/>
      <c r="E822" s="506"/>
      <c r="F822" s="506"/>
      <c r="G822" s="506"/>
      <c r="H822" s="506"/>
      <c r="I822" s="506"/>
      <c r="J822" s="506"/>
      <c r="K822" s="507"/>
      <c r="L822" s="508"/>
      <c r="M822" s="508"/>
      <c r="N822" s="508"/>
      <c r="O822" s="509"/>
      <c r="P822" s="509"/>
    </row>
    <row r="823" spans="1:16" ht="21.75" customHeight="1" x14ac:dyDescent="0.3">
      <c r="A823" s="504"/>
      <c r="B823" s="504"/>
      <c r="C823" s="504"/>
      <c r="D823" s="504"/>
      <c r="E823" s="506"/>
      <c r="F823" s="506"/>
      <c r="G823" s="506"/>
      <c r="H823" s="506"/>
      <c r="I823" s="506"/>
      <c r="J823" s="506"/>
      <c r="K823" s="507"/>
      <c r="L823" s="508"/>
      <c r="M823" s="508"/>
      <c r="N823" s="508"/>
      <c r="O823" s="509"/>
      <c r="P823" s="509"/>
    </row>
    <row r="824" spans="1:16" ht="21.75" customHeight="1" x14ac:dyDescent="0.3">
      <c r="A824" s="504"/>
      <c r="B824" s="504"/>
      <c r="C824" s="504"/>
      <c r="D824" s="504"/>
      <c r="E824" s="506"/>
      <c r="F824" s="506"/>
      <c r="G824" s="506"/>
      <c r="H824" s="506"/>
      <c r="I824" s="506"/>
      <c r="J824" s="506"/>
      <c r="K824" s="507"/>
      <c r="L824" s="508"/>
      <c r="M824" s="508"/>
      <c r="N824" s="508"/>
      <c r="O824" s="509"/>
      <c r="P824" s="509"/>
    </row>
    <row r="825" spans="1:16" ht="21.75" customHeight="1" x14ac:dyDescent="0.3">
      <c r="A825" s="504"/>
      <c r="B825" s="504"/>
      <c r="C825" s="504"/>
      <c r="D825" s="504"/>
      <c r="E825" s="506"/>
      <c r="F825" s="506"/>
      <c r="G825" s="506"/>
      <c r="H825" s="506"/>
      <c r="I825" s="506"/>
      <c r="J825" s="506"/>
      <c r="K825" s="507"/>
      <c r="L825" s="508"/>
      <c r="M825" s="508"/>
      <c r="N825" s="508"/>
      <c r="O825" s="509"/>
      <c r="P825" s="509"/>
    </row>
    <row r="826" spans="1:16" ht="21.75" customHeight="1" x14ac:dyDescent="0.3">
      <c r="A826" s="504"/>
      <c r="B826" s="504"/>
      <c r="C826" s="504"/>
      <c r="D826" s="504"/>
      <c r="E826" s="506"/>
      <c r="F826" s="506"/>
      <c r="G826" s="506"/>
      <c r="H826" s="506"/>
      <c r="I826" s="506"/>
      <c r="J826" s="506"/>
      <c r="K826" s="507"/>
      <c r="L826" s="508"/>
      <c r="M826" s="508"/>
      <c r="N826" s="508"/>
      <c r="O826" s="509"/>
      <c r="P826" s="509"/>
    </row>
    <row r="827" spans="1:16" ht="21.75" customHeight="1" x14ac:dyDescent="0.3">
      <c r="A827" s="504"/>
      <c r="B827" s="504"/>
      <c r="C827" s="504"/>
      <c r="D827" s="504"/>
      <c r="E827" s="506"/>
      <c r="F827" s="506"/>
      <c r="G827" s="506"/>
      <c r="H827" s="506"/>
      <c r="I827" s="506"/>
      <c r="J827" s="506"/>
      <c r="K827" s="507"/>
      <c r="L827" s="508"/>
      <c r="M827" s="508"/>
      <c r="N827" s="508"/>
      <c r="O827" s="509"/>
      <c r="P827" s="509"/>
    </row>
    <row r="828" spans="1:16" ht="21.75" customHeight="1" x14ac:dyDescent="0.3">
      <c r="A828" s="504"/>
      <c r="B828" s="504"/>
      <c r="C828" s="504"/>
      <c r="D828" s="504"/>
      <c r="E828" s="506"/>
      <c r="F828" s="506"/>
      <c r="G828" s="506"/>
      <c r="H828" s="506"/>
      <c r="I828" s="506"/>
      <c r="J828" s="506"/>
      <c r="K828" s="507"/>
      <c r="L828" s="508"/>
      <c r="M828" s="508"/>
      <c r="N828" s="508"/>
      <c r="O828" s="509"/>
      <c r="P828" s="509"/>
    </row>
    <row r="829" spans="1:16" ht="21.75" customHeight="1" x14ac:dyDescent="0.3">
      <c r="A829" s="504"/>
      <c r="B829" s="504"/>
      <c r="C829" s="504"/>
      <c r="D829" s="504"/>
      <c r="E829" s="506"/>
      <c r="F829" s="506"/>
      <c r="G829" s="506"/>
      <c r="H829" s="506"/>
      <c r="I829" s="506"/>
      <c r="J829" s="506"/>
      <c r="K829" s="507"/>
      <c r="L829" s="508"/>
      <c r="M829" s="508"/>
      <c r="N829" s="508"/>
      <c r="O829" s="509"/>
      <c r="P829" s="509"/>
    </row>
    <row r="830" spans="1:16" ht="21.75" customHeight="1" x14ac:dyDescent="0.3">
      <c r="A830" s="504"/>
      <c r="B830" s="504"/>
      <c r="C830" s="504"/>
      <c r="D830" s="504"/>
      <c r="E830" s="506"/>
      <c r="F830" s="506"/>
      <c r="G830" s="506"/>
      <c r="H830" s="506"/>
      <c r="I830" s="506"/>
      <c r="J830" s="506"/>
      <c r="K830" s="507"/>
      <c r="L830" s="508"/>
      <c r="M830" s="508"/>
      <c r="N830" s="508"/>
      <c r="O830" s="509"/>
      <c r="P830" s="509"/>
    </row>
    <row r="831" spans="1:16" ht="21.75" customHeight="1" x14ac:dyDescent="0.3">
      <c r="A831" s="504"/>
      <c r="B831" s="504"/>
      <c r="C831" s="504"/>
      <c r="D831" s="504"/>
      <c r="E831" s="506"/>
      <c r="F831" s="506"/>
      <c r="G831" s="506"/>
      <c r="H831" s="506"/>
      <c r="I831" s="506"/>
      <c r="J831" s="506"/>
      <c r="K831" s="507"/>
      <c r="L831" s="508"/>
      <c r="M831" s="508"/>
      <c r="N831" s="508"/>
      <c r="O831" s="509"/>
      <c r="P831" s="509"/>
    </row>
    <row r="832" spans="1:16" ht="21.75" customHeight="1" x14ac:dyDescent="0.3">
      <c r="A832" s="504"/>
      <c r="B832" s="504"/>
      <c r="C832" s="504"/>
      <c r="D832" s="504"/>
      <c r="E832" s="506"/>
      <c r="F832" s="506"/>
      <c r="G832" s="506"/>
      <c r="H832" s="506"/>
      <c r="I832" s="506"/>
      <c r="J832" s="506"/>
      <c r="K832" s="507"/>
      <c r="L832" s="508"/>
      <c r="M832" s="508"/>
      <c r="N832" s="508"/>
      <c r="O832" s="509"/>
      <c r="P832" s="509"/>
    </row>
    <row r="833" spans="1:16" ht="21.75" customHeight="1" x14ac:dyDescent="0.3">
      <c r="A833" s="504"/>
      <c r="B833" s="504"/>
      <c r="C833" s="504"/>
      <c r="D833" s="504"/>
      <c r="E833" s="506"/>
      <c r="F833" s="506"/>
      <c r="G833" s="506"/>
      <c r="H833" s="506"/>
      <c r="I833" s="506"/>
      <c r="J833" s="506"/>
      <c r="K833" s="507"/>
      <c r="L833" s="508"/>
      <c r="M833" s="508"/>
      <c r="N833" s="508"/>
      <c r="O833" s="509"/>
      <c r="P833" s="509"/>
    </row>
    <row r="834" spans="1:16" ht="21.75" customHeight="1" x14ac:dyDescent="0.3">
      <c r="A834" s="504"/>
      <c r="B834" s="504"/>
      <c r="C834" s="504"/>
      <c r="D834" s="504"/>
      <c r="E834" s="506"/>
      <c r="F834" s="506"/>
      <c r="G834" s="506"/>
      <c r="H834" s="506"/>
      <c r="I834" s="506"/>
      <c r="J834" s="506"/>
      <c r="K834" s="507"/>
      <c r="L834" s="508"/>
      <c r="M834" s="508"/>
      <c r="N834" s="508"/>
      <c r="O834" s="509"/>
      <c r="P834" s="509"/>
    </row>
    <row r="835" spans="1:16" ht="21.75" customHeight="1" x14ac:dyDescent="0.3">
      <c r="A835" s="504"/>
      <c r="B835" s="504"/>
      <c r="C835" s="504"/>
      <c r="D835" s="504"/>
      <c r="E835" s="506"/>
      <c r="F835" s="506"/>
      <c r="G835" s="506"/>
      <c r="H835" s="506"/>
      <c r="I835" s="506"/>
      <c r="J835" s="506"/>
      <c r="K835" s="507"/>
      <c r="L835" s="508"/>
      <c r="M835" s="508"/>
      <c r="N835" s="508"/>
      <c r="O835" s="509"/>
      <c r="P835" s="509"/>
    </row>
    <row r="836" spans="1:16" ht="21.75" customHeight="1" x14ac:dyDescent="0.3">
      <c r="A836" s="504"/>
      <c r="B836" s="504"/>
      <c r="C836" s="504"/>
      <c r="D836" s="504"/>
      <c r="E836" s="506"/>
      <c r="F836" s="506"/>
      <c r="G836" s="506"/>
      <c r="H836" s="506"/>
      <c r="I836" s="506"/>
      <c r="J836" s="506"/>
      <c r="K836" s="507"/>
      <c r="L836" s="508"/>
      <c r="M836" s="508"/>
      <c r="N836" s="508"/>
      <c r="O836" s="509"/>
      <c r="P836" s="509"/>
    </row>
    <row r="837" spans="1:16" ht="21.75" customHeight="1" x14ac:dyDescent="0.3">
      <c r="A837" s="504"/>
      <c r="B837" s="504"/>
      <c r="C837" s="504"/>
      <c r="D837" s="504"/>
      <c r="E837" s="506"/>
      <c r="F837" s="506"/>
      <c r="G837" s="506"/>
      <c r="H837" s="506"/>
      <c r="I837" s="506"/>
      <c r="J837" s="506"/>
      <c r="K837" s="507"/>
      <c r="L837" s="508"/>
      <c r="M837" s="508"/>
      <c r="N837" s="508"/>
      <c r="O837" s="509"/>
      <c r="P837" s="509"/>
    </row>
    <row r="838" spans="1:16" ht="21.75" customHeight="1" x14ac:dyDescent="0.3">
      <c r="A838" s="504"/>
      <c r="B838" s="504"/>
      <c r="C838" s="504"/>
      <c r="D838" s="504"/>
      <c r="E838" s="506"/>
      <c r="F838" s="506"/>
      <c r="G838" s="506"/>
      <c r="H838" s="506"/>
      <c r="I838" s="506"/>
      <c r="J838" s="506"/>
      <c r="K838" s="507"/>
      <c r="L838" s="508"/>
      <c r="M838" s="508"/>
      <c r="N838" s="508"/>
      <c r="O838" s="509"/>
      <c r="P838" s="509"/>
    </row>
    <row r="839" spans="1:16" ht="21.75" customHeight="1" x14ac:dyDescent="0.3">
      <c r="A839" s="504"/>
      <c r="B839" s="504"/>
      <c r="C839" s="504"/>
      <c r="D839" s="504"/>
      <c r="E839" s="506"/>
      <c r="F839" s="506"/>
      <c r="G839" s="506"/>
      <c r="H839" s="506"/>
      <c r="I839" s="506"/>
      <c r="J839" s="506"/>
      <c r="K839" s="507"/>
      <c r="L839" s="508"/>
      <c r="M839" s="508"/>
      <c r="N839" s="508"/>
      <c r="O839" s="509"/>
      <c r="P839" s="509"/>
    </row>
    <row r="840" spans="1:16" ht="21.75" customHeight="1" x14ac:dyDescent="0.3">
      <c r="A840" s="504"/>
      <c r="B840" s="504"/>
      <c r="C840" s="504"/>
      <c r="D840" s="504"/>
      <c r="E840" s="506"/>
      <c r="F840" s="506"/>
      <c r="G840" s="506"/>
      <c r="H840" s="506"/>
      <c r="I840" s="506"/>
      <c r="J840" s="506"/>
      <c r="K840" s="507"/>
      <c r="L840" s="508"/>
      <c r="M840" s="508"/>
      <c r="N840" s="508"/>
      <c r="O840" s="509"/>
      <c r="P840" s="509"/>
    </row>
    <row r="841" spans="1:16" ht="21.75" customHeight="1" x14ac:dyDescent="0.3">
      <c r="A841" s="504"/>
      <c r="B841" s="504"/>
      <c r="C841" s="504"/>
      <c r="D841" s="504"/>
      <c r="E841" s="506"/>
      <c r="F841" s="506"/>
      <c r="G841" s="506"/>
      <c r="H841" s="506"/>
      <c r="I841" s="506"/>
      <c r="J841" s="506"/>
      <c r="K841" s="507"/>
      <c r="L841" s="508"/>
      <c r="M841" s="508"/>
      <c r="N841" s="508"/>
      <c r="O841" s="509"/>
      <c r="P841" s="509"/>
    </row>
    <row r="842" spans="1:16" ht="21.75" customHeight="1" x14ac:dyDescent="0.3">
      <c r="A842" s="504"/>
      <c r="B842" s="504"/>
      <c r="C842" s="504"/>
      <c r="D842" s="504"/>
      <c r="E842" s="506"/>
      <c r="F842" s="506"/>
      <c r="G842" s="506"/>
      <c r="H842" s="506"/>
      <c r="I842" s="506"/>
      <c r="J842" s="506"/>
      <c r="K842" s="507"/>
      <c r="L842" s="508"/>
      <c r="M842" s="508"/>
      <c r="N842" s="508"/>
      <c r="O842" s="509"/>
      <c r="P842" s="509"/>
    </row>
    <row r="843" spans="1:16" ht="21.75" customHeight="1" x14ac:dyDescent="0.3">
      <c r="A843" s="504"/>
      <c r="B843" s="504"/>
      <c r="C843" s="504"/>
      <c r="D843" s="504"/>
      <c r="E843" s="506"/>
      <c r="F843" s="506"/>
      <c r="G843" s="506"/>
      <c r="H843" s="506"/>
      <c r="I843" s="506"/>
      <c r="J843" s="506"/>
      <c r="K843" s="507"/>
      <c r="L843" s="508"/>
      <c r="M843" s="508"/>
      <c r="N843" s="508"/>
      <c r="O843" s="509"/>
      <c r="P843" s="509"/>
    </row>
    <row r="844" spans="1:16" ht="21.75" customHeight="1" x14ac:dyDescent="0.3">
      <c r="A844" s="504"/>
      <c r="B844" s="504"/>
      <c r="C844" s="504"/>
      <c r="D844" s="504"/>
      <c r="E844" s="506"/>
      <c r="F844" s="506"/>
      <c r="G844" s="506"/>
      <c r="H844" s="506"/>
      <c r="I844" s="506"/>
      <c r="J844" s="506"/>
      <c r="K844" s="507"/>
      <c r="L844" s="508"/>
      <c r="M844" s="508"/>
      <c r="N844" s="508"/>
      <c r="O844" s="509"/>
      <c r="P844" s="509"/>
    </row>
    <row r="845" spans="1:16" ht="21.75" customHeight="1" x14ac:dyDescent="0.3">
      <c r="A845" s="504"/>
      <c r="B845" s="504"/>
      <c r="C845" s="504"/>
      <c r="D845" s="504"/>
      <c r="E845" s="506"/>
      <c r="F845" s="506"/>
      <c r="G845" s="506"/>
      <c r="H845" s="506"/>
      <c r="I845" s="506"/>
      <c r="J845" s="506"/>
      <c r="K845" s="507"/>
      <c r="L845" s="508"/>
      <c r="M845" s="508"/>
      <c r="N845" s="508"/>
      <c r="O845" s="509"/>
      <c r="P845" s="509"/>
    </row>
    <row r="846" spans="1:16" ht="21.75" customHeight="1" x14ac:dyDescent="0.3">
      <c r="A846" s="504"/>
      <c r="B846" s="504"/>
      <c r="C846" s="504"/>
      <c r="D846" s="504"/>
      <c r="E846" s="506"/>
      <c r="F846" s="506"/>
      <c r="G846" s="506"/>
      <c r="H846" s="506"/>
      <c r="I846" s="506"/>
      <c r="J846" s="506"/>
      <c r="K846" s="507"/>
      <c r="L846" s="508"/>
      <c r="M846" s="508"/>
      <c r="N846" s="508"/>
      <c r="O846" s="509"/>
      <c r="P846" s="509"/>
    </row>
    <row r="847" spans="1:16" ht="21.75" customHeight="1" x14ac:dyDescent="0.3">
      <c r="A847" s="504"/>
      <c r="B847" s="504"/>
      <c r="C847" s="504"/>
      <c r="D847" s="504"/>
      <c r="E847" s="506"/>
      <c r="F847" s="506"/>
      <c r="G847" s="506"/>
      <c r="H847" s="506"/>
      <c r="I847" s="506"/>
      <c r="J847" s="506"/>
      <c r="K847" s="507"/>
      <c r="L847" s="508"/>
      <c r="M847" s="508"/>
      <c r="N847" s="508"/>
      <c r="O847" s="509"/>
      <c r="P847" s="509"/>
    </row>
    <row r="848" spans="1:16" ht="21.75" customHeight="1" x14ac:dyDescent="0.3">
      <c r="A848" s="504"/>
      <c r="B848" s="504"/>
      <c r="C848" s="504"/>
      <c r="D848" s="504"/>
      <c r="E848" s="506"/>
      <c r="F848" s="506"/>
      <c r="G848" s="506"/>
      <c r="H848" s="506"/>
      <c r="I848" s="506"/>
      <c r="J848" s="506"/>
      <c r="K848" s="507"/>
      <c r="L848" s="508"/>
      <c r="M848" s="508"/>
      <c r="N848" s="508"/>
      <c r="O848" s="509"/>
      <c r="P848" s="509"/>
    </row>
    <row r="849" spans="1:16" ht="21.75" customHeight="1" x14ac:dyDescent="0.3">
      <c r="A849" s="504"/>
      <c r="B849" s="504"/>
      <c r="C849" s="504"/>
      <c r="D849" s="504"/>
      <c r="E849" s="506"/>
      <c r="F849" s="506"/>
      <c r="G849" s="506"/>
      <c r="H849" s="506"/>
      <c r="I849" s="506"/>
      <c r="J849" s="506"/>
      <c r="K849" s="507"/>
      <c r="L849" s="508"/>
      <c r="M849" s="508"/>
      <c r="N849" s="508"/>
      <c r="O849" s="509"/>
      <c r="P849" s="509"/>
    </row>
    <row r="850" spans="1:16" ht="21.75" customHeight="1" x14ac:dyDescent="0.3">
      <c r="A850" s="504"/>
      <c r="B850" s="504"/>
      <c r="C850" s="504"/>
      <c r="D850" s="504"/>
      <c r="E850" s="506"/>
      <c r="F850" s="506"/>
      <c r="G850" s="506"/>
      <c r="H850" s="506"/>
      <c r="I850" s="506"/>
      <c r="J850" s="506"/>
      <c r="K850" s="507"/>
      <c r="L850" s="508"/>
      <c r="M850" s="508"/>
      <c r="N850" s="508"/>
      <c r="O850" s="509"/>
      <c r="P850" s="509"/>
    </row>
    <row r="851" spans="1:16" ht="21.75" customHeight="1" x14ac:dyDescent="0.3">
      <c r="A851" s="504"/>
      <c r="B851" s="504"/>
      <c r="C851" s="504"/>
      <c r="D851" s="504"/>
      <c r="E851" s="506"/>
      <c r="F851" s="506"/>
      <c r="G851" s="506"/>
      <c r="H851" s="506"/>
      <c r="I851" s="506"/>
      <c r="J851" s="506"/>
      <c r="K851" s="507"/>
      <c r="L851" s="508"/>
      <c r="M851" s="508"/>
      <c r="N851" s="508"/>
      <c r="O851" s="509"/>
      <c r="P851" s="509"/>
    </row>
    <row r="852" spans="1:16" ht="21.75" customHeight="1" x14ac:dyDescent="0.3">
      <c r="A852" s="504"/>
      <c r="B852" s="504"/>
      <c r="C852" s="504"/>
      <c r="D852" s="504"/>
      <c r="E852" s="506"/>
      <c r="F852" s="506"/>
      <c r="G852" s="506"/>
      <c r="H852" s="506"/>
      <c r="I852" s="506"/>
      <c r="J852" s="506"/>
      <c r="K852" s="507"/>
      <c r="L852" s="508"/>
      <c r="M852" s="508"/>
      <c r="N852" s="508"/>
      <c r="O852" s="509"/>
      <c r="P852" s="509"/>
    </row>
    <row r="853" spans="1:16" ht="21.75" customHeight="1" x14ac:dyDescent="0.3">
      <c r="A853" s="504"/>
      <c r="B853" s="504"/>
      <c r="C853" s="504"/>
      <c r="D853" s="504"/>
      <c r="E853" s="506"/>
      <c r="F853" s="506"/>
      <c r="G853" s="506"/>
      <c r="H853" s="506"/>
      <c r="I853" s="506"/>
      <c r="J853" s="506"/>
      <c r="K853" s="507"/>
      <c r="L853" s="508"/>
      <c r="M853" s="508"/>
      <c r="N853" s="508"/>
      <c r="O853" s="509"/>
      <c r="P853" s="509"/>
    </row>
    <row r="854" spans="1:16" ht="21.75" customHeight="1" x14ac:dyDescent="0.3">
      <c r="A854" s="504"/>
      <c r="B854" s="504"/>
      <c r="C854" s="504"/>
      <c r="D854" s="504"/>
      <c r="E854" s="506"/>
      <c r="F854" s="506"/>
      <c r="G854" s="506"/>
      <c r="H854" s="506"/>
      <c r="I854" s="506"/>
      <c r="J854" s="506"/>
      <c r="K854" s="507"/>
      <c r="L854" s="508"/>
      <c r="M854" s="508"/>
      <c r="N854" s="508"/>
      <c r="O854" s="509"/>
      <c r="P854" s="509"/>
    </row>
    <row r="855" spans="1:16" ht="21.75" customHeight="1" x14ac:dyDescent="0.3">
      <c r="A855" s="504"/>
      <c r="B855" s="504"/>
      <c r="C855" s="504"/>
      <c r="D855" s="504"/>
      <c r="E855" s="506"/>
      <c r="F855" s="506"/>
      <c r="G855" s="506"/>
      <c r="H855" s="506"/>
      <c r="I855" s="506"/>
      <c r="J855" s="506"/>
      <c r="K855" s="507"/>
      <c r="L855" s="508"/>
      <c r="M855" s="508"/>
      <c r="N855" s="508"/>
      <c r="O855" s="509"/>
      <c r="P855" s="509"/>
    </row>
    <row r="856" spans="1:16" ht="21.75" customHeight="1" x14ac:dyDescent="0.3">
      <c r="A856" s="504"/>
      <c r="B856" s="504"/>
      <c r="C856" s="504"/>
      <c r="D856" s="504"/>
      <c r="E856" s="506"/>
      <c r="F856" s="506"/>
      <c r="G856" s="506"/>
      <c r="H856" s="506"/>
      <c r="I856" s="506"/>
      <c r="J856" s="506"/>
      <c r="K856" s="507"/>
      <c r="L856" s="508"/>
      <c r="M856" s="508"/>
      <c r="N856" s="508"/>
      <c r="O856" s="509"/>
      <c r="P856" s="509"/>
    </row>
    <row r="857" spans="1:16" ht="21.75" customHeight="1" x14ac:dyDescent="0.3">
      <c r="A857" s="504"/>
      <c r="B857" s="504"/>
      <c r="C857" s="504"/>
      <c r="D857" s="504"/>
      <c r="E857" s="506"/>
      <c r="F857" s="506"/>
      <c r="G857" s="506"/>
      <c r="H857" s="506"/>
      <c r="I857" s="506"/>
      <c r="J857" s="506"/>
      <c r="K857" s="507"/>
      <c r="L857" s="508"/>
      <c r="M857" s="508"/>
      <c r="N857" s="508"/>
      <c r="O857" s="509"/>
      <c r="P857" s="509"/>
    </row>
    <row r="858" spans="1:16" ht="21.75" customHeight="1" x14ac:dyDescent="0.3">
      <c r="A858" s="504"/>
      <c r="B858" s="504"/>
      <c r="C858" s="504"/>
      <c r="D858" s="504"/>
      <c r="E858" s="506"/>
      <c r="F858" s="506"/>
      <c r="G858" s="506"/>
      <c r="H858" s="506"/>
      <c r="I858" s="506"/>
      <c r="J858" s="506"/>
      <c r="K858" s="507"/>
      <c r="L858" s="508"/>
      <c r="M858" s="508"/>
      <c r="N858" s="508"/>
      <c r="O858" s="509"/>
      <c r="P858" s="509"/>
    </row>
    <row r="859" spans="1:16" ht="21.75" customHeight="1" x14ac:dyDescent="0.3">
      <c r="A859" s="504"/>
      <c r="B859" s="504"/>
      <c r="C859" s="504"/>
      <c r="D859" s="504"/>
      <c r="E859" s="506"/>
      <c r="F859" s="506"/>
      <c r="G859" s="506"/>
      <c r="H859" s="506"/>
      <c r="I859" s="506"/>
      <c r="J859" s="506"/>
      <c r="K859" s="507"/>
      <c r="L859" s="508"/>
      <c r="M859" s="508"/>
      <c r="N859" s="508"/>
      <c r="O859" s="509"/>
      <c r="P859" s="509"/>
    </row>
    <row r="860" spans="1:16" ht="21.75" customHeight="1" x14ac:dyDescent="0.3">
      <c r="A860" s="504"/>
      <c r="B860" s="504"/>
      <c r="C860" s="504"/>
      <c r="D860" s="504"/>
      <c r="E860" s="506"/>
      <c r="F860" s="506"/>
      <c r="G860" s="506"/>
      <c r="H860" s="506"/>
      <c r="I860" s="506"/>
      <c r="J860" s="506"/>
      <c r="K860" s="507"/>
      <c r="L860" s="508"/>
      <c r="M860" s="508"/>
      <c r="N860" s="508"/>
      <c r="O860" s="509"/>
      <c r="P860" s="509"/>
    </row>
    <row r="861" spans="1:16" ht="21.75" customHeight="1" x14ac:dyDescent="0.3">
      <c r="A861" s="504"/>
      <c r="B861" s="504"/>
      <c r="C861" s="504"/>
      <c r="D861" s="504"/>
      <c r="E861" s="506"/>
      <c r="F861" s="506"/>
      <c r="G861" s="506"/>
      <c r="H861" s="506"/>
      <c r="I861" s="506"/>
      <c r="J861" s="506"/>
      <c r="K861" s="507"/>
      <c r="L861" s="508"/>
      <c r="M861" s="508"/>
      <c r="N861" s="508"/>
      <c r="O861" s="509"/>
      <c r="P861" s="509"/>
    </row>
    <row r="862" spans="1:16" ht="21.75" customHeight="1" x14ac:dyDescent="0.3">
      <c r="A862" s="504"/>
      <c r="B862" s="504"/>
      <c r="C862" s="504"/>
      <c r="D862" s="504"/>
      <c r="E862" s="506"/>
      <c r="F862" s="506"/>
      <c r="G862" s="506"/>
      <c r="H862" s="506"/>
      <c r="I862" s="506"/>
      <c r="J862" s="506"/>
      <c r="K862" s="507"/>
      <c r="L862" s="508"/>
      <c r="M862" s="508"/>
      <c r="N862" s="508"/>
      <c r="O862" s="509"/>
      <c r="P862" s="509"/>
    </row>
    <row r="863" spans="1:16" ht="21.75" customHeight="1" x14ac:dyDescent="0.3">
      <c r="A863" s="504"/>
      <c r="B863" s="504"/>
      <c r="C863" s="504"/>
      <c r="D863" s="504"/>
      <c r="E863" s="506"/>
      <c r="F863" s="506"/>
      <c r="G863" s="506"/>
      <c r="H863" s="506"/>
      <c r="I863" s="506"/>
      <c r="J863" s="506"/>
      <c r="K863" s="507"/>
      <c r="L863" s="508"/>
      <c r="M863" s="508"/>
      <c r="N863" s="508"/>
      <c r="O863" s="509"/>
      <c r="P863" s="509"/>
    </row>
    <row r="864" spans="1:16" ht="21.75" customHeight="1" x14ac:dyDescent="0.3">
      <c r="A864" s="504"/>
      <c r="B864" s="504"/>
      <c r="C864" s="504"/>
      <c r="D864" s="504"/>
      <c r="E864" s="506"/>
      <c r="F864" s="506"/>
      <c r="G864" s="506"/>
      <c r="H864" s="506"/>
      <c r="I864" s="506"/>
      <c r="J864" s="506"/>
      <c r="K864" s="507"/>
      <c r="L864" s="508"/>
      <c r="M864" s="508"/>
      <c r="N864" s="508"/>
      <c r="O864" s="509"/>
      <c r="P864" s="509"/>
    </row>
    <row r="865" spans="1:16" ht="21.75" customHeight="1" x14ac:dyDescent="0.3">
      <c r="A865" s="504"/>
      <c r="B865" s="504"/>
      <c r="C865" s="504"/>
      <c r="D865" s="504"/>
      <c r="E865" s="506"/>
      <c r="F865" s="506"/>
      <c r="G865" s="506"/>
      <c r="H865" s="506"/>
      <c r="I865" s="506"/>
      <c r="J865" s="506"/>
      <c r="K865" s="507"/>
      <c r="L865" s="508"/>
      <c r="M865" s="508"/>
      <c r="N865" s="508"/>
      <c r="O865" s="509"/>
      <c r="P865" s="509"/>
    </row>
    <row r="866" spans="1:16" ht="21.75" customHeight="1" x14ac:dyDescent="0.3">
      <c r="A866" s="504"/>
      <c r="B866" s="504"/>
      <c r="C866" s="504"/>
      <c r="D866" s="504"/>
      <c r="E866" s="506"/>
      <c r="F866" s="506"/>
      <c r="G866" s="506"/>
      <c r="H866" s="506"/>
      <c r="I866" s="506"/>
      <c r="J866" s="506"/>
      <c r="K866" s="507"/>
      <c r="L866" s="508"/>
      <c r="M866" s="508"/>
      <c r="N866" s="508"/>
      <c r="O866" s="509"/>
      <c r="P866" s="509"/>
    </row>
    <row r="867" spans="1:16" ht="21.75" customHeight="1" x14ac:dyDescent="0.3">
      <c r="A867" s="504"/>
      <c r="B867" s="504"/>
      <c r="C867" s="504"/>
      <c r="D867" s="504"/>
      <c r="E867" s="506"/>
      <c r="F867" s="506"/>
      <c r="G867" s="506"/>
      <c r="H867" s="506"/>
      <c r="I867" s="506"/>
      <c r="J867" s="506"/>
      <c r="K867" s="507"/>
      <c r="L867" s="508"/>
      <c r="M867" s="508"/>
      <c r="N867" s="508"/>
      <c r="O867" s="509"/>
      <c r="P867" s="509"/>
    </row>
    <row r="868" spans="1:16" ht="21.75" customHeight="1" x14ac:dyDescent="0.3">
      <c r="A868" s="504"/>
      <c r="B868" s="504"/>
      <c r="C868" s="504"/>
      <c r="D868" s="504"/>
      <c r="E868" s="506"/>
      <c r="F868" s="506"/>
      <c r="G868" s="506"/>
      <c r="H868" s="506"/>
      <c r="I868" s="506"/>
      <c r="J868" s="506"/>
      <c r="K868" s="507"/>
      <c r="L868" s="508"/>
      <c r="M868" s="508"/>
      <c r="N868" s="508"/>
      <c r="O868" s="509"/>
      <c r="P868" s="509"/>
    </row>
    <row r="869" spans="1:16" ht="21.75" customHeight="1" x14ac:dyDescent="0.3">
      <c r="A869" s="504"/>
      <c r="B869" s="504"/>
      <c r="C869" s="504"/>
      <c r="D869" s="504"/>
      <c r="E869" s="506"/>
      <c r="F869" s="506"/>
      <c r="G869" s="506"/>
      <c r="H869" s="506"/>
      <c r="I869" s="506"/>
      <c r="J869" s="506"/>
      <c r="K869" s="507"/>
      <c r="L869" s="508"/>
      <c r="M869" s="508"/>
      <c r="N869" s="508"/>
      <c r="O869" s="509"/>
      <c r="P869" s="509"/>
    </row>
    <row r="870" spans="1:16" ht="21.75" customHeight="1" x14ac:dyDescent="0.3">
      <c r="A870" s="504"/>
      <c r="B870" s="504"/>
      <c r="C870" s="504"/>
      <c r="D870" s="504"/>
      <c r="E870" s="506"/>
      <c r="F870" s="506"/>
      <c r="G870" s="506"/>
      <c r="H870" s="506"/>
      <c r="I870" s="506"/>
      <c r="J870" s="506"/>
      <c r="K870" s="507"/>
      <c r="L870" s="508"/>
      <c r="M870" s="508"/>
      <c r="N870" s="508"/>
      <c r="O870" s="509"/>
      <c r="P870" s="509"/>
    </row>
    <row r="871" spans="1:16" ht="21.75" customHeight="1" x14ac:dyDescent="0.3">
      <c r="A871" s="504"/>
      <c r="B871" s="504"/>
      <c r="C871" s="504"/>
      <c r="D871" s="504"/>
      <c r="E871" s="506"/>
      <c r="F871" s="506"/>
      <c r="G871" s="506"/>
      <c r="H871" s="506"/>
      <c r="I871" s="506"/>
      <c r="J871" s="506"/>
      <c r="K871" s="507"/>
      <c r="L871" s="508"/>
      <c r="M871" s="508"/>
      <c r="N871" s="508"/>
      <c r="O871" s="509"/>
      <c r="P871" s="509"/>
    </row>
    <row r="872" spans="1:16" ht="21.75" customHeight="1" x14ac:dyDescent="0.3">
      <c r="A872" s="504"/>
      <c r="B872" s="504"/>
      <c r="C872" s="504"/>
      <c r="D872" s="504"/>
      <c r="E872" s="506"/>
      <c r="F872" s="506"/>
      <c r="G872" s="506"/>
      <c r="H872" s="506"/>
      <c r="I872" s="506"/>
      <c r="J872" s="506"/>
      <c r="K872" s="507"/>
      <c r="L872" s="508"/>
      <c r="M872" s="508"/>
      <c r="N872" s="508"/>
      <c r="O872" s="509"/>
      <c r="P872" s="509"/>
    </row>
    <row r="873" spans="1:16" ht="21.75" customHeight="1" x14ac:dyDescent="0.3">
      <c r="A873" s="504"/>
      <c r="B873" s="504"/>
      <c r="C873" s="504"/>
      <c r="D873" s="504"/>
      <c r="E873" s="506"/>
      <c r="F873" s="506"/>
      <c r="G873" s="506"/>
      <c r="H873" s="506"/>
      <c r="I873" s="506"/>
      <c r="J873" s="506"/>
      <c r="K873" s="507"/>
      <c r="L873" s="508"/>
      <c r="M873" s="508"/>
      <c r="N873" s="508"/>
      <c r="O873" s="509"/>
      <c r="P873" s="509"/>
    </row>
    <row r="874" spans="1:16" ht="21.75" customHeight="1" x14ac:dyDescent="0.3">
      <c r="A874" s="504"/>
      <c r="B874" s="504"/>
      <c r="C874" s="504"/>
      <c r="D874" s="504"/>
      <c r="E874" s="506"/>
      <c r="F874" s="506"/>
      <c r="G874" s="506"/>
      <c r="H874" s="506"/>
      <c r="I874" s="506"/>
      <c r="J874" s="506"/>
      <c r="K874" s="507"/>
      <c r="L874" s="508"/>
      <c r="M874" s="508"/>
      <c r="N874" s="508"/>
      <c r="O874" s="509"/>
      <c r="P874" s="509"/>
    </row>
    <row r="875" spans="1:16" ht="21.75" customHeight="1" x14ac:dyDescent="0.3">
      <c r="A875" s="504"/>
      <c r="B875" s="504"/>
      <c r="C875" s="504"/>
      <c r="D875" s="504"/>
      <c r="E875" s="506"/>
      <c r="F875" s="506"/>
      <c r="G875" s="506"/>
      <c r="H875" s="506"/>
      <c r="I875" s="506"/>
      <c r="J875" s="506"/>
      <c r="K875" s="507"/>
      <c r="L875" s="508"/>
      <c r="M875" s="508"/>
      <c r="N875" s="508"/>
      <c r="O875" s="509"/>
      <c r="P875" s="509"/>
    </row>
    <row r="876" spans="1:16" ht="21.75" customHeight="1" x14ac:dyDescent="0.3">
      <c r="A876" s="504"/>
      <c r="B876" s="504"/>
      <c r="C876" s="504"/>
      <c r="D876" s="504"/>
      <c r="E876" s="506"/>
      <c r="F876" s="506"/>
      <c r="G876" s="506"/>
      <c r="H876" s="506"/>
      <c r="I876" s="506"/>
      <c r="J876" s="506"/>
      <c r="K876" s="507"/>
      <c r="L876" s="508"/>
      <c r="M876" s="508"/>
      <c r="N876" s="508"/>
      <c r="O876" s="509"/>
      <c r="P876" s="509"/>
    </row>
    <row r="877" spans="1:16" ht="21.75" customHeight="1" x14ac:dyDescent="0.3">
      <c r="A877" s="504"/>
      <c r="B877" s="504"/>
      <c r="C877" s="504"/>
      <c r="D877" s="504"/>
      <c r="E877" s="506"/>
      <c r="F877" s="506"/>
      <c r="G877" s="506"/>
      <c r="H877" s="506"/>
      <c r="I877" s="506"/>
      <c r="J877" s="506"/>
      <c r="K877" s="507"/>
      <c r="L877" s="508"/>
      <c r="M877" s="508"/>
      <c r="N877" s="508"/>
      <c r="O877" s="509"/>
      <c r="P877" s="509"/>
    </row>
    <row r="878" spans="1:16" ht="21.75" customHeight="1" x14ac:dyDescent="0.3">
      <c r="A878" s="504"/>
      <c r="B878" s="504"/>
      <c r="C878" s="504"/>
      <c r="D878" s="504"/>
      <c r="E878" s="506"/>
      <c r="F878" s="506"/>
      <c r="G878" s="506"/>
      <c r="H878" s="506"/>
      <c r="I878" s="506"/>
      <c r="J878" s="506"/>
      <c r="K878" s="507"/>
      <c r="L878" s="508"/>
      <c r="M878" s="508"/>
      <c r="N878" s="508"/>
      <c r="O878" s="509"/>
      <c r="P878" s="509"/>
    </row>
    <row r="879" spans="1:16" ht="21.75" customHeight="1" x14ac:dyDescent="0.3">
      <c r="A879" s="504"/>
      <c r="B879" s="504"/>
      <c r="C879" s="504"/>
      <c r="D879" s="504"/>
      <c r="E879" s="506"/>
      <c r="F879" s="506"/>
      <c r="G879" s="506"/>
      <c r="H879" s="506"/>
      <c r="I879" s="506"/>
      <c r="J879" s="506"/>
      <c r="K879" s="507"/>
      <c r="L879" s="508"/>
      <c r="M879" s="508"/>
      <c r="N879" s="508"/>
      <c r="O879" s="509"/>
      <c r="P879" s="509"/>
    </row>
    <row r="880" spans="1:16" ht="21.75" customHeight="1" x14ac:dyDescent="0.3">
      <c r="A880" s="504"/>
      <c r="B880" s="504"/>
      <c r="C880" s="504"/>
      <c r="D880" s="504"/>
      <c r="E880" s="506"/>
      <c r="F880" s="506"/>
      <c r="G880" s="506"/>
      <c r="H880" s="506"/>
      <c r="I880" s="506"/>
      <c r="J880" s="506"/>
      <c r="K880" s="507"/>
      <c r="L880" s="508"/>
      <c r="M880" s="508"/>
      <c r="N880" s="508"/>
      <c r="O880" s="509"/>
      <c r="P880" s="509"/>
    </row>
    <row r="881" spans="1:16" ht="21.75" customHeight="1" x14ac:dyDescent="0.3">
      <c r="A881" s="504"/>
      <c r="B881" s="504"/>
      <c r="C881" s="504"/>
      <c r="D881" s="504"/>
      <c r="E881" s="506"/>
      <c r="F881" s="506"/>
      <c r="G881" s="506"/>
      <c r="H881" s="506"/>
      <c r="I881" s="506"/>
      <c r="J881" s="506"/>
      <c r="K881" s="507"/>
      <c r="L881" s="508"/>
      <c r="M881" s="508"/>
      <c r="N881" s="508"/>
      <c r="O881" s="509"/>
      <c r="P881" s="509"/>
    </row>
    <row r="882" spans="1:16" ht="21.75" customHeight="1" x14ac:dyDescent="0.3">
      <c r="A882" s="504"/>
      <c r="B882" s="504"/>
      <c r="C882" s="504"/>
      <c r="D882" s="504"/>
      <c r="E882" s="506"/>
      <c r="F882" s="506"/>
      <c r="G882" s="506"/>
      <c r="H882" s="506"/>
      <c r="I882" s="506"/>
      <c r="J882" s="506"/>
      <c r="K882" s="507"/>
      <c r="L882" s="508"/>
      <c r="M882" s="508"/>
      <c r="N882" s="508"/>
      <c r="O882" s="509"/>
      <c r="P882" s="509"/>
    </row>
    <row r="883" spans="1:16" ht="21.75" customHeight="1" x14ac:dyDescent="0.3">
      <c r="A883" s="504"/>
      <c r="B883" s="504"/>
      <c r="C883" s="504"/>
      <c r="D883" s="504"/>
      <c r="E883" s="506"/>
      <c r="F883" s="506"/>
      <c r="G883" s="506"/>
      <c r="H883" s="506"/>
      <c r="I883" s="506"/>
      <c r="J883" s="506"/>
      <c r="K883" s="507"/>
      <c r="L883" s="508"/>
      <c r="M883" s="508"/>
      <c r="N883" s="508"/>
      <c r="O883" s="509"/>
      <c r="P883" s="509"/>
    </row>
    <row r="884" spans="1:16" ht="21.75" customHeight="1" x14ac:dyDescent="0.3">
      <c r="A884" s="504"/>
      <c r="B884" s="504"/>
      <c r="C884" s="504"/>
      <c r="D884" s="504"/>
      <c r="E884" s="506"/>
      <c r="F884" s="506"/>
      <c r="G884" s="506"/>
      <c r="H884" s="506"/>
      <c r="I884" s="506"/>
      <c r="J884" s="506"/>
      <c r="K884" s="507"/>
      <c r="L884" s="508"/>
      <c r="M884" s="508"/>
      <c r="N884" s="508"/>
      <c r="O884" s="509"/>
      <c r="P884" s="509"/>
    </row>
    <row r="885" spans="1:16" ht="21.75" customHeight="1" x14ac:dyDescent="0.3">
      <c r="A885" s="504"/>
      <c r="B885" s="504"/>
      <c r="C885" s="504"/>
      <c r="D885" s="504"/>
      <c r="E885" s="506"/>
      <c r="F885" s="506"/>
      <c r="G885" s="506"/>
      <c r="H885" s="506"/>
      <c r="I885" s="506"/>
      <c r="J885" s="506"/>
      <c r="K885" s="507"/>
      <c r="L885" s="508"/>
      <c r="M885" s="508"/>
      <c r="N885" s="508"/>
      <c r="O885" s="509"/>
      <c r="P885" s="509"/>
    </row>
    <row r="886" spans="1:16" ht="21.75" customHeight="1" x14ac:dyDescent="0.3">
      <c r="A886" s="504"/>
      <c r="B886" s="504"/>
      <c r="C886" s="504"/>
      <c r="D886" s="504"/>
      <c r="E886" s="506"/>
      <c r="F886" s="506"/>
      <c r="G886" s="506"/>
      <c r="H886" s="506"/>
      <c r="I886" s="506"/>
      <c r="J886" s="506"/>
      <c r="K886" s="507"/>
      <c r="L886" s="508"/>
      <c r="M886" s="508"/>
      <c r="N886" s="508"/>
      <c r="O886" s="509"/>
      <c r="P886" s="509"/>
    </row>
    <row r="887" spans="1:16" ht="21.75" customHeight="1" x14ac:dyDescent="0.3">
      <c r="A887" s="504"/>
      <c r="B887" s="504"/>
      <c r="C887" s="504"/>
      <c r="D887" s="504"/>
      <c r="E887" s="506"/>
      <c r="F887" s="506"/>
      <c r="G887" s="506"/>
      <c r="H887" s="506"/>
      <c r="I887" s="506"/>
      <c r="J887" s="506"/>
      <c r="K887" s="507"/>
      <c r="L887" s="508"/>
      <c r="M887" s="508"/>
      <c r="N887" s="508"/>
      <c r="O887" s="509"/>
      <c r="P887" s="509"/>
    </row>
    <row r="888" spans="1:16" ht="21.75" customHeight="1" x14ac:dyDescent="0.3">
      <c r="A888" s="504"/>
      <c r="B888" s="504"/>
      <c r="C888" s="504"/>
      <c r="D888" s="504"/>
      <c r="E888" s="506"/>
      <c r="F888" s="506"/>
      <c r="G888" s="506"/>
      <c r="H888" s="506"/>
      <c r="I888" s="506"/>
      <c r="J888" s="506"/>
      <c r="K888" s="507"/>
      <c r="L888" s="508"/>
      <c r="M888" s="508"/>
      <c r="N888" s="508"/>
      <c r="O888" s="509"/>
      <c r="P888" s="509"/>
    </row>
    <row r="889" spans="1:16" ht="21.75" customHeight="1" x14ac:dyDescent="0.3">
      <c r="A889" s="504"/>
      <c r="B889" s="504"/>
      <c r="C889" s="504"/>
      <c r="D889" s="504"/>
      <c r="E889" s="506"/>
      <c r="F889" s="506"/>
      <c r="G889" s="506"/>
      <c r="H889" s="506"/>
      <c r="I889" s="506"/>
      <c r="J889" s="506"/>
      <c r="K889" s="507"/>
      <c r="L889" s="508"/>
      <c r="M889" s="508"/>
      <c r="N889" s="508"/>
      <c r="O889" s="509"/>
      <c r="P889" s="509"/>
    </row>
    <row r="890" spans="1:16" ht="21.75" customHeight="1" x14ac:dyDescent="0.3">
      <c r="A890" s="504"/>
      <c r="B890" s="504"/>
      <c r="C890" s="504"/>
      <c r="D890" s="504"/>
      <c r="E890" s="506"/>
      <c r="F890" s="506"/>
      <c r="G890" s="506"/>
      <c r="H890" s="506"/>
      <c r="I890" s="506"/>
      <c r="J890" s="506"/>
      <c r="K890" s="507"/>
      <c r="L890" s="508"/>
      <c r="M890" s="508"/>
      <c r="N890" s="508"/>
      <c r="O890" s="509"/>
      <c r="P890" s="509"/>
    </row>
    <row r="891" spans="1:16" ht="21.75" customHeight="1" x14ac:dyDescent="0.3">
      <c r="A891" s="504"/>
      <c r="B891" s="504"/>
      <c r="C891" s="504"/>
      <c r="D891" s="504"/>
      <c r="E891" s="506"/>
      <c r="F891" s="506"/>
      <c r="G891" s="506"/>
      <c r="H891" s="506"/>
      <c r="I891" s="506"/>
      <c r="J891" s="506"/>
      <c r="K891" s="507"/>
      <c r="L891" s="508"/>
      <c r="M891" s="508"/>
      <c r="N891" s="508"/>
      <c r="O891" s="509"/>
      <c r="P891" s="509"/>
    </row>
    <row r="892" spans="1:16" ht="21.75" customHeight="1" x14ac:dyDescent="0.3">
      <c r="A892" s="504"/>
      <c r="B892" s="504"/>
      <c r="C892" s="504"/>
      <c r="D892" s="504"/>
      <c r="E892" s="506"/>
      <c r="F892" s="506"/>
      <c r="G892" s="506"/>
      <c r="H892" s="506"/>
      <c r="I892" s="506"/>
      <c r="J892" s="506"/>
      <c r="K892" s="507"/>
      <c r="L892" s="508"/>
      <c r="M892" s="508"/>
      <c r="N892" s="508"/>
      <c r="O892" s="509"/>
      <c r="P892" s="509"/>
    </row>
    <row r="893" spans="1:16" ht="21.75" customHeight="1" x14ac:dyDescent="0.3">
      <c r="A893" s="504"/>
      <c r="B893" s="504"/>
      <c r="C893" s="504"/>
      <c r="D893" s="504"/>
      <c r="E893" s="506"/>
      <c r="F893" s="506"/>
      <c r="G893" s="506"/>
      <c r="H893" s="506"/>
      <c r="I893" s="506"/>
      <c r="J893" s="506"/>
      <c r="K893" s="507"/>
      <c r="L893" s="508"/>
      <c r="M893" s="508"/>
      <c r="N893" s="508"/>
      <c r="O893" s="509"/>
      <c r="P893" s="509"/>
    </row>
    <row r="894" spans="1:16" ht="21.75" customHeight="1" x14ac:dyDescent="0.3">
      <c r="A894" s="504"/>
      <c r="B894" s="504"/>
      <c r="C894" s="504"/>
      <c r="D894" s="504"/>
      <c r="E894" s="506"/>
      <c r="F894" s="506"/>
      <c r="G894" s="506"/>
      <c r="H894" s="506"/>
      <c r="I894" s="506"/>
      <c r="J894" s="506"/>
      <c r="K894" s="507"/>
      <c r="L894" s="508"/>
      <c r="M894" s="508"/>
      <c r="N894" s="508"/>
      <c r="O894" s="509"/>
      <c r="P894" s="509"/>
    </row>
    <row r="895" spans="1:16" ht="21.75" customHeight="1" x14ac:dyDescent="0.3">
      <c r="A895" s="504"/>
      <c r="B895" s="504"/>
      <c r="C895" s="504"/>
      <c r="D895" s="504"/>
      <c r="E895" s="506"/>
      <c r="F895" s="506"/>
      <c r="G895" s="506"/>
      <c r="H895" s="506"/>
      <c r="I895" s="506"/>
      <c r="J895" s="506"/>
      <c r="K895" s="507"/>
      <c r="L895" s="508"/>
      <c r="M895" s="508"/>
      <c r="N895" s="508"/>
      <c r="O895" s="509"/>
      <c r="P895" s="509"/>
    </row>
    <row r="896" spans="1:16" ht="21.75" customHeight="1" x14ac:dyDescent="0.3">
      <c r="A896" s="504"/>
      <c r="B896" s="504"/>
      <c r="C896" s="504"/>
      <c r="D896" s="504"/>
      <c r="E896" s="506"/>
      <c r="F896" s="506"/>
      <c r="G896" s="506"/>
      <c r="H896" s="506"/>
      <c r="I896" s="506"/>
      <c r="J896" s="506"/>
      <c r="K896" s="507"/>
      <c r="L896" s="508"/>
      <c r="M896" s="508"/>
      <c r="N896" s="508"/>
      <c r="O896" s="509"/>
      <c r="P896" s="509"/>
    </row>
    <row r="897" spans="1:16" ht="21.75" customHeight="1" x14ac:dyDescent="0.3">
      <c r="A897" s="504"/>
      <c r="B897" s="504"/>
      <c r="C897" s="504"/>
      <c r="D897" s="504"/>
      <c r="E897" s="506"/>
      <c r="F897" s="506"/>
      <c r="G897" s="506"/>
      <c r="H897" s="506"/>
      <c r="I897" s="506"/>
      <c r="J897" s="506"/>
      <c r="K897" s="507"/>
      <c r="L897" s="508"/>
      <c r="M897" s="508"/>
      <c r="N897" s="508"/>
      <c r="O897" s="509"/>
      <c r="P897" s="509"/>
    </row>
    <row r="898" spans="1:16" ht="21.75" customHeight="1" x14ac:dyDescent="0.3">
      <c r="A898" s="504"/>
      <c r="B898" s="504"/>
      <c r="C898" s="504"/>
      <c r="D898" s="504"/>
      <c r="E898" s="506"/>
      <c r="F898" s="506"/>
      <c r="G898" s="506"/>
      <c r="H898" s="506"/>
      <c r="I898" s="506"/>
      <c r="J898" s="506"/>
      <c r="K898" s="507"/>
      <c r="L898" s="508"/>
      <c r="M898" s="508"/>
      <c r="N898" s="508"/>
      <c r="O898" s="509"/>
      <c r="P898" s="509"/>
    </row>
    <row r="899" spans="1:16" ht="21.75" customHeight="1" x14ac:dyDescent="0.3">
      <c r="A899" s="504"/>
      <c r="B899" s="504"/>
      <c r="C899" s="504"/>
      <c r="D899" s="504"/>
      <c r="E899" s="506"/>
      <c r="F899" s="506"/>
      <c r="G899" s="506"/>
      <c r="H899" s="506"/>
      <c r="I899" s="506"/>
      <c r="J899" s="506"/>
      <c r="K899" s="507"/>
      <c r="L899" s="508"/>
      <c r="M899" s="508"/>
      <c r="N899" s="508"/>
      <c r="O899" s="509"/>
      <c r="P899" s="509"/>
    </row>
    <row r="900" spans="1:16" ht="21.75" customHeight="1" x14ac:dyDescent="0.3">
      <c r="A900" s="504"/>
      <c r="B900" s="504"/>
      <c r="C900" s="504"/>
      <c r="D900" s="504"/>
      <c r="E900" s="506"/>
      <c r="F900" s="506"/>
      <c r="G900" s="506"/>
      <c r="H900" s="506"/>
      <c r="I900" s="506"/>
      <c r="J900" s="506"/>
      <c r="K900" s="507"/>
      <c r="L900" s="508"/>
      <c r="M900" s="508"/>
      <c r="N900" s="508"/>
      <c r="O900" s="509"/>
      <c r="P900" s="509"/>
    </row>
    <row r="901" spans="1:16" ht="21.75" customHeight="1" x14ac:dyDescent="0.3">
      <c r="A901" s="504"/>
      <c r="B901" s="504"/>
      <c r="C901" s="504"/>
      <c r="D901" s="504"/>
      <c r="E901" s="506"/>
      <c r="F901" s="506"/>
      <c r="G901" s="506"/>
      <c r="H901" s="506"/>
      <c r="I901" s="506"/>
      <c r="J901" s="506"/>
      <c r="K901" s="507"/>
      <c r="L901" s="508"/>
      <c r="M901" s="508"/>
      <c r="N901" s="508"/>
      <c r="O901" s="509"/>
      <c r="P901" s="509"/>
    </row>
    <row r="902" spans="1:16" ht="21.75" customHeight="1" x14ac:dyDescent="0.3">
      <c r="A902" s="504"/>
      <c r="B902" s="504"/>
      <c r="C902" s="504"/>
      <c r="D902" s="504"/>
      <c r="E902" s="506"/>
      <c r="F902" s="506"/>
      <c r="G902" s="506"/>
      <c r="H902" s="506"/>
      <c r="I902" s="506"/>
      <c r="J902" s="506"/>
      <c r="K902" s="507"/>
      <c r="L902" s="508"/>
      <c r="M902" s="508"/>
      <c r="N902" s="508"/>
      <c r="O902" s="509"/>
      <c r="P902" s="509"/>
    </row>
    <row r="903" spans="1:16" ht="21.75" customHeight="1" x14ac:dyDescent="0.3">
      <c r="A903" s="504"/>
      <c r="B903" s="504"/>
      <c r="C903" s="504"/>
      <c r="D903" s="504"/>
      <c r="E903" s="506"/>
      <c r="F903" s="506"/>
      <c r="G903" s="506"/>
      <c r="H903" s="506"/>
      <c r="I903" s="506"/>
      <c r="J903" s="506"/>
      <c r="K903" s="507"/>
      <c r="L903" s="508"/>
      <c r="M903" s="508"/>
      <c r="N903" s="508"/>
      <c r="O903" s="509"/>
      <c r="P903" s="509"/>
    </row>
    <row r="904" spans="1:16" ht="21.75" customHeight="1" x14ac:dyDescent="0.3">
      <c r="A904" s="504"/>
      <c r="B904" s="504"/>
      <c r="C904" s="504"/>
      <c r="D904" s="504"/>
      <c r="E904" s="506"/>
      <c r="F904" s="506"/>
      <c r="G904" s="506"/>
      <c r="H904" s="506"/>
      <c r="I904" s="506"/>
      <c r="J904" s="506"/>
      <c r="K904" s="507"/>
      <c r="L904" s="508"/>
      <c r="M904" s="508"/>
      <c r="N904" s="508"/>
      <c r="O904" s="509"/>
      <c r="P904" s="509"/>
    </row>
    <row r="905" spans="1:16" ht="21.75" customHeight="1" x14ac:dyDescent="0.3">
      <c r="A905" s="504"/>
      <c r="B905" s="504"/>
      <c r="C905" s="504"/>
      <c r="D905" s="504"/>
      <c r="E905" s="506"/>
      <c r="F905" s="506"/>
      <c r="G905" s="506"/>
      <c r="H905" s="506"/>
      <c r="I905" s="506"/>
      <c r="J905" s="506"/>
      <c r="K905" s="507"/>
      <c r="L905" s="508"/>
      <c r="M905" s="508"/>
      <c r="N905" s="508"/>
      <c r="O905" s="509"/>
      <c r="P905" s="509"/>
    </row>
    <row r="906" spans="1:16" ht="21.75" customHeight="1" x14ac:dyDescent="0.3">
      <c r="A906" s="504"/>
      <c r="B906" s="504"/>
      <c r="C906" s="504"/>
      <c r="D906" s="504"/>
      <c r="E906" s="506"/>
      <c r="F906" s="506"/>
      <c r="G906" s="506"/>
      <c r="H906" s="506"/>
      <c r="I906" s="506"/>
      <c r="J906" s="506"/>
      <c r="K906" s="507"/>
      <c r="L906" s="508"/>
      <c r="M906" s="508"/>
      <c r="N906" s="508"/>
      <c r="O906" s="509"/>
      <c r="P906" s="509"/>
    </row>
    <row r="907" spans="1:16" ht="21.75" customHeight="1" x14ac:dyDescent="0.3">
      <c r="A907" s="504"/>
      <c r="B907" s="504"/>
      <c r="C907" s="504"/>
      <c r="D907" s="504"/>
      <c r="E907" s="506"/>
      <c r="F907" s="506"/>
      <c r="G907" s="506"/>
      <c r="H907" s="506"/>
      <c r="I907" s="506"/>
      <c r="J907" s="506"/>
      <c r="K907" s="507"/>
      <c r="L907" s="508"/>
      <c r="M907" s="508"/>
      <c r="N907" s="508"/>
      <c r="O907" s="509"/>
      <c r="P907" s="509"/>
    </row>
    <row r="908" spans="1:16" ht="21.75" customHeight="1" x14ac:dyDescent="0.3">
      <c r="A908" s="504"/>
      <c r="B908" s="504"/>
      <c r="C908" s="504"/>
      <c r="D908" s="504"/>
      <c r="E908" s="506"/>
      <c r="F908" s="506"/>
      <c r="G908" s="506"/>
      <c r="H908" s="506"/>
      <c r="I908" s="506"/>
      <c r="J908" s="506"/>
      <c r="K908" s="507"/>
      <c r="L908" s="508"/>
      <c r="M908" s="508"/>
      <c r="N908" s="508"/>
      <c r="O908" s="509"/>
      <c r="P908" s="509"/>
    </row>
    <row r="909" spans="1:16" ht="21.75" customHeight="1" x14ac:dyDescent="0.3">
      <c r="A909" s="504"/>
      <c r="B909" s="504"/>
      <c r="C909" s="504"/>
      <c r="D909" s="504"/>
      <c r="E909" s="506"/>
      <c r="F909" s="506"/>
      <c r="G909" s="506"/>
      <c r="H909" s="506"/>
      <c r="I909" s="506"/>
      <c r="J909" s="506"/>
      <c r="K909" s="507"/>
      <c r="L909" s="508"/>
      <c r="M909" s="508"/>
      <c r="N909" s="508"/>
      <c r="O909" s="509"/>
      <c r="P909" s="509"/>
    </row>
    <row r="910" spans="1:16" ht="21.75" customHeight="1" x14ac:dyDescent="0.3">
      <c r="A910" s="504"/>
      <c r="B910" s="504"/>
      <c r="C910" s="504"/>
      <c r="D910" s="504"/>
      <c r="E910" s="506"/>
      <c r="F910" s="506"/>
      <c r="G910" s="506"/>
      <c r="H910" s="506"/>
      <c r="I910" s="506"/>
      <c r="J910" s="506"/>
      <c r="K910" s="507"/>
      <c r="L910" s="508"/>
      <c r="M910" s="508"/>
      <c r="N910" s="508"/>
      <c r="O910" s="509"/>
      <c r="P910" s="509"/>
    </row>
    <row r="911" spans="1:16" ht="21.75" customHeight="1" x14ac:dyDescent="0.3">
      <c r="A911" s="504"/>
      <c r="B911" s="504"/>
      <c r="C911" s="504"/>
      <c r="D911" s="504"/>
      <c r="E911" s="506"/>
      <c r="F911" s="506"/>
      <c r="G911" s="506"/>
      <c r="H911" s="506"/>
      <c r="I911" s="506"/>
      <c r="J911" s="506"/>
      <c r="K911" s="507"/>
      <c r="L911" s="508"/>
      <c r="M911" s="508"/>
      <c r="N911" s="508"/>
      <c r="O911" s="509"/>
      <c r="P911" s="509"/>
    </row>
    <row r="912" spans="1:16" ht="21.75" customHeight="1" x14ac:dyDescent="0.3">
      <c r="A912" s="504"/>
      <c r="B912" s="504"/>
      <c r="C912" s="504"/>
      <c r="D912" s="504"/>
      <c r="E912" s="506"/>
      <c r="F912" s="506"/>
      <c r="G912" s="506"/>
      <c r="H912" s="506"/>
      <c r="I912" s="506"/>
      <c r="J912" s="506"/>
      <c r="K912" s="507"/>
      <c r="L912" s="508"/>
      <c r="M912" s="508"/>
      <c r="N912" s="508"/>
      <c r="O912" s="509"/>
      <c r="P912" s="509"/>
    </row>
    <row r="913" spans="1:16" ht="21.75" customHeight="1" x14ac:dyDescent="0.3">
      <c r="A913" s="504"/>
      <c r="B913" s="504"/>
      <c r="C913" s="504"/>
      <c r="D913" s="504"/>
      <c r="E913" s="506"/>
      <c r="F913" s="506"/>
      <c r="G913" s="506"/>
      <c r="H913" s="506"/>
      <c r="I913" s="506"/>
      <c r="J913" s="506"/>
      <c r="K913" s="507"/>
      <c r="L913" s="508"/>
      <c r="M913" s="508"/>
      <c r="N913" s="508"/>
      <c r="O913" s="509"/>
      <c r="P913" s="509"/>
    </row>
    <row r="914" spans="1:16" ht="21.75" customHeight="1" x14ac:dyDescent="0.3">
      <c r="A914" s="504"/>
      <c r="B914" s="504"/>
      <c r="C914" s="504"/>
      <c r="D914" s="504"/>
      <c r="E914" s="506"/>
      <c r="F914" s="506"/>
      <c r="G914" s="506"/>
      <c r="H914" s="506"/>
      <c r="I914" s="506"/>
      <c r="J914" s="506"/>
      <c r="K914" s="507"/>
      <c r="L914" s="508"/>
      <c r="M914" s="508"/>
      <c r="N914" s="508"/>
      <c r="O914" s="509"/>
      <c r="P914" s="509"/>
    </row>
    <row r="915" spans="1:16" ht="21.75" customHeight="1" x14ac:dyDescent="0.3">
      <c r="A915" s="504"/>
      <c r="B915" s="504"/>
      <c r="C915" s="504"/>
      <c r="D915" s="504"/>
      <c r="E915" s="506"/>
      <c r="F915" s="506"/>
      <c r="G915" s="506"/>
      <c r="H915" s="506"/>
      <c r="I915" s="506"/>
      <c r="J915" s="506"/>
      <c r="K915" s="507"/>
      <c r="L915" s="508"/>
      <c r="M915" s="508"/>
      <c r="N915" s="508"/>
      <c r="O915" s="509"/>
      <c r="P915" s="509"/>
    </row>
    <row r="916" spans="1:16" ht="21.75" customHeight="1" x14ac:dyDescent="0.3">
      <c r="A916" s="504"/>
      <c r="B916" s="504"/>
      <c r="C916" s="504"/>
      <c r="D916" s="504"/>
      <c r="E916" s="506"/>
      <c r="F916" s="506"/>
      <c r="G916" s="506"/>
      <c r="H916" s="506"/>
      <c r="I916" s="506"/>
      <c r="J916" s="506"/>
      <c r="K916" s="507"/>
      <c r="L916" s="508"/>
      <c r="M916" s="508"/>
      <c r="N916" s="508"/>
      <c r="O916" s="509"/>
      <c r="P916" s="509"/>
    </row>
    <row r="917" spans="1:16" ht="21.75" customHeight="1" x14ac:dyDescent="0.3">
      <c r="A917" s="504"/>
      <c r="B917" s="504"/>
      <c r="C917" s="504"/>
      <c r="D917" s="504"/>
      <c r="E917" s="506"/>
      <c r="F917" s="506"/>
      <c r="G917" s="506"/>
      <c r="H917" s="506"/>
      <c r="I917" s="506"/>
      <c r="J917" s="506"/>
      <c r="K917" s="507"/>
      <c r="L917" s="508"/>
      <c r="M917" s="508"/>
      <c r="N917" s="508"/>
      <c r="O917" s="509"/>
      <c r="P917" s="509"/>
    </row>
    <row r="918" spans="1:16" ht="21.75" customHeight="1" x14ac:dyDescent="0.3">
      <c r="A918" s="504"/>
      <c r="B918" s="504"/>
      <c r="C918" s="504"/>
      <c r="D918" s="504"/>
      <c r="E918" s="506"/>
      <c r="F918" s="506"/>
      <c r="G918" s="506"/>
      <c r="H918" s="506"/>
      <c r="I918" s="506"/>
      <c r="J918" s="506"/>
      <c r="K918" s="507"/>
      <c r="L918" s="508"/>
      <c r="M918" s="508"/>
      <c r="N918" s="508"/>
      <c r="O918" s="509"/>
      <c r="P918" s="509"/>
    </row>
    <row r="919" spans="1:16" ht="21.75" customHeight="1" x14ac:dyDescent="0.3">
      <c r="A919" s="504"/>
      <c r="B919" s="504"/>
      <c r="C919" s="504"/>
      <c r="D919" s="504"/>
      <c r="E919" s="506"/>
      <c r="F919" s="506"/>
      <c r="G919" s="506"/>
      <c r="H919" s="506"/>
      <c r="I919" s="506"/>
      <c r="J919" s="506"/>
      <c r="K919" s="507"/>
      <c r="L919" s="508"/>
      <c r="M919" s="508"/>
      <c r="N919" s="508"/>
      <c r="O919" s="509"/>
      <c r="P919" s="509"/>
    </row>
    <row r="920" spans="1:16" ht="21.75" customHeight="1" x14ac:dyDescent="0.3">
      <c r="A920" s="504"/>
      <c r="B920" s="504"/>
      <c r="C920" s="504"/>
      <c r="D920" s="504"/>
      <c r="E920" s="506"/>
      <c r="F920" s="506"/>
      <c r="G920" s="506"/>
      <c r="H920" s="506"/>
      <c r="I920" s="506"/>
      <c r="J920" s="506"/>
      <c r="K920" s="507"/>
      <c r="L920" s="508"/>
      <c r="M920" s="508"/>
      <c r="N920" s="508"/>
      <c r="O920" s="509"/>
      <c r="P920" s="509"/>
    </row>
    <row r="921" spans="1:16" ht="21.75" customHeight="1" x14ac:dyDescent="0.3">
      <c r="A921" s="504"/>
      <c r="B921" s="504"/>
      <c r="C921" s="504"/>
      <c r="D921" s="504"/>
      <c r="E921" s="506"/>
      <c r="F921" s="506"/>
      <c r="G921" s="506"/>
      <c r="H921" s="506"/>
      <c r="I921" s="506"/>
      <c r="J921" s="506"/>
      <c r="K921" s="507"/>
      <c r="L921" s="508"/>
      <c r="M921" s="508"/>
      <c r="N921" s="508"/>
      <c r="O921" s="509"/>
      <c r="P921" s="509"/>
    </row>
    <row r="922" spans="1:16" ht="21.75" customHeight="1" x14ac:dyDescent="0.3">
      <c r="A922" s="504"/>
      <c r="B922" s="504"/>
      <c r="C922" s="504"/>
      <c r="D922" s="504"/>
      <c r="E922" s="506"/>
      <c r="F922" s="506"/>
      <c r="G922" s="506"/>
      <c r="H922" s="506"/>
      <c r="I922" s="506"/>
      <c r="J922" s="506"/>
      <c r="K922" s="507"/>
      <c r="L922" s="508"/>
      <c r="M922" s="508"/>
      <c r="N922" s="508"/>
      <c r="O922" s="509"/>
      <c r="P922" s="509"/>
    </row>
    <row r="923" spans="1:16" ht="21.75" customHeight="1" x14ac:dyDescent="0.3">
      <c r="A923" s="504"/>
      <c r="B923" s="504"/>
      <c r="C923" s="504"/>
      <c r="D923" s="504"/>
      <c r="E923" s="506"/>
      <c r="F923" s="506"/>
      <c r="G923" s="506"/>
      <c r="H923" s="506"/>
      <c r="I923" s="506"/>
      <c r="J923" s="506"/>
      <c r="K923" s="507"/>
      <c r="L923" s="508"/>
      <c r="M923" s="508"/>
      <c r="N923" s="508"/>
      <c r="O923" s="509"/>
      <c r="P923" s="509"/>
    </row>
    <row r="924" spans="1:16" ht="21.75" customHeight="1" x14ac:dyDescent="0.3">
      <c r="A924" s="504"/>
      <c r="B924" s="504"/>
      <c r="C924" s="504"/>
      <c r="D924" s="504"/>
      <c r="E924" s="506"/>
      <c r="F924" s="506"/>
      <c r="G924" s="506"/>
      <c r="H924" s="506"/>
      <c r="I924" s="506"/>
      <c r="J924" s="506"/>
      <c r="K924" s="507"/>
      <c r="L924" s="508"/>
      <c r="M924" s="508"/>
      <c r="N924" s="508"/>
      <c r="O924" s="509"/>
      <c r="P924" s="509"/>
    </row>
    <row r="925" spans="1:16" ht="21.75" customHeight="1" x14ac:dyDescent="0.3">
      <c r="A925" s="504"/>
      <c r="B925" s="504"/>
      <c r="C925" s="504"/>
      <c r="D925" s="504"/>
      <c r="E925" s="506"/>
      <c r="F925" s="506"/>
      <c r="G925" s="506"/>
      <c r="H925" s="506"/>
      <c r="I925" s="506"/>
      <c r="J925" s="506"/>
      <c r="K925" s="507"/>
      <c r="L925" s="508"/>
      <c r="M925" s="508"/>
      <c r="N925" s="508"/>
      <c r="O925" s="509"/>
      <c r="P925" s="509"/>
    </row>
    <row r="926" spans="1:16" ht="21.75" customHeight="1" x14ac:dyDescent="0.3">
      <c r="A926" s="504"/>
      <c r="B926" s="504"/>
      <c r="C926" s="504"/>
      <c r="D926" s="504"/>
      <c r="E926" s="506"/>
      <c r="F926" s="506"/>
      <c r="G926" s="506"/>
      <c r="H926" s="506"/>
      <c r="I926" s="506"/>
      <c r="J926" s="506"/>
      <c r="K926" s="507"/>
      <c r="L926" s="508"/>
      <c r="M926" s="508"/>
      <c r="N926" s="508"/>
      <c r="O926" s="509"/>
      <c r="P926" s="509"/>
    </row>
    <row r="927" spans="1:16" ht="21.75" customHeight="1" x14ac:dyDescent="0.3">
      <c r="A927" s="504"/>
      <c r="B927" s="504"/>
      <c r="C927" s="504"/>
      <c r="D927" s="504"/>
      <c r="E927" s="506"/>
      <c r="F927" s="506"/>
      <c r="G927" s="506"/>
      <c r="H927" s="506"/>
      <c r="I927" s="506"/>
      <c r="J927" s="506"/>
      <c r="K927" s="507"/>
      <c r="L927" s="508"/>
      <c r="M927" s="508"/>
      <c r="N927" s="508"/>
      <c r="O927" s="509"/>
      <c r="P927" s="509"/>
    </row>
    <row r="928" spans="1:16" ht="21.75" customHeight="1" x14ac:dyDescent="0.3">
      <c r="A928" s="504"/>
      <c r="B928" s="504"/>
      <c r="C928" s="504"/>
      <c r="D928" s="504"/>
      <c r="E928" s="506"/>
      <c r="F928" s="506"/>
      <c r="G928" s="506"/>
      <c r="H928" s="506"/>
      <c r="I928" s="506"/>
      <c r="J928" s="506"/>
      <c r="K928" s="507"/>
      <c r="L928" s="508"/>
      <c r="M928" s="508"/>
      <c r="N928" s="508"/>
      <c r="O928" s="509"/>
      <c r="P928" s="509"/>
    </row>
    <row r="929" spans="1:16" ht="21.75" customHeight="1" x14ac:dyDescent="0.3">
      <c r="A929" s="504"/>
      <c r="B929" s="504"/>
      <c r="C929" s="504"/>
      <c r="D929" s="504"/>
      <c r="E929" s="506"/>
      <c r="F929" s="506"/>
      <c r="G929" s="506"/>
      <c r="H929" s="506"/>
      <c r="I929" s="506"/>
      <c r="J929" s="506"/>
      <c r="K929" s="507"/>
      <c r="L929" s="508"/>
      <c r="M929" s="508"/>
      <c r="N929" s="508"/>
      <c r="O929" s="509"/>
      <c r="P929" s="509"/>
    </row>
    <row r="930" spans="1:16" ht="21.75" customHeight="1" x14ac:dyDescent="0.3">
      <c r="A930" s="504"/>
      <c r="B930" s="504"/>
      <c r="C930" s="504"/>
      <c r="D930" s="504"/>
      <c r="E930" s="506"/>
      <c r="F930" s="506"/>
      <c r="G930" s="506"/>
      <c r="H930" s="506"/>
      <c r="I930" s="506"/>
      <c r="J930" s="506"/>
      <c r="K930" s="507"/>
      <c r="L930" s="508"/>
      <c r="M930" s="508"/>
      <c r="N930" s="508"/>
      <c r="O930" s="509"/>
      <c r="P930" s="509"/>
    </row>
    <row r="931" spans="1:16" ht="21.75" customHeight="1" x14ac:dyDescent="0.3">
      <c r="A931" s="504"/>
      <c r="B931" s="504"/>
      <c r="C931" s="504"/>
      <c r="D931" s="504"/>
      <c r="E931" s="506"/>
      <c r="F931" s="506"/>
      <c r="G931" s="506"/>
      <c r="H931" s="506"/>
      <c r="I931" s="506"/>
      <c r="J931" s="506"/>
      <c r="K931" s="507"/>
      <c r="L931" s="508"/>
      <c r="M931" s="508"/>
      <c r="N931" s="508"/>
      <c r="O931" s="509"/>
      <c r="P931" s="509"/>
    </row>
    <row r="932" spans="1:16" ht="21.75" customHeight="1" x14ac:dyDescent="0.3">
      <c r="A932" s="504"/>
      <c r="B932" s="504"/>
      <c r="C932" s="504"/>
      <c r="D932" s="504"/>
      <c r="E932" s="506"/>
      <c r="F932" s="506"/>
      <c r="G932" s="506"/>
      <c r="H932" s="506"/>
      <c r="I932" s="506"/>
      <c r="J932" s="506"/>
      <c r="K932" s="507"/>
      <c r="L932" s="508"/>
      <c r="M932" s="508"/>
      <c r="N932" s="508"/>
      <c r="O932" s="509"/>
      <c r="P932" s="509"/>
    </row>
    <row r="933" spans="1:16" ht="21.75" customHeight="1" x14ac:dyDescent="0.3">
      <c r="A933" s="504"/>
      <c r="B933" s="504"/>
      <c r="C933" s="504"/>
      <c r="D933" s="504"/>
      <c r="E933" s="506"/>
      <c r="F933" s="506"/>
      <c r="G933" s="506"/>
      <c r="H933" s="506"/>
      <c r="I933" s="506"/>
      <c r="J933" s="506"/>
      <c r="K933" s="507"/>
      <c r="L933" s="508"/>
      <c r="M933" s="508"/>
      <c r="N933" s="508"/>
      <c r="O933" s="509"/>
      <c r="P933" s="509"/>
    </row>
    <row r="934" spans="1:16" ht="21.75" customHeight="1" x14ac:dyDescent="0.3">
      <c r="A934" s="504"/>
      <c r="B934" s="504"/>
      <c r="C934" s="504"/>
      <c r="D934" s="504"/>
      <c r="E934" s="506"/>
      <c r="F934" s="506"/>
      <c r="G934" s="506"/>
      <c r="H934" s="506"/>
      <c r="I934" s="506"/>
      <c r="J934" s="506"/>
      <c r="K934" s="507"/>
      <c r="L934" s="508"/>
      <c r="M934" s="508"/>
      <c r="N934" s="508"/>
      <c r="O934" s="509"/>
      <c r="P934" s="509"/>
    </row>
    <row r="935" spans="1:16" ht="21.75" customHeight="1" x14ac:dyDescent="0.3">
      <c r="A935" s="504"/>
      <c r="B935" s="504"/>
      <c r="C935" s="504"/>
      <c r="D935" s="504"/>
      <c r="E935" s="506"/>
      <c r="F935" s="506"/>
      <c r="G935" s="506"/>
      <c r="H935" s="506"/>
      <c r="I935" s="506"/>
      <c r="J935" s="506"/>
      <c r="K935" s="507"/>
      <c r="L935" s="508"/>
      <c r="M935" s="508"/>
      <c r="N935" s="508"/>
      <c r="O935" s="509"/>
      <c r="P935" s="509"/>
    </row>
    <row r="936" spans="1:16" ht="21.75" customHeight="1" x14ac:dyDescent="0.3">
      <c r="A936" s="504"/>
      <c r="B936" s="504"/>
      <c r="C936" s="504"/>
      <c r="D936" s="504"/>
      <c r="E936" s="506"/>
      <c r="F936" s="506"/>
      <c r="G936" s="506"/>
      <c r="H936" s="506"/>
      <c r="I936" s="506"/>
      <c r="J936" s="506"/>
      <c r="K936" s="507"/>
      <c r="L936" s="508"/>
      <c r="M936" s="508"/>
      <c r="N936" s="508"/>
      <c r="O936" s="509"/>
      <c r="P936" s="509"/>
    </row>
    <row r="937" spans="1:16" ht="21.75" customHeight="1" x14ac:dyDescent="0.3">
      <c r="A937" s="504"/>
      <c r="B937" s="504"/>
      <c r="C937" s="504"/>
      <c r="D937" s="504"/>
      <c r="E937" s="506"/>
      <c r="F937" s="506"/>
      <c r="G937" s="506"/>
      <c r="H937" s="506"/>
      <c r="I937" s="506"/>
      <c r="J937" s="506"/>
      <c r="K937" s="507"/>
      <c r="L937" s="508"/>
      <c r="M937" s="508"/>
      <c r="N937" s="508"/>
      <c r="O937" s="509"/>
      <c r="P937" s="509"/>
    </row>
    <row r="938" spans="1:16" ht="21.75" customHeight="1" x14ac:dyDescent="0.3">
      <c r="A938" s="504"/>
      <c r="B938" s="504"/>
      <c r="C938" s="504"/>
      <c r="D938" s="504"/>
      <c r="E938" s="506"/>
      <c r="F938" s="506"/>
      <c r="G938" s="506"/>
      <c r="H938" s="506"/>
      <c r="I938" s="506"/>
      <c r="J938" s="506"/>
      <c r="K938" s="507"/>
      <c r="L938" s="508"/>
      <c r="M938" s="508"/>
      <c r="N938" s="508"/>
      <c r="O938" s="509"/>
      <c r="P938" s="509"/>
    </row>
    <row r="939" spans="1:16" ht="21.75" customHeight="1" x14ac:dyDescent="0.3">
      <c r="A939" s="504"/>
      <c r="B939" s="504"/>
      <c r="C939" s="504"/>
      <c r="D939" s="504"/>
      <c r="E939" s="506"/>
      <c r="F939" s="506"/>
      <c r="G939" s="506"/>
      <c r="H939" s="506"/>
      <c r="I939" s="506"/>
      <c r="J939" s="506"/>
      <c r="K939" s="507"/>
      <c r="L939" s="508"/>
      <c r="M939" s="508"/>
      <c r="N939" s="508"/>
      <c r="O939" s="509"/>
      <c r="P939" s="509"/>
    </row>
    <row r="940" spans="1:16" ht="21.75" customHeight="1" x14ac:dyDescent="0.3">
      <c r="A940" s="504"/>
      <c r="B940" s="504"/>
      <c r="C940" s="504"/>
      <c r="D940" s="504"/>
      <c r="E940" s="506"/>
      <c r="F940" s="506"/>
      <c r="G940" s="506"/>
      <c r="H940" s="506"/>
      <c r="I940" s="506"/>
      <c r="J940" s="506"/>
      <c r="K940" s="507"/>
      <c r="L940" s="508"/>
      <c r="M940" s="508"/>
      <c r="N940" s="508"/>
      <c r="O940" s="509"/>
      <c r="P940" s="509"/>
    </row>
    <row r="941" spans="1:16" ht="21.75" customHeight="1" x14ac:dyDescent="0.3">
      <c r="A941" s="504"/>
      <c r="B941" s="504"/>
      <c r="C941" s="504"/>
      <c r="D941" s="504"/>
      <c r="E941" s="506"/>
      <c r="F941" s="506"/>
      <c r="G941" s="506"/>
      <c r="H941" s="506"/>
      <c r="I941" s="506"/>
      <c r="J941" s="506"/>
      <c r="K941" s="507"/>
      <c r="L941" s="508"/>
      <c r="M941" s="508"/>
      <c r="N941" s="508"/>
      <c r="O941" s="509"/>
      <c r="P941" s="509"/>
    </row>
    <row r="942" spans="1:16" ht="21.75" customHeight="1" x14ac:dyDescent="0.3">
      <c r="A942" s="504"/>
      <c r="B942" s="504"/>
      <c r="C942" s="504"/>
      <c r="D942" s="504"/>
      <c r="E942" s="506"/>
      <c r="F942" s="506"/>
      <c r="G942" s="506"/>
      <c r="H942" s="506"/>
      <c r="I942" s="506"/>
      <c r="J942" s="506"/>
      <c r="K942" s="507"/>
      <c r="L942" s="508"/>
      <c r="M942" s="508"/>
      <c r="N942" s="508"/>
      <c r="O942" s="509"/>
      <c r="P942" s="509"/>
    </row>
    <row r="943" spans="1:16" ht="21.75" customHeight="1" x14ac:dyDescent="0.3">
      <c r="A943" s="504"/>
      <c r="B943" s="504"/>
      <c r="C943" s="504"/>
      <c r="D943" s="504"/>
      <c r="E943" s="506"/>
      <c r="F943" s="506"/>
      <c r="G943" s="506"/>
      <c r="H943" s="506"/>
      <c r="I943" s="506"/>
      <c r="J943" s="506"/>
      <c r="K943" s="507"/>
      <c r="L943" s="508"/>
      <c r="M943" s="508"/>
      <c r="N943" s="508"/>
      <c r="O943" s="509"/>
      <c r="P943" s="509"/>
    </row>
    <row r="944" spans="1:16" ht="21.75" customHeight="1" x14ac:dyDescent="0.3">
      <c r="A944" s="504"/>
      <c r="B944" s="504"/>
      <c r="C944" s="504"/>
      <c r="D944" s="504"/>
      <c r="E944" s="506"/>
      <c r="F944" s="506"/>
      <c r="G944" s="506"/>
      <c r="H944" s="506"/>
      <c r="I944" s="506"/>
      <c r="J944" s="506"/>
      <c r="K944" s="507"/>
      <c r="L944" s="508"/>
      <c r="M944" s="508"/>
      <c r="N944" s="508"/>
      <c r="O944" s="509"/>
      <c r="P944" s="509"/>
    </row>
    <row r="945" spans="1:16" ht="21.75" customHeight="1" x14ac:dyDescent="0.3">
      <c r="A945" s="504"/>
      <c r="B945" s="504"/>
      <c r="C945" s="504"/>
      <c r="D945" s="504"/>
      <c r="E945" s="506"/>
      <c r="F945" s="506"/>
      <c r="G945" s="506"/>
      <c r="H945" s="506"/>
      <c r="I945" s="506"/>
      <c r="J945" s="506"/>
      <c r="K945" s="507"/>
      <c r="L945" s="508"/>
      <c r="M945" s="508"/>
      <c r="N945" s="508"/>
      <c r="O945" s="509"/>
      <c r="P945" s="509"/>
    </row>
    <row r="946" spans="1:16" ht="21.75" customHeight="1" x14ac:dyDescent="0.3">
      <c r="A946" s="504"/>
      <c r="B946" s="504"/>
      <c r="C946" s="504"/>
      <c r="D946" s="504"/>
      <c r="E946" s="506"/>
      <c r="F946" s="506"/>
      <c r="G946" s="506"/>
      <c r="H946" s="506"/>
      <c r="I946" s="506"/>
      <c r="J946" s="506"/>
      <c r="K946" s="507"/>
      <c r="L946" s="508"/>
      <c r="M946" s="508"/>
      <c r="N946" s="508"/>
      <c r="O946" s="509"/>
      <c r="P946" s="509"/>
    </row>
    <row r="947" spans="1:16" ht="21.75" customHeight="1" x14ac:dyDescent="0.3">
      <c r="A947" s="504"/>
      <c r="B947" s="504"/>
      <c r="C947" s="504"/>
      <c r="D947" s="504"/>
      <c r="E947" s="506"/>
      <c r="F947" s="506"/>
      <c r="G947" s="506"/>
      <c r="H947" s="506"/>
      <c r="I947" s="506"/>
      <c r="J947" s="506"/>
      <c r="K947" s="507"/>
      <c r="L947" s="508"/>
      <c r="M947" s="508"/>
      <c r="N947" s="508"/>
      <c r="O947" s="509"/>
      <c r="P947" s="509"/>
    </row>
    <row r="948" spans="1:16" ht="21.75" customHeight="1" x14ac:dyDescent="0.3">
      <c r="A948" s="504"/>
      <c r="B948" s="504"/>
      <c r="C948" s="504"/>
      <c r="D948" s="504"/>
      <c r="E948" s="506"/>
      <c r="F948" s="506"/>
      <c r="G948" s="506"/>
      <c r="H948" s="506"/>
      <c r="I948" s="506"/>
      <c r="J948" s="506"/>
      <c r="K948" s="507"/>
      <c r="L948" s="508"/>
      <c r="M948" s="508"/>
      <c r="N948" s="508"/>
      <c r="O948" s="509"/>
      <c r="P948" s="509"/>
    </row>
    <row r="949" spans="1:16" ht="21.75" customHeight="1" x14ac:dyDescent="0.3">
      <c r="A949" s="504"/>
      <c r="B949" s="504"/>
      <c r="C949" s="504"/>
      <c r="D949" s="504"/>
      <c r="E949" s="506"/>
      <c r="F949" s="506"/>
      <c r="G949" s="506"/>
      <c r="H949" s="506"/>
      <c r="I949" s="506"/>
      <c r="J949" s="506"/>
      <c r="K949" s="507"/>
      <c r="L949" s="508"/>
      <c r="M949" s="508"/>
      <c r="N949" s="508"/>
      <c r="O949" s="509"/>
      <c r="P949" s="509"/>
    </row>
    <row r="950" spans="1:16" ht="21.75" customHeight="1" x14ac:dyDescent="0.3">
      <c r="A950" s="504"/>
      <c r="B950" s="504"/>
      <c r="C950" s="504"/>
      <c r="D950" s="504"/>
      <c r="E950" s="506"/>
      <c r="F950" s="506"/>
      <c r="G950" s="506"/>
      <c r="H950" s="506"/>
      <c r="I950" s="506"/>
      <c r="J950" s="506"/>
      <c r="K950" s="507"/>
      <c r="L950" s="508"/>
      <c r="M950" s="508"/>
      <c r="N950" s="508"/>
      <c r="O950" s="509"/>
      <c r="P950" s="509"/>
    </row>
    <row r="951" spans="1:16" ht="21.75" customHeight="1" x14ac:dyDescent="0.3">
      <c r="A951" s="504"/>
      <c r="B951" s="504"/>
      <c r="C951" s="504"/>
      <c r="D951" s="504"/>
      <c r="E951" s="506"/>
      <c r="F951" s="506"/>
      <c r="G951" s="506"/>
      <c r="H951" s="506"/>
      <c r="I951" s="506"/>
      <c r="J951" s="506"/>
      <c r="K951" s="507"/>
      <c r="L951" s="508"/>
      <c r="M951" s="508"/>
      <c r="N951" s="508"/>
      <c r="O951" s="509"/>
      <c r="P951" s="509"/>
    </row>
    <row r="952" spans="1:16" ht="21.75" customHeight="1" x14ac:dyDescent="0.3">
      <c r="A952" s="504"/>
      <c r="B952" s="504"/>
      <c r="C952" s="504"/>
      <c r="D952" s="504"/>
      <c r="E952" s="506"/>
      <c r="F952" s="506"/>
      <c r="G952" s="506"/>
      <c r="H952" s="506"/>
      <c r="I952" s="506"/>
      <c r="J952" s="506"/>
      <c r="K952" s="507"/>
      <c r="L952" s="508"/>
      <c r="M952" s="508"/>
      <c r="N952" s="508"/>
      <c r="O952" s="509"/>
      <c r="P952" s="509"/>
    </row>
    <row r="953" spans="1:16" ht="21.75" customHeight="1" x14ac:dyDescent="0.3">
      <c r="A953" s="504"/>
      <c r="B953" s="504"/>
      <c r="C953" s="504"/>
      <c r="D953" s="504"/>
      <c r="E953" s="506"/>
      <c r="F953" s="506"/>
      <c r="G953" s="506"/>
      <c r="H953" s="506"/>
      <c r="I953" s="506"/>
      <c r="J953" s="506"/>
      <c r="K953" s="507"/>
      <c r="L953" s="508"/>
      <c r="M953" s="508"/>
      <c r="N953" s="508"/>
      <c r="O953" s="509"/>
      <c r="P953" s="509"/>
    </row>
    <row r="954" spans="1:16" ht="21.75" customHeight="1" x14ac:dyDescent="0.3">
      <c r="A954" s="504"/>
      <c r="B954" s="504"/>
      <c r="C954" s="504"/>
      <c r="D954" s="504"/>
      <c r="E954" s="506"/>
      <c r="F954" s="506"/>
      <c r="G954" s="506"/>
      <c r="H954" s="506"/>
      <c r="I954" s="506"/>
      <c r="J954" s="506"/>
      <c r="K954" s="507"/>
      <c r="L954" s="508"/>
      <c r="M954" s="508"/>
      <c r="N954" s="508"/>
      <c r="O954" s="509"/>
      <c r="P954" s="509"/>
    </row>
    <row r="955" spans="1:16" ht="21.75" customHeight="1" x14ac:dyDescent="0.3">
      <c r="A955" s="504"/>
      <c r="B955" s="504"/>
      <c r="C955" s="504"/>
      <c r="D955" s="504"/>
      <c r="E955" s="506"/>
      <c r="F955" s="506"/>
      <c r="G955" s="506"/>
      <c r="H955" s="506"/>
      <c r="I955" s="506"/>
      <c r="J955" s="506"/>
      <c r="K955" s="507"/>
      <c r="L955" s="508"/>
      <c r="M955" s="508"/>
      <c r="N955" s="508"/>
      <c r="O955" s="509"/>
      <c r="P955" s="509"/>
    </row>
    <row r="956" spans="1:16" ht="21.75" customHeight="1" x14ac:dyDescent="0.3">
      <c r="A956" s="504"/>
      <c r="B956" s="504"/>
      <c r="C956" s="504"/>
      <c r="D956" s="504"/>
      <c r="E956" s="506"/>
      <c r="F956" s="506"/>
      <c r="G956" s="506"/>
      <c r="H956" s="506"/>
      <c r="I956" s="506"/>
      <c r="J956" s="506"/>
      <c r="K956" s="507"/>
      <c r="L956" s="508"/>
      <c r="M956" s="508"/>
      <c r="N956" s="508"/>
      <c r="O956" s="509"/>
      <c r="P956" s="509"/>
    </row>
    <row r="957" spans="1:16" ht="21.75" customHeight="1" x14ac:dyDescent="0.3">
      <c r="A957" s="504"/>
      <c r="B957" s="504"/>
      <c r="C957" s="504"/>
      <c r="D957" s="504"/>
      <c r="E957" s="506"/>
      <c r="F957" s="506"/>
      <c r="G957" s="506"/>
      <c r="H957" s="506"/>
      <c r="I957" s="506"/>
      <c r="J957" s="506"/>
      <c r="K957" s="507"/>
      <c r="L957" s="508"/>
      <c r="M957" s="508"/>
      <c r="N957" s="508"/>
      <c r="O957" s="509"/>
      <c r="P957" s="509"/>
    </row>
    <row r="958" spans="1:16" ht="21.75" customHeight="1" x14ac:dyDescent="0.3">
      <c r="A958" s="504"/>
      <c r="B958" s="504"/>
      <c r="C958" s="504"/>
      <c r="D958" s="504"/>
      <c r="E958" s="506"/>
      <c r="F958" s="506"/>
      <c r="G958" s="506"/>
      <c r="H958" s="506"/>
      <c r="I958" s="506"/>
      <c r="J958" s="506"/>
      <c r="K958" s="507"/>
      <c r="L958" s="508"/>
      <c r="M958" s="508"/>
      <c r="N958" s="508"/>
      <c r="O958" s="509"/>
      <c r="P958" s="509"/>
    </row>
    <row r="959" spans="1:16" ht="21.75" customHeight="1" x14ac:dyDescent="0.3">
      <c r="A959" s="504"/>
      <c r="B959" s="504"/>
      <c r="C959" s="504"/>
      <c r="D959" s="504"/>
      <c r="E959" s="506"/>
      <c r="F959" s="506"/>
      <c r="G959" s="506"/>
      <c r="H959" s="506"/>
      <c r="I959" s="506"/>
      <c r="J959" s="506"/>
      <c r="K959" s="507"/>
      <c r="L959" s="508"/>
      <c r="M959" s="508"/>
      <c r="N959" s="508"/>
      <c r="O959" s="509"/>
      <c r="P959" s="509"/>
    </row>
    <row r="960" spans="1:16" ht="21.75" customHeight="1" x14ac:dyDescent="0.3">
      <c r="A960" s="504"/>
      <c r="B960" s="504"/>
      <c r="C960" s="504"/>
      <c r="D960" s="504"/>
      <c r="E960" s="506"/>
      <c r="F960" s="506"/>
      <c r="G960" s="506"/>
      <c r="H960" s="506"/>
      <c r="I960" s="506"/>
      <c r="J960" s="506"/>
      <c r="K960" s="507"/>
      <c r="L960" s="508"/>
      <c r="M960" s="508"/>
      <c r="N960" s="508"/>
      <c r="O960" s="509"/>
      <c r="P960" s="509"/>
    </row>
    <row r="961" spans="1:16" ht="21.75" customHeight="1" x14ac:dyDescent="0.3">
      <c r="A961" s="504"/>
      <c r="B961" s="504"/>
      <c r="C961" s="504"/>
      <c r="D961" s="504"/>
      <c r="E961" s="506"/>
      <c r="F961" s="506"/>
      <c r="G961" s="506"/>
      <c r="H961" s="506"/>
      <c r="I961" s="506"/>
      <c r="J961" s="506"/>
      <c r="K961" s="507"/>
      <c r="L961" s="508"/>
      <c r="M961" s="508"/>
      <c r="N961" s="508"/>
      <c r="O961" s="509"/>
      <c r="P961" s="509"/>
    </row>
    <row r="962" spans="1:16" ht="21.75" customHeight="1" x14ac:dyDescent="0.3">
      <c r="A962" s="504"/>
      <c r="B962" s="504"/>
      <c r="C962" s="504"/>
      <c r="D962" s="504"/>
      <c r="E962" s="506"/>
      <c r="F962" s="506"/>
      <c r="G962" s="506"/>
      <c r="H962" s="506"/>
      <c r="I962" s="506"/>
      <c r="J962" s="506"/>
      <c r="K962" s="507"/>
      <c r="L962" s="508"/>
      <c r="M962" s="508"/>
      <c r="N962" s="508"/>
      <c r="O962" s="509"/>
      <c r="P962" s="509"/>
    </row>
    <row r="963" spans="1:16" ht="21.75" customHeight="1" x14ac:dyDescent="0.3">
      <c r="A963" s="504"/>
      <c r="B963" s="504"/>
      <c r="C963" s="504"/>
      <c r="D963" s="504"/>
      <c r="E963" s="506"/>
      <c r="F963" s="506"/>
      <c r="G963" s="506"/>
      <c r="H963" s="506"/>
      <c r="I963" s="506"/>
      <c r="J963" s="506"/>
      <c r="K963" s="507"/>
      <c r="L963" s="508"/>
      <c r="M963" s="508"/>
      <c r="N963" s="508"/>
      <c r="O963" s="509"/>
      <c r="P963" s="509"/>
    </row>
    <row r="964" spans="1:16" ht="21.75" customHeight="1" x14ac:dyDescent="0.3">
      <c r="A964" s="504"/>
      <c r="B964" s="504"/>
      <c r="C964" s="504"/>
      <c r="D964" s="504"/>
      <c r="E964" s="506"/>
      <c r="F964" s="506"/>
      <c r="G964" s="506"/>
      <c r="H964" s="506"/>
      <c r="I964" s="506"/>
      <c r="J964" s="506"/>
      <c r="K964" s="507"/>
      <c r="L964" s="508"/>
      <c r="M964" s="508"/>
      <c r="N964" s="508"/>
      <c r="O964" s="509"/>
      <c r="P964" s="509"/>
    </row>
    <row r="965" spans="1:16" ht="21.75" customHeight="1" x14ac:dyDescent="0.3">
      <c r="A965" s="504"/>
      <c r="B965" s="504"/>
      <c r="C965" s="504"/>
      <c r="D965" s="504"/>
      <c r="E965" s="506"/>
      <c r="F965" s="506"/>
      <c r="G965" s="506"/>
      <c r="H965" s="506"/>
      <c r="I965" s="506"/>
      <c r="J965" s="506"/>
      <c r="K965" s="507"/>
      <c r="L965" s="508"/>
      <c r="M965" s="508"/>
      <c r="N965" s="508"/>
      <c r="O965" s="509"/>
      <c r="P965" s="509"/>
    </row>
    <row r="966" spans="1:16" ht="21.75" customHeight="1" x14ac:dyDescent="0.3">
      <c r="A966" s="504"/>
      <c r="B966" s="504"/>
      <c r="C966" s="504"/>
      <c r="D966" s="504"/>
      <c r="E966" s="506"/>
      <c r="F966" s="506"/>
      <c r="G966" s="506"/>
      <c r="H966" s="506"/>
      <c r="I966" s="506"/>
      <c r="J966" s="506"/>
      <c r="K966" s="507"/>
      <c r="L966" s="508"/>
      <c r="M966" s="508"/>
      <c r="N966" s="508"/>
      <c r="O966" s="509"/>
      <c r="P966" s="509"/>
    </row>
    <row r="967" spans="1:16" ht="21.75" customHeight="1" x14ac:dyDescent="0.3">
      <c r="A967" s="504"/>
      <c r="B967" s="504"/>
      <c r="C967" s="504"/>
      <c r="D967" s="504"/>
      <c r="E967" s="506"/>
      <c r="F967" s="506"/>
      <c r="G967" s="506"/>
      <c r="H967" s="506"/>
      <c r="I967" s="506"/>
      <c r="J967" s="506"/>
      <c r="K967" s="507"/>
      <c r="L967" s="508"/>
      <c r="M967" s="508"/>
      <c r="N967" s="508"/>
      <c r="O967" s="509"/>
      <c r="P967" s="509"/>
    </row>
    <row r="968" spans="1:16" ht="21.75" customHeight="1" x14ac:dyDescent="0.3">
      <c r="A968" s="504"/>
      <c r="B968" s="504"/>
      <c r="C968" s="504"/>
      <c r="D968" s="504"/>
      <c r="E968" s="506"/>
      <c r="F968" s="506"/>
      <c r="G968" s="506"/>
      <c r="H968" s="506"/>
      <c r="I968" s="506"/>
      <c r="J968" s="506"/>
      <c r="K968" s="507"/>
      <c r="L968" s="508"/>
      <c r="M968" s="508"/>
      <c r="N968" s="508"/>
      <c r="O968" s="509"/>
      <c r="P968" s="509"/>
    </row>
    <row r="969" spans="1:16" ht="21.75" customHeight="1" x14ac:dyDescent="0.3">
      <c r="A969" s="504"/>
      <c r="B969" s="504"/>
      <c r="C969" s="504"/>
      <c r="D969" s="504"/>
      <c r="E969" s="506"/>
      <c r="F969" s="506"/>
      <c r="G969" s="506"/>
      <c r="H969" s="506"/>
      <c r="I969" s="506"/>
      <c r="J969" s="506"/>
      <c r="K969" s="507"/>
      <c r="L969" s="508"/>
      <c r="M969" s="508"/>
      <c r="N969" s="508"/>
      <c r="O969" s="509"/>
      <c r="P969" s="509"/>
    </row>
    <row r="970" spans="1:16" ht="21.75" customHeight="1" x14ac:dyDescent="0.3">
      <c r="A970" s="504"/>
      <c r="B970" s="504"/>
      <c r="C970" s="504"/>
      <c r="D970" s="504"/>
      <c r="E970" s="506"/>
      <c r="F970" s="506"/>
      <c r="G970" s="506"/>
      <c r="H970" s="506"/>
      <c r="I970" s="506"/>
      <c r="J970" s="506"/>
      <c r="K970" s="507"/>
      <c r="L970" s="508"/>
      <c r="M970" s="508"/>
      <c r="N970" s="508"/>
      <c r="O970" s="509"/>
      <c r="P970" s="509"/>
    </row>
    <row r="971" spans="1:16" ht="21.75" customHeight="1" x14ac:dyDescent="0.3">
      <c r="A971" s="504"/>
      <c r="B971" s="504"/>
      <c r="C971" s="504"/>
      <c r="D971" s="504"/>
      <c r="E971" s="506"/>
      <c r="F971" s="506"/>
      <c r="G971" s="506"/>
      <c r="H971" s="506"/>
      <c r="I971" s="506"/>
      <c r="J971" s="506"/>
      <c r="K971" s="507"/>
      <c r="L971" s="508"/>
      <c r="M971" s="508"/>
      <c r="N971" s="508"/>
      <c r="O971" s="509"/>
      <c r="P971" s="509"/>
    </row>
    <row r="972" spans="1:16" ht="21.75" customHeight="1" x14ac:dyDescent="0.3">
      <c r="A972" s="504"/>
      <c r="B972" s="504"/>
      <c r="C972" s="504"/>
      <c r="D972" s="504"/>
      <c r="E972" s="506"/>
      <c r="F972" s="506"/>
      <c r="G972" s="506"/>
      <c r="H972" s="506"/>
      <c r="I972" s="506"/>
      <c r="J972" s="506"/>
      <c r="K972" s="507"/>
      <c r="L972" s="508"/>
      <c r="M972" s="508"/>
      <c r="N972" s="508"/>
      <c r="O972" s="509"/>
      <c r="P972" s="509"/>
    </row>
    <row r="973" spans="1:16" ht="21.75" customHeight="1" x14ac:dyDescent="0.3">
      <c r="A973" s="504"/>
      <c r="B973" s="504"/>
      <c r="C973" s="504"/>
      <c r="D973" s="504"/>
      <c r="E973" s="506"/>
      <c r="F973" s="506"/>
      <c r="G973" s="506"/>
      <c r="H973" s="506"/>
      <c r="I973" s="506"/>
      <c r="J973" s="506"/>
      <c r="K973" s="507"/>
      <c r="L973" s="508"/>
      <c r="M973" s="508"/>
      <c r="N973" s="508"/>
      <c r="O973" s="509"/>
      <c r="P973" s="509"/>
    </row>
    <row r="974" spans="1:16" ht="21.75" customHeight="1" x14ac:dyDescent="0.3">
      <c r="A974" s="504"/>
      <c r="B974" s="504"/>
      <c r="C974" s="504"/>
      <c r="D974" s="504"/>
      <c r="E974" s="506"/>
      <c r="F974" s="506"/>
      <c r="G974" s="506"/>
      <c r="H974" s="506"/>
      <c r="I974" s="506"/>
      <c r="J974" s="506"/>
      <c r="K974" s="507"/>
      <c r="L974" s="508"/>
      <c r="M974" s="508"/>
      <c r="N974" s="508"/>
      <c r="O974" s="509"/>
      <c r="P974" s="509"/>
    </row>
    <row r="975" spans="1:16" ht="21.75" customHeight="1" x14ac:dyDescent="0.3">
      <c r="A975" s="504"/>
      <c r="B975" s="504"/>
      <c r="C975" s="504"/>
      <c r="D975" s="504"/>
      <c r="E975" s="506"/>
      <c r="F975" s="506"/>
      <c r="G975" s="506"/>
      <c r="H975" s="506"/>
      <c r="I975" s="506"/>
      <c r="J975" s="506"/>
      <c r="K975" s="507"/>
      <c r="L975" s="508"/>
      <c r="M975" s="508"/>
      <c r="N975" s="508"/>
      <c r="O975" s="509"/>
      <c r="P975" s="509"/>
    </row>
    <row r="976" spans="1:16" ht="21.75" customHeight="1" x14ac:dyDescent="0.3">
      <c r="A976" s="504"/>
      <c r="B976" s="504"/>
      <c r="C976" s="504"/>
      <c r="D976" s="504"/>
      <c r="E976" s="506"/>
      <c r="F976" s="506"/>
      <c r="G976" s="506"/>
      <c r="H976" s="506"/>
      <c r="I976" s="506"/>
      <c r="J976" s="506"/>
      <c r="K976" s="507"/>
      <c r="L976" s="508"/>
      <c r="M976" s="508"/>
      <c r="N976" s="508"/>
      <c r="O976" s="509"/>
      <c r="P976" s="509"/>
    </row>
    <row r="977" spans="1:16" ht="21.75" customHeight="1" x14ac:dyDescent="0.3">
      <c r="A977" s="504"/>
      <c r="B977" s="504"/>
      <c r="C977" s="504"/>
      <c r="D977" s="504"/>
      <c r="E977" s="506"/>
      <c r="F977" s="506"/>
      <c r="G977" s="506"/>
      <c r="H977" s="506"/>
      <c r="I977" s="506"/>
      <c r="J977" s="506"/>
      <c r="K977" s="507"/>
      <c r="L977" s="508"/>
      <c r="M977" s="508"/>
      <c r="N977" s="508"/>
      <c r="O977" s="509"/>
      <c r="P977" s="509"/>
    </row>
    <row r="978" spans="1:16" ht="21.75" customHeight="1" x14ac:dyDescent="0.3">
      <c r="A978" s="504"/>
      <c r="B978" s="504"/>
      <c r="C978" s="504"/>
      <c r="D978" s="504"/>
      <c r="E978" s="506"/>
      <c r="F978" s="506"/>
      <c r="G978" s="506"/>
      <c r="H978" s="506"/>
      <c r="I978" s="506"/>
      <c r="J978" s="506"/>
      <c r="K978" s="507"/>
      <c r="L978" s="508"/>
      <c r="M978" s="508"/>
      <c r="N978" s="508"/>
      <c r="O978" s="509"/>
      <c r="P978" s="509"/>
    </row>
    <row r="979" spans="1:16" ht="21.75" customHeight="1" x14ac:dyDescent="0.3">
      <c r="A979" s="504"/>
      <c r="B979" s="504"/>
      <c r="C979" s="504"/>
      <c r="D979" s="504"/>
      <c r="E979" s="506"/>
      <c r="F979" s="506"/>
      <c r="G979" s="506"/>
      <c r="H979" s="506"/>
      <c r="I979" s="506"/>
      <c r="J979" s="506"/>
      <c r="K979" s="507"/>
      <c r="L979" s="508"/>
      <c r="M979" s="508"/>
      <c r="N979" s="508"/>
      <c r="O979" s="509"/>
      <c r="P979" s="509"/>
    </row>
    <row r="980" spans="1:16" ht="21.75" customHeight="1" x14ac:dyDescent="0.3">
      <c r="A980" s="504"/>
      <c r="B980" s="504"/>
      <c r="C980" s="504"/>
      <c r="D980" s="504"/>
      <c r="E980" s="506"/>
      <c r="F980" s="506"/>
      <c r="G980" s="506"/>
      <c r="H980" s="506"/>
      <c r="I980" s="506"/>
      <c r="J980" s="506"/>
      <c r="K980" s="507"/>
      <c r="L980" s="508"/>
      <c r="M980" s="508"/>
      <c r="N980" s="508"/>
      <c r="O980" s="509"/>
      <c r="P980" s="509"/>
    </row>
    <row r="981" spans="1:16" ht="21.75" customHeight="1" x14ac:dyDescent="0.3">
      <c r="A981" s="504"/>
      <c r="B981" s="504"/>
      <c r="C981" s="504"/>
      <c r="D981" s="504"/>
      <c r="E981" s="506"/>
      <c r="F981" s="506"/>
      <c r="G981" s="506"/>
      <c r="H981" s="506"/>
      <c r="I981" s="506"/>
      <c r="J981" s="506"/>
      <c r="K981" s="507"/>
      <c r="L981" s="508"/>
      <c r="M981" s="508"/>
      <c r="N981" s="508"/>
      <c r="O981" s="509"/>
      <c r="P981" s="509"/>
    </row>
    <row r="982" spans="1:16" ht="21.75" customHeight="1" x14ac:dyDescent="0.3">
      <c r="A982" s="504"/>
      <c r="B982" s="504"/>
      <c r="C982" s="504"/>
      <c r="D982" s="504"/>
      <c r="E982" s="506"/>
      <c r="F982" s="506"/>
      <c r="G982" s="506"/>
      <c r="H982" s="506"/>
      <c r="I982" s="506"/>
      <c r="J982" s="506"/>
      <c r="K982" s="507"/>
      <c r="L982" s="508"/>
      <c r="M982" s="508"/>
      <c r="N982" s="508"/>
      <c r="O982" s="509"/>
      <c r="P982" s="509"/>
    </row>
    <row r="983" spans="1:16" ht="21.75" customHeight="1" x14ac:dyDescent="0.3">
      <c r="A983" s="504"/>
      <c r="B983" s="504"/>
      <c r="C983" s="504"/>
      <c r="D983" s="504"/>
      <c r="E983" s="506"/>
      <c r="F983" s="506"/>
      <c r="G983" s="506"/>
      <c r="H983" s="506"/>
      <c r="I983" s="506"/>
      <c r="J983" s="506"/>
      <c r="K983" s="507"/>
      <c r="L983" s="508"/>
      <c r="M983" s="508"/>
      <c r="N983" s="508"/>
      <c r="O983" s="509"/>
      <c r="P983" s="509"/>
    </row>
    <row r="984" spans="1:16" ht="21.75" customHeight="1" x14ac:dyDescent="0.3">
      <c r="A984" s="504"/>
      <c r="B984" s="504"/>
      <c r="C984" s="504"/>
      <c r="D984" s="504"/>
      <c r="E984" s="506"/>
      <c r="F984" s="506"/>
      <c r="G984" s="506"/>
      <c r="H984" s="506"/>
      <c r="I984" s="506"/>
      <c r="J984" s="506"/>
      <c r="K984" s="507"/>
      <c r="L984" s="508"/>
      <c r="M984" s="508"/>
      <c r="N984" s="508"/>
      <c r="O984" s="509"/>
      <c r="P984" s="509"/>
    </row>
    <row r="985" spans="1:16" ht="21.75" customHeight="1" x14ac:dyDescent="0.3">
      <c r="A985" s="504"/>
      <c r="B985" s="504"/>
      <c r="C985" s="504"/>
      <c r="D985" s="504"/>
      <c r="E985" s="506"/>
      <c r="F985" s="506"/>
      <c r="G985" s="506"/>
      <c r="H985" s="506"/>
      <c r="I985" s="506"/>
      <c r="J985" s="506"/>
      <c r="K985" s="507"/>
      <c r="L985" s="508"/>
      <c r="M985" s="508"/>
      <c r="N985" s="508"/>
      <c r="O985" s="509"/>
      <c r="P985" s="509"/>
    </row>
    <row r="986" spans="1:16" ht="21.75" customHeight="1" x14ac:dyDescent="0.3">
      <c r="A986" s="504"/>
      <c r="B986" s="504"/>
      <c r="C986" s="504"/>
      <c r="D986" s="504"/>
      <c r="E986" s="506"/>
      <c r="F986" s="506"/>
      <c r="G986" s="506"/>
      <c r="H986" s="506"/>
      <c r="I986" s="506"/>
      <c r="J986" s="506"/>
      <c r="K986" s="507"/>
      <c r="L986" s="508"/>
      <c r="M986" s="508"/>
      <c r="N986" s="508"/>
      <c r="O986" s="509"/>
      <c r="P986" s="509"/>
    </row>
    <row r="987" spans="1:16" ht="21.75" customHeight="1" x14ac:dyDescent="0.3">
      <c r="A987" s="504"/>
      <c r="B987" s="504"/>
      <c r="C987" s="504"/>
      <c r="D987" s="504"/>
      <c r="E987" s="506"/>
      <c r="F987" s="506"/>
      <c r="G987" s="506"/>
      <c r="H987" s="506"/>
      <c r="I987" s="506"/>
      <c r="J987" s="506"/>
      <c r="K987" s="507"/>
      <c r="L987" s="508"/>
      <c r="M987" s="508"/>
      <c r="N987" s="508"/>
      <c r="O987" s="509"/>
      <c r="P987" s="509"/>
    </row>
    <row r="988" spans="1:16" ht="21.75" customHeight="1" x14ac:dyDescent="0.3">
      <c r="A988" s="504"/>
      <c r="B988" s="504"/>
      <c r="C988" s="504"/>
      <c r="D988" s="504"/>
      <c r="E988" s="506"/>
      <c r="F988" s="506"/>
      <c r="G988" s="506"/>
      <c r="H988" s="506"/>
      <c r="I988" s="506"/>
      <c r="J988" s="506"/>
      <c r="K988" s="507"/>
      <c r="L988" s="508"/>
      <c r="M988" s="508"/>
      <c r="N988" s="508"/>
      <c r="O988" s="509"/>
      <c r="P988" s="509"/>
    </row>
    <row r="989" spans="1:16" ht="21.75" customHeight="1" x14ac:dyDescent="0.3">
      <c r="A989" s="504"/>
      <c r="B989" s="504"/>
      <c r="C989" s="504"/>
      <c r="D989" s="504"/>
      <c r="E989" s="506"/>
      <c r="F989" s="506"/>
      <c r="G989" s="506"/>
      <c r="H989" s="506"/>
      <c r="I989" s="506"/>
      <c r="J989" s="506"/>
      <c r="K989" s="507"/>
      <c r="L989" s="508"/>
      <c r="M989" s="508"/>
      <c r="N989" s="508"/>
      <c r="O989" s="509"/>
      <c r="P989" s="509"/>
    </row>
    <row r="990" spans="1:16" ht="21.75" customHeight="1" x14ac:dyDescent="0.3">
      <c r="A990" s="504"/>
      <c r="B990" s="504"/>
      <c r="C990" s="504"/>
      <c r="D990" s="504"/>
      <c r="E990" s="506"/>
      <c r="F990" s="506"/>
      <c r="G990" s="506"/>
      <c r="H990" s="506"/>
      <c r="I990" s="506"/>
      <c r="J990" s="506"/>
      <c r="K990" s="507"/>
      <c r="L990" s="508"/>
      <c r="M990" s="508"/>
      <c r="N990" s="508"/>
      <c r="O990" s="509"/>
      <c r="P990" s="509"/>
    </row>
    <row r="991" spans="1:16" ht="21.75" customHeight="1" x14ac:dyDescent="0.3">
      <c r="A991" s="504"/>
      <c r="B991" s="504"/>
      <c r="C991" s="504"/>
      <c r="D991" s="504"/>
      <c r="E991" s="506"/>
      <c r="F991" s="506"/>
      <c r="G991" s="506"/>
      <c r="H991" s="506"/>
      <c r="I991" s="506"/>
      <c r="J991" s="506"/>
      <c r="K991" s="507"/>
      <c r="L991" s="508"/>
      <c r="M991" s="508"/>
      <c r="N991" s="508"/>
      <c r="O991" s="509"/>
      <c r="P991" s="509"/>
    </row>
    <row r="992" spans="1:16" ht="21.75" customHeight="1" x14ac:dyDescent="0.3">
      <c r="A992" s="504"/>
      <c r="B992" s="504"/>
      <c r="C992" s="504"/>
      <c r="D992" s="504"/>
      <c r="E992" s="506"/>
      <c r="F992" s="506"/>
      <c r="G992" s="506"/>
      <c r="H992" s="506"/>
      <c r="I992" s="506"/>
      <c r="J992" s="506"/>
      <c r="K992" s="507"/>
      <c r="L992" s="508"/>
      <c r="M992" s="508"/>
      <c r="N992" s="508"/>
      <c r="O992" s="509"/>
      <c r="P992" s="509"/>
    </row>
    <row r="993" spans="1:16" ht="21.75" customHeight="1" x14ac:dyDescent="0.3">
      <c r="A993" s="504"/>
      <c r="B993" s="504"/>
      <c r="C993" s="504"/>
      <c r="D993" s="504"/>
      <c r="E993" s="506"/>
      <c r="F993" s="506"/>
      <c r="G993" s="506"/>
      <c r="H993" s="506"/>
      <c r="I993" s="506"/>
      <c r="J993" s="506"/>
      <c r="K993" s="507"/>
      <c r="L993" s="508"/>
      <c r="M993" s="508"/>
      <c r="N993" s="508"/>
      <c r="O993" s="509"/>
      <c r="P993" s="509"/>
    </row>
    <row r="994" spans="1:16" ht="21.75" customHeight="1" x14ac:dyDescent="0.3">
      <c r="A994" s="504"/>
      <c r="B994" s="504"/>
      <c r="C994" s="504"/>
      <c r="D994" s="504"/>
      <c r="E994" s="506"/>
      <c r="F994" s="506"/>
      <c r="G994" s="506"/>
      <c r="H994" s="506"/>
      <c r="I994" s="506"/>
      <c r="J994" s="506"/>
      <c r="K994" s="507"/>
      <c r="L994" s="508"/>
      <c r="M994" s="508"/>
      <c r="N994" s="508"/>
      <c r="O994" s="509"/>
      <c r="P994" s="509"/>
    </row>
    <row r="995" spans="1:16" ht="21.75" customHeight="1" x14ac:dyDescent="0.3">
      <c r="A995" s="504"/>
      <c r="B995" s="504"/>
      <c r="C995" s="504"/>
      <c r="D995" s="504"/>
      <c r="E995" s="506"/>
      <c r="F995" s="506"/>
      <c r="G995" s="506"/>
      <c r="H995" s="506"/>
      <c r="I995" s="506"/>
      <c r="J995" s="506"/>
      <c r="K995" s="507"/>
      <c r="L995" s="508"/>
      <c r="M995" s="508"/>
      <c r="N995" s="508"/>
      <c r="O995" s="509"/>
      <c r="P995" s="509"/>
    </row>
    <row r="996" spans="1:16" ht="21.75" customHeight="1" x14ac:dyDescent="0.3">
      <c r="A996" s="504"/>
      <c r="B996" s="504"/>
      <c r="C996" s="504"/>
      <c r="D996" s="504"/>
      <c r="E996" s="506"/>
      <c r="F996" s="506"/>
      <c r="G996" s="506"/>
      <c r="H996" s="506"/>
      <c r="I996" s="506"/>
      <c r="J996" s="506"/>
      <c r="K996" s="507"/>
      <c r="L996" s="508"/>
      <c r="M996" s="508"/>
      <c r="N996" s="508"/>
      <c r="O996" s="509"/>
      <c r="P996" s="509"/>
    </row>
    <row r="997" spans="1:16" ht="21.75" customHeight="1" x14ac:dyDescent="0.3">
      <c r="A997" s="504"/>
      <c r="B997" s="504"/>
      <c r="C997" s="504"/>
      <c r="D997" s="504"/>
      <c r="E997" s="506"/>
      <c r="F997" s="506"/>
      <c r="G997" s="506"/>
      <c r="H997" s="506"/>
      <c r="I997" s="506"/>
      <c r="J997" s="506"/>
      <c r="K997" s="507"/>
      <c r="L997" s="508"/>
      <c r="M997" s="508"/>
      <c r="N997" s="508"/>
      <c r="O997" s="509"/>
      <c r="P997" s="509"/>
    </row>
    <row r="998" spans="1:16" ht="21.75" customHeight="1" x14ac:dyDescent="0.3">
      <c r="A998" s="504"/>
      <c r="B998" s="504"/>
      <c r="C998" s="504"/>
      <c r="D998" s="504"/>
      <c r="E998" s="506"/>
      <c r="F998" s="506"/>
      <c r="G998" s="506"/>
      <c r="H998" s="506"/>
      <c r="I998" s="506"/>
      <c r="J998" s="506"/>
      <c r="K998" s="507"/>
      <c r="L998" s="508"/>
      <c r="M998" s="508"/>
      <c r="N998" s="508"/>
      <c r="O998" s="509"/>
      <c r="P998" s="509"/>
    </row>
    <row r="999" spans="1:16" ht="21.75" customHeight="1" x14ac:dyDescent="0.3">
      <c r="A999" s="504"/>
      <c r="B999" s="504"/>
      <c r="C999" s="504"/>
      <c r="D999" s="504"/>
      <c r="E999" s="506"/>
      <c r="F999" s="506"/>
      <c r="G999" s="506"/>
      <c r="H999" s="506"/>
      <c r="I999" s="506"/>
      <c r="J999" s="506"/>
      <c r="K999" s="507"/>
      <c r="L999" s="508"/>
      <c r="M999" s="508"/>
      <c r="N999" s="508"/>
      <c r="O999" s="509"/>
      <c r="P999" s="509"/>
    </row>
    <row r="1000" spans="1:16" ht="21.75" customHeight="1" x14ac:dyDescent="0.3">
      <c r="A1000" s="504"/>
      <c r="B1000" s="504"/>
      <c r="C1000" s="504"/>
      <c r="D1000" s="504"/>
      <c r="E1000" s="506"/>
      <c r="F1000" s="506"/>
      <c r="G1000" s="506"/>
      <c r="H1000" s="506"/>
      <c r="I1000" s="506"/>
      <c r="J1000" s="506"/>
      <c r="K1000" s="507"/>
      <c r="L1000" s="508"/>
      <c r="M1000" s="508"/>
      <c r="N1000" s="508"/>
      <c r="O1000" s="509"/>
      <c r="P1000" s="509"/>
    </row>
    <row r="1001" spans="1:16" ht="21.75" customHeight="1" x14ac:dyDescent="0.3">
      <c r="A1001" s="504"/>
      <c r="B1001" s="504"/>
      <c r="C1001" s="504"/>
      <c r="D1001" s="504"/>
      <c r="E1001" s="506"/>
      <c r="F1001" s="506"/>
      <c r="G1001" s="506"/>
      <c r="H1001" s="506"/>
      <c r="I1001" s="506"/>
      <c r="J1001" s="506"/>
      <c r="K1001" s="507"/>
      <c r="L1001" s="508"/>
      <c r="M1001" s="508"/>
      <c r="N1001" s="508"/>
      <c r="O1001" s="509"/>
      <c r="P1001" s="509"/>
    </row>
    <row r="1002" spans="1:16" ht="21.75" customHeight="1" x14ac:dyDescent="0.3">
      <c r="A1002" s="504"/>
      <c r="B1002" s="504"/>
      <c r="C1002" s="504"/>
      <c r="D1002" s="504"/>
      <c r="E1002" s="506"/>
      <c r="F1002" s="506"/>
      <c r="G1002" s="506"/>
      <c r="H1002" s="506"/>
      <c r="I1002" s="506"/>
      <c r="J1002" s="506"/>
      <c r="K1002" s="507"/>
      <c r="L1002" s="508"/>
      <c r="M1002" s="508"/>
      <c r="N1002" s="508"/>
      <c r="O1002" s="509"/>
      <c r="P1002" s="509"/>
    </row>
    <row r="1003" spans="1:16" ht="21.75" customHeight="1" x14ac:dyDescent="0.3">
      <c r="A1003" s="504"/>
      <c r="B1003" s="504"/>
      <c r="C1003" s="504"/>
      <c r="D1003" s="504"/>
      <c r="E1003" s="506"/>
      <c r="F1003" s="506"/>
      <c r="G1003" s="506"/>
      <c r="H1003" s="506"/>
      <c r="I1003" s="506"/>
      <c r="J1003" s="506"/>
      <c r="K1003" s="507"/>
      <c r="L1003" s="508"/>
      <c r="M1003" s="508"/>
      <c r="N1003" s="508"/>
      <c r="O1003" s="509"/>
      <c r="P1003" s="509"/>
    </row>
    <row r="1004" spans="1:16" ht="21.75" customHeight="1" x14ac:dyDescent="0.3">
      <c r="A1004" s="504"/>
      <c r="B1004" s="504"/>
      <c r="C1004" s="504"/>
      <c r="D1004" s="504"/>
      <c r="E1004" s="506"/>
      <c r="F1004" s="506"/>
      <c r="G1004" s="506"/>
      <c r="H1004" s="506"/>
      <c r="I1004" s="506"/>
      <c r="J1004" s="506"/>
      <c r="K1004" s="507"/>
      <c r="L1004" s="508"/>
      <c r="M1004" s="508"/>
      <c r="N1004" s="508"/>
      <c r="O1004" s="509"/>
      <c r="P1004" s="509"/>
    </row>
    <row r="1005" spans="1:16" ht="21.75" customHeight="1" x14ac:dyDescent="0.3">
      <c r="A1005" s="504"/>
      <c r="B1005" s="504"/>
      <c r="C1005" s="504"/>
      <c r="D1005" s="504"/>
      <c r="E1005" s="506"/>
      <c r="F1005" s="506"/>
      <c r="G1005" s="506"/>
      <c r="H1005" s="506"/>
      <c r="I1005" s="506"/>
      <c r="J1005" s="506"/>
      <c r="K1005" s="507"/>
      <c r="L1005" s="508"/>
      <c r="M1005" s="508"/>
      <c r="N1005" s="508"/>
      <c r="O1005" s="509"/>
      <c r="P1005" s="509"/>
    </row>
    <row r="1006" spans="1:16" ht="21.75" customHeight="1" x14ac:dyDescent="0.3">
      <c r="A1006" s="504"/>
      <c r="B1006" s="504"/>
      <c r="C1006" s="504"/>
      <c r="D1006" s="504"/>
      <c r="E1006" s="506"/>
      <c r="F1006" s="506"/>
      <c r="G1006" s="506"/>
      <c r="H1006" s="506"/>
      <c r="I1006" s="506"/>
      <c r="J1006" s="506"/>
      <c r="K1006" s="507"/>
      <c r="L1006" s="508"/>
      <c r="M1006" s="508"/>
      <c r="N1006" s="508"/>
      <c r="O1006" s="509"/>
      <c r="P1006" s="509"/>
    </row>
    <row r="1007" spans="1:16" ht="21.75" customHeight="1" x14ac:dyDescent="0.3">
      <c r="A1007" s="504"/>
      <c r="B1007" s="504"/>
      <c r="C1007" s="504"/>
      <c r="D1007" s="504"/>
      <c r="E1007" s="506"/>
      <c r="F1007" s="506"/>
      <c r="G1007" s="506"/>
      <c r="H1007" s="506"/>
      <c r="I1007" s="506"/>
      <c r="J1007" s="506"/>
      <c r="K1007" s="507"/>
      <c r="L1007" s="508"/>
      <c r="M1007" s="508"/>
      <c r="N1007" s="508"/>
      <c r="O1007" s="509"/>
      <c r="P1007" s="509"/>
    </row>
    <row r="1008" spans="1:16" ht="21.75" customHeight="1" x14ac:dyDescent="0.3">
      <c r="A1008" s="504"/>
      <c r="B1008" s="504"/>
      <c r="C1008" s="504"/>
      <c r="D1008" s="504"/>
      <c r="E1008" s="506"/>
      <c r="F1008" s="506"/>
      <c r="G1008" s="506"/>
      <c r="H1008" s="506"/>
      <c r="I1008" s="506"/>
      <c r="J1008" s="506"/>
      <c r="K1008" s="507"/>
      <c r="L1008" s="508"/>
      <c r="M1008" s="508"/>
      <c r="N1008" s="508"/>
      <c r="O1008" s="509"/>
      <c r="P1008" s="509"/>
    </row>
    <row r="1009" spans="1:16" ht="21.75" customHeight="1" x14ac:dyDescent="0.3">
      <c r="A1009" s="504"/>
      <c r="B1009" s="504"/>
      <c r="C1009" s="504"/>
      <c r="D1009" s="504"/>
      <c r="E1009" s="506"/>
      <c r="F1009" s="506"/>
      <c r="G1009" s="506"/>
      <c r="H1009" s="506"/>
      <c r="I1009" s="506"/>
      <c r="J1009" s="506"/>
      <c r="K1009" s="507"/>
      <c r="L1009" s="508"/>
      <c r="M1009" s="508"/>
      <c r="N1009" s="508"/>
      <c r="O1009" s="509"/>
      <c r="P1009" s="509"/>
    </row>
    <row r="1010" spans="1:16" ht="21.75" customHeight="1" x14ac:dyDescent="0.3">
      <c r="A1010" s="504"/>
      <c r="B1010" s="504"/>
      <c r="C1010" s="504"/>
      <c r="D1010" s="504"/>
      <c r="E1010" s="506"/>
      <c r="F1010" s="506"/>
      <c r="G1010" s="506"/>
      <c r="H1010" s="506"/>
      <c r="I1010" s="506"/>
      <c r="J1010" s="506"/>
      <c r="K1010" s="507"/>
      <c r="L1010" s="508"/>
      <c r="M1010" s="508"/>
      <c r="N1010" s="508"/>
      <c r="O1010" s="509"/>
      <c r="P1010" s="509"/>
    </row>
    <row r="1011" spans="1:16" ht="21.75" customHeight="1" x14ac:dyDescent="0.3">
      <c r="A1011" s="504"/>
      <c r="B1011" s="504"/>
      <c r="C1011" s="504"/>
      <c r="D1011" s="504"/>
      <c r="E1011" s="506"/>
      <c r="F1011" s="506"/>
      <c r="G1011" s="506"/>
      <c r="H1011" s="506"/>
      <c r="I1011" s="506"/>
      <c r="J1011" s="506"/>
      <c r="K1011" s="507"/>
      <c r="L1011" s="508"/>
      <c r="M1011" s="508"/>
      <c r="N1011" s="508"/>
      <c r="O1011" s="509"/>
      <c r="P1011" s="509"/>
    </row>
    <row r="1012" spans="1:16" ht="21.75" customHeight="1" x14ac:dyDescent="0.3">
      <c r="A1012" s="504"/>
      <c r="B1012" s="504"/>
      <c r="C1012" s="504"/>
      <c r="D1012" s="504"/>
      <c r="E1012" s="506"/>
      <c r="F1012" s="506"/>
      <c r="G1012" s="506"/>
      <c r="H1012" s="506"/>
      <c r="I1012" s="506"/>
      <c r="J1012" s="506"/>
      <c r="K1012" s="507"/>
      <c r="L1012" s="508"/>
      <c r="M1012" s="508"/>
      <c r="N1012" s="508"/>
      <c r="O1012" s="509"/>
      <c r="P1012" s="509"/>
    </row>
    <row r="1013" spans="1:16" ht="21.75" customHeight="1" x14ac:dyDescent="0.3">
      <c r="A1013" s="504"/>
      <c r="B1013" s="504"/>
      <c r="C1013" s="504"/>
      <c r="D1013" s="504"/>
      <c r="E1013" s="506"/>
      <c r="F1013" s="506"/>
      <c r="G1013" s="506"/>
      <c r="H1013" s="506"/>
      <c r="I1013" s="506"/>
      <c r="J1013" s="506"/>
      <c r="K1013" s="507"/>
      <c r="L1013" s="508"/>
      <c r="M1013" s="508"/>
      <c r="N1013" s="508"/>
      <c r="O1013" s="509"/>
      <c r="P1013" s="509"/>
    </row>
    <row r="1014" spans="1:16" ht="21.75" customHeight="1" x14ac:dyDescent="0.3">
      <c r="A1014" s="504"/>
      <c r="B1014" s="504"/>
      <c r="C1014" s="504"/>
      <c r="D1014" s="504"/>
      <c r="E1014" s="506"/>
      <c r="F1014" s="506"/>
      <c r="G1014" s="506"/>
      <c r="H1014" s="506"/>
      <c r="I1014" s="506"/>
      <c r="J1014" s="506"/>
      <c r="K1014" s="507"/>
      <c r="L1014" s="508"/>
      <c r="M1014" s="508"/>
      <c r="N1014" s="508"/>
      <c r="O1014" s="509"/>
      <c r="P1014" s="509"/>
    </row>
    <row r="1015" spans="1:16" ht="21.75" customHeight="1" x14ac:dyDescent="0.3">
      <c r="A1015" s="504"/>
      <c r="B1015" s="504"/>
      <c r="C1015" s="504"/>
      <c r="D1015" s="504"/>
      <c r="E1015" s="506"/>
      <c r="F1015" s="506"/>
      <c r="G1015" s="506"/>
      <c r="H1015" s="506"/>
      <c r="I1015" s="506"/>
      <c r="J1015" s="506"/>
      <c r="K1015" s="507"/>
      <c r="L1015" s="508"/>
      <c r="M1015" s="508"/>
      <c r="N1015" s="508"/>
      <c r="O1015" s="509"/>
      <c r="P1015" s="509"/>
    </row>
    <row r="1016" spans="1:16" ht="21.75" customHeight="1" x14ac:dyDescent="0.3">
      <c r="A1016" s="504"/>
      <c r="B1016" s="504"/>
      <c r="C1016" s="504"/>
      <c r="D1016" s="504"/>
      <c r="E1016" s="506"/>
      <c r="F1016" s="506"/>
      <c r="G1016" s="506"/>
      <c r="H1016" s="506"/>
      <c r="I1016" s="506"/>
      <c r="J1016" s="506"/>
      <c r="K1016" s="507"/>
      <c r="L1016" s="508"/>
      <c r="M1016" s="508"/>
      <c r="N1016" s="508"/>
      <c r="O1016" s="509"/>
      <c r="P1016" s="509"/>
    </row>
    <row r="1017" spans="1:16" ht="21.75" customHeight="1" x14ac:dyDescent="0.3">
      <c r="A1017" s="504"/>
      <c r="B1017" s="504"/>
      <c r="C1017" s="504"/>
      <c r="D1017" s="504"/>
      <c r="E1017" s="506"/>
      <c r="F1017" s="506"/>
      <c r="G1017" s="506"/>
      <c r="H1017" s="506"/>
      <c r="I1017" s="506"/>
      <c r="J1017" s="506"/>
      <c r="K1017" s="507"/>
      <c r="L1017" s="508"/>
      <c r="M1017" s="508"/>
      <c r="N1017" s="508"/>
      <c r="O1017" s="509"/>
      <c r="P1017" s="509"/>
    </row>
    <row r="1018" spans="1:16" ht="21.75" customHeight="1" x14ac:dyDescent="0.3">
      <c r="A1018" s="504"/>
      <c r="B1018" s="504"/>
      <c r="C1018" s="504"/>
      <c r="D1018" s="504"/>
      <c r="E1018" s="506"/>
      <c r="F1018" s="506"/>
      <c r="G1018" s="506"/>
      <c r="H1018" s="506"/>
      <c r="I1018" s="506"/>
      <c r="J1018" s="506"/>
      <c r="K1018" s="507"/>
      <c r="L1018" s="508"/>
      <c r="M1018" s="508"/>
      <c r="N1018" s="508"/>
      <c r="O1018" s="509"/>
      <c r="P1018" s="509"/>
    </row>
    <row r="1019" spans="1:16" ht="21.75" customHeight="1" x14ac:dyDescent="0.3">
      <c r="A1019" s="504"/>
      <c r="B1019" s="504"/>
      <c r="C1019" s="504"/>
      <c r="D1019" s="504"/>
      <c r="E1019" s="506"/>
      <c r="F1019" s="506"/>
      <c r="G1019" s="506"/>
      <c r="H1019" s="506"/>
      <c r="I1019" s="506"/>
      <c r="J1019" s="506"/>
      <c r="K1019" s="507"/>
      <c r="L1019" s="508"/>
      <c r="M1019" s="508"/>
      <c r="N1019" s="508"/>
      <c r="O1019" s="509"/>
      <c r="P1019" s="509"/>
    </row>
    <row r="1020" spans="1:16" ht="21.75" customHeight="1" x14ac:dyDescent="0.3">
      <c r="A1020" s="504"/>
      <c r="B1020" s="504"/>
      <c r="C1020" s="504"/>
      <c r="D1020" s="504"/>
      <c r="E1020" s="506"/>
      <c r="F1020" s="506"/>
      <c r="G1020" s="506"/>
      <c r="H1020" s="506"/>
      <c r="I1020" s="506"/>
      <c r="J1020" s="506"/>
      <c r="K1020" s="507"/>
      <c r="L1020" s="508"/>
      <c r="M1020" s="508"/>
      <c r="N1020" s="508"/>
      <c r="O1020" s="509"/>
      <c r="P1020" s="509"/>
    </row>
    <row r="1021" spans="1:16" ht="21.75" customHeight="1" x14ac:dyDescent="0.3">
      <c r="A1021" s="504"/>
      <c r="B1021" s="504"/>
      <c r="C1021" s="504"/>
      <c r="D1021" s="504"/>
      <c r="E1021" s="506"/>
      <c r="F1021" s="506"/>
      <c r="G1021" s="506"/>
      <c r="H1021" s="506"/>
      <c r="I1021" s="506"/>
      <c r="J1021" s="506"/>
      <c r="K1021" s="507"/>
      <c r="L1021" s="508"/>
      <c r="M1021" s="508"/>
      <c r="N1021" s="508"/>
      <c r="O1021" s="509"/>
      <c r="P1021" s="509"/>
    </row>
    <row r="1022" spans="1:16" ht="21.75" customHeight="1" x14ac:dyDescent="0.3">
      <c r="A1022" s="504"/>
      <c r="B1022" s="504"/>
      <c r="C1022" s="504"/>
      <c r="D1022" s="504"/>
      <c r="E1022" s="506"/>
      <c r="F1022" s="506"/>
      <c r="G1022" s="506"/>
      <c r="H1022" s="506"/>
      <c r="I1022" s="506"/>
      <c r="J1022" s="506"/>
      <c r="K1022" s="507"/>
      <c r="L1022" s="508"/>
      <c r="M1022" s="508"/>
      <c r="N1022" s="508"/>
      <c r="O1022" s="509"/>
      <c r="P1022" s="509"/>
    </row>
    <row r="1023" spans="1:16" ht="21.75" customHeight="1" x14ac:dyDescent="0.3">
      <c r="A1023" s="504"/>
      <c r="B1023" s="504"/>
      <c r="C1023" s="504"/>
      <c r="D1023" s="504"/>
      <c r="E1023" s="506"/>
      <c r="F1023" s="506"/>
      <c r="G1023" s="506"/>
      <c r="H1023" s="506"/>
      <c r="I1023" s="506"/>
      <c r="J1023" s="506"/>
      <c r="K1023" s="507"/>
      <c r="L1023" s="508"/>
      <c r="M1023" s="508"/>
      <c r="N1023" s="508"/>
      <c r="O1023" s="509"/>
      <c r="P1023" s="509"/>
    </row>
    <row r="1024" spans="1:16" ht="21.75" customHeight="1" x14ac:dyDescent="0.3">
      <c r="A1024" s="504"/>
      <c r="B1024" s="504"/>
      <c r="C1024" s="504"/>
      <c r="D1024" s="504"/>
      <c r="E1024" s="506"/>
      <c r="F1024" s="506"/>
      <c r="G1024" s="506"/>
      <c r="H1024" s="506"/>
      <c r="I1024" s="506"/>
      <c r="J1024" s="506"/>
      <c r="K1024" s="507"/>
      <c r="L1024" s="508"/>
      <c r="M1024" s="508"/>
      <c r="N1024" s="508"/>
      <c r="O1024" s="509"/>
      <c r="P1024" s="509"/>
    </row>
    <row r="1025" spans="1:16" ht="21.75" customHeight="1" x14ac:dyDescent="0.3">
      <c r="A1025" s="504"/>
      <c r="B1025" s="504"/>
      <c r="C1025" s="504"/>
      <c r="D1025" s="504"/>
      <c r="E1025" s="506"/>
      <c r="F1025" s="506"/>
      <c r="G1025" s="506"/>
      <c r="H1025" s="506"/>
      <c r="I1025" s="506"/>
      <c r="J1025" s="506"/>
      <c r="K1025" s="507"/>
      <c r="L1025" s="508"/>
      <c r="M1025" s="508"/>
      <c r="N1025" s="508"/>
      <c r="O1025" s="509"/>
      <c r="P1025" s="509"/>
    </row>
    <row r="1026" spans="1:16" ht="21.75" customHeight="1" x14ac:dyDescent="0.3">
      <c r="A1026" s="504"/>
      <c r="B1026" s="504"/>
      <c r="C1026" s="504"/>
      <c r="D1026" s="504"/>
      <c r="E1026" s="506"/>
      <c r="F1026" s="506"/>
      <c r="G1026" s="506"/>
      <c r="H1026" s="506"/>
      <c r="I1026" s="506"/>
      <c r="J1026" s="506"/>
      <c r="K1026" s="507"/>
      <c r="L1026" s="508"/>
      <c r="M1026" s="508"/>
      <c r="N1026" s="508"/>
      <c r="O1026" s="509"/>
      <c r="P1026" s="509"/>
    </row>
    <row r="1027" spans="1:16" ht="21.75" customHeight="1" x14ac:dyDescent="0.3">
      <c r="A1027" s="504"/>
      <c r="B1027" s="504"/>
      <c r="C1027" s="504"/>
      <c r="D1027" s="504"/>
      <c r="E1027" s="506"/>
      <c r="F1027" s="506"/>
      <c r="G1027" s="506"/>
      <c r="H1027" s="506"/>
      <c r="I1027" s="506"/>
      <c r="J1027" s="506"/>
      <c r="K1027" s="507"/>
      <c r="L1027" s="508"/>
      <c r="M1027" s="508"/>
      <c r="N1027" s="508"/>
      <c r="O1027" s="509"/>
      <c r="P1027" s="509"/>
    </row>
    <row r="1028" spans="1:16" ht="21.75" customHeight="1" x14ac:dyDescent="0.3">
      <c r="A1028" s="504"/>
      <c r="B1028" s="504"/>
      <c r="C1028" s="504"/>
      <c r="D1028" s="504"/>
      <c r="E1028" s="506"/>
      <c r="F1028" s="506"/>
      <c r="G1028" s="506"/>
      <c r="H1028" s="506"/>
      <c r="I1028" s="506"/>
      <c r="J1028" s="506"/>
      <c r="K1028" s="507"/>
      <c r="L1028" s="508"/>
      <c r="M1028" s="508"/>
      <c r="N1028" s="508"/>
      <c r="O1028" s="509"/>
      <c r="P1028" s="509"/>
    </row>
    <row r="1029" spans="1:16" ht="21.75" customHeight="1" x14ac:dyDescent="0.3">
      <c r="A1029" s="504"/>
      <c r="B1029" s="504"/>
      <c r="C1029" s="504"/>
      <c r="D1029" s="504"/>
      <c r="E1029" s="506"/>
      <c r="F1029" s="506"/>
      <c r="G1029" s="506"/>
      <c r="H1029" s="506"/>
      <c r="I1029" s="506"/>
      <c r="J1029" s="506"/>
      <c r="K1029" s="507"/>
      <c r="L1029" s="508"/>
      <c r="M1029" s="508"/>
      <c r="N1029" s="508"/>
      <c r="O1029" s="509"/>
      <c r="P1029" s="509"/>
    </row>
    <row r="1030" spans="1:16" ht="21.75" customHeight="1" x14ac:dyDescent="0.3">
      <c r="A1030" s="504"/>
      <c r="B1030" s="504"/>
      <c r="C1030" s="504"/>
      <c r="D1030" s="504"/>
      <c r="E1030" s="506"/>
      <c r="F1030" s="506"/>
      <c r="G1030" s="506"/>
      <c r="H1030" s="506"/>
      <c r="I1030" s="506"/>
      <c r="J1030" s="506"/>
      <c r="K1030" s="507"/>
      <c r="L1030" s="508"/>
      <c r="M1030" s="508"/>
      <c r="N1030" s="508"/>
      <c r="O1030" s="509"/>
      <c r="P1030" s="509"/>
    </row>
    <row r="1031" spans="1:16" ht="21.75" customHeight="1" x14ac:dyDescent="0.3">
      <c r="A1031" s="504"/>
      <c r="B1031" s="504"/>
      <c r="C1031" s="504"/>
      <c r="D1031" s="504"/>
      <c r="E1031" s="506"/>
      <c r="F1031" s="506"/>
      <c r="G1031" s="506"/>
      <c r="H1031" s="506"/>
      <c r="I1031" s="506"/>
      <c r="J1031" s="506"/>
      <c r="K1031" s="507"/>
      <c r="L1031" s="508"/>
      <c r="M1031" s="508"/>
      <c r="N1031" s="508"/>
      <c r="O1031" s="509"/>
      <c r="P1031" s="509"/>
    </row>
    <row r="1032" spans="1:16" ht="21.75" customHeight="1" x14ac:dyDescent="0.3">
      <c r="A1032" s="504"/>
      <c r="B1032" s="504"/>
      <c r="C1032" s="504"/>
      <c r="D1032" s="504"/>
      <c r="E1032" s="506"/>
      <c r="F1032" s="506"/>
      <c r="G1032" s="506"/>
      <c r="H1032" s="506"/>
      <c r="I1032" s="506"/>
      <c r="J1032" s="506"/>
      <c r="K1032" s="507"/>
      <c r="L1032" s="508"/>
      <c r="M1032" s="508"/>
      <c r="N1032" s="508"/>
      <c r="O1032" s="509"/>
      <c r="P1032" s="509"/>
    </row>
    <row r="1033" spans="1:16" ht="21.75" customHeight="1" x14ac:dyDescent="0.3">
      <c r="A1033" s="504"/>
      <c r="B1033" s="504"/>
      <c r="C1033" s="504"/>
      <c r="D1033" s="504"/>
      <c r="E1033" s="506"/>
      <c r="F1033" s="506"/>
      <c r="G1033" s="506"/>
      <c r="H1033" s="506"/>
      <c r="I1033" s="506"/>
      <c r="J1033" s="506"/>
      <c r="K1033" s="507"/>
      <c r="L1033" s="508"/>
      <c r="M1033" s="508"/>
      <c r="N1033" s="508"/>
      <c r="O1033" s="509"/>
      <c r="P1033" s="509"/>
    </row>
    <row r="1034" spans="1:16" ht="21.75" customHeight="1" x14ac:dyDescent="0.3">
      <c r="A1034" s="504"/>
      <c r="B1034" s="504"/>
      <c r="C1034" s="504"/>
      <c r="D1034" s="504"/>
      <c r="E1034" s="506"/>
      <c r="F1034" s="506"/>
      <c r="G1034" s="506"/>
      <c r="H1034" s="506"/>
      <c r="I1034" s="506"/>
      <c r="J1034" s="506"/>
      <c r="K1034" s="507"/>
      <c r="L1034" s="508"/>
      <c r="M1034" s="508"/>
      <c r="N1034" s="508"/>
      <c r="O1034" s="509"/>
      <c r="P1034" s="509"/>
    </row>
    <row r="1035" spans="1:16" ht="21.75" customHeight="1" x14ac:dyDescent="0.3">
      <c r="A1035" s="504"/>
      <c r="B1035" s="504"/>
      <c r="C1035" s="504"/>
      <c r="D1035" s="504"/>
      <c r="E1035" s="506"/>
      <c r="F1035" s="506"/>
      <c r="G1035" s="506"/>
      <c r="H1035" s="506"/>
      <c r="I1035" s="506"/>
      <c r="J1035" s="506"/>
      <c r="K1035" s="507"/>
      <c r="L1035" s="508"/>
      <c r="M1035" s="508"/>
      <c r="N1035" s="508"/>
      <c r="O1035" s="509"/>
      <c r="P1035" s="509"/>
    </row>
    <row r="1036" spans="1:16" ht="21.75" customHeight="1" x14ac:dyDescent="0.3">
      <c r="A1036" s="504"/>
      <c r="B1036" s="504"/>
      <c r="C1036" s="504"/>
      <c r="D1036" s="504"/>
      <c r="E1036" s="506"/>
      <c r="F1036" s="506"/>
      <c r="G1036" s="506"/>
      <c r="H1036" s="506"/>
      <c r="I1036" s="506"/>
      <c r="J1036" s="506"/>
      <c r="K1036" s="507"/>
      <c r="L1036" s="508"/>
      <c r="M1036" s="508"/>
      <c r="N1036" s="508"/>
      <c r="O1036" s="509"/>
      <c r="P1036" s="509"/>
    </row>
    <row r="1037" spans="1:16" ht="21.75" customHeight="1" x14ac:dyDescent="0.3">
      <c r="A1037" s="504"/>
      <c r="B1037" s="504"/>
      <c r="C1037" s="504"/>
      <c r="D1037" s="504"/>
      <c r="E1037" s="506"/>
      <c r="F1037" s="506"/>
      <c r="G1037" s="506"/>
      <c r="H1037" s="506"/>
      <c r="I1037" s="506"/>
      <c r="J1037" s="506"/>
      <c r="K1037" s="507"/>
      <c r="L1037" s="508"/>
      <c r="M1037" s="508"/>
      <c r="N1037" s="508"/>
      <c r="O1037" s="509"/>
      <c r="P1037" s="509"/>
    </row>
    <row r="1038" spans="1:16" ht="21.75" customHeight="1" x14ac:dyDescent="0.3">
      <c r="A1038" s="504"/>
      <c r="B1038" s="504"/>
      <c r="C1038" s="504"/>
      <c r="D1038" s="504"/>
      <c r="E1038" s="506"/>
      <c r="F1038" s="506"/>
      <c r="G1038" s="506"/>
      <c r="H1038" s="506"/>
      <c r="I1038" s="506"/>
      <c r="J1038" s="506"/>
      <c r="K1038" s="507"/>
      <c r="L1038" s="508"/>
      <c r="M1038" s="508"/>
      <c r="N1038" s="508"/>
      <c r="O1038" s="509"/>
      <c r="P1038" s="509"/>
    </row>
    <row r="1039" spans="1:16" ht="21.75" customHeight="1" x14ac:dyDescent="0.3">
      <c r="A1039" s="504"/>
      <c r="B1039" s="504"/>
      <c r="C1039" s="504"/>
      <c r="D1039" s="504"/>
      <c r="E1039" s="506"/>
      <c r="F1039" s="506"/>
      <c r="G1039" s="506"/>
      <c r="H1039" s="506"/>
      <c r="I1039" s="506"/>
      <c r="J1039" s="506"/>
      <c r="K1039" s="507"/>
      <c r="L1039" s="508"/>
      <c r="M1039" s="508"/>
      <c r="N1039" s="508"/>
      <c r="O1039" s="509"/>
      <c r="P1039" s="509"/>
    </row>
    <row r="1040" spans="1:16" ht="21.75" customHeight="1" x14ac:dyDescent="0.3">
      <c r="A1040" s="504"/>
      <c r="B1040" s="504"/>
      <c r="C1040" s="504"/>
      <c r="D1040" s="504"/>
      <c r="E1040" s="506"/>
      <c r="F1040" s="506"/>
      <c r="G1040" s="506"/>
      <c r="H1040" s="506"/>
      <c r="I1040" s="506"/>
      <c r="J1040" s="506"/>
      <c r="K1040" s="507"/>
      <c r="L1040" s="508"/>
      <c r="M1040" s="508"/>
      <c r="N1040" s="508"/>
      <c r="O1040" s="509"/>
      <c r="P1040" s="509"/>
    </row>
    <row r="1041" spans="1:16" ht="21.75" customHeight="1" x14ac:dyDescent="0.3">
      <c r="A1041" s="504"/>
      <c r="B1041" s="504"/>
      <c r="C1041" s="504"/>
      <c r="D1041" s="504"/>
      <c r="E1041" s="506"/>
      <c r="F1041" s="506"/>
      <c r="G1041" s="506"/>
      <c r="H1041" s="506"/>
      <c r="I1041" s="506"/>
      <c r="J1041" s="506"/>
      <c r="K1041" s="507"/>
      <c r="L1041" s="508"/>
      <c r="M1041" s="508"/>
      <c r="N1041" s="508"/>
      <c r="O1041" s="509"/>
      <c r="P1041" s="509"/>
    </row>
    <row r="1042" spans="1:16" ht="21.75" customHeight="1" x14ac:dyDescent="0.3">
      <c r="A1042" s="504"/>
      <c r="B1042" s="504"/>
      <c r="C1042" s="504"/>
      <c r="D1042" s="504"/>
      <c r="E1042" s="506"/>
      <c r="F1042" s="506"/>
      <c r="G1042" s="506"/>
      <c r="H1042" s="506"/>
      <c r="I1042" s="506"/>
      <c r="J1042" s="506"/>
      <c r="K1042" s="507"/>
      <c r="L1042" s="508"/>
      <c r="M1042" s="508"/>
      <c r="N1042" s="508"/>
      <c r="O1042" s="509"/>
      <c r="P1042" s="509"/>
    </row>
    <row r="1043" spans="1:16" ht="21.75" customHeight="1" x14ac:dyDescent="0.3">
      <c r="A1043" s="504"/>
      <c r="B1043" s="504"/>
      <c r="C1043" s="504"/>
      <c r="D1043" s="504"/>
      <c r="E1043" s="506"/>
      <c r="F1043" s="506"/>
      <c r="G1043" s="506"/>
      <c r="H1043" s="506"/>
      <c r="I1043" s="506"/>
      <c r="J1043" s="506"/>
      <c r="K1043" s="507"/>
      <c r="L1043" s="508"/>
      <c r="M1043" s="508"/>
      <c r="N1043" s="508"/>
      <c r="O1043" s="509"/>
      <c r="P1043" s="509"/>
    </row>
    <row r="1044" spans="1:16" ht="21.75" customHeight="1" x14ac:dyDescent="0.3">
      <c r="A1044" s="504"/>
      <c r="B1044" s="504"/>
      <c r="C1044" s="504"/>
      <c r="D1044" s="504"/>
      <c r="E1044" s="506"/>
      <c r="F1044" s="506"/>
      <c r="G1044" s="506"/>
      <c r="H1044" s="506"/>
      <c r="I1044" s="506"/>
      <c r="J1044" s="506"/>
      <c r="K1044" s="507"/>
      <c r="L1044" s="508"/>
      <c r="M1044" s="508"/>
      <c r="N1044" s="508"/>
      <c r="O1044" s="509"/>
      <c r="P1044" s="509"/>
    </row>
    <row r="1045" spans="1:16" ht="21.75" customHeight="1" x14ac:dyDescent="0.3">
      <c r="A1045" s="504"/>
      <c r="B1045" s="504"/>
      <c r="C1045" s="504"/>
      <c r="D1045" s="504"/>
      <c r="E1045" s="506"/>
      <c r="F1045" s="506"/>
      <c r="G1045" s="506"/>
      <c r="H1045" s="506"/>
      <c r="I1045" s="506"/>
      <c r="J1045" s="506"/>
      <c r="K1045" s="507"/>
      <c r="L1045" s="508"/>
      <c r="M1045" s="508"/>
      <c r="N1045" s="508"/>
      <c r="O1045" s="509"/>
      <c r="P1045" s="509"/>
    </row>
    <row r="1046" spans="1:16" ht="21.75" customHeight="1" x14ac:dyDescent="0.3">
      <c r="A1046" s="504"/>
      <c r="B1046" s="504"/>
      <c r="C1046" s="504"/>
      <c r="D1046" s="504"/>
      <c r="E1046" s="506"/>
      <c r="F1046" s="506"/>
      <c r="G1046" s="506"/>
      <c r="H1046" s="506"/>
      <c r="I1046" s="506"/>
      <c r="J1046" s="506"/>
      <c r="K1046" s="507"/>
      <c r="L1046" s="508"/>
      <c r="M1046" s="508"/>
      <c r="N1046" s="508"/>
      <c r="O1046" s="509"/>
      <c r="P1046" s="509"/>
    </row>
    <row r="1047" spans="1:16" ht="21.75" customHeight="1" x14ac:dyDescent="0.3">
      <c r="A1047" s="504"/>
      <c r="B1047" s="504"/>
      <c r="C1047" s="504"/>
      <c r="D1047" s="504"/>
      <c r="E1047" s="506"/>
      <c r="F1047" s="506"/>
      <c r="G1047" s="506"/>
      <c r="H1047" s="506"/>
      <c r="I1047" s="506"/>
      <c r="J1047" s="506"/>
      <c r="K1047" s="507"/>
      <c r="L1047" s="508"/>
      <c r="M1047" s="508"/>
      <c r="N1047" s="508"/>
      <c r="O1047" s="509"/>
      <c r="P1047" s="509"/>
    </row>
    <row r="1048" spans="1:16" ht="21.75" customHeight="1" x14ac:dyDescent="0.3">
      <c r="A1048" s="504"/>
      <c r="B1048" s="504"/>
      <c r="C1048" s="504"/>
      <c r="D1048" s="504"/>
      <c r="E1048" s="506"/>
      <c r="F1048" s="506"/>
      <c r="G1048" s="506"/>
      <c r="H1048" s="506"/>
      <c r="I1048" s="506"/>
      <c r="J1048" s="506"/>
      <c r="K1048" s="507"/>
      <c r="L1048" s="508"/>
      <c r="M1048" s="508"/>
      <c r="N1048" s="508"/>
      <c r="O1048" s="509"/>
      <c r="P1048" s="509"/>
    </row>
    <row r="1049" spans="1:16" ht="21.75" customHeight="1" x14ac:dyDescent="0.3">
      <c r="A1049" s="504"/>
      <c r="B1049" s="504"/>
      <c r="C1049" s="504"/>
      <c r="D1049" s="504"/>
      <c r="E1049" s="506"/>
      <c r="F1049" s="506"/>
      <c r="G1049" s="506"/>
      <c r="H1049" s="506"/>
      <c r="I1049" s="506"/>
      <c r="J1049" s="506"/>
      <c r="K1049" s="507"/>
      <c r="L1049" s="508"/>
      <c r="M1049" s="508"/>
      <c r="N1049" s="508"/>
      <c r="O1049" s="509"/>
      <c r="P1049" s="509"/>
    </row>
    <row r="1050" spans="1:16" ht="21.75" customHeight="1" x14ac:dyDescent="0.3">
      <c r="A1050" s="504"/>
      <c r="B1050" s="504"/>
      <c r="C1050" s="504"/>
      <c r="D1050" s="504"/>
      <c r="E1050" s="506"/>
      <c r="F1050" s="506"/>
      <c r="G1050" s="506"/>
      <c r="H1050" s="506"/>
      <c r="I1050" s="506"/>
      <c r="J1050" s="506"/>
      <c r="K1050" s="507"/>
      <c r="L1050" s="508"/>
      <c r="M1050" s="508"/>
      <c r="N1050" s="508"/>
      <c r="O1050" s="509"/>
      <c r="P1050" s="509"/>
    </row>
    <row r="1051" spans="1:16" ht="21.75" customHeight="1" x14ac:dyDescent="0.3">
      <c r="A1051" s="504"/>
      <c r="B1051" s="504"/>
      <c r="C1051" s="504"/>
      <c r="D1051" s="504"/>
      <c r="E1051" s="506"/>
      <c r="F1051" s="506"/>
      <c r="G1051" s="506"/>
      <c r="H1051" s="506"/>
      <c r="I1051" s="506"/>
      <c r="J1051" s="506"/>
      <c r="K1051" s="507"/>
      <c r="L1051" s="508"/>
      <c r="M1051" s="508"/>
      <c r="N1051" s="508"/>
      <c r="O1051" s="509"/>
      <c r="P1051" s="509"/>
    </row>
    <row r="1052" spans="1:16" ht="21.75" customHeight="1" x14ac:dyDescent="0.3">
      <c r="A1052" s="504"/>
      <c r="B1052" s="504"/>
      <c r="C1052" s="504"/>
      <c r="D1052" s="504"/>
      <c r="E1052" s="506"/>
      <c r="F1052" s="506"/>
      <c r="G1052" s="506"/>
      <c r="H1052" s="506"/>
      <c r="I1052" s="506"/>
      <c r="J1052" s="506"/>
      <c r="K1052" s="507"/>
      <c r="L1052" s="508"/>
      <c r="M1052" s="508"/>
      <c r="N1052" s="508"/>
      <c r="O1052" s="509"/>
      <c r="P1052" s="509"/>
    </row>
    <row r="1053" spans="1:16" ht="21.75" customHeight="1" x14ac:dyDescent="0.3">
      <c r="A1053" s="504"/>
      <c r="B1053" s="504"/>
      <c r="C1053" s="504"/>
      <c r="D1053" s="504"/>
      <c r="E1053" s="506"/>
      <c r="F1053" s="506"/>
      <c r="G1053" s="506"/>
      <c r="H1053" s="506"/>
      <c r="I1053" s="506"/>
      <c r="J1053" s="506"/>
      <c r="K1053" s="507"/>
      <c r="L1053" s="508"/>
      <c r="M1053" s="508"/>
      <c r="N1053" s="508"/>
      <c r="O1053" s="509"/>
      <c r="P1053" s="509"/>
    </row>
    <row r="1054" spans="1:16" ht="21.75" customHeight="1" x14ac:dyDescent="0.3">
      <c r="A1054" s="504"/>
      <c r="B1054" s="504"/>
      <c r="C1054" s="504"/>
      <c r="D1054" s="504"/>
      <c r="E1054" s="506"/>
      <c r="F1054" s="506"/>
      <c r="G1054" s="506"/>
      <c r="H1054" s="506"/>
      <c r="I1054" s="506"/>
      <c r="J1054" s="506"/>
      <c r="K1054" s="507"/>
      <c r="L1054" s="508"/>
      <c r="M1054" s="508"/>
      <c r="N1054" s="508"/>
      <c r="O1054" s="509"/>
      <c r="P1054" s="509"/>
    </row>
    <row r="1055" spans="1:16" ht="21.75" customHeight="1" x14ac:dyDescent="0.3">
      <c r="A1055" s="504"/>
      <c r="B1055" s="504"/>
      <c r="C1055" s="504"/>
      <c r="D1055" s="504"/>
      <c r="E1055" s="506"/>
      <c r="F1055" s="506"/>
      <c r="G1055" s="506"/>
      <c r="H1055" s="506"/>
      <c r="I1055" s="506"/>
      <c r="J1055" s="506"/>
      <c r="K1055" s="507"/>
      <c r="L1055" s="508"/>
      <c r="M1055" s="508"/>
      <c r="N1055" s="508"/>
      <c r="O1055" s="509"/>
      <c r="P1055" s="509"/>
    </row>
    <row r="1056" spans="1:16" ht="21.75" customHeight="1" x14ac:dyDescent="0.3">
      <c r="A1056" s="504"/>
      <c r="B1056" s="504"/>
      <c r="C1056" s="504"/>
      <c r="D1056" s="504"/>
      <c r="E1056" s="506"/>
      <c r="F1056" s="506"/>
      <c r="G1056" s="506"/>
      <c r="H1056" s="506"/>
      <c r="I1056" s="506"/>
      <c r="J1056" s="506"/>
      <c r="K1056" s="507"/>
      <c r="L1056" s="508"/>
      <c r="M1056" s="508"/>
      <c r="N1056" s="508"/>
      <c r="O1056" s="509"/>
      <c r="P1056" s="509"/>
    </row>
    <row r="1057" spans="1:16" ht="21.75" customHeight="1" x14ac:dyDescent="0.3">
      <c r="A1057" s="504"/>
      <c r="B1057" s="504"/>
      <c r="C1057" s="504"/>
      <c r="D1057" s="504"/>
      <c r="E1057" s="506"/>
      <c r="F1057" s="506"/>
      <c r="G1057" s="506"/>
      <c r="H1057" s="506"/>
      <c r="I1057" s="506"/>
      <c r="J1057" s="506"/>
      <c r="K1057" s="507"/>
      <c r="L1057" s="508"/>
      <c r="M1057" s="508"/>
      <c r="N1057" s="508"/>
      <c r="O1057" s="509"/>
      <c r="P1057" s="509"/>
    </row>
    <row r="1058" spans="1:16" ht="21.75" customHeight="1" x14ac:dyDescent="0.3">
      <c r="A1058" s="504"/>
      <c r="B1058" s="504"/>
      <c r="C1058" s="504"/>
      <c r="D1058" s="504"/>
      <c r="E1058" s="506"/>
      <c r="F1058" s="506"/>
      <c r="G1058" s="506"/>
      <c r="H1058" s="506"/>
      <c r="I1058" s="506"/>
      <c r="J1058" s="506"/>
      <c r="K1058" s="507"/>
      <c r="L1058" s="508"/>
      <c r="M1058" s="508"/>
      <c r="N1058" s="508"/>
      <c r="O1058" s="509"/>
      <c r="P1058" s="509"/>
    </row>
    <row r="1059" spans="1:16" ht="21.75" customHeight="1" x14ac:dyDescent="0.3">
      <c r="A1059" s="504"/>
      <c r="B1059" s="504"/>
      <c r="C1059" s="504"/>
      <c r="D1059" s="504"/>
      <c r="E1059" s="506"/>
      <c r="F1059" s="506"/>
      <c r="G1059" s="506"/>
      <c r="H1059" s="506"/>
      <c r="I1059" s="506"/>
      <c r="J1059" s="506"/>
      <c r="K1059" s="507"/>
      <c r="L1059" s="508"/>
      <c r="M1059" s="508"/>
      <c r="N1059" s="508"/>
      <c r="O1059" s="509"/>
      <c r="P1059" s="509"/>
    </row>
    <row r="1060" spans="1:16" ht="21.75" customHeight="1" x14ac:dyDescent="0.3">
      <c r="A1060" s="504"/>
      <c r="B1060" s="504"/>
      <c r="C1060" s="504"/>
      <c r="D1060" s="504"/>
      <c r="E1060" s="506"/>
      <c r="F1060" s="506"/>
      <c r="G1060" s="506"/>
      <c r="H1060" s="506"/>
      <c r="I1060" s="506"/>
      <c r="J1060" s="506"/>
      <c r="K1060" s="507"/>
      <c r="L1060" s="508"/>
      <c r="M1060" s="508"/>
      <c r="N1060" s="508"/>
      <c r="O1060" s="509"/>
      <c r="P1060" s="509"/>
    </row>
    <row r="1061" spans="1:16" ht="21.75" customHeight="1" x14ac:dyDescent="0.3">
      <c r="A1061" s="504"/>
      <c r="B1061" s="504"/>
      <c r="C1061" s="504"/>
      <c r="D1061" s="504"/>
      <c r="E1061" s="506"/>
      <c r="F1061" s="506"/>
      <c r="G1061" s="506"/>
      <c r="H1061" s="506"/>
      <c r="I1061" s="506"/>
      <c r="J1061" s="506"/>
      <c r="K1061" s="507"/>
      <c r="L1061" s="508"/>
      <c r="M1061" s="508"/>
      <c r="N1061" s="508"/>
      <c r="O1061" s="509"/>
      <c r="P1061" s="509"/>
    </row>
    <row r="1062" spans="1:16" ht="21.75" customHeight="1" x14ac:dyDescent="0.3">
      <c r="A1062" s="504"/>
      <c r="B1062" s="504"/>
      <c r="C1062" s="504"/>
      <c r="D1062" s="504"/>
      <c r="E1062" s="506"/>
      <c r="F1062" s="506"/>
      <c r="G1062" s="506"/>
      <c r="H1062" s="506"/>
      <c r="I1062" s="506"/>
      <c r="J1062" s="506"/>
      <c r="K1062" s="507"/>
      <c r="L1062" s="508"/>
      <c r="M1062" s="508"/>
      <c r="N1062" s="508"/>
      <c r="O1062" s="509"/>
      <c r="P1062" s="509"/>
    </row>
    <row r="1063" spans="1:16" ht="21.75" customHeight="1" x14ac:dyDescent="0.3">
      <c r="A1063" s="504"/>
      <c r="B1063" s="504"/>
      <c r="C1063" s="504"/>
      <c r="D1063" s="504"/>
      <c r="E1063" s="506"/>
      <c r="F1063" s="506"/>
      <c r="G1063" s="506"/>
      <c r="H1063" s="506"/>
      <c r="I1063" s="506"/>
      <c r="J1063" s="506"/>
      <c r="K1063" s="507"/>
      <c r="L1063" s="508"/>
      <c r="M1063" s="508"/>
      <c r="N1063" s="508"/>
      <c r="O1063" s="509"/>
      <c r="P1063" s="509"/>
    </row>
    <row r="1064" spans="1:16" ht="21.75" customHeight="1" x14ac:dyDescent="0.3">
      <c r="A1064" s="504"/>
      <c r="B1064" s="504"/>
      <c r="C1064" s="504"/>
      <c r="D1064" s="504"/>
      <c r="E1064" s="506"/>
      <c r="F1064" s="506"/>
      <c r="G1064" s="506"/>
      <c r="H1064" s="506"/>
      <c r="I1064" s="506"/>
      <c r="J1064" s="506"/>
      <c r="K1064" s="507"/>
      <c r="L1064" s="508"/>
      <c r="M1064" s="508"/>
      <c r="N1064" s="508"/>
      <c r="O1064" s="509"/>
      <c r="P1064" s="509"/>
    </row>
    <row r="1065" spans="1:16" ht="21.75" customHeight="1" x14ac:dyDescent="0.3">
      <c r="A1065" s="504"/>
      <c r="B1065" s="504"/>
      <c r="C1065" s="504"/>
      <c r="D1065" s="504"/>
      <c r="E1065" s="506"/>
      <c r="F1065" s="506"/>
      <c r="G1065" s="506"/>
      <c r="H1065" s="506"/>
      <c r="I1065" s="506"/>
      <c r="J1065" s="506"/>
      <c r="K1065" s="507"/>
      <c r="L1065" s="508"/>
      <c r="M1065" s="508"/>
      <c r="N1065" s="508"/>
      <c r="O1065" s="509"/>
      <c r="P1065" s="509"/>
    </row>
    <row r="1066" spans="1:16" ht="21.75" customHeight="1" x14ac:dyDescent="0.3">
      <c r="A1066" s="504"/>
      <c r="B1066" s="504"/>
      <c r="C1066" s="504"/>
      <c r="D1066" s="504"/>
      <c r="E1066" s="506"/>
      <c r="F1066" s="506"/>
      <c r="G1066" s="506"/>
      <c r="H1066" s="506"/>
      <c r="I1066" s="506"/>
      <c r="J1066" s="506"/>
      <c r="K1066" s="507"/>
      <c r="L1066" s="508"/>
      <c r="M1066" s="508"/>
      <c r="N1066" s="508"/>
      <c r="O1066" s="509"/>
      <c r="P1066" s="509"/>
    </row>
    <row r="1067" spans="1:16" ht="21.75" customHeight="1" x14ac:dyDescent="0.3">
      <c r="A1067" s="504"/>
      <c r="B1067" s="504"/>
      <c r="C1067" s="504"/>
      <c r="D1067" s="504"/>
      <c r="E1067" s="506"/>
      <c r="F1067" s="506"/>
      <c r="G1067" s="506"/>
      <c r="H1067" s="506"/>
      <c r="I1067" s="506"/>
      <c r="J1067" s="506"/>
      <c r="K1067" s="507"/>
      <c r="L1067" s="508"/>
      <c r="M1067" s="508"/>
      <c r="N1067" s="508"/>
      <c r="O1067" s="509"/>
      <c r="P1067" s="509"/>
    </row>
    <row r="1068" spans="1:16" ht="21.75" customHeight="1" x14ac:dyDescent="0.3">
      <c r="A1068" s="504"/>
      <c r="B1068" s="504"/>
      <c r="C1068" s="504"/>
      <c r="D1068" s="504"/>
      <c r="E1068" s="506"/>
      <c r="F1068" s="506"/>
      <c r="G1068" s="506"/>
      <c r="H1068" s="506"/>
      <c r="I1068" s="506"/>
      <c r="J1068" s="506"/>
      <c r="K1068" s="507"/>
      <c r="L1068" s="508"/>
      <c r="M1068" s="508"/>
      <c r="N1068" s="508"/>
      <c r="O1068" s="509"/>
      <c r="P1068" s="509"/>
    </row>
    <row r="1069" spans="1:16" ht="21.75" customHeight="1" x14ac:dyDescent="0.3">
      <c r="A1069" s="504"/>
      <c r="B1069" s="504"/>
      <c r="C1069" s="504"/>
      <c r="D1069" s="504"/>
      <c r="E1069" s="506"/>
      <c r="F1069" s="506"/>
      <c r="G1069" s="506"/>
      <c r="H1069" s="506"/>
      <c r="I1069" s="506"/>
      <c r="J1069" s="506"/>
      <c r="K1069" s="507"/>
      <c r="L1069" s="508"/>
      <c r="M1069" s="508"/>
      <c r="N1069" s="508"/>
      <c r="O1069" s="509"/>
      <c r="P1069" s="509"/>
    </row>
    <row r="1070" spans="1:16" ht="21.75" customHeight="1" x14ac:dyDescent="0.3">
      <c r="A1070" s="504"/>
      <c r="B1070" s="504"/>
      <c r="C1070" s="504"/>
      <c r="D1070" s="504"/>
      <c r="E1070" s="506"/>
      <c r="F1070" s="506"/>
      <c r="G1070" s="506"/>
      <c r="H1070" s="506"/>
      <c r="I1070" s="506"/>
      <c r="J1070" s="506"/>
      <c r="K1070" s="507"/>
      <c r="L1070" s="508"/>
      <c r="M1070" s="508"/>
      <c r="N1070" s="508"/>
      <c r="O1070" s="509"/>
      <c r="P1070" s="509"/>
    </row>
    <row r="1071" spans="1:16" ht="21.75" customHeight="1" x14ac:dyDescent="0.3">
      <c r="A1071" s="504"/>
      <c r="B1071" s="504"/>
      <c r="C1071" s="504"/>
      <c r="D1071" s="504"/>
      <c r="E1071" s="506"/>
      <c r="F1071" s="506"/>
      <c r="G1071" s="506"/>
      <c r="H1071" s="506"/>
      <c r="I1071" s="506"/>
      <c r="J1071" s="506"/>
      <c r="K1071" s="507"/>
      <c r="L1071" s="508"/>
      <c r="M1071" s="508"/>
      <c r="N1071" s="508"/>
      <c r="O1071" s="509"/>
      <c r="P1071" s="509"/>
    </row>
    <row r="1072" spans="1:16" ht="21.75" customHeight="1" x14ac:dyDescent="0.3">
      <c r="A1072" s="504"/>
      <c r="B1072" s="504"/>
      <c r="C1072" s="504"/>
      <c r="D1072" s="504"/>
      <c r="E1072" s="506"/>
      <c r="F1072" s="506"/>
      <c r="G1072" s="506"/>
      <c r="H1072" s="506"/>
      <c r="I1072" s="506"/>
      <c r="J1072" s="506"/>
      <c r="K1072" s="507"/>
      <c r="L1072" s="508"/>
      <c r="M1072" s="508"/>
      <c r="N1072" s="508"/>
      <c r="O1072" s="509"/>
      <c r="P1072" s="509"/>
    </row>
    <row r="1073" spans="1:16" ht="21.75" customHeight="1" x14ac:dyDescent="0.3">
      <c r="A1073" s="504"/>
      <c r="B1073" s="504"/>
      <c r="C1073" s="504"/>
      <c r="D1073" s="504"/>
      <c r="E1073" s="506"/>
      <c r="F1073" s="506"/>
      <c r="G1073" s="506"/>
      <c r="H1073" s="506"/>
      <c r="I1073" s="506"/>
      <c r="J1073" s="506"/>
      <c r="K1073" s="507"/>
      <c r="L1073" s="508"/>
      <c r="M1073" s="508"/>
      <c r="N1073" s="508"/>
      <c r="O1073" s="509"/>
      <c r="P1073" s="509"/>
    </row>
    <row r="1074" spans="1:16" ht="21.75" customHeight="1" x14ac:dyDescent="0.3">
      <c r="A1074" s="504"/>
      <c r="B1074" s="504"/>
      <c r="C1074" s="504"/>
      <c r="D1074" s="504"/>
      <c r="E1074" s="506"/>
      <c r="F1074" s="506"/>
      <c r="G1074" s="506"/>
      <c r="H1074" s="506"/>
      <c r="I1074" s="506"/>
      <c r="J1074" s="506"/>
      <c r="K1074" s="507"/>
      <c r="L1074" s="508"/>
      <c r="M1074" s="508"/>
      <c r="N1074" s="508"/>
      <c r="O1074" s="509"/>
      <c r="P1074" s="509"/>
    </row>
    <row r="1075" spans="1:16" ht="21.75" customHeight="1" x14ac:dyDescent="0.3">
      <c r="A1075" s="504"/>
      <c r="B1075" s="504"/>
      <c r="C1075" s="504"/>
      <c r="D1075" s="504"/>
      <c r="E1075" s="506"/>
      <c r="F1075" s="506"/>
      <c r="G1075" s="506"/>
      <c r="H1075" s="506"/>
      <c r="I1075" s="506"/>
      <c r="J1075" s="506"/>
      <c r="K1075" s="507"/>
      <c r="L1075" s="508"/>
      <c r="M1075" s="508"/>
      <c r="N1075" s="508"/>
      <c r="O1075" s="509"/>
      <c r="P1075" s="509"/>
    </row>
    <row r="1076" spans="1:16" ht="21.75" customHeight="1" x14ac:dyDescent="0.3">
      <c r="A1076" s="504"/>
      <c r="B1076" s="504"/>
      <c r="C1076" s="504"/>
      <c r="D1076" s="504"/>
      <c r="E1076" s="506"/>
      <c r="F1076" s="506"/>
      <c r="G1076" s="506"/>
      <c r="H1076" s="506"/>
      <c r="I1076" s="506"/>
      <c r="J1076" s="506"/>
      <c r="K1076" s="507"/>
      <c r="L1076" s="508"/>
      <c r="M1076" s="508"/>
      <c r="N1076" s="508"/>
      <c r="O1076" s="509"/>
      <c r="P1076" s="509"/>
    </row>
    <row r="1077" spans="1:16" ht="21.75" customHeight="1" x14ac:dyDescent="0.3">
      <c r="A1077" s="504"/>
      <c r="B1077" s="504"/>
      <c r="C1077" s="504"/>
      <c r="D1077" s="504"/>
      <c r="E1077" s="506"/>
      <c r="F1077" s="506"/>
      <c r="G1077" s="506"/>
      <c r="H1077" s="506"/>
      <c r="I1077" s="506"/>
      <c r="J1077" s="506"/>
      <c r="K1077" s="507"/>
      <c r="L1077" s="508"/>
      <c r="M1077" s="508"/>
      <c r="N1077" s="508"/>
      <c r="O1077" s="509"/>
      <c r="P1077" s="509"/>
    </row>
    <row r="1078" spans="1:16" ht="21.75" customHeight="1" x14ac:dyDescent="0.3">
      <c r="A1078" s="504"/>
      <c r="B1078" s="504"/>
      <c r="C1078" s="504"/>
      <c r="D1078" s="504"/>
      <c r="E1078" s="506"/>
      <c r="F1078" s="506"/>
      <c r="G1078" s="506"/>
      <c r="H1078" s="506"/>
      <c r="I1078" s="506"/>
      <c r="J1078" s="506"/>
      <c r="K1078" s="507"/>
      <c r="L1078" s="508"/>
      <c r="M1078" s="508"/>
      <c r="N1078" s="508"/>
      <c r="O1078" s="509"/>
      <c r="P1078" s="509"/>
    </row>
    <row r="1079" spans="1:16" ht="21.75" customHeight="1" x14ac:dyDescent="0.3">
      <c r="A1079" s="504"/>
      <c r="B1079" s="504"/>
      <c r="C1079" s="504"/>
      <c r="D1079" s="504"/>
      <c r="E1079" s="506"/>
      <c r="F1079" s="506"/>
      <c r="G1079" s="506"/>
      <c r="H1079" s="506"/>
      <c r="I1079" s="506"/>
      <c r="J1079" s="506"/>
      <c r="K1079" s="507"/>
      <c r="L1079" s="508"/>
      <c r="M1079" s="508"/>
      <c r="N1079" s="508"/>
      <c r="O1079" s="509"/>
      <c r="P1079" s="509"/>
    </row>
    <row r="1080" spans="1:16" ht="21.75" customHeight="1" x14ac:dyDescent="0.3">
      <c r="A1080" s="504"/>
      <c r="B1080" s="504"/>
      <c r="C1080" s="504"/>
      <c r="D1080" s="504"/>
      <c r="E1080" s="506"/>
      <c r="F1080" s="506"/>
      <c r="G1080" s="506"/>
      <c r="H1080" s="506"/>
      <c r="I1080" s="506"/>
      <c r="J1080" s="506"/>
      <c r="K1080" s="507"/>
      <c r="L1080" s="508"/>
      <c r="M1080" s="508"/>
      <c r="N1080" s="508"/>
      <c r="O1080" s="509"/>
      <c r="P1080" s="509"/>
    </row>
    <row r="1081" spans="1:16" ht="21.75" customHeight="1" x14ac:dyDescent="0.3">
      <c r="A1081" s="504"/>
      <c r="B1081" s="504"/>
      <c r="C1081" s="504"/>
      <c r="D1081" s="504"/>
      <c r="E1081" s="506"/>
      <c r="F1081" s="506"/>
      <c r="G1081" s="506"/>
      <c r="H1081" s="506"/>
      <c r="I1081" s="506"/>
      <c r="J1081" s="506"/>
      <c r="K1081" s="507"/>
      <c r="L1081" s="508"/>
      <c r="M1081" s="508"/>
      <c r="N1081" s="508"/>
      <c r="O1081" s="509"/>
      <c r="P1081" s="509"/>
    </row>
    <row r="1082" spans="1:16" ht="21.75" customHeight="1" x14ac:dyDescent="0.3">
      <c r="A1082" s="504"/>
      <c r="B1082" s="504"/>
      <c r="C1082" s="504"/>
      <c r="D1082" s="504"/>
      <c r="E1082" s="506"/>
      <c r="F1082" s="506"/>
      <c r="G1082" s="506"/>
      <c r="H1082" s="506"/>
      <c r="I1082" s="506"/>
      <c r="J1082" s="506"/>
      <c r="K1082" s="507"/>
      <c r="L1082" s="508"/>
      <c r="M1082" s="508"/>
      <c r="N1082" s="508"/>
      <c r="O1082" s="509"/>
      <c r="P1082" s="509"/>
    </row>
    <row r="1083" spans="1:16" ht="21.75" customHeight="1" x14ac:dyDescent="0.3">
      <c r="A1083" s="504"/>
      <c r="B1083" s="504"/>
      <c r="C1083" s="504"/>
      <c r="D1083" s="504"/>
      <c r="E1083" s="506"/>
      <c r="F1083" s="506"/>
      <c r="G1083" s="506"/>
      <c r="H1083" s="506"/>
      <c r="I1083" s="506"/>
      <c r="J1083" s="506"/>
      <c r="K1083" s="507"/>
      <c r="L1083" s="508"/>
      <c r="M1083" s="508"/>
      <c r="N1083" s="508"/>
      <c r="O1083" s="509"/>
      <c r="P1083" s="509"/>
    </row>
    <row r="1084" spans="1:16" ht="21.75" customHeight="1" x14ac:dyDescent="0.3">
      <c r="A1084" s="504"/>
      <c r="B1084" s="504"/>
      <c r="C1084" s="504"/>
      <c r="D1084" s="504"/>
      <c r="E1084" s="506"/>
      <c r="F1084" s="506"/>
      <c r="G1084" s="506"/>
      <c r="H1084" s="506"/>
      <c r="I1084" s="506"/>
      <c r="J1084" s="506"/>
      <c r="K1084" s="507"/>
      <c r="L1084" s="508"/>
      <c r="M1084" s="508"/>
      <c r="N1084" s="508"/>
      <c r="O1084" s="509"/>
      <c r="P1084" s="509"/>
    </row>
    <row r="1085" spans="1:16" ht="21.75" customHeight="1" x14ac:dyDescent="0.3">
      <c r="A1085" s="504"/>
      <c r="B1085" s="504"/>
      <c r="C1085" s="504"/>
      <c r="D1085" s="504"/>
      <c r="E1085" s="506"/>
      <c r="F1085" s="506"/>
      <c r="G1085" s="506"/>
      <c r="H1085" s="506"/>
      <c r="I1085" s="506"/>
      <c r="J1085" s="506"/>
      <c r="K1085" s="507"/>
      <c r="L1085" s="508"/>
      <c r="M1085" s="508"/>
      <c r="N1085" s="508"/>
      <c r="O1085" s="509"/>
      <c r="P1085" s="509"/>
    </row>
    <row r="1086" spans="1:16" ht="21.75" customHeight="1" x14ac:dyDescent="0.3">
      <c r="A1086" s="504"/>
      <c r="B1086" s="504"/>
      <c r="C1086" s="504"/>
      <c r="D1086" s="504"/>
      <c r="E1086" s="506"/>
      <c r="F1086" s="506"/>
      <c r="G1086" s="506"/>
      <c r="H1086" s="506"/>
      <c r="I1086" s="506"/>
      <c r="J1086" s="506"/>
      <c r="K1086" s="507"/>
      <c r="L1086" s="508"/>
      <c r="M1086" s="508"/>
      <c r="N1086" s="508"/>
      <c r="O1086" s="509"/>
      <c r="P1086" s="509"/>
    </row>
    <row r="1087" spans="1:16" ht="21.75" customHeight="1" x14ac:dyDescent="0.3">
      <c r="A1087" s="504"/>
      <c r="B1087" s="504"/>
      <c r="C1087" s="504"/>
      <c r="D1087" s="504"/>
      <c r="E1087" s="506"/>
      <c r="F1087" s="506"/>
      <c r="G1087" s="506"/>
      <c r="H1087" s="506"/>
      <c r="I1087" s="506"/>
      <c r="J1087" s="506"/>
      <c r="K1087" s="507"/>
      <c r="L1087" s="508"/>
      <c r="M1087" s="508"/>
      <c r="N1087" s="508"/>
      <c r="O1087" s="509"/>
      <c r="P1087" s="509"/>
    </row>
    <row r="1088" spans="1:16" ht="21.75" customHeight="1" x14ac:dyDescent="0.3">
      <c r="A1088" s="504"/>
      <c r="B1088" s="504"/>
      <c r="C1088" s="504"/>
      <c r="D1088" s="504"/>
      <c r="E1088" s="506"/>
      <c r="F1088" s="506"/>
      <c r="G1088" s="506"/>
      <c r="H1088" s="506"/>
      <c r="I1088" s="506"/>
      <c r="J1088" s="506"/>
      <c r="K1088" s="507"/>
      <c r="L1088" s="508"/>
      <c r="M1088" s="508"/>
      <c r="N1088" s="508"/>
      <c r="O1088" s="509"/>
      <c r="P1088" s="509"/>
    </row>
    <row r="1089" spans="1:16" ht="21.75" customHeight="1" x14ac:dyDescent="0.3">
      <c r="A1089" s="504"/>
      <c r="B1089" s="504"/>
      <c r="C1089" s="504"/>
      <c r="D1089" s="504"/>
      <c r="E1089" s="506"/>
      <c r="F1089" s="506"/>
      <c r="G1089" s="506"/>
      <c r="H1089" s="506"/>
      <c r="I1089" s="506"/>
      <c r="J1089" s="506"/>
      <c r="K1089" s="507"/>
      <c r="L1089" s="508"/>
      <c r="M1089" s="508"/>
      <c r="N1089" s="508"/>
      <c r="O1089" s="509"/>
      <c r="P1089" s="509"/>
    </row>
    <row r="1090" spans="1:16" ht="21.75" customHeight="1" x14ac:dyDescent="0.3">
      <c r="A1090" s="504"/>
      <c r="B1090" s="504"/>
      <c r="C1090" s="504"/>
      <c r="D1090" s="504"/>
      <c r="E1090" s="506"/>
      <c r="F1090" s="506"/>
      <c r="G1090" s="506"/>
      <c r="H1090" s="506"/>
      <c r="I1090" s="506"/>
      <c r="J1090" s="506"/>
      <c r="K1090" s="507"/>
      <c r="L1090" s="508"/>
      <c r="M1090" s="508"/>
      <c r="N1090" s="508"/>
      <c r="O1090" s="509"/>
      <c r="P1090" s="509"/>
    </row>
    <row r="1091" spans="1:16" ht="21.75" customHeight="1" x14ac:dyDescent="0.3">
      <c r="A1091" s="504"/>
      <c r="B1091" s="504"/>
      <c r="C1091" s="504"/>
      <c r="D1091" s="504"/>
      <c r="E1091" s="506"/>
      <c r="F1091" s="506"/>
      <c r="G1091" s="506"/>
      <c r="H1091" s="506"/>
      <c r="I1091" s="506"/>
      <c r="J1091" s="506"/>
      <c r="K1091" s="507"/>
      <c r="L1091" s="508"/>
      <c r="M1091" s="508"/>
      <c r="N1091" s="508"/>
      <c r="O1091" s="509"/>
      <c r="P1091" s="509"/>
    </row>
    <row r="1092" spans="1:16" ht="21.75" customHeight="1" x14ac:dyDescent="0.3">
      <c r="A1092" s="504"/>
      <c r="B1092" s="504"/>
      <c r="C1092" s="504"/>
      <c r="D1092" s="504"/>
      <c r="E1092" s="506"/>
      <c r="F1092" s="506"/>
      <c r="G1092" s="506"/>
      <c r="H1092" s="506"/>
      <c r="I1092" s="506"/>
      <c r="J1092" s="506"/>
      <c r="K1092" s="507"/>
      <c r="L1092" s="508"/>
      <c r="M1092" s="508"/>
      <c r="N1092" s="508"/>
      <c r="O1092" s="509"/>
      <c r="P1092" s="509"/>
    </row>
    <row r="1093" spans="1:16" ht="21.75" customHeight="1" x14ac:dyDescent="0.3">
      <c r="A1093" s="504"/>
      <c r="B1093" s="504"/>
      <c r="C1093" s="504"/>
      <c r="D1093" s="504"/>
      <c r="E1093" s="506"/>
      <c r="F1093" s="506"/>
      <c r="G1093" s="506"/>
      <c r="H1093" s="506"/>
      <c r="I1093" s="506"/>
      <c r="J1093" s="506"/>
      <c r="K1093" s="507"/>
      <c r="L1093" s="508"/>
      <c r="M1093" s="508"/>
      <c r="N1093" s="508"/>
      <c r="O1093" s="509"/>
      <c r="P1093" s="509"/>
    </row>
    <row r="1094" spans="1:16" ht="21.75" customHeight="1" x14ac:dyDescent="0.3">
      <c r="A1094" s="504"/>
      <c r="B1094" s="504"/>
      <c r="C1094" s="504"/>
      <c r="D1094" s="504"/>
      <c r="E1094" s="506"/>
      <c r="F1094" s="506"/>
      <c r="G1094" s="506"/>
      <c r="H1094" s="506"/>
      <c r="I1094" s="506"/>
      <c r="J1094" s="506"/>
      <c r="K1094" s="507"/>
      <c r="L1094" s="508"/>
      <c r="M1094" s="508"/>
      <c r="N1094" s="508"/>
      <c r="O1094" s="509"/>
      <c r="P1094" s="509"/>
    </row>
    <row r="1095" spans="1:16" ht="21.75" customHeight="1" x14ac:dyDescent="0.3">
      <c r="A1095" s="504"/>
      <c r="B1095" s="504"/>
      <c r="C1095" s="504"/>
      <c r="D1095" s="504"/>
      <c r="E1095" s="506"/>
      <c r="F1095" s="506"/>
      <c r="G1095" s="506"/>
      <c r="H1095" s="506"/>
      <c r="I1095" s="506"/>
      <c r="J1095" s="506"/>
      <c r="K1095" s="507"/>
      <c r="L1095" s="508"/>
      <c r="M1095" s="508"/>
      <c r="N1095" s="508"/>
      <c r="O1095" s="509"/>
      <c r="P1095" s="509"/>
    </row>
    <row r="1096" spans="1:16" ht="21.75" customHeight="1" x14ac:dyDescent="0.3">
      <c r="A1096" s="504"/>
      <c r="B1096" s="504"/>
      <c r="C1096" s="504"/>
      <c r="D1096" s="504"/>
      <c r="E1096" s="506"/>
      <c r="F1096" s="506"/>
      <c r="G1096" s="506"/>
      <c r="H1096" s="506"/>
      <c r="I1096" s="506"/>
      <c r="J1096" s="506"/>
      <c r="K1096" s="507"/>
      <c r="L1096" s="508"/>
      <c r="M1096" s="508"/>
      <c r="N1096" s="508"/>
      <c r="O1096" s="509"/>
      <c r="P1096" s="509"/>
    </row>
    <row r="1097" spans="1:16" ht="21.75" customHeight="1" x14ac:dyDescent="0.3">
      <c r="A1097" s="504"/>
      <c r="B1097" s="504"/>
      <c r="C1097" s="504"/>
      <c r="D1097" s="504"/>
      <c r="E1097" s="506"/>
      <c r="F1097" s="506"/>
      <c r="G1097" s="506"/>
      <c r="H1097" s="506"/>
      <c r="I1097" s="506"/>
      <c r="J1097" s="506"/>
      <c r="K1097" s="507"/>
      <c r="L1097" s="508"/>
      <c r="M1097" s="508"/>
      <c r="N1097" s="508"/>
      <c r="O1097" s="509"/>
      <c r="P1097" s="509"/>
    </row>
    <row r="1098" spans="1:16" ht="21.75" customHeight="1" x14ac:dyDescent="0.3">
      <c r="A1098" s="504"/>
      <c r="B1098" s="504"/>
      <c r="C1098" s="504"/>
      <c r="D1098" s="504"/>
      <c r="E1098" s="506"/>
      <c r="F1098" s="506"/>
      <c r="G1098" s="506"/>
      <c r="H1098" s="506"/>
      <c r="I1098" s="506"/>
      <c r="J1098" s="506"/>
      <c r="K1098" s="507"/>
      <c r="L1098" s="508"/>
      <c r="M1098" s="508"/>
      <c r="N1098" s="508"/>
      <c r="O1098" s="509"/>
      <c r="P1098" s="509"/>
    </row>
    <row r="1099" spans="1:16" ht="21.75" customHeight="1" x14ac:dyDescent="0.3">
      <c r="A1099" s="504"/>
      <c r="B1099" s="504"/>
      <c r="C1099" s="504"/>
      <c r="D1099" s="504"/>
      <c r="E1099" s="506"/>
      <c r="F1099" s="506"/>
      <c r="G1099" s="506"/>
      <c r="H1099" s="506"/>
      <c r="I1099" s="506"/>
      <c r="J1099" s="506"/>
      <c r="K1099" s="507"/>
      <c r="L1099" s="508"/>
      <c r="M1099" s="508"/>
      <c r="N1099" s="508"/>
      <c r="O1099" s="509"/>
      <c r="P1099" s="509"/>
    </row>
    <row r="1100" spans="1:16" ht="21.75" customHeight="1" x14ac:dyDescent="0.3">
      <c r="A1100" s="504"/>
      <c r="B1100" s="504"/>
      <c r="C1100" s="504"/>
      <c r="D1100" s="504"/>
      <c r="E1100" s="506"/>
      <c r="F1100" s="506"/>
      <c r="G1100" s="506"/>
      <c r="H1100" s="506"/>
      <c r="I1100" s="506"/>
      <c r="J1100" s="506"/>
      <c r="K1100" s="507"/>
      <c r="L1100" s="508"/>
      <c r="M1100" s="508"/>
      <c r="N1100" s="508"/>
      <c r="O1100" s="509"/>
      <c r="P1100" s="509"/>
    </row>
    <row r="1101" spans="1:16" ht="21.75" customHeight="1" x14ac:dyDescent="0.3">
      <c r="A1101" s="504"/>
      <c r="B1101" s="504"/>
      <c r="C1101" s="504"/>
      <c r="D1101" s="504"/>
      <c r="E1101" s="506"/>
      <c r="F1101" s="506"/>
      <c r="G1101" s="506"/>
      <c r="H1101" s="506"/>
      <c r="I1101" s="506"/>
      <c r="J1101" s="506"/>
      <c r="K1101" s="507"/>
      <c r="L1101" s="508"/>
      <c r="M1101" s="508"/>
      <c r="N1101" s="508"/>
      <c r="O1101" s="509"/>
      <c r="P1101" s="509"/>
    </row>
    <row r="1102" spans="1:16" ht="21.75" customHeight="1" x14ac:dyDescent="0.3">
      <c r="A1102" s="504"/>
      <c r="B1102" s="504"/>
      <c r="C1102" s="504"/>
      <c r="D1102" s="504"/>
      <c r="E1102" s="506"/>
      <c r="F1102" s="506"/>
      <c r="G1102" s="506"/>
      <c r="H1102" s="506"/>
      <c r="I1102" s="506"/>
      <c r="J1102" s="506"/>
      <c r="K1102" s="507"/>
      <c r="L1102" s="508"/>
      <c r="M1102" s="508"/>
      <c r="N1102" s="508"/>
      <c r="O1102" s="509"/>
      <c r="P1102" s="509"/>
    </row>
    <row r="1103" spans="1:16" ht="21.75" customHeight="1" x14ac:dyDescent="0.3">
      <c r="A1103" s="504"/>
      <c r="B1103" s="504"/>
      <c r="C1103" s="504"/>
      <c r="D1103" s="504"/>
      <c r="E1103" s="506"/>
      <c r="F1103" s="506"/>
      <c r="G1103" s="506"/>
      <c r="H1103" s="506"/>
      <c r="I1103" s="506"/>
      <c r="J1103" s="506"/>
      <c r="K1103" s="507"/>
      <c r="L1103" s="508"/>
      <c r="M1103" s="508"/>
      <c r="N1103" s="508"/>
      <c r="O1103" s="509"/>
      <c r="P1103" s="509"/>
    </row>
    <row r="1104" spans="1:16" ht="21.75" customHeight="1" x14ac:dyDescent="0.3">
      <c r="A1104" s="504"/>
      <c r="B1104" s="504"/>
      <c r="C1104" s="504"/>
      <c r="D1104" s="504"/>
      <c r="E1104" s="506"/>
      <c r="F1104" s="506"/>
      <c r="G1104" s="506"/>
      <c r="H1104" s="506"/>
      <c r="I1104" s="506"/>
      <c r="J1104" s="506"/>
      <c r="K1104" s="507"/>
      <c r="L1104" s="508"/>
      <c r="M1104" s="508"/>
      <c r="N1104" s="508"/>
      <c r="O1104" s="509"/>
      <c r="P1104" s="509"/>
    </row>
    <row r="1105" spans="1:16" ht="21.75" customHeight="1" x14ac:dyDescent="0.3">
      <c r="A1105" s="504"/>
      <c r="B1105" s="504"/>
      <c r="C1105" s="504"/>
      <c r="D1105" s="504"/>
      <c r="E1105" s="506"/>
      <c r="F1105" s="506"/>
      <c r="G1105" s="506"/>
      <c r="H1105" s="506"/>
      <c r="I1105" s="506"/>
      <c r="J1105" s="506"/>
      <c r="K1105" s="507"/>
      <c r="L1105" s="508"/>
      <c r="M1105" s="508"/>
      <c r="N1105" s="508"/>
      <c r="O1105" s="509"/>
      <c r="P1105" s="509"/>
    </row>
    <row r="1106" spans="1:16" ht="21.75" customHeight="1" x14ac:dyDescent="0.3">
      <c r="A1106" s="504"/>
      <c r="B1106" s="504"/>
      <c r="C1106" s="504"/>
      <c r="D1106" s="504"/>
      <c r="E1106" s="506"/>
      <c r="F1106" s="506"/>
      <c r="G1106" s="506"/>
      <c r="H1106" s="506"/>
      <c r="I1106" s="506"/>
      <c r="J1106" s="506"/>
      <c r="K1106" s="507"/>
      <c r="L1106" s="508"/>
      <c r="M1106" s="508"/>
      <c r="N1106" s="508"/>
      <c r="O1106" s="509"/>
      <c r="P1106" s="509"/>
    </row>
    <row r="1107" spans="1:16" ht="21.75" customHeight="1" x14ac:dyDescent="0.3">
      <c r="A1107" s="504"/>
      <c r="B1107" s="504"/>
      <c r="C1107" s="504"/>
      <c r="D1107" s="504"/>
      <c r="E1107" s="506"/>
      <c r="F1107" s="506"/>
      <c r="G1107" s="506"/>
      <c r="H1107" s="506"/>
      <c r="I1107" s="506"/>
      <c r="J1107" s="506"/>
      <c r="K1107" s="507"/>
      <c r="L1107" s="508"/>
      <c r="M1107" s="508"/>
      <c r="N1107" s="508"/>
      <c r="O1107" s="509"/>
      <c r="P1107" s="509"/>
    </row>
    <row r="1108" spans="1:16" ht="21.75" customHeight="1" x14ac:dyDescent="0.3">
      <c r="A1108" s="504"/>
      <c r="B1108" s="504"/>
      <c r="C1108" s="504"/>
      <c r="D1108" s="504"/>
      <c r="E1108" s="506"/>
      <c r="F1108" s="506"/>
      <c r="G1108" s="506"/>
      <c r="H1108" s="506"/>
      <c r="I1108" s="506"/>
      <c r="J1108" s="506"/>
      <c r="K1108" s="507"/>
      <c r="L1108" s="508"/>
      <c r="M1108" s="508"/>
      <c r="N1108" s="508"/>
      <c r="O1108" s="509"/>
      <c r="P1108" s="509"/>
    </row>
    <row r="1109" spans="1:16" ht="21.75" customHeight="1" x14ac:dyDescent="0.3">
      <c r="A1109" s="504"/>
      <c r="B1109" s="504"/>
      <c r="C1109" s="504"/>
      <c r="D1109" s="504"/>
      <c r="E1109" s="506"/>
      <c r="F1109" s="506"/>
      <c r="G1109" s="506"/>
      <c r="H1109" s="506"/>
      <c r="I1109" s="506"/>
      <c r="J1109" s="506"/>
      <c r="K1109" s="507"/>
      <c r="L1109" s="508"/>
      <c r="M1109" s="508"/>
      <c r="N1109" s="508"/>
      <c r="O1109" s="509"/>
      <c r="P1109" s="509"/>
    </row>
    <row r="1110" spans="1:16" ht="21.75" customHeight="1" x14ac:dyDescent="0.3">
      <c r="A1110" s="504"/>
      <c r="B1110" s="504"/>
      <c r="C1110" s="504"/>
      <c r="D1110" s="504"/>
      <c r="E1110" s="506"/>
      <c r="F1110" s="506"/>
      <c r="G1110" s="506"/>
      <c r="H1110" s="506"/>
      <c r="I1110" s="506"/>
      <c r="J1110" s="506"/>
      <c r="K1110" s="507"/>
      <c r="L1110" s="508"/>
      <c r="M1110" s="508"/>
      <c r="N1110" s="508"/>
      <c r="O1110" s="509"/>
      <c r="P1110" s="509"/>
    </row>
    <row r="1111" spans="1:16" ht="21.75" customHeight="1" x14ac:dyDescent="0.3">
      <c r="A1111" s="504"/>
      <c r="B1111" s="504"/>
      <c r="C1111" s="504"/>
      <c r="D1111" s="504"/>
      <c r="E1111" s="506"/>
      <c r="F1111" s="506"/>
      <c r="G1111" s="506"/>
      <c r="H1111" s="506"/>
      <c r="I1111" s="506"/>
      <c r="J1111" s="506"/>
      <c r="K1111" s="507"/>
      <c r="L1111" s="508"/>
      <c r="M1111" s="508"/>
      <c r="N1111" s="508"/>
      <c r="O1111" s="509"/>
      <c r="P1111" s="509"/>
    </row>
    <row r="1112" spans="1:16" ht="21.75" customHeight="1" x14ac:dyDescent="0.3">
      <c r="A1112" s="504"/>
      <c r="B1112" s="504"/>
      <c r="C1112" s="504"/>
      <c r="D1112" s="504"/>
      <c r="E1112" s="506"/>
      <c r="F1112" s="506"/>
      <c r="G1112" s="506"/>
      <c r="H1112" s="506"/>
      <c r="I1112" s="506"/>
      <c r="J1112" s="506"/>
      <c r="K1112" s="507"/>
      <c r="L1112" s="508"/>
      <c r="M1112" s="508"/>
      <c r="N1112" s="508"/>
      <c r="O1112" s="509"/>
      <c r="P1112" s="509"/>
    </row>
    <row r="1113" spans="1:16" ht="21.75" customHeight="1" x14ac:dyDescent="0.3">
      <c r="A1113" s="504"/>
      <c r="B1113" s="504"/>
      <c r="C1113" s="504"/>
      <c r="D1113" s="504"/>
      <c r="E1113" s="506"/>
      <c r="F1113" s="506"/>
      <c r="G1113" s="506"/>
      <c r="H1113" s="506"/>
      <c r="I1113" s="506"/>
      <c r="J1113" s="506"/>
      <c r="K1113" s="507"/>
      <c r="L1113" s="508"/>
      <c r="M1113" s="508"/>
      <c r="N1113" s="508"/>
      <c r="O1113" s="509"/>
      <c r="P1113" s="509"/>
    </row>
    <row r="1114" spans="1:16" ht="21.75" customHeight="1" x14ac:dyDescent="0.3">
      <c r="A1114" s="504"/>
      <c r="B1114" s="504"/>
      <c r="C1114" s="504"/>
      <c r="D1114" s="504"/>
      <c r="E1114" s="506"/>
      <c r="F1114" s="506"/>
      <c r="G1114" s="506"/>
      <c r="H1114" s="506"/>
      <c r="I1114" s="506"/>
      <c r="J1114" s="506"/>
      <c r="K1114" s="507"/>
      <c r="L1114" s="508"/>
      <c r="M1114" s="508"/>
      <c r="N1114" s="508"/>
      <c r="O1114" s="509"/>
      <c r="P1114" s="509"/>
    </row>
    <row r="1115" spans="1:16" ht="21.75" customHeight="1" x14ac:dyDescent="0.3">
      <c r="A1115" s="504"/>
      <c r="B1115" s="504"/>
      <c r="C1115" s="504"/>
      <c r="D1115" s="504"/>
      <c r="E1115" s="506"/>
      <c r="F1115" s="506"/>
      <c r="G1115" s="506"/>
      <c r="H1115" s="506"/>
      <c r="I1115" s="506"/>
      <c r="J1115" s="506"/>
      <c r="K1115" s="507"/>
      <c r="L1115" s="508"/>
      <c r="M1115" s="508"/>
      <c r="N1115" s="508"/>
      <c r="O1115" s="509"/>
      <c r="P1115" s="509"/>
    </row>
    <row r="1116" spans="1:16" ht="21.75" customHeight="1" x14ac:dyDescent="0.3">
      <c r="A1116" s="504"/>
      <c r="B1116" s="504"/>
      <c r="C1116" s="504"/>
      <c r="D1116" s="504"/>
      <c r="E1116" s="506"/>
      <c r="F1116" s="506"/>
      <c r="G1116" s="506"/>
      <c r="H1116" s="506"/>
      <c r="I1116" s="506"/>
      <c r="J1116" s="506"/>
      <c r="K1116" s="507"/>
      <c r="L1116" s="508"/>
      <c r="M1116" s="508"/>
      <c r="N1116" s="508"/>
      <c r="O1116" s="509"/>
      <c r="P1116" s="509"/>
    </row>
    <row r="1117" spans="1:16" ht="21.75" customHeight="1" x14ac:dyDescent="0.3">
      <c r="A1117" s="504"/>
      <c r="B1117" s="504"/>
      <c r="C1117" s="504"/>
      <c r="D1117" s="504"/>
      <c r="E1117" s="506"/>
      <c r="F1117" s="506"/>
      <c r="G1117" s="506"/>
      <c r="H1117" s="506"/>
      <c r="I1117" s="506"/>
      <c r="J1117" s="506"/>
      <c r="K1117" s="507"/>
      <c r="L1117" s="508"/>
      <c r="M1117" s="508"/>
      <c r="N1117" s="508"/>
      <c r="O1117" s="509"/>
      <c r="P1117" s="509"/>
    </row>
    <row r="1118" spans="1:16" ht="21.75" customHeight="1" x14ac:dyDescent="0.3">
      <c r="A1118" s="504"/>
      <c r="B1118" s="504"/>
      <c r="C1118" s="504"/>
      <c r="D1118" s="504"/>
      <c r="E1118" s="506"/>
      <c r="F1118" s="506"/>
      <c r="G1118" s="506"/>
      <c r="H1118" s="506"/>
      <c r="I1118" s="506"/>
      <c r="J1118" s="506"/>
      <c r="K1118" s="507"/>
      <c r="L1118" s="508"/>
      <c r="M1118" s="508"/>
      <c r="N1118" s="508"/>
      <c r="O1118" s="509"/>
      <c r="P1118" s="509"/>
    </row>
    <row r="1119" spans="1:16" ht="21.75" customHeight="1" x14ac:dyDescent="0.3">
      <c r="A1119" s="504"/>
      <c r="B1119" s="504"/>
      <c r="C1119" s="504"/>
      <c r="D1119" s="504"/>
      <c r="E1119" s="506"/>
      <c r="F1119" s="506"/>
      <c r="G1119" s="506"/>
      <c r="H1119" s="506"/>
      <c r="I1119" s="506"/>
      <c r="J1119" s="506"/>
      <c r="K1119" s="507"/>
      <c r="L1119" s="508"/>
      <c r="M1119" s="508"/>
      <c r="N1119" s="508"/>
      <c r="O1119" s="509"/>
      <c r="P1119" s="509"/>
    </row>
    <row r="1120" spans="1:16" ht="21.75" customHeight="1" x14ac:dyDescent="0.3">
      <c r="A1120" s="504"/>
      <c r="B1120" s="504"/>
      <c r="C1120" s="504"/>
      <c r="D1120" s="504"/>
      <c r="E1120" s="506"/>
      <c r="F1120" s="506"/>
      <c r="G1120" s="506"/>
      <c r="H1120" s="506"/>
      <c r="I1120" s="506"/>
      <c r="J1120" s="506"/>
      <c r="K1120" s="507"/>
      <c r="L1120" s="508"/>
      <c r="M1120" s="508"/>
      <c r="N1120" s="508"/>
      <c r="O1120" s="509"/>
      <c r="P1120" s="509"/>
    </row>
    <row r="1121" spans="1:16" ht="21.75" customHeight="1" x14ac:dyDescent="0.3">
      <c r="A1121" s="504"/>
      <c r="B1121" s="504"/>
      <c r="C1121" s="504"/>
      <c r="D1121" s="504"/>
      <c r="E1121" s="506"/>
      <c r="F1121" s="506"/>
      <c r="G1121" s="506"/>
      <c r="H1121" s="506"/>
      <c r="I1121" s="506"/>
      <c r="J1121" s="506"/>
      <c r="K1121" s="507"/>
      <c r="L1121" s="508"/>
      <c r="M1121" s="508"/>
      <c r="N1121" s="508"/>
      <c r="O1121" s="509"/>
      <c r="P1121" s="509"/>
    </row>
    <row r="1122" spans="1:16" ht="21.75" customHeight="1" x14ac:dyDescent="0.3">
      <c r="A1122" s="504"/>
      <c r="B1122" s="504"/>
      <c r="C1122" s="504"/>
      <c r="D1122" s="504"/>
      <c r="E1122" s="506"/>
      <c r="F1122" s="506"/>
      <c r="G1122" s="506"/>
      <c r="H1122" s="506"/>
      <c r="I1122" s="506"/>
      <c r="J1122" s="506"/>
      <c r="K1122" s="507"/>
      <c r="L1122" s="508"/>
      <c r="M1122" s="508"/>
      <c r="N1122" s="508"/>
      <c r="O1122" s="509"/>
      <c r="P1122" s="509"/>
    </row>
    <row r="1123" spans="1:16" ht="21.75" customHeight="1" x14ac:dyDescent="0.3">
      <c r="A1123" s="504"/>
      <c r="B1123" s="504"/>
      <c r="C1123" s="504"/>
      <c r="D1123" s="504"/>
      <c r="E1123" s="506"/>
      <c r="F1123" s="506"/>
      <c r="G1123" s="506"/>
      <c r="H1123" s="506"/>
      <c r="I1123" s="506"/>
      <c r="J1123" s="506"/>
      <c r="K1123" s="507"/>
      <c r="L1123" s="508"/>
      <c r="M1123" s="508"/>
      <c r="N1123" s="508"/>
      <c r="O1123" s="509"/>
      <c r="P1123" s="509"/>
    </row>
    <row r="1124" spans="1:16" ht="21.75" customHeight="1" x14ac:dyDescent="0.3">
      <c r="A1124" s="504"/>
      <c r="B1124" s="504"/>
      <c r="C1124" s="504"/>
      <c r="D1124" s="504"/>
      <c r="E1124" s="506"/>
      <c r="F1124" s="506"/>
      <c r="G1124" s="506"/>
      <c r="H1124" s="506"/>
      <c r="I1124" s="506"/>
      <c r="J1124" s="506"/>
      <c r="K1124" s="507"/>
      <c r="L1124" s="508"/>
      <c r="M1124" s="508"/>
      <c r="N1124" s="508"/>
      <c r="O1124" s="509"/>
      <c r="P1124" s="509"/>
    </row>
    <row r="1125" spans="1:16" ht="21.75" customHeight="1" x14ac:dyDescent="0.3">
      <c r="A1125" s="504"/>
      <c r="B1125" s="504"/>
      <c r="C1125" s="504"/>
      <c r="D1125" s="504"/>
      <c r="E1125" s="506"/>
      <c r="F1125" s="506"/>
      <c r="G1125" s="506"/>
      <c r="H1125" s="506"/>
      <c r="I1125" s="506"/>
      <c r="J1125" s="506"/>
      <c r="K1125" s="507"/>
      <c r="L1125" s="508"/>
      <c r="M1125" s="508"/>
      <c r="N1125" s="508"/>
      <c r="O1125" s="509"/>
      <c r="P1125" s="509"/>
    </row>
    <row r="1126" spans="1:16" ht="21.75" customHeight="1" x14ac:dyDescent="0.3">
      <c r="A1126" s="504"/>
      <c r="B1126" s="504"/>
      <c r="C1126" s="504"/>
      <c r="D1126" s="504"/>
      <c r="E1126" s="506"/>
      <c r="F1126" s="506"/>
      <c r="G1126" s="506"/>
      <c r="H1126" s="506"/>
      <c r="I1126" s="506"/>
      <c r="J1126" s="506"/>
      <c r="K1126" s="507"/>
      <c r="L1126" s="508"/>
      <c r="M1126" s="508"/>
      <c r="N1126" s="508"/>
      <c r="O1126" s="509"/>
      <c r="P1126" s="509"/>
    </row>
    <row r="1127" spans="1:16" ht="21.75" customHeight="1" x14ac:dyDescent="0.3">
      <c r="A1127" s="504"/>
      <c r="B1127" s="504"/>
      <c r="C1127" s="504"/>
      <c r="D1127" s="504"/>
      <c r="E1127" s="506"/>
      <c r="F1127" s="506"/>
      <c r="G1127" s="506"/>
      <c r="H1127" s="506"/>
      <c r="I1127" s="506"/>
      <c r="J1127" s="506"/>
      <c r="K1127" s="507"/>
      <c r="L1127" s="508"/>
      <c r="M1127" s="508"/>
      <c r="N1127" s="508"/>
      <c r="O1127" s="509"/>
      <c r="P1127" s="509"/>
    </row>
    <row r="1128" spans="1:16" ht="21.75" customHeight="1" x14ac:dyDescent="0.3">
      <c r="A1128" s="504"/>
      <c r="B1128" s="504"/>
      <c r="C1128" s="504"/>
      <c r="D1128" s="504"/>
      <c r="E1128" s="506"/>
      <c r="F1128" s="506"/>
      <c r="G1128" s="506"/>
      <c r="H1128" s="506"/>
      <c r="I1128" s="506"/>
      <c r="J1128" s="506"/>
      <c r="K1128" s="507"/>
      <c r="L1128" s="508"/>
      <c r="M1128" s="508"/>
      <c r="N1128" s="508"/>
      <c r="O1128" s="509"/>
      <c r="P1128" s="509"/>
    </row>
    <row r="1129" spans="1:16" ht="21.75" customHeight="1" x14ac:dyDescent="0.3">
      <c r="A1129" s="504"/>
      <c r="B1129" s="504"/>
      <c r="C1129" s="504"/>
      <c r="D1129" s="504"/>
      <c r="E1129" s="506"/>
      <c r="F1129" s="506"/>
      <c r="G1129" s="506"/>
      <c r="H1129" s="506"/>
      <c r="I1129" s="506"/>
      <c r="J1129" s="506"/>
      <c r="K1129" s="507"/>
      <c r="L1129" s="508"/>
      <c r="M1129" s="508"/>
      <c r="N1129" s="508"/>
      <c r="O1129" s="509"/>
      <c r="P1129" s="509"/>
    </row>
    <row r="1130" spans="1:16" ht="21.75" customHeight="1" x14ac:dyDescent="0.3">
      <c r="A1130" s="504"/>
      <c r="B1130" s="504"/>
      <c r="C1130" s="504"/>
      <c r="D1130" s="504"/>
      <c r="E1130" s="506"/>
      <c r="F1130" s="506"/>
      <c r="G1130" s="506"/>
      <c r="H1130" s="506"/>
      <c r="I1130" s="506"/>
      <c r="J1130" s="506"/>
      <c r="K1130" s="507"/>
      <c r="L1130" s="508"/>
      <c r="M1130" s="508"/>
      <c r="N1130" s="508"/>
      <c r="O1130" s="509"/>
      <c r="P1130" s="509"/>
    </row>
    <row r="1131" spans="1:16" ht="21.75" customHeight="1" x14ac:dyDescent="0.3">
      <c r="A1131" s="504"/>
      <c r="B1131" s="504"/>
      <c r="C1131" s="504"/>
      <c r="D1131" s="504"/>
      <c r="E1131" s="506"/>
      <c r="F1131" s="506"/>
      <c r="G1131" s="506"/>
      <c r="H1131" s="506"/>
      <c r="I1131" s="506"/>
      <c r="J1131" s="506"/>
      <c r="K1131" s="507"/>
      <c r="L1131" s="508"/>
      <c r="M1131" s="508"/>
      <c r="N1131" s="508"/>
      <c r="O1131" s="509"/>
      <c r="P1131" s="509"/>
    </row>
    <row r="1132" spans="1:16" ht="21.75" customHeight="1" x14ac:dyDescent="0.3">
      <c r="A1132" s="504"/>
      <c r="B1132" s="504"/>
      <c r="C1132" s="504"/>
      <c r="D1132" s="504"/>
      <c r="E1132" s="506"/>
      <c r="F1132" s="506"/>
      <c r="G1132" s="506"/>
      <c r="H1132" s="506"/>
      <c r="I1132" s="506"/>
      <c r="J1132" s="506"/>
      <c r="K1132" s="507"/>
      <c r="L1132" s="508"/>
      <c r="M1132" s="508"/>
      <c r="N1132" s="508"/>
      <c r="O1132" s="509"/>
      <c r="P1132" s="509"/>
    </row>
    <row r="1133" spans="1:16" ht="21.75" customHeight="1" x14ac:dyDescent="0.3">
      <c r="A1133" s="504"/>
      <c r="B1133" s="504"/>
      <c r="C1133" s="504"/>
      <c r="D1133" s="504"/>
      <c r="E1133" s="506"/>
      <c r="F1133" s="506"/>
      <c r="G1133" s="506"/>
      <c r="H1133" s="506"/>
      <c r="I1133" s="506"/>
      <c r="J1133" s="506"/>
      <c r="K1133" s="507"/>
      <c r="L1133" s="508"/>
      <c r="M1133" s="508"/>
      <c r="N1133" s="508"/>
      <c r="O1133" s="509"/>
      <c r="P1133" s="509"/>
    </row>
    <row r="1134" spans="1:16" ht="21.75" customHeight="1" x14ac:dyDescent="0.3">
      <c r="A1134" s="504"/>
      <c r="B1134" s="504"/>
      <c r="C1134" s="504"/>
      <c r="D1134" s="504"/>
      <c r="E1134" s="506"/>
      <c r="F1134" s="506"/>
      <c r="G1134" s="506"/>
      <c r="H1134" s="506"/>
      <c r="I1134" s="506"/>
      <c r="J1134" s="506"/>
      <c r="K1134" s="507"/>
      <c r="L1134" s="508"/>
      <c r="M1134" s="508"/>
      <c r="N1134" s="508"/>
      <c r="O1134" s="509"/>
      <c r="P1134" s="509"/>
    </row>
    <row r="1135" spans="1:16" ht="21.75" customHeight="1" x14ac:dyDescent="0.3">
      <c r="A1135" s="504"/>
      <c r="B1135" s="504"/>
      <c r="C1135" s="504"/>
      <c r="D1135" s="504"/>
      <c r="E1135" s="506"/>
      <c r="F1135" s="506"/>
      <c r="G1135" s="506"/>
      <c r="H1135" s="506"/>
      <c r="I1135" s="506"/>
      <c r="J1135" s="506"/>
      <c r="K1135" s="507"/>
      <c r="L1135" s="508"/>
      <c r="M1135" s="508"/>
      <c r="N1135" s="508"/>
      <c r="O1135" s="509"/>
      <c r="P1135" s="509"/>
    </row>
    <row r="1136" spans="1:16" ht="21.75" customHeight="1" x14ac:dyDescent="0.3">
      <c r="A1136" s="504"/>
      <c r="B1136" s="504"/>
      <c r="C1136" s="504"/>
      <c r="D1136" s="504"/>
      <c r="E1136" s="506"/>
      <c r="F1136" s="506"/>
      <c r="G1136" s="506"/>
      <c r="H1136" s="506"/>
      <c r="I1136" s="506"/>
      <c r="J1136" s="506"/>
      <c r="K1136" s="507"/>
      <c r="L1136" s="508"/>
      <c r="M1136" s="508"/>
      <c r="N1136" s="508"/>
      <c r="O1136" s="509"/>
      <c r="P1136" s="509"/>
    </row>
    <row r="1137" spans="1:16" ht="21.75" customHeight="1" x14ac:dyDescent="0.3">
      <c r="A1137" s="504"/>
      <c r="B1137" s="504"/>
      <c r="C1137" s="504"/>
      <c r="D1137" s="504"/>
      <c r="E1137" s="506"/>
      <c r="F1137" s="506"/>
      <c r="G1137" s="506"/>
      <c r="H1137" s="506"/>
      <c r="I1137" s="506"/>
      <c r="J1137" s="506"/>
      <c r="K1137" s="507"/>
      <c r="L1137" s="508"/>
      <c r="M1137" s="508"/>
      <c r="N1137" s="508"/>
      <c r="O1137" s="509"/>
      <c r="P1137" s="509"/>
    </row>
    <row r="1138" spans="1:16" ht="21.75" customHeight="1" x14ac:dyDescent="0.3">
      <c r="A1138" s="504"/>
      <c r="B1138" s="504"/>
      <c r="C1138" s="504"/>
      <c r="D1138" s="504"/>
      <c r="E1138" s="506"/>
      <c r="F1138" s="506"/>
      <c r="G1138" s="506"/>
      <c r="H1138" s="506"/>
      <c r="I1138" s="506"/>
      <c r="J1138" s="506"/>
      <c r="K1138" s="507"/>
      <c r="L1138" s="508"/>
      <c r="M1138" s="508"/>
      <c r="N1138" s="508"/>
      <c r="O1138" s="509"/>
      <c r="P1138" s="509"/>
    </row>
    <row r="1139" spans="1:16" ht="21.75" customHeight="1" x14ac:dyDescent="0.3">
      <c r="A1139" s="504"/>
      <c r="B1139" s="504"/>
      <c r="C1139" s="504"/>
      <c r="D1139" s="504"/>
      <c r="E1139" s="506"/>
      <c r="F1139" s="506"/>
      <c r="G1139" s="506"/>
      <c r="H1139" s="506"/>
      <c r="I1139" s="506"/>
      <c r="J1139" s="506"/>
      <c r="K1139" s="507"/>
      <c r="L1139" s="508"/>
      <c r="M1139" s="508"/>
      <c r="N1139" s="508"/>
      <c r="O1139" s="509"/>
      <c r="P1139" s="509"/>
    </row>
    <row r="1140" spans="1:16" ht="21.75" customHeight="1" x14ac:dyDescent="0.3">
      <c r="A1140" s="504"/>
      <c r="B1140" s="504"/>
      <c r="C1140" s="504"/>
      <c r="D1140" s="504"/>
      <c r="E1140" s="506"/>
      <c r="F1140" s="506"/>
      <c r="G1140" s="506"/>
      <c r="H1140" s="506"/>
      <c r="I1140" s="506"/>
      <c r="J1140" s="506"/>
      <c r="K1140" s="507"/>
      <c r="L1140" s="508"/>
      <c r="M1140" s="508"/>
      <c r="N1140" s="508"/>
      <c r="O1140" s="509"/>
      <c r="P1140" s="509"/>
    </row>
    <row r="1141" spans="1:16" ht="21.75" customHeight="1" x14ac:dyDescent="0.3">
      <c r="A1141" s="504"/>
      <c r="B1141" s="504"/>
      <c r="C1141" s="504"/>
      <c r="D1141" s="504"/>
      <c r="E1141" s="506"/>
      <c r="F1141" s="506"/>
      <c r="G1141" s="506"/>
      <c r="H1141" s="506"/>
      <c r="I1141" s="506"/>
      <c r="J1141" s="506"/>
      <c r="K1141" s="507"/>
      <c r="L1141" s="508"/>
      <c r="M1141" s="508"/>
      <c r="N1141" s="508"/>
      <c r="O1141" s="509"/>
      <c r="P1141" s="509"/>
    </row>
    <row r="1142" spans="1:16" ht="21.75" customHeight="1" x14ac:dyDescent="0.3">
      <c r="A1142" s="504"/>
      <c r="B1142" s="504"/>
      <c r="C1142" s="504"/>
      <c r="D1142" s="504"/>
      <c r="E1142" s="506"/>
      <c r="F1142" s="506"/>
      <c r="G1142" s="506"/>
      <c r="H1142" s="506"/>
      <c r="I1142" s="506"/>
      <c r="J1142" s="506"/>
      <c r="K1142" s="507"/>
      <c r="L1142" s="508"/>
      <c r="M1142" s="508"/>
      <c r="N1142" s="508"/>
      <c r="O1142" s="509"/>
      <c r="P1142" s="509"/>
    </row>
    <row r="1143" spans="1:16" ht="21.75" customHeight="1" x14ac:dyDescent="0.3">
      <c r="A1143" s="504"/>
      <c r="B1143" s="504"/>
      <c r="C1143" s="504"/>
      <c r="D1143" s="504"/>
      <c r="E1143" s="506"/>
      <c r="F1143" s="506"/>
      <c r="G1143" s="506"/>
      <c r="H1143" s="506"/>
      <c r="I1143" s="506"/>
      <c r="J1143" s="506"/>
      <c r="K1143" s="507"/>
      <c r="L1143" s="508"/>
      <c r="M1143" s="508"/>
      <c r="N1143" s="508"/>
      <c r="O1143" s="509"/>
      <c r="P1143" s="509"/>
    </row>
  </sheetData>
  <mergeCells count="49">
    <mergeCell ref="D310:G310"/>
    <mergeCell ref="D317:E317"/>
    <mergeCell ref="D329:G329"/>
    <mergeCell ref="D336:E336"/>
    <mergeCell ref="D140:G140"/>
    <mergeCell ref="D147:E147"/>
    <mergeCell ref="D220:G220"/>
    <mergeCell ref="D227:E227"/>
    <mergeCell ref="D250:G250"/>
    <mergeCell ref="D257:E257"/>
    <mergeCell ref="D271:G271"/>
    <mergeCell ref="D118:G118"/>
    <mergeCell ref="D125:E125"/>
    <mergeCell ref="D278:E278"/>
    <mergeCell ref="D290:G290"/>
    <mergeCell ref="D297:E297"/>
    <mergeCell ref="D60:E60"/>
    <mergeCell ref="D66:G66"/>
    <mergeCell ref="D73:E73"/>
    <mergeCell ref="D94:G94"/>
    <mergeCell ref="D101:E101"/>
    <mergeCell ref="D44:F44"/>
    <mergeCell ref="D48:E48"/>
    <mergeCell ref="B52:G52"/>
    <mergeCell ref="D53:G53"/>
    <mergeCell ref="D56:F56"/>
    <mergeCell ref="D31:F31"/>
    <mergeCell ref="D35:E35"/>
    <mergeCell ref="A38:G38"/>
    <mergeCell ref="B39:G39"/>
    <mergeCell ref="D41:G41"/>
    <mergeCell ref="D18:G18"/>
    <mergeCell ref="D21:F21"/>
    <mergeCell ref="D25:E25"/>
    <mergeCell ref="A27:G27"/>
    <mergeCell ref="D28:G28"/>
    <mergeCell ref="A7:G7"/>
    <mergeCell ref="D8:G8"/>
    <mergeCell ref="D11:F11"/>
    <mergeCell ref="D15:E15"/>
    <mergeCell ref="A17:G17"/>
    <mergeCell ref="H5:H6"/>
    <mergeCell ref="I5:K5"/>
    <mergeCell ref="L5:M5"/>
    <mergeCell ref="N5:P5"/>
    <mergeCell ref="A5:G6"/>
    <mergeCell ref="A1:P1"/>
    <mergeCell ref="A2:P2"/>
    <mergeCell ref="A3:P3"/>
  </mergeCells>
  <printOptions horizontalCentered="1"/>
  <pageMargins left="0.23622047244094491" right="0.27559055118110237" top="0.31496062992125984" bottom="0.39370078740157483" header="0" footer="0"/>
  <pageSetup paperSize="9" scale="39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46" max="16383" man="1"/>
    <brk id="326" max="16383" man="1"/>
    <brk id="400" max="16383" man="1"/>
    <brk id="486" max="16383" man="1"/>
    <brk id="563" max="16383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J7" sqref="J7"/>
      <selection pane="bottomLeft" activeCell="J23" sqref="J23"/>
    </sheetView>
  </sheetViews>
  <sheetFormatPr defaultColWidth="12.6640625" defaultRowHeight="15" customHeight="1" x14ac:dyDescent="0.3"/>
  <cols>
    <col min="1" max="3" width="2.75" customWidth="1"/>
    <col min="4" max="6" width="5" customWidth="1"/>
    <col min="7" max="7" width="70.9140625" customWidth="1"/>
    <col min="8" max="8" width="9.5" customWidth="1"/>
    <col min="9" max="10" width="13.9140625" customWidth="1"/>
    <col min="11" max="11" width="10.08203125" bestFit="1" customWidth="1"/>
    <col min="12" max="12" width="16.33203125" bestFit="1" customWidth="1"/>
    <col min="13" max="13" width="17.6640625" customWidth="1"/>
    <col min="14" max="14" width="19.5" customWidth="1"/>
    <col min="15" max="15" width="16.5" customWidth="1"/>
    <col min="16" max="16" width="18" customWidth="1"/>
  </cols>
  <sheetData>
    <row r="1" spans="1:16" ht="18" customHeight="1" x14ac:dyDescent="0.3">
      <c r="A1" s="512" t="s">
        <v>0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</row>
    <row r="2" spans="1:16" ht="18" customHeight="1" x14ac:dyDescent="0.3">
      <c r="A2" s="512" t="s">
        <v>266</v>
      </c>
      <c r="B2" s="512"/>
      <c r="C2" s="512"/>
      <c r="D2" s="512"/>
      <c r="E2" s="512"/>
      <c r="F2" s="512"/>
      <c r="G2" s="512"/>
      <c r="H2" s="512"/>
      <c r="I2" s="512"/>
      <c r="J2" s="512"/>
      <c r="K2" s="512"/>
      <c r="L2" s="512"/>
      <c r="M2" s="512"/>
      <c r="N2" s="512"/>
      <c r="O2" s="512"/>
      <c r="P2" s="512"/>
    </row>
    <row r="3" spans="1:16" ht="18" customHeight="1" x14ac:dyDescent="0.3">
      <c r="A3" s="512" t="s">
        <v>272</v>
      </c>
      <c r="B3" s="512"/>
      <c r="C3" s="512"/>
      <c r="D3" s="512"/>
      <c r="E3" s="512"/>
      <c r="F3" s="512"/>
      <c r="G3" s="512"/>
      <c r="H3" s="512"/>
      <c r="I3" s="512"/>
      <c r="J3" s="512"/>
      <c r="K3" s="512"/>
      <c r="L3" s="512"/>
      <c r="M3" s="512"/>
      <c r="N3" s="512"/>
      <c r="O3" s="512"/>
      <c r="P3" s="512"/>
    </row>
    <row r="4" spans="1:16" ht="33.75" customHeight="1" x14ac:dyDescent="0.3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3">
      <c r="A5" s="520" t="s">
        <v>2</v>
      </c>
      <c r="B5" s="521"/>
      <c r="C5" s="521"/>
      <c r="D5" s="521"/>
      <c r="E5" s="521"/>
      <c r="F5" s="521"/>
      <c r="G5" s="522"/>
      <c r="H5" s="513" t="s">
        <v>3</v>
      </c>
      <c r="I5" s="515" t="s">
        <v>4</v>
      </c>
      <c r="J5" s="516"/>
      <c r="K5" s="517"/>
      <c r="L5" s="518" t="s">
        <v>5</v>
      </c>
      <c r="M5" s="517"/>
      <c r="N5" s="519" t="s">
        <v>6</v>
      </c>
      <c r="O5" s="516"/>
      <c r="P5" s="517"/>
    </row>
    <row r="6" spans="1:16" ht="21.75" customHeight="1" x14ac:dyDescent="0.3">
      <c r="A6" s="523"/>
      <c r="B6" s="524"/>
      <c r="C6" s="524"/>
      <c r="D6" s="524"/>
      <c r="E6" s="524"/>
      <c r="F6" s="524"/>
      <c r="G6" s="525"/>
      <c r="H6" s="514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45">
      <c r="A7" s="526" t="s">
        <v>15</v>
      </c>
      <c r="B7" s="516"/>
      <c r="C7" s="516"/>
      <c r="D7" s="516"/>
      <c r="E7" s="516"/>
      <c r="F7" s="516"/>
      <c r="G7" s="517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45">
      <c r="A8" s="17"/>
      <c r="B8" s="18"/>
      <c r="C8" s="19" t="s">
        <v>16</v>
      </c>
      <c r="D8" s="527" t="s">
        <v>17</v>
      </c>
      <c r="E8" s="528"/>
      <c r="F8" s="528"/>
      <c r="G8" s="528"/>
      <c r="H8" s="20" t="s">
        <v>12</v>
      </c>
      <c r="I8" s="21"/>
      <c r="J8" s="21"/>
      <c r="K8" s="22"/>
      <c r="L8" s="23">
        <f t="shared" ref="L8:N8" ca="1" si="0">L9+L10</f>
        <v>5430348</v>
      </c>
      <c r="M8" s="23">
        <f t="shared" ca="1" si="0"/>
        <v>2121811</v>
      </c>
      <c r="N8" s="23">
        <f t="shared" ca="1" si="0"/>
        <v>2110555.48</v>
      </c>
      <c r="O8" s="22">
        <f t="shared" ref="O8:O16" ca="1" si="1">IF(L8&gt;0,N8*100/L8,0)</f>
        <v>38.865934190589627</v>
      </c>
      <c r="P8" s="22">
        <f t="shared" ref="P8:P16" ca="1" si="2">IF(M8&gt;0,N8*100/M8,0)</f>
        <v>99.46953239473261</v>
      </c>
    </row>
    <row r="9" spans="1:16" ht="21.75" customHeight="1" x14ac:dyDescent="0.45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45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5430348</v>
      </c>
      <c r="M10" s="30">
        <f t="shared" ca="1" si="4"/>
        <v>2121811</v>
      </c>
      <c r="N10" s="30">
        <f t="shared" ca="1" si="4"/>
        <v>2110555.48</v>
      </c>
      <c r="O10" s="29">
        <f t="shared" ca="1" si="1"/>
        <v>38.865934190589627</v>
      </c>
      <c r="P10" s="29">
        <f t="shared" ca="1" si="2"/>
        <v>99.46953239473261</v>
      </c>
    </row>
    <row r="11" spans="1:16" ht="21.75" customHeight="1" x14ac:dyDescent="0.45">
      <c r="A11" s="31"/>
      <c r="B11" s="32"/>
      <c r="C11" s="33" t="s">
        <v>16</v>
      </c>
      <c r="D11" s="529" t="s">
        <v>20</v>
      </c>
      <c r="E11" s="530"/>
      <c r="F11" s="530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45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5254348</v>
      </c>
      <c r="M12" s="38">
        <f t="shared" ca="1" si="6"/>
        <v>1945811</v>
      </c>
      <c r="N12" s="38">
        <f t="shared" ca="1" si="6"/>
        <v>1934555.48</v>
      </c>
      <c r="O12" s="38">
        <f t="shared" ca="1" si="1"/>
        <v>36.818183340730378</v>
      </c>
      <c r="P12" s="38">
        <f t="shared" ca="1" si="2"/>
        <v>99.421551219517212</v>
      </c>
    </row>
    <row r="13" spans="1:16" ht="21.75" customHeight="1" x14ac:dyDescent="0.45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2053100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45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3201248</v>
      </c>
      <c r="M14" s="38">
        <f t="shared" si="8"/>
        <v>0</v>
      </c>
      <c r="N14" s="38">
        <f t="shared" ca="1" si="8"/>
        <v>509265.48</v>
      </c>
      <c r="O14" s="38">
        <f t="shared" ca="1" si="1"/>
        <v>15.908341996621317</v>
      </c>
      <c r="P14" s="38">
        <f t="shared" si="2"/>
        <v>0</v>
      </c>
    </row>
    <row r="15" spans="1:16" ht="21.75" customHeight="1" x14ac:dyDescent="0.45">
      <c r="A15" s="31"/>
      <c r="B15" s="32"/>
      <c r="C15" s="33" t="s">
        <v>16</v>
      </c>
      <c r="D15" s="529" t="s">
        <v>23</v>
      </c>
      <c r="E15" s="530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45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176000</v>
      </c>
      <c r="M16" s="38">
        <f t="shared" ca="1" si="10"/>
        <v>176000</v>
      </c>
      <c r="N16" s="38">
        <f t="shared" ca="1" si="10"/>
        <v>176000</v>
      </c>
      <c r="O16" s="49">
        <f t="shared" ca="1" si="1"/>
        <v>100</v>
      </c>
      <c r="P16" s="49">
        <f t="shared" ca="1" si="2"/>
        <v>100</v>
      </c>
    </row>
    <row r="17" spans="1:16" ht="21.75" customHeight="1" x14ac:dyDescent="0.45">
      <c r="A17" s="526" t="s">
        <v>24</v>
      </c>
      <c r="B17" s="516"/>
      <c r="C17" s="516"/>
      <c r="D17" s="516"/>
      <c r="E17" s="516"/>
      <c r="F17" s="516"/>
      <c r="G17" s="517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45">
      <c r="A18" s="17"/>
      <c r="B18" s="18"/>
      <c r="C18" s="19" t="s">
        <v>16</v>
      </c>
      <c r="D18" s="527" t="s">
        <v>17</v>
      </c>
      <c r="E18" s="528"/>
      <c r="F18" s="528"/>
      <c r="G18" s="528"/>
      <c r="H18" s="20" t="s">
        <v>12</v>
      </c>
      <c r="I18" s="21"/>
      <c r="J18" s="21"/>
      <c r="K18" s="22"/>
      <c r="L18" s="23">
        <f t="shared" ref="L18:N18" ca="1" si="11">L19+L20</f>
        <v>3474365</v>
      </c>
      <c r="M18" s="23">
        <f t="shared" ca="1" si="11"/>
        <v>2121811</v>
      </c>
      <c r="N18" s="23">
        <f t="shared" ca="1" si="11"/>
        <v>1601290</v>
      </c>
      <c r="O18" s="22">
        <f t="shared" ref="O18:O20" ca="1" si="12">IF(L18&gt;0,N18*100/L18,0)</f>
        <v>46.088709735448063</v>
      </c>
      <c r="P18" s="22">
        <f t="shared" ref="P18:P26" ca="1" si="13">IF(M18&gt;0,N18*100/M18,0)</f>
        <v>75.468078919375955</v>
      </c>
    </row>
    <row r="19" spans="1:16" ht="21.75" customHeight="1" x14ac:dyDescent="0.45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45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3474365</v>
      </c>
      <c r="M20" s="30">
        <f t="shared" ca="1" si="15"/>
        <v>2121811</v>
      </c>
      <c r="N20" s="30">
        <f t="shared" ca="1" si="15"/>
        <v>1601290</v>
      </c>
      <c r="O20" s="29">
        <f t="shared" ca="1" si="12"/>
        <v>46.088709735448063</v>
      </c>
      <c r="P20" s="29">
        <f t="shared" ca="1" si="13"/>
        <v>75.468078919375955</v>
      </c>
    </row>
    <row r="21" spans="1:16" ht="21.75" customHeight="1" x14ac:dyDescent="0.45">
      <c r="A21" s="31"/>
      <c r="B21" s="32"/>
      <c r="C21" s="33" t="s">
        <v>16</v>
      </c>
      <c r="D21" s="529" t="s">
        <v>20</v>
      </c>
      <c r="E21" s="530"/>
      <c r="F21" s="530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45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3298365</v>
      </c>
      <c r="M22" s="41">
        <f t="shared" ca="1" si="18"/>
        <v>1945811</v>
      </c>
      <c r="N22" s="38">
        <f t="shared" ca="1" si="18"/>
        <v>1425290</v>
      </c>
      <c r="O22" s="38">
        <f t="shared" ca="1" si="17"/>
        <v>43.212015650178195</v>
      </c>
      <c r="P22" s="38">
        <f t="shared" ca="1" si="13"/>
        <v>73.249149069462547</v>
      </c>
    </row>
    <row r="23" spans="1:16" ht="21.75" customHeight="1" x14ac:dyDescent="0.45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2053100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45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1245265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45">
      <c r="A25" s="31"/>
      <c r="B25" s="32"/>
      <c r="C25" s="33" t="s">
        <v>16</v>
      </c>
      <c r="D25" s="529" t="s">
        <v>23</v>
      </c>
      <c r="E25" s="530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45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176000</v>
      </c>
      <c r="M26" s="49">
        <f t="shared" ca="1" si="22"/>
        <v>176000</v>
      </c>
      <c r="N26" s="49">
        <f t="shared" ca="1" si="22"/>
        <v>176000</v>
      </c>
      <c r="O26" s="49">
        <f t="shared" ca="1" si="17"/>
        <v>100</v>
      </c>
      <c r="P26" s="49">
        <f t="shared" ca="1" si="13"/>
        <v>100</v>
      </c>
    </row>
    <row r="27" spans="1:16" ht="21.75" customHeight="1" x14ac:dyDescent="0.45">
      <c r="A27" s="526" t="s">
        <v>25</v>
      </c>
      <c r="B27" s="516"/>
      <c r="C27" s="516"/>
      <c r="D27" s="516"/>
      <c r="E27" s="516"/>
      <c r="F27" s="516"/>
      <c r="G27" s="517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45">
      <c r="A28" s="17"/>
      <c r="B28" s="18"/>
      <c r="C28" s="19" t="s">
        <v>16</v>
      </c>
      <c r="D28" s="527" t="s">
        <v>17</v>
      </c>
      <c r="E28" s="528"/>
      <c r="F28" s="528"/>
      <c r="G28" s="528"/>
      <c r="H28" s="20" t="s">
        <v>12</v>
      </c>
      <c r="I28" s="21"/>
      <c r="J28" s="21"/>
      <c r="K28" s="22"/>
      <c r="L28" s="23">
        <f t="shared" ref="L28:N28" ca="1" si="23">L29+L30</f>
        <v>1955983</v>
      </c>
      <c r="M28" s="23">
        <f t="shared" si="23"/>
        <v>0</v>
      </c>
      <c r="N28" s="23">
        <f t="shared" ca="1" si="23"/>
        <v>509265.48</v>
      </c>
      <c r="O28" s="22">
        <f t="shared" ref="O28:O30" ca="1" si="24">IF(L28&gt;0,N28*100/L28,0)</f>
        <v>26.036293771469385</v>
      </c>
      <c r="P28" s="22">
        <f t="shared" ref="P28:P37" si="25">IF(M28&gt;0,N28*100/M28,0)</f>
        <v>0</v>
      </c>
    </row>
    <row r="29" spans="1:16" ht="21.75" customHeight="1" x14ac:dyDescent="0.45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45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1955983</v>
      </c>
      <c r="M30" s="30">
        <f t="shared" si="27"/>
        <v>0</v>
      </c>
      <c r="N30" s="30">
        <f t="shared" ca="1" si="27"/>
        <v>509265.48</v>
      </c>
      <c r="O30" s="29">
        <f t="shared" ca="1" si="24"/>
        <v>26.036293771469385</v>
      </c>
      <c r="P30" s="29">
        <f t="shared" si="25"/>
        <v>0</v>
      </c>
    </row>
    <row r="31" spans="1:16" ht="21.75" customHeight="1" x14ac:dyDescent="0.45">
      <c r="A31" s="31"/>
      <c r="B31" s="32"/>
      <c r="C31" s="33" t="s">
        <v>16</v>
      </c>
      <c r="D31" s="529" t="s">
        <v>20</v>
      </c>
      <c r="E31" s="530"/>
      <c r="F31" s="530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45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1955983</v>
      </c>
      <c r="M32" s="38">
        <f t="shared" si="30"/>
        <v>0</v>
      </c>
      <c r="N32" s="38">
        <f t="shared" ca="1" si="30"/>
        <v>509265.48</v>
      </c>
      <c r="O32" s="38">
        <f t="shared" ca="1" si="29"/>
        <v>26.036293771469385</v>
      </c>
      <c r="P32" s="38">
        <f t="shared" si="25"/>
        <v>0</v>
      </c>
    </row>
    <row r="33" spans="1:16" ht="21.75" customHeight="1" x14ac:dyDescent="0.45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45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1955983</v>
      </c>
      <c r="M34" s="38">
        <f t="shared" si="32"/>
        <v>0</v>
      </c>
      <c r="N34" s="38">
        <f t="shared" ca="1" si="32"/>
        <v>509265.48</v>
      </c>
      <c r="O34" s="38">
        <f t="shared" ca="1" si="29"/>
        <v>26.036293771469385</v>
      </c>
      <c r="P34" s="38">
        <f t="shared" si="25"/>
        <v>0</v>
      </c>
    </row>
    <row r="35" spans="1:16" ht="21.75" customHeight="1" x14ac:dyDescent="0.45">
      <c r="A35" s="31"/>
      <c r="B35" s="32"/>
      <c r="C35" s="33" t="s">
        <v>16</v>
      </c>
      <c r="D35" s="529" t="s">
        <v>23</v>
      </c>
      <c r="E35" s="530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45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3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3474365</v>
      </c>
      <c r="M37" s="54">
        <f t="shared" ca="1" si="33"/>
        <v>2121811</v>
      </c>
      <c r="N37" s="54">
        <f t="shared" ca="1" si="33"/>
        <v>1601290</v>
      </c>
      <c r="O37" s="55">
        <f t="shared" ca="1" si="29"/>
        <v>46.088709735448063</v>
      </c>
      <c r="P37" s="55">
        <f t="shared" ca="1" si="25"/>
        <v>75.468078919375955</v>
      </c>
    </row>
    <row r="38" spans="1:16" ht="21.75" customHeight="1" x14ac:dyDescent="0.45">
      <c r="A38" s="531" t="s">
        <v>27</v>
      </c>
      <c r="B38" s="516"/>
      <c r="C38" s="516"/>
      <c r="D38" s="516"/>
      <c r="E38" s="516"/>
      <c r="F38" s="516"/>
      <c r="G38" s="517"/>
      <c r="H38" s="56"/>
      <c r="I38" s="57"/>
      <c r="J38" s="57"/>
      <c r="K38" s="58"/>
      <c r="L38" s="59"/>
      <c r="M38" s="59"/>
      <c r="N38" s="59"/>
      <c r="O38" s="59"/>
      <c r="P38" s="59"/>
    </row>
    <row r="39" spans="1:16" ht="21.75" customHeight="1" x14ac:dyDescent="0.45">
      <c r="A39" s="60"/>
      <c r="B39" s="532" t="s">
        <v>28</v>
      </c>
      <c r="C39" s="528"/>
      <c r="D39" s="528"/>
      <c r="E39" s="528"/>
      <c r="F39" s="528"/>
      <c r="G39" s="528"/>
      <c r="H39" s="61"/>
      <c r="I39" s="62"/>
      <c r="J39" s="62"/>
      <c r="K39" s="63"/>
      <c r="L39" s="64"/>
      <c r="M39" s="64"/>
      <c r="N39" s="64"/>
      <c r="O39" s="63"/>
      <c r="P39" s="63"/>
    </row>
    <row r="40" spans="1:16" ht="21.75" customHeight="1" x14ac:dyDescent="0.45">
      <c r="A40" s="65"/>
      <c r="B40" s="66" t="s">
        <v>29</v>
      </c>
      <c r="C40" s="67"/>
      <c r="D40" s="67"/>
      <c r="E40" s="67"/>
      <c r="F40" s="67"/>
      <c r="G40" s="67"/>
      <c r="H40" s="68"/>
      <c r="I40" s="69"/>
      <c r="J40" s="69"/>
      <c r="K40" s="70"/>
      <c r="L40" s="71"/>
      <c r="M40" s="71"/>
      <c r="N40" s="71"/>
      <c r="O40" s="70"/>
      <c r="P40" s="70"/>
    </row>
    <row r="41" spans="1:16" ht="21.75" customHeight="1" x14ac:dyDescent="0.45">
      <c r="A41" s="72"/>
      <c r="B41" s="73"/>
      <c r="C41" s="74" t="s">
        <v>16</v>
      </c>
      <c r="D41" s="533" t="s">
        <v>17</v>
      </c>
      <c r="E41" s="530"/>
      <c r="F41" s="530"/>
      <c r="G41" s="530"/>
      <c r="H41" s="75" t="s">
        <v>12</v>
      </c>
      <c r="I41" s="76"/>
      <c r="J41" s="76"/>
      <c r="K41" s="77"/>
      <c r="L41" s="78">
        <f t="shared" ref="L41:N41" ca="1" si="34">L42+L43</f>
        <v>777100</v>
      </c>
      <c r="M41" s="78">
        <f t="shared" ca="1" si="34"/>
        <v>447520</v>
      </c>
      <c r="N41" s="78">
        <f t="shared" ca="1" si="34"/>
        <v>329380</v>
      </c>
      <c r="O41" s="77">
        <f t="shared" ref="O41:O43" ca="1" si="35">IF(L41&gt;0,N41*100/L41,0)</f>
        <v>42.385793334191227</v>
      </c>
      <c r="P41" s="77">
        <f t="shared" ref="P41:P43" ca="1" si="36">IF(M41&gt;0,N41*100/M41,0)</f>
        <v>73.601179835538076</v>
      </c>
    </row>
    <row r="42" spans="1:16" ht="21.75" customHeight="1" x14ac:dyDescent="0.45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45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777100</v>
      </c>
      <c r="M43" s="78">
        <f t="shared" ca="1" si="38"/>
        <v>447520</v>
      </c>
      <c r="N43" s="78">
        <f t="shared" ca="1" si="38"/>
        <v>329380</v>
      </c>
      <c r="O43" s="77">
        <f t="shared" ca="1" si="35"/>
        <v>42.385793334191227</v>
      </c>
      <c r="P43" s="77">
        <f t="shared" ca="1" si="36"/>
        <v>73.601179835538076</v>
      </c>
    </row>
    <row r="44" spans="1:16" ht="21.75" customHeight="1" x14ac:dyDescent="0.45">
      <c r="A44" s="79"/>
      <c r="B44" s="80"/>
      <c r="C44" s="81" t="s">
        <v>16</v>
      </c>
      <c r="D44" s="534" t="s">
        <v>20</v>
      </c>
      <c r="E44" s="530"/>
      <c r="F44" s="530"/>
      <c r="G44" s="82" t="s">
        <v>18</v>
      </c>
      <c r="H44" s="83" t="s">
        <v>12</v>
      </c>
      <c r="I44" s="84"/>
      <c r="J44" s="84"/>
      <c r="K44" s="85"/>
      <c r="L44" s="86">
        <v>0</v>
      </c>
      <c r="M44" s="510"/>
      <c r="N44" s="511"/>
      <c r="O44" s="511"/>
      <c r="P44" s="511"/>
    </row>
    <row r="45" spans="1:16" ht="21.75" customHeight="1" x14ac:dyDescent="0.45">
      <c r="A45" s="79"/>
      <c r="B45" s="80"/>
      <c r="C45" s="80"/>
      <c r="D45" s="80"/>
      <c r="E45" s="88"/>
      <c r="F45" s="89"/>
      <c r="G45" s="82" t="s">
        <v>19</v>
      </c>
      <c r="H45" s="83" t="s">
        <v>12</v>
      </c>
      <c r="I45" s="84"/>
      <c r="J45" s="84"/>
      <c r="K45" s="85"/>
      <c r="L45" s="38">
        <f ca="1">L46+L47</f>
        <v>751100</v>
      </c>
      <c r="M45" s="49">
        <f ca="1">IFERROR(__xludf.DUMMYFUNCTION("IMPORTRANGE(""https://docs.google.com/spreadsheets/d/1Yj_ptqi66GCucihVvJfMjLAmec39IyEx_6qawtMGysU/edit?usp=sharing"",""สบก!Q34"")"),421520)</f>
        <v>421520</v>
      </c>
      <c r="N45" s="49">
        <f ca="1">IFERROR(__xludf.DUMMYFUNCTION("IMPORTRANGE(""https://docs.google.com/spreadsheets/d/1Yj_ptqi66GCucihVvJfMjLAmec39IyEx_6qawtMGysU/edit?usp=sharing"",""สบก!R34"")"),303380)</f>
        <v>303380</v>
      </c>
      <c r="O45" s="38">
        <f ca="1">IF(L45&gt;0,N45*100/L45,0)</f>
        <v>40.391425908667287</v>
      </c>
      <c r="P45" s="38">
        <f ca="1">IF(M45&gt;0,N45*100/M45,0)</f>
        <v>71.972860125260965</v>
      </c>
    </row>
    <row r="46" spans="1:16" ht="21.75" customHeight="1" x14ac:dyDescent="0.45">
      <c r="A46" s="79"/>
      <c r="B46" s="80"/>
      <c r="C46" s="80"/>
      <c r="D46" s="80"/>
      <c r="E46" s="88"/>
      <c r="F46" s="88"/>
      <c r="G46" s="82" t="s">
        <v>21</v>
      </c>
      <c r="H46" s="83" t="s">
        <v>12</v>
      </c>
      <c r="I46" s="84"/>
      <c r="J46" s="84"/>
      <c r="K46" s="85"/>
      <c r="L46" s="49">
        <f ca="1">IFERROR(__xludf.DUMMYFUNCTION("IMPORTRANGE(""https://docs.google.com/spreadsheets/d/1Yj_ptqi66GCucihVvJfMjLAmec39IyEx_6qawtMGysU/edit?usp=sharing"",""สบก!M34"")"),751100)</f>
        <v>751100</v>
      </c>
      <c r="M46" s="41"/>
      <c r="N46" s="38"/>
      <c r="O46" s="38"/>
      <c r="P46" s="38"/>
    </row>
    <row r="47" spans="1:16" ht="21.75" customHeight="1" x14ac:dyDescent="0.45">
      <c r="A47" s="79"/>
      <c r="B47" s="80"/>
      <c r="C47" s="80"/>
      <c r="D47" s="80"/>
      <c r="E47" s="88"/>
      <c r="F47" s="88"/>
      <c r="G47" s="82" t="s">
        <v>22</v>
      </c>
      <c r="H47" s="83" t="s">
        <v>12</v>
      </c>
      <c r="I47" s="84"/>
      <c r="J47" s="84"/>
      <c r="K47" s="85"/>
      <c r="L47" s="49">
        <f ca="1">IFERROR(__xludf.DUMMYFUNCTION("IMPORTRANGE(""https://docs.google.com/spreadsheets/d/1Yj_ptqi66GCucihVvJfMjLAmec39IyEx_6qawtMGysU/edit?usp=sharing"",""สบก!N34"")"),0)</f>
        <v>0</v>
      </c>
      <c r="M47" s="41"/>
      <c r="N47" s="38"/>
      <c r="O47" s="38"/>
      <c r="P47" s="38"/>
    </row>
    <row r="48" spans="1:16" ht="21.75" customHeight="1" x14ac:dyDescent="0.45">
      <c r="A48" s="79"/>
      <c r="B48" s="80"/>
      <c r="C48" s="81" t="s">
        <v>16</v>
      </c>
      <c r="D48" s="534" t="s">
        <v>23</v>
      </c>
      <c r="E48" s="530"/>
      <c r="F48" s="88"/>
      <c r="G48" s="82" t="s">
        <v>18</v>
      </c>
      <c r="H48" s="83" t="s">
        <v>12</v>
      </c>
      <c r="I48" s="84"/>
      <c r="J48" s="84"/>
      <c r="K48" s="85"/>
      <c r="L48" s="50">
        <v>0</v>
      </c>
      <c r="M48" s="41"/>
      <c r="N48" s="41"/>
      <c r="O48" s="41"/>
      <c r="P48" s="41"/>
    </row>
    <row r="49" spans="1:16" ht="21.75" customHeight="1" x14ac:dyDescent="0.45">
      <c r="A49" s="90"/>
      <c r="B49" s="91"/>
      <c r="C49" s="91"/>
      <c r="D49" s="91"/>
      <c r="E49" s="92"/>
      <c r="F49" s="92"/>
      <c r="G49" s="93" t="s">
        <v>19</v>
      </c>
      <c r="H49" s="94" t="s">
        <v>12</v>
      </c>
      <c r="I49" s="95"/>
      <c r="J49" s="95"/>
      <c r="K49" s="96"/>
      <c r="L49" s="49">
        <f ca="1">IFERROR(__xludf.DUMMYFUNCTION("IMPORTRANGE(""https://docs.google.com/spreadsheets/d/1Yj_ptqi66GCucihVvJfMjLAmec39IyEx_6qawtMGysU/edit?usp=sharing"",""สบก!O34"")"),26000)</f>
        <v>26000</v>
      </c>
      <c r="M49" s="49">
        <f ca="1">L49</f>
        <v>26000</v>
      </c>
      <c r="N49" s="49">
        <f ca="1">IFERROR(__xludf.DUMMYFUNCTION("IMPORTRANGE(""https://docs.google.com/spreadsheets/d/1Yj_ptqi66GCucihVvJfMjLAmec39IyEx_6qawtMGysU/edit?usp=sharing"",""สบก!S34"")"),26000)</f>
        <v>26000</v>
      </c>
      <c r="O49" s="49">
        <f ca="1">IF(L49&gt;0,N49*100/L49,0)</f>
        <v>100</v>
      </c>
      <c r="P49" s="49">
        <f ca="1">IF(M49&gt;0,N49*100/M49,0)</f>
        <v>100</v>
      </c>
    </row>
    <row r="50" spans="1:16" ht="21.75" customHeight="1" x14ac:dyDescent="0.45">
      <c r="A50" s="97" t="s">
        <v>30</v>
      </c>
      <c r="B50" s="98"/>
      <c r="C50" s="98"/>
      <c r="D50" s="98"/>
      <c r="E50" s="98"/>
      <c r="F50" s="98"/>
      <c r="G50" s="98"/>
      <c r="H50" s="99"/>
      <c r="I50" s="100"/>
      <c r="J50" s="100"/>
      <c r="K50" s="101"/>
      <c r="L50" s="102"/>
      <c r="M50" s="102"/>
      <c r="N50" s="102"/>
      <c r="O50" s="101"/>
      <c r="P50" s="101"/>
    </row>
    <row r="51" spans="1:16" ht="21.75" customHeight="1" x14ac:dyDescent="0.45">
      <c r="A51" s="103"/>
      <c r="B51" s="104" t="s">
        <v>31</v>
      </c>
      <c r="C51" s="104"/>
      <c r="D51" s="104"/>
      <c r="E51" s="104"/>
      <c r="F51" s="104"/>
      <c r="G51" s="104"/>
      <c r="H51" s="105"/>
      <c r="I51" s="106"/>
      <c r="J51" s="106"/>
      <c r="K51" s="107"/>
      <c r="L51" s="108"/>
      <c r="M51" s="108"/>
      <c r="N51" s="108"/>
      <c r="O51" s="107"/>
      <c r="P51" s="107"/>
    </row>
    <row r="52" spans="1:16" ht="21.75" customHeight="1" x14ac:dyDescent="0.45">
      <c r="A52" s="109"/>
      <c r="B52" s="535" t="s">
        <v>32</v>
      </c>
      <c r="C52" s="530"/>
      <c r="D52" s="530"/>
      <c r="E52" s="530"/>
      <c r="F52" s="530"/>
      <c r="G52" s="530"/>
      <c r="H52" s="110"/>
      <c r="I52" s="111"/>
      <c r="J52" s="111"/>
      <c r="K52" s="112"/>
      <c r="L52" s="113"/>
      <c r="M52" s="113"/>
      <c r="N52" s="113"/>
      <c r="O52" s="112"/>
      <c r="P52" s="112"/>
    </row>
    <row r="53" spans="1:16" ht="21.75" customHeight="1" x14ac:dyDescent="0.45">
      <c r="A53" s="114"/>
      <c r="B53" s="115"/>
      <c r="C53" s="116" t="s">
        <v>16</v>
      </c>
      <c r="D53" s="536" t="s">
        <v>17</v>
      </c>
      <c r="E53" s="530"/>
      <c r="F53" s="530"/>
      <c r="G53" s="530"/>
      <c r="H53" s="117" t="s">
        <v>12</v>
      </c>
      <c r="I53" s="118"/>
      <c r="J53" s="118"/>
      <c r="K53" s="119"/>
      <c r="L53" s="120">
        <f t="shared" ref="L53:N53" ca="1" si="39">L54+L55</f>
        <v>450000</v>
      </c>
      <c r="M53" s="120">
        <f t="shared" ca="1" si="39"/>
        <v>325206</v>
      </c>
      <c r="N53" s="120">
        <f t="shared" ca="1" si="39"/>
        <v>268523</v>
      </c>
      <c r="O53" s="119">
        <f t="shared" ref="O53:O55" ca="1" si="40">IF(L53&gt;0,N53*100/L53,0)</f>
        <v>59.671777777777777</v>
      </c>
      <c r="P53" s="119">
        <f t="shared" ref="P53:P55" ca="1" si="41">IF(M53&gt;0,N53*100/M53,0)</f>
        <v>82.570124782445589</v>
      </c>
    </row>
    <row r="54" spans="1:16" ht="21.75" customHeight="1" x14ac:dyDescent="0.45">
      <c r="A54" s="114"/>
      <c r="B54" s="115"/>
      <c r="C54" s="115"/>
      <c r="D54" s="115"/>
      <c r="E54" s="115"/>
      <c r="F54" s="115"/>
      <c r="G54" s="116" t="s">
        <v>18</v>
      </c>
      <c r="H54" s="117" t="s">
        <v>12</v>
      </c>
      <c r="I54" s="118"/>
      <c r="J54" s="118"/>
      <c r="K54" s="119"/>
      <c r="L54" s="120">
        <f t="shared" ref="L54:N54" si="42">L56+L60</f>
        <v>0</v>
      </c>
      <c r="M54" s="120">
        <f t="shared" si="42"/>
        <v>0</v>
      </c>
      <c r="N54" s="120">
        <f t="shared" si="42"/>
        <v>0</v>
      </c>
      <c r="O54" s="119">
        <f t="shared" si="40"/>
        <v>0</v>
      </c>
      <c r="P54" s="119">
        <f t="shared" si="41"/>
        <v>0</v>
      </c>
    </row>
    <row r="55" spans="1:16" ht="21.75" customHeight="1" x14ac:dyDescent="0.45">
      <c r="A55" s="114"/>
      <c r="B55" s="115"/>
      <c r="C55" s="115"/>
      <c r="D55" s="115"/>
      <c r="E55" s="115"/>
      <c r="F55" s="115"/>
      <c r="G55" s="116" t="s">
        <v>19</v>
      </c>
      <c r="H55" s="117" t="s">
        <v>12</v>
      </c>
      <c r="I55" s="118"/>
      <c r="J55" s="118"/>
      <c r="K55" s="119"/>
      <c r="L55" s="120">
        <f t="shared" ref="L55:N55" ca="1" si="43">L57+L61</f>
        <v>450000</v>
      </c>
      <c r="M55" s="120">
        <f t="shared" ca="1" si="43"/>
        <v>325206</v>
      </c>
      <c r="N55" s="120">
        <f t="shared" ca="1" si="43"/>
        <v>268523</v>
      </c>
      <c r="O55" s="119">
        <f t="shared" ca="1" si="40"/>
        <v>59.671777777777777</v>
      </c>
      <c r="P55" s="119">
        <f t="shared" ca="1" si="41"/>
        <v>82.570124782445589</v>
      </c>
    </row>
    <row r="56" spans="1:16" ht="21.75" customHeight="1" x14ac:dyDescent="0.45">
      <c r="A56" s="79"/>
      <c r="B56" s="80"/>
      <c r="C56" s="81" t="s">
        <v>16</v>
      </c>
      <c r="D56" s="534" t="s">
        <v>20</v>
      </c>
      <c r="E56" s="530"/>
      <c r="F56" s="530"/>
      <c r="G56" s="82" t="s">
        <v>18</v>
      </c>
      <c r="H56" s="83" t="s">
        <v>12</v>
      </c>
      <c r="I56" s="84"/>
      <c r="J56" s="84"/>
      <c r="K56" s="85"/>
      <c r="L56" s="511">
        <v>0</v>
      </c>
      <c r="M56" s="510"/>
      <c r="N56" s="511"/>
      <c r="O56" s="511"/>
      <c r="P56" s="511"/>
    </row>
    <row r="57" spans="1:16" ht="21.75" customHeight="1" x14ac:dyDescent="0.45">
      <c r="A57" s="79"/>
      <c r="B57" s="80"/>
      <c r="C57" s="80"/>
      <c r="D57" s="80"/>
      <c r="E57" s="88"/>
      <c r="F57" s="89"/>
      <c r="G57" s="82" t="s">
        <v>19</v>
      </c>
      <c r="H57" s="83" t="s">
        <v>12</v>
      </c>
      <c r="I57" s="84"/>
      <c r="J57" s="84"/>
      <c r="K57" s="85"/>
      <c r="L57" s="38">
        <f ca="1">L58+L59</f>
        <v>450000</v>
      </c>
      <c r="M57" s="49">
        <f ca="1">IFERROR(__xludf.DUMMYFUNCTION("IMPORTRANGE(""https://docs.google.com/spreadsheets/d/1Yj_ptqi66GCucihVvJfMjLAmec39IyEx_6qawtMGysU/edit?usp=sharing"",""สบก!Z34"")"),325206)</f>
        <v>325206</v>
      </c>
      <c r="N57" s="49">
        <f ca="1">IFERROR(__xludf.DUMMYFUNCTION("IMPORTRANGE(""https://docs.google.com/spreadsheets/d/1Yj_ptqi66GCucihVvJfMjLAmec39IyEx_6qawtMGysU/edit?usp=sharing"",""สบก!AA34"")"),268523)</f>
        <v>268523</v>
      </c>
      <c r="O57" s="38">
        <f ca="1">IF(L57&gt;0,N57*100/L57,0)</f>
        <v>59.671777777777777</v>
      </c>
      <c r="P57" s="38">
        <f ca="1">IF(M57&gt;0,N57*100/M57,0)</f>
        <v>82.570124782445589</v>
      </c>
    </row>
    <row r="58" spans="1:16" ht="21.75" customHeight="1" x14ac:dyDescent="0.45">
      <c r="A58" s="79"/>
      <c r="B58" s="80"/>
      <c r="C58" s="80"/>
      <c r="D58" s="80"/>
      <c r="E58" s="88"/>
      <c r="F58" s="88"/>
      <c r="G58" s="82" t="s">
        <v>21</v>
      </c>
      <c r="H58" s="83" t="s">
        <v>12</v>
      </c>
      <c r="I58" s="84"/>
      <c r="J58" s="84"/>
      <c r="K58" s="85"/>
      <c r="L58" s="49">
        <f ca="1">IFERROR(__xludf.DUMMYFUNCTION("IMPORTRANGE(""https://docs.google.com/spreadsheets/d/1Yj_ptqi66GCucihVvJfMjLAmec39IyEx_6qawtMGysU/edit?usp=sharing"",""สบก!V34"")"),450000)</f>
        <v>450000</v>
      </c>
      <c r="M58" s="41"/>
      <c r="N58" s="38"/>
      <c r="O58" s="38"/>
      <c r="P58" s="38"/>
    </row>
    <row r="59" spans="1:16" ht="21.75" customHeight="1" x14ac:dyDescent="0.45">
      <c r="A59" s="79"/>
      <c r="B59" s="80"/>
      <c r="C59" s="80"/>
      <c r="D59" s="80"/>
      <c r="E59" s="88"/>
      <c r="F59" s="88"/>
      <c r="G59" s="82" t="s">
        <v>22</v>
      </c>
      <c r="H59" s="83" t="s">
        <v>12</v>
      </c>
      <c r="I59" s="84"/>
      <c r="J59" s="84"/>
      <c r="K59" s="85"/>
      <c r="L59" s="49">
        <f ca="1">IFERROR(__xludf.DUMMYFUNCTION("IMPORTRANGE(""https://docs.google.com/spreadsheets/d/1Yj_ptqi66GCucihVvJfMjLAmec39IyEx_6qawtMGysU/edit?usp=sharing"",""สบก!W34"")"),0)</f>
        <v>0</v>
      </c>
      <c r="M59" s="41"/>
      <c r="N59" s="38"/>
      <c r="O59" s="38"/>
      <c r="P59" s="38"/>
    </row>
    <row r="60" spans="1:16" ht="21.75" customHeight="1" x14ac:dyDescent="0.45">
      <c r="A60" s="79"/>
      <c r="B60" s="80"/>
      <c r="C60" s="81" t="s">
        <v>16</v>
      </c>
      <c r="D60" s="534" t="s">
        <v>23</v>
      </c>
      <c r="E60" s="530"/>
      <c r="F60" s="88"/>
      <c r="G60" s="82" t="s">
        <v>18</v>
      </c>
      <c r="H60" s="83" t="s">
        <v>12</v>
      </c>
      <c r="I60" s="84"/>
      <c r="J60" s="84"/>
      <c r="K60" s="85"/>
      <c r="L60" s="50">
        <v>0</v>
      </c>
      <c r="M60" s="41"/>
      <c r="N60" s="41"/>
      <c r="O60" s="41"/>
      <c r="P60" s="41"/>
    </row>
    <row r="61" spans="1:16" ht="21.75" customHeight="1" x14ac:dyDescent="0.45">
      <c r="A61" s="90"/>
      <c r="B61" s="91"/>
      <c r="C61" s="91"/>
      <c r="D61" s="91"/>
      <c r="E61" s="92"/>
      <c r="F61" s="92"/>
      <c r="G61" s="93" t="s">
        <v>19</v>
      </c>
      <c r="H61" s="94" t="s">
        <v>12</v>
      </c>
      <c r="I61" s="95"/>
      <c r="J61" s="95"/>
      <c r="K61" s="96"/>
      <c r="L61" s="49">
        <f ca="1">IFERROR(__xludf.DUMMYFUNCTION("IMPORTRANGE(""https://docs.google.com/spreadsheets/d/1Yj_ptqi66GCucihVvJfMjLAmec39IyEx_6qawtMGysU/edit?usp=sharing"",""สบก!X34"")"),0)</f>
        <v>0</v>
      </c>
      <c r="M61" s="49"/>
      <c r="N61" s="49">
        <f ca="1">IFERROR(__xludf.DUMMYFUNCTION("IMPORTRANGE(""https://docs.google.com/spreadsheets/d/1Yj_ptqi66GCucihVvJfMjLAmec39IyEx_6qawtMGysU/edit?usp=sharing"",""สบก!AB34"")"),0)</f>
        <v>0</v>
      </c>
      <c r="O61" s="49">
        <f ca="1">IF(L61&gt;0,N61*100/L61,0)</f>
        <v>0</v>
      </c>
      <c r="P61" s="49"/>
    </row>
    <row r="62" spans="1:16" ht="21.75" customHeight="1" x14ac:dyDescent="0.3">
      <c r="A62" s="121" t="s">
        <v>33</v>
      </c>
      <c r="B62" s="122"/>
      <c r="C62" s="122"/>
      <c r="D62" s="122"/>
      <c r="E62" s="123"/>
      <c r="F62" s="123"/>
      <c r="G62" s="123"/>
      <c r="H62" s="124"/>
      <c r="I62" s="125"/>
      <c r="J62" s="125"/>
      <c r="K62" s="126"/>
      <c r="L62" s="127"/>
      <c r="M62" s="127"/>
      <c r="N62" s="127"/>
      <c r="O62" s="127"/>
      <c r="P62" s="127"/>
    </row>
    <row r="63" spans="1:16" ht="21.75" customHeight="1" x14ac:dyDescent="0.3">
      <c r="A63" s="128" t="s">
        <v>34</v>
      </c>
      <c r="B63" s="129"/>
      <c r="C63" s="130"/>
      <c r="D63" s="129"/>
      <c r="E63" s="131"/>
      <c r="F63" s="131"/>
      <c r="G63" s="131"/>
      <c r="H63" s="132"/>
      <c r="I63" s="133"/>
      <c r="J63" s="133"/>
      <c r="K63" s="134"/>
      <c r="L63" s="135"/>
      <c r="M63" s="135"/>
      <c r="N63" s="135"/>
      <c r="O63" s="136"/>
      <c r="P63" s="136"/>
    </row>
    <row r="64" spans="1:16" ht="21.75" customHeight="1" x14ac:dyDescent="0.3">
      <c r="A64" s="137"/>
      <c r="B64" s="138" t="s">
        <v>35</v>
      </c>
      <c r="C64" s="138"/>
      <c r="D64" s="139"/>
      <c r="E64" s="138"/>
      <c r="F64" s="138"/>
      <c r="G64" s="138"/>
      <c r="H64" s="140" t="s">
        <v>36</v>
      </c>
      <c r="I64" s="141">
        <f ca="1">IFERROR(__xludf.DUMMYFUNCTION("IMPORTRANGE(""https://docs.google.com/spreadsheets/d/11923uPwbBZFjjGgGUA6NLw09EwE0CqkOc4q9oUmW1yo/edit?usp=sharing"",""สุโขทัย!I9"")"),1)</f>
        <v>1</v>
      </c>
      <c r="J64" s="141">
        <f ca="1">IFERROR(__xludf.DUMMYFUNCTION("IMPORTRANGE(""https://docs.google.com/spreadsheets/d/11923uPwbBZFjjGgGUA6NLw09EwE0CqkOc4q9oUmW1yo/edit?usp=sharing"",""สุโขทัย!J9"")"),1)</f>
        <v>1</v>
      </c>
      <c r="K64" s="142">
        <f t="shared" ref="K64:K65" ca="1" si="44">IF(I64&gt;0,J64*100/I64,0)</f>
        <v>100</v>
      </c>
      <c r="L64" s="143"/>
      <c r="M64" s="143"/>
      <c r="N64" s="144"/>
      <c r="O64" s="142"/>
      <c r="P64" s="142"/>
    </row>
    <row r="65" spans="1:16" ht="21.75" customHeight="1" x14ac:dyDescent="0.3">
      <c r="A65" s="137"/>
      <c r="B65" s="138"/>
      <c r="C65" s="138"/>
      <c r="D65" s="139"/>
      <c r="E65" s="138"/>
      <c r="F65" s="138"/>
      <c r="G65" s="138"/>
      <c r="H65" s="140" t="s">
        <v>37</v>
      </c>
      <c r="I65" s="141">
        <f ca="1">IFERROR(__xludf.DUMMYFUNCTION("IMPORTRANGE(""https://docs.google.com/spreadsheets/d/11923uPwbBZFjjGgGUA6NLw09EwE0CqkOc4q9oUmW1yo/edit?usp=sharing"",""สุโขทัย!I10"")"),75)</f>
        <v>75</v>
      </c>
      <c r="J65" s="141">
        <f ca="1">IFERROR(__xludf.DUMMYFUNCTION("IMPORTRANGE(""https://docs.google.com/spreadsheets/d/11923uPwbBZFjjGgGUA6NLw09EwE0CqkOc4q9oUmW1yo/edit?usp=sharing"",""สุโขทัย!J10"")"),75)</f>
        <v>75</v>
      </c>
      <c r="K65" s="142">
        <f t="shared" ca="1" si="44"/>
        <v>100</v>
      </c>
      <c r="L65" s="144"/>
      <c r="M65" s="144"/>
      <c r="N65" s="144"/>
      <c r="O65" s="142"/>
      <c r="P65" s="142"/>
    </row>
    <row r="66" spans="1:16" ht="21.75" customHeight="1" x14ac:dyDescent="0.45">
      <c r="A66" s="145"/>
      <c r="B66" s="146"/>
      <c r="C66" s="147" t="s">
        <v>16</v>
      </c>
      <c r="D66" s="537" t="s">
        <v>17</v>
      </c>
      <c r="E66" s="528"/>
      <c r="F66" s="528"/>
      <c r="G66" s="528"/>
      <c r="H66" s="148" t="s">
        <v>12</v>
      </c>
      <c r="I66" s="149"/>
      <c r="J66" s="149"/>
      <c r="K66" s="150"/>
      <c r="L66" s="151">
        <f t="shared" ref="L66:N66" ca="1" si="45">L67+L68</f>
        <v>956800</v>
      </c>
      <c r="M66" s="151">
        <f t="shared" ca="1" si="45"/>
        <v>590020</v>
      </c>
      <c r="N66" s="151">
        <f t="shared" ca="1" si="45"/>
        <v>481247</v>
      </c>
      <c r="O66" s="150">
        <f t="shared" ref="O66:O68" ca="1" si="46">IF(L66&gt;0,N66*100/L66,0)</f>
        <v>50.297554347826086</v>
      </c>
      <c r="P66" s="150">
        <f t="shared" ref="P66:P68" ca="1" si="47">IF(M66&gt;0,N66*100/M66,0)</f>
        <v>81.564523236500463</v>
      </c>
    </row>
    <row r="67" spans="1:16" ht="21.75" customHeight="1" x14ac:dyDescent="0.45">
      <c r="A67" s="152"/>
      <c r="B67" s="32"/>
      <c r="C67" s="32"/>
      <c r="D67" s="32"/>
      <c r="E67" s="32"/>
      <c r="F67" s="32"/>
      <c r="G67" s="33" t="s">
        <v>18</v>
      </c>
      <c r="H67" s="153" t="s">
        <v>12</v>
      </c>
      <c r="I67" s="154"/>
      <c r="J67" s="154"/>
      <c r="K67" s="155"/>
      <c r="L67" s="87">
        <f t="shared" ref="L67:N67" si="48">L69+L73</f>
        <v>0</v>
      </c>
      <c r="M67" s="87">
        <f t="shared" si="48"/>
        <v>0</v>
      </c>
      <c r="N67" s="87">
        <f t="shared" si="48"/>
        <v>0</v>
      </c>
      <c r="O67" s="155">
        <f t="shared" si="46"/>
        <v>0</v>
      </c>
      <c r="P67" s="155">
        <f t="shared" si="47"/>
        <v>0</v>
      </c>
    </row>
    <row r="68" spans="1:16" ht="21.75" customHeight="1" x14ac:dyDescent="0.45">
      <c r="A68" s="152"/>
      <c r="B68" s="32"/>
      <c r="C68" s="32"/>
      <c r="D68" s="32"/>
      <c r="E68" s="32"/>
      <c r="F68" s="32"/>
      <c r="G68" s="33" t="s">
        <v>19</v>
      </c>
      <c r="H68" s="153" t="s">
        <v>12</v>
      </c>
      <c r="I68" s="154"/>
      <c r="J68" s="154"/>
      <c r="K68" s="155"/>
      <c r="L68" s="87">
        <f t="shared" ref="L68:N68" ca="1" si="49">L70+L74</f>
        <v>956800</v>
      </c>
      <c r="M68" s="87">
        <f t="shared" ca="1" si="49"/>
        <v>590020</v>
      </c>
      <c r="N68" s="87">
        <f t="shared" ca="1" si="49"/>
        <v>481247</v>
      </c>
      <c r="O68" s="155">
        <f t="shared" ca="1" si="46"/>
        <v>50.297554347826086</v>
      </c>
      <c r="P68" s="155">
        <f t="shared" ca="1" si="47"/>
        <v>81.564523236500463</v>
      </c>
    </row>
    <row r="69" spans="1:16" ht="21.75" customHeight="1" x14ac:dyDescent="0.3">
      <c r="A69" s="156"/>
      <c r="B69" s="157"/>
      <c r="C69" s="157" t="s">
        <v>16</v>
      </c>
      <c r="D69" s="158" t="s">
        <v>38</v>
      </c>
      <c r="E69" s="159"/>
      <c r="F69" s="159"/>
      <c r="G69" s="160" t="s">
        <v>39</v>
      </c>
      <c r="H69" s="161" t="s">
        <v>12</v>
      </c>
      <c r="I69" s="162" t="s">
        <v>40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3">
      <c r="A70" s="156"/>
      <c r="B70" s="157"/>
      <c r="C70" s="157"/>
      <c r="D70" s="166"/>
      <c r="E70" s="159"/>
      <c r="F70" s="159" t="s">
        <v>40</v>
      </c>
      <c r="G70" s="160" t="s">
        <v>41</v>
      </c>
      <c r="H70" s="161" t="s">
        <v>12</v>
      </c>
      <c r="I70" s="162"/>
      <c r="J70" s="162"/>
      <c r="K70" s="163"/>
      <c r="L70" s="167">
        <f ca="1">L71+L72</f>
        <v>806800</v>
      </c>
      <c r="M70" s="167">
        <f ca="1">IFERROR(__xludf.DUMMYFUNCTION("IMPORTRANGE(""https://docs.google.com/spreadsheets/d/1Yj_ptqi66GCucihVvJfMjLAmec39IyEx_6qawtMGysU/edit?usp=sharing"",""สบก!AI34"")"),440020)</f>
        <v>440020</v>
      </c>
      <c r="N70" s="168">
        <f ca="1">IFERROR(__xludf.DUMMYFUNCTION("IMPORTRANGE(""https://docs.google.com/spreadsheets/d/1Yj_ptqi66GCucihVvJfMjLAmec39IyEx_6qawtMGysU/edit?usp=sharing"",""สบก!AJ34"")"),331247)</f>
        <v>331247</v>
      </c>
      <c r="O70" s="168">
        <f ca="1">IF(L70&gt;0,N70*100/L70,0)</f>
        <v>41.056891422905302</v>
      </c>
      <c r="P70" s="168">
        <f ca="1">IF(M70&gt;0,N70*100/M70,0)</f>
        <v>75.279987273305764</v>
      </c>
    </row>
    <row r="71" spans="1:16" ht="21.75" customHeight="1" x14ac:dyDescent="0.3">
      <c r="A71" s="156"/>
      <c r="B71" s="157"/>
      <c r="C71" s="157"/>
      <c r="D71" s="166"/>
      <c r="E71" s="159"/>
      <c r="F71" s="159"/>
      <c r="G71" s="169" t="s">
        <v>42</v>
      </c>
      <c r="H71" s="161" t="s">
        <v>12</v>
      </c>
      <c r="I71" s="162"/>
      <c r="J71" s="162"/>
      <c r="K71" s="163"/>
      <c r="L71" s="167">
        <f ca="1">IFERROR(__xludf.DUMMYFUNCTION("IMPORTRANGE(""https://docs.google.com/spreadsheets/d/1Yj_ptqi66GCucihVvJfMjLAmec39IyEx_6qawtMGysU/edit?usp=sharing"",""สบก!AE34"")"),190800)</f>
        <v>190800</v>
      </c>
      <c r="M71" s="167"/>
      <c r="N71" s="167"/>
      <c r="O71" s="168"/>
      <c r="P71" s="168"/>
    </row>
    <row r="72" spans="1:16" ht="21.75" customHeight="1" x14ac:dyDescent="0.3">
      <c r="A72" s="156"/>
      <c r="B72" s="157"/>
      <c r="C72" s="157"/>
      <c r="D72" s="166"/>
      <c r="E72" s="159"/>
      <c r="F72" s="159"/>
      <c r="G72" s="169" t="s">
        <v>43</v>
      </c>
      <c r="H72" s="161" t="s">
        <v>12</v>
      </c>
      <c r="I72" s="162"/>
      <c r="J72" s="162"/>
      <c r="K72" s="163"/>
      <c r="L72" s="167">
        <f ca="1">IFERROR(__xludf.DUMMYFUNCTION("IMPORTRANGE(""https://docs.google.com/spreadsheets/d/1Yj_ptqi66GCucihVvJfMjLAmec39IyEx_6qawtMGysU/edit?usp=sharing"",""สบก!AF34"")"),616000)</f>
        <v>616000</v>
      </c>
      <c r="M72" s="167"/>
      <c r="N72" s="167"/>
      <c r="O72" s="168"/>
      <c r="P72" s="168"/>
    </row>
    <row r="73" spans="1:16" ht="21.75" customHeight="1" x14ac:dyDescent="0.45">
      <c r="A73" s="170"/>
      <c r="B73" s="80"/>
      <c r="C73" s="81" t="s">
        <v>16</v>
      </c>
      <c r="D73" s="534" t="s">
        <v>23</v>
      </c>
      <c r="E73" s="530"/>
      <c r="F73" s="88"/>
      <c r="G73" s="82" t="s">
        <v>18</v>
      </c>
      <c r="H73" s="171" t="s">
        <v>12</v>
      </c>
      <c r="I73" s="84"/>
      <c r="J73" s="84"/>
      <c r="K73" s="85"/>
      <c r="L73" s="41">
        <v>0</v>
      </c>
      <c r="M73" s="41"/>
      <c r="N73" s="41"/>
      <c r="O73" s="41"/>
      <c r="P73" s="41"/>
    </row>
    <row r="74" spans="1:16" ht="21.75" customHeight="1" x14ac:dyDescent="0.45">
      <c r="A74" s="172"/>
      <c r="B74" s="91"/>
      <c r="C74" s="91"/>
      <c r="D74" s="173"/>
      <c r="E74" s="92"/>
      <c r="F74" s="92"/>
      <c r="G74" s="93" t="s">
        <v>19</v>
      </c>
      <c r="H74" s="174" t="s">
        <v>12</v>
      </c>
      <c r="I74" s="95"/>
      <c r="J74" s="95"/>
      <c r="K74" s="96"/>
      <c r="L74" s="49">
        <f ca="1">IFERROR(__xludf.DUMMYFUNCTION("IMPORTRANGE(""https://docs.google.com/spreadsheets/d/1Yj_ptqi66GCucihVvJfMjLAmec39IyEx_6qawtMGysU/edit?usp=sharing"",""สบก!AG34"")"),150000)</f>
        <v>150000</v>
      </c>
      <c r="M74" s="49">
        <f ca="1">L74</f>
        <v>150000</v>
      </c>
      <c r="N74" s="49">
        <f ca="1">IFERROR(__xludf.DUMMYFUNCTION("IMPORTRANGE(""https://docs.google.com/spreadsheets/d/1Yj_ptqi66GCucihVvJfMjLAmec39IyEx_6qawtMGysU/edit?usp=sharing"",""สบก!AK34"")"),150000)</f>
        <v>150000</v>
      </c>
      <c r="O74" s="49">
        <f ca="1">IF(L74&gt;0,N74*100/L74,0)</f>
        <v>100</v>
      </c>
      <c r="P74" s="49">
        <f ca="1">IF(M74&gt;0,N74*100/M74,0)</f>
        <v>100</v>
      </c>
    </row>
    <row r="75" spans="1:16" ht="21.75" customHeight="1" x14ac:dyDescent="0.3">
      <c r="A75" s="175"/>
      <c r="B75" s="176"/>
      <c r="C75" s="157" t="s">
        <v>16</v>
      </c>
      <c r="D75" s="177" t="s">
        <v>44</v>
      </c>
      <c r="E75" s="178"/>
      <c r="F75" s="178"/>
      <c r="G75" s="179"/>
      <c r="H75" s="180"/>
      <c r="I75" s="162"/>
      <c r="J75" s="162"/>
      <c r="K75" s="163"/>
      <c r="L75" s="181"/>
      <c r="M75" s="181"/>
      <c r="N75" s="181"/>
      <c r="O75" s="181"/>
      <c r="P75" s="181"/>
    </row>
    <row r="76" spans="1:16" ht="21.75" customHeight="1" x14ac:dyDescent="0.3">
      <c r="A76" s="175"/>
      <c r="B76" s="176"/>
      <c r="C76" s="176"/>
      <c r="D76" s="182">
        <v>1</v>
      </c>
      <c r="E76" s="183" t="s">
        <v>45</v>
      </c>
      <c r="F76" s="184"/>
      <c r="G76" s="185"/>
      <c r="H76" s="186"/>
      <c r="I76" s="187"/>
      <c r="J76" s="188">
        <f ca="1">IFERROR(__xludf.DUMMYFUNCTION("IMPORTRANGE(""https://docs.google.com/spreadsheets/d/11923uPwbBZFjjGgGUA6NLw09EwE0CqkOc4q9oUmW1yo/edit?usp=sharing"",""สุโขทัย!J16"")"),0)</f>
        <v>0</v>
      </c>
      <c r="K76" s="163"/>
      <c r="L76" s="181"/>
      <c r="M76" s="181"/>
      <c r="N76" s="181"/>
      <c r="O76" s="181"/>
      <c r="P76" s="181"/>
    </row>
    <row r="77" spans="1:16" ht="21.75" customHeight="1" x14ac:dyDescent="0.3">
      <c r="A77" s="175"/>
      <c r="B77" s="176"/>
      <c r="C77" s="176"/>
      <c r="D77" s="189">
        <v>2</v>
      </c>
      <c r="E77" s="190" t="s">
        <v>46</v>
      </c>
      <c r="F77" s="191"/>
      <c r="G77" s="192"/>
      <c r="H77" s="186"/>
      <c r="I77" s="187"/>
      <c r="J77" s="188">
        <f ca="1">IFERROR(__xludf.DUMMYFUNCTION("IMPORTRANGE(""https://docs.google.com/spreadsheets/d/11923uPwbBZFjjGgGUA6NLw09EwE0CqkOc4q9oUmW1yo/edit?usp=sharing"",""สุโขทัย!J17"")"),1)</f>
        <v>1</v>
      </c>
      <c r="K77" s="163"/>
      <c r="L77" s="181" t="s">
        <v>40</v>
      </c>
      <c r="M77" s="181"/>
      <c r="N77" s="181" t="s">
        <v>40</v>
      </c>
      <c r="O77" s="181"/>
      <c r="P77" s="181"/>
    </row>
    <row r="78" spans="1:16" ht="21.75" customHeight="1" x14ac:dyDescent="0.3">
      <c r="A78" s="175"/>
      <c r="B78" s="176"/>
      <c r="C78" s="176"/>
      <c r="D78" s="193"/>
      <c r="E78" s="194" t="s">
        <v>47</v>
      </c>
      <c r="F78" s="195"/>
      <c r="G78" s="196"/>
      <c r="H78" s="186"/>
      <c r="I78" s="187"/>
      <c r="J78" s="188">
        <f ca="1">IFERROR(__xludf.DUMMYFUNCTION("IMPORTRANGE(""https://docs.google.com/spreadsheets/d/11923uPwbBZFjjGgGUA6NLw09EwE0CqkOc4q9oUmW1yo/edit?usp=sharing"",""สุโขทัย!J18"")"),1)</f>
        <v>1</v>
      </c>
      <c r="K78" s="163"/>
      <c r="L78" s="181"/>
      <c r="M78" s="181"/>
      <c r="N78" s="181"/>
      <c r="O78" s="181"/>
      <c r="P78" s="181"/>
    </row>
    <row r="79" spans="1:16" ht="21.75" customHeight="1" x14ac:dyDescent="0.3">
      <c r="A79" s="175"/>
      <c r="B79" s="176"/>
      <c r="C79" s="176"/>
      <c r="D79" s="193"/>
      <c r="E79" s="194" t="s">
        <v>48</v>
      </c>
      <c r="F79" s="195"/>
      <c r="G79" s="196"/>
      <c r="H79" s="186"/>
      <c r="I79" s="187"/>
      <c r="J79" s="197">
        <f ca="1">IFERROR(__xludf.DUMMYFUNCTION("IMPORTRANGE(""https://docs.google.com/spreadsheets/d/11923uPwbBZFjjGgGUA6NLw09EwE0CqkOc4q9oUmW1yo/edit?usp=sharing"",""สุโขทัย!J19"")"),1)</f>
        <v>1</v>
      </c>
      <c r="K79" s="163"/>
      <c r="L79" s="181"/>
      <c r="M79" s="181"/>
      <c r="N79" s="181"/>
      <c r="O79" s="181"/>
      <c r="P79" s="181"/>
    </row>
    <row r="80" spans="1:16" ht="21.75" customHeight="1" x14ac:dyDescent="0.3">
      <c r="A80" s="175"/>
      <c r="B80" s="176"/>
      <c r="C80" s="176"/>
      <c r="D80" s="193"/>
      <c r="E80" s="198"/>
      <c r="F80" s="194" t="s">
        <v>49</v>
      </c>
      <c r="G80" s="195"/>
      <c r="H80" s="199" t="s">
        <v>36</v>
      </c>
      <c r="I80" s="200">
        <f ca="1">IFERROR(__xludf.DUMMYFUNCTION("IMPORTRANGE(""https://docs.google.com/spreadsheets/d/11923uPwbBZFjjGgGUA6NLw09EwE0CqkOc4q9oUmW1yo/edit?usp=sharing"",""สุโขทัย!I20"")"),1)</f>
        <v>1</v>
      </c>
      <c r="J80" s="200">
        <f ca="1">IFERROR(__xludf.DUMMYFUNCTION("IMPORTRANGE(""https://docs.google.com/spreadsheets/d/11923uPwbBZFjjGgGUA6NLw09EwE0CqkOc4q9oUmW1yo/edit?usp=sharing"",""สุโขทัย!J20"")"),1)</f>
        <v>1</v>
      </c>
      <c r="K80" s="201">
        <f t="shared" ref="K80:K88" ca="1" si="50">IF(I80&gt;0,J80*100/I80,0)</f>
        <v>100</v>
      </c>
      <c r="L80" s="181"/>
      <c r="M80" s="181"/>
      <c r="N80" s="181"/>
      <c r="O80" s="181"/>
      <c r="P80" s="181"/>
    </row>
    <row r="81" spans="1:16" ht="21.75" customHeight="1" x14ac:dyDescent="0.3">
      <c r="A81" s="175"/>
      <c r="B81" s="176"/>
      <c r="C81" s="176"/>
      <c r="D81" s="193"/>
      <c r="E81" s="198"/>
      <c r="F81" s="195"/>
      <c r="G81" s="196"/>
      <c r="H81" s="199" t="s">
        <v>37</v>
      </c>
      <c r="I81" s="200">
        <f ca="1">IFERROR(__xludf.DUMMYFUNCTION("IMPORTRANGE(""https://docs.google.com/spreadsheets/d/11923uPwbBZFjjGgGUA6NLw09EwE0CqkOc4q9oUmW1yo/edit?usp=sharing"",""สุโขทัย!I21"")"),75)</f>
        <v>75</v>
      </c>
      <c r="J81" s="200">
        <f ca="1">IFERROR(__xludf.DUMMYFUNCTION("IMPORTRANGE(""https://docs.google.com/spreadsheets/d/11923uPwbBZFjjGgGUA6NLw09EwE0CqkOc4q9oUmW1yo/edit?usp=sharing"",""สุโขทัย!J21"")"),75)</f>
        <v>75</v>
      </c>
      <c r="K81" s="201">
        <f t="shared" ca="1" si="50"/>
        <v>100</v>
      </c>
      <c r="L81" s="181"/>
      <c r="M81" s="181"/>
      <c r="N81" s="181"/>
      <c r="O81" s="181"/>
      <c r="P81" s="181"/>
    </row>
    <row r="82" spans="1:16" ht="21.75" customHeight="1" x14ac:dyDescent="0.3">
      <c r="A82" s="175"/>
      <c r="B82" s="176"/>
      <c r="C82" s="176"/>
      <c r="D82" s="193"/>
      <c r="E82" s="198"/>
      <c r="F82" s="195"/>
      <c r="G82" s="195" t="s">
        <v>50</v>
      </c>
      <c r="H82" s="180" t="s">
        <v>36</v>
      </c>
      <c r="I82" s="202">
        <f ca="1">IFERROR(__xludf.DUMMYFUNCTION("IMPORTRANGE(""https://docs.google.com/spreadsheets/d/11923uPwbBZFjjGgGUA6NLw09EwE0CqkOc4q9oUmW1yo/edit?usp=sharing"",""สุโขทัย!I22"")"),0)</f>
        <v>0</v>
      </c>
      <c r="J82" s="203">
        <f ca="1">IFERROR(__xludf.DUMMYFUNCTION("IMPORTRANGE(""https://docs.google.com/spreadsheets/d/11923uPwbBZFjjGgGUA6NLw09EwE0CqkOc4q9oUmW1yo/edit?usp=sharing"",""สุโขทัย!J22"")"),0)</f>
        <v>0</v>
      </c>
      <c r="K82" s="163">
        <f t="shared" ca="1" si="50"/>
        <v>0</v>
      </c>
      <c r="L82" s="181"/>
      <c r="M82" s="181"/>
      <c r="N82" s="181"/>
      <c r="O82" s="181"/>
      <c r="P82" s="181"/>
    </row>
    <row r="83" spans="1:16" ht="21.75" customHeight="1" x14ac:dyDescent="0.3">
      <c r="A83" s="175"/>
      <c r="B83" s="176"/>
      <c r="C83" s="176"/>
      <c r="D83" s="193"/>
      <c r="E83" s="198"/>
      <c r="F83" s="195"/>
      <c r="G83" s="196"/>
      <c r="H83" s="180" t="s">
        <v>37</v>
      </c>
      <c r="I83" s="202">
        <f ca="1">IFERROR(__xludf.DUMMYFUNCTION("IMPORTRANGE(""https://docs.google.com/spreadsheets/d/11923uPwbBZFjjGgGUA6NLw09EwE0CqkOc4q9oUmW1yo/edit?usp=sharing"",""สุโขทัย!I23"")"),0)</f>
        <v>0</v>
      </c>
      <c r="J83" s="203">
        <f ca="1">IFERROR(__xludf.DUMMYFUNCTION("IMPORTRANGE(""https://docs.google.com/spreadsheets/d/11923uPwbBZFjjGgGUA6NLw09EwE0CqkOc4q9oUmW1yo/edit?usp=sharing"",""สุโขทัย!J23"")"),0)</f>
        <v>0</v>
      </c>
      <c r="K83" s="163">
        <f t="shared" ca="1" si="50"/>
        <v>0</v>
      </c>
      <c r="L83" s="181"/>
      <c r="M83" s="181"/>
      <c r="N83" s="181"/>
      <c r="O83" s="181"/>
      <c r="P83" s="181"/>
    </row>
    <row r="84" spans="1:16" ht="21.75" customHeight="1" x14ac:dyDescent="0.3">
      <c r="A84" s="175"/>
      <c r="B84" s="176"/>
      <c r="C84" s="176"/>
      <c r="D84" s="193"/>
      <c r="E84" s="198"/>
      <c r="F84" s="195"/>
      <c r="G84" s="195" t="s">
        <v>51</v>
      </c>
      <c r="H84" s="180" t="s">
        <v>36</v>
      </c>
      <c r="I84" s="202">
        <f ca="1">IFERROR(__xludf.DUMMYFUNCTION("IMPORTRANGE(""https://docs.google.com/spreadsheets/d/11923uPwbBZFjjGgGUA6NLw09EwE0CqkOc4q9oUmW1yo/edit?usp=sharing"",""สุโขทัย!I24"")"),1)</f>
        <v>1</v>
      </c>
      <c r="J84" s="188">
        <f ca="1">IFERROR(__xludf.DUMMYFUNCTION("IMPORTRANGE(""https://docs.google.com/spreadsheets/d/11923uPwbBZFjjGgGUA6NLw09EwE0CqkOc4q9oUmW1yo/edit?usp=sharing"",""สุโขทัย!J24"")"),1)</f>
        <v>1</v>
      </c>
      <c r="K84" s="163">
        <f t="shared" ca="1" si="50"/>
        <v>100</v>
      </c>
      <c r="L84" s="181"/>
      <c r="M84" s="181"/>
      <c r="N84" s="181"/>
      <c r="O84" s="181"/>
      <c r="P84" s="181"/>
    </row>
    <row r="85" spans="1:16" ht="21.75" customHeight="1" x14ac:dyDescent="0.3">
      <c r="A85" s="175"/>
      <c r="B85" s="176"/>
      <c r="C85" s="176"/>
      <c r="D85" s="193"/>
      <c r="E85" s="198"/>
      <c r="F85" s="195"/>
      <c r="G85" s="196"/>
      <c r="H85" s="180" t="s">
        <v>37</v>
      </c>
      <c r="I85" s="202">
        <f ca="1">IFERROR(__xludf.DUMMYFUNCTION("IMPORTRANGE(""https://docs.google.com/spreadsheets/d/11923uPwbBZFjjGgGUA6NLw09EwE0CqkOc4q9oUmW1yo/edit?usp=sharing"",""สุโขทัย!I25"")"),75)</f>
        <v>75</v>
      </c>
      <c r="J85" s="188">
        <f ca="1">IFERROR(__xludf.DUMMYFUNCTION("IMPORTRANGE(""https://docs.google.com/spreadsheets/d/11923uPwbBZFjjGgGUA6NLw09EwE0CqkOc4q9oUmW1yo/edit?usp=sharing"",""สุโขทัย!J25"")"),75)</f>
        <v>75</v>
      </c>
      <c r="K85" s="163">
        <f t="shared" ca="1" si="50"/>
        <v>100</v>
      </c>
      <c r="L85" s="181"/>
      <c r="M85" s="181"/>
      <c r="N85" s="181"/>
      <c r="O85" s="181"/>
      <c r="P85" s="181"/>
    </row>
    <row r="86" spans="1:16" ht="21.75" customHeight="1" x14ac:dyDescent="0.3">
      <c r="A86" s="175"/>
      <c r="B86" s="176"/>
      <c r="C86" s="176"/>
      <c r="D86" s="193"/>
      <c r="E86" s="198"/>
      <c r="F86" s="195"/>
      <c r="G86" s="195" t="s">
        <v>52</v>
      </c>
      <c r="H86" s="180" t="s">
        <v>36</v>
      </c>
      <c r="I86" s="202">
        <f ca="1">IFERROR(__xludf.DUMMYFUNCTION("IMPORTRANGE(""https://docs.google.com/spreadsheets/d/11923uPwbBZFjjGgGUA6NLw09EwE0CqkOc4q9oUmW1yo/edit?usp=sharing"",""สุโขทัย!I26"")"),0)</f>
        <v>0</v>
      </c>
      <c r="J86" s="203">
        <f ca="1">IFERROR(__xludf.DUMMYFUNCTION("IMPORTRANGE(""https://docs.google.com/spreadsheets/d/11923uPwbBZFjjGgGUA6NLw09EwE0CqkOc4q9oUmW1yo/edit?usp=sharing"",""สุโขทัย!J26"")"),0)</f>
        <v>0</v>
      </c>
      <c r="K86" s="163">
        <f t="shared" ca="1" si="50"/>
        <v>0</v>
      </c>
      <c r="L86" s="181"/>
      <c r="M86" s="181"/>
      <c r="N86" s="181"/>
      <c r="O86" s="181"/>
      <c r="P86" s="181"/>
    </row>
    <row r="87" spans="1:16" ht="21.75" customHeight="1" x14ac:dyDescent="0.3">
      <c r="A87" s="175"/>
      <c r="B87" s="176"/>
      <c r="C87" s="176"/>
      <c r="D87" s="193"/>
      <c r="E87" s="198"/>
      <c r="F87" s="195"/>
      <c r="G87" s="196"/>
      <c r="H87" s="180" t="s">
        <v>37</v>
      </c>
      <c r="I87" s="202">
        <f ca="1">IFERROR(__xludf.DUMMYFUNCTION("IMPORTRANGE(""https://docs.google.com/spreadsheets/d/11923uPwbBZFjjGgGUA6NLw09EwE0CqkOc4q9oUmW1yo/edit?usp=sharing"",""สุโขทัย!I27"")"),0)</f>
        <v>0</v>
      </c>
      <c r="J87" s="203">
        <f ca="1">IFERROR(__xludf.DUMMYFUNCTION("IMPORTRANGE(""https://docs.google.com/spreadsheets/d/11923uPwbBZFjjGgGUA6NLw09EwE0CqkOc4q9oUmW1yo/edit?usp=sharing"",""สุโขทัย!J27"")"),0)</f>
        <v>0</v>
      </c>
      <c r="K87" s="163">
        <f t="shared" ca="1" si="50"/>
        <v>0</v>
      </c>
      <c r="L87" s="181"/>
      <c r="M87" s="181"/>
      <c r="N87" s="181"/>
      <c r="O87" s="181"/>
      <c r="P87" s="181"/>
    </row>
    <row r="88" spans="1:16" ht="21.75" customHeight="1" x14ac:dyDescent="0.3">
      <c r="A88" s="175"/>
      <c r="B88" s="176"/>
      <c r="C88" s="176"/>
      <c r="D88" s="193"/>
      <c r="E88" s="198"/>
      <c r="F88" s="204" t="s">
        <v>53</v>
      </c>
      <c r="G88" s="195"/>
      <c r="H88" s="180" t="s">
        <v>37</v>
      </c>
      <c r="I88" s="202">
        <f ca="1">IFERROR(__xludf.DUMMYFUNCTION("IMPORTRANGE(""https://docs.google.com/spreadsheets/d/11923uPwbBZFjjGgGUA6NLw09EwE0CqkOc4q9oUmW1yo/edit?usp=sharing"",""สุโขทัย!I28"")"),0)</f>
        <v>0</v>
      </c>
      <c r="J88" s="203">
        <f ca="1">IFERROR(__xludf.DUMMYFUNCTION("IMPORTRANGE(""https://docs.google.com/spreadsheets/d/11923uPwbBZFjjGgGUA6NLw09EwE0CqkOc4q9oUmW1yo/edit?usp=sharing"",""สุโขทัย!J28"")"),0)</f>
        <v>0</v>
      </c>
      <c r="K88" s="163">
        <f t="shared" ca="1" si="50"/>
        <v>0</v>
      </c>
      <c r="L88" s="181"/>
      <c r="M88" s="181"/>
      <c r="N88" s="181"/>
      <c r="O88" s="181"/>
      <c r="P88" s="181"/>
    </row>
    <row r="89" spans="1:16" ht="21.75" customHeight="1" x14ac:dyDescent="0.3">
      <c r="A89" s="175"/>
      <c r="B89" s="176"/>
      <c r="C89" s="176"/>
      <c r="D89" s="193"/>
      <c r="E89" s="194" t="s">
        <v>54</v>
      </c>
      <c r="F89" s="195"/>
      <c r="G89" s="196"/>
      <c r="H89" s="186"/>
      <c r="I89" s="187"/>
      <c r="J89" s="197">
        <f ca="1">IFERROR(__xludf.DUMMYFUNCTION("IMPORTRANGE(""https://docs.google.com/spreadsheets/d/11923uPwbBZFjjGgGUA6NLw09EwE0CqkOc4q9oUmW1yo/edit?usp=sharing"",""สุโขทัย!J29"")"),0)</f>
        <v>0</v>
      </c>
      <c r="K89" s="163"/>
      <c r="L89" s="181"/>
      <c r="M89" s="181"/>
      <c r="N89" s="181"/>
      <c r="O89" s="181"/>
      <c r="P89" s="181"/>
    </row>
    <row r="90" spans="1:16" ht="21.75" customHeight="1" x14ac:dyDescent="0.3">
      <c r="A90" s="175"/>
      <c r="B90" s="176"/>
      <c r="C90" s="176"/>
      <c r="D90" s="205">
        <v>3</v>
      </c>
      <c r="E90" s="206" t="s">
        <v>55</v>
      </c>
      <c r="F90" s="207"/>
      <c r="G90" s="208"/>
      <c r="H90" s="186"/>
      <c r="I90" s="187"/>
      <c r="J90" s="209">
        <f ca="1">IFERROR(__xludf.DUMMYFUNCTION("IMPORTRANGE(""https://docs.google.com/spreadsheets/d/11923uPwbBZFjjGgGUA6NLw09EwE0CqkOc4q9oUmW1yo/edit?usp=sharing"",""สุโขทัย!J30"")"),0)</f>
        <v>0</v>
      </c>
      <c r="K90" s="163"/>
      <c r="L90" s="181"/>
      <c r="M90" s="181"/>
      <c r="N90" s="181"/>
      <c r="O90" s="181"/>
      <c r="P90" s="181"/>
    </row>
    <row r="91" spans="1:16" ht="21.75" customHeight="1" x14ac:dyDescent="0.3">
      <c r="A91" s="210" t="s">
        <v>56</v>
      </c>
      <c r="B91" s="211"/>
      <c r="C91" s="212"/>
      <c r="D91" s="211"/>
      <c r="E91" s="213"/>
      <c r="F91" s="213"/>
      <c r="G91" s="214"/>
      <c r="H91" s="215"/>
      <c r="I91" s="216"/>
      <c r="J91" s="216"/>
      <c r="K91" s="217"/>
      <c r="L91" s="218"/>
      <c r="M91" s="218"/>
      <c r="N91" s="218"/>
      <c r="O91" s="219"/>
      <c r="P91" s="219"/>
    </row>
    <row r="92" spans="1:16" ht="21.75" customHeight="1" x14ac:dyDescent="0.3">
      <c r="A92" s="137"/>
      <c r="B92" s="138" t="s">
        <v>57</v>
      </c>
      <c r="C92" s="138"/>
      <c r="D92" s="139"/>
      <c r="E92" s="138"/>
      <c r="F92" s="138"/>
      <c r="G92" s="220"/>
      <c r="H92" s="140" t="s">
        <v>37</v>
      </c>
      <c r="I92" s="141">
        <f ca="1">IFERROR(__xludf.DUMMYFUNCTION("IMPORTRANGE(""https://docs.google.com/spreadsheets/d/11923uPwbBZFjjGgGUA6NLw09EwE0CqkOc4q9oUmW1yo/edit?usp=sharing"",""สุโขทัย!I32"")"),0)</f>
        <v>0</v>
      </c>
      <c r="J92" s="141">
        <f ca="1">IFERROR(__xludf.DUMMYFUNCTION("IMPORTRANGE(""https://docs.google.com/spreadsheets/d/11923uPwbBZFjjGgGUA6NLw09EwE0CqkOc4q9oUmW1yo/edit?usp=sharing"",""สุโขทัย!J32"")"),0)</f>
        <v>0</v>
      </c>
      <c r="K92" s="142">
        <f t="shared" ref="K92:K93" ca="1" si="51">IF(I92&gt;0,J92*100/I92,0)</f>
        <v>0</v>
      </c>
      <c r="L92" s="221"/>
      <c r="M92" s="221"/>
      <c r="N92" s="222"/>
      <c r="O92" s="142"/>
      <c r="P92" s="142"/>
    </row>
    <row r="93" spans="1:16" ht="21.75" customHeight="1" x14ac:dyDescent="0.3">
      <c r="A93" s="137"/>
      <c r="B93" s="138"/>
      <c r="C93" s="138"/>
      <c r="D93" s="139" t="s">
        <v>58</v>
      </c>
      <c r="E93" s="138"/>
      <c r="F93" s="138"/>
      <c r="G93" s="220"/>
      <c r="H93" s="140" t="s">
        <v>59</v>
      </c>
      <c r="I93" s="141">
        <f ca="1">IFERROR(__xludf.DUMMYFUNCTION("IMPORTRANGE(""https://docs.google.com/spreadsheets/d/11923uPwbBZFjjGgGUA6NLw09EwE0CqkOc4q9oUmW1yo/edit?usp=sharing"",""สุโขทัย!I33"")"),0)</f>
        <v>0</v>
      </c>
      <c r="J93" s="141">
        <f ca="1">IFERROR(__xludf.DUMMYFUNCTION("IMPORTRANGE(""https://docs.google.com/spreadsheets/d/11923uPwbBZFjjGgGUA6NLw09EwE0CqkOc4q9oUmW1yo/edit?usp=sharing"",""สุโขทัย!J33"")"),0)</f>
        <v>0</v>
      </c>
      <c r="K93" s="142">
        <f t="shared" ca="1" si="51"/>
        <v>0</v>
      </c>
      <c r="L93" s="222"/>
      <c r="M93" s="222"/>
      <c r="N93" s="222"/>
      <c r="O93" s="142"/>
      <c r="P93" s="142"/>
    </row>
    <row r="94" spans="1:16" ht="21.75" customHeight="1" x14ac:dyDescent="0.45">
      <c r="A94" s="145"/>
      <c r="B94" s="146"/>
      <c r="C94" s="147" t="s">
        <v>16</v>
      </c>
      <c r="D94" s="537" t="s">
        <v>17</v>
      </c>
      <c r="E94" s="528"/>
      <c r="F94" s="528"/>
      <c r="G94" s="528"/>
      <c r="H94" s="148" t="s">
        <v>12</v>
      </c>
      <c r="I94" s="162"/>
      <c r="J94" s="162"/>
      <c r="K94" s="163"/>
      <c r="L94" s="151">
        <f t="shared" ref="L94:N94" ca="1" si="52">L95+L96</f>
        <v>0</v>
      </c>
      <c r="M94" s="151">
        <f t="shared" ca="1" si="52"/>
        <v>0</v>
      </c>
      <c r="N94" s="151">
        <f t="shared" ca="1" si="52"/>
        <v>0</v>
      </c>
      <c r="O94" s="150">
        <f t="shared" ref="O94:O96" ca="1" si="53">IF(L94&gt;0,N94*100/L94,0)</f>
        <v>0</v>
      </c>
      <c r="P94" s="150">
        <f t="shared" ref="P94:P96" ca="1" si="54">IF(M94&gt;0,N94*100/M94,0)</f>
        <v>0</v>
      </c>
    </row>
    <row r="95" spans="1:16" ht="21.75" customHeight="1" x14ac:dyDescent="0.45">
      <c r="A95" s="152"/>
      <c r="B95" s="32"/>
      <c r="C95" s="32"/>
      <c r="D95" s="32"/>
      <c r="E95" s="32"/>
      <c r="F95" s="32"/>
      <c r="G95" s="33" t="s">
        <v>18</v>
      </c>
      <c r="H95" s="153" t="s">
        <v>12</v>
      </c>
      <c r="I95" s="162"/>
      <c r="J95" s="162"/>
      <c r="K95" s="163"/>
      <c r="L95" s="87">
        <f t="shared" ref="L95:N95" si="55">L97+L101</f>
        <v>0</v>
      </c>
      <c r="M95" s="87">
        <f t="shared" si="55"/>
        <v>0</v>
      </c>
      <c r="N95" s="87">
        <f t="shared" si="55"/>
        <v>0</v>
      </c>
      <c r="O95" s="155">
        <f t="shared" si="53"/>
        <v>0</v>
      </c>
      <c r="P95" s="155">
        <f t="shared" si="54"/>
        <v>0</v>
      </c>
    </row>
    <row r="96" spans="1:16" ht="21.75" customHeight="1" x14ac:dyDescent="0.45">
      <c r="A96" s="152"/>
      <c r="B96" s="32"/>
      <c r="C96" s="32"/>
      <c r="D96" s="32"/>
      <c r="E96" s="32"/>
      <c r="F96" s="32"/>
      <c r="G96" s="33" t="s">
        <v>19</v>
      </c>
      <c r="H96" s="153" t="s">
        <v>12</v>
      </c>
      <c r="I96" s="162"/>
      <c r="J96" s="162"/>
      <c r="K96" s="163"/>
      <c r="L96" s="87">
        <f t="shared" ref="L96:N96" ca="1" si="56">L98+L102</f>
        <v>0</v>
      </c>
      <c r="M96" s="87">
        <f t="shared" ca="1" si="56"/>
        <v>0</v>
      </c>
      <c r="N96" s="87">
        <f t="shared" ca="1" si="56"/>
        <v>0</v>
      </c>
      <c r="O96" s="155">
        <f t="shared" ca="1" si="53"/>
        <v>0</v>
      </c>
      <c r="P96" s="155">
        <f t="shared" ca="1" si="54"/>
        <v>0</v>
      </c>
    </row>
    <row r="97" spans="1:16" ht="21.75" customHeight="1" x14ac:dyDescent="0.3">
      <c r="A97" s="156"/>
      <c r="B97" s="157"/>
      <c r="C97" s="157" t="s">
        <v>16</v>
      </c>
      <c r="D97" s="158" t="s">
        <v>38</v>
      </c>
      <c r="E97" s="159"/>
      <c r="F97" s="159"/>
      <c r="G97" s="160" t="s">
        <v>39</v>
      </c>
      <c r="H97" s="161" t="s">
        <v>12</v>
      </c>
      <c r="I97" s="162" t="s">
        <v>40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3">
      <c r="A98" s="156"/>
      <c r="B98" s="157"/>
      <c r="C98" s="157"/>
      <c r="D98" s="166"/>
      <c r="E98" s="159"/>
      <c r="F98" s="159" t="s">
        <v>40</v>
      </c>
      <c r="G98" s="160" t="s">
        <v>41</v>
      </c>
      <c r="H98" s="161" t="s">
        <v>12</v>
      </c>
      <c r="I98" s="162"/>
      <c r="J98" s="162"/>
      <c r="K98" s="163"/>
      <c r="L98" s="167">
        <f ca="1">L99+L100</f>
        <v>0</v>
      </c>
      <c r="M98" s="167">
        <f ca="1">IFERROR(__xludf.DUMMYFUNCTION("IMPORTRANGE(""https://docs.google.com/spreadsheets/d/1Yj_ptqi66GCucihVvJfMjLAmec39IyEx_6qawtMGysU/edit?usp=sharing"",""สบก!AR34"")"),0)</f>
        <v>0</v>
      </c>
      <c r="N98" s="168">
        <f ca="1">IFERROR(__xludf.DUMMYFUNCTION("IMPORTRANGE(""https://docs.google.com/spreadsheets/d/1Yj_ptqi66GCucihVvJfMjLAmec39IyEx_6qawtMGysU/edit?usp=sharing"",""สบก!AS34"")"),0)</f>
        <v>0</v>
      </c>
      <c r="O98" s="168">
        <f ca="1">IF(L98&gt;0,N98*100/L98,0)</f>
        <v>0</v>
      </c>
      <c r="P98" s="168">
        <f ca="1">IF(M98&gt;0,N98*100/M98,0)</f>
        <v>0</v>
      </c>
    </row>
    <row r="99" spans="1:16" ht="21.75" customHeight="1" x14ac:dyDescent="0.3">
      <c r="A99" s="156"/>
      <c r="B99" s="157"/>
      <c r="C99" s="157"/>
      <c r="D99" s="166"/>
      <c r="E99" s="159"/>
      <c r="F99" s="159"/>
      <c r="G99" s="169" t="s">
        <v>42</v>
      </c>
      <c r="H99" s="161" t="s">
        <v>12</v>
      </c>
      <c r="I99" s="162"/>
      <c r="J99" s="162"/>
      <c r="K99" s="163"/>
      <c r="L99" s="167">
        <f ca="1">IFERROR(__xludf.DUMMYFUNCTION("IMPORTRANGE(""https://docs.google.com/spreadsheets/d/1Yj_ptqi66GCucihVvJfMjLAmec39IyEx_6qawtMGysU/edit?usp=sharing"",""สบก!AN34"")"),0)</f>
        <v>0</v>
      </c>
      <c r="M99" s="167"/>
      <c r="N99" s="167"/>
      <c r="O99" s="168"/>
      <c r="P99" s="168"/>
    </row>
    <row r="100" spans="1:16" ht="21.75" customHeight="1" x14ac:dyDescent="0.3">
      <c r="A100" s="156"/>
      <c r="B100" s="157"/>
      <c r="C100" s="157"/>
      <c r="D100" s="166"/>
      <c r="E100" s="159"/>
      <c r="F100" s="159"/>
      <c r="G100" s="169" t="s">
        <v>43</v>
      </c>
      <c r="H100" s="161" t="s">
        <v>12</v>
      </c>
      <c r="I100" s="162"/>
      <c r="J100" s="187"/>
      <c r="K100" s="223"/>
      <c r="L100" s="167">
        <f ca="1">IFERROR(__xludf.DUMMYFUNCTION("IMPORTRANGE(""https://docs.google.com/spreadsheets/d/1Yj_ptqi66GCucihVvJfMjLAmec39IyEx_6qawtMGysU/edit?usp=sharing"",""สบก!AO34"")"),0)</f>
        <v>0</v>
      </c>
      <c r="M100" s="167"/>
      <c r="N100" s="167"/>
      <c r="O100" s="168"/>
      <c r="P100" s="168"/>
    </row>
    <row r="101" spans="1:16" ht="21.75" customHeight="1" x14ac:dyDescent="0.45">
      <c r="A101" s="170"/>
      <c r="B101" s="80"/>
      <c r="C101" s="81" t="s">
        <v>16</v>
      </c>
      <c r="D101" s="534" t="s">
        <v>23</v>
      </c>
      <c r="E101" s="530"/>
      <c r="F101" s="88"/>
      <c r="G101" s="82" t="s">
        <v>18</v>
      </c>
      <c r="H101" s="171" t="s">
        <v>12</v>
      </c>
      <c r="I101" s="187"/>
      <c r="J101" s="187"/>
      <c r="K101" s="223"/>
      <c r="L101" s="41">
        <v>0</v>
      </c>
      <c r="M101" s="41"/>
      <c r="N101" s="41"/>
      <c r="O101" s="41"/>
      <c r="P101" s="41"/>
    </row>
    <row r="102" spans="1:16" ht="21.75" customHeight="1" x14ac:dyDescent="0.45">
      <c r="A102" s="172"/>
      <c r="B102" s="91"/>
      <c r="C102" s="91"/>
      <c r="D102" s="173"/>
      <c r="E102" s="92"/>
      <c r="F102" s="92"/>
      <c r="G102" s="93" t="s">
        <v>19</v>
      </c>
      <c r="H102" s="174" t="s">
        <v>12</v>
      </c>
      <c r="I102" s="187"/>
      <c r="J102" s="187"/>
      <c r="K102" s="223"/>
      <c r="L102" s="49">
        <f ca="1">IFERROR(__xludf.DUMMYFUNCTION("IMPORTRANGE(""https://docs.google.com/spreadsheets/d/1Yj_ptqi66GCucihVvJfMjLAmec39IyEx_6qawtMGysU/edit?usp=sharing"",""สบก!AP34"")"),0)</f>
        <v>0</v>
      </c>
      <c r="M102" s="49"/>
      <c r="N102" s="49">
        <f ca="1">IFERROR(__xludf.DUMMYFUNCTION("IMPORTRANGE(""https://docs.google.com/spreadsheets/d/1Yj_ptqi66GCucihVvJfMjLAmec39IyEx_6qawtMGysU/edit?usp=sharing"",""สบก!AT34"")"),0)</f>
        <v>0</v>
      </c>
      <c r="O102" s="49">
        <f ca="1">IF(L102&gt;0,N102*100/L102,0)</f>
        <v>0</v>
      </c>
      <c r="P102" s="49"/>
    </row>
    <row r="103" spans="1:16" ht="21.75" customHeight="1" x14ac:dyDescent="0.3">
      <c r="A103" s="175"/>
      <c r="B103" s="176"/>
      <c r="C103" s="157" t="s">
        <v>16</v>
      </c>
      <c r="D103" s="177" t="s">
        <v>44</v>
      </c>
      <c r="E103" s="178"/>
      <c r="F103" s="178"/>
      <c r="G103" s="179"/>
      <c r="H103" s="180"/>
      <c r="I103" s="162"/>
      <c r="J103" s="187"/>
      <c r="K103" s="223"/>
      <c r="L103" s="168"/>
      <c r="M103" s="168"/>
      <c r="N103" s="168"/>
      <c r="O103" s="181"/>
      <c r="P103" s="181"/>
    </row>
    <row r="104" spans="1:16" ht="21.75" customHeight="1" x14ac:dyDescent="0.3">
      <c r="A104" s="175"/>
      <c r="B104" s="176"/>
      <c r="C104" s="176"/>
      <c r="D104" s="182">
        <v>1</v>
      </c>
      <c r="E104" s="183" t="s">
        <v>45</v>
      </c>
      <c r="F104" s="184"/>
      <c r="G104" s="185"/>
      <c r="H104" s="186"/>
      <c r="I104" s="187"/>
      <c r="J104" s="187">
        <f ca="1">IFERROR(__xludf.DUMMYFUNCTION("IMPORTRANGE(""https://docs.google.com/spreadsheets/d/11923uPwbBZFjjGgGUA6NLw09EwE0CqkOc4q9oUmW1yo/edit?usp=sharing"",""สุโขทัย!J39"")"),0)</f>
        <v>0</v>
      </c>
      <c r="K104" s="223"/>
      <c r="L104" s="168"/>
      <c r="M104" s="168"/>
      <c r="N104" s="168"/>
      <c r="O104" s="181"/>
      <c r="P104" s="181"/>
    </row>
    <row r="105" spans="1:16" ht="21.75" customHeight="1" x14ac:dyDescent="0.3">
      <c r="A105" s="175"/>
      <c r="B105" s="176"/>
      <c r="C105" s="176"/>
      <c r="D105" s="189">
        <v>2</v>
      </c>
      <c r="E105" s="190" t="s">
        <v>46</v>
      </c>
      <c r="F105" s="191"/>
      <c r="G105" s="192"/>
      <c r="H105" s="186"/>
      <c r="I105" s="187"/>
      <c r="J105" s="187">
        <f ca="1">IFERROR(__xludf.DUMMYFUNCTION("IMPORTRANGE(""https://docs.google.com/spreadsheets/d/11923uPwbBZFjjGgGUA6NLw09EwE0CqkOc4q9oUmW1yo/edit?usp=sharing"",""สุโขทัย!J40"")"),0)</f>
        <v>0</v>
      </c>
      <c r="K105" s="223"/>
      <c r="L105" s="168" t="s">
        <v>40</v>
      </c>
      <c r="M105" s="168"/>
      <c r="N105" s="168" t="s">
        <v>40</v>
      </c>
      <c r="O105" s="181"/>
      <c r="P105" s="181"/>
    </row>
    <row r="106" spans="1:16" ht="21.75" customHeight="1" x14ac:dyDescent="0.3">
      <c r="A106" s="175"/>
      <c r="B106" s="176"/>
      <c r="C106" s="176"/>
      <c r="D106" s="193"/>
      <c r="E106" s="194" t="s">
        <v>47</v>
      </c>
      <c r="F106" s="195"/>
      <c r="G106" s="196"/>
      <c r="H106" s="186"/>
      <c r="I106" s="187"/>
      <c r="J106" s="187">
        <f ca="1">IFERROR(__xludf.DUMMYFUNCTION("IMPORTRANGE(""https://docs.google.com/spreadsheets/d/11923uPwbBZFjjGgGUA6NLw09EwE0CqkOc4q9oUmW1yo/edit?usp=sharing"",""สุโขทัย!J41"")"),0)</f>
        <v>0</v>
      </c>
      <c r="K106" s="223"/>
      <c r="L106" s="168"/>
      <c r="M106" s="168"/>
      <c r="N106" s="168"/>
      <c r="O106" s="181"/>
      <c r="P106" s="181"/>
    </row>
    <row r="107" spans="1:16" ht="21.75" customHeight="1" x14ac:dyDescent="0.3">
      <c r="A107" s="175"/>
      <c r="B107" s="176"/>
      <c r="C107" s="176"/>
      <c r="D107" s="193"/>
      <c r="E107" s="194" t="s">
        <v>48</v>
      </c>
      <c r="F107" s="195"/>
      <c r="G107" s="196"/>
      <c r="H107" s="186"/>
      <c r="I107" s="187"/>
      <c r="J107" s="187">
        <f ca="1">IFERROR(__xludf.DUMMYFUNCTION("IMPORTRANGE(""https://docs.google.com/spreadsheets/d/11923uPwbBZFjjGgGUA6NLw09EwE0CqkOc4q9oUmW1yo/edit?usp=sharing"",""สุโขทัย!J42"")"),0)</f>
        <v>0</v>
      </c>
      <c r="K107" s="223"/>
      <c r="L107" s="168"/>
      <c r="M107" s="168"/>
      <c r="N107" s="168"/>
      <c r="O107" s="181"/>
      <c r="P107" s="181"/>
    </row>
    <row r="108" spans="1:16" ht="21.75" customHeight="1" x14ac:dyDescent="0.3">
      <c r="A108" s="175"/>
      <c r="B108" s="176"/>
      <c r="C108" s="176"/>
      <c r="D108" s="193"/>
      <c r="E108" s="195"/>
      <c r="F108" s="195" t="s">
        <v>60</v>
      </c>
      <c r="G108" s="195"/>
      <c r="H108" s="180" t="s">
        <v>61</v>
      </c>
      <c r="I108" s="202">
        <f ca="1">IFERROR(__xludf.DUMMYFUNCTION("IMPORTRANGE(""https://docs.google.com/spreadsheets/d/11923uPwbBZFjjGgGUA6NLw09EwE0CqkOc4q9oUmW1yo/edit?usp=sharing"",""สุโขทัย!I43"")"),0)</f>
        <v>0</v>
      </c>
      <c r="J108" s="203">
        <f ca="1">IFERROR(__xludf.DUMMYFUNCTION("IMPORTRANGE(""https://docs.google.com/spreadsheets/d/11923uPwbBZFjjGgGUA6NLw09EwE0CqkOc4q9oUmW1yo/edit?usp=sharing"",""สุโขทัย!J43"")"),0)</f>
        <v>0</v>
      </c>
      <c r="K108" s="223">
        <f t="shared" ref="K108:K113" ca="1" si="57">IF(I108&gt;0,J108*100/I108,0)</f>
        <v>0</v>
      </c>
      <c r="L108" s="168"/>
      <c r="M108" s="168"/>
      <c r="N108" s="168"/>
      <c r="O108" s="181"/>
      <c r="P108" s="181"/>
    </row>
    <row r="109" spans="1:16" ht="21.75" customHeight="1" x14ac:dyDescent="0.3">
      <c r="A109" s="175"/>
      <c r="B109" s="176"/>
      <c r="C109" s="176"/>
      <c r="D109" s="193"/>
      <c r="E109" s="198"/>
      <c r="F109" s="194" t="s">
        <v>62</v>
      </c>
      <c r="G109" s="195"/>
      <c r="H109" s="180" t="s">
        <v>37</v>
      </c>
      <c r="I109" s="202">
        <f ca="1">IFERROR(__xludf.DUMMYFUNCTION("IMPORTRANGE(""https://docs.google.com/spreadsheets/d/11923uPwbBZFjjGgGUA6NLw09EwE0CqkOc4q9oUmW1yo/edit?usp=sharing"",""สุโขทัย!I44"")"),0)</f>
        <v>0</v>
      </c>
      <c r="J109" s="203">
        <f ca="1">IFERROR(__xludf.DUMMYFUNCTION("IMPORTRANGE(""https://docs.google.com/spreadsheets/d/11923uPwbBZFjjGgGUA6NLw09EwE0CqkOc4q9oUmW1yo/edit?usp=sharing"",""สุโขทัย!J44"")"),0)</f>
        <v>0</v>
      </c>
      <c r="K109" s="223">
        <f t="shared" ca="1" si="57"/>
        <v>0</v>
      </c>
      <c r="L109" s="168"/>
      <c r="M109" s="168"/>
      <c r="N109" s="168"/>
      <c r="O109" s="181"/>
      <c r="P109" s="181"/>
    </row>
    <row r="110" spans="1:16" ht="21.75" customHeight="1" x14ac:dyDescent="0.3">
      <c r="A110" s="175"/>
      <c r="B110" s="176"/>
      <c r="C110" s="176"/>
      <c r="D110" s="193"/>
      <c r="E110" s="198"/>
      <c r="F110" s="195"/>
      <c r="G110" s="224" t="s">
        <v>63</v>
      </c>
      <c r="H110" s="180" t="s">
        <v>37</v>
      </c>
      <c r="I110" s="202">
        <f ca="1">IFERROR(__xludf.DUMMYFUNCTION("IMPORTRANGE(""https://docs.google.com/spreadsheets/d/11923uPwbBZFjjGgGUA6NLw09EwE0CqkOc4q9oUmW1yo/edit?usp=sharing"",""สุโขทัย!I45"")"),0)</f>
        <v>0</v>
      </c>
      <c r="J110" s="203">
        <f ca="1">IFERROR(__xludf.DUMMYFUNCTION("IMPORTRANGE(""https://docs.google.com/spreadsheets/d/11923uPwbBZFjjGgGUA6NLw09EwE0CqkOc4q9oUmW1yo/edit?usp=sharing"",""สุโขทัย!J45"")"),0)</f>
        <v>0</v>
      </c>
      <c r="K110" s="223">
        <f t="shared" ca="1" si="57"/>
        <v>0</v>
      </c>
      <c r="L110" s="168"/>
      <c r="M110" s="168"/>
      <c r="N110" s="168"/>
      <c r="O110" s="181"/>
      <c r="P110" s="181"/>
    </row>
    <row r="111" spans="1:16" ht="21.75" customHeight="1" x14ac:dyDescent="0.3">
      <c r="A111" s="175"/>
      <c r="B111" s="176"/>
      <c r="C111" s="176"/>
      <c r="D111" s="193"/>
      <c r="E111" s="198"/>
      <c r="F111" s="195"/>
      <c r="G111" s="224" t="s">
        <v>64</v>
      </c>
      <c r="H111" s="180" t="s">
        <v>37</v>
      </c>
      <c r="I111" s="202">
        <f ca="1">IFERROR(__xludf.DUMMYFUNCTION("IMPORTRANGE(""https://docs.google.com/spreadsheets/d/11923uPwbBZFjjGgGUA6NLw09EwE0CqkOc4q9oUmW1yo/edit?usp=sharing"",""สุโขทัย!I46"")"),0)</f>
        <v>0</v>
      </c>
      <c r="J111" s="203">
        <f ca="1">IFERROR(__xludf.DUMMYFUNCTION("IMPORTRANGE(""https://docs.google.com/spreadsheets/d/11923uPwbBZFjjGgGUA6NLw09EwE0CqkOc4q9oUmW1yo/edit?usp=sharing"",""สุโขทัย!J46"")"),0)</f>
        <v>0</v>
      </c>
      <c r="K111" s="223">
        <f t="shared" ca="1" si="57"/>
        <v>0</v>
      </c>
      <c r="L111" s="168"/>
      <c r="M111" s="168"/>
      <c r="N111" s="168"/>
      <c r="O111" s="181"/>
      <c r="P111" s="181"/>
    </row>
    <row r="112" spans="1:16" ht="21.75" customHeight="1" x14ac:dyDescent="0.3">
      <c r="A112" s="175"/>
      <c r="B112" s="176"/>
      <c r="C112" s="176"/>
      <c r="D112" s="193"/>
      <c r="E112" s="198"/>
      <c r="F112" s="195"/>
      <c r="G112" s="225" t="s">
        <v>65</v>
      </c>
      <c r="H112" s="180" t="s">
        <v>37</v>
      </c>
      <c r="I112" s="202">
        <f ca="1">IFERROR(__xludf.DUMMYFUNCTION("IMPORTRANGE(""https://docs.google.com/spreadsheets/d/11923uPwbBZFjjGgGUA6NLw09EwE0CqkOc4q9oUmW1yo/edit?usp=sharing"",""สุโขทัย!I47"")"),0)</f>
        <v>0</v>
      </c>
      <c r="J112" s="203">
        <f ca="1">IFERROR(__xludf.DUMMYFUNCTION("IMPORTRANGE(""https://docs.google.com/spreadsheets/d/11923uPwbBZFjjGgGUA6NLw09EwE0CqkOc4q9oUmW1yo/edit?usp=sharing"",""สุโขทัย!J47"")"),0)</f>
        <v>0</v>
      </c>
      <c r="K112" s="223">
        <f t="shared" ca="1" si="57"/>
        <v>0</v>
      </c>
      <c r="L112" s="168"/>
      <c r="M112" s="168"/>
      <c r="N112" s="168"/>
      <c r="O112" s="181"/>
      <c r="P112" s="181"/>
    </row>
    <row r="113" spans="1:16" ht="21.75" customHeight="1" x14ac:dyDescent="0.3">
      <c r="A113" s="175"/>
      <c r="B113" s="176"/>
      <c r="C113" s="176"/>
      <c r="D113" s="193"/>
      <c r="E113" s="198"/>
      <c r="F113" s="195" t="s">
        <v>66</v>
      </c>
      <c r="G113" s="195"/>
      <c r="H113" s="180" t="s">
        <v>59</v>
      </c>
      <c r="I113" s="202">
        <f ca="1">IFERROR(__xludf.DUMMYFUNCTION("IMPORTRANGE(""https://docs.google.com/spreadsheets/d/11923uPwbBZFjjGgGUA6NLw09EwE0CqkOc4q9oUmW1yo/edit?usp=sharing"",""สุโขทัย!I48"")"),0)</f>
        <v>0</v>
      </c>
      <c r="J113" s="203">
        <f ca="1">IFERROR(__xludf.DUMMYFUNCTION("IMPORTRANGE(""https://docs.google.com/spreadsheets/d/11923uPwbBZFjjGgGUA6NLw09EwE0CqkOc4q9oUmW1yo/edit?usp=sharing"",""สุโขทัย!J48"")"),0)</f>
        <v>0</v>
      </c>
      <c r="K113" s="223">
        <f t="shared" ca="1" si="57"/>
        <v>0</v>
      </c>
      <c r="L113" s="168"/>
      <c r="M113" s="168"/>
      <c r="N113" s="168"/>
      <c r="O113" s="181"/>
      <c r="P113" s="181"/>
    </row>
    <row r="114" spans="1:16" ht="21.75" customHeight="1" x14ac:dyDescent="0.3">
      <c r="A114" s="175"/>
      <c r="B114" s="176"/>
      <c r="C114" s="176"/>
      <c r="D114" s="193"/>
      <c r="E114" s="194" t="s">
        <v>54</v>
      </c>
      <c r="F114" s="195"/>
      <c r="G114" s="196"/>
      <c r="H114" s="186"/>
      <c r="I114" s="187"/>
      <c r="J114" s="187">
        <f ca="1">IFERROR(__xludf.DUMMYFUNCTION("IMPORTRANGE(""https://docs.google.com/spreadsheets/d/11923uPwbBZFjjGgGUA6NLw09EwE0CqkOc4q9oUmW1yo/edit?usp=sharing"",""สุโขทัย!J49"")"),0)</f>
        <v>0</v>
      </c>
      <c r="K114" s="223"/>
      <c r="L114" s="168"/>
      <c r="M114" s="168"/>
      <c r="N114" s="168"/>
      <c r="O114" s="181"/>
      <c r="P114" s="181"/>
    </row>
    <row r="115" spans="1:16" ht="21.75" customHeight="1" x14ac:dyDescent="0.3">
      <c r="A115" s="175"/>
      <c r="B115" s="176"/>
      <c r="C115" s="176"/>
      <c r="D115" s="205">
        <v>3</v>
      </c>
      <c r="E115" s="206" t="s">
        <v>55</v>
      </c>
      <c r="F115" s="207"/>
      <c r="G115" s="208"/>
      <c r="H115" s="186"/>
      <c r="I115" s="187"/>
      <c r="J115" s="226">
        <f ca="1">IFERROR(__xludf.DUMMYFUNCTION("IMPORTRANGE(""https://docs.google.com/spreadsheets/d/11923uPwbBZFjjGgGUA6NLw09EwE0CqkOc4q9oUmW1yo/edit?usp=sharing"",""สุโขทัย!J50"")"),0)</f>
        <v>0</v>
      </c>
      <c r="K115" s="223"/>
      <c r="L115" s="168"/>
      <c r="M115" s="168"/>
      <c r="N115" s="168"/>
      <c r="O115" s="181"/>
      <c r="P115" s="181"/>
    </row>
    <row r="116" spans="1:16" ht="21.75" customHeight="1" x14ac:dyDescent="0.3">
      <c r="A116" s="210" t="s">
        <v>67</v>
      </c>
      <c r="B116" s="227"/>
      <c r="C116" s="228"/>
      <c r="D116" s="227"/>
      <c r="E116" s="229"/>
      <c r="F116" s="229"/>
      <c r="G116" s="230"/>
      <c r="H116" s="215"/>
      <c r="I116" s="216"/>
      <c r="J116" s="216"/>
      <c r="K116" s="217"/>
      <c r="L116" s="218"/>
      <c r="M116" s="218"/>
      <c r="N116" s="218"/>
      <c r="O116" s="219"/>
      <c r="P116" s="219"/>
    </row>
    <row r="117" spans="1:16" ht="21.75" customHeight="1" x14ac:dyDescent="0.3">
      <c r="A117" s="137"/>
      <c r="B117" s="138" t="s">
        <v>68</v>
      </c>
      <c r="C117" s="231"/>
      <c r="D117" s="139"/>
      <c r="E117" s="138"/>
      <c r="F117" s="138"/>
      <c r="G117" s="220"/>
      <c r="H117" s="140" t="s">
        <v>37</v>
      </c>
      <c r="I117" s="141">
        <f ca="1">IFERROR(__xludf.DUMMYFUNCTION("IMPORTRANGE(""https://docs.google.com/spreadsheets/d/11923uPwbBZFjjGgGUA6NLw09EwE0CqkOc4q9oUmW1yo/edit?usp=sharing"",""สุโขทัย!I52"")"),20)</f>
        <v>20</v>
      </c>
      <c r="J117" s="141">
        <f ca="1">IFERROR(__xludf.DUMMYFUNCTION("IMPORTRANGE(""https://docs.google.com/spreadsheets/d/11923uPwbBZFjjGgGUA6NLw09EwE0CqkOc4q9oUmW1yo/edit?usp=sharing"",""สุโขทัย!J52"")"),20)</f>
        <v>20</v>
      </c>
      <c r="K117" s="142">
        <f ca="1">IF(I117&gt;0,J117*100/I117,0)</f>
        <v>100</v>
      </c>
      <c r="L117" s="143"/>
      <c r="M117" s="143"/>
      <c r="N117" s="144"/>
      <c r="O117" s="142"/>
      <c r="P117" s="142"/>
    </row>
    <row r="118" spans="1:16" ht="21.75" customHeight="1" x14ac:dyDescent="0.45">
      <c r="A118" s="145"/>
      <c r="B118" s="146"/>
      <c r="C118" s="147" t="s">
        <v>16</v>
      </c>
      <c r="D118" s="537" t="s">
        <v>17</v>
      </c>
      <c r="E118" s="528"/>
      <c r="F118" s="528"/>
      <c r="G118" s="528"/>
      <c r="H118" s="148" t="s">
        <v>12</v>
      </c>
      <c r="I118" s="162"/>
      <c r="J118" s="162"/>
      <c r="K118" s="163"/>
      <c r="L118" s="151">
        <f t="shared" ref="L118:N118" ca="1" si="58">L119+L120</f>
        <v>82440</v>
      </c>
      <c r="M118" s="151">
        <f t="shared" ca="1" si="58"/>
        <v>66440</v>
      </c>
      <c r="N118" s="151">
        <f t="shared" ca="1" si="58"/>
        <v>58430</v>
      </c>
      <c r="O118" s="150">
        <f t="shared" ref="O118:O120" ca="1" si="59">IF(L118&gt;0,N118*100/L118,0)</f>
        <v>70.875788452207672</v>
      </c>
      <c r="P118" s="150">
        <f t="shared" ref="P118:P120" ca="1" si="60">IF(M118&gt;0,N118*100/M118,0)</f>
        <v>87.94400963275136</v>
      </c>
    </row>
    <row r="119" spans="1:16" ht="21.75" customHeight="1" x14ac:dyDescent="0.45">
      <c r="A119" s="152"/>
      <c r="B119" s="32"/>
      <c r="C119" s="32"/>
      <c r="D119" s="32"/>
      <c r="E119" s="32"/>
      <c r="F119" s="32"/>
      <c r="G119" s="33" t="s">
        <v>18</v>
      </c>
      <c r="H119" s="153" t="s">
        <v>12</v>
      </c>
      <c r="I119" s="162"/>
      <c r="J119" s="162"/>
      <c r="K119" s="163"/>
      <c r="L119" s="87">
        <f t="shared" ref="L119:N119" si="61">L121+L125</f>
        <v>0</v>
      </c>
      <c r="M119" s="87">
        <f t="shared" si="61"/>
        <v>0</v>
      </c>
      <c r="N119" s="87">
        <f t="shared" si="61"/>
        <v>0</v>
      </c>
      <c r="O119" s="155">
        <f t="shared" si="59"/>
        <v>0</v>
      </c>
      <c r="P119" s="155">
        <f t="shared" si="60"/>
        <v>0</v>
      </c>
    </row>
    <row r="120" spans="1:16" ht="21.75" customHeight="1" x14ac:dyDescent="0.45">
      <c r="A120" s="152"/>
      <c r="B120" s="32"/>
      <c r="C120" s="32"/>
      <c r="D120" s="32"/>
      <c r="E120" s="32"/>
      <c r="F120" s="32"/>
      <c r="G120" s="33" t="s">
        <v>19</v>
      </c>
      <c r="H120" s="153" t="s">
        <v>12</v>
      </c>
      <c r="I120" s="162"/>
      <c r="J120" s="162"/>
      <c r="K120" s="163"/>
      <c r="L120" s="87">
        <f t="shared" ref="L120:N120" ca="1" si="62">L122+L126</f>
        <v>82440</v>
      </c>
      <c r="M120" s="87">
        <f t="shared" ca="1" si="62"/>
        <v>66440</v>
      </c>
      <c r="N120" s="87">
        <f t="shared" ca="1" si="62"/>
        <v>58430</v>
      </c>
      <c r="O120" s="155">
        <f t="shared" ca="1" si="59"/>
        <v>70.875788452207672</v>
      </c>
      <c r="P120" s="155">
        <f t="shared" ca="1" si="60"/>
        <v>87.94400963275136</v>
      </c>
    </row>
    <row r="121" spans="1:16" ht="21.75" customHeight="1" x14ac:dyDescent="0.3">
      <c r="A121" s="156"/>
      <c r="B121" s="157"/>
      <c r="C121" s="157" t="s">
        <v>16</v>
      </c>
      <c r="D121" s="158" t="s">
        <v>38</v>
      </c>
      <c r="E121" s="159"/>
      <c r="F121" s="159"/>
      <c r="G121" s="160" t="s">
        <v>39</v>
      </c>
      <c r="H121" s="161" t="s">
        <v>12</v>
      </c>
      <c r="I121" s="162" t="s">
        <v>40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3">
      <c r="A122" s="156"/>
      <c r="B122" s="157"/>
      <c r="C122" s="157"/>
      <c r="D122" s="166"/>
      <c r="E122" s="159"/>
      <c r="F122" s="159" t="s">
        <v>40</v>
      </c>
      <c r="G122" s="160" t="s">
        <v>41</v>
      </c>
      <c r="H122" s="161" t="s">
        <v>12</v>
      </c>
      <c r="I122" s="162"/>
      <c r="J122" s="162"/>
      <c r="K122" s="163"/>
      <c r="L122" s="167">
        <f ca="1">L123+L124</f>
        <v>82440</v>
      </c>
      <c r="M122" s="167">
        <f ca="1">IFERROR(__xludf.DUMMYFUNCTION("IMPORTRANGE(""https://docs.google.com/spreadsheets/d/1Yj_ptqi66GCucihVvJfMjLAmec39IyEx_6qawtMGysU/edit?usp=sharing"",""สบก!BA34"")"),66440)</f>
        <v>66440</v>
      </c>
      <c r="N122" s="168">
        <f ca="1">IFERROR(__xludf.DUMMYFUNCTION("IMPORTRANGE(""https://docs.google.com/spreadsheets/d/1Yj_ptqi66GCucihVvJfMjLAmec39IyEx_6qawtMGysU/edit?usp=sharing"",""สบก!BB34"")"),58430)</f>
        <v>58430</v>
      </c>
      <c r="O122" s="168">
        <f ca="1">IF(L122&gt;0,N122*100/L122,0)</f>
        <v>70.875788452207672</v>
      </c>
      <c r="P122" s="168">
        <f ca="1">IF(M122&gt;0,N122*100/M122,0)</f>
        <v>87.94400963275136</v>
      </c>
    </row>
    <row r="123" spans="1:16" ht="21.75" customHeight="1" x14ac:dyDescent="0.3">
      <c r="A123" s="156"/>
      <c r="B123" s="157"/>
      <c r="C123" s="157"/>
      <c r="D123" s="166"/>
      <c r="E123" s="159"/>
      <c r="F123" s="159"/>
      <c r="G123" s="169" t="s">
        <v>42</v>
      </c>
      <c r="H123" s="161" t="s">
        <v>12</v>
      </c>
      <c r="I123" s="162"/>
      <c r="J123" s="162"/>
      <c r="K123" s="163"/>
      <c r="L123" s="167">
        <f ca="1">IFERROR(__xludf.DUMMYFUNCTION("IMPORTRANGE(""https://docs.google.com/spreadsheets/d/1Yj_ptqi66GCucihVvJfMjLAmec39IyEx_6qawtMGysU/edit?usp=sharing"",""สบก!AW34"")"),0)</f>
        <v>0</v>
      </c>
      <c r="M123" s="167"/>
      <c r="N123" s="167"/>
      <c r="O123" s="168"/>
      <c r="P123" s="168"/>
    </row>
    <row r="124" spans="1:16" ht="21.75" customHeight="1" x14ac:dyDescent="0.3">
      <c r="A124" s="156"/>
      <c r="B124" s="157"/>
      <c r="C124" s="157"/>
      <c r="D124" s="166"/>
      <c r="E124" s="159"/>
      <c r="F124" s="159"/>
      <c r="G124" s="169" t="s">
        <v>43</v>
      </c>
      <c r="H124" s="161" t="s">
        <v>12</v>
      </c>
      <c r="I124" s="162"/>
      <c r="J124" s="187"/>
      <c r="K124" s="223"/>
      <c r="L124" s="167">
        <f ca="1">IFERROR(__xludf.DUMMYFUNCTION("IMPORTRANGE(""https://docs.google.com/spreadsheets/d/1Yj_ptqi66GCucihVvJfMjLAmec39IyEx_6qawtMGysU/edit?usp=sharing"",""สบก!AX34"")"),82440)</f>
        <v>82440</v>
      </c>
      <c r="M124" s="167"/>
      <c r="N124" s="167"/>
      <c r="O124" s="168"/>
      <c r="P124" s="168"/>
    </row>
    <row r="125" spans="1:16" ht="21.75" customHeight="1" x14ac:dyDescent="0.45">
      <c r="A125" s="170"/>
      <c r="B125" s="80"/>
      <c r="C125" s="81" t="s">
        <v>16</v>
      </c>
      <c r="D125" s="534" t="s">
        <v>23</v>
      </c>
      <c r="E125" s="530"/>
      <c r="F125" s="88"/>
      <c r="G125" s="82" t="s">
        <v>18</v>
      </c>
      <c r="H125" s="171" t="s">
        <v>12</v>
      </c>
      <c r="I125" s="187"/>
      <c r="J125" s="187"/>
      <c r="K125" s="223"/>
      <c r="L125" s="41">
        <v>0</v>
      </c>
      <c r="M125" s="41"/>
      <c r="N125" s="41"/>
      <c r="O125" s="41"/>
      <c r="P125" s="41"/>
    </row>
    <row r="126" spans="1:16" ht="21.75" customHeight="1" x14ac:dyDescent="0.45">
      <c r="A126" s="172"/>
      <c r="B126" s="91"/>
      <c r="C126" s="91"/>
      <c r="D126" s="173"/>
      <c r="E126" s="92"/>
      <c r="F126" s="92"/>
      <c r="G126" s="93" t="s">
        <v>19</v>
      </c>
      <c r="H126" s="174" t="s">
        <v>12</v>
      </c>
      <c r="I126" s="187"/>
      <c r="J126" s="187"/>
      <c r="K126" s="223"/>
      <c r="L126" s="49">
        <f ca="1">IFERROR(__xludf.DUMMYFUNCTION("IMPORTRANGE(""https://docs.google.com/spreadsheets/d/1Yj_ptqi66GCucihVvJfMjLAmec39IyEx_6qawtMGysU/edit?usp=sharing"",""สบก!AY34"")"),0)</f>
        <v>0</v>
      </c>
      <c r="M126" s="49"/>
      <c r="N126" s="49">
        <f ca="1">IFERROR(__xludf.DUMMYFUNCTION("IMPORTRANGE(""https://docs.google.com/spreadsheets/d/1Yj_ptqi66GCucihVvJfMjLAmec39IyEx_6qawtMGysU/edit?usp=sharing"",""สบก!BC34"")"),0)</f>
        <v>0</v>
      </c>
      <c r="O126" s="49">
        <f ca="1">IF(L126&gt;0,N126*100/L126,0)</f>
        <v>0</v>
      </c>
      <c r="P126" s="49"/>
    </row>
    <row r="127" spans="1:16" ht="21.75" customHeight="1" x14ac:dyDescent="0.3">
      <c r="A127" s="175"/>
      <c r="B127" s="176"/>
      <c r="C127" s="157" t="s">
        <v>16</v>
      </c>
      <c r="D127" s="232" t="s">
        <v>267</v>
      </c>
      <c r="E127" s="178"/>
      <c r="F127" s="178"/>
      <c r="G127" s="179"/>
      <c r="H127" s="180"/>
      <c r="I127" s="162"/>
      <c r="J127" s="187"/>
      <c r="K127" s="223"/>
      <c r="L127" s="168"/>
      <c r="M127" s="168"/>
      <c r="N127" s="168"/>
      <c r="O127" s="181"/>
      <c r="P127" s="181"/>
    </row>
    <row r="128" spans="1:16" ht="21.75" customHeight="1" x14ac:dyDescent="0.3">
      <c r="A128" s="175"/>
      <c r="B128" s="176"/>
      <c r="C128" s="176"/>
      <c r="D128" s="182">
        <v>1</v>
      </c>
      <c r="E128" s="183" t="s">
        <v>45</v>
      </c>
      <c r="F128" s="184"/>
      <c r="G128" s="185"/>
      <c r="H128" s="186"/>
      <c r="I128" s="187"/>
      <c r="J128" s="203">
        <f ca="1">IFERROR(__xludf.DUMMYFUNCTION("IMPORTRANGE(""https://docs.google.com/spreadsheets/d/11923uPwbBZFjjGgGUA6NLw09EwE0CqkOc4q9oUmW1yo/edit?usp=sharing"",""สุโขทัย!J58"")"),0)</f>
        <v>0</v>
      </c>
      <c r="K128" s="223"/>
      <c r="L128" s="168"/>
      <c r="M128" s="168"/>
      <c r="N128" s="168"/>
      <c r="O128" s="181"/>
      <c r="P128" s="181"/>
    </row>
    <row r="129" spans="1:16" ht="21.75" customHeight="1" x14ac:dyDescent="0.3">
      <c r="A129" s="175"/>
      <c r="B129" s="176"/>
      <c r="C129" s="176"/>
      <c r="D129" s="189">
        <v>2</v>
      </c>
      <c r="E129" s="190" t="s">
        <v>46</v>
      </c>
      <c r="F129" s="191"/>
      <c r="G129" s="192"/>
      <c r="H129" s="186"/>
      <c r="I129" s="187"/>
      <c r="J129" s="187">
        <f ca="1">IFERROR(__xludf.DUMMYFUNCTION("IMPORTRANGE(""https://docs.google.com/spreadsheets/d/11923uPwbBZFjjGgGUA6NLw09EwE0CqkOc4q9oUmW1yo/edit?usp=sharing"",""สุโขทัย!J59"")"),1)</f>
        <v>1</v>
      </c>
      <c r="K129" s="223"/>
      <c r="L129" s="168" t="s">
        <v>40</v>
      </c>
      <c r="M129" s="168"/>
      <c r="N129" s="168" t="s">
        <v>40</v>
      </c>
      <c r="O129" s="181"/>
      <c r="P129" s="181"/>
    </row>
    <row r="130" spans="1:16" ht="21.75" customHeight="1" x14ac:dyDescent="0.3">
      <c r="A130" s="175"/>
      <c r="B130" s="176"/>
      <c r="C130" s="176"/>
      <c r="D130" s="193"/>
      <c r="E130" s="194" t="s">
        <v>47</v>
      </c>
      <c r="F130" s="195"/>
      <c r="G130" s="196"/>
      <c r="H130" s="186"/>
      <c r="I130" s="187"/>
      <c r="J130" s="187">
        <f ca="1">IFERROR(__xludf.DUMMYFUNCTION("IMPORTRANGE(""https://docs.google.com/spreadsheets/d/11923uPwbBZFjjGgGUA6NLw09EwE0CqkOc4q9oUmW1yo/edit?usp=sharing"",""สุโขทัย!J60"")"),1)</f>
        <v>1</v>
      </c>
      <c r="K130" s="223"/>
      <c r="L130" s="168"/>
      <c r="M130" s="168"/>
      <c r="N130" s="168"/>
      <c r="O130" s="181"/>
      <c r="P130" s="181"/>
    </row>
    <row r="131" spans="1:16" ht="21.75" customHeight="1" x14ac:dyDescent="0.3">
      <c r="A131" s="175"/>
      <c r="B131" s="176"/>
      <c r="C131" s="176"/>
      <c r="D131" s="193"/>
      <c r="E131" s="194" t="s">
        <v>48</v>
      </c>
      <c r="F131" s="195"/>
      <c r="G131" s="196"/>
      <c r="H131" s="186"/>
      <c r="I131" s="187"/>
      <c r="J131" s="187">
        <f ca="1">IFERROR(__xludf.DUMMYFUNCTION("IMPORTRANGE(""https://docs.google.com/spreadsheets/d/11923uPwbBZFjjGgGUA6NLw09EwE0CqkOc4q9oUmW1yo/edit?usp=sharing"",""สุโขทัย!J61"")"),0)</f>
        <v>0</v>
      </c>
      <c r="K131" s="223"/>
      <c r="L131" s="168"/>
      <c r="M131" s="168"/>
      <c r="N131" s="168"/>
      <c r="O131" s="181"/>
      <c r="P131" s="181"/>
    </row>
    <row r="132" spans="1:16" ht="21.75" customHeight="1" x14ac:dyDescent="0.3">
      <c r="A132" s="175"/>
      <c r="B132" s="176"/>
      <c r="C132" s="176"/>
      <c r="D132" s="193"/>
      <c r="E132" s="198"/>
      <c r="F132" s="194" t="s">
        <v>70</v>
      </c>
      <c r="G132" s="196"/>
      <c r="H132" s="180" t="s">
        <v>37</v>
      </c>
      <c r="I132" s="187">
        <f ca="1">IFERROR(__xludf.DUMMYFUNCTION("IMPORTRANGE(""https://docs.google.com/spreadsheets/d/11923uPwbBZFjjGgGUA6NLw09EwE0CqkOc4q9oUmW1yo/edit?usp=sharing"",""สุโขทัย!I62"")"),20)</f>
        <v>20</v>
      </c>
      <c r="J132" s="203">
        <f ca="1">IFERROR(__xludf.DUMMYFUNCTION("IMPORTRANGE(""https://docs.google.com/spreadsheets/d/11923uPwbBZFjjGgGUA6NLw09EwE0CqkOc4q9oUmW1yo/edit?usp=sharing"",""สุโขทัย!J62"")"),20)</f>
        <v>20</v>
      </c>
      <c r="K132" s="223">
        <f t="shared" ref="K132:K133" ca="1" si="63">IF(I132&gt;0,J132*100/I132,0)</f>
        <v>100</v>
      </c>
      <c r="L132" s="168"/>
      <c r="M132" s="168"/>
      <c r="N132" s="168"/>
      <c r="O132" s="181"/>
      <c r="P132" s="181"/>
    </row>
    <row r="133" spans="1:16" ht="21.75" customHeight="1" x14ac:dyDescent="0.3">
      <c r="A133" s="175"/>
      <c r="B133" s="176"/>
      <c r="C133" s="176"/>
      <c r="D133" s="193"/>
      <c r="E133" s="198"/>
      <c r="F133" s="194" t="s">
        <v>71</v>
      </c>
      <c r="G133" s="196"/>
      <c r="H133" s="180" t="s">
        <v>37</v>
      </c>
      <c r="I133" s="187">
        <f ca="1">IFERROR(__xludf.DUMMYFUNCTION("IMPORTRANGE(""https://docs.google.com/spreadsheets/d/11923uPwbBZFjjGgGUA6NLw09EwE0CqkOc4q9oUmW1yo/edit?usp=sharing"",""สุโขทัย!I63"")"),20)</f>
        <v>20</v>
      </c>
      <c r="J133" s="203">
        <f ca="1">IFERROR(__xludf.DUMMYFUNCTION("IMPORTRANGE(""https://docs.google.com/spreadsheets/d/11923uPwbBZFjjGgGUA6NLw09EwE0CqkOc4q9oUmW1yo/edit?usp=sharing"",""สุโขทัย!J63"")"),20)</f>
        <v>20</v>
      </c>
      <c r="K133" s="223">
        <f t="shared" ca="1" si="63"/>
        <v>100</v>
      </c>
      <c r="L133" s="168"/>
      <c r="M133" s="168"/>
      <c r="N133" s="168"/>
      <c r="O133" s="181"/>
      <c r="P133" s="181"/>
    </row>
    <row r="134" spans="1:16" ht="21.75" customHeight="1" x14ac:dyDescent="0.3">
      <c r="A134" s="175"/>
      <c r="B134" s="176"/>
      <c r="C134" s="176"/>
      <c r="D134" s="193"/>
      <c r="E134" s="194" t="s">
        <v>54</v>
      </c>
      <c r="F134" s="195"/>
      <c r="G134" s="196"/>
      <c r="H134" s="186"/>
      <c r="I134" s="187"/>
      <c r="J134" s="187">
        <f ca="1">IFERROR(__xludf.DUMMYFUNCTION("IMPORTRANGE(""https://docs.google.com/spreadsheets/d/11923uPwbBZFjjGgGUA6NLw09EwE0CqkOc4q9oUmW1yo/edit?usp=sharing"",""สุโขทัย!J64"")"),0)</f>
        <v>0</v>
      </c>
      <c r="K134" s="223"/>
      <c r="L134" s="168"/>
      <c r="M134" s="168"/>
      <c r="N134" s="168"/>
      <c r="O134" s="181"/>
      <c r="P134" s="181"/>
    </row>
    <row r="135" spans="1:16" ht="21.75" customHeight="1" x14ac:dyDescent="0.3">
      <c r="A135" s="233"/>
      <c r="B135" s="234"/>
      <c r="C135" s="234"/>
      <c r="D135" s="235">
        <v>3</v>
      </c>
      <c r="E135" s="236" t="s">
        <v>55</v>
      </c>
      <c r="F135" s="237"/>
      <c r="G135" s="238"/>
      <c r="H135" s="239"/>
      <c r="I135" s="240"/>
      <c r="J135" s="241">
        <f ca="1">IFERROR(__xludf.DUMMYFUNCTION("IMPORTRANGE(""https://docs.google.com/spreadsheets/d/11923uPwbBZFjjGgGUA6NLw09EwE0CqkOc4q9oUmW1yo/edit?usp=sharing"",""สุโขทัย!J65"")"),0)</f>
        <v>0</v>
      </c>
      <c r="K135" s="242"/>
      <c r="L135" s="243"/>
      <c r="M135" s="243"/>
      <c r="N135" s="243"/>
      <c r="O135" s="244"/>
      <c r="P135" s="244"/>
    </row>
    <row r="136" spans="1:16" ht="21.75" customHeight="1" x14ac:dyDescent="0.3">
      <c r="A136" s="245" t="s">
        <v>72</v>
      </c>
      <c r="B136" s="246"/>
      <c r="C136" s="246"/>
      <c r="D136" s="246"/>
      <c r="E136" s="247"/>
      <c r="F136" s="247"/>
      <c r="G136" s="248"/>
      <c r="H136" s="249"/>
      <c r="I136" s="250"/>
      <c r="J136" s="250"/>
      <c r="K136" s="251"/>
      <c r="L136" s="252"/>
      <c r="M136" s="252"/>
      <c r="N136" s="252"/>
      <c r="O136" s="252"/>
      <c r="P136" s="252"/>
    </row>
    <row r="137" spans="1:16" ht="21.75" customHeight="1" x14ac:dyDescent="0.3">
      <c r="A137" s="253" t="s">
        <v>73</v>
      </c>
      <c r="B137" s="254"/>
      <c r="C137" s="254"/>
      <c r="D137" s="255"/>
      <c r="E137" s="255"/>
      <c r="F137" s="255"/>
      <c r="G137" s="256"/>
      <c r="H137" s="257"/>
      <c r="I137" s="258"/>
      <c r="J137" s="258"/>
      <c r="K137" s="259"/>
      <c r="L137" s="259"/>
      <c r="M137" s="259"/>
      <c r="N137" s="259"/>
      <c r="O137" s="260"/>
      <c r="P137" s="260"/>
    </row>
    <row r="138" spans="1:16" ht="21.75" customHeight="1" x14ac:dyDescent="0.3">
      <c r="A138" s="261"/>
      <c r="B138" s="262" t="s">
        <v>74</v>
      </c>
      <c r="C138" s="263"/>
      <c r="D138" s="262"/>
      <c r="E138" s="262"/>
      <c r="F138" s="262"/>
      <c r="G138" s="264"/>
      <c r="H138" s="265" t="s">
        <v>37</v>
      </c>
      <c r="I138" s="266">
        <f ca="1">IFERROR(__xludf.DUMMYFUNCTION("IMPORTRANGE(""https://docs.google.com/spreadsheets/d/11923uPwbBZFjjGgGUA6NLw09EwE0CqkOc4q9oUmW1yo/edit?usp=sharing"",""สุโขทัย!I68"")"),0)</f>
        <v>0</v>
      </c>
      <c r="J138" s="266">
        <f ca="1">IFERROR(__xludf.DUMMYFUNCTION("IMPORTRANGE(""https://docs.google.com/spreadsheets/d/11923uPwbBZFjjGgGUA6NLw09EwE0CqkOc4q9oUmW1yo/edit?usp=sharing"",""สุโขทัย!J68"")"),0)</f>
        <v>0</v>
      </c>
      <c r="K138" s="267">
        <f ca="1">IF(I138&gt;0,J138*100/I138,0)</f>
        <v>0</v>
      </c>
      <c r="L138" s="268"/>
      <c r="M138" s="268"/>
      <c r="N138" s="268"/>
      <c r="O138" s="267"/>
      <c r="P138" s="267"/>
    </row>
    <row r="139" spans="1:16" ht="21.75" customHeight="1" x14ac:dyDescent="0.3">
      <c r="A139" s="261"/>
      <c r="B139" s="262" t="s">
        <v>75</v>
      </c>
      <c r="C139" s="263"/>
      <c r="D139" s="262"/>
      <c r="E139" s="262"/>
      <c r="F139" s="262"/>
      <c r="G139" s="264"/>
      <c r="H139" s="265"/>
      <c r="I139" s="266"/>
      <c r="J139" s="266"/>
      <c r="K139" s="267"/>
      <c r="L139" s="268"/>
      <c r="M139" s="268"/>
      <c r="N139" s="268"/>
      <c r="O139" s="267"/>
      <c r="P139" s="267"/>
    </row>
    <row r="140" spans="1:16" ht="21.75" customHeight="1" x14ac:dyDescent="0.45">
      <c r="A140" s="145"/>
      <c r="B140" s="146"/>
      <c r="C140" s="147" t="s">
        <v>16</v>
      </c>
      <c r="D140" s="537" t="s">
        <v>17</v>
      </c>
      <c r="E140" s="528"/>
      <c r="F140" s="528"/>
      <c r="G140" s="528"/>
      <c r="H140" s="148" t="s">
        <v>12</v>
      </c>
      <c r="I140" s="162"/>
      <c r="J140" s="162"/>
      <c r="K140" s="163"/>
      <c r="L140" s="151">
        <f t="shared" ref="L140:N140" ca="1" si="64">L141+L142</f>
        <v>83000</v>
      </c>
      <c r="M140" s="151">
        <f t="shared" ca="1" si="64"/>
        <v>67750</v>
      </c>
      <c r="N140" s="151">
        <f t="shared" ca="1" si="64"/>
        <v>15200</v>
      </c>
      <c r="O140" s="150">
        <f t="shared" ref="O140:O142" ca="1" si="65">IF(L140&gt;0,N140*100/L140,0)</f>
        <v>18.313253012048193</v>
      </c>
      <c r="P140" s="150">
        <f t="shared" ref="P140:P142" ca="1" si="66">IF(M140&gt;0,N140*100/M140,0)</f>
        <v>22.435424354243544</v>
      </c>
    </row>
    <row r="141" spans="1:16" ht="21.75" customHeight="1" x14ac:dyDescent="0.45">
      <c r="A141" s="152"/>
      <c r="B141" s="32"/>
      <c r="C141" s="32"/>
      <c r="D141" s="32"/>
      <c r="E141" s="32"/>
      <c r="F141" s="32"/>
      <c r="G141" s="33" t="s">
        <v>18</v>
      </c>
      <c r="H141" s="153" t="s">
        <v>12</v>
      </c>
      <c r="I141" s="162"/>
      <c r="J141" s="162"/>
      <c r="K141" s="163"/>
      <c r="L141" s="87">
        <f t="shared" ref="L141:N141" si="67">L143+L147</f>
        <v>0</v>
      </c>
      <c r="M141" s="87">
        <f t="shared" si="67"/>
        <v>0</v>
      </c>
      <c r="N141" s="87">
        <f t="shared" si="67"/>
        <v>0</v>
      </c>
      <c r="O141" s="155">
        <f t="shared" si="65"/>
        <v>0</v>
      </c>
      <c r="P141" s="155">
        <f t="shared" si="66"/>
        <v>0</v>
      </c>
    </row>
    <row r="142" spans="1:16" ht="21.75" customHeight="1" x14ac:dyDescent="0.45">
      <c r="A142" s="152"/>
      <c r="B142" s="32"/>
      <c r="C142" s="32"/>
      <c r="D142" s="32"/>
      <c r="E142" s="32"/>
      <c r="F142" s="32"/>
      <c r="G142" s="33" t="s">
        <v>19</v>
      </c>
      <c r="H142" s="153" t="s">
        <v>12</v>
      </c>
      <c r="I142" s="162"/>
      <c r="J142" s="162"/>
      <c r="K142" s="163"/>
      <c r="L142" s="87">
        <f t="shared" ref="L142:N142" ca="1" si="68">L144+L148</f>
        <v>83000</v>
      </c>
      <c r="M142" s="87">
        <f t="shared" ca="1" si="68"/>
        <v>67750</v>
      </c>
      <c r="N142" s="87">
        <f t="shared" ca="1" si="68"/>
        <v>15200</v>
      </c>
      <c r="O142" s="155">
        <f t="shared" ca="1" si="65"/>
        <v>18.313253012048193</v>
      </c>
      <c r="P142" s="155">
        <f t="shared" ca="1" si="66"/>
        <v>22.435424354243544</v>
      </c>
    </row>
    <row r="143" spans="1:16" ht="21.75" customHeight="1" x14ac:dyDescent="0.3">
      <c r="A143" s="156"/>
      <c r="B143" s="157"/>
      <c r="C143" s="157" t="s">
        <v>16</v>
      </c>
      <c r="D143" s="158" t="s">
        <v>38</v>
      </c>
      <c r="E143" s="159"/>
      <c r="F143" s="159"/>
      <c r="G143" s="160" t="s">
        <v>39</v>
      </c>
      <c r="H143" s="161" t="s">
        <v>12</v>
      </c>
      <c r="I143" s="162" t="s">
        <v>40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3">
      <c r="A144" s="156"/>
      <c r="B144" s="157"/>
      <c r="C144" s="157"/>
      <c r="D144" s="166"/>
      <c r="E144" s="159"/>
      <c r="F144" s="159" t="s">
        <v>40</v>
      </c>
      <c r="G144" s="160" t="s">
        <v>41</v>
      </c>
      <c r="H144" s="161" t="s">
        <v>12</v>
      </c>
      <c r="I144" s="162"/>
      <c r="J144" s="162"/>
      <c r="K144" s="163"/>
      <c r="L144" s="167">
        <f ca="1">L145+L146</f>
        <v>83000</v>
      </c>
      <c r="M144" s="167">
        <f ca="1">IFERROR(__xludf.DUMMYFUNCTION("IMPORTRANGE(""https://docs.google.com/spreadsheets/d/1Yj_ptqi66GCucihVvJfMjLAmec39IyEx_6qawtMGysU/edit?usp=sharing"",""สบก!BJ34"")"),67750)</f>
        <v>67750</v>
      </c>
      <c r="N144" s="168">
        <f ca="1">IFERROR(__xludf.DUMMYFUNCTION("IMPORTRANGE(""https://docs.google.com/spreadsheets/d/1Yj_ptqi66GCucihVvJfMjLAmec39IyEx_6qawtMGysU/edit?usp=sharing"",""สบก!BK34"")"),15200)</f>
        <v>15200</v>
      </c>
      <c r="O144" s="168">
        <f ca="1">IF(L144&gt;0,N144*100/L144,0)</f>
        <v>18.313253012048193</v>
      </c>
      <c r="P144" s="168">
        <f ca="1">IF(M144&gt;0,N144*100/M144,0)</f>
        <v>22.435424354243544</v>
      </c>
    </row>
    <row r="145" spans="1:16" ht="21.75" customHeight="1" x14ac:dyDescent="0.3">
      <c r="A145" s="156"/>
      <c r="B145" s="157"/>
      <c r="C145" s="157"/>
      <c r="D145" s="166"/>
      <c r="E145" s="159"/>
      <c r="F145" s="159"/>
      <c r="G145" s="169" t="s">
        <v>42</v>
      </c>
      <c r="H145" s="161" t="s">
        <v>12</v>
      </c>
      <c r="I145" s="162"/>
      <c r="J145" s="162"/>
      <c r="K145" s="163"/>
      <c r="L145" s="167">
        <f ca="1">IFERROR(__xludf.DUMMYFUNCTION("IMPORTRANGE(""https://docs.google.com/spreadsheets/d/1Yj_ptqi66GCucihVvJfMjLAmec39IyEx_6qawtMGysU/edit?usp=sharing"",""สบก!BF34"")"),0)</f>
        <v>0</v>
      </c>
      <c r="M145" s="167"/>
      <c r="N145" s="167"/>
      <c r="O145" s="168"/>
      <c r="P145" s="168"/>
    </row>
    <row r="146" spans="1:16" ht="21.75" customHeight="1" x14ac:dyDescent="0.3">
      <c r="A146" s="156"/>
      <c r="B146" s="157"/>
      <c r="C146" s="157"/>
      <c r="D146" s="166"/>
      <c r="E146" s="159"/>
      <c r="F146" s="159"/>
      <c r="G146" s="169" t="s">
        <v>43</v>
      </c>
      <c r="H146" s="161" t="s">
        <v>12</v>
      </c>
      <c r="I146" s="162"/>
      <c r="J146" s="162"/>
      <c r="K146" s="163"/>
      <c r="L146" s="167">
        <f ca="1">IFERROR(__xludf.DUMMYFUNCTION("IMPORTRANGE(""https://docs.google.com/spreadsheets/d/1Yj_ptqi66GCucihVvJfMjLAmec39IyEx_6qawtMGysU/edit?usp=sharing"",""สบก!BG34"")"),83000)</f>
        <v>83000</v>
      </c>
      <c r="M146" s="167"/>
      <c r="N146" s="167"/>
      <c r="O146" s="168"/>
      <c r="P146" s="168"/>
    </row>
    <row r="147" spans="1:16" ht="21.75" customHeight="1" x14ac:dyDescent="0.45">
      <c r="A147" s="170"/>
      <c r="B147" s="80"/>
      <c r="C147" s="81" t="s">
        <v>16</v>
      </c>
      <c r="D147" s="534" t="s">
        <v>23</v>
      </c>
      <c r="E147" s="530"/>
      <c r="F147" s="88"/>
      <c r="G147" s="82" t="s">
        <v>18</v>
      </c>
      <c r="H147" s="171" t="s">
        <v>12</v>
      </c>
      <c r="I147" s="187"/>
      <c r="J147" s="187"/>
      <c r="K147" s="223"/>
      <c r="L147" s="41">
        <v>0</v>
      </c>
      <c r="M147" s="41"/>
      <c r="N147" s="41"/>
      <c r="O147" s="41"/>
      <c r="P147" s="41"/>
    </row>
    <row r="148" spans="1:16" ht="21.75" customHeight="1" x14ac:dyDescent="0.45">
      <c r="A148" s="172"/>
      <c r="B148" s="91"/>
      <c r="C148" s="91"/>
      <c r="D148" s="173"/>
      <c r="E148" s="92"/>
      <c r="F148" s="92"/>
      <c r="G148" s="93" t="s">
        <v>19</v>
      </c>
      <c r="H148" s="174" t="s">
        <v>12</v>
      </c>
      <c r="I148" s="187"/>
      <c r="J148" s="187"/>
      <c r="K148" s="223"/>
      <c r="L148" s="49">
        <f ca="1">IFERROR(__xludf.DUMMYFUNCTION("IMPORTRANGE(""https://docs.google.com/spreadsheets/d/1Yj_ptqi66GCucihVvJfMjLAmec39IyEx_6qawtMGysU/edit?usp=sharing"",""สบก!BH34"")"),0)</f>
        <v>0</v>
      </c>
      <c r="M148" s="49"/>
      <c r="N148" s="49">
        <f ca="1">IFERROR(__xludf.DUMMYFUNCTION("IMPORTRANGE(""https://docs.google.com/spreadsheets/d/1Yj_ptqi66GCucihVvJfMjLAmec39IyEx_6qawtMGysU/edit?usp=sharing"",""สบก!BL34"")"),0)</f>
        <v>0</v>
      </c>
      <c r="O148" s="49">
        <f ca="1">IF(L148&gt;0,N148*100/L148,0)</f>
        <v>0</v>
      </c>
      <c r="P148" s="49"/>
    </row>
    <row r="149" spans="1:16" ht="21.75" customHeight="1" x14ac:dyDescent="0.3">
      <c r="A149" s="269"/>
      <c r="B149" s="270"/>
      <c r="C149" s="271" t="s">
        <v>76</v>
      </c>
      <c r="D149" s="271"/>
      <c r="E149" s="271"/>
      <c r="F149" s="271"/>
      <c r="G149" s="272"/>
      <c r="H149" s="273" t="s">
        <v>77</v>
      </c>
      <c r="I149" s="274">
        <f ca="1">IFERROR(__xludf.DUMMYFUNCTION("IMPORTRANGE(""https://docs.google.com/spreadsheets/d/11923uPwbBZFjjGgGUA6NLw09EwE0CqkOc4q9oUmW1yo/edit?usp=sharing"",""สุโขทัย!I74"")"),4)</f>
        <v>4</v>
      </c>
      <c r="J149" s="274">
        <f ca="1">IFERROR(__xludf.DUMMYFUNCTION("IMPORTRANGE(""https://docs.google.com/spreadsheets/d/11923uPwbBZFjjGgGUA6NLw09EwE0CqkOc4q9oUmW1yo/edit?usp=sharing"",""สุโขทัย!J74"")"),2)</f>
        <v>2</v>
      </c>
      <c r="K149" s="275">
        <f ca="1">IF(I149&gt;0,J149*100/I149,0)</f>
        <v>50</v>
      </c>
      <c r="L149" s="276"/>
      <c r="M149" s="276"/>
      <c r="N149" s="276"/>
      <c r="O149" s="276"/>
      <c r="P149" s="276"/>
    </row>
    <row r="150" spans="1:16" ht="21.75" customHeight="1" x14ac:dyDescent="0.3">
      <c r="A150" s="156"/>
      <c r="B150" s="157"/>
      <c r="C150" s="157" t="s">
        <v>16</v>
      </c>
      <c r="D150" s="158" t="s">
        <v>38</v>
      </c>
      <c r="E150" s="159"/>
      <c r="F150" s="159"/>
      <c r="G150" s="160" t="s">
        <v>39</v>
      </c>
      <c r="H150" s="161" t="s">
        <v>12</v>
      </c>
      <c r="I150" s="162" t="s">
        <v>40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3">
      <c r="A151" s="156"/>
      <c r="B151" s="157"/>
      <c r="C151" s="157"/>
      <c r="D151" s="166"/>
      <c r="E151" s="159"/>
      <c r="F151" s="159" t="s">
        <v>40</v>
      </c>
      <c r="G151" s="160" t="s">
        <v>41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3">
      <c r="A152" s="156"/>
      <c r="B152" s="157"/>
      <c r="C152" s="157"/>
      <c r="D152" s="166"/>
      <c r="E152" s="159"/>
      <c r="F152" s="159"/>
      <c r="G152" s="169" t="s">
        <v>43</v>
      </c>
      <c r="H152" s="161" t="s">
        <v>12</v>
      </c>
      <c r="I152" s="162"/>
      <c r="J152" s="162"/>
      <c r="K152" s="163"/>
      <c r="L152" s="168"/>
      <c r="M152" s="168"/>
      <c r="N152" s="167"/>
      <c r="O152" s="168"/>
      <c r="P152" s="168"/>
    </row>
    <row r="153" spans="1:16" ht="21.75" customHeight="1" x14ac:dyDescent="0.3">
      <c r="A153" s="175"/>
      <c r="B153" s="176"/>
      <c r="C153" s="157" t="s">
        <v>16</v>
      </c>
      <c r="D153" s="177" t="s">
        <v>44</v>
      </c>
      <c r="E153" s="178"/>
      <c r="F153" s="178"/>
      <c r="G153" s="179"/>
      <c r="H153" s="180"/>
      <c r="I153" s="162"/>
      <c r="J153" s="162"/>
      <c r="K153" s="163"/>
      <c r="L153" s="181"/>
      <c r="M153" s="181"/>
      <c r="N153" s="181"/>
      <c r="O153" s="181"/>
      <c r="P153" s="181"/>
    </row>
    <row r="154" spans="1:16" ht="21.75" customHeight="1" x14ac:dyDescent="0.3">
      <c r="A154" s="175"/>
      <c r="B154" s="176"/>
      <c r="C154" s="176"/>
      <c r="D154" s="182">
        <v>1</v>
      </c>
      <c r="E154" s="183" t="s">
        <v>45</v>
      </c>
      <c r="F154" s="184"/>
      <c r="G154" s="185"/>
      <c r="H154" s="186"/>
      <c r="I154" s="187"/>
      <c r="J154" s="188">
        <f ca="1">IFERROR(__xludf.DUMMYFUNCTION("IMPORTRANGE(""https://docs.google.com/spreadsheets/d/11923uPwbBZFjjGgGUA6NLw09EwE0CqkOc4q9oUmW1yo/edit?usp=sharing"",""สุโขทัย!J79"")"),0)</f>
        <v>0</v>
      </c>
      <c r="K154" s="163"/>
      <c r="L154" s="181"/>
      <c r="M154" s="181"/>
      <c r="N154" s="181"/>
      <c r="O154" s="181"/>
      <c r="P154" s="181"/>
    </row>
    <row r="155" spans="1:16" ht="21.75" customHeight="1" x14ac:dyDescent="0.3">
      <c r="A155" s="175"/>
      <c r="B155" s="176"/>
      <c r="C155" s="176"/>
      <c r="D155" s="189">
        <v>2</v>
      </c>
      <c r="E155" s="190" t="s">
        <v>46</v>
      </c>
      <c r="F155" s="191"/>
      <c r="G155" s="192"/>
      <c r="H155" s="186"/>
      <c r="I155" s="187"/>
      <c r="J155" s="197">
        <f ca="1">IFERROR(__xludf.DUMMYFUNCTION("IMPORTRANGE(""https://docs.google.com/spreadsheets/d/11923uPwbBZFjjGgGUA6NLw09EwE0CqkOc4q9oUmW1yo/edit?usp=sharing"",""สุโขทัย!J80"")"),1)</f>
        <v>1</v>
      </c>
      <c r="K155" s="163"/>
      <c r="L155" s="181"/>
      <c r="M155" s="181"/>
      <c r="N155" s="181"/>
      <c r="O155" s="181"/>
      <c r="P155" s="181"/>
    </row>
    <row r="156" spans="1:16" ht="21.75" customHeight="1" x14ac:dyDescent="0.3">
      <c r="A156" s="175"/>
      <c r="B156" s="176"/>
      <c r="C156" s="176"/>
      <c r="D156" s="193"/>
      <c r="E156" s="194" t="s">
        <v>47</v>
      </c>
      <c r="F156" s="195"/>
      <c r="G156" s="196"/>
      <c r="H156" s="186"/>
      <c r="I156" s="187"/>
      <c r="J156" s="197">
        <f ca="1">IFERROR(__xludf.DUMMYFUNCTION("IMPORTRANGE(""https://docs.google.com/spreadsheets/d/11923uPwbBZFjjGgGUA6NLw09EwE0CqkOc4q9oUmW1yo/edit?usp=sharing"",""สุโขทัย!J81"")"),1)</f>
        <v>1</v>
      </c>
      <c r="K156" s="163"/>
      <c r="L156" s="181"/>
      <c r="M156" s="181"/>
      <c r="N156" s="181"/>
      <c r="O156" s="181"/>
      <c r="P156" s="181"/>
    </row>
    <row r="157" spans="1:16" ht="21.75" customHeight="1" x14ac:dyDescent="0.3">
      <c r="A157" s="175"/>
      <c r="B157" s="176"/>
      <c r="C157" s="176"/>
      <c r="D157" s="193"/>
      <c r="E157" s="194" t="s">
        <v>48</v>
      </c>
      <c r="F157" s="195"/>
      <c r="G157" s="196"/>
      <c r="H157" s="186"/>
      <c r="I157" s="187"/>
      <c r="J157" s="197">
        <f ca="1">IFERROR(__xludf.DUMMYFUNCTION("IMPORTRANGE(""https://docs.google.com/spreadsheets/d/11923uPwbBZFjjGgGUA6NLw09EwE0CqkOc4q9oUmW1yo/edit?usp=sharing"",""สุโขทัย!J82"")"),0)</f>
        <v>0</v>
      </c>
      <c r="K157" s="163"/>
      <c r="L157" s="181"/>
      <c r="M157" s="181"/>
      <c r="N157" s="181"/>
      <c r="O157" s="181"/>
      <c r="P157" s="181"/>
    </row>
    <row r="158" spans="1:16" ht="21.75" customHeight="1" x14ac:dyDescent="0.3">
      <c r="A158" s="175"/>
      <c r="B158" s="176"/>
      <c r="C158" s="176"/>
      <c r="D158" s="193"/>
      <c r="E158" s="198"/>
      <c r="F158" s="194" t="s">
        <v>78</v>
      </c>
      <c r="G158" s="196"/>
      <c r="H158" s="180" t="s">
        <v>77</v>
      </c>
      <c r="I158" s="187">
        <f ca="1">IFERROR(__xludf.DUMMYFUNCTION("IMPORTRANGE(""https://docs.google.com/spreadsheets/d/11923uPwbBZFjjGgGUA6NLw09EwE0CqkOc4q9oUmW1yo/edit?usp=sharing"",""สุโขทัย!I83"")"),4)</f>
        <v>4</v>
      </c>
      <c r="J158" s="188">
        <f ca="1">IFERROR(__xludf.DUMMYFUNCTION("IMPORTRANGE(""https://docs.google.com/spreadsheets/d/11923uPwbBZFjjGgGUA6NLw09EwE0CqkOc4q9oUmW1yo/edit?usp=sharing"",""สุโขทัย!J83"")"),2)</f>
        <v>2</v>
      </c>
      <c r="K158" s="163">
        <f ca="1">IF(I158&gt;0,J158*100/I158,0)</f>
        <v>50</v>
      </c>
      <c r="L158" s="181"/>
      <c r="M158" s="181"/>
      <c r="N158" s="181"/>
      <c r="O158" s="181"/>
      <c r="P158" s="181"/>
    </row>
    <row r="159" spans="1:16" ht="21.75" customHeight="1" x14ac:dyDescent="0.3">
      <c r="A159" s="175"/>
      <c r="B159" s="176"/>
      <c r="C159" s="176"/>
      <c r="D159" s="193"/>
      <c r="E159" s="195"/>
      <c r="F159" s="277" t="s">
        <v>79</v>
      </c>
      <c r="G159" s="196"/>
      <c r="H159" s="278" t="s">
        <v>37</v>
      </c>
      <c r="I159" s="187"/>
      <c r="J159" s="203">
        <f ca="1">IFERROR(__xludf.DUMMYFUNCTION("IMPORTRANGE(""https://docs.google.com/spreadsheets/d/11923uPwbBZFjjGgGUA6NLw09EwE0CqkOc4q9oUmW1yo/edit?usp=sharing"",""สุโขทัย!J84"")"),81)</f>
        <v>81</v>
      </c>
      <c r="K159" s="163"/>
      <c r="L159" s="181"/>
      <c r="M159" s="181"/>
      <c r="N159" s="181"/>
      <c r="O159" s="181"/>
      <c r="P159" s="181"/>
    </row>
    <row r="160" spans="1:16" ht="21.75" customHeight="1" x14ac:dyDescent="0.45">
      <c r="A160" s="175"/>
      <c r="B160" s="176"/>
      <c r="C160" s="176"/>
      <c r="D160" s="193"/>
      <c r="E160" s="195"/>
      <c r="F160" s="195"/>
      <c r="G160" s="279" t="s">
        <v>80</v>
      </c>
      <c r="H160" s="278" t="s">
        <v>37</v>
      </c>
      <c r="I160" s="187"/>
      <c r="J160" s="280">
        <f ca="1">IFERROR(__xludf.DUMMYFUNCTION("IMPORTRANGE(""https://docs.google.com/spreadsheets/d/11923uPwbBZFjjGgGUA6NLw09EwE0CqkOc4q9oUmW1yo/edit?usp=sharing"",""สุโขทัย!J85"")"),81)</f>
        <v>81</v>
      </c>
      <c r="K160" s="163"/>
      <c r="L160" s="181"/>
      <c r="M160" s="181"/>
      <c r="N160" s="181"/>
      <c r="O160" s="181"/>
      <c r="P160" s="181"/>
    </row>
    <row r="161" spans="1:16" ht="21.75" customHeight="1" x14ac:dyDescent="0.45">
      <c r="A161" s="175"/>
      <c r="B161" s="176"/>
      <c r="C161" s="176"/>
      <c r="D161" s="193"/>
      <c r="E161" s="195"/>
      <c r="F161" s="195"/>
      <c r="G161" s="279" t="s">
        <v>81</v>
      </c>
      <c r="H161" s="278" t="s">
        <v>37</v>
      </c>
      <c r="I161" s="187"/>
      <c r="J161" s="280">
        <f ca="1">IFERROR(__xludf.DUMMYFUNCTION("IMPORTRANGE(""https://docs.google.com/spreadsheets/d/11923uPwbBZFjjGgGUA6NLw09EwE0CqkOc4q9oUmW1yo/edit?usp=sharing"",""สุโขทัย!J86"")"),0)</f>
        <v>0</v>
      </c>
      <c r="K161" s="163"/>
      <c r="L161" s="181"/>
      <c r="M161" s="181"/>
      <c r="N161" s="181"/>
      <c r="O161" s="181"/>
      <c r="P161" s="181"/>
    </row>
    <row r="162" spans="1:16" ht="21.75" customHeight="1" x14ac:dyDescent="0.3">
      <c r="A162" s="175"/>
      <c r="B162" s="176"/>
      <c r="C162" s="176"/>
      <c r="D162" s="193"/>
      <c r="E162" s="194" t="s">
        <v>54</v>
      </c>
      <c r="F162" s="195"/>
      <c r="G162" s="196"/>
      <c r="H162" s="186"/>
      <c r="I162" s="187"/>
      <c r="J162" s="197">
        <f ca="1">IFERROR(__xludf.DUMMYFUNCTION("IMPORTRANGE(""https://docs.google.com/spreadsheets/d/11923uPwbBZFjjGgGUA6NLw09EwE0CqkOc4q9oUmW1yo/edit?usp=sharing"",""สุโขทัย!J87"")"),0)</f>
        <v>0</v>
      </c>
      <c r="K162" s="163"/>
      <c r="L162" s="181"/>
      <c r="M162" s="181"/>
      <c r="N162" s="181"/>
      <c r="O162" s="181"/>
      <c r="P162" s="181"/>
    </row>
    <row r="163" spans="1:16" ht="21.75" customHeight="1" x14ac:dyDescent="0.3">
      <c r="A163" s="175"/>
      <c r="B163" s="176"/>
      <c r="C163" s="176"/>
      <c r="D163" s="205">
        <v>3</v>
      </c>
      <c r="E163" s="206" t="s">
        <v>55</v>
      </c>
      <c r="F163" s="207"/>
      <c r="G163" s="208"/>
      <c r="H163" s="186"/>
      <c r="I163" s="187"/>
      <c r="J163" s="209">
        <f ca="1">IFERROR(__xludf.DUMMYFUNCTION("IMPORTRANGE(""https://docs.google.com/spreadsheets/d/11923uPwbBZFjjGgGUA6NLw09EwE0CqkOc4q9oUmW1yo/edit?usp=sharing"",""สุโขทัย!J88"")"),0)</f>
        <v>0</v>
      </c>
      <c r="K163" s="163"/>
      <c r="L163" s="181"/>
      <c r="M163" s="181"/>
      <c r="N163" s="181"/>
      <c r="O163" s="181"/>
      <c r="P163" s="181"/>
    </row>
    <row r="164" spans="1:16" ht="21.75" customHeight="1" x14ac:dyDescent="0.3">
      <c r="A164" s="269"/>
      <c r="B164" s="270"/>
      <c r="C164" s="271" t="s">
        <v>82</v>
      </c>
      <c r="D164" s="271"/>
      <c r="E164" s="271"/>
      <c r="F164" s="271"/>
      <c r="G164" s="272"/>
      <c r="H164" s="281" t="s">
        <v>83</v>
      </c>
      <c r="I164" s="282">
        <f ca="1">IFERROR(__xludf.DUMMYFUNCTION("IMPORTRANGE(""https://docs.google.com/spreadsheets/d/11923uPwbBZFjjGgGUA6NLw09EwE0CqkOc4q9oUmW1yo/edit?usp=sharing"",""สุโขทัย!I89"")"),4)</f>
        <v>4</v>
      </c>
      <c r="J164" s="282">
        <f ca="1">IFERROR(__xludf.DUMMYFUNCTION("IMPORTRANGE(""https://docs.google.com/spreadsheets/d/11923uPwbBZFjjGgGUA6NLw09EwE0CqkOc4q9oUmW1yo/edit?usp=sharing"",""สุโขทัย!J89"")"),3)</f>
        <v>3</v>
      </c>
      <c r="K164" s="283">
        <f ca="1">IF(I164&gt;0,J164*100/I164,0)</f>
        <v>75</v>
      </c>
      <c r="L164" s="276"/>
      <c r="M164" s="276"/>
      <c r="N164" s="276"/>
      <c r="O164" s="276"/>
      <c r="P164" s="276"/>
    </row>
    <row r="165" spans="1:16" ht="21.75" customHeight="1" x14ac:dyDescent="0.3">
      <c r="A165" s="156"/>
      <c r="B165" s="157"/>
      <c r="C165" s="157" t="s">
        <v>16</v>
      </c>
      <c r="D165" s="158" t="s">
        <v>38</v>
      </c>
      <c r="E165" s="159"/>
      <c r="F165" s="159"/>
      <c r="G165" s="160" t="s">
        <v>39</v>
      </c>
      <c r="H165" s="161" t="s">
        <v>12</v>
      </c>
      <c r="I165" s="162" t="s">
        <v>40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3">
      <c r="A166" s="156"/>
      <c r="B166" s="157"/>
      <c r="C166" s="157"/>
      <c r="D166" s="166"/>
      <c r="E166" s="159"/>
      <c r="F166" s="159" t="s">
        <v>40</v>
      </c>
      <c r="G166" s="160" t="s">
        <v>41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3">
      <c r="A167" s="156"/>
      <c r="B167" s="157"/>
      <c r="C167" s="157"/>
      <c r="D167" s="166"/>
      <c r="E167" s="159"/>
      <c r="F167" s="159"/>
      <c r="G167" s="169" t="s">
        <v>43</v>
      </c>
      <c r="H167" s="161" t="s">
        <v>12</v>
      </c>
      <c r="I167" s="162"/>
      <c r="J167" s="162"/>
      <c r="K167" s="163"/>
      <c r="L167" s="168"/>
      <c r="M167" s="168"/>
      <c r="N167" s="167"/>
      <c r="O167" s="168"/>
      <c r="P167" s="168"/>
    </row>
    <row r="168" spans="1:16" ht="21.75" customHeight="1" x14ac:dyDescent="0.3">
      <c r="A168" s="175"/>
      <c r="B168" s="176"/>
      <c r="C168" s="157" t="s">
        <v>16</v>
      </c>
      <c r="D168" s="177" t="s">
        <v>44</v>
      </c>
      <c r="E168" s="178"/>
      <c r="F168" s="178"/>
      <c r="G168" s="179"/>
      <c r="H168" s="180"/>
      <c r="I168" s="162"/>
      <c r="J168" s="162"/>
      <c r="K168" s="163"/>
      <c r="L168" s="181"/>
      <c r="M168" s="181"/>
      <c r="N168" s="181"/>
      <c r="O168" s="181"/>
      <c r="P168" s="181"/>
    </row>
    <row r="169" spans="1:16" ht="21.75" customHeight="1" x14ac:dyDescent="0.3">
      <c r="A169" s="175"/>
      <c r="B169" s="176"/>
      <c r="C169" s="176"/>
      <c r="D169" s="182">
        <v>1</v>
      </c>
      <c r="E169" s="183" t="s">
        <v>45</v>
      </c>
      <c r="F169" s="184"/>
      <c r="G169" s="185"/>
      <c r="H169" s="186"/>
      <c r="I169" s="187"/>
      <c r="J169" s="188">
        <f ca="1">IFERROR(__xludf.DUMMYFUNCTION("IMPORTRANGE(""https://docs.google.com/spreadsheets/d/11923uPwbBZFjjGgGUA6NLw09EwE0CqkOc4q9oUmW1yo/edit?usp=sharing"",""สุโขทัย!J94"")"),0)</f>
        <v>0</v>
      </c>
      <c r="K169" s="163"/>
      <c r="L169" s="181"/>
      <c r="M169" s="181"/>
      <c r="N169" s="181"/>
      <c r="O169" s="181"/>
      <c r="P169" s="181"/>
    </row>
    <row r="170" spans="1:16" ht="21.75" customHeight="1" x14ac:dyDescent="0.3">
      <c r="A170" s="175"/>
      <c r="B170" s="176"/>
      <c r="C170" s="176"/>
      <c r="D170" s="189">
        <v>2</v>
      </c>
      <c r="E170" s="190" t="s">
        <v>46</v>
      </c>
      <c r="F170" s="191"/>
      <c r="G170" s="192"/>
      <c r="H170" s="186"/>
      <c r="I170" s="187"/>
      <c r="J170" s="197">
        <f ca="1">IFERROR(__xludf.DUMMYFUNCTION("IMPORTRANGE(""https://docs.google.com/spreadsheets/d/11923uPwbBZFjjGgGUA6NLw09EwE0CqkOc4q9oUmW1yo/edit?usp=sharing"",""สุโขทัย!J95"")"),1)</f>
        <v>1</v>
      </c>
      <c r="K170" s="163"/>
      <c r="L170" s="181"/>
      <c r="M170" s="181"/>
      <c r="N170" s="181"/>
      <c r="O170" s="181"/>
      <c r="P170" s="181"/>
    </row>
    <row r="171" spans="1:16" ht="21.75" customHeight="1" x14ac:dyDescent="0.3">
      <c r="A171" s="175"/>
      <c r="B171" s="176"/>
      <c r="C171" s="176"/>
      <c r="D171" s="193"/>
      <c r="E171" s="194" t="s">
        <v>47</v>
      </c>
      <c r="F171" s="195"/>
      <c r="G171" s="196"/>
      <c r="H171" s="186"/>
      <c r="I171" s="187"/>
      <c r="J171" s="197">
        <f ca="1">IFERROR(__xludf.DUMMYFUNCTION("IMPORTRANGE(""https://docs.google.com/spreadsheets/d/11923uPwbBZFjjGgGUA6NLw09EwE0CqkOc4q9oUmW1yo/edit?usp=sharing"",""สุโขทัย!J96"")"),1)</f>
        <v>1</v>
      </c>
      <c r="K171" s="163"/>
      <c r="L171" s="181"/>
      <c r="M171" s="181"/>
      <c r="N171" s="181"/>
      <c r="O171" s="181"/>
      <c r="P171" s="181"/>
    </row>
    <row r="172" spans="1:16" ht="21.75" customHeight="1" x14ac:dyDescent="0.3">
      <c r="A172" s="175"/>
      <c r="B172" s="176"/>
      <c r="C172" s="176"/>
      <c r="D172" s="193"/>
      <c r="E172" s="194" t="s">
        <v>48</v>
      </c>
      <c r="F172" s="195"/>
      <c r="G172" s="196"/>
      <c r="H172" s="186"/>
      <c r="I172" s="187"/>
      <c r="J172" s="197">
        <f ca="1">IFERROR(__xludf.DUMMYFUNCTION("IMPORTRANGE(""https://docs.google.com/spreadsheets/d/11923uPwbBZFjjGgGUA6NLw09EwE0CqkOc4q9oUmW1yo/edit?usp=sharing"",""สุโขทัย!J97"")"),1)</f>
        <v>1</v>
      </c>
      <c r="K172" s="163"/>
      <c r="L172" s="181"/>
      <c r="M172" s="181"/>
      <c r="N172" s="181"/>
      <c r="O172" s="181"/>
      <c r="P172" s="181"/>
    </row>
    <row r="173" spans="1:16" ht="21.75" customHeight="1" x14ac:dyDescent="0.3">
      <c r="A173" s="175"/>
      <c r="B173" s="176"/>
      <c r="C173" s="176"/>
      <c r="D173" s="193"/>
      <c r="E173" s="198"/>
      <c r="F173" s="204" t="s">
        <v>84</v>
      </c>
      <c r="G173" s="196"/>
      <c r="H173" s="180" t="s">
        <v>83</v>
      </c>
      <c r="I173" s="187">
        <f ca="1">IFERROR(__xludf.DUMMYFUNCTION("IMPORTRANGE(""https://docs.google.com/spreadsheets/d/11923uPwbBZFjjGgGUA6NLw09EwE0CqkOc4q9oUmW1yo/edit?usp=sharing"",""สุโขทัย!I98"")"),4)</f>
        <v>4</v>
      </c>
      <c r="J173" s="188">
        <f ca="1">IFERROR(__xludf.DUMMYFUNCTION("IMPORTRANGE(""https://docs.google.com/spreadsheets/d/11923uPwbBZFjjGgGUA6NLw09EwE0CqkOc4q9oUmW1yo/edit?usp=sharing"",""สุโขทัย!J98"")"),3)</f>
        <v>3</v>
      </c>
      <c r="K173" s="163">
        <f ca="1">IF(I173&gt;0,J173*100/I173,0)</f>
        <v>75</v>
      </c>
      <c r="L173" s="168"/>
      <c r="M173" s="168"/>
      <c r="N173" s="167"/>
      <c r="O173" s="168"/>
      <c r="P173" s="168"/>
    </row>
    <row r="174" spans="1:16" ht="21.75" customHeight="1" x14ac:dyDescent="0.3">
      <c r="A174" s="175"/>
      <c r="B174" s="176"/>
      <c r="C174" s="176"/>
      <c r="D174" s="193"/>
      <c r="E174" s="194" t="s">
        <v>54</v>
      </c>
      <c r="F174" s="195"/>
      <c r="G174" s="196"/>
      <c r="H174" s="186"/>
      <c r="I174" s="187"/>
      <c r="J174" s="197">
        <f ca="1">IFERROR(__xludf.DUMMYFUNCTION("IMPORTRANGE(""https://docs.google.com/spreadsheets/d/11923uPwbBZFjjGgGUA6NLw09EwE0CqkOc4q9oUmW1yo/edit?usp=sharing"",""สุโขทัย!J99"")"),0)</f>
        <v>0</v>
      </c>
      <c r="K174" s="163"/>
      <c r="L174" s="181"/>
      <c r="M174" s="181"/>
      <c r="N174" s="181"/>
      <c r="O174" s="181"/>
      <c r="P174" s="181"/>
    </row>
    <row r="175" spans="1:16" ht="21.75" customHeight="1" x14ac:dyDescent="0.3">
      <c r="A175" s="175"/>
      <c r="B175" s="176"/>
      <c r="C175" s="176"/>
      <c r="D175" s="205">
        <v>3</v>
      </c>
      <c r="E175" s="206" t="s">
        <v>55</v>
      </c>
      <c r="F175" s="207"/>
      <c r="G175" s="208"/>
      <c r="H175" s="186"/>
      <c r="I175" s="187"/>
      <c r="J175" s="209">
        <f ca="1">IFERROR(__xludf.DUMMYFUNCTION("IMPORTRANGE(""https://docs.google.com/spreadsheets/d/11923uPwbBZFjjGgGUA6NLw09EwE0CqkOc4q9oUmW1yo/edit?usp=sharing"",""สุโขทัย!J100"")"),0)</f>
        <v>0</v>
      </c>
      <c r="K175" s="163"/>
      <c r="L175" s="181"/>
      <c r="M175" s="181"/>
      <c r="N175" s="181"/>
      <c r="O175" s="181"/>
      <c r="P175" s="181"/>
    </row>
    <row r="176" spans="1:16" ht="21.75" customHeight="1" x14ac:dyDescent="0.3">
      <c r="A176" s="269"/>
      <c r="B176" s="270"/>
      <c r="C176" s="271" t="s">
        <v>85</v>
      </c>
      <c r="D176" s="271"/>
      <c r="E176" s="271"/>
      <c r="F176" s="271"/>
      <c r="G176" s="272"/>
      <c r="H176" s="281" t="s">
        <v>83</v>
      </c>
      <c r="I176" s="282">
        <f ca="1">IFERROR(__xludf.DUMMYFUNCTION("IMPORTRANGE(""https://docs.google.com/spreadsheets/d/11923uPwbBZFjjGgGUA6NLw09EwE0CqkOc4q9oUmW1yo/edit?usp=sharing"",""สุโขทัย!I101"")"),0)</f>
        <v>0</v>
      </c>
      <c r="J176" s="282">
        <f ca="1">IFERROR(__xludf.DUMMYFUNCTION("IMPORTRANGE(""https://docs.google.com/spreadsheets/d/11923uPwbBZFjjGgGUA6NLw09EwE0CqkOc4q9oUmW1yo/edit?usp=sharing"",""สุโขทัย!J101"")"),0)</f>
        <v>0</v>
      </c>
      <c r="K176" s="283">
        <f ca="1">IF(I176&gt;0,J176*100/I176,0)</f>
        <v>0</v>
      </c>
      <c r="L176" s="276"/>
      <c r="M176" s="276"/>
      <c r="N176" s="276"/>
      <c r="O176" s="276"/>
      <c r="P176" s="276"/>
    </row>
    <row r="177" spans="1:16" ht="21.75" customHeight="1" x14ac:dyDescent="0.3">
      <c r="A177" s="156"/>
      <c r="B177" s="157"/>
      <c r="C177" s="157" t="s">
        <v>16</v>
      </c>
      <c r="D177" s="158" t="s">
        <v>38</v>
      </c>
      <c r="E177" s="159"/>
      <c r="F177" s="159"/>
      <c r="G177" s="160" t="s">
        <v>39</v>
      </c>
      <c r="H177" s="161" t="s">
        <v>12</v>
      </c>
      <c r="I177" s="162" t="s">
        <v>40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3">
      <c r="A178" s="156"/>
      <c r="B178" s="157"/>
      <c r="C178" s="157"/>
      <c r="D178" s="166"/>
      <c r="E178" s="159"/>
      <c r="F178" s="159" t="s">
        <v>40</v>
      </c>
      <c r="G178" s="160" t="s">
        <v>41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3">
      <c r="A179" s="156"/>
      <c r="B179" s="157"/>
      <c r="C179" s="157"/>
      <c r="D179" s="166"/>
      <c r="E179" s="159"/>
      <c r="F179" s="159"/>
      <c r="G179" s="169" t="s">
        <v>43</v>
      </c>
      <c r="H179" s="161" t="s">
        <v>12</v>
      </c>
      <c r="I179" s="162"/>
      <c r="J179" s="187"/>
      <c r="K179" s="223"/>
      <c r="L179" s="168"/>
      <c r="M179" s="168"/>
      <c r="N179" s="167"/>
      <c r="O179" s="168"/>
      <c r="P179" s="168"/>
    </row>
    <row r="180" spans="1:16" ht="21.75" customHeight="1" x14ac:dyDescent="0.3">
      <c r="A180" s="175"/>
      <c r="B180" s="176"/>
      <c r="C180" s="157" t="s">
        <v>16</v>
      </c>
      <c r="D180" s="177" t="s">
        <v>44</v>
      </c>
      <c r="E180" s="178"/>
      <c r="F180" s="178"/>
      <c r="G180" s="179"/>
      <c r="H180" s="180"/>
      <c r="I180" s="162"/>
      <c r="J180" s="187"/>
      <c r="K180" s="223"/>
      <c r="L180" s="168"/>
      <c r="M180" s="168"/>
      <c r="N180" s="168"/>
      <c r="O180" s="181"/>
      <c r="P180" s="181"/>
    </row>
    <row r="181" spans="1:16" ht="21.75" customHeight="1" x14ac:dyDescent="0.3">
      <c r="A181" s="175"/>
      <c r="B181" s="176"/>
      <c r="C181" s="176"/>
      <c r="D181" s="182">
        <v>1</v>
      </c>
      <c r="E181" s="183" t="s">
        <v>45</v>
      </c>
      <c r="F181" s="184"/>
      <c r="G181" s="185"/>
      <c r="H181" s="186"/>
      <c r="I181" s="187"/>
      <c r="J181" s="187">
        <f ca="1">IFERROR(__xludf.DUMMYFUNCTION("IMPORTRANGE(""https://docs.google.com/spreadsheets/d/11923uPwbBZFjjGgGUA6NLw09EwE0CqkOc4q9oUmW1yo/edit?usp=sharing"",""สุโขทัย!J106"")"),0)</f>
        <v>0</v>
      </c>
      <c r="K181" s="223"/>
      <c r="L181" s="168"/>
      <c r="M181" s="168"/>
      <c r="N181" s="168"/>
      <c r="O181" s="181"/>
      <c r="P181" s="181"/>
    </row>
    <row r="182" spans="1:16" ht="21.75" customHeight="1" x14ac:dyDescent="0.3">
      <c r="A182" s="175"/>
      <c r="B182" s="176"/>
      <c r="C182" s="176"/>
      <c r="D182" s="189">
        <v>2</v>
      </c>
      <c r="E182" s="190" t="s">
        <v>46</v>
      </c>
      <c r="F182" s="191"/>
      <c r="G182" s="192"/>
      <c r="H182" s="186"/>
      <c r="I182" s="187"/>
      <c r="J182" s="187">
        <f ca="1">IFERROR(__xludf.DUMMYFUNCTION("IMPORTRANGE(""https://docs.google.com/spreadsheets/d/11923uPwbBZFjjGgGUA6NLw09EwE0CqkOc4q9oUmW1yo/edit?usp=sharing"",""สุโขทัย!J107"")"),0)</f>
        <v>0</v>
      </c>
      <c r="K182" s="223"/>
      <c r="L182" s="168"/>
      <c r="M182" s="168"/>
      <c r="N182" s="168"/>
      <c r="O182" s="181"/>
      <c r="P182" s="181"/>
    </row>
    <row r="183" spans="1:16" ht="21.75" customHeight="1" x14ac:dyDescent="0.3">
      <c r="A183" s="175"/>
      <c r="B183" s="176"/>
      <c r="C183" s="176"/>
      <c r="D183" s="193"/>
      <c r="E183" s="194" t="s">
        <v>47</v>
      </c>
      <c r="F183" s="195"/>
      <c r="G183" s="196"/>
      <c r="H183" s="186"/>
      <c r="I183" s="187"/>
      <c r="J183" s="187">
        <f ca="1">IFERROR(__xludf.DUMMYFUNCTION("IMPORTRANGE(""https://docs.google.com/spreadsheets/d/11923uPwbBZFjjGgGUA6NLw09EwE0CqkOc4q9oUmW1yo/edit?usp=sharing"",""สุโขทัย!J108"")"),0)</f>
        <v>0</v>
      </c>
      <c r="K183" s="223"/>
      <c r="L183" s="168"/>
      <c r="M183" s="168"/>
      <c r="N183" s="168"/>
      <c r="O183" s="181"/>
      <c r="P183" s="181"/>
    </row>
    <row r="184" spans="1:16" ht="21.75" customHeight="1" x14ac:dyDescent="0.3">
      <c r="A184" s="175"/>
      <c r="B184" s="176"/>
      <c r="C184" s="176"/>
      <c r="D184" s="193"/>
      <c r="E184" s="194" t="s">
        <v>48</v>
      </c>
      <c r="F184" s="195"/>
      <c r="G184" s="196"/>
      <c r="H184" s="186"/>
      <c r="I184" s="187"/>
      <c r="J184" s="187">
        <f ca="1">IFERROR(__xludf.DUMMYFUNCTION("IMPORTRANGE(""https://docs.google.com/spreadsheets/d/11923uPwbBZFjjGgGUA6NLw09EwE0CqkOc4q9oUmW1yo/edit?usp=sharing"",""สุโขทัย!J109"")"),0)</f>
        <v>0</v>
      </c>
      <c r="K184" s="223"/>
      <c r="L184" s="168"/>
      <c r="M184" s="168"/>
      <c r="N184" s="168"/>
      <c r="O184" s="181"/>
      <c r="P184" s="181"/>
    </row>
    <row r="185" spans="1:16" ht="21.75" customHeight="1" x14ac:dyDescent="0.3">
      <c r="A185" s="175"/>
      <c r="B185" s="176"/>
      <c r="C185" s="176"/>
      <c r="D185" s="193"/>
      <c r="E185" s="198"/>
      <c r="F185" s="194" t="s">
        <v>86</v>
      </c>
      <c r="G185" s="196"/>
      <c r="H185" s="180" t="s">
        <v>83</v>
      </c>
      <c r="I185" s="187">
        <f ca="1">IFERROR(__xludf.DUMMYFUNCTION("IMPORTRANGE(""https://docs.google.com/spreadsheets/d/11923uPwbBZFjjGgGUA6NLw09EwE0CqkOc4q9oUmW1yo/edit?usp=sharing"",""สุโขทัย!I110"")"),0)</f>
        <v>0</v>
      </c>
      <c r="J185" s="203">
        <f ca="1">IFERROR(__xludf.DUMMYFUNCTION("IMPORTRANGE(""https://docs.google.com/spreadsheets/d/11923uPwbBZFjjGgGUA6NLw09EwE0CqkOc4q9oUmW1yo/edit?usp=sharing"",""สุโขทัย!J110"")"),0)</f>
        <v>0</v>
      </c>
      <c r="K185" s="223">
        <f t="shared" ref="K185:K186" ca="1" si="69">IF(I185&gt;0,J185*100/I185,0)</f>
        <v>0</v>
      </c>
      <c r="L185" s="168"/>
      <c r="M185" s="168"/>
      <c r="N185" s="167"/>
      <c r="O185" s="168"/>
      <c r="P185" s="168"/>
    </row>
    <row r="186" spans="1:16" ht="21.75" customHeight="1" x14ac:dyDescent="0.3">
      <c r="A186" s="175"/>
      <c r="B186" s="176"/>
      <c r="C186" s="176"/>
      <c r="D186" s="193"/>
      <c r="E186" s="198"/>
      <c r="F186" s="194" t="s">
        <v>87</v>
      </c>
      <c r="G186" s="196"/>
      <c r="H186" s="180" t="s">
        <v>83</v>
      </c>
      <c r="I186" s="187">
        <f ca="1">IFERROR(__xludf.DUMMYFUNCTION("IMPORTRANGE(""https://docs.google.com/spreadsheets/d/11923uPwbBZFjjGgGUA6NLw09EwE0CqkOc4q9oUmW1yo/edit?usp=sharing"",""สุโขทัย!I111"")"),0)</f>
        <v>0</v>
      </c>
      <c r="J186" s="203">
        <f ca="1">IFERROR(__xludf.DUMMYFUNCTION("IMPORTRANGE(""https://docs.google.com/spreadsheets/d/11923uPwbBZFjjGgGUA6NLw09EwE0CqkOc4q9oUmW1yo/edit?usp=sharing"",""สุโขทัย!J111"")"),0)</f>
        <v>0</v>
      </c>
      <c r="K186" s="223">
        <f t="shared" ca="1" si="69"/>
        <v>0</v>
      </c>
      <c r="L186" s="168"/>
      <c r="M186" s="168"/>
      <c r="N186" s="167"/>
      <c r="O186" s="168"/>
      <c r="P186" s="168"/>
    </row>
    <row r="187" spans="1:16" ht="21.75" customHeight="1" x14ac:dyDescent="0.3">
      <c r="A187" s="175"/>
      <c r="B187" s="176"/>
      <c r="C187" s="176"/>
      <c r="D187" s="193"/>
      <c r="E187" s="194" t="s">
        <v>54</v>
      </c>
      <c r="F187" s="195"/>
      <c r="G187" s="196"/>
      <c r="H187" s="186"/>
      <c r="I187" s="187"/>
      <c r="J187" s="187">
        <f ca="1">IFERROR(__xludf.DUMMYFUNCTION("IMPORTRANGE(""https://docs.google.com/spreadsheets/d/11923uPwbBZFjjGgGUA6NLw09EwE0CqkOc4q9oUmW1yo/edit?usp=sharing"",""สุโขทัย!J112"")"),0)</f>
        <v>0</v>
      </c>
      <c r="K187" s="223"/>
      <c r="L187" s="168"/>
      <c r="M187" s="168"/>
      <c r="N187" s="168"/>
      <c r="O187" s="181"/>
      <c r="P187" s="181"/>
    </row>
    <row r="188" spans="1:16" ht="21.75" customHeight="1" x14ac:dyDescent="0.3">
      <c r="A188" s="175"/>
      <c r="B188" s="176"/>
      <c r="C188" s="176"/>
      <c r="D188" s="205">
        <v>3</v>
      </c>
      <c r="E188" s="206" t="s">
        <v>55</v>
      </c>
      <c r="F188" s="207"/>
      <c r="G188" s="208"/>
      <c r="H188" s="186"/>
      <c r="I188" s="187"/>
      <c r="J188" s="226">
        <f ca="1">IFERROR(__xludf.DUMMYFUNCTION("IMPORTRANGE(""https://docs.google.com/spreadsheets/d/11923uPwbBZFjjGgGUA6NLw09EwE0CqkOc4q9oUmW1yo/edit?usp=sharing"",""สุโขทัย!J113"")"),0)</f>
        <v>0</v>
      </c>
      <c r="K188" s="223"/>
      <c r="L188" s="168"/>
      <c r="M188" s="168"/>
      <c r="N188" s="168"/>
      <c r="O188" s="181"/>
      <c r="P188" s="181"/>
    </row>
    <row r="189" spans="1:16" ht="21.75" customHeight="1" x14ac:dyDescent="0.3">
      <c r="A189" s="269"/>
      <c r="B189" s="270"/>
      <c r="C189" s="271" t="s">
        <v>88</v>
      </c>
      <c r="D189" s="271"/>
      <c r="E189" s="271"/>
      <c r="F189" s="271"/>
      <c r="G189" s="272"/>
      <c r="H189" s="284" t="s">
        <v>89</v>
      </c>
      <c r="I189" s="282">
        <f ca="1">IFERROR(__xludf.DUMMYFUNCTION("IMPORTRANGE(""https://docs.google.com/spreadsheets/d/11923uPwbBZFjjGgGUA6NLw09EwE0CqkOc4q9oUmW1yo/edit?usp=sharing"",""สุโขทัย!I114"")"),50000)</f>
        <v>50000</v>
      </c>
      <c r="J189" s="282">
        <f ca="1">IFERROR(__xludf.DUMMYFUNCTION("IMPORTRANGE(""https://docs.google.com/spreadsheets/d/11923uPwbBZFjjGgGUA6NLw09EwE0CqkOc4q9oUmW1yo/edit?usp=sharing"",""สุโขทัย!J114"")"),0)</f>
        <v>0</v>
      </c>
      <c r="K189" s="283">
        <f ca="1">IF(I189&gt;0,J189*100/I189,0)</f>
        <v>0</v>
      </c>
      <c r="L189" s="276"/>
      <c r="M189" s="276"/>
      <c r="N189" s="276"/>
      <c r="O189" s="276"/>
      <c r="P189" s="276"/>
    </row>
    <row r="190" spans="1:16" ht="21.75" customHeight="1" x14ac:dyDescent="0.3">
      <c r="A190" s="156"/>
      <c r="B190" s="157"/>
      <c r="C190" s="157" t="s">
        <v>16</v>
      </c>
      <c r="D190" s="158" t="s">
        <v>38</v>
      </c>
      <c r="E190" s="159"/>
      <c r="F190" s="159"/>
      <c r="G190" s="160" t="s">
        <v>39</v>
      </c>
      <c r="H190" s="161" t="s">
        <v>12</v>
      </c>
      <c r="I190" s="162" t="s">
        <v>40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3">
      <c r="A191" s="156"/>
      <c r="B191" s="157"/>
      <c r="C191" s="157"/>
      <c r="D191" s="166"/>
      <c r="E191" s="159"/>
      <c r="F191" s="159" t="s">
        <v>40</v>
      </c>
      <c r="G191" s="160" t="s">
        <v>41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3">
      <c r="A192" s="156"/>
      <c r="B192" s="157"/>
      <c r="C192" s="157"/>
      <c r="D192" s="166"/>
      <c r="E192" s="159"/>
      <c r="F192" s="159"/>
      <c r="G192" s="169" t="s">
        <v>43</v>
      </c>
      <c r="H192" s="161" t="s">
        <v>12</v>
      </c>
      <c r="I192" s="162"/>
      <c r="J192" s="162"/>
      <c r="K192" s="163"/>
      <c r="L192" s="168"/>
      <c r="M192" s="168"/>
      <c r="N192" s="167"/>
      <c r="O192" s="168"/>
      <c r="P192" s="168"/>
    </row>
    <row r="193" spans="1:16" ht="21.75" customHeight="1" x14ac:dyDescent="0.3">
      <c r="A193" s="175"/>
      <c r="B193" s="176"/>
      <c r="C193" s="157" t="s">
        <v>16</v>
      </c>
      <c r="D193" s="177" t="s">
        <v>44</v>
      </c>
      <c r="E193" s="178"/>
      <c r="F193" s="178"/>
      <c r="G193" s="179"/>
      <c r="H193" s="180"/>
      <c r="I193" s="162"/>
      <c r="J193" s="162"/>
      <c r="K193" s="163"/>
      <c r="L193" s="181"/>
      <c r="M193" s="181"/>
      <c r="N193" s="181"/>
      <c r="O193" s="181"/>
      <c r="P193" s="181"/>
    </row>
    <row r="194" spans="1:16" ht="21.75" customHeight="1" x14ac:dyDescent="0.3">
      <c r="A194" s="175"/>
      <c r="B194" s="176"/>
      <c r="C194" s="176"/>
      <c r="D194" s="182">
        <v>1</v>
      </c>
      <c r="E194" s="183" t="s">
        <v>45</v>
      </c>
      <c r="F194" s="184"/>
      <c r="G194" s="185"/>
      <c r="H194" s="186"/>
      <c r="I194" s="187"/>
      <c r="J194" s="197">
        <f ca="1">IFERROR(__xludf.DUMMYFUNCTION("IMPORTRANGE(""https://docs.google.com/spreadsheets/d/11923uPwbBZFjjGgGUA6NLw09EwE0CqkOc4q9oUmW1yo/edit?usp=sharing"",""สุโขทัย!J119"")"),0)</f>
        <v>0</v>
      </c>
      <c r="K194" s="163"/>
      <c r="L194" s="181"/>
      <c r="M194" s="181"/>
      <c r="N194" s="181"/>
      <c r="O194" s="181"/>
      <c r="P194" s="181"/>
    </row>
    <row r="195" spans="1:16" ht="21.75" customHeight="1" x14ac:dyDescent="0.3">
      <c r="A195" s="175"/>
      <c r="B195" s="176"/>
      <c r="C195" s="176"/>
      <c r="D195" s="189">
        <v>2</v>
      </c>
      <c r="E195" s="190" t="s">
        <v>46</v>
      </c>
      <c r="F195" s="191"/>
      <c r="G195" s="192"/>
      <c r="H195" s="186"/>
      <c r="I195" s="187"/>
      <c r="J195" s="188">
        <f ca="1">IFERROR(__xludf.DUMMYFUNCTION("IMPORTRANGE(""https://docs.google.com/spreadsheets/d/11923uPwbBZFjjGgGUA6NLw09EwE0CqkOc4q9oUmW1yo/edit?usp=sharing"",""สุโขทัย!J120"")"),1)</f>
        <v>1</v>
      </c>
      <c r="K195" s="163"/>
      <c r="L195" s="181"/>
      <c r="M195" s="181"/>
      <c r="N195" s="181"/>
      <c r="O195" s="181"/>
      <c r="P195" s="181"/>
    </row>
    <row r="196" spans="1:16" ht="21.75" customHeight="1" x14ac:dyDescent="0.3">
      <c r="A196" s="175"/>
      <c r="B196" s="176"/>
      <c r="C196" s="176"/>
      <c r="D196" s="193"/>
      <c r="E196" s="194" t="s">
        <v>47</v>
      </c>
      <c r="F196" s="195"/>
      <c r="G196" s="196"/>
      <c r="H196" s="186"/>
      <c r="I196" s="187"/>
      <c r="J196" s="188">
        <f ca="1">IFERROR(__xludf.DUMMYFUNCTION("IMPORTRANGE(""https://docs.google.com/spreadsheets/d/11923uPwbBZFjjGgGUA6NLw09EwE0CqkOc4q9oUmW1yo/edit?usp=sharing"",""สุโขทัย!J121"")"),1)</f>
        <v>1</v>
      </c>
      <c r="K196" s="163"/>
      <c r="L196" s="181"/>
      <c r="M196" s="181"/>
      <c r="N196" s="181"/>
      <c r="O196" s="181"/>
      <c r="P196" s="181"/>
    </row>
    <row r="197" spans="1:16" ht="21.75" customHeight="1" x14ac:dyDescent="0.3">
      <c r="A197" s="175"/>
      <c r="B197" s="176"/>
      <c r="C197" s="176"/>
      <c r="D197" s="193"/>
      <c r="E197" s="194" t="s">
        <v>48</v>
      </c>
      <c r="F197" s="195"/>
      <c r="G197" s="196"/>
      <c r="H197" s="186"/>
      <c r="I197" s="187"/>
      <c r="J197" s="197">
        <f ca="1">IFERROR(__xludf.DUMMYFUNCTION("IMPORTRANGE(""https://docs.google.com/spreadsheets/d/11923uPwbBZFjjGgGUA6NLw09EwE0CqkOc4q9oUmW1yo/edit?usp=sharing"",""สุโขทัย!J122"")"),0)</f>
        <v>0</v>
      </c>
      <c r="K197" s="163"/>
      <c r="L197" s="181"/>
      <c r="M197" s="181"/>
      <c r="N197" s="181"/>
      <c r="O197" s="181"/>
      <c r="P197" s="181"/>
    </row>
    <row r="198" spans="1:16" ht="21.75" customHeight="1" x14ac:dyDescent="0.3">
      <c r="A198" s="175"/>
      <c r="B198" s="176"/>
      <c r="C198" s="176"/>
      <c r="D198" s="193"/>
      <c r="E198" s="195"/>
      <c r="F198" s="195" t="s">
        <v>90</v>
      </c>
      <c r="G198" s="196"/>
      <c r="H198" s="180"/>
      <c r="I198" s="187"/>
      <c r="J198" s="187"/>
      <c r="K198" s="163"/>
      <c r="L198" s="181"/>
      <c r="M198" s="181"/>
      <c r="N198" s="181"/>
      <c r="O198" s="181"/>
      <c r="P198" s="181"/>
    </row>
    <row r="199" spans="1:16" ht="21.75" customHeight="1" x14ac:dyDescent="0.3">
      <c r="A199" s="175"/>
      <c r="B199" s="176"/>
      <c r="C199" s="176"/>
      <c r="D199" s="193"/>
      <c r="E199" s="198"/>
      <c r="F199" s="195"/>
      <c r="G199" s="194" t="s">
        <v>91</v>
      </c>
      <c r="H199" s="180" t="s">
        <v>89</v>
      </c>
      <c r="I199" s="187">
        <f ca="1">IFERROR(__xludf.DUMMYFUNCTION("IMPORTRANGE(""https://docs.google.com/spreadsheets/d/11923uPwbBZFjjGgGUA6NLw09EwE0CqkOc4q9oUmW1yo/edit?usp=sharing"",""สุโขทัย!I124"")"),50000)</f>
        <v>50000</v>
      </c>
      <c r="J199" s="188">
        <f ca="1">IFERROR(__xludf.DUMMYFUNCTION("IMPORTRANGE(""https://docs.google.com/spreadsheets/d/11923uPwbBZFjjGgGUA6NLw09EwE0CqkOc4q9oUmW1yo/edit?usp=sharing"",""สุโขทัย!J124"")"),0)</f>
        <v>0</v>
      </c>
      <c r="K199" s="163">
        <f t="shared" ref="K199:K201" ca="1" si="70">IF(I199&gt;0,J199*100/I199,0)</f>
        <v>0</v>
      </c>
      <c r="L199" s="181"/>
      <c r="M199" s="181"/>
      <c r="N199" s="181"/>
      <c r="O199" s="181"/>
      <c r="P199" s="181"/>
    </row>
    <row r="200" spans="1:16" ht="21.75" customHeight="1" x14ac:dyDescent="0.3">
      <c r="A200" s="175"/>
      <c r="B200" s="176"/>
      <c r="C200" s="176"/>
      <c r="D200" s="193"/>
      <c r="E200" s="198"/>
      <c r="F200" s="195"/>
      <c r="G200" s="194" t="s">
        <v>92</v>
      </c>
      <c r="H200" s="180" t="s">
        <v>89</v>
      </c>
      <c r="I200" s="187">
        <f ca="1">IFERROR(__xludf.DUMMYFUNCTION("IMPORTRANGE(""https://docs.google.com/spreadsheets/d/11923uPwbBZFjjGgGUA6NLw09EwE0CqkOc4q9oUmW1yo/edit?usp=sharing"",""สุโขทัย!I125"")"),50000)</f>
        <v>50000</v>
      </c>
      <c r="J200" s="188">
        <f ca="1">IFERROR(__xludf.DUMMYFUNCTION("IMPORTRANGE(""https://docs.google.com/spreadsheets/d/11923uPwbBZFjjGgGUA6NLw09EwE0CqkOc4q9oUmW1yo/edit?usp=sharing"",""สุโขทัย!J125"")"),0)</f>
        <v>0</v>
      </c>
      <c r="K200" s="163">
        <f t="shared" ca="1" si="70"/>
        <v>0</v>
      </c>
      <c r="L200" s="168"/>
      <c r="M200" s="168"/>
      <c r="N200" s="167"/>
      <c r="O200" s="168"/>
      <c r="P200" s="168"/>
    </row>
    <row r="201" spans="1:16" ht="21.75" customHeight="1" x14ac:dyDescent="0.3">
      <c r="A201" s="175"/>
      <c r="B201" s="176"/>
      <c r="C201" s="176"/>
      <c r="D201" s="193"/>
      <c r="E201" s="198"/>
      <c r="F201" s="195" t="s">
        <v>93</v>
      </c>
      <c r="G201" s="196"/>
      <c r="H201" s="180" t="s">
        <v>37</v>
      </c>
      <c r="I201" s="187">
        <f ca="1">IFERROR(__xludf.DUMMYFUNCTION("IMPORTRANGE(""https://docs.google.com/spreadsheets/d/11923uPwbBZFjjGgGUA6NLw09EwE0CqkOc4q9oUmW1yo/edit?usp=sharing"",""สุโขทัย!I126"")"),0)</f>
        <v>0</v>
      </c>
      <c r="J201" s="188">
        <f ca="1">IFERROR(__xludf.DUMMYFUNCTION("IMPORTRANGE(""https://docs.google.com/spreadsheets/d/11923uPwbBZFjjGgGUA6NLw09EwE0CqkOc4q9oUmW1yo/edit?usp=sharing"",""สุโขทัย!J126"")"),0)</f>
        <v>0</v>
      </c>
      <c r="K201" s="163">
        <f t="shared" ca="1" si="70"/>
        <v>0</v>
      </c>
      <c r="L201" s="168"/>
      <c r="M201" s="168"/>
      <c r="N201" s="167"/>
      <c r="O201" s="168"/>
      <c r="P201" s="168"/>
    </row>
    <row r="202" spans="1:16" ht="21.75" customHeight="1" x14ac:dyDescent="0.3">
      <c r="A202" s="175"/>
      <c r="B202" s="176"/>
      <c r="C202" s="176"/>
      <c r="D202" s="193"/>
      <c r="E202" s="194" t="s">
        <v>54</v>
      </c>
      <c r="F202" s="195"/>
      <c r="G202" s="196"/>
      <c r="H202" s="186"/>
      <c r="I202" s="187"/>
      <c r="J202" s="197">
        <f ca="1">IFERROR(__xludf.DUMMYFUNCTION("IMPORTRANGE(""https://docs.google.com/spreadsheets/d/11923uPwbBZFjjGgGUA6NLw09EwE0CqkOc4q9oUmW1yo/edit?usp=sharing"",""สุโขทัย!J127"")"),0)</f>
        <v>0</v>
      </c>
      <c r="K202" s="163"/>
      <c r="L202" s="181"/>
      <c r="M202" s="181"/>
      <c r="N202" s="181"/>
      <c r="O202" s="181"/>
      <c r="P202" s="181"/>
    </row>
    <row r="203" spans="1:16" ht="21.75" customHeight="1" x14ac:dyDescent="0.3">
      <c r="A203" s="233"/>
      <c r="B203" s="234"/>
      <c r="C203" s="234"/>
      <c r="D203" s="235">
        <v>3</v>
      </c>
      <c r="E203" s="236" t="s">
        <v>55</v>
      </c>
      <c r="F203" s="237"/>
      <c r="G203" s="238"/>
      <c r="H203" s="239"/>
      <c r="I203" s="240"/>
      <c r="J203" s="285">
        <f ca="1">IFERROR(__xludf.DUMMYFUNCTION("IMPORTRANGE(""https://docs.google.com/spreadsheets/d/11923uPwbBZFjjGgGUA6NLw09EwE0CqkOc4q9oUmW1yo/edit?usp=sharing"",""สุโขทัย!J128"")"),0)</f>
        <v>0</v>
      </c>
      <c r="K203" s="286"/>
      <c r="L203" s="244"/>
      <c r="M203" s="244"/>
      <c r="N203" s="244"/>
      <c r="O203" s="244"/>
      <c r="P203" s="244"/>
    </row>
    <row r="204" spans="1:16" ht="21.75" customHeight="1" x14ac:dyDescent="0.3">
      <c r="A204" s="269"/>
      <c r="B204" s="270"/>
      <c r="C204" s="287" t="s">
        <v>94</v>
      </c>
      <c r="D204" s="271"/>
      <c r="E204" s="271"/>
      <c r="F204" s="271"/>
      <c r="G204" s="272"/>
      <c r="H204" s="284" t="s">
        <v>37</v>
      </c>
      <c r="I204" s="282">
        <f ca="1">IFERROR(__xludf.DUMMYFUNCTION("IMPORTRANGE(""https://docs.google.com/spreadsheets/d/11923uPwbBZFjjGgGUA6NLw09EwE0CqkOc4q9oUmW1yo/edit?usp=sharing"",""สุโขทัย!I129"")"),0)</f>
        <v>0</v>
      </c>
      <c r="J204" s="282">
        <f ca="1">IFERROR(__xludf.DUMMYFUNCTION("IMPORTRANGE(""https://docs.google.com/spreadsheets/d/11923uPwbBZFjjGgGUA6NLw09EwE0CqkOc4q9oUmW1yo/edit?usp=sharing"",""สุโขทัย!J129"")"),0)</f>
        <v>0</v>
      </c>
      <c r="K204" s="283">
        <f ca="1">IF(I204&gt;0,J204*100/I204,0)</f>
        <v>0</v>
      </c>
      <c r="L204" s="276"/>
      <c r="M204" s="276"/>
      <c r="N204" s="276"/>
      <c r="O204" s="276"/>
      <c r="P204" s="276"/>
    </row>
    <row r="205" spans="1:16" ht="21.75" customHeight="1" x14ac:dyDescent="0.3">
      <c r="A205" s="156"/>
      <c r="B205" s="157"/>
      <c r="C205" s="157" t="s">
        <v>16</v>
      </c>
      <c r="D205" s="158" t="s">
        <v>38</v>
      </c>
      <c r="E205" s="159"/>
      <c r="F205" s="159"/>
      <c r="G205" s="160" t="s">
        <v>39</v>
      </c>
      <c r="H205" s="161" t="s">
        <v>12</v>
      </c>
      <c r="I205" s="162" t="s">
        <v>40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3">
      <c r="A206" s="156"/>
      <c r="B206" s="157"/>
      <c r="C206" s="157"/>
      <c r="D206" s="166"/>
      <c r="E206" s="159"/>
      <c r="F206" s="159" t="s">
        <v>40</v>
      </c>
      <c r="G206" s="160" t="s">
        <v>41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3">
      <c r="A207" s="156"/>
      <c r="B207" s="157"/>
      <c r="C207" s="157"/>
      <c r="D207" s="166"/>
      <c r="E207" s="159"/>
      <c r="F207" s="159"/>
      <c r="G207" s="169" t="s">
        <v>43</v>
      </c>
      <c r="H207" s="161" t="s">
        <v>12</v>
      </c>
      <c r="I207" s="162"/>
      <c r="J207" s="187"/>
      <c r="K207" s="223"/>
      <c r="L207" s="168"/>
      <c r="M207" s="168"/>
      <c r="N207" s="167"/>
      <c r="O207" s="168"/>
      <c r="P207" s="168"/>
    </row>
    <row r="208" spans="1:16" ht="21.75" customHeight="1" x14ac:dyDescent="0.3">
      <c r="A208" s="175"/>
      <c r="B208" s="176"/>
      <c r="C208" s="157" t="s">
        <v>16</v>
      </c>
      <c r="D208" s="177" t="s">
        <v>44</v>
      </c>
      <c r="E208" s="178"/>
      <c r="F208" s="178"/>
      <c r="G208" s="179"/>
      <c r="H208" s="180"/>
      <c r="I208" s="162"/>
      <c r="J208" s="187"/>
      <c r="K208" s="223"/>
      <c r="L208" s="168"/>
      <c r="M208" s="168"/>
      <c r="N208" s="168"/>
      <c r="O208" s="181"/>
      <c r="P208" s="181"/>
    </row>
    <row r="209" spans="1:16" ht="21.75" customHeight="1" x14ac:dyDescent="0.3">
      <c r="A209" s="175"/>
      <c r="B209" s="176"/>
      <c r="C209" s="176"/>
      <c r="D209" s="182">
        <v>1</v>
      </c>
      <c r="E209" s="183" t="s">
        <v>45</v>
      </c>
      <c r="F209" s="184"/>
      <c r="G209" s="185"/>
      <c r="H209" s="186"/>
      <c r="I209" s="187"/>
      <c r="J209" s="187">
        <f ca="1">IFERROR(__xludf.DUMMYFUNCTION("IMPORTRANGE(""https://docs.google.com/spreadsheets/d/11923uPwbBZFjjGgGUA6NLw09EwE0CqkOc4q9oUmW1yo/edit?usp=sharing"",""สุโขทัย!J134"")"),0)</f>
        <v>0</v>
      </c>
      <c r="K209" s="223"/>
      <c r="L209" s="168"/>
      <c r="M209" s="168"/>
      <c r="N209" s="168"/>
      <c r="O209" s="181"/>
      <c r="P209" s="181"/>
    </row>
    <row r="210" spans="1:16" ht="21.75" customHeight="1" x14ac:dyDescent="0.3">
      <c r="A210" s="175"/>
      <c r="B210" s="176"/>
      <c r="C210" s="176"/>
      <c r="D210" s="189">
        <v>2</v>
      </c>
      <c r="E210" s="190" t="s">
        <v>46</v>
      </c>
      <c r="F210" s="191"/>
      <c r="G210" s="192"/>
      <c r="H210" s="186"/>
      <c r="I210" s="187"/>
      <c r="J210" s="187">
        <f ca="1">IFERROR(__xludf.DUMMYFUNCTION("IMPORTRANGE(""https://docs.google.com/spreadsheets/d/11923uPwbBZFjjGgGUA6NLw09EwE0CqkOc4q9oUmW1yo/edit?usp=sharing"",""สุโขทัย!J135"")"),0)</f>
        <v>0</v>
      </c>
      <c r="K210" s="223"/>
      <c r="L210" s="168"/>
      <c r="M210" s="168"/>
      <c r="N210" s="168"/>
      <c r="O210" s="181"/>
      <c r="P210" s="181"/>
    </row>
    <row r="211" spans="1:16" ht="21.75" customHeight="1" x14ac:dyDescent="0.3">
      <c r="A211" s="175"/>
      <c r="B211" s="176"/>
      <c r="C211" s="176"/>
      <c r="D211" s="193"/>
      <c r="E211" s="194" t="s">
        <v>47</v>
      </c>
      <c r="F211" s="195"/>
      <c r="G211" s="196"/>
      <c r="H211" s="186"/>
      <c r="I211" s="187"/>
      <c r="J211" s="187">
        <f ca="1">IFERROR(__xludf.DUMMYFUNCTION("IMPORTRANGE(""https://docs.google.com/spreadsheets/d/11923uPwbBZFjjGgGUA6NLw09EwE0CqkOc4q9oUmW1yo/edit?usp=sharing"",""สุโขทัย!J136"")"),0)</f>
        <v>0</v>
      </c>
      <c r="K211" s="223"/>
      <c r="L211" s="168"/>
      <c r="M211" s="168"/>
      <c r="N211" s="168"/>
      <c r="O211" s="181"/>
      <c r="P211" s="181"/>
    </row>
    <row r="212" spans="1:16" ht="21.75" customHeight="1" x14ac:dyDescent="0.3">
      <c r="A212" s="175"/>
      <c r="B212" s="176"/>
      <c r="C212" s="176"/>
      <c r="D212" s="193"/>
      <c r="E212" s="194" t="s">
        <v>48</v>
      </c>
      <c r="F212" s="195"/>
      <c r="G212" s="196"/>
      <c r="H212" s="186"/>
      <c r="I212" s="187"/>
      <c r="J212" s="187">
        <f ca="1">IFERROR(__xludf.DUMMYFUNCTION("IMPORTRANGE(""https://docs.google.com/spreadsheets/d/11923uPwbBZFjjGgGUA6NLw09EwE0CqkOc4q9oUmW1yo/edit?usp=sharing"",""สุโขทัย!J137"")"),0)</f>
        <v>0</v>
      </c>
      <c r="K212" s="223"/>
      <c r="L212" s="168"/>
      <c r="M212" s="168"/>
      <c r="N212" s="168"/>
      <c r="O212" s="181"/>
      <c r="P212" s="181"/>
    </row>
    <row r="213" spans="1:16" ht="21.75" customHeight="1" x14ac:dyDescent="0.3">
      <c r="A213" s="175"/>
      <c r="B213" s="176"/>
      <c r="C213" s="176"/>
      <c r="D213" s="193"/>
      <c r="E213" s="198"/>
      <c r="F213" s="195" t="s">
        <v>95</v>
      </c>
      <c r="G213" s="196"/>
      <c r="H213" s="180" t="s">
        <v>37</v>
      </c>
      <c r="I213" s="187">
        <f ca="1">IFERROR(__xludf.DUMMYFUNCTION("IMPORTRANGE(""https://docs.google.com/spreadsheets/d/11923uPwbBZFjjGgGUA6NLw09EwE0CqkOc4q9oUmW1yo/edit?usp=sharing"",""สุโขทัย!I138"")"),0)</f>
        <v>0</v>
      </c>
      <c r="J213" s="203">
        <f ca="1">IFERROR(__xludf.DUMMYFUNCTION("IMPORTRANGE(""https://docs.google.com/spreadsheets/d/11923uPwbBZFjjGgGUA6NLw09EwE0CqkOc4q9oUmW1yo/edit?usp=sharing"",""สุโขทัย!J138"")"),0)</f>
        <v>0</v>
      </c>
      <c r="K213" s="223">
        <f ca="1">IF(I213&gt;0,J213*100/I213,0)</f>
        <v>0</v>
      </c>
      <c r="L213" s="168"/>
      <c r="M213" s="168"/>
      <c r="N213" s="167"/>
      <c r="O213" s="168"/>
      <c r="P213" s="168"/>
    </row>
    <row r="214" spans="1:16" ht="21.75" customHeight="1" x14ac:dyDescent="0.3">
      <c r="A214" s="175"/>
      <c r="B214" s="176"/>
      <c r="C214" s="176"/>
      <c r="D214" s="193"/>
      <c r="E214" s="198"/>
      <c r="F214" s="194" t="s">
        <v>53</v>
      </c>
      <c r="G214" s="196"/>
      <c r="H214" s="180"/>
      <c r="I214" s="187"/>
      <c r="J214" s="187"/>
      <c r="K214" s="223"/>
      <c r="L214" s="168"/>
      <c r="M214" s="168"/>
      <c r="N214" s="168"/>
      <c r="O214" s="181"/>
      <c r="P214" s="181"/>
    </row>
    <row r="215" spans="1:16" ht="21.75" customHeight="1" x14ac:dyDescent="0.3">
      <c r="A215" s="175"/>
      <c r="B215" s="176"/>
      <c r="C215" s="176"/>
      <c r="D215" s="193"/>
      <c r="E215" s="198"/>
      <c r="F215" s="195"/>
      <c r="G215" s="225" t="s">
        <v>96</v>
      </c>
      <c r="H215" s="180" t="s">
        <v>37</v>
      </c>
      <c r="I215" s="187">
        <f ca="1">IFERROR(__xludf.DUMMYFUNCTION("IMPORTRANGE(""https://docs.google.com/spreadsheets/d/11923uPwbBZFjjGgGUA6NLw09EwE0CqkOc4q9oUmW1yo/edit?usp=sharing"",""สุโขทัย!I140"")"),0)</f>
        <v>0</v>
      </c>
      <c r="J215" s="203">
        <f ca="1">IFERROR(__xludf.DUMMYFUNCTION("IMPORTRANGE(""https://docs.google.com/spreadsheets/d/11923uPwbBZFjjGgGUA6NLw09EwE0CqkOc4q9oUmW1yo/edit?usp=sharing"",""สุโขทัย!J140"")"),0)</f>
        <v>0</v>
      </c>
      <c r="K215" s="223">
        <f t="shared" ref="K215:K216" ca="1" si="71">IF(I215&gt;0,J215*100/I215,0)</f>
        <v>0</v>
      </c>
      <c r="L215" s="168"/>
      <c r="M215" s="168"/>
      <c r="N215" s="167"/>
      <c r="O215" s="168"/>
      <c r="P215" s="168"/>
    </row>
    <row r="216" spans="1:16" ht="21.75" customHeight="1" x14ac:dyDescent="0.3">
      <c r="A216" s="175"/>
      <c r="B216" s="176"/>
      <c r="C216" s="176"/>
      <c r="D216" s="193"/>
      <c r="E216" s="198"/>
      <c r="F216" s="195"/>
      <c r="G216" s="225" t="s">
        <v>97</v>
      </c>
      <c r="H216" s="180" t="s">
        <v>59</v>
      </c>
      <c r="I216" s="187">
        <f ca="1">IFERROR(__xludf.DUMMYFUNCTION("IMPORTRANGE(""https://docs.google.com/spreadsheets/d/11923uPwbBZFjjGgGUA6NLw09EwE0CqkOc4q9oUmW1yo/edit?usp=sharing"",""สุโขทัย!I141"")"),0)</f>
        <v>0</v>
      </c>
      <c r="J216" s="203">
        <f ca="1">IFERROR(__xludf.DUMMYFUNCTION("IMPORTRANGE(""https://docs.google.com/spreadsheets/d/11923uPwbBZFjjGgGUA6NLw09EwE0CqkOc4q9oUmW1yo/edit?usp=sharing"",""สุโขทัย!J141"")"),0)</f>
        <v>0</v>
      </c>
      <c r="K216" s="223">
        <f t="shared" ca="1" si="71"/>
        <v>0</v>
      </c>
      <c r="L216" s="168"/>
      <c r="M216" s="168"/>
      <c r="N216" s="167"/>
      <c r="O216" s="168"/>
      <c r="P216" s="168"/>
    </row>
    <row r="217" spans="1:16" ht="21.75" customHeight="1" x14ac:dyDescent="0.3">
      <c r="A217" s="175"/>
      <c r="B217" s="176"/>
      <c r="C217" s="176"/>
      <c r="D217" s="193"/>
      <c r="E217" s="194" t="s">
        <v>54</v>
      </c>
      <c r="F217" s="195"/>
      <c r="G217" s="196"/>
      <c r="H217" s="186"/>
      <c r="I217" s="187"/>
      <c r="J217" s="187">
        <f ca="1">IFERROR(__xludf.DUMMYFUNCTION("IMPORTRANGE(""https://docs.google.com/spreadsheets/d/11923uPwbBZFjjGgGUA6NLw09EwE0CqkOc4q9oUmW1yo/edit?usp=sharing"",""สุโขทัย!J142"")"),0)</f>
        <v>0</v>
      </c>
      <c r="K217" s="223"/>
      <c r="L217" s="168"/>
      <c r="M217" s="168"/>
      <c r="N217" s="168"/>
      <c r="O217" s="181"/>
      <c r="P217" s="181"/>
    </row>
    <row r="218" spans="1:16" ht="21.75" customHeight="1" x14ac:dyDescent="0.3">
      <c r="A218" s="233"/>
      <c r="B218" s="234"/>
      <c r="C218" s="234"/>
      <c r="D218" s="235">
        <v>3</v>
      </c>
      <c r="E218" s="236" t="s">
        <v>55</v>
      </c>
      <c r="F218" s="237"/>
      <c r="G218" s="238"/>
      <c r="H218" s="239"/>
      <c r="I218" s="240"/>
      <c r="J218" s="241">
        <f ca="1">IFERROR(__xludf.DUMMYFUNCTION("IMPORTRANGE(""https://docs.google.com/spreadsheets/d/11923uPwbBZFjjGgGUA6NLw09EwE0CqkOc4q9oUmW1yo/edit?usp=sharing"",""สุโขทัย!J143"")"),0)</f>
        <v>0</v>
      </c>
      <c r="K218" s="242"/>
      <c r="L218" s="243"/>
      <c r="M218" s="243"/>
      <c r="N218" s="243"/>
      <c r="O218" s="244"/>
      <c r="P218" s="244"/>
    </row>
    <row r="219" spans="1:16" ht="21.75" customHeight="1" x14ac:dyDescent="0.3">
      <c r="A219" s="261"/>
      <c r="B219" s="262" t="s">
        <v>98</v>
      </c>
      <c r="C219" s="263"/>
      <c r="D219" s="262"/>
      <c r="E219" s="262"/>
      <c r="F219" s="262"/>
      <c r="G219" s="264"/>
      <c r="H219" s="265" t="s">
        <v>37</v>
      </c>
      <c r="I219" s="266">
        <f ca="1">IFERROR(__xludf.DUMMYFUNCTION("IMPORTRANGE(""https://docs.google.com/spreadsheets/d/11923uPwbBZFjjGgGUA6NLw09EwE0CqkOc4q9oUmW1yo/edit?usp=sharing"",""สุโขทัย!I144"")"),13)</f>
        <v>13</v>
      </c>
      <c r="J219" s="266">
        <f ca="1">IFERROR(__xludf.DUMMYFUNCTION("IMPORTRANGE(""https://docs.google.com/spreadsheets/d/11923uPwbBZFjjGgGUA6NLw09EwE0CqkOc4q9oUmW1yo/edit?usp=sharing"",""สุโขทัย!J144"")"),13)</f>
        <v>13</v>
      </c>
      <c r="K219" s="267">
        <f ca="1">IF(I219&gt;0,J219*100/I219,0)</f>
        <v>100</v>
      </c>
      <c r="L219" s="268"/>
      <c r="M219" s="268"/>
      <c r="N219" s="268"/>
      <c r="O219" s="267"/>
      <c r="P219" s="267"/>
    </row>
    <row r="220" spans="1:16" ht="21.75" customHeight="1" x14ac:dyDescent="0.45">
      <c r="A220" s="145"/>
      <c r="B220" s="146"/>
      <c r="C220" s="147" t="s">
        <v>16</v>
      </c>
      <c r="D220" s="537" t="s">
        <v>17</v>
      </c>
      <c r="E220" s="528"/>
      <c r="F220" s="528"/>
      <c r="G220" s="528"/>
      <c r="H220" s="148" t="s">
        <v>12</v>
      </c>
      <c r="I220" s="162"/>
      <c r="J220" s="162"/>
      <c r="K220" s="163"/>
      <c r="L220" s="151">
        <f t="shared" ref="L220:N220" ca="1" si="72">L221+L222</f>
        <v>19295</v>
      </c>
      <c r="M220" s="151">
        <f t="shared" ca="1" si="72"/>
        <v>19295</v>
      </c>
      <c r="N220" s="151">
        <f t="shared" ca="1" si="72"/>
        <v>17775</v>
      </c>
      <c r="O220" s="150">
        <f t="shared" ref="O220:O222" ca="1" si="73">IF(L220&gt;0,N220*100/L220,0)</f>
        <v>92.122311479657938</v>
      </c>
      <c r="P220" s="150">
        <f t="shared" ref="P220:P222" ca="1" si="74">IF(M220&gt;0,N220*100/M220,0)</f>
        <v>92.122311479657938</v>
      </c>
    </row>
    <row r="221" spans="1:16" ht="21.75" customHeight="1" x14ac:dyDescent="0.45">
      <c r="A221" s="152"/>
      <c r="B221" s="32"/>
      <c r="C221" s="32"/>
      <c r="D221" s="32"/>
      <c r="E221" s="32"/>
      <c r="F221" s="32"/>
      <c r="G221" s="33" t="s">
        <v>18</v>
      </c>
      <c r="H221" s="153" t="s">
        <v>12</v>
      </c>
      <c r="I221" s="162"/>
      <c r="J221" s="162"/>
      <c r="K221" s="163"/>
      <c r="L221" s="87">
        <f t="shared" ref="L221:N221" si="75">L223+L227</f>
        <v>0</v>
      </c>
      <c r="M221" s="87">
        <f t="shared" si="75"/>
        <v>0</v>
      </c>
      <c r="N221" s="87">
        <f t="shared" si="75"/>
        <v>0</v>
      </c>
      <c r="O221" s="155">
        <f t="shared" si="73"/>
        <v>0</v>
      </c>
      <c r="P221" s="155">
        <f t="shared" si="74"/>
        <v>0</v>
      </c>
    </row>
    <row r="222" spans="1:16" ht="21.75" customHeight="1" x14ac:dyDescent="0.45">
      <c r="A222" s="152"/>
      <c r="B222" s="32"/>
      <c r="C222" s="32"/>
      <c r="D222" s="32"/>
      <c r="E222" s="32"/>
      <c r="F222" s="32"/>
      <c r="G222" s="33" t="s">
        <v>19</v>
      </c>
      <c r="H222" s="153" t="s">
        <v>12</v>
      </c>
      <c r="I222" s="162"/>
      <c r="J222" s="162"/>
      <c r="K222" s="163"/>
      <c r="L222" s="87">
        <f t="shared" ref="L222:N222" ca="1" si="76">L224+L228</f>
        <v>19295</v>
      </c>
      <c r="M222" s="87">
        <f t="shared" ca="1" si="76"/>
        <v>19295</v>
      </c>
      <c r="N222" s="87">
        <f t="shared" ca="1" si="76"/>
        <v>17775</v>
      </c>
      <c r="O222" s="155">
        <f t="shared" ca="1" si="73"/>
        <v>92.122311479657938</v>
      </c>
      <c r="P222" s="155">
        <f t="shared" ca="1" si="74"/>
        <v>92.122311479657938</v>
      </c>
    </row>
    <row r="223" spans="1:16" ht="21.75" customHeight="1" x14ac:dyDescent="0.3">
      <c r="A223" s="156"/>
      <c r="B223" s="157"/>
      <c r="C223" s="157" t="s">
        <v>16</v>
      </c>
      <c r="D223" s="158" t="s">
        <v>38</v>
      </c>
      <c r="E223" s="159"/>
      <c r="F223" s="159"/>
      <c r="G223" s="160" t="s">
        <v>39</v>
      </c>
      <c r="H223" s="161" t="s">
        <v>12</v>
      </c>
      <c r="I223" s="162" t="s">
        <v>40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3">
      <c r="A224" s="156"/>
      <c r="B224" s="157"/>
      <c r="C224" s="157"/>
      <c r="D224" s="166"/>
      <c r="E224" s="159"/>
      <c r="F224" s="159" t="s">
        <v>40</v>
      </c>
      <c r="G224" s="160" t="s">
        <v>41</v>
      </c>
      <c r="H224" s="161" t="s">
        <v>12</v>
      </c>
      <c r="I224" s="162"/>
      <c r="J224" s="162"/>
      <c r="K224" s="163"/>
      <c r="L224" s="167">
        <f ca="1">L225+L226</f>
        <v>19295</v>
      </c>
      <c r="M224" s="167">
        <f ca="1">IFERROR(__xludf.DUMMYFUNCTION("IMPORTRANGE(""https://docs.google.com/spreadsheets/d/1Yj_ptqi66GCucihVvJfMjLAmec39IyEx_6qawtMGysU/edit?usp=sharing"",""สบก!BS34"")"),19295)</f>
        <v>19295</v>
      </c>
      <c r="N224" s="168">
        <f ca="1">IFERROR(__xludf.DUMMYFUNCTION("IMPORTRANGE(""https://docs.google.com/spreadsheets/d/1Yj_ptqi66GCucihVvJfMjLAmec39IyEx_6qawtMGysU/edit?usp=sharing"",""สบก!BT34"")"),17775)</f>
        <v>17775</v>
      </c>
      <c r="O224" s="168">
        <f ca="1">IF(L224&gt;0,N224*100/L224,0)</f>
        <v>92.122311479657938</v>
      </c>
      <c r="P224" s="168">
        <f ca="1">IF(M224&gt;0,N224*100/M224,0)</f>
        <v>92.122311479657938</v>
      </c>
    </row>
    <row r="225" spans="1:16" ht="21.75" customHeight="1" x14ac:dyDescent="0.3">
      <c r="A225" s="156"/>
      <c r="B225" s="157"/>
      <c r="C225" s="157"/>
      <c r="D225" s="166"/>
      <c r="E225" s="159"/>
      <c r="F225" s="159"/>
      <c r="G225" s="169" t="s">
        <v>42</v>
      </c>
      <c r="H225" s="161" t="s">
        <v>12</v>
      </c>
      <c r="I225" s="162"/>
      <c r="J225" s="162"/>
      <c r="K225" s="163"/>
      <c r="L225" s="167">
        <f ca="1">IFERROR(__xludf.DUMMYFUNCTION("IMPORTRANGE(""https://docs.google.com/spreadsheets/d/1Yj_ptqi66GCucihVvJfMjLAmec39IyEx_6qawtMGysU/edit?usp=sharing"",""สบก!BO34"")"),0)</f>
        <v>0</v>
      </c>
      <c r="M225" s="167"/>
      <c r="N225" s="167"/>
      <c r="O225" s="168"/>
      <c r="P225" s="168"/>
    </row>
    <row r="226" spans="1:16" ht="21.75" customHeight="1" x14ac:dyDescent="0.3">
      <c r="A226" s="156"/>
      <c r="B226" s="157"/>
      <c r="C226" s="157"/>
      <c r="D226" s="166"/>
      <c r="E226" s="159"/>
      <c r="F226" s="159"/>
      <c r="G226" s="169" t="s">
        <v>43</v>
      </c>
      <c r="H226" s="161" t="s">
        <v>12</v>
      </c>
      <c r="I226" s="162"/>
      <c r="J226" s="162"/>
      <c r="K226" s="163"/>
      <c r="L226" s="167">
        <f ca="1">IFERROR(__xludf.DUMMYFUNCTION("IMPORTRANGE(""https://docs.google.com/spreadsheets/d/1Yj_ptqi66GCucihVvJfMjLAmec39IyEx_6qawtMGysU/edit?usp=sharing"",""สบก!BP34"")"),19295)</f>
        <v>19295</v>
      </c>
      <c r="M226" s="167"/>
      <c r="N226" s="167"/>
      <c r="O226" s="168"/>
      <c r="P226" s="168"/>
    </row>
    <row r="227" spans="1:16" ht="21.75" customHeight="1" x14ac:dyDescent="0.45">
      <c r="A227" s="170"/>
      <c r="B227" s="80"/>
      <c r="C227" s="81" t="s">
        <v>16</v>
      </c>
      <c r="D227" s="534" t="s">
        <v>23</v>
      </c>
      <c r="E227" s="530"/>
      <c r="F227" s="88"/>
      <c r="G227" s="82" t="s">
        <v>18</v>
      </c>
      <c r="H227" s="171" t="s">
        <v>12</v>
      </c>
      <c r="I227" s="200"/>
      <c r="J227" s="200"/>
      <c r="K227" s="288"/>
      <c r="L227" s="41">
        <v>0</v>
      </c>
      <c r="M227" s="41"/>
      <c r="N227" s="41"/>
      <c r="O227" s="41"/>
      <c r="P227" s="41"/>
    </row>
    <row r="228" spans="1:16" ht="21.75" customHeight="1" x14ac:dyDescent="0.45">
      <c r="A228" s="172"/>
      <c r="B228" s="91"/>
      <c r="C228" s="91"/>
      <c r="D228" s="173"/>
      <c r="E228" s="92"/>
      <c r="F228" s="92"/>
      <c r="G228" s="93" t="s">
        <v>19</v>
      </c>
      <c r="H228" s="174" t="s">
        <v>12</v>
      </c>
      <c r="I228" s="200"/>
      <c r="J228" s="200"/>
      <c r="K228" s="288"/>
      <c r="L228" s="49">
        <f ca="1">IFERROR(__xludf.DUMMYFUNCTION("IMPORTRANGE(""https://docs.google.com/spreadsheets/d/1Yj_ptqi66GCucihVvJfMjLAmec39IyEx_6qawtMGysU/edit?usp=sharing"",""สบก!BQ34"")"),0)</f>
        <v>0</v>
      </c>
      <c r="M228" s="49"/>
      <c r="N228" s="49">
        <f ca="1">IFERROR(__xludf.DUMMYFUNCTION("IMPORTRANGE(""https://docs.google.com/spreadsheets/d/1Yj_ptqi66GCucihVvJfMjLAmec39IyEx_6qawtMGysU/edit?usp=sharing"",""สบก!BU34"")"),0)</f>
        <v>0</v>
      </c>
      <c r="O228" s="49">
        <f ca="1">IF(L228&gt;0,N228*100/L228,0)</f>
        <v>0</v>
      </c>
      <c r="P228" s="49"/>
    </row>
    <row r="229" spans="1:16" ht="21.75" customHeight="1" x14ac:dyDescent="0.3">
      <c r="A229" s="175"/>
      <c r="B229" s="289"/>
      <c r="C229" s="263" t="s">
        <v>99</v>
      </c>
      <c r="D229" s="262"/>
      <c r="E229" s="262"/>
      <c r="F229" s="262"/>
      <c r="G229" s="264"/>
      <c r="H229" s="265" t="s">
        <v>37</v>
      </c>
      <c r="I229" s="266">
        <f ca="1">IFERROR(__xludf.DUMMYFUNCTION("IMPORTRANGE(""https://docs.google.com/spreadsheets/d/11923uPwbBZFjjGgGUA6NLw09EwE0CqkOc4q9oUmW1yo/edit?usp=sharing"",""สุโขทัย!I149"")"),13)</f>
        <v>13</v>
      </c>
      <c r="J229" s="266">
        <f ca="1">IFERROR(__xludf.DUMMYFUNCTION("IMPORTRANGE(""https://docs.google.com/spreadsheets/d/11923uPwbBZFjjGgGUA6NLw09EwE0CqkOc4q9oUmW1yo/edit?usp=sharing"",""สุโขทัย!J149"")"),13)</f>
        <v>13</v>
      </c>
      <c r="K229" s="267">
        <f ca="1">IF(I229&gt;0,J229*100/I229,0)</f>
        <v>100</v>
      </c>
      <c r="L229" s="290"/>
      <c r="M229" s="290"/>
      <c r="N229" s="290"/>
      <c r="O229" s="290"/>
      <c r="P229" s="290"/>
    </row>
    <row r="230" spans="1:16" ht="21.75" customHeight="1" x14ac:dyDescent="0.3">
      <c r="A230" s="175"/>
      <c r="B230" s="176"/>
      <c r="C230" s="157" t="s">
        <v>16</v>
      </c>
      <c r="D230" s="177" t="s">
        <v>44</v>
      </c>
      <c r="E230" s="178"/>
      <c r="F230" s="178"/>
      <c r="G230" s="179"/>
      <c r="H230" s="180"/>
      <c r="I230" s="162"/>
      <c r="J230" s="162"/>
      <c r="K230" s="163"/>
      <c r="L230" s="181"/>
      <c r="M230" s="181"/>
      <c r="N230" s="181"/>
      <c r="O230" s="181"/>
      <c r="P230" s="181"/>
    </row>
    <row r="231" spans="1:16" ht="21.75" customHeight="1" x14ac:dyDescent="0.3">
      <c r="A231" s="175"/>
      <c r="B231" s="176"/>
      <c r="C231" s="176"/>
      <c r="D231" s="182">
        <v>1</v>
      </c>
      <c r="E231" s="183" t="s">
        <v>45</v>
      </c>
      <c r="F231" s="184"/>
      <c r="G231" s="185"/>
      <c r="H231" s="186"/>
      <c r="I231" s="187"/>
      <c r="J231" s="197">
        <f ca="1">IFERROR(__xludf.DUMMYFUNCTION("IMPORTRANGE(""https://docs.google.com/spreadsheets/d/11923uPwbBZFjjGgGUA6NLw09EwE0CqkOc4q9oUmW1yo/edit?usp=sharing"",""สุโขทัย!J151"")"),0)</f>
        <v>0</v>
      </c>
      <c r="K231" s="163"/>
      <c r="L231" s="181"/>
      <c r="M231" s="181"/>
      <c r="N231" s="181"/>
      <c r="O231" s="181"/>
      <c r="P231" s="181"/>
    </row>
    <row r="232" spans="1:16" ht="21.75" customHeight="1" x14ac:dyDescent="0.3">
      <c r="A232" s="175"/>
      <c r="B232" s="176"/>
      <c r="C232" s="176"/>
      <c r="D232" s="189">
        <v>2</v>
      </c>
      <c r="E232" s="190" t="s">
        <v>46</v>
      </c>
      <c r="F232" s="191"/>
      <c r="G232" s="192"/>
      <c r="H232" s="186"/>
      <c r="I232" s="187"/>
      <c r="J232" s="188">
        <f ca="1">IFERROR(__xludf.DUMMYFUNCTION("IMPORTRANGE(""https://docs.google.com/spreadsheets/d/11923uPwbBZFjjGgGUA6NLw09EwE0CqkOc4q9oUmW1yo/edit?usp=sharing"",""สุโขทัย!J152"")"),1)</f>
        <v>1</v>
      </c>
      <c r="K232" s="163"/>
      <c r="L232" s="181" t="s">
        <v>40</v>
      </c>
      <c r="M232" s="181"/>
      <c r="N232" s="181" t="s">
        <v>40</v>
      </c>
      <c r="O232" s="181"/>
      <c r="P232" s="181"/>
    </row>
    <row r="233" spans="1:16" ht="21.75" customHeight="1" x14ac:dyDescent="0.3">
      <c r="A233" s="175"/>
      <c r="B233" s="176"/>
      <c r="C233" s="176"/>
      <c r="D233" s="193"/>
      <c r="E233" s="194" t="s">
        <v>47</v>
      </c>
      <c r="F233" s="195"/>
      <c r="G233" s="196"/>
      <c r="H233" s="186"/>
      <c r="I233" s="187"/>
      <c r="J233" s="188">
        <f ca="1">IFERROR(__xludf.DUMMYFUNCTION("IMPORTRANGE(""https://docs.google.com/spreadsheets/d/11923uPwbBZFjjGgGUA6NLw09EwE0CqkOc4q9oUmW1yo/edit?usp=sharing"",""สุโขทัย!J153"")"),1)</f>
        <v>1</v>
      </c>
      <c r="K233" s="163"/>
      <c r="L233" s="181"/>
      <c r="M233" s="181"/>
      <c r="N233" s="181"/>
      <c r="O233" s="181"/>
      <c r="P233" s="181"/>
    </row>
    <row r="234" spans="1:16" ht="21.75" customHeight="1" x14ac:dyDescent="0.3">
      <c r="A234" s="175"/>
      <c r="B234" s="176"/>
      <c r="C234" s="176"/>
      <c r="D234" s="193"/>
      <c r="E234" s="194" t="s">
        <v>48</v>
      </c>
      <c r="F234" s="195"/>
      <c r="G234" s="196"/>
      <c r="H234" s="186"/>
      <c r="I234" s="187"/>
      <c r="J234" s="197">
        <f ca="1">IFERROR(__xludf.DUMMYFUNCTION("IMPORTRANGE(""https://docs.google.com/spreadsheets/d/11923uPwbBZFjjGgGUA6NLw09EwE0CqkOc4q9oUmW1yo/edit?usp=sharing"",""สุโขทัย!J154"")"),1)</f>
        <v>1</v>
      </c>
      <c r="K234" s="163"/>
      <c r="L234" s="181"/>
      <c r="M234" s="181"/>
      <c r="N234" s="181"/>
      <c r="O234" s="181"/>
      <c r="P234" s="181"/>
    </row>
    <row r="235" spans="1:16" ht="21.75" customHeight="1" x14ac:dyDescent="0.3">
      <c r="A235" s="175"/>
      <c r="B235" s="176"/>
      <c r="C235" s="176"/>
      <c r="D235" s="193"/>
      <c r="E235" s="198"/>
      <c r="F235" s="195"/>
      <c r="G235" s="291" t="s">
        <v>70</v>
      </c>
      <c r="H235" s="186" t="s">
        <v>37</v>
      </c>
      <c r="I235" s="187">
        <f ca="1">IFERROR(__xludf.DUMMYFUNCTION("IMPORTRANGE(""https://docs.google.com/spreadsheets/d/11923uPwbBZFjjGgGUA6NLw09EwE0CqkOc4q9oUmW1yo/edit?usp=sharing"",""สุโขทัย!I155"")"),13)</f>
        <v>13</v>
      </c>
      <c r="J235" s="188">
        <f ca="1">IFERROR(__xludf.DUMMYFUNCTION("IMPORTRANGE(""https://docs.google.com/spreadsheets/d/11923uPwbBZFjjGgGUA6NLw09EwE0CqkOc4q9oUmW1yo/edit?usp=sharing"",""สุโขทัย!J155"")"),13)</f>
        <v>13</v>
      </c>
      <c r="K235" s="163">
        <f ca="1">IF(I235&gt;0,J235*100/I235,0)</f>
        <v>100</v>
      </c>
      <c r="L235" s="181"/>
      <c r="M235" s="181"/>
      <c r="N235" s="181"/>
      <c r="O235" s="181"/>
      <c r="P235" s="181"/>
    </row>
    <row r="236" spans="1:16" ht="21.75" customHeight="1" x14ac:dyDescent="0.3">
      <c r="A236" s="175"/>
      <c r="B236" s="176"/>
      <c r="C236" s="176"/>
      <c r="D236" s="193"/>
      <c r="E236" s="194" t="s">
        <v>54</v>
      </c>
      <c r="F236" s="195"/>
      <c r="G236" s="196"/>
      <c r="H236" s="186"/>
      <c r="I236" s="187"/>
      <c r="J236" s="197">
        <f ca="1">IFERROR(__xludf.DUMMYFUNCTION("IMPORTRANGE(""https://docs.google.com/spreadsheets/d/11923uPwbBZFjjGgGUA6NLw09EwE0CqkOc4q9oUmW1yo/edit?usp=sharing"",""สุโขทัย!J156"")"),0)</f>
        <v>0</v>
      </c>
      <c r="K236" s="163"/>
      <c r="L236" s="181"/>
      <c r="M236" s="181"/>
      <c r="N236" s="181"/>
      <c r="O236" s="181"/>
      <c r="P236" s="181"/>
    </row>
    <row r="237" spans="1:16" ht="21.75" customHeight="1" x14ac:dyDescent="0.3">
      <c r="A237" s="175"/>
      <c r="B237" s="176"/>
      <c r="C237" s="176"/>
      <c r="D237" s="205">
        <v>3</v>
      </c>
      <c r="E237" s="206" t="s">
        <v>55</v>
      </c>
      <c r="F237" s="207"/>
      <c r="G237" s="208"/>
      <c r="H237" s="186"/>
      <c r="I237" s="187"/>
      <c r="J237" s="209">
        <f ca="1">IFERROR(__xludf.DUMMYFUNCTION("IMPORTRANGE(""https://docs.google.com/spreadsheets/d/11923uPwbBZFjjGgGUA6NLw09EwE0CqkOc4q9oUmW1yo/edit?usp=sharing"",""สุโขทัย!J157"")"),0)</f>
        <v>0</v>
      </c>
      <c r="K237" s="163"/>
      <c r="L237" s="181"/>
      <c r="M237" s="181"/>
      <c r="N237" s="181"/>
      <c r="O237" s="181"/>
      <c r="P237" s="181"/>
    </row>
    <row r="238" spans="1:16" ht="21.75" customHeight="1" x14ac:dyDescent="0.3">
      <c r="A238" s="175"/>
      <c r="B238" s="176"/>
      <c r="C238" s="263" t="s">
        <v>100</v>
      </c>
      <c r="D238" s="292"/>
      <c r="E238" s="262"/>
      <c r="F238" s="262"/>
      <c r="G238" s="264"/>
      <c r="H238" s="265" t="s">
        <v>37</v>
      </c>
      <c r="I238" s="266">
        <f ca="1">IFERROR(__xludf.DUMMYFUNCTION("IMPORTRANGE(""https://docs.google.com/spreadsheets/d/11923uPwbBZFjjGgGUA6NLw09EwE0CqkOc4q9oUmW1yo/edit?usp=sharing"",""สุโขทัย!I158"")"),0)</f>
        <v>0</v>
      </c>
      <c r="J238" s="266">
        <f ca="1">IFERROR(__xludf.DUMMYFUNCTION("IMPORTRANGE(""https://docs.google.com/spreadsheets/d/11923uPwbBZFjjGgGUA6NLw09EwE0CqkOc4q9oUmW1yo/edit?usp=sharing"",""สุโขทัย!J158"")"),0)</f>
        <v>0</v>
      </c>
      <c r="K238" s="267">
        <f ca="1">IF(I238&gt;0,J238*100/I238,0)</f>
        <v>0</v>
      </c>
      <c r="L238" s="181"/>
      <c r="M238" s="181"/>
      <c r="N238" s="181"/>
      <c r="O238" s="181"/>
      <c r="P238" s="181"/>
    </row>
    <row r="239" spans="1:16" ht="21.75" customHeight="1" x14ac:dyDescent="0.3">
      <c r="A239" s="175"/>
      <c r="B239" s="176"/>
      <c r="C239" s="157" t="s">
        <v>16</v>
      </c>
      <c r="D239" s="177" t="s">
        <v>44</v>
      </c>
      <c r="E239" s="178"/>
      <c r="F239" s="178"/>
      <c r="G239" s="179"/>
      <c r="H239" s="180"/>
      <c r="I239" s="162"/>
      <c r="J239" s="162"/>
      <c r="K239" s="163"/>
      <c r="L239" s="181"/>
      <c r="M239" s="181"/>
      <c r="N239" s="181"/>
      <c r="O239" s="181"/>
      <c r="P239" s="181"/>
    </row>
    <row r="240" spans="1:16" ht="21.75" customHeight="1" x14ac:dyDescent="0.3">
      <c r="A240" s="175"/>
      <c r="B240" s="176"/>
      <c r="C240" s="176"/>
      <c r="D240" s="182">
        <v>1</v>
      </c>
      <c r="E240" s="183" t="s">
        <v>45</v>
      </c>
      <c r="F240" s="184"/>
      <c r="G240" s="185"/>
      <c r="H240" s="186"/>
      <c r="I240" s="187"/>
      <c r="J240" s="187" t="str">
        <f ca="1">IFERROR(__xludf.DUMMYFUNCTION("IMPORTRANGE(""https://docs.google.com/spreadsheets/d/11923uPwbBZFjjGgGUA6NLw09EwE0CqkOc4q9oUmW1yo/edit?usp=sharing"",""สุโขทัย!J159"")"),"")</f>
        <v/>
      </c>
      <c r="K240" s="163"/>
      <c r="L240" s="181"/>
      <c r="M240" s="181"/>
      <c r="N240" s="181"/>
      <c r="O240" s="181"/>
      <c r="P240" s="181"/>
    </row>
    <row r="241" spans="1:16" ht="21.75" customHeight="1" x14ac:dyDescent="0.3">
      <c r="A241" s="175"/>
      <c r="B241" s="176"/>
      <c r="C241" s="176"/>
      <c r="D241" s="189">
        <v>2</v>
      </c>
      <c r="E241" s="190" t="s">
        <v>46</v>
      </c>
      <c r="F241" s="191"/>
      <c r="G241" s="192"/>
      <c r="H241" s="186"/>
      <c r="I241" s="187"/>
      <c r="J241" s="187">
        <f ca="1">IFERROR(__xludf.DUMMYFUNCTION("IMPORTRANGE(""https://docs.google.com/spreadsheets/d/11923uPwbBZFjjGgGUA6NLw09EwE0CqkOc4q9oUmW1yo/edit?usp=sharing"",""สุโขทัย!J161"")"),0)</f>
        <v>0</v>
      </c>
      <c r="K241" s="163"/>
      <c r="L241" s="181" t="s">
        <v>40</v>
      </c>
      <c r="M241" s="181"/>
      <c r="N241" s="181" t="s">
        <v>40</v>
      </c>
      <c r="O241" s="181"/>
      <c r="P241" s="181"/>
    </row>
    <row r="242" spans="1:16" ht="21.75" customHeight="1" x14ac:dyDescent="0.3">
      <c r="A242" s="175"/>
      <c r="B242" s="176"/>
      <c r="C242" s="176"/>
      <c r="D242" s="193"/>
      <c r="E242" s="194" t="s">
        <v>47</v>
      </c>
      <c r="F242" s="195"/>
      <c r="G242" s="196"/>
      <c r="H242" s="186"/>
      <c r="I242" s="187"/>
      <c r="J242" s="187">
        <f ca="1">IFERROR(__xludf.DUMMYFUNCTION("IMPORTRANGE(""https://docs.google.com/spreadsheets/d/11923uPwbBZFjjGgGUA6NLw09EwE0CqkOc4q9oUmW1yo/edit?usp=sharing"",""สุโขทัย!J162"")"),0)</f>
        <v>0</v>
      </c>
      <c r="K242" s="163"/>
      <c r="L242" s="181"/>
      <c r="M242" s="181"/>
      <c r="N242" s="181"/>
      <c r="O242" s="181"/>
      <c r="P242" s="181"/>
    </row>
    <row r="243" spans="1:16" ht="21.75" customHeight="1" x14ac:dyDescent="0.3">
      <c r="A243" s="175"/>
      <c r="B243" s="176"/>
      <c r="C243" s="176"/>
      <c r="D243" s="193"/>
      <c r="E243" s="194" t="s">
        <v>48</v>
      </c>
      <c r="F243" s="195"/>
      <c r="G243" s="196"/>
      <c r="H243" s="186"/>
      <c r="I243" s="187"/>
      <c r="J243" s="187">
        <f ca="1">IFERROR(__xludf.DUMMYFUNCTION("IMPORTRANGE(""https://docs.google.com/spreadsheets/d/11923uPwbBZFjjGgGUA6NLw09EwE0CqkOc4q9oUmW1yo/edit?usp=sharing"",""สุโขทัย!J163"")"),0)</f>
        <v>0</v>
      </c>
      <c r="K243" s="163"/>
      <c r="L243" s="181"/>
      <c r="M243" s="181"/>
      <c r="N243" s="181"/>
      <c r="O243" s="181"/>
      <c r="P243" s="181"/>
    </row>
    <row r="244" spans="1:16" ht="21.75" customHeight="1" x14ac:dyDescent="0.3">
      <c r="A244" s="175"/>
      <c r="B244" s="176"/>
      <c r="C244" s="176"/>
      <c r="D244" s="193"/>
      <c r="E244" s="195"/>
      <c r="F244" s="194" t="s">
        <v>101</v>
      </c>
      <c r="G244" s="195"/>
      <c r="H244" s="186" t="s">
        <v>37</v>
      </c>
      <c r="I244" s="203">
        <f ca="1">IFERROR(__xludf.DUMMYFUNCTION("IMPORTRANGE(""https://docs.google.com/spreadsheets/d/11923uPwbBZFjjGgGUA6NLw09EwE0CqkOc4q9oUmW1yo/edit?usp=sharing"",""สุโขทัย!I164"")"),0)</f>
        <v>0</v>
      </c>
      <c r="J244" s="187">
        <f ca="1">IFERROR(__xludf.DUMMYFUNCTION("IMPORTRANGE(""https://docs.google.com/spreadsheets/d/11923uPwbBZFjjGgGUA6NLw09EwE0CqkOc4q9oUmW1yo/edit?usp=sharing"",""สุโขทัย!J164"")"),0)</f>
        <v>0</v>
      </c>
      <c r="K244" s="163">
        <f ca="1">IF(I244&gt;0,J244*100/I244,0)</f>
        <v>0</v>
      </c>
      <c r="L244" s="181"/>
      <c r="M244" s="181"/>
      <c r="N244" s="181"/>
      <c r="O244" s="181"/>
      <c r="P244" s="181"/>
    </row>
    <row r="245" spans="1:16" ht="21.75" customHeight="1" x14ac:dyDescent="0.3">
      <c r="A245" s="175"/>
      <c r="B245" s="176"/>
      <c r="C245" s="176"/>
      <c r="D245" s="193"/>
      <c r="E245" s="194" t="s">
        <v>54</v>
      </c>
      <c r="F245" s="195"/>
      <c r="G245" s="196"/>
      <c r="H245" s="186"/>
      <c r="I245" s="187"/>
      <c r="J245" s="187">
        <f ca="1">IFERROR(__xludf.DUMMYFUNCTION("IMPORTRANGE(""https://docs.google.com/spreadsheets/d/11923uPwbBZFjjGgGUA6NLw09EwE0CqkOc4q9oUmW1yo/edit?usp=sharing"",""สุโขทัย!J165"")"),0)</f>
        <v>0</v>
      </c>
      <c r="K245" s="163"/>
      <c r="L245" s="181"/>
      <c r="M245" s="181"/>
      <c r="N245" s="181"/>
      <c r="O245" s="181"/>
      <c r="P245" s="181"/>
    </row>
    <row r="246" spans="1:16" ht="21.75" customHeight="1" x14ac:dyDescent="0.3">
      <c r="A246" s="233"/>
      <c r="B246" s="234"/>
      <c r="C246" s="234"/>
      <c r="D246" s="235">
        <v>3</v>
      </c>
      <c r="E246" s="236" t="s">
        <v>55</v>
      </c>
      <c r="F246" s="237"/>
      <c r="G246" s="238"/>
      <c r="H246" s="239"/>
      <c r="I246" s="240"/>
      <c r="J246" s="241">
        <f ca="1">IFERROR(__xludf.DUMMYFUNCTION("IMPORTRANGE(""https://docs.google.com/spreadsheets/d/11923uPwbBZFjjGgGUA6NLw09EwE0CqkOc4q9oUmW1yo/edit?usp=sharing"",""สุโขทัย!J166"")"),0)</f>
        <v>0</v>
      </c>
      <c r="K246" s="286"/>
      <c r="L246" s="244"/>
      <c r="M246" s="244"/>
      <c r="N246" s="244"/>
      <c r="O246" s="244"/>
      <c r="P246" s="244"/>
    </row>
    <row r="247" spans="1:16" ht="21.75" customHeight="1" x14ac:dyDescent="0.3">
      <c r="A247" s="293" t="s">
        <v>102</v>
      </c>
      <c r="B247" s="294"/>
      <c r="C247" s="294"/>
      <c r="D247" s="294"/>
      <c r="E247" s="295"/>
      <c r="F247" s="295"/>
      <c r="G247" s="296"/>
      <c r="H247" s="297"/>
      <c r="I247" s="298"/>
      <c r="J247" s="298"/>
      <c r="K247" s="299"/>
      <c r="L247" s="300"/>
      <c r="M247" s="300"/>
      <c r="N247" s="300"/>
      <c r="O247" s="301"/>
      <c r="P247" s="301"/>
    </row>
    <row r="248" spans="1:16" ht="21.75" customHeight="1" x14ac:dyDescent="0.3">
      <c r="A248" s="302" t="s">
        <v>103</v>
      </c>
      <c r="B248" s="303"/>
      <c r="C248" s="303"/>
      <c r="D248" s="304"/>
      <c r="E248" s="304"/>
      <c r="F248" s="304"/>
      <c r="G248" s="305"/>
      <c r="H248" s="306"/>
      <c r="I248" s="307"/>
      <c r="J248" s="307"/>
      <c r="K248" s="308"/>
      <c r="L248" s="308"/>
      <c r="M248" s="308"/>
      <c r="N248" s="308"/>
      <c r="O248" s="309"/>
      <c r="P248" s="309"/>
    </row>
    <row r="249" spans="1:16" ht="21.75" customHeight="1" x14ac:dyDescent="0.3">
      <c r="A249" s="310"/>
      <c r="B249" s="311" t="s">
        <v>104</v>
      </c>
      <c r="C249" s="311"/>
      <c r="D249" s="311"/>
      <c r="E249" s="311"/>
      <c r="F249" s="311"/>
      <c r="G249" s="312"/>
      <c r="H249" s="313" t="s">
        <v>37</v>
      </c>
      <c r="I249" s="314">
        <f ca="1">IFERROR(__xludf.DUMMYFUNCTION("IMPORTRANGE(""https://docs.google.com/spreadsheets/d/11923uPwbBZFjjGgGUA6NLw09EwE0CqkOc4q9oUmW1yo/edit?usp=sharing"",""สุโขทัย!I169"")"),0)</f>
        <v>0</v>
      </c>
      <c r="J249" s="314">
        <f ca="1">IFERROR(__xludf.DUMMYFUNCTION("IMPORTRANGE(""https://docs.google.com/spreadsheets/d/11923uPwbBZFjjGgGUA6NLw09EwE0CqkOc4q9oUmW1yo/edit?usp=sharing"",""สุโขทัย!J169"")"),0)</f>
        <v>0</v>
      </c>
      <c r="K249" s="315">
        <f ca="1">IF(I249&gt;0,J249*100/I249,0)</f>
        <v>0</v>
      </c>
      <c r="L249" s="316"/>
      <c r="M249" s="316"/>
      <c r="N249" s="316"/>
      <c r="O249" s="315"/>
      <c r="P249" s="315"/>
    </row>
    <row r="250" spans="1:16" ht="21.75" customHeight="1" x14ac:dyDescent="0.45">
      <c r="A250" s="145"/>
      <c r="B250" s="146"/>
      <c r="C250" s="147" t="s">
        <v>16</v>
      </c>
      <c r="D250" s="537" t="s">
        <v>17</v>
      </c>
      <c r="E250" s="528"/>
      <c r="F250" s="528"/>
      <c r="G250" s="528"/>
      <c r="H250" s="148" t="s">
        <v>12</v>
      </c>
      <c r="I250" s="162"/>
      <c r="J250" s="162"/>
      <c r="K250" s="163"/>
      <c r="L250" s="151">
        <f t="shared" ref="L250:N250" ca="1" si="77">L251+L252</f>
        <v>0</v>
      </c>
      <c r="M250" s="151">
        <f t="shared" ca="1" si="77"/>
        <v>0</v>
      </c>
      <c r="N250" s="151">
        <f t="shared" ca="1" si="77"/>
        <v>0</v>
      </c>
      <c r="O250" s="150">
        <f t="shared" ref="O250:O252" ca="1" si="78">IF(L250&gt;0,N250*100/L250,0)</f>
        <v>0</v>
      </c>
      <c r="P250" s="150">
        <f t="shared" ref="P250:P252" ca="1" si="79">IF(M250&gt;0,N250*100/M250,0)</f>
        <v>0</v>
      </c>
    </row>
    <row r="251" spans="1:16" ht="21.75" customHeight="1" x14ac:dyDescent="0.45">
      <c r="A251" s="152"/>
      <c r="B251" s="32"/>
      <c r="C251" s="32"/>
      <c r="D251" s="32"/>
      <c r="E251" s="32"/>
      <c r="F251" s="32"/>
      <c r="G251" s="33" t="s">
        <v>18</v>
      </c>
      <c r="H251" s="153" t="s">
        <v>12</v>
      </c>
      <c r="I251" s="162"/>
      <c r="J251" s="162"/>
      <c r="K251" s="163"/>
      <c r="L251" s="87">
        <f t="shared" ref="L251:N251" si="80">L253+L257</f>
        <v>0</v>
      </c>
      <c r="M251" s="87">
        <f t="shared" si="80"/>
        <v>0</v>
      </c>
      <c r="N251" s="87">
        <f t="shared" si="80"/>
        <v>0</v>
      </c>
      <c r="O251" s="155">
        <f t="shared" si="78"/>
        <v>0</v>
      </c>
      <c r="P251" s="155">
        <f t="shared" si="79"/>
        <v>0</v>
      </c>
    </row>
    <row r="252" spans="1:16" ht="21.75" customHeight="1" x14ac:dyDescent="0.45">
      <c r="A252" s="152"/>
      <c r="B252" s="32"/>
      <c r="C252" s="32"/>
      <c r="D252" s="32"/>
      <c r="E252" s="32"/>
      <c r="F252" s="32"/>
      <c r="G252" s="33" t="s">
        <v>19</v>
      </c>
      <c r="H252" s="153" t="s">
        <v>12</v>
      </c>
      <c r="I252" s="162"/>
      <c r="J252" s="162"/>
      <c r="K252" s="163"/>
      <c r="L252" s="87">
        <f t="shared" ref="L252:N252" ca="1" si="81">L254+L258</f>
        <v>0</v>
      </c>
      <c r="M252" s="87">
        <f t="shared" ca="1" si="81"/>
        <v>0</v>
      </c>
      <c r="N252" s="87">
        <f t="shared" ca="1" si="81"/>
        <v>0</v>
      </c>
      <c r="O252" s="155">
        <f t="shared" ca="1" si="78"/>
        <v>0</v>
      </c>
      <c r="P252" s="155">
        <f t="shared" ca="1" si="79"/>
        <v>0</v>
      </c>
    </row>
    <row r="253" spans="1:16" ht="21.75" customHeight="1" x14ac:dyDescent="0.3">
      <c r="A253" s="156"/>
      <c r="B253" s="157"/>
      <c r="C253" s="157" t="s">
        <v>16</v>
      </c>
      <c r="D253" s="158" t="s">
        <v>38</v>
      </c>
      <c r="E253" s="159"/>
      <c r="F253" s="159"/>
      <c r="G253" s="160" t="s">
        <v>39</v>
      </c>
      <c r="H253" s="161" t="s">
        <v>12</v>
      </c>
      <c r="I253" s="162" t="s">
        <v>40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3">
      <c r="A254" s="156"/>
      <c r="B254" s="157"/>
      <c r="C254" s="157"/>
      <c r="D254" s="166"/>
      <c r="E254" s="159"/>
      <c r="F254" s="159" t="s">
        <v>40</v>
      </c>
      <c r="G254" s="160" t="s">
        <v>41</v>
      </c>
      <c r="H254" s="161" t="s">
        <v>12</v>
      </c>
      <c r="I254" s="162"/>
      <c r="J254" s="162"/>
      <c r="K254" s="163"/>
      <c r="L254" s="167">
        <f ca="1">L255+L256</f>
        <v>0</v>
      </c>
      <c r="M254" s="167">
        <f ca="1">IFERROR(__xludf.DUMMYFUNCTION("IMPORTRANGE(""https://docs.google.com/spreadsheets/d/1Yj_ptqi66GCucihVvJfMjLAmec39IyEx_6qawtMGysU/edit?usp=sharing"",""สบก!CB34"")"),0)</f>
        <v>0</v>
      </c>
      <c r="N254" s="168">
        <f ca="1">IFERROR(__xludf.DUMMYFUNCTION("IMPORTRANGE(""https://docs.google.com/spreadsheets/d/1Yj_ptqi66GCucihVvJfMjLAmec39IyEx_6qawtMGysU/edit?usp=sharing"",""สบก!CC34"")"),0)</f>
        <v>0</v>
      </c>
      <c r="O254" s="168">
        <f ca="1">IF(L254&gt;0,N254*100/L254,0)</f>
        <v>0</v>
      </c>
      <c r="P254" s="168">
        <f ca="1">IF(M254&gt;0,N254*100/M254,0)</f>
        <v>0</v>
      </c>
    </row>
    <row r="255" spans="1:16" ht="21.75" customHeight="1" x14ac:dyDescent="0.3">
      <c r="A255" s="156"/>
      <c r="B255" s="157"/>
      <c r="C255" s="157"/>
      <c r="D255" s="166"/>
      <c r="E255" s="159"/>
      <c r="F255" s="159"/>
      <c r="G255" s="169" t="s">
        <v>42</v>
      </c>
      <c r="H255" s="161" t="s">
        <v>12</v>
      </c>
      <c r="I255" s="162"/>
      <c r="J255" s="162"/>
      <c r="K255" s="163"/>
      <c r="L255" s="167">
        <f ca="1">IFERROR(__xludf.DUMMYFUNCTION("IMPORTRANGE(""https://docs.google.com/spreadsheets/d/1Yj_ptqi66GCucihVvJfMjLAmec39IyEx_6qawtMGysU/edit?usp=sharing"",""สบก!BX34"")"),0)</f>
        <v>0</v>
      </c>
      <c r="M255" s="167"/>
      <c r="N255" s="167"/>
      <c r="O255" s="168"/>
      <c r="P255" s="168"/>
    </row>
    <row r="256" spans="1:16" ht="21.75" customHeight="1" x14ac:dyDescent="0.3">
      <c r="A256" s="156"/>
      <c r="B256" s="157"/>
      <c r="C256" s="157"/>
      <c r="D256" s="166"/>
      <c r="E256" s="159"/>
      <c r="F256" s="159"/>
      <c r="G256" s="169" t="s">
        <v>43</v>
      </c>
      <c r="H256" s="161" t="s">
        <v>12</v>
      </c>
      <c r="I256" s="162"/>
      <c r="J256" s="162"/>
      <c r="K256" s="163"/>
      <c r="L256" s="167">
        <f ca="1">IFERROR(__xludf.DUMMYFUNCTION("IMPORTRANGE(""https://docs.google.com/spreadsheets/d/1Yj_ptqi66GCucihVvJfMjLAmec39IyEx_6qawtMGysU/edit?usp=sharing"",""สบก!BY34"")"),0)</f>
        <v>0</v>
      </c>
      <c r="M256" s="167"/>
      <c r="N256" s="167"/>
      <c r="O256" s="168"/>
      <c r="P256" s="168"/>
    </row>
    <row r="257" spans="1:16" ht="21.75" customHeight="1" x14ac:dyDescent="0.45">
      <c r="A257" s="170"/>
      <c r="B257" s="80"/>
      <c r="C257" s="81" t="s">
        <v>16</v>
      </c>
      <c r="D257" s="534" t="s">
        <v>23</v>
      </c>
      <c r="E257" s="530"/>
      <c r="F257" s="88"/>
      <c r="G257" s="82" t="s">
        <v>18</v>
      </c>
      <c r="H257" s="171" t="s">
        <v>12</v>
      </c>
      <c r="I257" s="162"/>
      <c r="J257" s="162"/>
      <c r="K257" s="163"/>
      <c r="L257" s="41">
        <v>0</v>
      </c>
      <c r="M257" s="41"/>
      <c r="N257" s="41"/>
      <c r="O257" s="41"/>
      <c r="P257" s="41"/>
    </row>
    <row r="258" spans="1:16" ht="21.75" customHeight="1" x14ac:dyDescent="0.45">
      <c r="A258" s="172"/>
      <c r="B258" s="91"/>
      <c r="C258" s="91"/>
      <c r="D258" s="173"/>
      <c r="E258" s="92"/>
      <c r="F258" s="92"/>
      <c r="G258" s="93" t="s">
        <v>19</v>
      </c>
      <c r="H258" s="174" t="s">
        <v>12</v>
      </c>
      <c r="I258" s="162"/>
      <c r="J258" s="162"/>
      <c r="K258" s="163"/>
      <c r="L258" s="49">
        <f ca="1">IFERROR(__xludf.DUMMYFUNCTION("IMPORTRANGE(""https://docs.google.com/spreadsheets/d/1Yj_ptqi66GCucihVvJfMjLAmec39IyEx_6qawtMGysU/edit?usp=sharing"",""สบก!BZ34"")"),0)</f>
        <v>0</v>
      </c>
      <c r="M258" s="49"/>
      <c r="N258" s="49">
        <f ca="1">IFERROR(__xludf.DUMMYFUNCTION("IMPORTRANGE(""https://docs.google.com/spreadsheets/d/1Yj_ptqi66GCucihVvJfMjLAmec39IyEx_6qawtMGysU/edit?usp=sharing"",""สบก!CD34"")"),0)</f>
        <v>0</v>
      </c>
      <c r="O258" s="49">
        <f ca="1">IF(L258&gt;0,N258*100/L258,0)</f>
        <v>0</v>
      </c>
      <c r="P258" s="49"/>
    </row>
    <row r="259" spans="1:16" ht="21.75" customHeight="1" x14ac:dyDescent="0.3">
      <c r="A259" s="175"/>
      <c r="B259" s="176"/>
      <c r="C259" s="157" t="s">
        <v>16</v>
      </c>
      <c r="D259" s="177" t="s">
        <v>44</v>
      </c>
      <c r="E259" s="178"/>
      <c r="F259" s="178"/>
      <c r="G259" s="179"/>
      <c r="H259" s="180"/>
      <c r="I259" s="162"/>
      <c r="J259" s="162"/>
      <c r="K259" s="163"/>
      <c r="L259" s="181"/>
      <c r="M259" s="181"/>
      <c r="N259" s="181"/>
      <c r="O259" s="181"/>
      <c r="P259" s="181"/>
    </row>
    <row r="260" spans="1:16" ht="21.75" customHeight="1" x14ac:dyDescent="0.3">
      <c r="A260" s="175"/>
      <c r="B260" s="176"/>
      <c r="C260" s="176"/>
      <c r="D260" s="182">
        <v>1</v>
      </c>
      <c r="E260" s="183" t="s">
        <v>45</v>
      </c>
      <c r="F260" s="184"/>
      <c r="G260" s="185"/>
      <c r="H260" s="186"/>
      <c r="I260" s="187"/>
      <c r="J260" s="188">
        <f ca="1">IFERROR(__xludf.DUMMYFUNCTION("IMPORTRANGE(""https://docs.google.com/spreadsheets/d/11923uPwbBZFjjGgGUA6NLw09EwE0CqkOc4q9oUmW1yo/edit?usp=sharing"",""สุโขทัย!J175"")"),0)</f>
        <v>0</v>
      </c>
      <c r="K260" s="163"/>
      <c r="L260" s="181"/>
      <c r="M260" s="181"/>
      <c r="N260" s="181"/>
      <c r="O260" s="181"/>
      <c r="P260" s="181"/>
    </row>
    <row r="261" spans="1:16" ht="21.75" customHeight="1" x14ac:dyDescent="0.3">
      <c r="A261" s="175"/>
      <c r="B261" s="176"/>
      <c r="C261" s="176"/>
      <c r="D261" s="189">
        <v>2</v>
      </c>
      <c r="E261" s="190" t="s">
        <v>46</v>
      </c>
      <c r="F261" s="191"/>
      <c r="G261" s="192"/>
      <c r="H261" s="186"/>
      <c r="I261" s="187"/>
      <c r="J261" s="197">
        <f ca="1">IFERROR(__xludf.DUMMYFUNCTION("IMPORTRANGE(""https://docs.google.com/spreadsheets/d/11923uPwbBZFjjGgGUA6NLw09EwE0CqkOc4q9oUmW1yo/edit?usp=sharing"",""สุโขทัย!J176"")"),0)</f>
        <v>0</v>
      </c>
      <c r="K261" s="163"/>
      <c r="L261" s="181" t="s">
        <v>40</v>
      </c>
      <c r="M261" s="181"/>
      <c r="N261" s="181" t="s">
        <v>40</v>
      </c>
      <c r="O261" s="181"/>
      <c r="P261" s="181"/>
    </row>
    <row r="262" spans="1:16" ht="21.75" customHeight="1" x14ac:dyDescent="0.3">
      <c r="A262" s="175"/>
      <c r="B262" s="176"/>
      <c r="C262" s="176"/>
      <c r="D262" s="193"/>
      <c r="E262" s="194" t="s">
        <v>47</v>
      </c>
      <c r="F262" s="195"/>
      <c r="G262" s="196"/>
      <c r="H262" s="186"/>
      <c r="I262" s="187"/>
      <c r="J262" s="197">
        <f ca="1">IFERROR(__xludf.DUMMYFUNCTION("IMPORTRANGE(""https://docs.google.com/spreadsheets/d/11923uPwbBZFjjGgGUA6NLw09EwE0CqkOc4q9oUmW1yo/edit?usp=sharing"",""สุโขทัย!J177"")"),0)</f>
        <v>0</v>
      </c>
      <c r="K262" s="163"/>
      <c r="L262" s="181"/>
      <c r="M262" s="181"/>
      <c r="N262" s="181"/>
      <c r="O262" s="181"/>
      <c r="P262" s="181"/>
    </row>
    <row r="263" spans="1:16" ht="21.75" customHeight="1" x14ac:dyDescent="0.3">
      <c r="A263" s="175"/>
      <c r="B263" s="176"/>
      <c r="C263" s="176"/>
      <c r="D263" s="193"/>
      <c r="E263" s="194" t="s">
        <v>48</v>
      </c>
      <c r="F263" s="195"/>
      <c r="G263" s="196"/>
      <c r="H263" s="186"/>
      <c r="I263" s="187"/>
      <c r="J263" s="197">
        <f ca="1">IFERROR(__xludf.DUMMYFUNCTION("IMPORTRANGE(""https://docs.google.com/spreadsheets/d/11923uPwbBZFjjGgGUA6NLw09EwE0CqkOc4q9oUmW1yo/edit?usp=sharing"",""สุโขทัย!J178"")"),0)</f>
        <v>0</v>
      </c>
      <c r="K263" s="163"/>
      <c r="L263" s="181"/>
      <c r="M263" s="181"/>
      <c r="N263" s="181"/>
      <c r="O263" s="181"/>
      <c r="P263" s="181"/>
    </row>
    <row r="264" spans="1:16" ht="21.75" customHeight="1" x14ac:dyDescent="0.3">
      <c r="A264" s="175"/>
      <c r="B264" s="176"/>
      <c r="C264" s="176"/>
      <c r="D264" s="193"/>
      <c r="E264" s="198"/>
      <c r="F264" s="194" t="s">
        <v>105</v>
      </c>
      <c r="G264" s="196"/>
      <c r="H264" s="180" t="s">
        <v>59</v>
      </c>
      <c r="I264" s="187">
        <f ca="1">IFERROR(__xludf.DUMMYFUNCTION("IMPORTRANGE(""https://docs.google.com/spreadsheets/d/11923uPwbBZFjjGgGUA6NLw09EwE0CqkOc4q9oUmW1yo/edit?usp=sharing"",""สุโขทัย!I179"")"),0)</f>
        <v>0</v>
      </c>
      <c r="J264" s="188">
        <f ca="1">IFERROR(__xludf.DUMMYFUNCTION("IMPORTRANGE(""https://docs.google.com/spreadsheets/d/11923uPwbBZFjjGgGUA6NLw09EwE0CqkOc4q9oUmW1yo/edit?usp=sharing"",""สุโขทัย!J179"")"),0)</f>
        <v>0</v>
      </c>
      <c r="K264" s="163">
        <f t="shared" ref="K264:K267" ca="1" si="82">IF(I264&gt;0,J264*100/I264,0)</f>
        <v>0</v>
      </c>
      <c r="L264" s="181"/>
      <c r="M264" s="181"/>
      <c r="N264" s="181"/>
      <c r="O264" s="181"/>
      <c r="P264" s="181"/>
    </row>
    <row r="265" spans="1:16" ht="21.75" customHeight="1" x14ac:dyDescent="0.3">
      <c r="A265" s="175"/>
      <c r="B265" s="176"/>
      <c r="C265" s="176"/>
      <c r="D265" s="193"/>
      <c r="E265" s="198"/>
      <c r="F265" s="194" t="s">
        <v>106</v>
      </c>
      <c r="G265" s="196"/>
      <c r="H265" s="180" t="s">
        <v>37</v>
      </c>
      <c r="I265" s="187">
        <f ca="1">IFERROR(__xludf.DUMMYFUNCTION("IMPORTRANGE(""https://docs.google.com/spreadsheets/d/11923uPwbBZFjjGgGUA6NLw09EwE0CqkOc4q9oUmW1yo/edit?usp=sharing"",""สุโขทัย!I180"")"),0)</f>
        <v>0</v>
      </c>
      <c r="J265" s="188">
        <f ca="1">IFERROR(__xludf.DUMMYFUNCTION("IMPORTRANGE(""https://docs.google.com/spreadsheets/d/11923uPwbBZFjjGgGUA6NLw09EwE0CqkOc4q9oUmW1yo/edit?usp=sharing"",""สุโขทัย!J180"")"),0)</f>
        <v>0</v>
      </c>
      <c r="K265" s="163">
        <f t="shared" ca="1" si="82"/>
        <v>0</v>
      </c>
      <c r="L265" s="181"/>
      <c r="M265" s="181"/>
      <c r="N265" s="181"/>
      <c r="O265" s="181"/>
      <c r="P265" s="181"/>
    </row>
    <row r="266" spans="1:16" ht="21.75" customHeight="1" x14ac:dyDescent="0.3">
      <c r="A266" s="175"/>
      <c r="B266" s="176"/>
      <c r="C266" s="176"/>
      <c r="D266" s="193"/>
      <c r="E266" s="198"/>
      <c r="F266" s="194" t="s">
        <v>107</v>
      </c>
      <c r="G266" s="196"/>
      <c r="H266" s="180" t="s">
        <v>37</v>
      </c>
      <c r="I266" s="187">
        <f ca="1">IFERROR(__xludf.DUMMYFUNCTION("IMPORTRANGE(""https://docs.google.com/spreadsheets/d/11923uPwbBZFjjGgGUA6NLw09EwE0CqkOc4q9oUmW1yo/edit?usp=sharing"",""สุโขทัย!I181"")"),0)</f>
        <v>0</v>
      </c>
      <c r="J266" s="188">
        <f ca="1">IFERROR(__xludf.DUMMYFUNCTION("IMPORTRANGE(""https://docs.google.com/spreadsheets/d/11923uPwbBZFjjGgGUA6NLw09EwE0CqkOc4q9oUmW1yo/edit?usp=sharing"",""สุโขทัย!J181"")"),0)</f>
        <v>0</v>
      </c>
      <c r="K266" s="163">
        <f t="shared" ca="1" si="82"/>
        <v>0</v>
      </c>
      <c r="L266" s="181"/>
      <c r="M266" s="181"/>
      <c r="N266" s="181"/>
      <c r="O266" s="181"/>
      <c r="P266" s="181"/>
    </row>
    <row r="267" spans="1:16" ht="21.75" customHeight="1" x14ac:dyDescent="0.3">
      <c r="A267" s="175"/>
      <c r="B267" s="176"/>
      <c r="C267" s="176"/>
      <c r="D267" s="193"/>
      <c r="E267" s="198"/>
      <c r="F267" s="194" t="s">
        <v>108</v>
      </c>
      <c r="G267" s="196"/>
      <c r="H267" s="180" t="s">
        <v>37</v>
      </c>
      <c r="I267" s="187">
        <f ca="1">IFERROR(__xludf.DUMMYFUNCTION("IMPORTRANGE(""https://docs.google.com/spreadsheets/d/11923uPwbBZFjjGgGUA6NLw09EwE0CqkOc4q9oUmW1yo/edit?usp=sharing"",""สุโขทัย!I182"")"),0)</f>
        <v>0</v>
      </c>
      <c r="J267" s="188">
        <f ca="1">IFERROR(__xludf.DUMMYFUNCTION("IMPORTRANGE(""https://docs.google.com/spreadsheets/d/11923uPwbBZFjjGgGUA6NLw09EwE0CqkOc4q9oUmW1yo/edit?usp=sharing"",""สุโขทัย!J182"")"),0)</f>
        <v>0</v>
      </c>
      <c r="K267" s="163">
        <f t="shared" ca="1" si="82"/>
        <v>0</v>
      </c>
      <c r="L267" s="181"/>
      <c r="M267" s="181"/>
      <c r="N267" s="181"/>
      <c r="O267" s="181"/>
      <c r="P267" s="181"/>
    </row>
    <row r="268" spans="1:16" ht="21.75" customHeight="1" x14ac:dyDescent="0.3">
      <c r="A268" s="175"/>
      <c r="B268" s="176"/>
      <c r="C268" s="176"/>
      <c r="D268" s="193"/>
      <c r="E268" s="194" t="s">
        <v>54</v>
      </c>
      <c r="F268" s="195"/>
      <c r="G268" s="196"/>
      <c r="H268" s="186"/>
      <c r="I268" s="187"/>
      <c r="J268" s="197">
        <f ca="1">IFERROR(__xludf.DUMMYFUNCTION("IMPORTRANGE(""https://docs.google.com/spreadsheets/d/11923uPwbBZFjjGgGUA6NLw09EwE0CqkOc4q9oUmW1yo/edit?usp=sharing"",""สุโขทัย!J183"")"),0)</f>
        <v>0</v>
      </c>
      <c r="K268" s="163"/>
      <c r="L268" s="181"/>
      <c r="M268" s="181"/>
      <c r="N268" s="181"/>
      <c r="O268" s="181"/>
      <c r="P268" s="181"/>
    </row>
    <row r="269" spans="1:16" ht="21.75" customHeight="1" x14ac:dyDescent="0.3">
      <c r="A269" s="233"/>
      <c r="B269" s="234"/>
      <c r="C269" s="234"/>
      <c r="D269" s="235">
        <v>3</v>
      </c>
      <c r="E269" s="236" t="s">
        <v>55</v>
      </c>
      <c r="F269" s="237"/>
      <c r="G269" s="238"/>
      <c r="H269" s="239"/>
      <c r="I269" s="240"/>
      <c r="J269" s="285">
        <f ca="1">IFERROR(__xludf.DUMMYFUNCTION("IMPORTRANGE(""https://docs.google.com/spreadsheets/d/11923uPwbBZFjjGgGUA6NLw09EwE0CqkOc4q9oUmW1yo/edit?usp=sharing"",""สุโขทัย!J184"")"),0)</f>
        <v>0</v>
      </c>
      <c r="K269" s="286"/>
      <c r="L269" s="244"/>
      <c r="M269" s="244"/>
      <c r="N269" s="244"/>
      <c r="O269" s="244"/>
      <c r="P269" s="244"/>
    </row>
    <row r="270" spans="1:16" ht="21.75" customHeight="1" x14ac:dyDescent="0.3">
      <c r="A270" s="310"/>
      <c r="B270" s="311" t="s">
        <v>109</v>
      </c>
      <c r="C270" s="311"/>
      <c r="D270" s="311"/>
      <c r="E270" s="311"/>
      <c r="F270" s="311"/>
      <c r="G270" s="312"/>
      <c r="H270" s="313" t="s">
        <v>37</v>
      </c>
      <c r="I270" s="314">
        <f ca="1">IFERROR(__xludf.DUMMYFUNCTION("IMPORTRANGE(""https://docs.google.com/spreadsheets/d/11923uPwbBZFjjGgGUA6NLw09EwE0CqkOc4q9oUmW1yo/edit?usp=sharing"",""สุโขทัย!I185"")"),15)</f>
        <v>15</v>
      </c>
      <c r="J270" s="314">
        <f ca="1">IFERROR(__xludf.DUMMYFUNCTION("IMPORTRANGE(""https://docs.google.com/spreadsheets/d/11923uPwbBZFjjGgGUA6NLw09EwE0CqkOc4q9oUmW1yo/edit?usp=sharing"",""สุโขทัย!J185"")"),15)</f>
        <v>15</v>
      </c>
      <c r="K270" s="315">
        <f ca="1">IF(I270&gt;0,J270*100/I270,0)</f>
        <v>100</v>
      </c>
      <c r="L270" s="316"/>
      <c r="M270" s="316"/>
      <c r="N270" s="316"/>
      <c r="O270" s="315"/>
      <c r="P270" s="315"/>
    </row>
    <row r="271" spans="1:16" ht="21.75" customHeight="1" x14ac:dyDescent="0.45">
      <c r="A271" s="145"/>
      <c r="B271" s="146"/>
      <c r="C271" s="147" t="s">
        <v>16</v>
      </c>
      <c r="D271" s="537" t="s">
        <v>17</v>
      </c>
      <c r="E271" s="528"/>
      <c r="F271" s="528"/>
      <c r="G271" s="528"/>
      <c r="H271" s="148" t="s">
        <v>12</v>
      </c>
      <c r="I271" s="162"/>
      <c r="J271" s="162"/>
      <c r="K271" s="163"/>
      <c r="L271" s="151">
        <f t="shared" ref="L271:N271" ca="1" si="83">L272+L273</f>
        <v>237700</v>
      </c>
      <c r="M271" s="151">
        <f t="shared" ca="1" si="83"/>
        <v>146000</v>
      </c>
      <c r="N271" s="151">
        <f t="shared" ca="1" si="83"/>
        <v>100115</v>
      </c>
      <c r="O271" s="150">
        <f t="shared" ref="O271:O273" ca="1" si="84">IF(L271&gt;0,N271*100/L271,0)</f>
        <v>42.11821623895667</v>
      </c>
      <c r="P271" s="150">
        <f t="shared" ref="P271:P273" ca="1" si="85">IF(M271&gt;0,N271*100/M271,0)</f>
        <v>68.571917808219183</v>
      </c>
    </row>
    <row r="272" spans="1:16" ht="21.75" customHeight="1" x14ac:dyDescent="0.45">
      <c r="A272" s="152"/>
      <c r="B272" s="32"/>
      <c r="C272" s="32"/>
      <c r="D272" s="32"/>
      <c r="E272" s="32"/>
      <c r="F272" s="32"/>
      <c r="G272" s="33" t="s">
        <v>18</v>
      </c>
      <c r="H272" s="153" t="s">
        <v>12</v>
      </c>
      <c r="I272" s="162"/>
      <c r="J272" s="162"/>
      <c r="K272" s="163"/>
      <c r="L272" s="87">
        <f t="shared" ref="L272:N272" si="86">L274+L278</f>
        <v>0</v>
      </c>
      <c r="M272" s="87">
        <f t="shared" si="86"/>
        <v>0</v>
      </c>
      <c r="N272" s="87">
        <f t="shared" si="86"/>
        <v>0</v>
      </c>
      <c r="O272" s="155">
        <f t="shared" si="84"/>
        <v>0</v>
      </c>
      <c r="P272" s="155">
        <f t="shared" si="85"/>
        <v>0</v>
      </c>
    </row>
    <row r="273" spans="1:16" ht="21.75" customHeight="1" x14ac:dyDescent="0.45">
      <c r="A273" s="152"/>
      <c r="B273" s="32"/>
      <c r="C273" s="32"/>
      <c r="D273" s="32"/>
      <c r="E273" s="32"/>
      <c r="F273" s="32"/>
      <c r="G273" s="33" t="s">
        <v>19</v>
      </c>
      <c r="H273" s="153" t="s">
        <v>12</v>
      </c>
      <c r="I273" s="162"/>
      <c r="J273" s="162"/>
      <c r="K273" s="163"/>
      <c r="L273" s="87">
        <f t="shared" ref="L273:N273" ca="1" si="87">L275+L279</f>
        <v>237700</v>
      </c>
      <c r="M273" s="87">
        <f t="shared" ca="1" si="87"/>
        <v>146000</v>
      </c>
      <c r="N273" s="87">
        <f t="shared" ca="1" si="87"/>
        <v>100115</v>
      </c>
      <c r="O273" s="155">
        <f t="shared" ca="1" si="84"/>
        <v>42.11821623895667</v>
      </c>
      <c r="P273" s="155">
        <f t="shared" ca="1" si="85"/>
        <v>68.571917808219183</v>
      </c>
    </row>
    <row r="274" spans="1:16" ht="21.75" customHeight="1" x14ac:dyDescent="0.3">
      <c r="A274" s="156"/>
      <c r="B274" s="157"/>
      <c r="C274" s="157" t="s">
        <v>16</v>
      </c>
      <c r="D274" s="158" t="s">
        <v>38</v>
      </c>
      <c r="E274" s="159"/>
      <c r="F274" s="159"/>
      <c r="G274" s="160" t="s">
        <v>39</v>
      </c>
      <c r="H274" s="161" t="s">
        <v>12</v>
      </c>
      <c r="I274" s="162" t="s">
        <v>40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3">
      <c r="A275" s="156"/>
      <c r="B275" s="157"/>
      <c r="C275" s="157"/>
      <c r="D275" s="166"/>
      <c r="E275" s="159"/>
      <c r="F275" s="159" t="s">
        <v>40</v>
      </c>
      <c r="G275" s="160" t="s">
        <v>41</v>
      </c>
      <c r="H275" s="161" t="s">
        <v>12</v>
      </c>
      <c r="I275" s="162"/>
      <c r="J275" s="162"/>
      <c r="K275" s="163"/>
      <c r="L275" s="167">
        <f ca="1">L276+L277</f>
        <v>237700</v>
      </c>
      <c r="M275" s="167">
        <f ca="1">IFERROR(__xludf.DUMMYFUNCTION("IMPORTRANGE(""https://docs.google.com/spreadsheets/d/1Yj_ptqi66GCucihVvJfMjLAmec39IyEx_6qawtMGysU/edit?usp=sharing"",""สบก!CK34"")"),146000)</f>
        <v>146000</v>
      </c>
      <c r="N275" s="168">
        <f ca="1">IFERROR(__xludf.DUMMYFUNCTION("IMPORTRANGE(""https://docs.google.com/spreadsheets/d/1Yj_ptqi66GCucihVvJfMjLAmec39IyEx_6qawtMGysU/edit?usp=sharing"",""สบก!CL34"")"),100115)</f>
        <v>100115</v>
      </c>
      <c r="O275" s="168">
        <f ca="1">IF(L275&gt;0,N275*100/L275,0)</f>
        <v>42.11821623895667</v>
      </c>
      <c r="P275" s="168">
        <f ca="1">IF(M275&gt;0,N275*100/M275,0)</f>
        <v>68.571917808219183</v>
      </c>
    </row>
    <row r="276" spans="1:16" ht="21.75" customHeight="1" x14ac:dyDescent="0.3">
      <c r="A276" s="156"/>
      <c r="B276" s="157"/>
      <c r="C276" s="157"/>
      <c r="D276" s="166"/>
      <c r="E276" s="159"/>
      <c r="F276" s="159"/>
      <c r="G276" s="169" t="s">
        <v>42</v>
      </c>
      <c r="H276" s="161" t="s">
        <v>12</v>
      </c>
      <c r="I276" s="162"/>
      <c r="J276" s="162"/>
      <c r="K276" s="163"/>
      <c r="L276" s="167">
        <f ca="1">IFERROR(__xludf.DUMMYFUNCTION("IMPORTRANGE(""https://docs.google.com/spreadsheets/d/1Yj_ptqi66GCucihVvJfMjLAmec39IyEx_6qawtMGysU/edit?usp=sharing"",""สบก!CG34"")"),132000)</f>
        <v>132000</v>
      </c>
      <c r="M276" s="167"/>
      <c r="N276" s="167"/>
      <c r="O276" s="168"/>
      <c r="P276" s="168"/>
    </row>
    <row r="277" spans="1:16" ht="21.75" customHeight="1" x14ac:dyDescent="0.3">
      <c r="A277" s="156"/>
      <c r="B277" s="157"/>
      <c r="C277" s="157"/>
      <c r="D277" s="166"/>
      <c r="E277" s="159"/>
      <c r="F277" s="159"/>
      <c r="G277" s="169" t="s">
        <v>43</v>
      </c>
      <c r="H277" s="161" t="s">
        <v>12</v>
      </c>
      <c r="I277" s="162"/>
      <c r="J277" s="162"/>
      <c r="K277" s="163"/>
      <c r="L277" s="167">
        <f ca="1">IFERROR(__xludf.DUMMYFUNCTION("IMPORTRANGE(""https://docs.google.com/spreadsheets/d/1Yj_ptqi66GCucihVvJfMjLAmec39IyEx_6qawtMGysU/edit?usp=sharing"",""สบก!CH34"")"),105700)</f>
        <v>105700</v>
      </c>
      <c r="M277" s="167"/>
      <c r="N277" s="167"/>
      <c r="O277" s="168"/>
      <c r="P277" s="168"/>
    </row>
    <row r="278" spans="1:16" ht="21.75" customHeight="1" x14ac:dyDescent="0.45">
      <c r="A278" s="170"/>
      <c r="B278" s="80"/>
      <c r="C278" s="81" t="s">
        <v>16</v>
      </c>
      <c r="D278" s="534" t="s">
        <v>23</v>
      </c>
      <c r="E278" s="530"/>
      <c r="F278" s="88"/>
      <c r="G278" s="82" t="s">
        <v>18</v>
      </c>
      <c r="H278" s="171" t="s">
        <v>12</v>
      </c>
      <c r="I278" s="162"/>
      <c r="J278" s="162"/>
      <c r="K278" s="163"/>
      <c r="L278" s="41">
        <v>0</v>
      </c>
      <c r="M278" s="41"/>
      <c r="N278" s="41"/>
      <c r="O278" s="41"/>
      <c r="P278" s="41"/>
    </row>
    <row r="279" spans="1:16" ht="21.75" customHeight="1" x14ac:dyDescent="0.45">
      <c r="A279" s="172"/>
      <c r="B279" s="91"/>
      <c r="C279" s="91"/>
      <c r="D279" s="173"/>
      <c r="E279" s="92"/>
      <c r="F279" s="92"/>
      <c r="G279" s="93" t="s">
        <v>19</v>
      </c>
      <c r="H279" s="174" t="s">
        <v>12</v>
      </c>
      <c r="I279" s="162"/>
      <c r="J279" s="162"/>
      <c r="K279" s="163"/>
      <c r="L279" s="49">
        <f ca="1">IFERROR(__xludf.DUMMYFUNCTION("IMPORTRANGE(""https://docs.google.com/spreadsheets/d/1Yj_ptqi66GCucihVvJfMjLAmec39IyEx_6qawtMGysU/edit?usp=sharing"",""สบก!CI34"")"),0)</f>
        <v>0</v>
      </c>
      <c r="M279" s="49"/>
      <c r="N279" s="49">
        <f ca="1">IFERROR(__xludf.DUMMYFUNCTION("IMPORTRANGE(""https://docs.google.com/spreadsheets/d/1Yj_ptqi66GCucihVvJfMjLAmec39IyEx_6qawtMGysU/edit?usp=sharing"",""สบก!CM34"")"),0)</f>
        <v>0</v>
      </c>
      <c r="O279" s="49">
        <f ca="1">IF(L279&gt;0,N279*100/L279,0)</f>
        <v>0</v>
      </c>
      <c r="P279" s="49"/>
    </row>
    <row r="280" spans="1:16" ht="21.75" customHeight="1" x14ac:dyDescent="0.3">
      <c r="A280" s="175"/>
      <c r="B280" s="176"/>
      <c r="C280" s="157" t="s">
        <v>16</v>
      </c>
      <c r="D280" s="177" t="s">
        <v>44</v>
      </c>
      <c r="E280" s="178"/>
      <c r="F280" s="178"/>
      <c r="G280" s="179"/>
      <c r="H280" s="180"/>
      <c r="I280" s="162"/>
      <c r="J280" s="162"/>
      <c r="K280" s="163"/>
      <c r="L280" s="181"/>
      <c r="M280" s="181"/>
      <c r="N280" s="181"/>
      <c r="O280" s="181"/>
      <c r="P280" s="181"/>
    </row>
    <row r="281" spans="1:16" ht="21.75" customHeight="1" x14ac:dyDescent="0.3">
      <c r="A281" s="175"/>
      <c r="B281" s="176"/>
      <c r="C281" s="176"/>
      <c r="D281" s="182">
        <v>1</v>
      </c>
      <c r="E281" s="183" t="s">
        <v>45</v>
      </c>
      <c r="F281" s="184"/>
      <c r="G281" s="185"/>
      <c r="H281" s="186"/>
      <c r="I281" s="187"/>
      <c r="J281" s="188">
        <f ca="1">IFERROR(__xludf.DUMMYFUNCTION("IMPORTRANGE(""https://docs.google.com/spreadsheets/d/11923uPwbBZFjjGgGUA6NLw09EwE0CqkOc4q9oUmW1yo/edit?usp=sharing"",""สุโขทัย!J191"")"),0)</f>
        <v>0</v>
      </c>
      <c r="K281" s="163"/>
      <c r="L281" s="181"/>
      <c r="M281" s="181"/>
      <c r="N281" s="181"/>
      <c r="O281" s="181"/>
      <c r="P281" s="181"/>
    </row>
    <row r="282" spans="1:16" ht="21.75" customHeight="1" x14ac:dyDescent="0.3">
      <c r="A282" s="175"/>
      <c r="B282" s="176"/>
      <c r="C282" s="176"/>
      <c r="D282" s="189">
        <v>2</v>
      </c>
      <c r="E282" s="190" t="s">
        <v>46</v>
      </c>
      <c r="F282" s="191"/>
      <c r="G282" s="192"/>
      <c r="H282" s="186"/>
      <c r="I282" s="187"/>
      <c r="J282" s="197">
        <f ca="1">IFERROR(__xludf.DUMMYFUNCTION("IMPORTRANGE(""https://docs.google.com/spreadsheets/d/11923uPwbBZFjjGgGUA6NLw09EwE0CqkOc4q9oUmW1yo/edit?usp=sharing"",""สุโขทัย!J192"")"),1)</f>
        <v>1</v>
      </c>
      <c r="K282" s="163"/>
      <c r="L282" s="181"/>
      <c r="M282" s="181"/>
      <c r="N282" s="181"/>
      <c r="O282" s="181"/>
      <c r="P282" s="181"/>
    </row>
    <row r="283" spans="1:16" ht="21.75" customHeight="1" x14ac:dyDescent="0.3">
      <c r="A283" s="175"/>
      <c r="B283" s="176"/>
      <c r="C283" s="176"/>
      <c r="D283" s="193"/>
      <c r="E283" s="194" t="s">
        <v>47</v>
      </c>
      <c r="F283" s="195"/>
      <c r="G283" s="196"/>
      <c r="H283" s="186"/>
      <c r="I283" s="187"/>
      <c r="J283" s="197">
        <f ca="1">IFERROR(__xludf.DUMMYFUNCTION("IMPORTRANGE(""https://docs.google.com/spreadsheets/d/11923uPwbBZFjjGgGUA6NLw09EwE0CqkOc4q9oUmW1yo/edit?usp=sharing"",""สุโขทัย!J193"")"),1)</f>
        <v>1</v>
      </c>
      <c r="K283" s="163"/>
      <c r="L283" s="181"/>
      <c r="M283" s="181"/>
      <c r="N283" s="181"/>
      <c r="O283" s="181"/>
      <c r="P283" s="181"/>
    </row>
    <row r="284" spans="1:16" ht="21.75" customHeight="1" x14ac:dyDescent="0.3">
      <c r="A284" s="175"/>
      <c r="B284" s="176"/>
      <c r="C284" s="176"/>
      <c r="D284" s="193"/>
      <c r="E284" s="194" t="s">
        <v>48</v>
      </c>
      <c r="F284" s="195"/>
      <c r="G284" s="196"/>
      <c r="H284" s="186"/>
      <c r="I284" s="187"/>
      <c r="J284" s="197">
        <f ca="1">IFERROR(__xludf.DUMMYFUNCTION("IMPORTRANGE(""https://docs.google.com/spreadsheets/d/11923uPwbBZFjjGgGUA6NLw09EwE0CqkOc4q9oUmW1yo/edit?usp=sharing"",""สุโขทัย!J194"")"),1)</f>
        <v>1</v>
      </c>
      <c r="K284" s="163"/>
      <c r="L284" s="181"/>
      <c r="M284" s="181"/>
      <c r="N284" s="181"/>
      <c r="O284" s="181"/>
      <c r="P284" s="181"/>
    </row>
    <row r="285" spans="1:16" ht="21.75" customHeight="1" x14ac:dyDescent="0.3">
      <c r="A285" s="175"/>
      <c r="B285" s="176"/>
      <c r="C285" s="176"/>
      <c r="D285" s="193"/>
      <c r="E285" s="195"/>
      <c r="F285" s="194" t="s">
        <v>110</v>
      </c>
      <c r="G285" s="196"/>
      <c r="H285" s="186" t="s">
        <v>37</v>
      </c>
      <c r="I285" s="187">
        <f ca="1">IFERROR(__xludf.DUMMYFUNCTION("IMPORTRANGE(""https://docs.google.com/spreadsheets/d/11923uPwbBZFjjGgGUA6NLw09EwE0CqkOc4q9oUmW1yo/edit?usp=sharing"",""สุโขทัย!I195"")"),15)</f>
        <v>15</v>
      </c>
      <c r="J285" s="188">
        <f ca="1">IFERROR(__xludf.DUMMYFUNCTION("IMPORTRANGE(""https://docs.google.com/spreadsheets/d/11923uPwbBZFjjGgGUA6NLw09EwE0CqkOc4q9oUmW1yo/edit?usp=sharing"",""สุโขทัย!J195"")"),15)</f>
        <v>15</v>
      </c>
      <c r="K285" s="163">
        <f ca="1">IF(I285&gt;0,J285*100/I285,0)</f>
        <v>100</v>
      </c>
      <c r="L285" s="181"/>
      <c r="M285" s="181"/>
      <c r="N285" s="181"/>
      <c r="O285" s="181"/>
      <c r="P285" s="181"/>
    </row>
    <row r="286" spans="1:16" ht="21.75" customHeight="1" x14ac:dyDescent="0.3">
      <c r="A286" s="175"/>
      <c r="B286" s="176"/>
      <c r="C286" s="176"/>
      <c r="D286" s="193"/>
      <c r="E286" s="194" t="s">
        <v>54</v>
      </c>
      <c r="F286" s="195"/>
      <c r="G286" s="196"/>
      <c r="H286" s="186"/>
      <c r="I286" s="187"/>
      <c r="J286" s="197">
        <f ca="1">IFERROR(__xludf.DUMMYFUNCTION("IMPORTRANGE(""https://docs.google.com/spreadsheets/d/11923uPwbBZFjjGgGUA6NLw09EwE0CqkOc4q9oUmW1yo/edit?usp=sharing"",""สุโขทัย!J196"")"),0)</f>
        <v>0</v>
      </c>
      <c r="K286" s="163"/>
      <c r="L286" s="181"/>
      <c r="M286" s="181"/>
      <c r="N286" s="181"/>
      <c r="O286" s="181"/>
      <c r="P286" s="181"/>
    </row>
    <row r="287" spans="1:16" ht="21.75" customHeight="1" x14ac:dyDescent="0.3">
      <c r="A287" s="175"/>
      <c r="B287" s="176"/>
      <c r="C287" s="176"/>
      <c r="D287" s="205">
        <v>3</v>
      </c>
      <c r="E287" s="206" t="s">
        <v>55</v>
      </c>
      <c r="F287" s="207"/>
      <c r="G287" s="208"/>
      <c r="H287" s="186"/>
      <c r="I287" s="187"/>
      <c r="J287" s="209">
        <f ca="1">IFERROR(__xludf.DUMMYFUNCTION("IMPORTRANGE(""https://docs.google.com/spreadsheets/d/11923uPwbBZFjjGgGUA6NLw09EwE0CqkOc4q9oUmW1yo/edit?usp=sharing"",""สุโขทัย!J197"")"),0)</f>
        <v>0</v>
      </c>
      <c r="K287" s="163"/>
      <c r="L287" s="181"/>
      <c r="M287" s="181"/>
      <c r="N287" s="181"/>
      <c r="O287" s="181"/>
      <c r="P287" s="181"/>
    </row>
    <row r="288" spans="1:16" ht="21.75" customHeight="1" x14ac:dyDescent="0.3">
      <c r="A288" s="302" t="s">
        <v>111</v>
      </c>
      <c r="B288" s="303"/>
      <c r="C288" s="303"/>
      <c r="D288" s="304"/>
      <c r="E288" s="303"/>
      <c r="F288" s="303"/>
      <c r="G288" s="317"/>
      <c r="H288" s="318"/>
      <c r="I288" s="319"/>
      <c r="J288" s="319"/>
      <c r="K288" s="320"/>
      <c r="L288" s="320"/>
      <c r="M288" s="320"/>
      <c r="N288" s="320"/>
      <c r="O288" s="309"/>
      <c r="P288" s="309"/>
    </row>
    <row r="289" spans="1:16" ht="21.75" customHeight="1" x14ac:dyDescent="0.3">
      <c r="A289" s="321"/>
      <c r="B289" s="311" t="s">
        <v>112</v>
      </c>
      <c r="C289" s="322"/>
      <c r="D289" s="323"/>
      <c r="E289" s="311"/>
      <c r="F289" s="311"/>
      <c r="G289" s="312"/>
      <c r="H289" s="313" t="s">
        <v>37</v>
      </c>
      <c r="I289" s="314">
        <f ca="1">IFERROR(__xludf.DUMMYFUNCTION("IMPORTRANGE(""https://docs.google.com/spreadsheets/d/11923uPwbBZFjjGgGUA6NLw09EwE0CqkOc4q9oUmW1yo/edit?usp=sharing"",""สุโขทัย!I199"")"),0)</f>
        <v>0</v>
      </c>
      <c r="J289" s="314">
        <f ca="1">IFERROR(__xludf.DUMMYFUNCTION("IMPORTRANGE(""https://docs.google.com/spreadsheets/d/11923uPwbBZFjjGgGUA6NLw09EwE0CqkOc4q9oUmW1yo/edit?usp=sharing"",""สุโขทัย!J199"")"),0)</f>
        <v>0</v>
      </c>
      <c r="K289" s="315">
        <f ca="1">IF(I289&gt;0,J289*100/I289,0)</f>
        <v>0</v>
      </c>
      <c r="L289" s="316"/>
      <c r="M289" s="316"/>
      <c r="N289" s="316"/>
      <c r="O289" s="315"/>
      <c r="P289" s="315"/>
    </row>
    <row r="290" spans="1:16" ht="21.75" customHeight="1" x14ac:dyDescent="0.45">
      <c r="A290" s="145"/>
      <c r="B290" s="146"/>
      <c r="C290" s="147" t="s">
        <v>16</v>
      </c>
      <c r="D290" s="537" t="s">
        <v>17</v>
      </c>
      <c r="E290" s="528"/>
      <c r="F290" s="528"/>
      <c r="G290" s="528"/>
      <c r="H290" s="148" t="s">
        <v>12</v>
      </c>
      <c r="I290" s="187"/>
      <c r="J290" s="187"/>
      <c r="K290" s="223"/>
      <c r="L290" s="151">
        <f t="shared" ref="L290:N290" ca="1" si="88">L291+L292</f>
        <v>0</v>
      </c>
      <c r="M290" s="151">
        <f t="shared" ca="1" si="88"/>
        <v>0</v>
      </c>
      <c r="N290" s="151">
        <f t="shared" ca="1" si="88"/>
        <v>0</v>
      </c>
      <c r="O290" s="150">
        <f t="shared" ref="O290:O292" ca="1" si="89">IF(L290&gt;0,N290*100/L290,0)</f>
        <v>0</v>
      </c>
      <c r="P290" s="150">
        <f t="shared" ref="P290:P292" ca="1" si="90">IF(M290&gt;0,N290*100/M290,0)</f>
        <v>0</v>
      </c>
    </row>
    <row r="291" spans="1:16" ht="21.75" customHeight="1" x14ac:dyDescent="0.45">
      <c r="A291" s="152"/>
      <c r="B291" s="32"/>
      <c r="C291" s="32"/>
      <c r="D291" s="32"/>
      <c r="E291" s="32"/>
      <c r="F291" s="32"/>
      <c r="G291" s="33" t="s">
        <v>18</v>
      </c>
      <c r="H291" s="153" t="s">
        <v>12</v>
      </c>
      <c r="I291" s="187"/>
      <c r="J291" s="187"/>
      <c r="K291" s="223"/>
      <c r="L291" s="87">
        <f t="shared" ref="L291:N291" si="91">L293+L297</f>
        <v>0</v>
      </c>
      <c r="M291" s="87">
        <f t="shared" si="91"/>
        <v>0</v>
      </c>
      <c r="N291" s="87">
        <f t="shared" si="91"/>
        <v>0</v>
      </c>
      <c r="O291" s="155">
        <f t="shared" si="89"/>
        <v>0</v>
      </c>
      <c r="P291" s="155">
        <f t="shared" si="90"/>
        <v>0</v>
      </c>
    </row>
    <row r="292" spans="1:16" ht="21.75" customHeight="1" x14ac:dyDescent="0.45">
      <c r="A292" s="152"/>
      <c r="B292" s="32"/>
      <c r="C292" s="32"/>
      <c r="D292" s="32"/>
      <c r="E292" s="32"/>
      <c r="F292" s="32"/>
      <c r="G292" s="33" t="s">
        <v>19</v>
      </c>
      <c r="H292" s="153" t="s">
        <v>12</v>
      </c>
      <c r="I292" s="187"/>
      <c r="J292" s="187"/>
      <c r="K292" s="223"/>
      <c r="L292" s="87">
        <f t="shared" ref="L292:N292" ca="1" si="92">L294+L298</f>
        <v>0</v>
      </c>
      <c r="M292" s="87">
        <f t="shared" ca="1" si="92"/>
        <v>0</v>
      </c>
      <c r="N292" s="87">
        <f t="shared" ca="1" si="92"/>
        <v>0</v>
      </c>
      <c r="O292" s="155">
        <f t="shared" ca="1" si="89"/>
        <v>0</v>
      </c>
      <c r="P292" s="155">
        <f t="shared" ca="1" si="90"/>
        <v>0</v>
      </c>
    </row>
    <row r="293" spans="1:16" ht="21.75" customHeight="1" x14ac:dyDescent="0.3">
      <c r="A293" s="156"/>
      <c r="B293" s="157"/>
      <c r="C293" s="157" t="s">
        <v>16</v>
      </c>
      <c r="D293" s="158" t="s">
        <v>38</v>
      </c>
      <c r="E293" s="159"/>
      <c r="F293" s="159"/>
      <c r="G293" s="160" t="s">
        <v>39</v>
      </c>
      <c r="H293" s="161" t="s">
        <v>12</v>
      </c>
      <c r="I293" s="187" t="s">
        <v>40</v>
      </c>
      <c r="J293" s="187"/>
      <c r="K293" s="223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3">
      <c r="A294" s="156"/>
      <c r="B294" s="157"/>
      <c r="C294" s="157"/>
      <c r="D294" s="166"/>
      <c r="E294" s="159"/>
      <c r="F294" s="159" t="s">
        <v>40</v>
      </c>
      <c r="G294" s="160" t="s">
        <v>41</v>
      </c>
      <c r="H294" s="161" t="s">
        <v>12</v>
      </c>
      <c r="I294" s="187"/>
      <c r="J294" s="187"/>
      <c r="K294" s="223"/>
      <c r="L294" s="167">
        <f ca="1">L295+L296</f>
        <v>0</v>
      </c>
      <c r="M294" s="167">
        <f ca="1">IFERROR(__xludf.DUMMYFUNCTION("IMPORTRANGE(""https://docs.google.com/spreadsheets/d/1Yj_ptqi66GCucihVvJfMjLAmec39IyEx_6qawtMGysU/edit?usp=sharing"",""สบก!CT34"")"),0)</f>
        <v>0</v>
      </c>
      <c r="N294" s="168">
        <f ca="1">IFERROR(__xludf.DUMMYFUNCTION("IMPORTRANGE(""https://docs.google.com/spreadsheets/d/1Yj_ptqi66GCucihVvJfMjLAmec39IyEx_6qawtMGysU/edit?usp=sharing"",""สบก!CU34"")"),0)</f>
        <v>0</v>
      </c>
      <c r="O294" s="168">
        <f ca="1">IF(L294&gt;0,N294*100/L294,0)</f>
        <v>0</v>
      </c>
      <c r="P294" s="168">
        <f ca="1">IF(M294&gt;0,N294*100/M294,0)</f>
        <v>0</v>
      </c>
    </row>
    <row r="295" spans="1:16" ht="21.75" customHeight="1" x14ac:dyDescent="0.3">
      <c r="A295" s="156"/>
      <c r="B295" s="157"/>
      <c r="C295" s="157"/>
      <c r="D295" s="166"/>
      <c r="E295" s="159"/>
      <c r="F295" s="159"/>
      <c r="G295" s="169" t="s">
        <v>42</v>
      </c>
      <c r="H295" s="161" t="s">
        <v>12</v>
      </c>
      <c r="I295" s="187"/>
      <c r="J295" s="187"/>
      <c r="K295" s="223"/>
      <c r="L295" s="167">
        <f ca="1">IFERROR(__xludf.DUMMYFUNCTION("IMPORTRANGE(""https://docs.google.com/spreadsheets/d/1Yj_ptqi66GCucihVvJfMjLAmec39IyEx_6qawtMGysU/edit?usp=sharing"",""สบก!CP34"")"),0)</f>
        <v>0</v>
      </c>
      <c r="M295" s="167"/>
      <c r="N295" s="167"/>
      <c r="O295" s="168"/>
      <c r="P295" s="168"/>
    </row>
    <row r="296" spans="1:16" ht="21.75" customHeight="1" x14ac:dyDescent="0.3">
      <c r="A296" s="156"/>
      <c r="B296" s="157"/>
      <c r="C296" s="157"/>
      <c r="D296" s="166"/>
      <c r="E296" s="159"/>
      <c r="F296" s="159"/>
      <c r="G296" s="169" t="s">
        <v>43</v>
      </c>
      <c r="H296" s="161" t="s">
        <v>12</v>
      </c>
      <c r="I296" s="187"/>
      <c r="J296" s="187"/>
      <c r="K296" s="223"/>
      <c r="L296" s="167">
        <f ca="1">IFERROR(__xludf.DUMMYFUNCTION("IMPORTRANGE(""https://docs.google.com/spreadsheets/d/1Yj_ptqi66GCucihVvJfMjLAmec39IyEx_6qawtMGysU/edit?usp=sharing"",""สบก!CQ34"")"),0)</f>
        <v>0</v>
      </c>
      <c r="M296" s="167"/>
      <c r="N296" s="167"/>
      <c r="O296" s="168"/>
      <c r="P296" s="168"/>
    </row>
    <row r="297" spans="1:16" ht="21.75" customHeight="1" x14ac:dyDescent="0.45">
      <c r="A297" s="170"/>
      <c r="B297" s="80"/>
      <c r="C297" s="81" t="s">
        <v>16</v>
      </c>
      <c r="D297" s="534" t="s">
        <v>23</v>
      </c>
      <c r="E297" s="530"/>
      <c r="F297" s="88"/>
      <c r="G297" s="82" t="s">
        <v>18</v>
      </c>
      <c r="H297" s="171" t="s">
        <v>12</v>
      </c>
      <c r="I297" s="187"/>
      <c r="J297" s="187"/>
      <c r="K297" s="223"/>
      <c r="L297" s="41">
        <v>0</v>
      </c>
      <c r="M297" s="41"/>
      <c r="N297" s="41"/>
      <c r="O297" s="41"/>
      <c r="P297" s="41"/>
    </row>
    <row r="298" spans="1:16" ht="21.75" customHeight="1" x14ac:dyDescent="0.45">
      <c r="A298" s="172"/>
      <c r="B298" s="91"/>
      <c r="C298" s="91"/>
      <c r="D298" s="173"/>
      <c r="E298" s="92"/>
      <c r="F298" s="92"/>
      <c r="G298" s="93" t="s">
        <v>19</v>
      </c>
      <c r="H298" s="174" t="s">
        <v>12</v>
      </c>
      <c r="I298" s="187"/>
      <c r="J298" s="187"/>
      <c r="K298" s="223"/>
      <c r="L298" s="49">
        <f ca="1">IFERROR(__xludf.DUMMYFUNCTION("IMPORTRANGE(""https://docs.google.com/spreadsheets/d/1Yj_ptqi66GCucihVvJfMjLAmec39IyEx_6qawtMGysU/edit?usp=sharing"",""สบก!CR34"")"),0)</f>
        <v>0</v>
      </c>
      <c r="M298" s="49"/>
      <c r="N298" s="49">
        <f ca="1">IFERROR(__xludf.DUMMYFUNCTION("IMPORTRANGE(""https://docs.google.com/spreadsheets/d/1Yj_ptqi66GCucihVvJfMjLAmec39IyEx_6qawtMGysU/edit?usp=sharing"",""สบก!CV34"")"),0)</f>
        <v>0</v>
      </c>
      <c r="O298" s="49">
        <f ca="1">IF(L298&gt;0,N298*100/L298,0)</f>
        <v>0</v>
      </c>
      <c r="P298" s="49"/>
    </row>
    <row r="299" spans="1:16" ht="21.75" customHeight="1" x14ac:dyDescent="0.3">
      <c r="A299" s="175"/>
      <c r="B299" s="176"/>
      <c r="C299" s="157" t="s">
        <v>16</v>
      </c>
      <c r="D299" s="177" t="s">
        <v>44</v>
      </c>
      <c r="E299" s="178"/>
      <c r="F299" s="178"/>
      <c r="G299" s="179"/>
      <c r="H299" s="180"/>
      <c r="I299" s="187"/>
      <c r="J299" s="187"/>
      <c r="K299" s="223"/>
      <c r="L299" s="168"/>
      <c r="M299" s="168"/>
      <c r="N299" s="168"/>
      <c r="O299" s="181"/>
      <c r="P299" s="181"/>
    </row>
    <row r="300" spans="1:16" ht="21.75" customHeight="1" x14ac:dyDescent="0.3">
      <c r="A300" s="175"/>
      <c r="B300" s="176"/>
      <c r="C300" s="176"/>
      <c r="D300" s="182">
        <v>1</v>
      </c>
      <c r="E300" s="183" t="s">
        <v>45</v>
      </c>
      <c r="F300" s="184"/>
      <c r="G300" s="185"/>
      <c r="H300" s="186"/>
      <c r="I300" s="187"/>
      <c r="J300" s="187">
        <f ca="1">IFERROR(__xludf.DUMMYFUNCTION("IMPORTRANGE(""https://docs.google.com/spreadsheets/d/11923uPwbBZFjjGgGUA6NLw09EwE0CqkOc4q9oUmW1yo/edit?usp=sharing"",""สุโขทัย!J205"")"),0)</f>
        <v>0</v>
      </c>
      <c r="K300" s="223"/>
      <c r="L300" s="168"/>
      <c r="M300" s="168"/>
      <c r="N300" s="168"/>
      <c r="O300" s="181"/>
      <c r="P300" s="181"/>
    </row>
    <row r="301" spans="1:16" ht="21.75" customHeight="1" x14ac:dyDescent="0.3">
      <c r="A301" s="175"/>
      <c r="B301" s="176"/>
      <c r="C301" s="176"/>
      <c r="D301" s="189">
        <v>2</v>
      </c>
      <c r="E301" s="190" t="s">
        <v>46</v>
      </c>
      <c r="F301" s="191"/>
      <c r="G301" s="192"/>
      <c r="H301" s="186"/>
      <c r="I301" s="187"/>
      <c r="J301" s="187">
        <f ca="1">IFERROR(__xludf.DUMMYFUNCTION("IMPORTRANGE(""https://docs.google.com/spreadsheets/d/11923uPwbBZFjjGgGUA6NLw09EwE0CqkOc4q9oUmW1yo/edit?usp=sharing"",""สุโขทัย!J206"")"),0)</f>
        <v>0</v>
      </c>
      <c r="K301" s="223"/>
      <c r="L301" s="168" t="s">
        <v>40</v>
      </c>
      <c r="M301" s="168"/>
      <c r="N301" s="168" t="s">
        <v>40</v>
      </c>
      <c r="O301" s="181"/>
      <c r="P301" s="181"/>
    </row>
    <row r="302" spans="1:16" ht="21.75" customHeight="1" x14ac:dyDescent="0.3">
      <c r="A302" s="175"/>
      <c r="B302" s="176"/>
      <c r="C302" s="176"/>
      <c r="D302" s="193"/>
      <c r="E302" s="194" t="s">
        <v>47</v>
      </c>
      <c r="F302" s="195"/>
      <c r="G302" s="196"/>
      <c r="H302" s="186"/>
      <c r="I302" s="187"/>
      <c r="J302" s="187">
        <f ca="1">IFERROR(__xludf.DUMMYFUNCTION("IMPORTRANGE(""https://docs.google.com/spreadsheets/d/11923uPwbBZFjjGgGUA6NLw09EwE0CqkOc4q9oUmW1yo/edit?usp=sharing"",""สุโขทัย!J207"")"),0)</f>
        <v>0</v>
      </c>
      <c r="K302" s="223"/>
      <c r="L302" s="168"/>
      <c r="M302" s="168"/>
      <c r="N302" s="168"/>
      <c r="O302" s="181"/>
      <c r="P302" s="181"/>
    </row>
    <row r="303" spans="1:16" ht="21.75" customHeight="1" x14ac:dyDescent="0.3">
      <c r="A303" s="175"/>
      <c r="B303" s="176"/>
      <c r="C303" s="176"/>
      <c r="D303" s="193"/>
      <c r="E303" s="194" t="s">
        <v>48</v>
      </c>
      <c r="F303" s="195"/>
      <c r="G303" s="196"/>
      <c r="H303" s="186"/>
      <c r="I303" s="187"/>
      <c r="J303" s="187">
        <f ca="1">IFERROR(__xludf.DUMMYFUNCTION("IMPORTRANGE(""https://docs.google.com/spreadsheets/d/11923uPwbBZFjjGgGUA6NLw09EwE0CqkOc4q9oUmW1yo/edit?usp=sharing"",""สุโขทัย!J208"")"),0)</f>
        <v>0</v>
      </c>
      <c r="K303" s="223"/>
      <c r="L303" s="168"/>
      <c r="M303" s="168"/>
      <c r="N303" s="168"/>
      <c r="O303" s="181"/>
      <c r="P303" s="181"/>
    </row>
    <row r="304" spans="1:16" ht="21.75" customHeight="1" x14ac:dyDescent="0.3">
      <c r="A304" s="175"/>
      <c r="B304" s="176"/>
      <c r="C304" s="176"/>
      <c r="D304" s="193"/>
      <c r="E304" s="198"/>
      <c r="F304" s="194" t="s">
        <v>113</v>
      </c>
      <c r="G304" s="196"/>
      <c r="H304" s="180" t="s">
        <v>37</v>
      </c>
      <c r="I304" s="187">
        <f ca="1">IFERROR(__xludf.DUMMYFUNCTION("IMPORTRANGE(""https://docs.google.com/spreadsheets/d/11923uPwbBZFjjGgGUA6NLw09EwE0CqkOc4q9oUmW1yo/edit?usp=sharing"",""สุโขทัย!I209"")"),0)</f>
        <v>0</v>
      </c>
      <c r="J304" s="203">
        <f ca="1">IFERROR(__xludf.DUMMYFUNCTION("IMPORTRANGE(""https://docs.google.com/spreadsheets/d/11923uPwbBZFjjGgGUA6NLw09EwE0CqkOc4q9oUmW1yo/edit?usp=sharing"",""สุโขทัย!J209"")"),0)</f>
        <v>0</v>
      </c>
      <c r="K304" s="223">
        <f ca="1">IF(I304&gt;0,J304*100/I304,0)</f>
        <v>0</v>
      </c>
      <c r="L304" s="168"/>
      <c r="M304" s="168"/>
      <c r="N304" s="168"/>
      <c r="O304" s="181"/>
      <c r="P304" s="181"/>
    </row>
    <row r="305" spans="1:16" ht="21.75" customHeight="1" x14ac:dyDescent="0.3">
      <c r="A305" s="175"/>
      <c r="B305" s="176"/>
      <c r="C305" s="176"/>
      <c r="D305" s="193"/>
      <c r="E305" s="198"/>
      <c r="F305" s="194" t="s">
        <v>114</v>
      </c>
      <c r="G305" s="196"/>
      <c r="H305" s="180"/>
      <c r="I305" s="187"/>
      <c r="J305" s="187"/>
      <c r="K305" s="223"/>
      <c r="L305" s="168"/>
      <c r="M305" s="168"/>
      <c r="N305" s="168"/>
      <c r="O305" s="181"/>
      <c r="P305" s="181"/>
    </row>
    <row r="306" spans="1:16" ht="21.75" customHeight="1" x14ac:dyDescent="0.3">
      <c r="A306" s="175"/>
      <c r="B306" s="176"/>
      <c r="C306" s="176"/>
      <c r="D306" s="193"/>
      <c r="E306" s="198"/>
      <c r="F306" s="195" t="s">
        <v>53</v>
      </c>
      <c r="G306" s="196"/>
      <c r="H306" s="180" t="s">
        <v>37</v>
      </c>
      <c r="I306" s="187">
        <f ca="1">IFERROR(__xludf.DUMMYFUNCTION("IMPORTRANGE(""https://docs.google.com/spreadsheets/d/11923uPwbBZFjjGgGUA6NLw09EwE0CqkOc4q9oUmW1yo/edit?usp=sharing"",""สุโขทัย!I211"")"),0)</f>
        <v>0</v>
      </c>
      <c r="J306" s="203">
        <f ca="1">IFERROR(__xludf.DUMMYFUNCTION("IMPORTRANGE(""https://docs.google.com/spreadsheets/d/11923uPwbBZFjjGgGUA6NLw09EwE0CqkOc4q9oUmW1yo/edit?usp=sharing"",""สุโขทัย!J211"")"),0)</f>
        <v>0</v>
      </c>
      <c r="K306" s="223">
        <f ca="1">IF(I306&gt;0,J306*100/I306,0)</f>
        <v>0</v>
      </c>
      <c r="L306" s="168"/>
      <c r="M306" s="168"/>
      <c r="N306" s="168"/>
      <c r="O306" s="181"/>
      <c r="P306" s="181"/>
    </row>
    <row r="307" spans="1:16" ht="21.75" customHeight="1" x14ac:dyDescent="0.3">
      <c r="A307" s="175"/>
      <c r="B307" s="176"/>
      <c r="C307" s="176"/>
      <c r="D307" s="193"/>
      <c r="E307" s="194" t="s">
        <v>54</v>
      </c>
      <c r="F307" s="195"/>
      <c r="G307" s="196"/>
      <c r="H307" s="186"/>
      <c r="I307" s="187"/>
      <c r="J307" s="187">
        <f ca="1">IFERROR(__xludf.DUMMYFUNCTION("IMPORTRANGE(""https://docs.google.com/spreadsheets/d/11923uPwbBZFjjGgGUA6NLw09EwE0CqkOc4q9oUmW1yo/edit?usp=sharing"",""สุโขทัย!J212"")"),0)</f>
        <v>0</v>
      </c>
      <c r="K307" s="223"/>
      <c r="L307" s="168"/>
      <c r="M307" s="168"/>
      <c r="N307" s="168"/>
      <c r="O307" s="181"/>
      <c r="P307" s="181"/>
    </row>
    <row r="308" spans="1:16" ht="21.75" customHeight="1" x14ac:dyDescent="0.3">
      <c r="A308" s="175"/>
      <c r="B308" s="176"/>
      <c r="C308" s="176"/>
      <c r="D308" s="205">
        <v>3</v>
      </c>
      <c r="E308" s="206" t="s">
        <v>55</v>
      </c>
      <c r="F308" s="207"/>
      <c r="G308" s="208"/>
      <c r="H308" s="186"/>
      <c r="I308" s="187"/>
      <c r="J308" s="324">
        <f ca="1">IFERROR(__xludf.DUMMYFUNCTION("IMPORTRANGE(""https://docs.google.com/spreadsheets/d/11923uPwbBZFjjGgGUA6NLw09EwE0CqkOc4q9oUmW1yo/edit?usp=sharing"",""สุโขทัย!J213"")"),0)</f>
        <v>0</v>
      </c>
      <c r="K308" s="223"/>
      <c r="L308" s="168"/>
      <c r="M308" s="168"/>
      <c r="N308" s="168"/>
      <c r="O308" s="181"/>
      <c r="P308" s="181"/>
    </row>
    <row r="309" spans="1:16" ht="21.75" customHeight="1" x14ac:dyDescent="0.3">
      <c r="A309" s="325"/>
      <c r="B309" s="326" t="s">
        <v>115</v>
      </c>
      <c r="C309" s="327"/>
      <c r="D309" s="328"/>
      <c r="E309" s="326"/>
      <c r="F309" s="326"/>
      <c r="G309" s="329"/>
      <c r="H309" s="330" t="s">
        <v>116</v>
      </c>
      <c r="I309" s="331">
        <f ca="1">IFERROR(__xludf.DUMMYFUNCTION("IMPORTRANGE(""https://docs.google.com/spreadsheets/d/11923uPwbBZFjjGgGUA6NLw09EwE0CqkOc4q9oUmW1yo/edit?usp=sharing"",""สุโขทัย!I214"")"),0)</f>
        <v>0</v>
      </c>
      <c r="J309" s="331">
        <f ca="1">IFERROR(__xludf.DUMMYFUNCTION("IMPORTRANGE(""https://docs.google.com/spreadsheets/d/11923uPwbBZFjjGgGUA6NLw09EwE0CqkOc4q9oUmW1yo/edit?usp=sharing"",""สุโขทัย!J214"")"),0)</f>
        <v>0</v>
      </c>
      <c r="K309" s="332">
        <f ca="1">IF(I309&gt;0,J309*100/I309,0)</f>
        <v>0</v>
      </c>
      <c r="L309" s="333"/>
      <c r="M309" s="333"/>
      <c r="N309" s="333"/>
      <c r="O309" s="332"/>
      <c r="P309" s="332"/>
    </row>
    <row r="310" spans="1:16" ht="21.75" customHeight="1" x14ac:dyDescent="0.45">
      <c r="A310" s="145"/>
      <c r="B310" s="146"/>
      <c r="C310" s="147" t="s">
        <v>16</v>
      </c>
      <c r="D310" s="537" t="s">
        <v>17</v>
      </c>
      <c r="E310" s="528"/>
      <c r="F310" s="528"/>
      <c r="G310" s="528"/>
      <c r="H310" s="148" t="s">
        <v>12</v>
      </c>
      <c r="I310" s="334"/>
      <c r="J310" s="334"/>
      <c r="K310" s="335"/>
      <c r="L310" s="151">
        <f t="shared" ref="L310:N310" ca="1" si="93">L311+L312</f>
        <v>0</v>
      </c>
      <c r="M310" s="151">
        <f t="shared" ca="1" si="93"/>
        <v>0</v>
      </c>
      <c r="N310" s="151">
        <f t="shared" ca="1" si="93"/>
        <v>0</v>
      </c>
      <c r="O310" s="150">
        <f t="shared" ref="O310:O312" ca="1" si="94">IF(L310&gt;0,N310*100/L310,0)</f>
        <v>0</v>
      </c>
      <c r="P310" s="150">
        <f t="shared" ref="P310:P312" ca="1" si="95">IF(M310&gt;0,N310*100/M310,0)</f>
        <v>0</v>
      </c>
    </row>
    <row r="311" spans="1:16" ht="21.75" customHeight="1" x14ac:dyDescent="0.45">
      <c r="A311" s="152"/>
      <c r="B311" s="32"/>
      <c r="C311" s="32"/>
      <c r="D311" s="32"/>
      <c r="E311" s="32"/>
      <c r="F311" s="32"/>
      <c r="G311" s="33" t="s">
        <v>18</v>
      </c>
      <c r="H311" s="153" t="s">
        <v>12</v>
      </c>
      <c r="I311" s="334"/>
      <c r="J311" s="334"/>
      <c r="K311" s="335"/>
      <c r="L311" s="87">
        <f t="shared" ref="L311:N311" si="96">L313+L317</f>
        <v>0</v>
      </c>
      <c r="M311" s="87">
        <f t="shared" si="96"/>
        <v>0</v>
      </c>
      <c r="N311" s="87">
        <f t="shared" si="96"/>
        <v>0</v>
      </c>
      <c r="O311" s="155">
        <f t="shared" si="94"/>
        <v>0</v>
      </c>
      <c r="P311" s="155">
        <f t="shared" si="95"/>
        <v>0</v>
      </c>
    </row>
    <row r="312" spans="1:16" ht="21.75" customHeight="1" x14ac:dyDescent="0.45">
      <c r="A312" s="152"/>
      <c r="B312" s="32"/>
      <c r="C312" s="32"/>
      <c r="D312" s="32"/>
      <c r="E312" s="32"/>
      <c r="F312" s="32"/>
      <c r="G312" s="33" t="s">
        <v>19</v>
      </c>
      <c r="H312" s="153" t="s">
        <v>12</v>
      </c>
      <c r="I312" s="334"/>
      <c r="J312" s="334"/>
      <c r="K312" s="335"/>
      <c r="L312" s="87">
        <f t="shared" ref="L312:N312" ca="1" si="97">L314+L318</f>
        <v>0</v>
      </c>
      <c r="M312" s="87">
        <f t="shared" ca="1" si="97"/>
        <v>0</v>
      </c>
      <c r="N312" s="87">
        <f t="shared" ca="1" si="97"/>
        <v>0</v>
      </c>
      <c r="O312" s="155">
        <f t="shared" ca="1" si="94"/>
        <v>0</v>
      </c>
      <c r="P312" s="155">
        <f t="shared" ca="1" si="95"/>
        <v>0</v>
      </c>
    </row>
    <row r="313" spans="1:16" ht="21.75" customHeight="1" x14ac:dyDescent="0.3">
      <c r="A313" s="156"/>
      <c r="B313" s="157"/>
      <c r="C313" s="157" t="s">
        <v>16</v>
      </c>
      <c r="D313" s="158" t="s">
        <v>38</v>
      </c>
      <c r="E313" s="159"/>
      <c r="F313" s="159"/>
      <c r="G313" s="160" t="s">
        <v>39</v>
      </c>
      <c r="H313" s="161" t="s">
        <v>12</v>
      </c>
      <c r="I313" s="162" t="s">
        <v>40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3">
      <c r="A314" s="156"/>
      <c r="B314" s="157"/>
      <c r="C314" s="157"/>
      <c r="D314" s="166"/>
      <c r="E314" s="159"/>
      <c r="F314" s="159" t="s">
        <v>40</v>
      </c>
      <c r="G314" s="160" t="s">
        <v>41</v>
      </c>
      <c r="H314" s="161" t="s">
        <v>12</v>
      </c>
      <c r="I314" s="162"/>
      <c r="J314" s="162"/>
      <c r="K314" s="163"/>
      <c r="L314" s="167">
        <f ca="1">L315+L316</f>
        <v>0</v>
      </c>
      <c r="M314" s="167">
        <f ca="1">IFERROR(__xludf.DUMMYFUNCTION("IMPORTRANGE(""https://docs.google.com/spreadsheets/d/1Yj_ptqi66GCucihVvJfMjLAmec39IyEx_6qawtMGysU/edit?usp=sharing"",""สบก!DC34"")"),0)</f>
        <v>0</v>
      </c>
      <c r="N314" s="168">
        <f ca="1">IFERROR(__xludf.DUMMYFUNCTION("IMPORTRANGE(""https://docs.google.com/spreadsheets/d/1Yj_ptqi66GCucihVvJfMjLAmec39IyEx_6qawtMGysU/edit?usp=sharing"",""สบก!DD34"")"),0)</f>
        <v>0</v>
      </c>
      <c r="O314" s="168">
        <f ca="1">IF(L314&gt;0,N314*100/L314,0)</f>
        <v>0</v>
      </c>
      <c r="P314" s="168">
        <f ca="1">IF(M314&gt;0,N314*100/M314,0)</f>
        <v>0</v>
      </c>
    </row>
    <row r="315" spans="1:16" ht="21.75" customHeight="1" x14ac:dyDescent="0.3">
      <c r="A315" s="156"/>
      <c r="B315" s="157"/>
      <c r="C315" s="157"/>
      <c r="D315" s="166"/>
      <c r="E315" s="159"/>
      <c r="F315" s="159"/>
      <c r="G315" s="169" t="s">
        <v>42</v>
      </c>
      <c r="H315" s="161" t="s">
        <v>12</v>
      </c>
      <c r="I315" s="162"/>
      <c r="J315" s="162"/>
      <c r="K315" s="163"/>
      <c r="L315" s="167">
        <f ca="1">IFERROR(__xludf.DUMMYFUNCTION("IMPORTRANGE(""https://docs.google.com/spreadsheets/d/1Yj_ptqi66GCucihVvJfMjLAmec39IyEx_6qawtMGysU/edit?usp=sharing"",""สบก!CY34"")"),0)</f>
        <v>0</v>
      </c>
      <c r="M315" s="167"/>
      <c r="N315" s="167"/>
      <c r="O315" s="168"/>
      <c r="P315" s="168"/>
    </row>
    <row r="316" spans="1:16" ht="21.75" customHeight="1" x14ac:dyDescent="0.3">
      <c r="A316" s="156"/>
      <c r="B316" s="157"/>
      <c r="C316" s="157"/>
      <c r="D316" s="166"/>
      <c r="E316" s="159"/>
      <c r="F316" s="159"/>
      <c r="G316" s="169" t="s">
        <v>43</v>
      </c>
      <c r="H316" s="161" t="s">
        <v>12</v>
      </c>
      <c r="I316" s="162"/>
      <c r="J316" s="187"/>
      <c r="K316" s="223"/>
      <c r="L316" s="167">
        <f ca="1">IFERROR(__xludf.DUMMYFUNCTION("IMPORTRANGE(""https://docs.google.com/spreadsheets/d/1Yj_ptqi66GCucihVvJfMjLAmec39IyEx_6qawtMGysU/edit?usp=sharing"",""สบก!CZ34"")"),0)</f>
        <v>0</v>
      </c>
      <c r="M316" s="167"/>
      <c r="N316" s="167"/>
      <c r="O316" s="168"/>
      <c r="P316" s="168"/>
    </row>
    <row r="317" spans="1:16" ht="21.75" customHeight="1" x14ac:dyDescent="0.45">
      <c r="A317" s="170"/>
      <c r="B317" s="80"/>
      <c r="C317" s="81" t="s">
        <v>16</v>
      </c>
      <c r="D317" s="534" t="s">
        <v>23</v>
      </c>
      <c r="E317" s="530"/>
      <c r="F317" s="88"/>
      <c r="G317" s="82" t="s">
        <v>18</v>
      </c>
      <c r="H317" s="171" t="s">
        <v>12</v>
      </c>
      <c r="I317" s="162"/>
      <c r="J317" s="187"/>
      <c r="K317" s="223"/>
      <c r="L317" s="41">
        <v>0</v>
      </c>
      <c r="M317" s="41"/>
      <c r="N317" s="41"/>
      <c r="O317" s="41"/>
      <c r="P317" s="41"/>
    </row>
    <row r="318" spans="1:16" ht="21.75" customHeight="1" x14ac:dyDescent="0.45">
      <c r="A318" s="172"/>
      <c r="B318" s="91"/>
      <c r="C318" s="91"/>
      <c r="D318" s="173"/>
      <c r="E318" s="92"/>
      <c r="F318" s="92"/>
      <c r="G318" s="93" t="s">
        <v>19</v>
      </c>
      <c r="H318" s="174" t="s">
        <v>12</v>
      </c>
      <c r="I318" s="162"/>
      <c r="J318" s="187"/>
      <c r="K318" s="223"/>
      <c r="L318" s="49">
        <f ca="1">IFERROR(__xludf.DUMMYFUNCTION("IMPORTRANGE(""https://docs.google.com/spreadsheets/d/1Yj_ptqi66GCucihVvJfMjLAmec39IyEx_6qawtMGysU/edit?usp=sharing"",""สบก!DA34"")"),0)</f>
        <v>0</v>
      </c>
      <c r="M318" s="49"/>
      <c r="N318" s="49">
        <f ca="1">IFERROR(__xludf.DUMMYFUNCTION("IMPORTRANGE(""https://docs.google.com/spreadsheets/d/1Yj_ptqi66GCucihVvJfMjLAmec39IyEx_6qawtMGysU/edit?usp=sharing"",""สบก!DE34"")"),0)</f>
        <v>0</v>
      </c>
      <c r="O318" s="49">
        <f ca="1">IF(L318&gt;0,N318*100/L318,0)</f>
        <v>0</v>
      </c>
      <c r="P318" s="49"/>
    </row>
    <row r="319" spans="1:16" ht="21.75" customHeight="1" x14ac:dyDescent="0.3">
      <c r="A319" s="175"/>
      <c r="B319" s="176"/>
      <c r="C319" s="157" t="s">
        <v>16</v>
      </c>
      <c r="D319" s="177" t="s">
        <v>44</v>
      </c>
      <c r="E319" s="178"/>
      <c r="F319" s="178"/>
      <c r="G319" s="179"/>
      <c r="H319" s="180"/>
      <c r="I319" s="162"/>
      <c r="J319" s="187"/>
      <c r="K319" s="223"/>
      <c r="L319" s="168"/>
      <c r="M319" s="168"/>
      <c r="N319" s="168"/>
      <c r="O319" s="181"/>
      <c r="P319" s="181"/>
    </row>
    <row r="320" spans="1:16" ht="21.75" customHeight="1" x14ac:dyDescent="0.3">
      <c r="A320" s="175"/>
      <c r="B320" s="176"/>
      <c r="C320" s="176"/>
      <c r="D320" s="182">
        <v>1</v>
      </c>
      <c r="E320" s="183" t="s">
        <v>45</v>
      </c>
      <c r="F320" s="184"/>
      <c r="G320" s="185"/>
      <c r="H320" s="186"/>
      <c r="I320" s="187"/>
      <c r="J320" s="187">
        <f ca="1">IFERROR(__xludf.DUMMYFUNCTION("IMPORTRANGE(""https://docs.google.com/spreadsheets/d/11923uPwbBZFjjGgGUA6NLw09EwE0CqkOc4q9oUmW1yo/edit?usp=sharing"",""สุโขทัย!J220"")"),0)</f>
        <v>0</v>
      </c>
      <c r="K320" s="223"/>
      <c r="L320" s="168"/>
      <c r="M320" s="168"/>
      <c r="N320" s="168"/>
      <c r="O320" s="181"/>
      <c r="P320" s="181"/>
    </row>
    <row r="321" spans="1:16" ht="21.75" customHeight="1" x14ac:dyDescent="0.3">
      <c r="A321" s="175"/>
      <c r="B321" s="176"/>
      <c r="C321" s="176"/>
      <c r="D321" s="189">
        <v>2</v>
      </c>
      <c r="E321" s="190" t="s">
        <v>46</v>
      </c>
      <c r="F321" s="191"/>
      <c r="G321" s="192"/>
      <c r="H321" s="186"/>
      <c r="I321" s="187"/>
      <c r="J321" s="187">
        <f ca="1">IFERROR(__xludf.DUMMYFUNCTION("IMPORTRANGE(""https://docs.google.com/spreadsheets/d/11923uPwbBZFjjGgGUA6NLw09EwE0CqkOc4q9oUmW1yo/edit?usp=sharing"",""สุโขทัย!J221"")"),0)</f>
        <v>0</v>
      </c>
      <c r="K321" s="223"/>
      <c r="L321" s="168" t="s">
        <v>40</v>
      </c>
      <c r="M321" s="168"/>
      <c r="N321" s="168" t="s">
        <v>40</v>
      </c>
      <c r="O321" s="181"/>
      <c r="P321" s="181"/>
    </row>
    <row r="322" spans="1:16" ht="21.75" customHeight="1" x14ac:dyDescent="0.3">
      <c r="A322" s="175"/>
      <c r="B322" s="176"/>
      <c r="C322" s="176"/>
      <c r="D322" s="193"/>
      <c r="E322" s="194" t="s">
        <v>47</v>
      </c>
      <c r="F322" s="195"/>
      <c r="G322" s="196"/>
      <c r="H322" s="186"/>
      <c r="I322" s="187"/>
      <c r="J322" s="187">
        <f ca="1">IFERROR(__xludf.DUMMYFUNCTION("IMPORTRANGE(""https://docs.google.com/spreadsheets/d/11923uPwbBZFjjGgGUA6NLw09EwE0CqkOc4q9oUmW1yo/edit?usp=sharing"",""สุโขทัย!J222"")"),0)</f>
        <v>0</v>
      </c>
      <c r="K322" s="223"/>
      <c r="L322" s="168"/>
      <c r="M322" s="168"/>
      <c r="N322" s="168"/>
      <c r="O322" s="181"/>
      <c r="P322" s="181"/>
    </row>
    <row r="323" spans="1:16" ht="21.75" customHeight="1" x14ac:dyDescent="0.3">
      <c r="A323" s="175"/>
      <c r="B323" s="176"/>
      <c r="C323" s="176"/>
      <c r="D323" s="193"/>
      <c r="E323" s="194" t="s">
        <v>48</v>
      </c>
      <c r="F323" s="195"/>
      <c r="G323" s="196"/>
      <c r="H323" s="186"/>
      <c r="I323" s="187"/>
      <c r="J323" s="187">
        <f ca="1">IFERROR(__xludf.DUMMYFUNCTION("IMPORTRANGE(""https://docs.google.com/spreadsheets/d/11923uPwbBZFjjGgGUA6NLw09EwE0CqkOc4q9oUmW1yo/edit?usp=sharing"",""สุโขทัย!J223"")"),0)</f>
        <v>0</v>
      </c>
      <c r="K323" s="223"/>
      <c r="L323" s="168"/>
      <c r="M323" s="168"/>
      <c r="N323" s="168"/>
      <c r="O323" s="181"/>
      <c r="P323" s="181"/>
    </row>
    <row r="324" spans="1:16" ht="21.75" customHeight="1" x14ac:dyDescent="0.3">
      <c r="A324" s="175"/>
      <c r="B324" s="176"/>
      <c r="C324" s="176"/>
      <c r="D324" s="193"/>
      <c r="E324" s="198"/>
      <c r="F324" s="194" t="s">
        <v>117</v>
      </c>
      <c r="G324" s="196"/>
      <c r="H324" s="186" t="s">
        <v>116</v>
      </c>
      <c r="I324" s="187">
        <f ca="1">IFERROR(__xludf.DUMMYFUNCTION("IMPORTRANGE(""https://docs.google.com/spreadsheets/d/11923uPwbBZFjjGgGUA6NLw09EwE0CqkOc4q9oUmW1yo/edit?usp=sharing"",""สุโขทัย!I224"")"),0)</f>
        <v>0</v>
      </c>
      <c r="J324" s="203">
        <f ca="1">IFERROR(__xludf.DUMMYFUNCTION("IMPORTRANGE(""https://docs.google.com/spreadsheets/d/11923uPwbBZFjjGgGUA6NLw09EwE0CqkOc4q9oUmW1yo/edit?usp=sharing"",""สุโขทัย!J224"")"),0)</f>
        <v>0</v>
      </c>
      <c r="K324" s="223">
        <f ca="1">IF(I324&gt;0,J324*100/I324,0)</f>
        <v>0</v>
      </c>
      <c r="L324" s="168"/>
      <c r="M324" s="168"/>
      <c r="N324" s="168"/>
      <c r="O324" s="181"/>
      <c r="P324" s="181"/>
    </row>
    <row r="325" spans="1:16" ht="21.75" customHeight="1" x14ac:dyDescent="0.3">
      <c r="A325" s="175"/>
      <c r="B325" s="176"/>
      <c r="C325" s="176"/>
      <c r="D325" s="193"/>
      <c r="E325" s="194" t="s">
        <v>54</v>
      </c>
      <c r="F325" s="195"/>
      <c r="G325" s="196"/>
      <c r="H325" s="186"/>
      <c r="I325" s="187"/>
      <c r="J325" s="187">
        <f ca="1">IFERROR(__xludf.DUMMYFUNCTION("IMPORTRANGE(""https://docs.google.com/spreadsheets/d/11923uPwbBZFjjGgGUA6NLw09EwE0CqkOc4q9oUmW1yo/edit?usp=sharing"",""สุโขทัย!J225"")"),0)</f>
        <v>0</v>
      </c>
      <c r="K325" s="223"/>
      <c r="L325" s="168"/>
      <c r="M325" s="168"/>
      <c r="N325" s="168"/>
      <c r="O325" s="181"/>
      <c r="P325" s="181"/>
    </row>
    <row r="326" spans="1:16" ht="21.75" customHeight="1" x14ac:dyDescent="0.3">
      <c r="A326" s="175"/>
      <c r="B326" s="176"/>
      <c r="C326" s="176"/>
      <c r="D326" s="205">
        <v>3</v>
      </c>
      <c r="E326" s="206" t="s">
        <v>55</v>
      </c>
      <c r="F326" s="207"/>
      <c r="G326" s="208"/>
      <c r="H326" s="186"/>
      <c r="I326" s="187"/>
      <c r="J326" s="226">
        <f ca="1">IFERROR(__xludf.DUMMYFUNCTION("IMPORTRANGE(""https://docs.google.com/spreadsheets/d/11923uPwbBZFjjGgGUA6NLw09EwE0CqkOc4q9oUmW1yo/edit?usp=sharing"",""สุโขทัย!J226"")"),0)</f>
        <v>0</v>
      </c>
      <c r="K326" s="223"/>
      <c r="L326" s="168"/>
      <c r="M326" s="168"/>
      <c r="N326" s="168"/>
      <c r="O326" s="181"/>
      <c r="P326" s="181"/>
    </row>
    <row r="327" spans="1:16" ht="21.75" customHeight="1" x14ac:dyDescent="0.3">
      <c r="A327" s="302" t="s">
        <v>118</v>
      </c>
      <c r="B327" s="303"/>
      <c r="C327" s="303"/>
      <c r="D327" s="304"/>
      <c r="E327" s="303"/>
      <c r="F327" s="303"/>
      <c r="G327" s="317"/>
      <c r="H327" s="306"/>
      <c r="I327" s="307"/>
      <c r="J327" s="307"/>
      <c r="K327" s="308"/>
      <c r="L327" s="308"/>
      <c r="M327" s="308"/>
      <c r="N327" s="308"/>
      <c r="O327" s="309"/>
      <c r="P327" s="309"/>
    </row>
    <row r="328" spans="1:16" ht="21.75" customHeight="1" x14ac:dyDescent="0.3">
      <c r="A328" s="310"/>
      <c r="B328" s="336" t="s">
        <v>119</v>
      </c>
      <c r="C328" s="323"/>
      <c r="D328" s="311"/>
      <c r="E328" s="311"/>
      <c r="F328" s="311"/>
      <c r="G328" s="312"/>
      <c r="H328" s="313" t="s">
        <v>37</v>
      </c>
      <c r="I328" s="337">
        <f ca="1">IFERROR(__xludf.DUMMYFUNCTION("IMPORTRANGE(""https://docs.google.com/spreadsheets/d/11923uPwbBZFjjGgGUA6NLw09EwE0CqkOc4q9oUmW1yo/edit?usp=sharing"",""สุโขทัย!I228"")"),270)</f>
        <v>270</v>
      </c>
      <c r="J328" s="337">
        <f ca="1">IFERROR(__xludf.DUMMYFUNCTION("IMPORTRANGE(""https://docs.google.com/spreadsheets/d/11923uPwbBZFjjGgGUA6NLw09EwE0CqkOc4q9oUmW1yo/edit?usp=sharing"",""สุโขทัย!J228"")"),50)</f>
        <v>50</v>
      </c>
      <c r="K328" s="315">
        <f ca="1">IF(I328&gt;0,J328*100/I328,0)</f>
        <v>18.518518518518519</v>
      </c>
      <c r="L328" s="316"/>
      <c r="M328" s="316"/>
      <c r="N328" s="316"/>
      <c r="O328" s="315"/>
      <c r="P328" s="315"/>
    </row>
    <row r="329" spans="1:16" ht="21.75" customHeight="1" x14ac:dyDescent="0.45">
      <c r="A329" s="145"/>
      <c r="B329" s="146"/>
      <c r="C329" s="147" t="s">
        <v>16</v>
      </c>
      <c r="D329" s="537" t="s">
        <v>17</v>
      </c>
      <c r="E329" s="528"/>
      <c r="F329" s="528"/>
      <c r="G329" s="528"/>
      <c r="H329" s="148" t="s">
        <v>12</v>
      </c>
      <c r="I329" s="162"/>
      <c r="J329" s="162"/>
      <c r="K329" s="163"/>
      <c r="L329" s="151">
        <f t="shared" ref="L329:N329" ca="1" si="98">L330+L331</f>
        <v>868030</v>
      </c>
      <c r="M329" s="151">
        <f t="shared" ca="1" si="98"/>
        <v>459580</v>
      </c>
      <c r="N329" s="151">
        <f t="shared" ca="1" si="98"/>
        <v>330620</v>
      </c>
      <c r="O329" s="150">
        <f t="shared" ref="O329:O331" ca="1" si="99">IF(L329&gt;0,N329*100/L329,0)</f>
        <v>38.088545326774423</v>
      </c>
      <c r="P329" s="150">
        <f t="shared" ref="P329:P331" ca="1" si="100">IF(M329&gt;0,N329*100/M329,0)</f>
        <v>71.93959702336916</v>
      </c>
    </row>
    <row r="330" spans="1:16" ht="21.75" customHeight="1" x14ac:dyDescent="0.45">
      <c r="A330" s="152"/>
      <c r="B330" s="32"/>
      <c r="C330" s="32"/>
      <c r="D330" s="32"/>
      <c r="E330" s="32"/>
      <c r="F330" s="32"/>
      <c r="G330" s="33" t="s">
        <v>18</v>
      </c>
      <c r="H330" s="153" t="s">
        <v>12</v>
      </c>
      <c r="I330" s="162"/>
      <c r="J330" s="162"/>
      <c r="K330" s="163"/>
      <c r="L330" s="87">
        <f t="shared" ref="L330:N330" si="101">L332+L336</f>
        <v>0</v>
      </c>
      <c r="M330" s="87">
        <f t="shared" si="101"/>
        <v>0</v>
      </c>
      <c r="N330" s="87">
        <f t="shared" si="101"/>
        <v>0</v>
      </c>
      <c r="O330" s="155">
        <f t="shared" si="99"/>
        <v>0</v>
      </c>
      <c r="P330" s="155">
        <f t="shared" si="100"/>
        <v>0</v>
      </c>
    </row>
    <row r="331" spans="1:16" ht="21.75" customHeight="1" x14ac:dyDescent="0.45">
      <c r="A331" s="152"/>
      <c r="B331" s="32"/>
      <c r="C331" s="32"/>
      <c r="D331" s="32"/>
      <c r="E331" s="32"/>
      <c r="F331" s="32"/>
      <c r="G331" s="33" t="s">
        <v>19</v>
      </c>
      <c r="H331" s="153" t="s">
        <v>12</v>
      </c>
      <c r="I331" s="162"/>
      <c r="J331" s="162"/>
      <c r="K331" s="163"/>
      <c r="L331" s="87">
        <f t="shared" ref="L331:N331" ca="1" si="102">L333+L337</f>
        <v>868030</v>
      </c>
      <c r="M331" s="87">
        <f t="shared" ca="1" si="102"/>
        <v>459580</v>
      </c>
      <c r="N331" s="87">
        <f t="shared" ca="1" si="102"/>
        <v>330620</v>
      </c>
      <c r="O331" s="155">
        <f t="shared" ca="1" si="99"/>
        <v>38.088545326774423</v>
      </c>
      <c r="P331" s="155">
        <f t="shared" ca="1" si="100"/>
        <v>71.93959702336916</v>
      </c>
    </row>
    <row r="332" spans="1:16" ht="21.75" customHeight="1" x14ac:dyDescent="0.3">
      <c r="A332" s="156"/>
      <c r="B332" s="157"/>
      <c r="C332" s="157" t="s">
        <v>16</v>
      </c>
      <c r="D332" s="158" t="s">
        <v>38</v>
      </c>
      <c r="E332" s="159"/>
      <c r="F332" s="159"/>
      <c r="G332" s="160" t="s">
        <v>39</v>
      </c>
      <c r="H332" s="161" t="s">
        <v>12</v>
      </c>
      <c r="I332" s="162" t="s">
        <v>40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3">
      <c r="A333" s="156"/>
      <c r="B333" s="157"/>
      <c r="C333" s="157"/>
      <c r="D333" s="166"/>
      <c r="E333" s="159"/>
      <c r="F333" s="159" t="s">
        <v>40</v>
      </c>
      <c r="G333" s="160" t="s">
        <v>41</v>
      </c>
      <c r="H333" s="161" t="s">
        <v>12</v>
      </c>
      <c r="I333" s="162"/>
      <c r="J333" s="162"/>
      <c r="K333" s="163"/>
      <c r="L333" s="167">
        <f ca="1">L334+L335</f>
        <v>868030</v>
      </c>
      <c r="M333" s="167">
        <f ca="1">IFERROR(__xludf.DUMMYFUNCTION("IMPORTRANGE(""https://docs.google.com/spreadsheets/d/1Yj_ptqi66GCucihVvJfMjLAmec39IyEx_6qawtMGysU/edit?usp=sharing"",""สบก!DL34"")"),459580)</f>
        <v>459580</v>
      </c>
      <c r="N333" s="168">
        <f ca="1">IFERROR(__xludf.DUMMYFUNCTION("IMPORTRANGE(""https://docs.google.com/spreadsheets/d/1Yj_ptqi66GCucihVvJfMjLAmec39IyEx_6qawtMGysU/edit?usp=sharing"",""สบก!DM34"")"),330620)</f>
        <v>330620</v>
      </c>
      <c r="O333" s="168">
        <f ca="1">IF(L333&gt;0,N333*100/L333,0)</f>
        <v>38.088545326774423</v>
      </c>
      <c r="P333" s="168">
        <f ca="1">IF(M333&gt;0,N333*100/M333,0)</f>
        <v>71.93959702336916</v>
      </c>
    </row>
    <row r="334" spans="1:16" ht="21.75" customHeight="1" x14ac:dyDescent="0.3">
      <c r="A334" s="156"/>
      <c r="B334" s="157"/>
      <c r="C334" s="157"/>
      <c r="D334" s="166"/>
      <c r="E334" s="159"/>
      <c r="F334" s="159"/>
      <c r="G334" s="169" t="s">
        <v>42</v>
      </c>
      <c r="H334" s="161" t="s">
        <v>12</v>
      </c>
      <c r="I334" s="162"/>
      <c r="J334" s="162"/>
      <c r="K334" s="163"/>
      <c r="L334" s="167">
        <f ca="1">IFERROR(__xludf.DUMMYFUNCTION("IMPORTRANGE(""https://docs.google.com/spreadsheets/d/1Yj_ptqi66GCucihVvJfMjLAmec39IyEx_6qawtMGysU/edit?usp=sharing"",""สบก!DH34"")"),529200)</f>
        <v>529200</v>
      </c>
      <c r="M334" s="167"/>
      <c r="N334" s="167"/>
      <c r="O334" s="168"/>
      <c r="P334" s="168"/>
    </row>
    <row r="335" spans="1:16" ht="21.75" customHeight="1" x14ac:dyDescent="0.3">
      <c r="A335" s="156"/>
      <c r="B335" s="157"/>
      <c r="C335" s="157"/>
      <c r="D335" s="166"/>
      <c r="E335" s="159"/>
      <c r="F335" s="159"/>
      <c r="G335" s="169" t="s">
        <v>43</v>
      </c>
      <c r="H335" s="161" t="s">
        <v>12</v>
      </c>
      <c r="I335" s="162"/>
      <c r="J335" s="162"/>
      <c r="K335" s="163"/>
      <c r="L335" s="167">
        <f ca="1">IFERROR(__xludf.DUMMYFUNCTION("IMPORTRANGE(""https://docs.google.com/spreadsheets/d/1Yj_ptqi66GCucihVvJfMjLAmec39IyEx_6qawtMGysU/edit?usp=sharing"",""สบก!DI34"")"),338830)</f>
        <v>338830</v>
      </c>
      <c r="M335" s="167"/>
      <c r="N335" s="167"/>
      <c r="O335" s="168"/>
      <c r="P335" s="168"/>
    </row>
    <row r="336" spans="1:16" ht="21.75" customHeight="1" x14ac:dyDescent="0.45">
      <c r="A336" s="170"/>
      <c r="B336" s="80"/>
      <c r="C336" s="81" t="s">
        <v>16</v>
      </c>
      <c r="D336" s="534" t="s">
        <v>23</v>
      </c>
      <c r="E336" s="530"/>
      <c r="F336" s="88"/>
      <c r="G336" s="82" t="s">
        <v>18</v>
      </c>
      <c r="H336" s="171" t="s">
        <v>12</v>
      </c>
      <c r="I336" s="162"/>
      <c r="J336" s="162"/>
      <c r="K336" s="163"/>
      <c r="L336" s="41">
        <v>0</v>
      </c>
      <c r="M336" s="41"/>
      <c r="N336" s="41"/>
      <c r="O336" s="41"/>
      <c r="P336" s="41"/>
    </row>
    <row r="337" spans="1:16" ht="21.75" customHeight="1" x14ac:dyDescent="0.45">
      <c r="A337" s="172"/>
      <c r="B337" s="91"/>
      <c r="C337" s="91"/>
      <c r="D337" s="173"/>
      <c r="E337" s="92"/>
      <c r="F337" s="92"/>
      <c r="G337" s="93" t="s">
        <v>19</v>
      </c>
      <c r="H337" s="174" t="s">
        <v>12</v>
      </c>
      <c r="I337" s="162"/>
      <c r="J337" s="162"/>
      <c r="K337" s="163"/>
      <c r="L337" s="49">
        <f ca="1">IFERROR(__xludf.DUMMYFUNCTION("IMPORTRANGE(""https://docs.google.com/spreadsheets/d/1Yj_ptqi66GCucihVvJfMjLAmec39IyEx_6qawtMGysU/edit?usp=sharing"",""สบก!DJ34"")"),0)</f>
        <v>0</v>
      </c>
      <c r="M337" s="49"/>
      <c r="N337" s="49">
        <f ca="1">IFERROR(__xludf.DUMMYFUNCTION("IMPORTRANGE(""https://docs.google.com/spreadsheets/d/1Yj_ptqi66GCucihVvJfMjLAmec39IyEx_6qawtMGysU/edit?usp=sharing"",""สบก!DN34"")"),0)</f>
        <v>0</v>
      </c>
      <c r="O337" s="49">
        <f ca="1">IF(L337&gt;0,N337*100/L337,0)</f>
        <v>0</v>
      </c>
      <c r="P337" s="49"/>
    </row>
    <row r="338" spans="1:16" ht="21.75" customHeight="1" x14ac:dyDescent="0.3">
      <c r="A338" s="175"/>
      <c r="B338" s="289"/>
      <c r="C338" s="338" t="s">
        <v>120</v>
      </c>
      <c r="D338" s="195"/>
      <c r="E338" s="195"/>
      <c r="F338" s="195"/>
      <c r="G338" s="196"/>
      <c r="H338" s="180"/>
      <c r="I338" s="339"/>
      <c r="J338" s="339"/>
      <c r="K338" s="340"/>
      <c r="L338" s="181"/>
      <c r="M338" s="181"/>
      <c r="N338" s="181"/>
      <c r="O338" s="341"/>
      <c r="P338" s="341"/>
    </row>
    <row r="339" spans="1:16" ht="21.75" customHeight="1" x14ac:dyDescent="0.3">
      <c r="A339" s="175"/>
      <c r="B339" s="289"/>
      <c r="C339" s="176"/>
      <c r="D339" s="195"/>
      <c r="E339" s="194" t="s">
        <v>121</v>
      </c>
      <c r="F339" s="195"/>
      <c r="G339" s="196"/>
      <c r="H339" s="342" t="s">
        <v>37</v>
      </c>
      <c r="I339" s="203">
        <f ca="1">IFERROR(__xludf.DUMMYFUNCTION("IMPORTRANGE(""https://docs.google.com/spreadsheets/d/11923uPwbBZFjjGgGUA6NLw09EwE0CqkOc4q9oUmW1yo/edit?usp=sharing"",""สุโขทัย!I234"")"),0)</f>
        <v>0</v>
      </c>
      <c r="J339" s="187">
        <f ca="1">IFERROR(__xludf.DUMMYFUNCTION("IMPORTRANGE(""https://docs.google.com/spreadsheets/d/11923uPwbBZFjjGgGUA6NLw09EwE0CqkOc4q9oUmW1yo/edit?usp=sharing"",""สุโขทัย!J234"")"),73)</f>
        <v>73</v>
      </c>
      <c r="K339" s="340">
        <f t="shared" ref="K339:K346" ca="1" si="103">IF(I339&gt;0,J339*100/I339,0)</f>
        <v>0</v>
      </c>
      <c r="L339" s="181"/>
      <c r="M339" s="181"/>
      <c r="N339" s="181"/>
      <c r="O339" s="341"/>
      <c r="P339" s="341"/>
    </row>
    <row r="340" spans="1:16" ht="21.75" customHeight="1" x14ac:dyDescent="0.3">
      <c r="A340" s="175"/>
      <c r="B340" s="289"/>
      <c r="C340" s="176"/>
      <c r="D340" s="195"/>
      <c r="E340" s="195"/>
      <c r="F340" s="195"/>
      <c r="G340" s="196"/>
      <c r="H340" s="342" t="s">
        <v>122</v>
      </c>
      <c r="I340" s="187">
        <f ca="1">IFERROR(__xludf.DUMMYFUNCTION("IMPORTRANGE(""https://docs.google.com/spreadsheets/d/11923uPwbBZFjjGgGUA6NLw09EwE0CqkOc4q9oUmW1yo/edit?usp=sharing"",""สุโขทัย!I235"")"),1440)</f>
        <v>1440</v>
      </c>
      <c r="J340" s="187">
        <f ca="1">IFERROR(__xludf.DUMMYFUNCTION("IMPORTRANGE(""https://docs.google.com/spreadsheets/d/11923uPwbBZFjjGgGUA6NLw09EwE0CqkOc4q9oUmW1yo/edit?usp=sharing"",""สุโขทัย!J235"")"),687.01)</f>
        <v>687.01</v>
      </c>
      <c r="K340" s="340">
        <f t="shared" ca="1" si="103"/>
        <v>47.709027777777777</v>
      </c>
      <c r="L340" s="181"/>
      <c r="M340" s="181"/>
      <c r="N340" s="181"/>
      <c r="O340" s="341"/>
      <c r="P340" s="341"/>
    </row>
    <row r="341" spans="1:16" ht="21.75" customHeight="1" x14ac:dyDescent="0.3">
      <c r="A341" s="175"/>
      <c r="B341" s="289"/>
      <c r="C341" s="176"/>
      <c r="D341" s="195"/>
      <c r="E341" s="194" t="s">
        <v>123</v>
      </c>
      <c r="F341" s="195"/>
      <c r="G341" s="196"/>
      <c r="H341" s="180" t="s">
        <v>37</v>
      </c>
      <c r="I341" s="187">
        <f ca="1">IFERROR(__xludf.DUMMYFUNCTION("IMPORTRANGE(""https://docs.google.com/spreadsheets/d/11923uPwbBZFjjGgGUA6NLw09EwE0CqkOc4q9oUmW1yo/edit?usp=sharing"",""สุโขทัย!I236"")"),270)</f>
        <v>270</v>
      </c>
      <c r="J341" s="187">
        <f ca="1">IFERROR(__xludf.DUMMYFUNCTION("IMPORTRANGE(""https://docs.google.com/spreadsheets/d/11923uPwbBZFjjGgGUA6NLw09EwE0CqkOc4q9oUmW1yo/edit?usp=sharing"",""สุโขทัย!J236"")"),110)</f>
        <v>110</v>
      </c>
      <c r="K341" s="340">
        <f t="shared" ca="1" si="103"/>
        <v>40.74074074074074</v>
      </c>
      <c r="L341" s="181"/>
      <c r="M341" s="181"/>
      <c r="N341" s="181"/>
      <c r="O341" s="341"/>
      <c r="P341" s="341"/>
    </row>
    <row r="342" spans="1:16" ht="21.75" customHeight="1" x14ac:dyDescent="0.3">
      <c r="A342" s="175"/>
      <c r="B342" s="289"/>
      <c r="C342" s="176"/>
      <c r="D342" s="195"/>
      <c r="E342" s="195"/>
      <c r="F342" s="195"/>
      <c r="G342" s="196"/>
      <c r="H342" s="180" t="s">
        <v>122</v>
      </c>
      <c r="I342" s="343">
        <f ca="1">IFERROR(__xludf.DUMMYFUNCTION("IMPORTRANGE(""https://docs.google.com/spreadsheets/d/11923uPwbBZFjjGgGUA6NLw09EwE0CqkOc4q9oUmW1yo/edit?usp=sharing"",""สุโขทัย!I237"")"),0)</f>
        <v>0</v>
      </c>
      <c r="J342" s="187">
        <f ca="1">IFERROR(__xludf.DUMMYFUNCTION("IMPORTRANGE(""https://docs.google.com/spreadsheets/d/11923uPwbBZFjjGgGUA6NLw09EwE0CqkOc4q9oUmW1yo/edit?usp=sharing"",""สุโขทัย!J237"")"),1248.31)</f>
        <v>1248.31</v>
      </c>
      <c r="K342" s="340">
        <f t="shared" ca="1" si="103"/>
        <v>0</v>
      </c>
      <c r="L342" s="181"/>
      <c r="M342" s="181"/>
      <c r="N342" s="181"/>
      <c r="O342" s="341"/>
      <c r="P342" s="341"/>
    </row>
    <row r="343" spans="1:16" ht="21.75" customHeight="1" x14ac:dyDescent="0.3">
      <c r="A343" s="175"/>
      <c r="B343" s="289"/>
      <c r="C343" s="176"/>
      <c r="D343" s="195"/>
      <c r="E343" s="194" t="s">
        <v>124</v>
      </c>
      <c r="F343" s="195"/>
      <c r="G343" s="196"/>
      <c r="H343" s="180" t="s">
        <v>37</v>
      </c>
      <c r="I343" s="187">
        <f ca="1">IFERROR(__xludf.DUMMYFUNCTION("IMPORTRANGE(""https://docs.google.com/spreadsheets/d/11923uPwbBZFjjGgGUA6NLw09EwE0CqkOc4q9oUmW1yo/edit?usp=sharing"",""สุโขทัย!I238"")"),270)</f>
        <v>270</v>
      </c>
      <c r="J343" s="187">
        <f ca="1">IFERROR(__xludf.DUMMYFUNCTION("IMPORTRANGE(""https://docs.google.com/spreadsheets/d/11923uPwbBZFjjGgGUA6NLw09EwE0CqkOc4q9oUmW1yo/edit?usp=sharing"",""สุโขทัย!J238"")"),0)</f>
        <v>0</v>
      </c>
      <c r="K343" s="340">
        <f t="shared" ca="1" si="103"/>
        <v>0</v>
      </c>
      <c r="L343" s="181"/>
      <c r="M343" s="181"/>
      <c r="N343" s="181"/>
      <c r="O343" s="341"/>
      <c r="P343" s="341"/>
    </row>
    <row r="344" spans="1:16" ht="21.75" customHeight="1" x14ac:dyDescent="0.3">
      <c r="A344" s="175"/>
      <c r="B344" s="289"/>
      <c r="C344" s="176"/>
      <c r="D344" s="195"/>
      <c r="E344" s="195"/>
      <c r="F344" s="195"/>
      <c r="G344" s="196"/>
      <c r="H344" s="180" t="s">
        <v>122</v>
      </c>
      <c r="I344" s="343">
        <f ca="1">IFERROR(__xludf.DUMMYFUNCTION("IMPORTRANGE(""https://docs.google.com/spreadsheets/d/11923uPwbBZFjjGgGUA6NLw09EwE0CqkOc4q9oUmW1yo/edit?usp=sharing"",""สุโขทัย!I239"")"),0)</f>
        <v>0</v>
      </c>
      <c r="J344" s="187">
        <f ca="1">IFERROR(__xludf.DUMMYFUNCTION("IMPORTRANGE(""https://docs.google.com/spreadsheets/d/11923uPwbBZFjjGgGUA6NLw09EwE0CqkOc4q9oUmW1yo/edit?usp=sharing"",""สุโขทัย!J239"")"),0)</f>
        <v>0</v>
      </c>
      <c r="K344" s="340">
        <f t="shared" ca="1" si="103"/>
        <v>0</v>
      </c>
      <c r="L344" s="181"/>
      <c r="M344" s="181"/>
      <c r="N344" s="181"/>
      <c r="O344" s="341"/>
      <c r="P344" s="341"/>
    </row>
    <row r="345" spans="1:16" ht="21.75" customHeight="1" x14ac:dyDescent="0.3">
      <c r="A345" s="175"/>
      <c r="B345" s="289"/>
      <c r="C345" s="176"/>
      <c r="D345" s="195"/>
      <c r="E345" s="194" t="s">
        <v>125</v>
      </c>
      <c r="F345" s="195"/>
      <c r="G345" s="196"/>
      <c r="H345" s="180" t="s">
        <v>37</v>
      </c>
      <c r="I345" s="187">
        <f ca="1">IFERROR(__xludf.DUMMYFUNCTION("IMPORTRANGE(""https://docs.google.com/spreadsheets/d/11923uPwbBZFjjGgGUA6NLw09EwE0CqkOc4q9oUmW1yo/edit?usp=sharing"",""สุโขทัย!I240"")"),270)</f>
        <v>270</v>
      </c>
      <c r="J345" s="187">
        <f ca="1">IFERROR(__xludf.DUMMYFUNCTION("IMPORTRANGE(""https://docs.google.com/spreadsheets/d/11923uPwbBZFjjGgGUA6NLw09EwE0CqkOc4q9oUmW1yo/edit?usp=sharing"",""สุโขทัย!J240"")"),50)</f>
        <v>50</v>
      </c>
      <c r="K345" s="340">
        <f t="shared" ca="1" si="103"/>
        <v>18.518518518518519</v>
      </c>
      <c r="L345" s="181"/>
      <c r="M345" s="181"/>
      <c r="N345" s="181"/>
      <c r="O345" s="341"/>
      <c r="P345" s="341"/>
    </row>
    <row r="346" spans="1:16" ht="21.75" customHeight="1" x14ac:dyDescent="0.3">
      <c r="A346" s="233"/>
      <c r="B346" s="344"/>
      <c r="C346" s="234"/>
      <c r="D346" s="344"/>
      <c r="E346" s="345"/>
      <c r="F346" s="345"/>
      <c r="G346" s="346"/>
      <c r="H346" s="347" t="s">
        <v>122</v>
      </c>
      <c r="I346" s="348">
        <f ca="1">IFERROR(__xludf.DUMMYFUNCTION("IMPORTRANGE(""https://docs.google.com/spreadsheets/d/11923uPwbBZFjjGgGUA6NLw09EwE0CqkOc4q9oUmW1yo/edit?usp=sharing"",""สุโขทัย!I241"")"),0)</f>
        <v>0</v>
      </c>
      <c r="J346" s="187">
        <f ca="1">IFERROR(__xludf.DUMMYFUNCTION("IMPORTRANGE(""https://docs.google.com/spreadsheets/d/11923uPwbBZFjjGgGUA6NLw09EwE0CqkOc4q9oUmW1yo/edit?usp=sharing"",""สุโขทัย!J241"")"),697.94)</f>
        <v>697.94</v>
      </c>
      <c r="K346" s="349">
        <f t="shared" ca="1" si="103"/>
        <v>0</v>
      </c>
      <c r="L346" s="244"/>
      <c r="M346" s="244"/>
      <c r="N346" s="244"/>
      <c r="O346" s="350"/>
      <c r="P346" s="350"/>
    </row>
    <row r="347" spans="1:16" ht="21.75" customHeight="1" x14ac:dyDescent="0.3">
      <c r="A347" s="351" t="s">
        <v>126</v>
      </c>
      <c r="B347" s="352"/>
      <c r="C347" s="352"/>
      <c r="D347" s="352"/>
      <c r="E347" s="352"/>
      <c r="F347" s="352"/>
      <c r="G347" s="353"/>
      <c r="H347" s="354"/>
      <c r="I347" s="355"/>
      <c r="J347" s="355"/>
      <c r="K347" s="356"/>
      <c r="L347" s="356">
        <f ca="1">IFERROR(__xludf.DUMMYFUNCTION("IMPORTRANGE(""https://docs.google.com/spreadsheets/d/11923uPwbBZFjjGgGUA6NLw09EwE0CqkOc4q9oUmW1yo/edit?usp=sharing"",""สุโขทัย!L242"")"),1955983)</f>
        <v>1955983</v>
      </c>
      <c r="M347" s="356"/>
      <c r="N347" s="356">
        <f ca="1">IFERROR(__xludf.DUMMYFUNCTION("IMPORTRANGE(""https://docs.google.com/spreadsheets/d/11923uPwbBZFjjGgGUA6NLw09EwE0CqkOc4q9oUmW1yo/edit?usp=sharing"",""สุโขทัย!M242"")"),509265.48)</f>
        <v>509265.48</v>
      </c>
      <c r="O347" s="356">
        <f ca="1">+IF(L347&gt;0,N347*100/L347,0)</f>
        <v>26.036293771469385</v>
      </c>
      <c r="P347" s="356"/>
    </row>
    <row r="348" spans="1:16" ht="21.75" customHeight="1" x14ac:dyDescent="0.3">
      <c r="A348" s="357" t="s">
        <v>127</v>
      </c>
      <c r="B348" s="358"/>
      <c r="C348" s="358"/>
      <c r="D348" s="358"/>
      <c r="E348" s="358"/>
      <c r="F348" s="358"/>
      <c r="G348" s="359"/>
      <c r="H348" s="360"/>
      <c r="I348" s="361"/>
      <c r="J348" s="361"/>
      <c r="K348" s="362"/>
      <c r="L348" s="362"/>
      <c r="M348" s="362"/>
      <c r="N348" s="362"/>
      <c r="O348" s="363"/>
      <c r="P348" s="363"/>
    </row>
    <row r="349" spans="1:16" ht="21.75" customHeight="1" x14ac:dyDescent="0.3">
      <c r="A349" s="364"/>
      <c r="B349" s="365">
        <v>1</v>
      </c>
      <c r="C349" s="366" t="s">
        <v>128</v>
      </c>
      <c r="D349" s="366"/>
      <c r="E349" s="366"/>
      <c r="F349" s="366"/>
      <c r="G349" s="367"/>
      <c r="H349" s="368" t="s">
        <v>122</v>
      </c>
      <c r="I349" s="369">
        <f ca="1">IFERROR(__xludf.DUMMYFUNCTION("IMPORTRANGE(""https://docs.google.com/spreadsheets/d/11923uPwbBZFjjGgGUA6NLw09EwE0CqkOc4q9oUmW1yo/edit?usp=sharing"",""สุโขทัย!I244"")"),80)</f>
        <v>80</v>
      </c>
      <c r="J349" s="369">
        <f ca="1">IFERROR(__xludf.DUMMYFUNCTION("IMPORTRANGE(""https://docs.google.com/spreadsheets/d/11923uPwbBZFjjGgGUA6NLw09EwE0CqkOc4q9oUmW1yo/edit?usp=sharing"",""สุโขทัย!J244"")"),0)</f>
        <v>0</v>
      </c>
      <c r="K349" s="370">
        <f t="shared" ref="K349:K350" ca="1" si="104">IF(I349&gt;0,J349*100/I349,0)</f>
        <v>0</v>
      </c>
      <c r="L349" s="371">
        <f ca="1">IFERROR(__xludf.DUMMYFUNCTION("IMPORTRANGE(""https://docs.google.com/spreadsheets/d/11923uPwbBZFjjGgGUA6NLw09EwE0CqkOc4q9oUmW1yo/edit?usp=sharing"",""สุโขทัย!L244"")"),367080)</f>
        <v>367080</v>
      </c>
      <c r="M349" s="371"/>
      <c r="N349" s="371">
        <f ca="1">IFERROR(__xludf.DUMMYFUNCTION("IMPORTRANGE(""https://docs.google.com/spreadsheets/d/11923uPwbBZFjjGgGUA6NLw09EwE0CqkOc4q9oUmW1yo/edit?usp=sharing"",""สุโขทัย!M244"")"),120300)</f>
        <v>120300</v>
      </c>
      <c r="O349" s="371">
        <f ca="1">+IF(L349&gt;0,N349*100/L349,0)</f>
        <v>32.772147760706112</v>
      </c>
      <c r="P349" s="371"/>
    </row>
    <row r="350" spans="1:16" ht="21.75" customHeight="1" x14ac:dyDescent="0.3">
      <c r="A350" s="364"/>
      <c r="B350" s="365"/>
      <c r="C350" s="366"/>
      <c r="D350" s="366"/>
      <c r="E350" s="366"/>
      <c r="F350" s="366"/>
      <c r="G350" s="367"/>
      <c r="H350" s="368" t="s">
        <v>37</v>
      </c>
      <c r="I350" s="369">
        <f ca="1">IFERROR(__xludf.DUMMYFUNCTION("IMPORTRANGE(""https://docs.google.com/spreadsheets/d/11923uPwbBZFjjGgGUA6NLw09EwE0CqkOc4q9oUmW1yo/edit?usp=sharing"",""สุโขทัย!I245"")"),80)</f>
        <v>80</v>
      </c>
      <c r="J350" s="369">
        <f ca="1">IFERROR(__xludf.DUMMYFUNCTION("IMPORTRANGE(""https://docs.google.com/spreadsheets/d/11923uPwbBZFjjGgGUA6NLw09EwE0CqkOc4q9oUmW1yo/edit?usp=sharing"",""สุโขทัย!J245"")"),80)</f>
        <v>80</v>
      </c>
      <c r="K350" s="370">
        <f t="shared" ca="1" si="104"/>
        <v>100</v>
      </c>
      <c r="L350" s="371"/>
      <c r="M350" s="371"/>
      <c r="N350" s="371"/>
      <c r="O350" s="371"/>
      <c r="P350" s="371"/>
    </row>
    <row r="351" spans="1:16" ht="21.75" customHeight="1" x14ac:dyDescent="0.3">
      <c r="A351" s="156"/>
      <c r="B351" s="157"/>
      <c r="C351" s="157" t="s">
        <v>16</v>
      </c>
      <c r="D351" s="158" t="s">
        <v>38</v>
      </c>
      <c r="E351" s="159"/>
      <c r="F351" s="159"/>
      <c r="G351" s="160" t="s">
        <v>39</v>
      </c>
      <c r="H351" s="161" t="s">
        <v>12</v>
      </c>
      <c r="I351" s="162" t="s">
        <v>40</v>
      </c>
      <c r="J351" s="162"/>
      <c r="K351" s="163"/>
      <c r="L351" s="164">
        <f ca="1">IFERROR(__xludf.DUMMYFUNCTION("IMPORTRANGE(""https://docs.google.com/spreadsheets/d/11923uPwbBZFjjGgGUA6NLw09EwE0CqkOc4q9oUmW1yo/edit?usp=sharing"",""สุโขทัย!L246"")"),0)</f>
        <v>0</v>
      </c>
      <c r="M351" s="164"/>
      <c r="N351" s="164">
        <f ca="1">IFERROR(__xludf.DUMMYFUNCTION("IMPORTRANGE(""https://docs.google.com/spreadsheets/d/11923uPwbBZFjjGgGUA6NLw09EwE0CqkOc4q9oUmW1yo/edit?usp=sharing"",""สุโขทัย!M246"")"),0)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3">
      <c r="A352" s="156"/>
      <c r="B352" s="157"/>
      <c r="C352" s="157"/>
      <c r="D352" s="166"/>
      <c r="E352" s="159"/>
      <c r="F352" s="159" t="s">
        <v>40</v>
      </c>
      <c r="G352" s="160" t="s">
        <v>41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IFERROR(__xludf.DUMMYFUNCTION("IMPORTRANGE(""https://docs.google.com/spreadsheets/d/11923uPwbBZFjjGgGUA6NLw09EwE0CqkOc4q9oUmW1yo/edit?usp=sharing"",""สุโขทัย!L247"")"),367080)</f>
        <v>367080</v>
      </c>
      <c r="M352" s="165"/>
      <c r="N352" s="164">
        <f ca="1">IFERROR(__xludf.DUMMYFUNCTION("IMPORTRANGE(""https://docs.google.com/spreadsheets/d/11923uPwbBZFjjGgGUA6NLw09EwE0CqkOc4q9oUmW1yo/edit?usp=sharing"",""สุโขทัย!M247"")"),120300)</f>
        <v>120300</v>
      </c>
      <c r="O352" s="165">
        <f t="shared" ca="1" si="105"/>
        <v>32.772147760706112</v>
      </c>
      <c r="P352" s="165"/>
    </row>
    <row r="353" spans="1:16" ht="21.75" customHeight="1" x14ac:dyDescent="0.3">
      <c r="A353" s="156"/>
      <c r="B353" s="157"/>
      <c r="C353" s="157"/>
      <c r="D353" s="166"/>
      <c r="E353" s="159"/>
      <c r="F353" s="159"/>
      <c r="G353" s="372" t="s">
        <v>129</v>
      </c>
      <c r="H353" s="161" t="s">
        <v>12</v>
      </c>
      <c r="I353" s="162"/>
      <c r="J353" s="162"/>
      <c r="K353" s="163"/>
      <c r="L353" s="168">
        <f ca="1">IFERROR(__xludf.DUMMYFUNCTION("IMPORTRANGE(""https://docs.google.com/spreadsheets/d/11923uPwbBZFjjGgGUA6NLw09EwE0CqkOc4q9oUmW1yo/edit?usp=sharing"",""สุโขทัย!L248"")"),0)</f>
        <v>0</v>
      </c>
      <c r="M353" s="168"/>
      <c r="N353" s="168">
        <f ca="1">IFERROR(__xludf.DUMMYFUNCTION("IMPORTRANGE(""https://docs.google.com/spreadsheets/d/11923uPwbBZFjjGgGUA6NLw09EwE0CqkOc4q9oUmW1yo/edit?usp=sharing"",""สุโขทัย!M248"")"),0)</f>
        <v>0</v>
      </c>
      <c r="O353" s="168">
        <f t="shared" ca="1" si="105"/>
        <v>0</v>
      </c>
      <c r="P353" s="168"/>
    </row>
    <row r="354" spans="1:16" ht="21.75" customHeight="1" x14ac:dyDescent="0.3">
      <c r="A354" s="156"/>
      <c r="B354" s="157"/>
      <c r="C354" s="157"/>
      <c r="D354" s="166"/>
      <c r="E354" s="159"/>
      <c r="F354" s="159"/>
      <c r="G354" s="372" t="s">
        <v>130</v>
      </c>
      <c r="H354" s="161" t="s">
        <v>12</v>
      </c>
      <c r="I354" s="162"/>
      <c r="J354" s="162"/>
      <c r="K354" s="163"/>
      <c r="L354" s="168">
        <f ca="1">IFERROR(__xludf.DUMMYFUNCTION("IMPORTRANGE(""https://docs.google.com/spreadsheets/d/11923uPwbBZFjjGgGUA6NLw09EwE0CqkOc4q9oUmW1yo/edit?usp=sharing"",""สุโขทัย!L249"")"),367080)</f>
        <v>367080</v>
      </c>
      <c r="M354" s="168"/>
      <c r="N354" s="167">
        <f ca="1">IFERROR(__xludf.DUMMYFUNCTION("IMPORTRANGE(""https://docs.google.com/spreadsheets/d/11923uPwbBZFjjGgGUA6NLw09EwE0CqkOc4q9oUmW1yo/edit?usp=sharing"",""สุโขทัย!M249"")"),120300)</f>
        <v>120300</v>
      </c>
      <c r="O354" s="168">
        <f t="shared" ca="1" si="105"/>
        <v>32.772147760706112</v>
      </c>
      <c r="P354" s="168"/>
    </row>
    <row r="355" spans="1:16" ht="21.75" customHeight="1" x14ac:dyDescent="0.3">
      <c r="A355" s="373"/>
      <c r="B355" s="374"/>
      <c r="C355" s="157"/>
      <c r="D355" s="375"/>
      <c r="E355" s="159"/>
      <c r="F355" s="159"/>
      <c r="G355" s="376" t="s">
        <v>131</v>
      </c>
      <c r="H355" s="161" t="s">
        <v>12</v>
      </c>
      <c r="I355" s="187"/>
      <c r="J355" s="187"/>
      <c r="K355" s="223"/>
      <c r="L355" s="168"/>
      <c r="M355" s="168"/>
      <c r="N355" s="377">
        <f ca="1">IFERROR(__xludf.DUMMYFUNCTION("IMPORTRANGE(""https://docs.google.com/spreadsheets/d/11923uPwbBZFjjGgGUA6NLw09EwE0CqkOc4q9oUmW1yo/edit?usp=sharing"",""สุโขทัย!M250"")"),76580)</f>
        <v>76580</v>
      </c>
      <c r="O355" s="168"/>
      <c r="P355" s="168"/>
    </row>
    <row r="356" spans="1:16" ht="21.75" customHeight="1" x14ac:dyDescent="0.3">
      <c r="A356" s="373"/>
      <c r="B356" s="374"/>
      <c r="C356" s="157"/>
      <c r="D356" s="375"/>
      <c r="E356" s="159"/>
      <c r="F356" s="159"/>
      <c r="G356" s="376" t="s">
        <v>132</v>
      </c>
      <c r="H356" s="161" t="s">
        <v>12</v>
      </c>
      <c r="I356" s="187"/>
      <c r="J356" s="187"/>
      <c r="K356" s="223"/>
      <c r="L356" s="168"/>
      <c r="M356" s="168"/>
      <c r="N356" s="377">
        <f ca="1">IFERROR(__xludf.DUMMYFUNCTION("IMPORTRANGE(""https://docs.google.com/spreadsheets/d/11923uPwbBZFjjGgGUA6NLw09EwE0CqkOc4q9oUmW1yo/edit?usp=sharing"",""สุโขทัย!M251"")"),0)</f>
        <v>0</v>
      </c>
      <c r="O356" s="168"/>
      <c r="P356" s="168"/>
    </row>
    <row r="357" spans="1:16" ht="21.75" customHeight="1" x14ac:dyDescent="0.3">
      <c r="A357" s="373"/>
      <c r="B357" s="374"/>
      <c r="C357" s="157"/>
      <c r="D357" s="375"/>
      <c r="E357" s="159"/>
      <c r="F357" s="159"/>
      <c r="G357" s="376" t="s">
        <v>133</v>
      </c>
      <c r="H357" s="161" t="s">
        <v>12</v>
      </c>
      <c r="I357" s="187"/>
      <c r="J357" s="187"/>
      <c r="K357" s="223"/>
      <c r="L357" s="168"/>
      <c r="M357" s="168"/>
      <c r="N357" s="377">
        <f ca="1">IFERROR(__xludf.DUMMYFUNCTION("IMPORTRANGE(""https://docs.google.com/spreadsheets/d/11923uPwbBZFjjGgGUA6NLw09EwE0CqkOc4q9oUmW1yo/edit?usp=sharing"",""สุโขทัย!M252"")"),33000)</f>
        <v>33000</v>
      </c>
      <c r="O357" s="168"/>
      <c r="P357" s="168"/>
    </row>
    <row r="358" spans="1:16" ht="21.75" customHeight="1" x14ac:dyDescent="0.3">
      <c r="A358" s="373"/>
      <c r="B358" s="374"/>
      <c r="C358" s="157"/>
      <c r="D358" s="375"/>
      <c r="E358" s="159"/>
      <c r="F358" s="159"/>
      <c r="G358" s="376" t="s">
        <v>134</v>
      </c>
      <c r="H358" s="161" t="s">
        <v>12</v>
      </c>
      <c r="I358" s="187"/>
      <c r="J358" s="187"/>
      <c r="K358" s="223"/>
      <c r="L358" s="168"/>
      <c r="M358" s="168"/>
      <c r="N358" s="377">
        <f ca="1">IFERROR(__xludf.DUMMYFUNCTION("IMPORTRANGE(""https://docs.google.com/spreadsheets/d/11923uPwbBZFjjGgGUA6NLw09EwE0CqkOc4q9oUmW1yo/edit?usp=sharing"",""สุโขทัย!M253"")"),10720)</f>
        <v>10720</v>
      </c>
      <c r="O358" s="168"/>
      <c r="P358" s="168"/>
    </row>
    <row r="359" spans="1:16" ht="21.75" customHeight="1" x14ac:dyDescent="0.3">
      <c r="A359" s="175"/>
      <c r="B359" s="176"/>
      <c r="C359" s="157" t="s">
        <v>16</v>
      </c>
      <c r="D359" s="177" t="s">
        <v>44</v>
      </c>
      <c r="E359" s="178"/>
      <c r="F359" s="178"/>
      <c r="G359" s="179"/>
      <c r="H359" s="180"/>
      <c r="I359" s="162"/>
      <c r="J359" s="162"/>
      <c r="K359" s="163"/>
      <c r="L359" s="181"/>
      <c r="M359" s="181"/>
      <c r="N359" s="181"/>
      <c r="O359" s="181"/>
      <c r="P359" s="181"/>
    </row>
    <row r="360" spans="1:16" ht="21.75" customHeight="1" x14ac:dyDescent="0.3">
      <c r="A360" s="175"/>
      <c r="B360" s="176"/>
      <c r="C360" s="176"/>
      <c r="D360" s="182">
        <v>1</v>
      </c>
      <c r="E360" s="183" t="s">
        <v>45</v>
      </c>
      <c r="F360" s="184"/>
      <c r="G360" s="185"/>
      <c r="H360" s="186"/>
      <c r="I360" s="187"/>
      <c r="J360" s="197">
        <f ca="1">IFERROR(__xludf.DUMMYFUNCTION("IMPORTRANGE(""https://docs.google.com/spreadsheets/d/11923uPwbBZFjjGgGUA6NLw09EwE0CqkOc4q9oUmW1yo/edit?usp=sharing"",""สุโขทัย!J255"")"),0)</f>
        <v>0</v>
      </c>
      <c r="K360" s="163"/>
      <c r="L360" s="181"/>
      <c r="M360" s="181"/>
      <c r="N360" s="181"/>
      <c r="O360" s="181"/>
      <c r="P360" s="181"/>
    </row>
    <row r="361" spans="1:16" ht="21.75" customHeight="1" x14ac:dyDescent="0.3">
      <c r="A361" s="175"/>
      <c r="B361" s="176"/>
      <c r="C361" s="176"/>
      <c r="D361" s="189">
        <v>2</v>
      </c>
      <c r="E361" s="190" t="s">
        <v>46</v>
      </c>
      <c r="F361" s="191"/>
      <c r="G361" s="192"/>
      <c r="H361" s="186"/>
      <c r="I361" s="187"/>
      <c r="J361" s="188">
        <f ca="1">IFERROR(__xludf.DUMMYFUNCTION("IMPORTRANGE(""https://docs.google.com/spreadsheets/d/11923uPwbBZFjjGgGUA6NLw09EwE0CqkOc4q9oUmW1yo/edit?usp=sharing"",""สุโขทัย!J256"")"),1)</f>
        <v>1</v>
      </c>
      <c r="K361" s="163"/>
      <c r="L361" s="181" t="s">
        <v>40</v>
      </c>
      <c r="M361" s="181"/>
      <c r="N361" s="181" t="s">
        <v>40</v>
      </c>
      <c r="O361" s="181"/>
      <c r="P361" s="181"/>
    </row>
    <row r="362" spans="1:16" ht="21.75" customHeight="1" x14ac:dyDescent="0.3">
      <c r="A362" s="175"/>
      <c r="B362" s="176"/>
      <c r="C362" s="176"/>
      <c r="D362" s="193"/>
      <c r="E362" s="194" t="s">
        <v>47</v>
      </c>
      <c r="F362" s="195"/>
      <c r="G362" s="196"/>
      <c r="H362" s="186"/>
      <c r="I362" s="187"/>
      <c r="J362" s="188">
        <f ca="1">IFERROR(__xludf.DUMMYFUNCTION("IMPORTRANGE(""https://docs.google.com/spreadsheets/d/11923uPwbBZFjjGgGUA6NLw09EwE0CqkOc4q9oUmW1yo/edit?usp=sharing"",""สุโขทัย!J257"")"),1)</f>
        <v>1</v>
      </c>
      <c r="K362" s="163"/>
      <c r="L362" s="181"/>
      <c r="M362" s="181"/>
      <c r="N362" s="181"/>
      <c r="O362" s="181"/>
      <c r="P362" s="181"/>
    </row>
    <row r="363" spans="1:16" ht="21.75" customHeight="1" x14ac:dyDescent="0.3">
      <c r="A363" s="175"/>
      <c r="B363" s="176"/>
      <c r="C363" s="176"/>
      <c r="D363" s="193"/>
      <c r="E363" s="194" t="s">
        <v>48</v>
      </c>
      <c r="F363" s="195"/>
      <c r="G363" s="196"/>
      <c r="H363" s="186"/>
      <c r="I363" s="187"/>
      <c r="J363" s="197">
        <f ca="1">IFERROR(__xludf.DUMMYFUNCTION("IMPORTRANGE(""https://docs.google.com/spreadsheets/d/11923uPwbBZFjjGgGUA6NLw09EwE0CqkOc4q9oUmW1yo/edit?usp=sharing"",""สุโขทัย!J258"")"),1)</f>
        <v>1</v>
      </c>
      <c r="K363" s="163"/>
      <c r="L363" s="181"/>
      <c r="M363" s="181"/>
      <c r="N363" s="181"/>
      <c r="O363" s="181"/>
      <c r="P363" s="181"/>
    </row>
    <row r="364" spans="1:16" ht="21.75" hidden="1" customHeight="1" x14ac:dyDescent="0.3">
      <c r="A364" s="175"/>
      <c r="B364" s="176"/>
      <c r="C364" s="176"/>
      <c r="D364" s="193"/>
      <c r="E364" s="198"/>
      <c r="F364" s="194" t="s">
        <v>70</v>
      </c>
      <c r="G364" s="196"/>
      <c r="H364" s="180"/>
      <c r="I364" s="187"/>
      <c r="J364" s="187">
        <f ca="1">IFERROR(__xludf.DUMMYFUNCTION("IMPORTRANGE(""https://docs.google.com/spreadsheets/d/11923uPwbBZFjjGgGUA6NLw09EwE0CqkOc4q9oUmW1yo/edit?usp=sharing"",""สุโขทัย!J166"")"),0)</f>
        <v>0</v>
      </c>
      <c r="K364" s="163"/>
      <c r="L364" s="181"/>
      <c r="M364" s="181"/>
      <c r="N364" s="181"/>
      <c r="O364" s="181"/>
      <c r="P364" s="181"/>
    </row>
    <row r="365" spans="1:16" ht="21.75" hidden="1" customHeight="1" x14ac:dyDescent="0.3">
      <c r="A365" s="175"/>
      <c r="B365" s="176"/>
      <c r="C365" s="176"/>
      <c r="D365" s="193"/>
      <c r="E365" s="198"/>
      <c r="F365" s="195"/>
      <c r="G365" s="225" t="s">
        <v>135</v>
      </c>
      <c r="H365" s="180" t="s">
        <v>37</v>
      </c>
      <c r="I365" s="187">
        <f ca="1">IFERROR(__xludf.DUMMYFUNCTION("IMPORTRANGE(""https://docs.google.com/spreadsheets/d/1C3CXT74ZlgGe6_JY_1olB1XN4rF0dxEuIIF-xsYjHgg/edit?usp=sharing"",""งบกองทุน!f63"")"),0)</f>
        <v>0</v>
      </c>
      <c r="J365" s="187">
        <f ca="1">IFERROR(__xludf.DUMMYFUNCTION("IMPORTRANGE(""https://docs.google.com/spreadsheets/d/11923uPwbBZFjjGgGUA6NLw09EwE0CqkOc4q9oUmW1yo/edit?usp=sharing"",""สุโขทัย!J166"")"),0)</f>
        <v>0</v>
      </c>
      <c r="K365" s="163">
        <f ca="1">IF(I365&gt;0,J365*100/I365,0)</f>
        <v>0</v>
      </c>
      <c r="L365" s="181"/>
      <c r="M365" s="181"/>
      <c r="N365" s="181"/>
      <c r="O365" s="181"/>
      <c r="P365" s="181"/>
    </row>
    <row r="366" spans="1:16" ht="21.75" hidden="1" customHeight="1" x14ac:dyDescent="0.3">
      <c r="A366" s="175"/>
      <c r="B366" s="176"/>
      <c r="C366" s="176"/>
      <c r="D366" s="193"/>
      <c r="E366" s="198"/>
      <c r="F366" s="195"/>
      <c r="G366" s="196" t="s">
        <v>136</v>
      </c>
      <c r="H366" s="180"/>
      <c r="I366" s="162"/>
      <c r="J366" s="187">
        <f ca="1">IFERROR(__xludf.DUMMYFUNCTION("IMPORTRANGE(""https://docs.google.com/spreadsheets/d/11923uPwbBZFjjGgGUA6NLw09EwE0CqkOc4q9oUmW1yo/edit?usp=sharing"",""สุโขทัย!J166"")"),0)</f>
        <v>0</v>
      </c>
      <c r="K366" s="163"/>
      <c r="L366" s="181"/>
      <c r="M366" s="181"/>
      <c r="N366" s="181"/>
      <c r="O366" s="181"/>
      <c r="P366" s="181"/>
    </row>
    <row r="367" spans="1:16" ht="21.75" hidden="1" customHeight="1" x14ac:dyDescent="0.3">
      <c r="A367" s="175"/>
      <c r="B367" s="176"/>
      <c r="C367" s="176"/>
      <c r="D367" s="193"/>
      <c r="E367" s="198"/>
      <c r="F367" s="195"/>
      <c r="G367" s="225" t="s">
        <v>137</v>
      </c>
      <c r="H367" s="186" t="s">
        <v>122</v>
      </c>
      <c r="I367" s="187">
        <f ca="1">SUM(I369,I371)</f>
        <v>0</v>
      </c>
      <c r="J367" s="187">
        <f ca="1">IFERROR(__xludf.DUMMYFUNCTION("IMPORTRANGE(""https://docs.google.com/spreadsheets/d/11923uPwbBZFjjGgGUA6NLw09EwE0CqkOc4q9oUmW1yo/edit?usp=sharing"",""สุโขทัย!J166"")"),0)</f>
        <v>0</v>
      </c>
      <c r="K367" s="163">
        <f t="shared" ref="K367:K373" ca="1" si="106">IF(I367&gt;0,J367*100/I367,0)</f>
        <v>0</v>
      </c>
      <c r="L367" s="181"/>
      <c r="M367" s="181"/>
      <c r="N367" s="181"/>
      <c r="O367" s="181"/>
      <c r="P367" s="181"/>
    </row>
    <row r="368" spans="1:16" ht="21.75" customHeight="1" x14ac:dyDescent="0.3">
      <c r="A368" s="175"/>
      <c r="B368" s="176"/>
      <c r="C368" s="176"/>
      <c r="D368" s="193"/>
      <c r="E368" s="198"/>
      <c r="F368" s="378" t="s">
        <v>138</v>
      </c>
      <c r="G368" s="379"/>
      <c r="H368" s="186" t="s">
        <v>37</v>
      </c>
      <c r="I368" s="162">
        <f ca="1">IFERROR(__xludf.DUMMYFUNCTION("IMPORTRANGE(""https://docs.google.com/spreadsheets/d/11923uPwbBZFjjGgGUA6NLw09EwE0CqkOc4q9oUmW1yo/edit?usp=sharing"",""สุโขทัย!I263"")"),80)</f>
        <v>80</v>
      </c>
      <c r="J368" s="187">
        <f ca="1">IFERROR(__xludf.DUMMYFUNCTION("IMPORTRANGE(""https://docs.google.com/spreadsheets/d/11923uPwbBZFjjGgGUA6NLw09EwE0CqkOc4q9oUmW1yo/edit?usp=sharing"",""สุโขทัย!J263"")"),80)</f>
        <v>80</v>
      </c>
      <c r="K368" s="163">
        <f t="shared" ca="1" si="106"/>
        <v>100</v>
      </c>
      <c r="L368" s="181"/>
      <c r="M368" s="181"/>
      <c r="N368" s="181"/>
      <c r="O368" s="181"/>
      <c r="P368" s="181"/>
    </row>
    <row r="369" spans="1:16" ht="21.75" hidden="1" customHeight="1" x14ac:dyDescent="0.3">
      <c r="A369" s="175"/>
      <c r="B369" s="176"/>
      <c r="C369" s="176"/>
      <c r="D369" s="193"/>
      <c r="E369" s="198"/>
      <c r="F369" s="195"/>
      <c r="G369" s="379"/>
      <c r="H369" s="180" t="s">
        <v>122</v>
      </c>
      <c r="I369" s="162">
        <f ca="1">IFERROR(__xludf.DUMMYFUNCTION("IMPORTRANGE(""https://docs.google.com/spreadsheets/d/11923uPwbBZFjjGgGUA6NLw09EwE0CqkOc4q9oUmW1yo/edit?usp=sharing"",""สุโขทัย!I164"")"),0)</f>
        <v>0</v>
      </c>
      <c r="J369" s="203">
        <f ca="1">IFERROR(__xludf.DUMMYFUNCTION("IMPORTRANGE(""https://docs.google.com/spreadsheets/d/11923uPwbBZFjjGgGUA6NLw09EwE0CqkOc4q9oUmW1yo/edit?usp=sharing"",""สุโขทัย!J164"")"),0)</f>
        <v>0</v>
      </c>
      <c r="K369" s="163">
        <f t="shared" ca="1" si="106"/>
        <v>0</v>
      </c>
      <c r="L369" s="181"/>
      <c r="M369" s="181"/>
      <c r="N369" s="181"/>
      <c r="O369" s="181"/>
      <c r="P369" s="181"/>
    </row>
    <row r="370" spans="1:16" ht="21.75" customHeight="1" x14ac:dyDescent="0.3">
      <c r="A370" s="175"/>
      <c r="B370" s="176"/>
      <c r="C370" s="176"/>
      <c r="D370" s="193"/>
      <c r="E370" s="198"/>
      <c r="F370" s="195"/>
      <c r="G370" s="378" t="s">
        <v>139</v>
      </c>
      <c r="H370" s="180" t="s">
        <v>37</v>
      </c>
      <c r="I370" s="162">
        <f ca="1">IFERROR(__xludf.DUMMYFUNCTION("IMPORTRANGE(""https://docs.google.com/spreadsheets/d/11923uPwbBZFjjGgGUA6NLw09EwE0CqkOc4q9oUmW1yo/edit?usp=sharing"",""สุโขทัย!I265"")"),80)</f>
        <v>80</v>
      </c>
      <c r="J370" s="203">
        <f ca="1">IFERROR(__xludf.DUMMYFUNCTION("IMPORTRANGE(""https://docs.google.com/spreadsheets/d/11923uPwbBZFjjGgGUA6NLw09EwE0CqkOc4q9oUmW1yo/edit?usp=sharing"",""สุโขทัย!J265"")"),80)</f>
        <v>80</v>
      </c>
      <c r="K370" s="163">
        <f t="shared" ca="1" si="106"/>
        <v>100</v>
      </c>
      <c r="L370" s="181"/>
      <c r="M370" s="181"/>
      <c r="N370" s="181"/>
      <c r="O370" s="181"/>
      <c r="P370" s="181"/>
    </row>
    <row r="371" spans="1:16" ht="21.75" hidden="1" customHeight="1" x14ac:dyDescent="0.3">
      <c r="A371" s="175"/>
      <c r="B371" s="176"/>
      <c r="C371" s="176"/>
      <c r="D371" s="193"/>
      <c r="E371" s="198"/>
      <c r="F371" s="195"/>
      <c r="G371" s="379"/>
      <c r="H371" s="180" t="s">
        <v>122</v>
      </c>
      <c r="I371" s="162">
        <f ca="1">IFERROR(__xludf.DUMMYFUNCTION("IMPORTRANGE(""https://docs.google.com/spreadsheets/d/11923uPwbBZFjjGgGUA6NLw09EwE0CqkOc4q9oUmW1yo/edit?usp=sharing"",""สุโขทัย!I164"")"),0)</f>
        <v>0</v>
      </c>
      <c r="J371" s="188">
        <f ca="1">IFERROR(__xludf.DUMMYFUNCTION("IMPORTRANGE(""https://docs.google.com/spreadsheets/d/11923uPwbBZFjjGgGUA6NLw09EwE0CqkOc4q9oUmW1yo/edit?usp=sharing"",""สุโขทัย!J164"")"),0)</f>
        <v>0</v>
      </c>
      <c r="K371" s="163">
        <f t="shared" ca="1" si="106"/>
        <v>0</v>
      </c>
      <c r="L371" s="181"/>
      <c r="M371" s="181"/>
      <c r="N371" s="181"/>
      <c r="O371" s="181"/>
      <c r="P371" s="181"/>
    </row>
    <row r="372" spans="1:16" ht="21.75" customHeight="1" x14ac:dyDescent="0.3">
      <c r="A372" s="175"/>
      <c r="B372" s="176"/>
      <c r="C372" s="176"/>
      <c r="D372" s="193"/>
      <c r="E372" s="198"/>
      <c r="F372" s="195"/>
      <c r="G372" s="378" t="s">
        <v>140</v>
      </c>
      <c r="H372" s="180" t="s">
        <v>37</v>
      </c>
      <c r="I372" s="162">
        <f ca="1">IFERROR(__xludf.DUMMYFUNCTION("IMPORTRANGE(""https://docs.google.com/spreadsheets/d/11923uPwbBZFjjGgGUA6NLw09EwE0CqkOc4q9oUmW1yo/edit?usp=sharing"",""สุโขทัย!I267"")"),80)</f>
        <v>80</v>
      </c>
      <c r="J372" s="188">
        <f ca="1">IFERROR(__xludf.DUMMYFUNCTION("IMPORTRANGE(""https://docs.google.com/spreadsheets/d/11923uPwbBZFjjGgGUA6NLw09EwE0CqkOc4q9oUmW1yo/edit?usp=sharing"",""สุโขทัย!J267"")"),80)</f>
        <v>80</v>
      </c>
      <c r="K372" s="163">
        <f t="shared" ca="1" si="106"/>
        <v>100</v>
      </c>
      <c r="L372" s="181"/>
      <c r="M372" s="181"/>
      <c r="N372" s="181"/>
      <c r="O372" s="181"/>
      <c r="P372" s="181"/>
    </row>
    <row r="373" spans="1:16" ht="21.75" hidden="1" customHeight="1" x14ac:dyDescent="0.3">
      <c r="A373" s="175"/>
      <c r="B373" s="176"/>
      <c r="C373" s="176"/>
      <c r="D373" s="193"/>
      <c r="E373" s="198"/>
      <c r="F373" s="195"/>
      <c r="G373" s="225" t="s">
        <v>141</v>
      </c>
      <c r="H373" s="180" t="s">
        <v>37</v>
      </c>
      <c r="I373" s="187">
        <f ca="1">IFERROR(__xludf.DUMMYFUNCTION("IMPORTRANGE(""https://docs.google.com/spreadsheets/d/11923uPwbBZFjjGgGUA6NLw09EwE0CqkOc4q9oUmW1yo/edit?usp=sharing"",""สุโขทัย!I164"")"),0)</f>
        <v>0</v>
      </c>
      <c r="J373" s="203">
        <f ca="1">IFERROR(__xludf.DUMMYFUNCTION("IMPORTRANGE(""https://docs.google.com/spreadsheets/d/11923uPwbBZFjjGgGUA6NLw09EwE0CqkOc4q9oUmW1yo/edit?usp=sharing"",""สุโขทัย!J164"")"),0)</f>
        <v>0</v>
      </c>
      <c r="K373" s="163">
        <f t="shared" ca="1" si="106"/>
        <v>0</v>
      </c>
      <c r="L373" s="181"/>
      <c r="M373" s="181"/>
      <c r="N373" s="181"/>
      <c r="O373" s="181"/>
      <c r="P373" s="181"/>
    </row>
    <row r="374" spans="1:16" ht="21.75" hidden="1" customHeight="1" x14ac:dyDescent="0.3">
      <c r="A374" s="175"/>
      <c r="B374" s="176"/>
      <c r="C374" s="176"/>
      <c r="D374" s="193"/>
      <c r="E374" s="198"/>
      <c r="F374" s="195"/>
      <c r="G374" s="196" t="s">
        <v>142</v>
      </c>
      <c r="H374" s="180"/>
      <c r="I374" s="187">
        <f ca="1">IFERROR(__xludf.DUMMYFUNCTION("IMPORTRANGE(""https://docs.google.com/spreadsheets/d/11923uPwbBZFjjGgGUA6NLw09EwE0CqkOc4q9oUmW1yo/edit?usp=sharing"",""สุโขทัย!I164"")"),0)</f>
        <v>0</v>
      </c>
      <c r="J374" s="187">
        <f ca="1">IFERROR(__xludf.DUMMYFUNCTION("IMPORTRANGE(""https://docs.google.com/spreadsheets/d/11923uPwbBZFjjGgGUA6NLw09EwE0CqkOc4q9oUmW1yo/edit?usp=sharing"",""สุโขทัย!J164"")"),0)</f>
        <v>0</v>
      </c>
      <c r="K374" s="163"/>
      <c r="L374" s="181"/>
      <c r="M374" s="181"/>
      <c r="N374" s="181"/>
      <c r="O374" s="181"/>
      <c r="P374" s="181"/>
    </row>
    <row r="375" spans="1:16" ht="21.75" customHeight="1" x14ac:dyDescent="0.3">
      <c r="A375" s="175"/>
      <c r="B375" s="176"/>
      <c r="C375" s="176"/>
      <c r="D375" s="193"/>
      <c r="E375" s="195"/>
      <c r="F375" s="204" t="s">
        <v>53</v>
      </c>
      <c r="G375" s="196"/>
      <c r="H375" s="278" t="s">
        <v>122</v>
      </c>
      <c r="I375" s="187">
        <f ca="1">IFERROR(__xludf.DUMMYFUNCTION("IMPORTRANGE(""https://docs.google.com/spreadsheets/d/11923uPwbBZFjjGgGUA6NLw09EwE0CqkOc4q9oUmW1yo/edit?usp=sharing"",""สุโขทัย!I270"")"),80)</f>
        <v>80</v>
      </c>
      <c r="J375" s="187">
        <f ca="1">IFERROR(__xludf.DUMMYFUNCTION("IMPORTRANGE(""https://docs.google.com/spreadsheets/d/11923uPwbBZFjjGgGUA6NLw09EwE0CqkOc4q9oUmW1yo/edit?usp=sharing"",""สุโขทัย!J270"")"),0)</f>
        <v>0</v>
      </c>
      <c r="K375" s="163">
        <f t="shared" ref="K375:K377" ca="1" si="107">IF(I375&gt;0,J375*100/I375,0)</f>
        <v>0</v>
      </c>
      <c r="L375" s="181"/>
      <c r="M375" s="181"/>
      <c r="N375" s="181"/>
      <c r="O375" s="181"/>
      <c r="P375" s="181"/>
    </row>
    <row r="376" spans="1:16" ht="21.75" customHeight="1" x14ac:dyDescent="0.3">
      <c r="A376" s="175"/>
      <c r="B376" s="176"/>
      <c r="C376" s="176"/>
      <c r="D376" s="193"/>
      <c r="E376" s="195"/>
      <c r="F376" s="195"/>
      <c r="G376" s="279" t="s">
        <v>143</v>
      </c>
      <c r="H376" s="278" t="s">
        <v>122</v>
      </c>
      <c r="I376" s="187">
        <f ca="1">IFERROR(__xludf.DUMMYFUNCTION("IMPORTRANGE(""https://docs.google.com/spreadsheets/d/11923uPwbBZFjjGgGUA6NLw09EwE0CqkOc4q9oUmW1yo/edit?usp=sharing"",""สุโขทัย!I271"")"),46)</f>
        <v>46</v>
      </c>
      <c r="J376" s="188">
        <f ca="1">IFERROR(__xludf.DUMMYFUNCTION("IMPORTRANGE(""https://docs.google.com/spreadsheets/d/11923uPwbBZFjjGgGUA6NLw09EwE0CqkOc4q9oUmW1yo/edit?usp=sharing"",""สุโขทัย!J271"")"),0)</f>
        <v>0</v>
      </c>
      <c r="K376" s="163">
        <f t="shared" ca="1" si="107"/>
        <v>0</v>
      </c>
      <c r="L376" s="181"/>
      <c r="M376" s="181"/>
      <c r="N376" s="181"/>
      <c r="O376" s="181"/>
      <c r="P376" s="181"/>
    </row>
    <row r="377" spans="1:16" ht="21.75" customHeight="1" x14ac:dyDescent="0.3">
      <c r="A377" s="175"/>
      <c r="B377" s="176"/>
      <c r="C377" s="176"/>
      <c r="D377" s="193"/>
      <c r="E377" s="195"/>
      <c r="F377" s="195"/>
      <c r="G377" s="279" t="s">
        <v>144</v>
      </c>
      <c r="H377" s="278" t="s">
        <v>122</v>
      </c>
      <c r="I377" s="187">
        <f ca="1">IFERROR(__xludf.DUMMYFUNCTION("IMPORTRANGE(""https://docs.google.com/spreadsheets/d/11923uPwbBZFjjGgGUA6NLw09EwE0CqkOc4q9oUmW1yo/edit?usp=sharing"",""สุโขทัย!I272"")"),34)</f>
        <v>34</v>
      </c>
      <c r="J377" s="203">
        <f ca="1">IFERROR(__xludf.DUMMYFUNCTION("IMPORTRANGE(""https://docs.google.com/spreadsheets/d/11923uPwbBZFjjGgGUA6NLw09EwE0CqkOc4q9oUmW1yo/edit?usp=sharing"",""สุโขทัย!J272"")"),0)</f>
        <v>0</v>
      </c>
      <c r="K377" s="163">
        <f t="shared" ca="1" si="107"/>
        <v>0</v>
      </c>
      <c r="L377" s="181"/>
      <c r="M377" s="181"/>
      <c r="N377" s="181"/>
      <c r="O377" s="181"/>
      <c r="P377" s="181"/>
    </row>
    <row r="378" spans="1:16" ht="21.75" customHeight="1" x14ac:dyDescent="0.3">
      <c r="A378" s="175"/>
      <c r="B378" s="176"/>
      <c r="C378" s="176"/>
      <c r="D378" s="193"/>
      <c r="E378" s="194" t="s">
        <v>54</v>
      </c>
      <c r="F378" s="195"/>
      <c r="G378" s="196"/>
      <c r="H378" s="186"/>
      <c r="I378" s="187"/>
      <c r="J378" s="197">
        <f ca="1">IFERROR(__xludf.DUMMYFUNCTION("IMPORTRANGE(""https://docs.google.com/spreadsheets/d/11923uPwbBZFjjGgGUA6NLw09EwE0CqkOc4q9oUmW1yo/edit?usp=sharing"",""สุโขทัย!J273"")"),0)</f>
        <v>0</v>
      </c>
      <c r="K378" s="163"/>
      <c r="L378" s="181"/>
      <c r="M378" s="181"/>
      <c r="N378" s="181"/>
      <c r="O378" s="181"/>
      <c r="P378" s="181"/>
    </row>
    <row r="379" spans="1:16" ht="21.75" customHeight="1" x14ac:dyDescent="0.3">
      <c r="A379" s="175"/>
      <c r="B379" s="176"/>
      <c r="C379" s="176"/>
      <c r="D379" s="205">
        <v>3</v>
      </c>
      <c r="E379" s="206" t="s">
        <v>55</v>
      </c>
      <c r="F379" s="207"/>
      <c r="G379" s="208"/>
      <c r="H379" s="186"/>
      <c r="I379" s="187"/>
      <c r="J379" s="209">
        <f ca="1">IFERROR(__xludf.DUMMYFUNCTION("IMPORTRANGE(""https://docs.google.com/spreadsheets/d/11923uPwbBZFjjGgGUA6NLw09EwE0CqkOc4q9oUmW1yo/edit?usp=sharing"",""สุโขทัย!J274"")"),0)</f>
        <v>0</v>
      </c>
      <c r="K379" s="163"/>
      <c r="L379" s="181"/>
      <c r="M379" s="181"/>
      <c r="N379" s="181"/>
      <c r="O379" s="181"/>
      <c r="P379" s="181"/>
    </row>
    <row r="380" spans="1:16" ht="21.75" customHeight="1" x14ac:dyDescent="0.3">
      <c r="A380" s="364"/>
      <c r="B380" s="365">
        <v>2</v>
      </c>
      <c r="C380" s="366" t="s">
        <v>145</v>
      </c>
      <c r="D380" s="366"/>
      <c r="E380" s="380"/>
      <c r="F380" s="380"/>
      <c r="G380" s="381"/>
      <c r="H380" s="368" t="s">
        <v>122</v>
      </c>
      <c r="I380" s="369">
        <f ca="1">IFERROR(__xludf.DUMMYFUNCTION("IMPORTRANGE(""https://docs.google.com/spreadsheets/d/11923uPwbBZFjjGgGUA6NLw09EwE0CqkOc4q9oUmW1yo/edit?usp=sharing"",""สุโขทัย!I275"")"),200)</f>
        <v>200</v>
      </c>
      <c r="J380" s="369">
        <f ca="1">IFERROR(__xludf.DUMMYFUNCTION("IMPORTRANGE(""https://docs.google.com/spreadsheets/d/11923uPwbBZFjjGgGUA6NLw09EwE0CqkOc4q9oUmW1yo/edit?usp=sharing"",""สุโขทัย!J275"")"),0)</f>
        <v>0</v>
      </c>
      <c r="K380" s="370">
        <f t="shared" ref="K380:K381" ca="1" si="108">IF(I380&gt;0,J380*100/I380,0)</f>
        <v>0</v>
      </c>
      <c r="L380" s="371">
        <f ca="1">IFERROR(__xludf.DUMMYFUNCTION("IMPORTRANGE(""https://docs.google.com/spreadsheets/d/11923uPwbBZFjjGgGUA6NLw09EwE0CqkOc4q9oUmW1yo/edit?usp=sharing"",""สุโขทัย!L275"")"),207560)</f>
        <v>207560</v>
      </c>
      <c r="M380" s="371"/>
      <c r="N380" s="371">
        <f ca="1">IFERROR(__xludf.DUMMYFUNCTION("IMPORTRANGE(""https://docs.google.com/spreadsheets/d/11923uPwbBZFjjGgGUA6NLw09EwE0CqkOc4q9oUmW1yo/edit?usp=sharing"",""สุโขทัย!M275"")"),1120)</f>
        <v>1120</v>
      </c>
      <c r="O380" s="371">
        <f ca="1">+IF(L380&gt;0,N380*100/L380,0)</f>
        <v>0.5396030063596069</v>
      </c>
      <c r="P380" s="371"/>
    </row>
    <row r="381" spans="1:16" ht="21.75" customHeight="1" x14ac:dyDescent="0.3">
      <c r="A381" s="364"/>
      <c r="B381" s="365"/>
      <c r="C381" s="366"/>
      <c r="D381" s="382"/>
      <c r="E381" s="383"/>
      <c r="F381" s="383"/>
      <c r="G381" s="384"/>
      <c r="H381" s="368" t="s">
        <v>37</v>
      </c>
      <c r="I381" s="369">
        <f ca="1">IFERROR(__xludf.DUMMYFUNCTION("IMPORTRANGE(""https://docs.google.com/spreadsheets/d/11923uPwbBZFjjGgGUA6NLw09EwE0CqkOc4q9oUmW1yo/edit?usp=sharing"",""สุโขทัย!I276"")"),20)</f>
        <v>20</v>
      </c>
      <c r="J381" s="369">
        <f ca="1">IFERROR(__xludf.DUMMYFUNCTION("IMPORTRANGE(""https://docs.google.com/spreadsheets/d/11923uPwbBZFjjGgGUA6NLw09EwE0CqkOc4q9oUmW1yo/edit?usp=sharing"",""สุโขทัย!J276"")"),0)</f>
        <v>0</v>
      </c>
      <c r="K381" s="370">
        <f t="shared" ca="1" si="108"/>
        <v>0</v>
      </c>
      <c r="L381" s="371"/>
      <c r="M381" s="371"/>
      <c r="N381" s="371"/>
      <c r="O381" s="371"/>
      <c r="P381" s="371"/>
    </row>
    <row r="382" spans="1:16" ht="21.75" customHeight="1" x14ac:dyDescent="0.3">
      <c r="A382" s="156"/>
      <c r="B382" s="157"/>
      <c r="C382" s="157" t="s">
        <v>16</v>
      </c>
      <c r="D382" s="158" t="s">
        <v>38</v>
      </c>
      <c r="E382" s="159"/>
      <c r="F382" s="159"/>
      <c r="G382" s="160" t="s">
        <v>39</v>
      </c>
      <c r="H382" s="161" t="s">
        <v>12</v>
      </c>
      <c r="I382" s="162" t="s">
        <v>40</v>
      </c>
      <c r="J382" s="162"/>
      <c r="K382" s="163"/>
      <c r="L382" s="164">
        <f ca="1">IFERROR(__xludf.DUMMYFUNCTION("IMPORTRANGE(""https://docs.google.com/spreadsheets/d/11923uPwbBZFjjGgGUA6NLw09EwE0CqkOc4q9oUmW1yo/edit?usp=sharing"",""สุโขทัย!L277"")"),0)</f>
        <v>0</v>
      </c>
      <c r="M382" s="164"/>
      <c r="N382" s="164">
        <f ca="1">IFERROR(__xludf.DUMMYFUNCTION("IMPORTRANGE(""https://docs.google.com/spreadsheets/d/11923uPwbBZFjjGgGUA6NLw09EwE0CqkOc4q9oUmW1yo/edit?usp=sharing"",""สุโขทัย!M277"")"),0)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3">
      <c r="A383" s="156"/>
      <c r="B383" s="157"/>
      <c r="C383" s="157"/>
      <c r="D383" s="166"/>
      <c r="E383" s="159"/>
      <c r="F383" s="159" t="s">
        <v>40</v>
      </c>
      <c r="G383" s="160" t="s">
        <v>41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IFERROR(__xludf.DUMMYFUNCTION("IMPORTRANGE(""https://docs.google.com/spreadsheets/d/11923uPwbBZFjjGgGUA6NLw09EwE0CqkOc4q9oUmW1yo/edit?usp=sharing"",""สุโขทัย!L278"")"),207560)</f>
        <v>207560</v>
      </c>
      <c r="M383" s="165"/>
      <c r="N383" s="165">
        <f ca="1">IFERROR(__xludf.DUMMYFUNCTION("IMPORTRANGE(""https://docs.google.com/spreadsheets/d/11923uPwbBZFjjGgGUA6NLw09EwE0CqkOc4q9oUmW1yo/edit?usp=sharing"",""สุโขทัย!M278"")"),1120)</f>
        <v>1120</v>
      </c>
      <c r="O383" s="165">
        <f t="shared" ca="1" si="109"/>
        <v>0.5396030063596069</v>
      </c>
      <c r="P383" s="165"/>
    </row>
    <row r="384" spans="1:16" ht="21.75" customHeight="1" x14ac:dyDescent="0.3">
      <c r="A384" s="156"/>
      <c r="B384" s="157"/>
      <c r="C384" s="157"/>
      <c r="D384" s="166"/>
      <c r="E384" s="159"/>
      <c r="F384" s="159"/>
      <c r="G384" s="372" t="s">
        <v>129</v>
      </c>
      <c r="H384" s="161" t="s">
        <v>12</v>
      </c>
      <c r="I384" s="162"/>
      <c r="J384" s="162"/>
      <c r="K384" s="163"/>
      <c r="L384" s="168">
        <f ca="1">IFERROR(__xludf.DUMMYFUNCTION("IMPORTRANGE(""https://docs.google.com/spreadsheets/d/11923uPwbBZFjjGgGUA6NLw09EwE0CqkOc4q9oUmW1yo/edit?usp=sharing"",""สุโขทัย!L279"")"),0)</f>
        <v>0</v>
      </c>
      <c r="M384" s="168"/>
      <c r="N384" s="168">
        <f ca="1">IFERROR(__xludf.DUMMYFUNCTION("IMPORTRANGE(""https://docs.google.com/spreadsheets/d/11923uPwbBZFjjGgGUA6NLw09EwE0CqkOc4q9oUmW1yo/edit?usp=sharing"",""สุโขทัย!M279"")"),0)</f>
        <v>0</v>
      </c>
      <c r="O384" s="168">
        <f t="shared" ca="1" si="109"/>
        <v>0</v>
      </c>
      <c r="P384" s="168"/>
    </row>
    <row r="385" spans="1:16" ht="21.75" customHeight="1" x14ac:dyDescent="0.3">
      <c r="A385" s="156"/>
      <c r="B385" s="157"/>
      <c r="C385" s="157"/>
      <c r="D385" s="166"/>
      <c r="E385" s="159"/>
      <c r="F385" s="159"/>
      <c r="G385" s="372" t="s">
        <v>130</v>
      </c>
      <c r="H385" s="161" t="s">
        <v>12</v>
      </c>
      <c r="I385" s="162"/>
      <c r="J385" s="162"/>
      <c r="K385" s="163"/>
      <c r="L385" s="168">
        <f ca="1">IFERROR(__xludf.DUMMYFUNCTION("IMPORTRANGE(""https://docs.google.com/spreadsheets/d/11923uPwbBZFjjGgGUA6NLw09EwE0CqkOc4q9oUmW1yo/edit?usp=sharing"",""สุโขทัย!L280"")"),207560)</f>
        <v>207560</v>
      </c>
      <c r="M385" s="168"/>
      <c r="N385" s="167">
        <f ca="1">IFERROR(__xludf.DUMMYFUNCTION("IMPORTRANGE(""https://docs.google.com/spreadsheets/d/11923uPwbBZFjjGgGUA6NLw09EwE0CqkOc4q9oUmW1yo/edit?usp=sharing"",""สุโขทัย!M280"")"),1120)</f>
        <v>1120</v>
      </c>
      <c r="O385" s="168">
        <f t="shared" ca="1" si="109"/>
        <v>0.5396030063596069</v>
      </c>
      <c r="P385" s="168"/>
    </row>
    <row r="386" spans="1:16" ht="21.75" customHeight="1" x14ac:dyDescent="0.3">
      <c r="A386" s="373"/>
      <c r="B386" s="374"/>
      <c r="C386" s="157"/>
      <c r="D386" s="375"/>
      <c r="E386" s="159"/>
      <c r="F386" s="159"/>
      <c r="G386" s="376" t="s">
        <v>131</v>
      </c>
      <c r="H386" s="161" t="s">
        <v>12</v>
      </c>
      <c r="I386" s="187"/>
      <c r="J386" s="187"/>
      <c r="K386" s="223"/>
      <c r="L386" s="168"/>
      <c r="M386" s="168"/>
      <c r="N386" s="377">
        <f ca="1">IFERROR(__xludf.DUMMYFUNCTION("IMPORTRANGE(""https://docs.google.com/spreadsheets/d/11923uPwbBZFjjGgGUA6NLw09EwE0CqkOc4q9oUmW1yo/edit?usp=sharing"",""สุโขทัย!M281"")"),0)</f>
        <v>0</v>
      </c>
      <c r="O386" s="168"/>
      <c r="P386" s="168"/>
    </row>
    <row r="387" spans="1:16" ht="21.75" customHeight="1" x14ac:dyDescent="0.3">
      <c r="A387" s="373"/>
      <c r="B387" s="374"/>
      <c r="C387" s="157"/>
      <c r="D387" s="375"/>
      <c r="E387" s="159"/>
      <c r="F387" s="159"/>
      <c r="G387" s="376" t="s">
        <v>132</v>
      </c>
      <c r="H387" s="161" t="s">
        <v>12</v>
      </c>
      <c r="I387" s="187"/>
      <c r="J387" s="187"/>
      <c r="K387" s="223"/>
      <c r="L387" s="168"/>
      <c r="M387" s="168"/>
      <c r="N387" s="377">
        <f ca="1">IFERROR(__xludf.DUMMYFUNCTION("IMPORTRANGE(""https://docs.google.com/spreadsheets/d/11923uPwbBZFjjGgGUA6NLw09EwE0CqkOc4q9oUmW1yo/edit?usp=sharing"",""สุโขทัย!M282"")"),0)</f>
        <v>0</v>
      </c>
      <c r="O387" s="168"/>
      <c r="P387" s="168"/>
    </row>
    <row r="388" spans="1:16" ht="21.75" customHeight="1" x14ac:dyDescent="0.3">
      <c r="A388" s="373"/>
      <c r="B388" s="374"/>
      <c r="C388" s="157"/>
      <c r="D388" s="375"/>
      <c r="E388" s="159"/>
      <c r="F388" s="159"/>
      <c r="G388" s="376" t="s">
        <v>133</v>
      </c>
      <c r="H388" s="161" t="s">
        <v>12</v>
      </c>
      <c r="I388" s="187"/>
      <c r="J388" s="187"/>
      <c r="K388" s="223"/>
      <c r="L388" s="168"/>
      <c r="M388" s="168"/>
      <c r="N388" s="377">
        <f ca="1">IFERROR(__xludf.DUMMYFUNCTION("IMPORTRANGE(""https://docs.google.com/spreadsheets/d/11923uPwbBZFjjGgGUA6NLw09EwE0CqkOc4q9oUmW1yo/edit?usp=sharing"",""สุโขทัย!M283"")"),0)</f>
        <v>0</v>
      </c>
      <c r="O388" s="168"/>
      <c r="P388" s="168"/>
    </row>
    <row r="389" spans="1:16" ht="21.75" customHeight="1" x14ac:dyDescent="0.3">
      <c r="A389" s="373"/>
      <c r="B389" s="374"/>
      <c r="C389" s="157"/>
      <c r="D389" s="375"/>
      <c r="E389" s="159"/>
      <c r="F389" s="159"/>
      <c r="G389" s="376" t="s">
        <v>134</v>
      </c>
      <c r="H389" s="161" t="s">
        <v>12</v>
      </c>
      <c r="I389" s="187"/>
      <c r="J389" s="187"/>
      <c r="K389" s="223"/>
      <c r="L389" s="168"/>
      <c r="M389" s="168"/>
      <c r="N389" s="377">
        <f ca="1">IFERROR(__xludf.DUMMYFUNCTION("IMPORTRANGE(""https://docs.google.com/spreadsheets/d/11923uPwbBZFjjGgGUA6NLw09EwE0CqkOc4q9oUmW1yo/edit?usp=sharing"",""สุโขทัย!M284"")"),1120)</f>
        <v>1120</v>
      </c>
      <c r="O389" s="168"/>
      <c r="P389" s="168"/>
    </row>
    <row r="390" spans="1:16" ht="21.75" customHeight="1" x14ac:dyDescent="0.3">
      <c r="A390" s="175"/>
      <c r="B390" s="176"/>
      <c r="C390" s="157" t="s">
        <v>16</v>
      </c>
      <c r="D390" s="177" t="s">
        <v>44</v>
      </c>
      <c r="E390" s="178"/>
      <c r="F390" s="178"/>
      <c r="G390" s="179"/>
      <c r="H390" s="180"/>
      <c r="I390" s="162"/>
      <c r="J390" s="162"/>
      <c r="K390" s="163"/>
      <c r="L390" s="181"/>
      <c r="M390" s="181"/>
      <c r="N390" s="181"/>
      <c r="O390" s="181"/>
      <c r="P390" s="181"/>
    </row>
    <row r="391" spans="1:16" ht="21.75" customHeight="1" x14ac:dyDescent="0.3">
      <c r="A391" s="175"/>
      <c r="B391" s="176"/>
      <c r="C391" s="176"/>
      <c r="D391" s="182">
        <v>1</v>
      </c>
      <c r="E391" s="183" t="s">
        <v>45</v>
      </c>
      <c r="F391" s="184"/>
      <c r="G391" s="185"/>
      <c r="H391" s="186"/>
      <c r="I391" s="187"/>
      <c r="J391" s="197">
        <f ca="1">IFERROR(__xludf.DUMMYFUNCTION("IMPORTRANGE(""https://docs.google.com/spreadsheets/d/11923uPwbBZFjjGgGUA6NLw09EwE0CqkOc4q9oUmW1yo/edit?usp=sharing"",""สุโขทัย!J286"")"),0)</f>
        <v>0</v>
      </c>
      <c r="K391" s="163"/>
      <c r="L391" s="181"/>
      <c r="M391" s="181"/>
      <c r="N391" s="181"/>
      <c r="O391" s="181"/>
      <c r="P391" s="181"/>
    </row>
    <row r="392" spans="1:16" ht="21.75" customHeight="1" x14ac:dyDescent="0.3">
      <c r="A392" s="175"/>
      <c r="B392" s="176"/>
      <c r="C392" s="176"/>
      <c r="D392" s="189">
        <v>2</v>
      </c>
      <c r="E392" s="190" t="s">
        <v>46</v>
      </c>
      <c r="F392" s="191"/>
      <c r="G392" s="192"/>
      <c r="H392" s="186"/>
      <c r="I392" s="187"/>
      <c r="J392" s="188">
        <f ca="1">IFERROR(__xludf.DUMMYFUNCTION("IMPORTRANGE(""https://docs.google.com/spreadsheets/d/11923uPwbBZFjjGgGUA6NLw09EwE0CqkOc4q9oUmW1yo/edit?usp=sharing"",""สุโขทัย!J287"")"),1)</f>
        <v>1</v>
      </c>
      <c r="K392" s="163"/>
      <c r="L392" s="181" t="s">
        <v>40</v>
      </c>
      <c r="M392" s="181"/>
      <c r="N392" s="181" t="s">
        <v>40</v>
      </c>
      <c r="O392" s="181"/>
      <c r="P392" s="181"/>
    </row>
    <row r="393" spans="1:16" ht="21.75" customHeight="1" x14ac:dyDescent="0.3">
      <c r="A393" s="175"/>
      <c r="B393" s="176"/>
      <c r="C393" s="176"/>
      <c r="D393" s="193"/>
      <c r="E393" s="194" t="s">
        <v>47</v>
      </c>
      <c r="F393" s="195"/>
      <c r="G393" s="196"/>
      <c r="H393" s="186"/>
      <c r="I393" s="187"/>
      <c r="J393" s="188">
        <f ca="1">IFERROR(__xludf.DUMMYFUNCTION("IMPORTRANGE(""https://docs.google.com/spreadsheets/d/11923uPwbBZFjjGgGUA6NLw09EwE0CqkOc4q9oUmW1yo/edit?usp=sharing"",""สุโขทัย!J288"")"),1)</f>
        <v>1</v>
      </c>
      <c r="K393" s="163"/>
      <c r="L393" s="181"/>
      <c r="M393" s="181"/>
      <c r="N393" s="181"/>
      <c r="O393" s="181"/>
      <c r="P393" s="181"/>
    </row>
    <row r="394" spans="1:16" ht="21.75" customHeight="1" x14ac:dyDescent="0.3">
      <c r="A394" s="175"/>
      <c r="B394" s="176"/>
      <c r="C394" s="176"/>
      <c r="D394" s="193"/>
      <c r="E394" s="194" t="s">
        <v>48</v>
      </c>
      <c r="F394" s="195"/>
      <c r="G394" s="196"/>
      <c r="H394" s="186"/>
      <c r="I394" s="187"/>
      <c r="J394" s="197">
        <f ca="1">IFERROR(__xludf.DUMMYFUNCTION("IMPORTRANGE(""https://docs.google.com/spreadsheets/d/11923uPwbBZFjjGgGUA6NLw09EwE0CqkOc4q9oUmW1yo/edit?usp=sharing"",""สุโขทัย!J289"")"),0)</f>
        <v>0</v>
      </c>
      <c r="K394" s="163"/>
      <c r="L394" s="181"/>
      <c r="M394" s="181"/>
      <c r="N394" s="181"/>
      <c r="O394" s="181"/>
      <c r="P394" s="181"/>
    </row>
    <row r="395" spans="1:16" ht="21.75" customHeight="1" x14ac:dyDescent="0.3">
      <c r="A395" s="175"/>
      <c r="B395" s="176"/>
      <c r="C395" s="176"/>
      <c r="D395" s="193"/>
      <c r="E395" s="198"/>
      <c r="F395" s="194" t="s">
        <v>146</v>
      </c>
      <c r="G395" s="195"/>
      <c r="H395" s="186"/>
      <c r="I395" s="187"/>
      <c r="J395" s="187"/>
      <c r="K395" s="163"/>
      <c r="L395" s="181"/>
      <c r="M395" s="181"/>
      <c r="N395" s="181"/>
      <c r="O395" s="181"/>
      <c r="P395" s="181"/>
    </row>
    <row r="396" spans="1:16" ht="21.75" customHeight="1" x14ac:dyDescent="0.3">
      <c r="A396" s="175"/>
      <c r="B396" s="176"/>
      <c r="C396" s="176"/>
      <c r="D396" s="193"/>
      <c r="E396" s="198"/>
      <c r="F396" s="195"/>
      <c r="G396" s="291" t="s">
        <v>70</v>
      </c>
      <c r="H396" s="186" t="s">
        <v>37</v>
      </c>
      <c r="I396" s="187">
        <f ca="1">IFERROR(__xludf.DUMMYFUNCTION("IMPORTRANGE(""https://docs.google.com/spreadsheets/d/11923uPwbBZFjjGgGUA6NLw09EwE0CqkOc4q9oUmW1yo/edit?usp=sharing"",""สุโขทัย!I291"")"),20)</f>
        <v>20</v>
      </c>
      <c r="J396" s="197">
        <f ca="1">IFERROR(__xludf.DUMMYFUNCTION("IMPORTRANGE(""https://docs.google.com/spreadsheets/d/11923uPwbBZFjjGgGUA6NLw09EwE0CqkOc4q9oUmW1yo/edit?usp=sharing"",""สุโขทัย!J291"")"),0)</f>
        <v>0</v>
      </c>
      <c r="K396" s="163">
        <f t="shared" ref="K396:K398" ca="1" si="110">IF(I396&gt;0,J396*100/I396,0)</f>
        <v>0</v>
      </c>
      <c r="L396" s="181"/>
      <c r="M396" s="181"/>
      <c r="N396" s="181"/>
      <c r="O396" s="181"/>
      <c r="P396" s="181"/>
    </row>
    <row r="397" spans="1:16" ht="21.75" customHeight="1" x14ac:dyDescent="0.3">
      <c r="A397" s="175"/>
      <c r="B397" s="176"/>
      <c r="C397" s="176"/>
      <c r="D397" s="193"/>
      <c r="E397" s="198"/>
      <c r="F397" s="195"/>
      <c r="G397" s="196" t="s">
        <v>53</v>
      </c>
      <c r="H397" s="186" t="s">
        <v>122</v>
      </c>
      <c r="I397" s="187">
        <f ca="1">IFERROR(__xludf.DUMMYFUNCTION("IMPORTRANGE(""https://docs.google.com/spreadsheets/d/11923uPwbBZFjjGgGUA6NLw09EwE0CqkOc4q9oUmW1yo/edit?usp=sharing"",""สุโขทัย!I292"")"),200)</f>
        <v>200</v>
      </c>
      <c r="J397" s="197">
        <f ca="1">IFERROR(__xludf.DUMMYFUNCTION("IMPORTRANGE(""https://docs.google.com/spreadsheets/d/11923uPwbBZFjjGgGUA6NLw09EwE0CqkOc4q9oUmW1yo/edit?usp=sharing"",""สุโขทัย!J292"")"),0)</f>
        <v>0</v>
      </c>
      <c r="K397" s="163">
        <f t="shared" ca="1" si="110"/>
        <v>0</v>
      </c>
      <c r="L397" s="181"/>
      <c r="M397" s="181"/>
      <c r="N397" s="181"/>
      <c r="O397" s="181"/>
      <c r="P397" s="181"/>
    </row>
    <row r="398" spans="1:16" ht="21.75" customHeight="1" x14ac:dyDescent="0.3">
      <c r="A398" s="175"/>
      <c r="B398" s="176"/>
      <c r="C398" s="176"/>
      <c r="D398" s="193"/>
      <c r="E398" s="198"/>
      <c r="F398" s="195"/>
      <c r="G398" s="196"/>
      <c r="H398" s="186" t="s">
        <v>37</v>
      </c>
      <c r="I398" s="187">
        <f ca="1">IFERROR(__xludf.DUMMYFUNCTION("IMPORTRANGE(""https://docs.google.com/spreadsheets/d/11923uPwbBZFjjGgGUA6NLw09EwE0CqkOc4q9oUmW1yo/edit?usp=sharing"",""สุโขทัย!I293"")"),20)</f>
        <v>20</v>
      </c>
      <c r="J398" s="197">
        <f ca="1">IFERROR(__xludf.DUMMYFUNCTION("IMPORTRANGE(""https://docs.google.com/spreadsheets/d/11923uPwbBZFjjGgGUA6NLw09EwE0CqkOc4q9oUmW1yo/edit?usp=sharing"",""สุโขทัย!J293"")"),0)</f>
        <v>0</v>
      </c>
      <c r="K398" s="163">
        <f t="shared" ca="1" si="110"/>
        <v>0</v>
      </c>
      <c r="L398" s="181"/>
      <c r="M398" s="181"/>
      <c r="N398" s="181"/>
      <c r="O398" s="181"/>
      <c r="P398" s="181"/>
    </row>
    <row r="399" spans="1:16" ht="21.75" customHeight="1" x14ac:dyDescent="0.3">
      <c r="A399" s="175"/>
      <c r="B399" s="176"/>
      <c r="C399" s="176"/>
      <c r="D399" s="193"/>
      <c r="E399" s="194" t="s">
        <v>54</v>
      </c>
      <c r="F399" s="195"/>
      <c r="G399" s="196"/>
      <c r="H399" s="186"/>
      <c r="I399" s="187"/>
      <c r="J399" s="197">
        <f ca="1">IFERROR(__xludf.DUMMYFUNCTION("IMPORTRANGE(""https://docs.google.com/spreadsheets/d/11923uPwbBZFjjGgGUA6NLw09EwE0CqkOc4q9oUmW1yo/edit?usp=sharing"",""สุโขทัย!J294"")"),0)</f>
        <v>0</v>
      </c>
      <c r="K399" s="163"/>
      <c r="L399" s="181"/>
      <c r="M399" s="181"/>
      <c r="N399" s="181"/>
      <c r="O399" s="181"/>
      <c r="P399" s="181"/>
    </row>
    <row r="400" spans="1:16" ht="21.75" customHeight="1" x14ac:dyDescent="0.3">
      <c r="A400" s="175"/>
      <c r="B400" s="176"/>
      <c r="C400" s="176"/>
      <c r="D400" s="205">
        <v>3</v>
      </c>
      <c r="E400" s="206" t="s">
        <v>55</v>
      </c>
      <c r="F400" s="207"/>
      <c r="G400" s="208"/>
      <c r="H400" s="186"/>
      <c r="I400" s="187"/>
      <c r="J400" s="209">
        <f ca="1">IFERROR(__xludf.DUMMYFUNCTION("IMPORTRANGE(""https://docs.google.com/spreadsheets/d/11923uPwbBZFjjGgGUA6NLw09EwE0CqkOc4q9oUmW1yo/edit?usp=sharing"",""สุโขทัย!J295"")"),0)</f>
        <v>0</v>
      </c>
      <c r="K400" s="163"/>
      <c r="L400" s="181"/>
      <c r="M400" s="181"/>
      <c r="N400" s="181"/>
      <c r="O400" s="181"/>
      <c r="P400" s="181"/>
    </row>
    <row r="401" spans="1:16" ht="21.75" customHeight="1" x14ac:dyDescent="0.3">
      <c r="A401" s="364"/>
      <c r="B401" s="365">
        <v>3</v>
      </c>
      <c r="C401" s="365" t="s">
        <v>147</v>
      </c>
      <c r="D401" s="366"/>
      <c r="E401" s="366"/>
      <c r="F401" s="366"/>
      <c r="G401" s="367"/>
      <c r="H401" s="368" t="s">
        <v>122</v>
      </c>
      <c r="I401" s="369">
        <f ca="1">IFERROR(__xludf.DUMMYFUNCTION("IMPORTRANGE(""https://docs.google.com/spreadsheets/d/11923uPwbBZFjjGgGUA6NLw09EwE0CqkOc4q9oUmW1yo/edit?usp=sharing"",""สุโขทัย!I296"")"),285)</f>
        <v>285</v>
      </c>
      <c r="J401" s="369">
        <f ca="1">IFERROR(__xludf.DUMMYFUNCTION("IMPORTRANGE(""https://docs.google.com/spreadsheets/d/11923uPwbBZFjjGgGUA6NLw09EwE0CqkOc4q9oUmW1yo/edit?usp=sharing"",""สุโขทัย!J296"")"),0)</f>
        <v>0</v>
      </c>
      <c r="K401" s="370">
        <f t="shared" ref="K401:K402" ca="1" si="111">IF(I401&gt;0,J401*100/I401,0)</f>
        <v>0</v>
      </c>
      <c r="L401" s="371">
        <f ca="1">IFERROR(__xludf.DUMMYFUNCTION("IMPORTRANGE(""https://docs.google.com/spreadsheets/d/11923uPwbBZFjjGgGUA6NLw09EwE0CqkOc4q9oUmW1yo/edit?usp=sharing"",""สุโขทัย!L296"")"),300950)</f>
        <v>300950</v>
      </c>
      <c r="M401" s="371"/>
      <c r="N401" s="371">
        <f ca="1">IFERROR(__xludf.DUMMYFUNCTION("IMPORTRANGE(""https://docs.google.com/spreadsheets/d/11923uPwbBZFjjGgGUA6NLw09EwE0CqkOc4q9oUmW1yo/edit?usp=sharing"",""สุโขทัย!M296"")"),198205)</f>
        <v>198205</v>
      </c>
      <c r="O401" s="371">
        <f ca="1">+IF(L401&gt;0,N401*100/L401,0)</f>
        <v>65.859777371656421</v>
      </c>
      <c r="P401" s="371"/>
    </row>
    <row r="402" spans="1:16" ht="21.75" customHeight="1" x14ac:dyDescent="0.3">
      <c r="A402" s="364"/>
      <c r="B402" s="365"/>
      <c r="C402" s="365"/>
      <c r="D402" s="382"/>
      <c r="E402" s="382"/>
      <c r="F402" s="382"/>
      <c r="G402" s="385"/>
      <c r="H402" s="368" t="s">
        <v>37</v>
      </c>
      <c r="I402" s="369">
        <f ca="1">IFERROR(__xludf.DUMMYFUNCTION("IMPORTRANGE(""https://docs.google.com/spreadsheets/d/11923uPwbBZFjjGgGUA6NLw09EwE0CqkOc4q9oUmW1yo/edit?usp=sharing"",""สุโขทัย!I297"")"),95)</f>
        <v>95</v>
      </c>
      <c r="J402" s="369">
        <f ca="1">IFERROR(__xludf.DUMMYFUNCTION("IMPORTRANGE(""https://docs.google.com/spreadsheets/d/11923uPwbBZFjjGgGUA6NLw09EwE0CqkOc4q9oUmW1yo/edit?usp=sharing"",""สุโขทัย!J297"")"),95)</f>
        <v>95</v>
      </c>
      <c r="K402" s="370">
        <f t="shared" ca="1" si="111"/>
        <v>100</v>
      </c>
      <c r="L402" s="371"/>
      <c r="M402" s="371"/>
      <c r="N402" s="371"/>
      <c r="O402" s="371"/>
      <c r="P402" s="371"/>
    </row>
    <row r="403" spans="1:16" ht="21.75" customHeight="1" x14ac:dyDescent="0.3">
      <c r="A403" s="156"/>
      <c r="B403" s="157"/>
      <c r="C403" s="157" t="s">
        <v>16</v>
      </c>
      <c r="D403" s="158" t="s">
        <v>38</v>
      </c>
      <c r="E403" s="159"/>
      <c r="F403" s="159"/>
      <c r="G403" s="160" t="s">
        <v>39</v>
      </c>
      <c r="H403" s="161" t="s">
        <v>12</v>
      </c>
      <c r="I403" s="162" t="s">
        <v>40</v>
      </c>
      <c r="J403" s="162"/>
      <c r="K403" s="163"/>
      <c r="L403" s="164">
        <f ca="1">IFERROR(__xludf.DUMMYFUNCTION("IMPORTRANGE(""https://docs.google.com/spreadsheets/d/11923uPwbBZFjjGgGUA6NLw09EwE0CqkOc4q9oUmW1yo/edit?usp=sharing"",""สุโขทัย!L298"")"),0)</f>
        <v>0</v>
      </c>
      <c r="M403" s="164"/>
      <c r="N403" s="168">
        <f ca="1">IFERROR(__xludf.DUMMYFUNCTION("IMPORTRANGE(""https://docs.google.com/spreadsheets/d/11923uPwbBZFjjGgGUA6NLw09EwE0CqkOc4q9oUmW1yo/edit?usp=sharing"",""สุโขทัย!M298"")"),0)</f>
        <v>0</v>
      </c>
      <c r="O403" s="168">
        <f t="shared" ref="O403:O406" ca="1" si="112">+IF(L403&gt;0,N403*100/L403,0)</f>
        <v>0</v>
      </c>
      <c r="P403" s="168"/>
    </row>
    <row r="404" spans="1:16" ht="21.75" customHeight="1" x14ac:dyDescent="0.3">
      <c r="A404" s="156"/>
      <c r="B404" s="157"/>
      <c r="C404" s="157"/>
      <c r="D404" s="166"/>
      <c r="E404" s="159"/>
      <c r="F404" s="159" t="s">
        <v>40</v>
      </c>
      <c r="G404" s="160" t="s">
        <v>41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IFERROR(__xludf.DUMMYFUNCTION("IMPORTRANGE(""https://docs.google.com/spreadsheets/d/11923uPwbBZFjjGgGUA6NLw09EwE0CqkOc4q9oUmW1yo/edit?usp=sharing"",""สุโขทัย!L299"")"),300950)</f>
        <v>300950</v>
      </c>
      <c r="M404" s="165"/>
      <c r="N404" s="168">
        <f ca="1">IFERROR(__xludf.DUMMYFUNCTION("IMPORTRANGE(""https://docs.google.com/spreadsheets/d/11923uPwbBZFjjGgGUA6NLw09EwE0CqkOc4q9oUmW1yo/edit?usp=sharing"",""สุโขทัย!M299"")"),198205)</f>
        <v>198205</v>
      </c>
      <c r="O404" s="168">
        <f t="shared" ca="1" si="112"/>
        <v>65.859777371656421</v>
      </c>
      <c r="P404" s="168"/>
    </row>
    <row r="405" spans="1:16" ht="21.75" customHeight="1" x14ac:dyDescent="0.3">
      <c r="A405" s="156"/>
      <c r="B405" s="157"/>
      <c r="C405" s="157"/>
      <c r="D405" s="166"/>
      <c r="E405" s="159"/>
      <c r="F405" s="159"/>
      <c r="G405" s="372" t="s">
        <v>129</v>
      </c>
      <c r="H405" s="161" t="s">
        <v>12</v>
      </c>
      <c r="I405" s="162"/>
      <c r="J405" s="162"/>
      <c r="K405" s="163"/>
      <c r="L405" s="168">
        <f ca="1">IFERROR(__xludf.DUMMYFUNCTION("IMPORTRANGE(""https://docs.google.com/spreadsheets/d/11923uPwbBZFjjGgGUA6NLw09EwE0CqkOc4q9oUmW1yo/edit?usp=sharing"",""สุโขทัย!L300"")"),0)</f>
        <v>0</v>
      </c>
      <c r="M405" s="168"/>
      <c r="N405" s="168">
        <f ca="1">IFERROR(__xludf.DUMMYFUNCTION("IMPORTRANGE(""https://docs.google.com/spreadsheets/d/11923uPwbBZFjjGgGUA6NLw09EwE0CqkOc4q9oUmW1yo/edit?usp=sharing"",""สุโขทัย!M300"")"),0)</f>
        <v>0</v>
      </c>
      <c r="O405" s="168">
        <f t="shared" ca="1" si="112"/>
        <v>0</v>
      </c>
      <c r="P405" s="168"/>
    </row>
    <row r="406" spans="1:16" ht="21.75" customHeight="1" x14ac:dyDescent="0.3">
      <c r="A406" s="156"/>
      <c r="B406" s="157"/>
      <c r="C406" s="157"/>
      <c r="D406" s="166"/>
      <c r="E406" s="159"/>
      <c r="F406" s="159"/>
      <c r="G406" s="372" t="s">
        <v>130</v>
      </c>
      <c r="H406" s="161" t="s">
        <v>12</v>
      </c>
      <c r="I406" s="162"/>
      <c r="J406" s="162"/>
      <c r="K406" s="163"/>
      <c r="L406" s="168">
        <f ca="1">IFERROR(__xludf.DUMMYFUNCTION("IMPORTRANGE(""https://docs.google.com/spreadsheets/d/11923uPwbBZFjjGgGUA6NLw09EwE0CqkOc4q9oUmW1yo/edit?usp=sharing"",""สุโขทัย!L301"")"),300950)</f>
        <v>300950</v>
      </c>
      <c r="M406" s="168"/>
      <c r="N406" s="168">
        <f ca="1">IFERROR(__xludf.DUMMYFUNCTION("IMPORTRANGE(""https://docs.google.com/spreadsheets/d/11923uPwbBZFjjGgGUA6NLw09EwE0CqkOc4q9oUmW1yo/edit?usp=sharing"",""สุโขทัย!M301"")"),198205)</f>
        <v>198205</v>
      </c>
      <c r="O406" s="168">
        <f t="shared" ca="1" si="112"/>
        <v>65.859777371656421</v>
      </c>
      <c r="P406" s="168"/>
    </row>
    <row r="407" spans="1:16" ht="21.75" customHeight="1" x14ac:dyDescent="0.3">
      <c r="A407" s="373"/>
      <c r="B407" s="374"/>
      <c r="C407" s="157"/>
      <c r="D407" s="375"/>
      <c r="E407" s="159"/>
      <c r="F407" s="159"/>
      <c r="G407" s="376" t="s">
        <v>131</v>
      </c>
      <c r="H407" s="161" t="s">
        <v>12</v>
      </c>
      <c r="I407" s="187"/>
      <c r="J407" s="187"/>
      <c r="K407" s="223"/>
      <c r="L407" s="168"/>
      <c r="M407" s="168"/>
      <c r="N407" s="377">
        <f ca="1">IFERROR(__xludf.DUMMYFUNCTION("IMPORTRANGE(""https://docs.google.com/spreadsheets/d/11923uPwbBZFjjGgGUA6NLw09EwE0CqkOc4q9oUmW1yo/edit?usp=sharing"",""สุโขทัย!M302"")"),182845)</f>
        <v>182845</v>
      </c>
      <c r="O407" s="168"/>
      <c r="P407" s="168"/>
    </row>
    <row r="408" spans="1:16" ht="21.75" customHeight="1" x14ac:dyDescent="0.3">
      <c r="A408" s="373"/>
      <c r="B408" s="374"/>
      <c r="C408" s="157"/>
      <c r="D408" s="375"/>
      <c r="E408" s="159"/>
      <c r="F408" s="159"/>
      <c r="G408" s="376" t="s">
        <v>132</v>
      </c>
      <c r="H408" s="161" t="s">
        <v>12</v>
      </c>
      <c r="I408" s="187"/>
      <c r="J408" s="187"/>
      <c r="K408" s="223"/>
      <c r="L408" s="168"/>
      <c r="M408" s="168"/>
      <c r="N408" s="377">
        <f ca="1">IFERROR(__xludf.DUMMYFUNCTION("IMPORTRANGE(""https://docs.google.com/spreadsheets/d/11923uPwbBZFjjGgGUA6NLw09EwE0CqkOc4q9oUmW1yo/edit?usp=sharing"",""สุโขทัย!M303"")"),0)</f>
        <v>0</v>
      </c>
      <c r="O408" s="168"/>
      <c r="P408" s="168"/>
    </row>
    <row r="409" spans="1:16" ht="21.75" customHeight="1" x14ac:dyDescent="0.3">
      <c r="A409" s="373"/>
      <c r="B409" s="374"/>
      <c r="C409" s="157"/>
      <c r="D409" s="375"/>
      <c r="E409" s="159"/>
      <c r="F409" s="159"/>
      <c r="G409" s="376" t="s">
        <v>133</v>
      </c>
      <c r="H409" s="161" t="s">
        <v>12</v>
      </c>
      <c r="I409" s="187"/>
      <c r="J409" s="187"/>
      <c r="K409" s="223"/>
      <c r="L409" s="168"/>
      <c r="M409" s="168"/>
      <c r="N409" s="377">
        <f ca="1">IFERROR(__xludf.DUMMYFUNCTION("IMPORTRANGE(""https://docs.google.com/spreadsheets/d/11923uPwbBZFjjGgGUA6NLw09EwE0CqkOc4q9oUmW1yo/edit?usp=sharing"",""สุโขทัย!M304"")"),0)</f>
        <v>0</v>
      </c>
      <c r="O409" s="168"/>
      <c r="P409" s="168"/>
    </row>
    <row r="410" spans="1:16" ht="21.75" customHeight="1" x14ac:dyDescent="0.3">
      <c r="A410" s="373"/>
      <c r="B410" s="374"/>
      <c r="C410" s="157"/>
      <c r="D410" s="375"/>
      <c r="E410" s="159"/>
      <c r="F410" s="159"/>
      <c r="G410" s="376" t="s">
        <v>134</v>
      </c>
      <c r="H410" s="161" t="s">
        <v>12</v>
      </c>
      <c r="I410" s="187"/>
      <c r="J410" s="187"/>
      <c r="K410" s="223"/>
      <c r="L410" s="168"/>
      <c r="M410" s="168"/>
      <c r="N410" s="377">
        <f ca="1">IFERROR(__xludf.DUMMYFUNCTION("IMPORTRANGE(""https://docs.google.com/spreadsheets/d/11923uPwbBZFjjGgGUA6NLw09EwE0CqkOc4q9oUmW1yo/edit?usp=sharing"",""สุโขทัย!M305"")"),15360)</f>
        <v>15360</v>
      </c>
      <c r="O410" s="168"/>
      <c r="P410" s="168"/>
    </row>
    <row r="411" spans="1:16" ht="21.75" customHeight="1" x14ac:dyDescent="0.3">
      <c r="A411" s="175"/>
      <c r="B411" s="176"/>
      <c r="C411" s="157" t="s">
        <v>16</v>
      </c>
      <c r="D411" s="177" t="s">
        <v>44</v>
      </c>
      <c r="E411" s="178"/>
      <c r="F411" s="178"/>
      <c r="G411" s="179"/>
      <c r="H411" s="180"/>
      <c r="I411" s="162"/>
      <c r="J411" s="162"/>
      <c r="K411" s="163"/>
      <c r="L411" s="181"/>
      <c r="M411" s="181"/>
      <c r="N411" s="181"/>
      <c r="O411" s="181"/>
      <c r="P411" s="181"/>
    </row>
    <row r="412" spans="1:16" ht="21.75" customHeight="1" x14ac:dyDescent="0.3">
      <c r="A412" s="175"/>
      <c r="B412" s="176"/>
      <c r="C412" s="176"/>
      <c r="D412" s="182">
        <v>1</v>
      </c>
      <c r="E412" s="183" t="s">
        <v>45</v>
      </c>
      <c r="F412" s="184"/>
      <c r="G412" s="185"/>
      <c r="H412" s="186"/>
      <c r="I412" s="187"/>
      <c r="J412" s="197">
        <f ca="1">IFERROR(__xludf.DUMMYFUNCTION("IMPORTRANGE(""https://docs.google.com/spreadsheets/d/11923uPwbBZFjjGgGUA6NLw09EwE0CqkOc4q9oUmW1yo/edit?usp=sharing"",""สุโขทัย!J307"")"),0)</f>
        <v>0</v>
      </c>
      <c r="K412" s="163"/>
      <c r="L412" s="181"/>
      <c r="M412" s="181"/>
      <c r="N412" s="181"/>
      <c r="O412" s="181"/>
      <c r="P412" s="181"/>
    </row>
    <row r="413" spans="1:16" ht="21.75" customHeight="1" x14ac:dyDescent="0.3">
      <c r="A413" s="175"/>
      <c r="B413" s="176"/>
      <c r="C413" s="176"/>
      <c r="D413" s="189">
        <v>2</v>
      </c>
      <c r="E413" s="190" t="s">
        <v>46</v>
      </c>
      <c r="F413" s="191"/>
      <c r="G413" s="192"/>
      <c r="H413" s="186"/>
      <c r="I413" s="187"/>
      <c r="J413" s="188">
        <f ca="1">IFERROR(__xludf.DUMMYFUNCTION("IMPORTRANGE(""https://docs.google.com/spreadsheets/d/11923uPwbBZFjjGgGUA6NLw09EwE0CqkOc4q9oUmW1yo/edit?usp=sharing"",""สุโขทัย!J308"")"),1)</f>
        <v>1</v>
      </c>
      <c r="K413" s="163"/>
      <c r="L413" s="181" t="s">
        <v>40</v>
      </c>
      <c r="M413" s="181"/>
      <c r="N413" s="181" t="s">
        <v>40</v>
      </c>
      <c r="O413" s="181"/>
      <c r="P413" s="181"/>
    </row>
    <row r="414" spans="1:16" ht="21.75" customHeight="1" x14ac:dyDescent="0.3">
      <c r="A414" s="175"/>
      <c r="B414" s="176"/>
      <c r="C414" s="176"/>
      <c r="D414" s="193"/>
      <c r="E414" s="194" t="s">
        <v>47</v>
      </c>
      <c r="F414" s="195"/>
      <c r="G414" s="196"/>
      <c r="H414" s="186"/>
      <c r="I414" s="187"/>
      <c r="J414" s="188">
        <f ca="1">IFERROR(__xludf.DUMMYFUNCTION("IMPORTRANGE(""https://docs.google.com/spreadsheets/d/11923uPwbBZFjjGgGUA6NLw09EwE0CqkOc4q9oUmW1yo/edit?usp=sharing"",""สุโขทัย!J309"")"),1)</f>
        <v>1</v>
      </c>
      <c r="K414" s="163"/>
      <c r="L414" s="181"/>
      <c r="M414" s="181"/>
      <c r="N414" s="181"/>
      <c r="O414" s="181"/>
      <c r="P414" s="181"/>
    </row>
    <row r="415" spans="1:16" ht="21.75" customHeight="1" x14ac:dyDescent="0.3">
      <c r="A415" s="175"/>
      <c r="B415" s="176"/>
      <c r="C415" s="176"/>
      <c r="D415" s="193"/>
      <c r="E415" s="194" t="s">
        <v>48</v>
      </c>
      <c r="F415" s="195"/>
      <c r="G415" s="196"/>
      <c r="H415" s="186"/>
      <c r="I415" s="187"/>
      <c r="J415" s="197">
        <f ca="1">IFERROR(__xludf.DUMMYFUNCTION("IMPORTRANGE(""https://docs.google.com/spreadsheets/d/11923uPwbBZFjjGgGUA6NLw09EwE0CqkOc4q9oUmW1yo/edit?usp=sharing"",""สุโขทัย!J310"")"),1)</f>
        <v>1</v>
      </c>
      <c r="K415" s="163"/>
      <c r="L415" s="181"/>
      <c r="M415" s="181"/>
      <c r="N415" s="181"/>
      <c r="O415" s="181"/>
      <c r="P415" s="181"/>
    </row>
    <row r="416" spans="1:16" ht="21.75" customHeight="1" x14ac:dyDescent="0.3">
      <c r="A416" s="175"/>
      <c r="B416" s="176"/>
      <c r="C416" s="176"/>
      <c r="D416" s="193"/>
      <c r="E416" s="198"/>
      <c r="F416" s="194" t="s">
        <v>70</v>
      </c>
      <c r="G416" s="386"/>
      <c r="H416" s="387" t="s">
        <v>37</v>
      </c>
      <c r="I416" s="200">
        <f ca="1">IFERROR(__xludf.DUMMYFUNCTION("IMPORTRANGE(""https://docs.google.com/spreadsheets/d/11923uPwbBZFjjGgGUA6NLw09EwE0CqkOc4q9oUmW1yo/edit?usp=sharing"",""สุโขทัย!I311"")"),95)</f>
        <v>95</v>
      </c>
      <c r="J416" s="200">
        <f ca="1">IFERROR(__xludf.DUMMYFUNCTION("IMPORTRANGE(""https://docs.google.com/spreadsheets/d/11923uPwbBZFjjGgGUA6NLw09EwE0CqkOc4q9oUmW1yo/edit?usp=sharing"",""สุโขทัย!J311"")"),95)</f>
        <v>95</v>
      </c>
      <c r="K416" s="201">
        <f t="shared" ref="K416:K432" ca="1" si="113">IF(I416&gt;0,J416*100/I416,0)</f>
        <v>100</v>
      </c>
      <c r="L416" s="181"/>
      <c r="M416" s="181"/>
      <c r="N416" s="181"/>
      <c r="O416" s="181"/>
      <c r="P416" s="181"/>
    </row>
    <row r="417" spans="1:16" ht="21.75" customHeight="1" x14ac:dyDescent="0.45">
      <c r="A417" s="175"/>
      <c r="B417" s="176"/>
      <c r="C417" s="176"/>
      <c r="D417" s="193"/>
      <c r="E417" s="198"/>
      <c r="F417" s="388" t="s">
        <v>148</v>
      </c>
      <c r="G417" s="196"/>
      <c r="H417" s="199" t="s">
        <v>37</v>
      </c>
      <c r="I417" s="389">
        <f ca="1">IFERROR(__xludf.DUMMYFUNCTION("IMPORTRANGE(""https://docs.google.com/spreadsheets/d/11923uPwbBZFjjGgGUA6NLw09EwE0CqkOc4q9oUmW1yo/edit?usp=sharing"",""สุโขทัย!I312"")"),10)</f>
        <v>10</v>
      </c>
      <c r="J417" s="390">
        <f ca="1">IFERROR(__xludf.DUMMYFUNCTION("IMPORTRANGE(""https://docs.google.com/spreadsheets/d/11923uPwbBZFjjGgGUA6NLw09EwE0CqkOc4q9oUmW1yo/edit?usp=sharing"",""สุโขทัย!J312"")"),10)</f>
        <v>10</v>
      </c>
      <c r="K417" s="201">
        <f t="shared" ca="1" si="113"/>
        <v>100</v>
      </c>
      <c r="L417" s="181"/>
      <c r="M417" s="181"/>
      <c r="N417" s="181"/>
      <c r="O417" s="181"/>
      <c r="P417" s="181"/>
    </row>
    <row r="418" spans="1:16" ht="21.75" customHeight="1" x14ac:dyDescent="0.45">
      <c r="A418" s="175"/>
      <c r="B418" s="176"/>
      <c r="C418" s="176"/>
      <c r="D418" s="193"/>
      <c r="E418" s="198"/>
      <c r="F418" s="195"/>
      <c r="G418" s="196"/>
      <c r="H418" s="199" t="s">
        <v>122</v>
      </c>
      <c r="I418" s="389">
        <f ca="1">IFERROR(__xludf.DUMMYFUNCTION("IMPORTRANGE(""https://docs.google.com/spreadsheets/d/11923uPwbBZFjjGgGUA6NLw09EwE0CqkOc4q9oUmW1yo/edit?usp=sharing"",""สุโขทัย!I313"")"),30)</f>
        <v>30</v>
      </c>
      <c r="J418" s="391">
        <f ca="1">IFERROR(__xludf.DUMMYFUNCTION("IMPORTRANGE(""https://docs.google.com/spreadsheets/d/11923uPwbBZFjjGgGUA6NLw09EwE0CqkOc4q9oUmW1yo/edit?usp=sharing"",""สุโขทัย!J313"")"),0)</f>
        <v>0</v>
      </c>
      <c r="K418" s="201">
        <f t="shared" ca="1" si="113"/>
        <v>0</v>
      </c>
      <c r="L418" s="181"/>
      <c r="M418" s="181"/>
      <c r="N418" s="181"/>
      <c r="O418" s="181"/>
      <c r="P418" s="181"/>
    </row>
    <row r="419" spans="1:16" ht="21.75" customHeight="1" x14ac:dyDescent="0.45">
      <c r="A419" s="175"/>
      <c r="B419" s="176"/>
      <c r="C419" s="176"/>
      <c r="D419" s="193"/>
      <c r="E419" s="198"/>
      <c r="F419" s="195"/>
      <c r="G419" s="225" t="s">
        <v>149</v>
      </c>
      <c r="H419" s="180" t="s">
        <v>37</v>
      </c>
      <c r="I419" s="339">
        <f ca="1">IFERROR(__xludf.DUMMYFUNCTION("IMPORTRANGE(""https://docs.google.com/spreadsheets/d/11923uPwbBZFjjGgGUA6NLw09EwE0CqkOc4q9oUmW1yo/edit?usp=sharing"",""สุโขทัย!I314"")"),10)</f>
        <v>10</v>
      </c>
      <c r="J419" s="392">
        <f ca="1">IFERROR(__xludf.DUMMYFUNCTION("IMPORTRANGE(""https://docs.google.com/spreadsheets/d/11923uPwbBZFjjGgGUA6NLw09EwE0CqkOc4q9oUmW1yo/edit?usp=sharing"",""สุโขทัย!J314"")"),10)</f>
        <v>10</v>
      </c>
      <c r="K419" s="163">
        <f t="shared" ca="1" si="113"/>
        <v>100</v>
      </c>
      <c r="L419" s="181"/>
      <c r="M419" s="181"/>
      <c r="N419" s="181"/>
      <c r="O419" s="181"/>
      <c r="P419" s="181"/>
    </row>
    <row r="420" spans="1:16" ht="21.75" customHeight="1" x14ac:dyDescent="0.45">
      <c r="A420" s="233"/>
      <c r="B420" s="234"/>
      <c r="C420" s="234"/>
      <c r="D420" s="393"/>
      <c r="E420" s="394"/>
      <c r="F420" s="345"/>
      <c r="G420" s="395" t="s">
        <v>150</v>
      </c>
      <c r="H420" s="347" t="s">
        <v>37</v>
      </c>
      <c r="I420" s="396">
        <f ca="1">IFERROR(__xludf.DUMMYFUNCTION("IMPORTRANGE(""https://docs.google.com/spreadsheets/d/11923uPwbBZFjjGgGUA6NLw09EwE0CqkOc4q9oUmW1yo/edit?usp=sharing"",""สุโขทัย!I315"")"),10)</f>
        <v>10</v>
      </c>
      <c r="J420" s="392">
        <f ca="1">IFERROR(__xludf.DUMMYFUNCTION("IMPORTRANGE(""https://docs.google.com/spreadsheets/d/11923uPwbBZFjjGgGUA6NLw09EwE0CqkOc4q9oUmW1yo/edit?usp=sharing"",""สุโขทัย!J315"")"),10)</f>
        <v>10</v>
      </c>
      <c r="K420" s="286">
        <f t="shared" ca="1" si="113"/>
        <v>100</v>
      </c>
      <c r="L420" s="244"/>
      <c r="M420" s="244"/>
      <c r="N420" s="244"/>
      <c r="O420" s="244"/>
      <c r="P420" s="244"/>
    </row>
    <row r="421" spans="1:16" ht="21.75" customHeight="1" x14ac:dyDescent="0.45">
      <c r="A421" s="175"/>
      <c r="B421" s="176"/>
      <c r="C421" s="176"/>
      <c r="D421" s="193"/>
      <c r="E421" s="198"/>
      <c r="F421" s="388" t="s">
        <v>151</v>
      </c>
      <c r="G421" s="196"/>
      <c r="H421" s="199" t="s">
        <v>37</v>
      </c>
      <c r="I421" s="389">
        <f ca="1">IFERROR(__xludf.DUMMYFUNCTION("IMPORTRANGE(""https://docs.google.com/spreadsheets/d/11923uPwbBZFjjGgGUA6NLw09EwE0CqkOc4q9oUmW1yo/edit?usp=sharing"",""สุโขทัย!I316"")"),75)</f>
        <v>75</v>
      </c>
      <c r="J421" s="390">
        <f ca="1">IFERROR(__xludf.DUMMYFUNCTION("IMPORTRANGE(""https://docs.google.com/spreadsheets/d/11923uPwbBZFjjGgGUA6NLw09EwE0CqkOc4q9oUmW1yo/edit?usp=sharing"",""สุโขทัย!J316"")"),75)</f>
        <v>75</v>
      </c>
      <c r="K421" s="201">
        <f t="shared" ca="1" si="113"/>
        <v>100</v>
      </c>
      <c r="L421" s="181"/>
      <c r="M421" s="181"/>
      <c r="N421" s="181"/>
      <c r="O421" s="181"/>
      <c r="P421" s="181"/>
    </row>
    <row r="422" spans="1:16" ht="21.75" customHeight="1" x14ac:dyDescent="0.45">
      <c r="A422" s="175"/>
      <c r="B422" s="176"/>
      <c r="C422" s="176"/>
      <c r="D422" s="193"/>
      <c r="E422" s="198"/>
      <c r="F422" s="195"/>
      <c r="G422" s="196"/>
      <c r="H422" s="199" t="s">
        <v>122</v>
      </c>
      <c r="I422" s="389">
        <f ca="1">IFERROR(__xludf.DUMMYFUNCTION("IMPORTRANGE(""https://docs.google.com/spreadsheets/d/11923uPwbBZFjjGgGUA6NLw09EwE0CqkOc4q9oUmW1yo/edit?usp=sharing"",""สุโขทัย!I317"")"),225)</f>
        <v>225</v>
      </c>
      <c r="J422" s="391">
        <f ca="1">IFERROR(__xludf.DUMMYFUNCTION("IMPORTRANGE(""https://docs.google.com/spreadsheets/d/11923uPwbBZFjjGgGUA6NLw09EwE0CqkOc4q9oUmW1yo/edit?usp=sharing"",""สุโขทัย!J317"")"),0)</f>
        <v>0</v>
      </c>
      <c r="K422" s="201">
        <f t="shared" ca="1" si="113"/>
        <v>0</v>
      </c>
      <c r="L422" s="181"/>
      <c r="M422" s="181"/>
      <c r="N422" s="181"/>
      <c r="O422" s="181"/>
      <c r="P422" s="181"/>
    </row>
    <row r="423" spans="1:16" ht="21.75" customHeight="1" x14ac:dyDescent="0.45">
      <c r="A423" s="175"/>
      <c r="B423" s="176"/>
      <c r="C423" s="176"/>
      <c r="D423" s="193"/>
      <c r="E423" s="198"/>
      <c r="F423" s="195"/>
      <c r="G423" s="225" t="s">
        <v>152</v>
      </c>
      <c r="H423" s="180" t="s">
        <v>37</v>
      </c>
      <c r="I423" s="339">
        <f ca="1">IFERROR(__xludf.DUMMYFUNCTION("IMPORTRANGE(""https://docs.google.com/spreadsheets/d/11923uPwbBZFjjGgGUA6NLw09EwE0CqkOc4q9oUmW1yo/edit?usp=sharing"",""สุโขทัย!I318"")"),75)</f>
        <v>75</v>
      </c>
      <c r="J423" s="392">
        <f ca="1">IFERROR(__xludf.DUMMYFUNCTION("IMPORTRANGE(""https://docs.google.com/spreadsheets/d/11923uPwbBZFjjGgGUA6NLw09EwE0CqkOc4q9oUmW1yo/edit?usp=sharing"",""สุโขทัย!J318"")"),75)</f>
        <v>75</v>
      </c>
      <c r="K423" s="163">
        <f t="shared" ca="1" si="113"/>
        <v>100</v>
      </c>
      <c r="L423" s="181"/>
      <c r="M423" s="181"/>
      <c r="N423" s="181"/>
      <c r="O423" s="181"/>
      <c r="P423" s="181"/>
    </row>
    <row r="424" spans="1:16" ht="21.75" customHeight="1" x14ac:dyDescent="0.45">
      <c r="A424" s="175"/>
      <c r="B424" s="176"/>
      <c r="C424" s="176"/>
      <c r="D424" s="193"/>
      <c r="E424" s="198"/>
      <c r="F424" s="195"/>
      <c r="G424" s="225" t="s">
        <v>153</v>
      </c>
      <c r="H424" s="180" t="s">
        <v>37</v>
      </c>
      <c r="I424" s="339">
        <f ca="1">IFERROR(__xludf.DUMMYFUNCTION("IMPORTRANGE(""https://docs.google.com/spreadsheets/d/11923uPwbBZFjjGgGUA6NLw09EwE0CqkOc4q9oUmW1yo/edit?usp=sharing"",""สุโขทัย!I319"")"),75)</f>
        <v>75</v>
      </c>
      <c r="J424" s="392">
        <f ca="1">IFERROR(__xludf.DUMMYFUNCTION("IMPORTRANGE(""https://docs.google.com/spreadsheets/d/11923uPwbBZFjjGgGUA6NLw09EwE0CqkOc4q9oUmW1yo/edit?usp=sharing"",""สุโขทัย!J319"")"),75)</f>
        <v>75</v>
      </c>
      <c r="K424" s="163">
        <f t="shared" ca="1" si="113"/>
        <v>100</v>
      </c>
      <c r="L424" s="181"/>
      <c r="M424" s="181"/>
      <c r="N424" s="181"/>
      <c r="O424" s="181"/>
      <c r="P424" s="181"/>
    </row>
    <row r="425" spans="1:16" ht="21.75" customHeight="1" x14ac:dyDescent="0.45">
      <c r="A425" s="175"/>
      <c r="B425" s="176"/>
      <c r="C425" s="176"/>
      <c r="D425" s="193"/>
      <c r="E425" s="198"/>
      <c r="F425" s="195"/>
      <c r="G425" s="225" t="s">
        <v>154</v>
      </c>
      <c r="H425" s="180" t="s">
        <v>37</v>
      </c>
      <c r="I425" s="339">
        <f ca="1">IFERROR(__xludf.DUMMYFUNCTION("IMPORTRANGE(""https://docs.google.com/spreadsheets/d/11923uPwbBZFjjGgGUA6NLw09EwE0CqkOc4q9oUmW1yo/edit?usp=sharing"",""สุโขทัย!I320"")"),75)</f>
        <v>75</v>
      </c>
      <c r="J425" s="392">
        <f ca="1">IFERROR(__xludf.DUMMYFUNCTION("IMPORTRANGE(""https://docs.google.com/spreadsheets/d/11923uPwbBZFjjGgGUA6NLw09EwE0CqkOc4q9oUmW1yo/edit?usp=sharing"",""สุโขทัย!J320"")"),75)</f>
        <v>75</v>
      </c>
      <c r="K425" s="163">
        <f t="shared" ca="1" si="113"/>
        <v>100</v>
      </c>
      <c r="L425" s="181"/>
      <c r="M425" s="181"/>
      <c r="N425" s="181"/>
      <c r="O425" s="181"/>
      <c r="P425" s="181"/>
    </row>
    <row r="426" spans="1:16" ht="21.75" customHeight="1" x14ac:dyDescent="0.45">
      <c r="A426" s="175"/>
      <c r="B426" s="176"/>
      <c r="C426" s="176"/>
      <c r="D426" s="193"/>
      <c r="E426" s="198"/>
      <c r="F426" s="397" t="s">
        <v>155</v>
      </c>
      <c r="G426" s="196"/>
      <c r="H426" s="199" t="s">
        <v>37</v>
      </c>
      <c r="I426" s="389">
        <f ca="1">IFERROR(__xludf.DUMMYFUNCTION("IMPORTRANGE(""https://docs.google.com/spreadsheets/d/11923uPwbBZFjjGgGUA6NLw09EwE0CqkOc4q9oUmW1yo/edit?usp=sharing"",""สุโขทัย!I321"")"),10)</f>
        <v>10</v>
      </c>
      <c r="J426" s="390">
        <f ca="1">IFERROR(__xludf.DUMMYFUNCTION("IMPORTRANGE(""https://docs.google.com/spreadsheets/d/11923uPwbBZFjjGgGUA6NLw09EwE0CqkOc4q9oUmW1yo/edit?usp=sharing"",""สุโขทัย!J321"")"),10)</f>
        <v>10</v>
      </c>
      <c r="K426" s="201">
        <f t="shared" ca="1" si="113"/>
        <v>100</v>
      </c>
      <c r="L426" s="181"/>
      <c r="M426" s="181"/>
      <c r="N426" s="181"/>
      <c r="O426" s="181"/>
      <c r="P426" s="181"/>
    </row>
    <row r="427" spans="1:16" ht="21.75" customHeight="1" x14ac:dyDescent="0.45">
      <c r="A427" s="175"/>
      <c r="B427" s="176"/>
      <c r="C427" s="176"/>
      <c r="D427" s="193"/>
      <c r="E427" s="198"/>
      <c r="F427" s="195"/>
      <c r="G427" s="196"/>
      <c r="H427" s="199" t="s">
        <v>122</v>
      </c>
      <c r="I427" s="389">
        <f ca="1">IFERROR(__xludf.DUMMYFUNCTION("IMPORTRANGE(""https://docs.google.com/spreadsheets/d/11923uPwbBZFjjGgGUA6NLw09EwE0CqkOc4q9oUmW1yo/edit?usp=sharing"",""สุโขทัย!I322"")"),30)</f>
        <v>30</v>
      </c>
      <c r="J427" s="391">
        <f ca="1">IFERROR(__xludf.DUMMYFUNCTION("IMPORTRANGE(""https://docs.google.com/spreadsheets/d/11923uPwbBZFjjGgGUA6NLw09EwE0CqkOc4q9oUmW1yo/edit?usp=sharing"",""สุโขทัย!J322"")"),0)</f>
        <v>0</v>
      </c>
      <c r="K427" s="201">
        <f t="shared" ca="1" si="113"/>
        <v>0</v>
      </c>
      <c r="L427" s="181"/>
      <c r="M427" s="181"/>
      <c r="N427" s="181"/>
      <c r="O427" s="181"/>
      <c r="P427" s="181"/>
    </row>
    <row r="428" spans="1:16" ht="21.75" customHeight="1" x14ac:dyDescent="0.45">
      <c r="A428" s="175"/>
      <c r="B428" s="176"/>
      <c r="C428" s="176"/>
      <c r="D428" s="193"/>
      <c r="E428" s="198"/>
      <c r="F428" s="195"/>
      <c r="G428" s="225" t="s">
        <v>156</v>
      </c>
      <c r="H428" s="180" t="s">
        <v>37</v>
      </c>
      <c r="I428" s="398">
        <f ca="1">IFERROR(__xludf.DUMMYFUNCTION("IMPORTRANGE(""https://docs.google.com/spreadsheets/d/11923uPwbBZFjjGgGUA6NLw09EwE0CqkOc4q9oUmW1yo/edit?usp=sharing"",""สุโขทัย!I323"")"),10)</f>
        <v>10</v>
      </c>
      <c r="J428" s="392">
        <f ca="1">IFERROR(__xludf.DUMMYFUNCTION("IMPORTRANGE(""https://docs.google.com/spreadsheets/d/11923uPwbBZFjjGgGUA6NLw09EwE0CqkOc4q9oUmW1yo/edit?usp=sharing"",""สุโขทัย!J323"")"),10)</f>
        <v>10</v>
      </c>
      <c r="K428" s="163">
        <f t="shared" ca="1" si="113"/>
        <v>100</v>
      </c>
      <c r="L428" s="181"/>
      <c r="M428" s="181"/>
      <c r="N428" s="181"/>
      <c r="O428" s="181"/>
      <c r="P428" s="181"/>
    </row>
    <row r="429" spans="1:16" ht="21.75" customHeight="1" x14ac:dyDescent="0.45">
      <c r="A429" s="175"/>
      <c r="B429" s="176"/>
      <c r="C429" s="176"/>
      <c r="D429" s="193"/>
      <c r="E429" s="198"/>
      <c r="F429" s="195"/>
      <c r="G429" s="225" t="s">
        <v>157</v>
      </c>
      <c r="H429" s="180" t="s">
        <v>37</v>
      </c>
      <c r="I429" s="398">
        <f ca="1">IFERROR(__xludf.DUMMYFUNCTION("IMPORTRANGE(""https://docs.google.com/spreadsheets/d/11923uPwbBZFjjGgGUA6NLw09EwE0CqkOc4q9oUmW1yo/edit?usp=sharing"",""สุโขทัย!I324"")"),10)</f>
        <v>10</v>
      </c>
      <c r="J429" s="392">
        <f ca="1">IFERROR(__xludf.DUMMYFUNCTION("IMPORTRANGE(""https://docs.google.com/spreadsheets/d/11923uPwbBZFjjGgGUA6NLw09EwE0CqkOc4q9oUmW1yo/edit?usp=sharing"",""สุโขทัย!J324"")"),10)</f>
        <v>10</v>
      </c>
      <c r="K429" s="163">
        <f t="shared" ca="1" si="113"/>
        <v>100</v>
      </c>
      <c r="L429" s="181"/>
      <c r="M429" s="181"/>
      <c r="N429" s="181"/>
      <c r="O429" s="181"/>
      <c r="P429" s="181"/>
    </row>
    <row r="430" spans="1:16" ht="21.75" customHeight="1" x14ac:dyDescent="0.45">
      <c r="A430" s="175"/>
      <c r="B430" s="176"/>
      <c r="C430" s="176"/>
      <c r="D430" s="193"/>
      <c r="E430" s="198"/>
      <c r="F430" s="194" t="s">
        <v>53</v>
      </c>
      <c r="G430" s="386"/>
      <c r="H430" s="399" t="s">
        <v>37</v>
      </c>
      <c r="I430" s="200">
        <f ca="1">IFERROR(__xludf.DUMMYFUNCTION("IMPORTRANGE(""https://docs.google.com/spreadsheets/d/11923uPwbBZFjjGgGUA6NLw09EwE0CqkOc4q9oUmW1yo/edit?usp=sharing"",""สุโขทัย!I325"")"),85)</f>
        <v>85</v>
      </c>
      <c r="J430" s="390">
        <f ca="1">IFERROR(__xludf.DUMMYFUNCTION("IMPORTRANGE(""https://docs.google.com/spreadsheets/d/11923uPwbBZFjjGgGUA6NLw09EwE0CqkOc4q9oUmW1yo/edit?usp=sharing"",""สุโขทัย!J325"")"),0)</f>
        <v>0</v>
      </c>
      <c r="K430" s="201">
        <f t="shared" ca="1" si="113"/>
        <v>0</v>
      </c>
      <c r="L430" s="181"/>
      <c r="M430" s="181"/>
      <c r="N430" s="181"/>
      <c r="O430" s="181"/>
      <c r="P430" s="181"/>
    </row>
    <row r="431" spans="1:16" ht="21.75" customHeight="1" x14ac:dyDescent="0.45">
      <c r="A431" s="400"/>
      <c r="B431" s="401"/>
      <c r="C431" s="401"/>
      <c r="D431" s="402"/>
      <c r="E431" s="198"/>
      <c r="F431" s="195"/>
      <c r="G431" s="225" t="s">
        <v>158</v>
      </c>
      <c r="H431" s="180" t="s">
        <v>37</v>
      </c>
      <c r="I431" s="398">
        <f ca="1">IFERROR(__xludf.DUMMYFUNCTION("IMPORTRANGE(""https://docs.google.com/spreadsheets/d/11923uPwbBZFjjGgGUA6NLw09EwE0CqkOc4q9oUmW1yo/edit?usp=sharing"",""สุโขทัย!I326"")"),10)</f>
        <v>10</v>
      </c>
      <c r="J431" s="392">
        <f ca="1">IFERROR(__xludf.DUMMYFUNCTION("IMPORTRANGE(""https://docs.google.com/spreadsheets/d/11923uPwbBZFjjGgGUA6NLw09EwE0CqkOc4q9oUmW1yo/edit?usp=sharing"",""สุโขทัย!J326"")"),0)</f>
        <v>0</v>
      </c>
      <c r="K431" s="163">
        <f t="shared" ca="1" si="113"/>
        <v>0</v>
      </c>
      <c r="L431" s="181"/>
      <c r="M431" s="181"/>
      <c r="N431" s="181"/>
      <c r="O431" s="181"/>
      <c r="P431" s="181"/>
    </row>
    <row r="432" spans="1:16" ht="21.75" customHeight="1" x14ac:dyDescent="0.45">
      <c r="A432" s="400"/>
      <c r="B432" s="401"/>
      <c r="C432" s="401"/>
      <c r="D432" s="402"/>
      <c r="E432" s="198"/>
      <c r="F432" s="195"/>
      <c r="G432" s="225" t="s">
        <v>159</v>
      </c>
      <c r="H432" s="180" t="s">
        <v>37</v>
      </c>
      <c r="I432" s="398">
        <f ca="1">IFERROR(__xludf.DUMMYFUNCTION("IMPORTRANGE(""https://docs.google.com/spreadsheets/d/11923uPwbBZFjjGgGUA6NLw09EwE0CqkOc4q9oUmW1yo/edit?usp=sharing"",""สุโขทัย!I327"")"),75)</f>
        <v>75</v>
      </c>
      <c r="J432" s="392">
        <f ca="1">IFERROR(__xludf.DUMMYFUNCTION("IMPORTRANGE(""https://docs.google.com/spreadsheets/d/11923uPwbBZFjjGgGUA6NLw09EwE0CqkOc4q9oUmW1yo/edit?usp=sharing"",""สุโขทัย!J327"")"),50)</f>
        <v>50</v>
      </c>
      <c r="K432" s="163">
        <f t="shared" ca="1" si="113"/>
        <v>66.666666666666671</v>
      </c>
      <c r="L432" s="181"/>
      <c r="M432" s="181"/>
      <c r="N432" s="181"/>
      <c r="O432" s="181"/>
      <c r="P432" s="181"/>
    </row>
    <row r="433" spans="1:16" ht="21.75" customHeight="1" x14ac:dyDescent="0.3">
      <c r="A433" s="175"/>
      <c r="B433" s="176"/>
      <c r="C433" s="176"/>
      <c r="D433" s="193"/>
      <c r="E433" s="194" t="s">
        <v>54</v>
      </c>
      <c r="F433" s="195"/>
      <c r="G433" s="196"/>
      <c r="H433" s="186"/>
      <c r="I433" s="187"/>
      <c r="J433" s="197">
        <f ca="1">IFERROR(__xludf.DUMMYFUNCTION("IMPORTRANGE(""https://docs.google.com/spreadsheets/d/11923uPwbBZFjjGgGUA6NLw09EwE0CqkOc4q9oUmW1yo/edit?usp=sharing"",""สุโขทัย!J328"")"),0)</f>
        <v>0</v>
      </c>
      <c r="K433" s="163"/>
      <c r="L433" s="181"/>
      <c r="M433" s="181"/>
      <c r="N433" s="181"/>
      <c r="O433" s="181"/>
      <c r="P433" s="181"/>
    </row>
    <row r="434" spans="1:16" ht="21.75" customHeight="1" x14ac:dyDescent="0.3">
      <c r="A434" s="175"/>
      <c r="B434" s="176"/>
      <c r="C434" s="176"/>
      <c r="D434" s="205">
        <v>3</v>
      </c>
      <c r="E434" s="206" t="s">
        <v>55</v>
      </c>
      <c r="F434" s="207"/>
      <c r="G434" s="208"/>
      <c r="H434" s="186"/>
      <c r="I434" s="187"/>
      <c r="J434" s="209">
        <f ca="1">IFERROR(__xludf.DUMMYFUNCTION("IMPORTRANGE(""https://docs.google.com/spreadsheets/d/11923uPwbBZFjjGgGUA6NLw09EwE0CqkOc4q9oUmW1yo/edit?usp=sharing"",""สุโขทัย!J329"")"),0)</f>
        <v>0</v>
      </c>
      <c r="K434" s="163"/>
      <c r="L434" s="181"/>
      <c r="M434" s="181"/>
      <c r="N434" s="181"/>
      <c r="O434" s="181"/>
      <c r="P434" s="181"/>
    </row>
    <row r="435" spans="1:16" ht="21.75" customHeight="1" x14ac:dyDescent="0.3">
      <c r="A435" s="403"/>
      <c r="B435" s="404">
        <v>4</v>
      </c>
      <c r="C435" s="404" t="s">
        <v>160</v>
      </c>
      <c r="D435" s="405"/>
      <c r="E435" s="405"/>
      <c r="F435" s="405"/>
      <c r="G435" s="406"/>
      <c r="H435" s="407" t="s">
        <v>37</v>
      </c>
      <c r="I435" s="408">
        <f ca="1">IFERROR(__xludf.DUMMYFUNCTION("IMPORTRANGE(""https://docs.google.com/spreadsheets/d/11923uPwbBZFjjGgGUA6NLw09EwE0CqkOc4q9oUmW1yo/edit?usp=sharing"",""สุโขทัย!I330"")"),81)</f>
        <v>81</v>
      </c>
      <c r="J435" s="408">
        <f ca="1">IFERROR(__xludf.DUMMYFUNCTION("IMPORTRANGE(""https://docs.google.com/spreadsheets/d/11923uPwbBZFjjGgGUA6NLw09EwE0CqkOc4q9oUmW1yo/edit?usp=sharing"",""สุโขทัย!J330"")"),41)</f>
        <v>41</v>
      </c>
      <c r="K435" s="409">
        <f ca="1">IF(I435&gt;0,J435*100/I435,0)</f>
        <v>50.617283950617285</v>
      </c>
      <c r="L435" s="410">
        <f ca="1">IFERROR(__xludf.DUMMYFUNCTION("IMPORTRANGE(""https://docs.google.com/spreadsheets/d/11923uPwbBZFjjGgGUA6NLw09EwE0CqkOc4q9oUmW1yo/edit?usp=sharing"",""สุโขทัย!L330"")"),218000)</f>
        <v>218000</v>
      </c>
      <c r="M435" s="410"/>
      <c r="N435" s="410">
        <f ca="1">IFERROR(__xludf.DUMMYFUNCTION("IMPORTRANGE(""https://docs.google.com/spreadsheets/d/11923uPwbBZFjjGgGUA6NLw09EwE0CqkOc4q9oUmW1yo/edit?usp=sharing"",""สุโขทัย!M330"")"),102580)</f>
        <v>102580</v>
      </c>
      <c r="O435" s="410">
        <f t="shared" ref="O435:O439" ca="1" si="114">+IF(L435&gt;0,N435*100/L435,0)</f>
        <v>47.055045871559635</v>
      </c>
      <c r="P435" s="410"/>
    </row>
    <row r="436" spans="1:16" ht="21.75" customHeight="1" x14ac:dyDescent="0.3">
      <c r="A436" s="156"/>
      <c r="B436" s="157"/>
      <c r="C436" s="157" t="s">
        <v>16</v>
      </c>
      <c r="D436" s="158" t="s">
        <v>38</v>
      </c>
      <c r="E436" s="159"/>
      <c r="F436" s="159"/>
      <c r="G436" s="160" t="s">
        <v>39</v>
      </c>
      <c r="H436" s="161" t="s">
        <v>12</v>
      </c>
      <c r="I436" s="162" t="s">
        <v>40</v>
      </c>
      <c r="J436" s="162"/>
      <c r="K436" s="163"/>
      <c r="L436" s="164">
        <f ca="1">IFERROR(__xludf.DUMMYFUNCTION("IMPORTRANGE(""https://docs.google.com/spreadsheets/d/11923uPwbBZFjjGgGUA6NLw09EwE0CqkOc4q9oUmW1yo/edit?usp=sharing"",""สุโขทัย!L331"")"),0)</f>
        <v>0</v>
      </c>
      <c r="M436" s="164"/>
      <c r="N436" s="168">
        <f ca="1">IFERROR(__xludf.DUMMYFUNCTION("IMPORTRANGE(""https://docs.google.com/spreadsheets/d/11923uPwbBZFjjGgGUA6NLw09EwE0CqkOc4q9oUmW1yo/edit?usp=sharing"",""สุโขทัย!M331"")"),0)</f>
        <v>0</v>
      </c>
      <c r="O436" s="168">
        <f t="shared" ca="1" si="114"/>
        <v>0</v>
      </c>
      <c r="P436" s="168"/>
    </row>
    <row r="437" spans="1:16" ht="21.75" customHeight="1" x14ac:dyDescent="0.3">
      <c r="A437" s="156"/>
      <c r="B437" s="157"/>
      <c r="C437" s="157"/>
      <c r="D437" s="166"/>
      <c r="E437" s="159"/>
      <c r="F437" s="159" t="s">
        <v>40</v>
      </c>
      <c r="G437" s="160" t="s">
        <v>41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IFERROR(__xludf.DUMMYFUNCTION("IMPORTRANGE(""https://docs.google.com/spreadsheets/d/11923uPwbBZFjjGgGUA6NLw09EwE0CqkOc4q9oUmW1yo/edit?usp=sharing"",""สุโขทัย!L332"")"),218000)</f>
        <v>218000</v>
      </c>
      <c r="M437" s="165"/>
      <c r="N437" s="168">
        <f ca="1">IFERROR(__xludf.DUMMYFUNCTION("IMPORTRANGE(""https://docs.google.com/spreadsheets/d/11923uPwbBZFjjGgGUA6NLw09EwE0CqkOc4q9oUmW1yo/edit?usp=sharing"",""สุโขทัย!M332"")"),102580)</f>
        <v>102580</v>
      </c>
      <c r="O437" s="168">
        <f t="shared" ca="1" si="114"/>
        <v>47.055045871559635</v>
      </c>
      <c r="P437" s="168"/>
    </row>
    <row r="438" spans="1:16" ht="21.75" customHeight="1" x14ac:dyDescent="0.3">
      <c r="A438" s="156"/>
      <c r="B438" s="157"/>
      <c r="C438" s="157"/>
      <c r="D438" s="166"/>
      <c r="E438" s="159"/>
      <c r="F438" s="159"/>
      <c r="G438" s="372" t="s">
        <v>129</v>
      </c>
      <c r="H438" s="161" t="s">
        <v>12</v>
      </c>
      <c r="I438" s="162"/>
      <c r="J438" s="162"/>
      <c r="K438" s="163"/>
      <c r="L438" s="168">
        <f ca="1">IFERROR(__xludf.DUMMYFUNCTION("IMPORTRANGE(""https://docs.google.com/spreadsheets/d/11923uPwbBZFjjGgGUA6NLw09EwE0CqkOc4q9oUmW1yo/edit?usp=sharing"",""สุโขทัย!L333"")"),0)</f>
        <v>0</v>
      </c>
      <c r="M438" s="168"/>
      <c r="N438" s="168">
        <f ca="1">IFERROR(__xludf.DUMMYFUNCTION("IMPORTRANGE(""https://docs.google.com/spreadsheets/d/11923uPwbBZFjjGgGUA6NLw09EwE0CqkOc4q9oUmW1yo/edit?usp=sharing"",""สุโขทัย!M333"")"),0)</f>
        <v>0</v>
      </c>
      <c r="O438" s="168">
        <f t="shared" ca="1" si="114"/>
        <v>0</v>
      </c>
      <c r="P438" s="168"/>
    </row>
    <row r="439" spans="1:16" ht="21.75" customHeight="1" x14ac:dyDescent="0.3">
      <c r="A439" s="156"/>
      <c r="B439" s="157"/>
      <c r="C439" s="157"/>
      <c r="D439" s="166"/>
      <c r="E439" s="159"/>
      <c r="F439" s="159"/>
      <c r="G439" s="372" t="s">
        <v>130</v>
      </c>
      <c r="H439" s="161" t="s">
        <v>12</v>
      </c>
      <c r="I439" s="162"/>
      <c r="J439" s="162"/>
      <c r="K439" s="163"/>
      <c r="L439" s="168">
        <f ca="1">IFERROR(__xludf.DUMMYFUNCTION("IMPORTRANGE(""https://docs.google.com/spreadsheets/d/11923uPwbBZFjjGgGUA6NLw09EwE0CqkOc4q9oUmW1yo/edit?usp=sharing"",""สุโขทัย!L334"")"),218000)</f>
        <v>218000</v>
      </c>
      <c r="M439" s="168"/>
      <c r="N439" s="168">
        <f ca="1">IFERROR(__xludf.DUMMYFUNCTION("IMPORTRANGE(""https://docs.google.com/spreadsheets/d/11923uPwbBZFjjGgGUA6NLw09EwE0CqkOc4q9oUmW1yo/edit?usp=sharing"",""สุโขทัย!M334"")"),102580)</f>
        <v>102580</v>
      </c>
      <c r="O439" s="168">
        <f t="shared" ca="1" si="114"/>
        <v>47.055045871559635</v>
      </c>
      <c r="P439" s="168"/>
    </row>
    <row r="440" spans="1:16" ht="21.75" customHeight="1" x14ac:dyDescent="0.3">
      <c r="A440" s="373"/>
      <c r="B440" s="374"/>
      <c r="C440" s="157"/>
      <c r="D440" s="375"/>
      <c r="E440" s="159"/>
      <c r="F440" s="159"/>
      <c r="G440" s="376" t="s">
        <v>131</v>
      </c>
      <c r="H440" s="161" t="s">
        <v>12</v>
      </c>
      <c r="I440" s="187"/>
      <c r="J440" s="187"/>
      <c r="K440" s="223"/>
      <c r="L440" s="168"/>
      <c r="M440" s="168"/>
      <c r="N440" s="377">
        <f ca="1">IFERROR(__xludf.DUMMYFUNCTION("IMPORTRANGE(""https://docs.google.com/spreadsheets/d/11923uPwbBZFjjGgGUA6NLw09EwE0CqkOc4q9oUmW1yo/edit?usp=sharing"",""สุโขทัย!M335"")"),97930)</f>
        <v>97930</v>
      </c>
      <c r="O440" s="168"/>
      <c r="P440" s="168"/>
    </row>
    <row r="441" spans="1:16" ht="21.75" customHeight="1" x14ac:dyDescent="0.3">
      <c r="A441" s="373"/>
      <c r="B441" s="374"/>
      <c r="C441" s="157"/>
      <c r="D441" s="375"/>
      <c r="E441" s="159"/>
      <c r="F441" s="159"/>
      <c r="G441" s="376" t="s">
        <v>132</v>
      </c>
      <c r="H441" s="161" t="s">
        <v>12</v>
      </c>
      <c r="I441" s="187"/>
      <c r="J441" s="187"/>
      <c r="K441" s="223"/>
      <c r="L441" s="168"/>
      <c r="M441" s="168"/>
      <c r="N441" s="377">
        <f ca="1">IFERROR(__xludf.DUMMYFUNCTION("IMPORTRANGE(""https://docs.google.com/spreadsheets/d/11923uPwbBZFjjGgGUA6NLw09EwE0CqkOc4q9oUmW1yo/edit?usp=sharing"",""สุโขทัย!M336"")"),0)</f>
        <v>0</v>
      </c>
      <c r="O441" s="168"/>
      <c r="P441" s="168"/>
    </row>
    <row r="442" spans="1:16" ht="21.75" customHeight="1" x14ac:dyDescent="0.3">
      <c r="A442" s="373"/>
      <c r="B442" s="374"/>
      <c r="C442" s="157"/>
      <c r="D442" s="375"/>
      <c r="E442" s="159"/>
      <c r="F442" s="159"/>
      <c r="G442" s="376" t="s">
        <v>133</v>
      </c>
      <c r="H442" s="161" t="s">
        <v>12</v>
      </c>
      <c r="I442" s="187"/>
      <c r="J442" s="187"/>
      <c r="K442" s="223"/>
      <c r="L442" s="168"/>
      <c r="M442" s="168"/>
      <c r="N442" s="377">
        <f ca="1">IFERROR(__xludf.DUMMYFUNCTION("IMPORTRANGE(""https://docs.google.com/spreadsheets/d/11923uPwbBZFjjGgGUA6NLw09EwE0CqkOc4q9oUmW1yo/edit?usp=sharing"",""สุโขทัย!M337"")"),0)</f>
        <v>0</v>
      </c>
      <c r="O442" s="168"/>
      <c r="P442" s="168"/>
    </row>
    <row r="443" spans="1:16" ht="21.75" customHeight="1" x14ac:dyDescent="0.3">
      <c r="A443" s="373"/>
      <c r="B443" s="374"/>
      <c r="C443" s="157"/>
      <c r="D443" s="375"/>
      <c r="E443" s="159"/>
      <c r="F443" s="159"/>
      <c r="G443" s="376" t="s">
        <v>134</v>
      </c>
      <c r="H443" s="161" t="s">
        <v>12</v>
      </c>
      <c r="I443" s="187"/>
      <c r="J443" s="187"/>
      <c r="K443" s="223"/>
      <c r="L443" s="168"/>
      <c r="M443" s="168"/>
      <c r="N443" s="377">
        <f ca="1">IFERROR(__xludf.DUMMYFUNCTION("IMPORTRANGE(""https://docs.google.com/spreadsheets/d/11923uPwbBZFjjGgGUA6NLw09EwE0CqkOc4q9oUmW1yo/edit?usp=sharing"",""สุโขทัย!M338"")"),4650)</f>
        <v>4650</v>
      </c>
      <c r="O443" s="168"/>
      <c r="P443" s="168"/>
    </row>
    <row r="444" spans="1:16" ht="21.75" customHeight="1" x14ac:dyDescent="0.3">
      <c r="A444" s="175"/>
      <c r="B444" s="176"/>
      <c r="C444" s="157" t="s">
        <v>16</v>
      </c>
      <c r="D444" s="177" t="s">
        <v>44</v>
      </c>
      <c r="E444" s="178"/>
      <c r="F444" s="178"/>
      <c r="G444" s="179"/>
      <c r="H444" s="180"/>
      <c r="I444" s="162"/>
      <c r="J444" s="162"/>
      <c r="K444" s="163"/>
      <c r="L444" s="181"/>
      <c r="M444" s="181"/>
      <c r="N444" s="181"/>
      <c r="O444" s="181"/>
      <c r="P444" s="181"/>
    </row>
    <row r="445" spans="1:16" ht="21.75" customHeight="1" x14ac:dyDescent="0.3">
      <c r="A445" s="175"/>
      <c r="B445" s="176"/>
      <c r="C445" s="176"/>
      <c r="D445" s="182">
        <v>1</v>
      </c>
      <c r="E445" s="183" t="s">
        <v>45</v>
      </c>
      <c r="F445" s="184"/>
      <c r="G445" s="185"/>
      <c r="H445" s="186"/>
      <c r="I445" s="187"/>
      <c r="J445" s="209">
        <f ca="1">IFERROR(__xludf.DUMMYFUNCTION("IMPORTRANGE(""https://docs.google.com/spreadsheets/d/11923uPwbBZFjjGgGUA6NLw09EwE0CqkOc4q9oUmW1yo/edit?usp=sharing"",""สุโขทัย!J340"")"),0)</f>
        <v>0</v>
      </c>
      <c r="K445" s="163"/>
      <c r="L445" s="181"/>
      <c r="M445" s="181"/>
      <c r="N445" s="181"/>
      <c r="O445" s="181"/>
      <c r="P445" s="181"/>
    </row>
    <row r="446" spans="1:16" ht="21.75" customHeight="1" x14ac:dyDescent="0.3">
      <c r="A446" s="175"/>
      <c r="B446" s="176"/>
      <c r="C446" s="176"/>
      <c r="D446" s="189">
        <v>2</v>
      </c>
      <c r="E446" s="190" t="s">
        <v>46</v>
      </c>
      <c r="F446" s="191"/>
      <c r="G446" s="192"/>
      <c r="H446" s="186"/>
      <c r="I446" s="187"/>
      <c r="J446" s="411">
        <f ca="1">IFERROR(__xludf.DUMMYFUNCTION("IMPORTRANGE(""https://docs.google.com/spreadsheets/d/11923uPwbBZFjjGgGUA6NLw09EwE0CqkOc4q9oUmW1yo/edit?usp=sharing"",""สุโขทัย!J341"")"),1)</f>
        <v>1</v>
      </c>
      <c r="K446" s="163"/>
      <c r="L446" s="181" t="s">
        <v>40</v>
      </c>
      <c r="M446" s="181"/>
      <c r="N446" s="181" t="s">
        <v>40</v>
      </c>
      <c r="O446" s="181"/>
      <c r="P446" s="181"/>
    </row>
    <row r="447" spans="1:16" ht="21.75" customHeight="1" x14ac:dyDescent="0.3">
      <c r="A447" s="175"/>
      <c r="B447" s="176"/>
      <c r="C447" s="176"/>
      <c r="D447" s="193"/>
      <c r="E447" s="194" t="s">
        <v>161</v>
      </c>
      <c r="F447" s="195"/>
      <c r="G447" s="196"/>
      <c r="H447" s="186"/>
      <c r="I447" s="187"/>
      <c r="J447" s="188">
        <f ca="1">IFERROR(__xludf.DUMMYFUNCTION("IMPORTRANGE(""https://docs.google.com/spreadsheets/d/11923uPwbBZFjjGgGUA6NLw09EwE0CqkOc4q9oUmW1yo/edit?usp=sharing"",""สุโขทัย!J342"")"),1)</f>
        <v>1</v>
      </c>
      <c r="K447" s="163"/>
      <c r="L447" s="181"/>
      <c r="M447" s="181"/>
      <c r="N447" s="181"/>
      <c r="O447" s="181"/>
      <c r="P447" s="181"/>
    </row>
    <row r="448" spans="1:16" ht="21.75" customHeight="1" x14ac:dyDescent="0.3">
      <c r="A448" s="175"/>
      <c r="B448" s="176"/>
      <c r="C448" s="176"/>
      <c r="D448" s="193"/>
      <c r="E448" s="194" t="s">
        <v>48</v>
      </c>
      <c r="F448" s="195"/>
      <c r="G448" s="196"/>
      <c r="H448" s="186"/>
      <c r="I448" s="187"/>
      <c r="J448" s="188">
        <f ca="1">IFERROR(__xludf.DUMMYFUNCTION("IMPORTRANGE(""https://docs.google.com/spreadsheets/d/11923uPwbBZFjjGgGUA6NLw09EwE0CqkOc4q9oUmW1yo/edit?usp=sharing"",""สุโขทัย!J343"")"),1)</f>
        <v>1</v>
      </c>
      <c r="K448" s="163"/>
      <c r="L448" s="181"/>
      <c r="M448" s="181"/>
      <c r="N448" s="181"/>
      <c r="O448" s="181"/>
      <c r="P448" s="181"/>
    </row>
    <row r="449" spans="1:16" ht="21.75" customHeight="1" x14ac:dyDescent="0.3">
      <c r="A449" s="175"/>
      <c r="B449" s="176"/>
      <c r="C449" s="176"/>
      <c r="D449" s="193"/>
      <c r="E449" s="198"/>
      <c r="F449" s="412" t="s">
        <v>101</v>
      </c>
      <c r="G449" s="196"/>
      <c r="H449" s="186" t="s">
        <v>37</v>
      </c>
      <c r="I449" s="389">
        <f ca="1">IFERROR(__xludf.DUMMYFUNCTION("IMPORTRANGE(""https://docs.google.com/spreadsheets/d/11923uPwbBZFjjGgGUA6NLw09EwE0CqkOc4q9oUmW1yo/edit?usp=sharing"",""สุโขทัย!I344"")"),81)</f>
        <v>81</v>
      </c>
      <c r="J449" s="200">
        <f ca="1">IFERROR(__xludf.DUMMYFUNCTION("IMPORTRANGE(""https://docs.google.com/spreadsheets/d/11923uPwbBZFjjGgGUA6NLw09EwE0CqkOc4q9oUmW1yo/edit?usp=sharing"",""สุโขทัย!J344"")"),41)</f>
        <v>41</v>
      </c>
      <c r="K449" s="163">
        <f t="shared" ref="K449:K452" ca="1" si="115">IF(I449&gt;0,J449*100/I449,0)</f>
        <v>50.617283950617285</v>
      </c>
      <c r="L449" s="181"/>
      <c r="M449" s="181"/>
      <c r="N449" s="181"/>
      <c r="O449" s="181"/>
      <c r="P449" s="181"/>
    </row>
    <row r="450" spans="1:16" ht="21.75" customHeight="1" x14ac:dyDescent="0.3">
      <c r="A450" s="175"/>
      <c r="B450" s="176"/>
      <c r="C450" s="176"/>
      <c r="D450" s="193"/>
      <c r="E450" s="198"/>
      <c r="F450" s="195"/>
      <c r="G450" s="225" t="s">
        <v>162</v>
      </c>
      <c r="H450" s="186" t="s">
        <v>37</v>
      </c>
      <c r="I450" s="339">
        <f ca="1">IFERROR(__xludf.DUMMYFUNCTION("IMPORTRANGE(""https://docs.google.com/spreadsheets/d/11923uPwbBZFjjGgGUA6NLw09EwE0CqkOc4q9oUmW1yo/edit?usp=sharing"",""สุโขทัย!I345"")"),22)</f>
        <v>22</v>
      </c>
      <c r="J450" s="188">
        <f ca="1">IFERROR(__xludf.DUMMYFUNCTION("IMPORTRANGE(""https://docs.google.com/spreadsheets/d/11923uPwbBZFjjGgGUA6NLw09EwE0CqkOc4q9oUmW1yo/edit?usp=sharing"",""สุโขทัย!J345"")"),22)</f>
        <v>22</v>
      </c>
      <c r="K450" s="163">
        <f t="shared" ca="1" si="115"/>
        <v>100</v>
      </c>
      <c r="L450" s="181"/>
      <c r="M450" s="181"/>
      <c r="N450" s="181"/>
      <c r="O450" s="181"/>
      <c r="P450" s="181"/>
    </row>
    <row r="451" spans="1:16" ht="21.75" customHeight="1" x14ac:dyDescent="0.3">
      <c r="A451" s="175"/>
      <c r="B451" s="176"/>
      <c r="C451" s="176"/>
      <c r="D451" s="193"/>
      <c r="E451" s="198"/>
      <c r="F451" s="195"/>
      <c r="G451" s="279" t="s">
        <v>163</v>
      </c>
      <c r="H451" s="186" t="s">
        <v>37</v>
      </c>
      <c r="I451" s="339">
        <f ca="1">IFERROR(__xludf.DUMMYFUNCTION("IMPORTRANGE(""https://docs.google.com/spreadsheets/d/11923uPwbBZFjjGgGUA6NLw09EwE0CqkOc4q9oUmW1yo/edit?usp=sharing"",""สุโขทัย!I346"")"),59)</f>
        <v>59</v>
      </c>
      <c r="J451" s="187">
        <f ca="1">IFERROR(__xludf.DUMMYFUNCTION("IMPORTRANGE(""https://docs.google.com/spreadsheets/d/11923uPwbBZFjjGgGUA6NLw09EwE0CqkOc4q9oUmW1yo/edit?usp=sharing"",""สุโขทัย!J346"")"),19)</f>
        <v>19</v>
      </c>
      <c r="K451" s="163">
        <f t="shared" ca="1" si="115"/>
        <v>32.203389830508478</v>
      </c>
      <c r="L451" s="181"/>
      <c r="M451" s="181"/>
      <c r="N451" s="181"/>
      <c r="O451" s="181"/>
      <c r="P451" s="181"/>
    </row>
    <row r="452" spans="1:16" ht="21.75" customHeight="1" x14ac:dyDescent="0.3">
      <c r="A452" s="175"/>
      <c r="B452" s="176"/>
      <c r="C452" s="176"/>
      <c r="D452" s="193"/>
      <c r="E452" s="198"/>
      <c r="F452" s="195"/>
      <c r="G452" s="196" t="s">
        <v>164</v>
      </c>
      <c r="H452" s="186" t="s">
        <v>37</v>
      </c>
      <c r="I452" s="187">
        <f ca="1">IFERROR(__xludf.DUMMYFUNCTION("IMPORTRANGE(""https://docs.google.com/spreadsheets/d/11923uPwbBZFjjGgGUA6NLw09EwE0CqkOc4q9oUmW1yo/edit?usp=sharing"",""สุโขทัย!I347"")"),0)</f>
        <v>0</v>
      </c>
      <c r="J452" s="187">
        <f ca="1">IFERROR(__xludf.DUMMYFUNCTION("IMPORTRANGE(""https://docs.google.com/spreadsheets/d/11923uPwbBZFjjGgGUA6NLw09EwE0CqkOc4q9oUmW1yo/edit?usp=sharing"",""สุโขทัย!J347"")"),0)</f>
        <v>0</v>
      </c>
      <c r="K452" s="163">
        <f t="shared" ca="1" si="115"/>
        <v>0</v>
      </c>
      <c r="L452" s="181"/>
      <c r="M452" s="181"/>
      <c r="N452" s="181"/>
      <c r="O452" s="181"/>
      <c r="P452" s="181"/>
    </row>
    <row r="453" spans="1:16" ht="21.75" customHeight="1" x14ac:dyDescent="0.3">
      <c r="A453" s="175"/>
      <c r="B453" s="176"/>
      <c r="C453" s="176"/>
      <c r="D453" s="193"/>
      <c r="E453" s="194" t="s">
        <v>54</v>
      </c>
      <c r="F453" s="195"/>
      <c r="G453" s="196"/>
      <c r="H453" s="186"/>
      <c r="I453" s="187"/>
      <c r="J453" s="197">
        <f ca="1">IFERROR(__xludf.DUMMYFUNCTION("IMPORTRANGE(""https://docs.google.com/spreadsheets/d/11923uPwbBZFjjGgGUA6NLw09EwE0CqkOc4q9oUmW1yo/edit?usp=sharing"",""สุโขทัย!J348"")"),0)</f>
        <v>0</v>
      </c>
      <c r="K453" s="163"/>
      <c r="L453" s="181"/>
      <c r="M453" s="181"/>
      <c r="N453" s="181"/>
      <c r="O453" s="181"/>
      <c r="P453" s="181"/>
    </row>
    <row r="454" spans="1:16" ht="21.75" customHeight="1" x14ac:dyDescent="0.3">
      <c r="A454" s="175"/>
      <c r="B454" s="176"/>
      <c r="C454" s="176"/>
      <c r="D454" s="205">
        <v>3</v>
      </c>
      <c r="E454" s="206" t="s">
        <v>55</v>
      </c>
      <c r="F454" s="207"/>
      <c r="G454" s="208"/>
      <c r="H454" s="186"/>
      <c r="I454" s="187"/>
      <c r="J454" s="209">
        <f ca="1">IFERROR(__xludf.DUMMYFUNCTION("IMPORTRANGE(""https://docs.google.com/spreadsheets/d/11923uPwbBZFjjGgGUA6NLw09EwE0CqkOc4q9oUmW1yo/edit?usp=sharing"",""สุโขทัย!J349"")"),0)</f>
        <v>0</v>
      </c>
      <c r="K454" s="163"/>
      <c r="L454" s="181"/>
      <c r="M454" s="181"/>
      <c r="N454" s="181"/>
      <c r="O454" s="181"/>
      <c r="P454" s="181"/>
    </row>
    <row r="455" spans="1:16" ht="21.75" customHeight="1" x14ac:dyDescent="0.3">
      <c r="A455" s="364"/>
      <c r="B455" s="365">
        <v>5</v>
      </c>
      <c r="C455" s="366" t="s">
        <v>165</v>
      </c>
      <c r="D455" s="366"/>
      <c r="E455" s="366"/>
      <c r="F455" s="366"/>
      <c r="G455" s="367"/>
      <c r="H455" s="368" t="s">
        <v>122</v>
      </c>
      <c r="I455" s="369">
        <f ca="1">IFERROR(__xludf.DUMMYFUNCTION("IMPORTRANGE(""https://docs.google.com/spreadsheets/d/11923uPwbBZFjjGgGUA6NLw09EwE0CqkOc4q9oUmW1yo/edit?usp=sharing"",""สุโขทัย!I350"")"),35801)</f>
        <v>35801</v>
      </c>
      <c r="J455" s="369">
        <f ca="1">IFERROR(__xludf.DUMMYFUNCTION("IMPORTRANGE(""https://docs.google.com/spreadsheets/d/11923uPwbBZFjjGgGUA6NLw09EwE0CqkOc4q9oUmW1yo/edit?usp=sharing"",""สุโขทัย!J350"")"),0)</f>
        <v>0</v>
      </c>
      <c r="K455" s="370">
        <f ca="1">IF(I455&gt;0,J455*100/I455,0)</f>
        <v>0</v>
      </c>
      <c r="L455" s="371">
        <f ca="1">IFERROR(__xludf.DUMMYFUNCTION("IMPORTRANGE(""https://docs.google.com/spreadsheets/d/11923uPwbBZFjjGgGUA6NLw09EwE0CqkOc4q9oUmW1yo/edit?usp=sharing"",""สุโขทัย!L350"")"),382323)</f>
        <v>382323</v>
      </c>
      <c r="M455" s="371"/>
      <c r="N455" s="371">
        <f ca="1">IFERROR(__xludf.DUMMYFUNCTION("IMPORTRANGE(""https://docs.google.com/spreadsheets/d/11923uPwbBZFjjGgGUA6NLw09EwE0CqkOc4q9oUmW1yo/edit?usp=sharing"",""สุโขทัย!M350"")"),58385)</f>
        <v>58385</v>
      </c>
      <c r="O455" s="371">
        <f t="shared" ref="O455:O459" ca="1" si="116">+IF(L455&gt;0,N455*100/L455,0)</f>
        <v>15.271118923004893</v>
      </c>
      <c r="P455" s="371"/>
    </row>
    <row r="456" spans="1:16" ht="21.75" customHeight="1" x14ac:dyDescent="0.3">
      <c r="A456" s="156"/>
      <c r="B456" s="157"/>
      <c r="C456" s="157" t="s">
        <v>16</v>
      </c>
      <c r="D456" s="158" t="s">
        <v>38</v>
      </c>
      <c r="E456" s="159"/>
      <c r="F456" s="159"/>
      <c r="G456" s="160" t="s">
        <v>39</v>
      </c>
      <c r="H456" s="161" t="s">
        <v>12</v>
      </c>
      <c r="I456" s="162" t="s">
        <v>40</v>
      </c>
      <c r="J456" s="162"/>
      <c r="K456" s="163"/>
      <c r="L456" s="164">
        <f ca="1">IFERROR(__xludf.DUMMYFUNCTION("IMPORTRANGE(""https://docs.google.com/spreadsheets/d/11923uPwbBZFjjGgGUA6NLw09EwE0CqkOc4q9oUmW1yo/edit?usp=sharing"",""สุโขทัย!L351"")"),0)</f>
        <v>0</v>
      </c>
      <c r="M456" s="164"/>
      <c r="N456" s="168">
        <f ca="1">IFERROR(__xludf.DUMMYFUNCTION("IMPORTRANGE(""https://docs.google.com/spreadsheets/d/11923uPwbBZFjjGgGUA6NLw09EwE0CqkOc4q9oUmW1yo/edit?usp=sharing"",""สุโขทัย!M351"")"),0)</f>
        <v>0</v>
      </c>
      <c r="O456" s="168">
        <f t="shared" ca="1" si="116"/>
        <v>0</v>
      </c>
      <c r="P456" s="168"/>
    </row>
    <row r="457" spans="1:16" ht="21.75" customHeight="1" x14ac:dyDescent="0.3">
      <c r="A457" s="156"/>
      <c r="B457" s="157"/>
      <c r="C457" s="157"/>
      <c r="D457" s="166"/>
      <c r="E457" s="159"/>
      <c r="F457" s="159" t="s">
        <v>40</v>
      </c>
      <c r="G457" s="160" t="s">
        <v>41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IFERROR(__xludf.DUMMYFUNCTION("IMPORTRANGE(""https://docs.google.com/spreadsheets/d/11923uPwbBZFjjGgGUA6NLw09EwE0CqkOc4q9oUmW1yo/edit?usp=sharing"",""สุโขทัย!L352"")"),382323)</f>
        <v>382323</v>
      </c>
      <c r="M457" s="165"/>
      <c r="N457" s="168">
        <f ca="1">IFERROR(__xludf.DUMMYFUNCTION("IMPORTRANGE(""https://docs.google.com/spreadsheets/d/11923uPwbBZFjjGgGUA6NLw09EwE0CqkOc4q9oUmW1yo/edit?usp=sharing"",""สุโขทัย!M352"")"),58385)</f>
        <v>58385</v>
      </c>
      <c r="O457" s="168">
        <f t="shared" ca="1" si="116"/>
        <v>15.271118923004893</v>
      </c>
      <c r="P457" s="168"/>
    </row>
    <row r="458" spans="1:16" ht="21.75" customHeight="1" x14ac:dyDescent="0.3">
      <c r="A458" s="156"/>
      <c r="B458" s="157"/>
      <c r="C458" s="157"/>
      <c r="D458" s="166"/>
      <c r="E458" s="159"/>
      <c r="F458" s="159"/>
      <c r="G458" s="372" t="s">
        <v>129</v>
      </c>
      <c r="H458" s="161" t="s">
        <v>12</v>
      </c>
      <c r="I458" s="162"/>
      <c r="J458" s="162"/>
      <c r="K458" s="163"/>
      <c r="L458" s="168">
        <f ca="1">IFERROR(__xludf.DUMMYFUNCTION("IMPORTRANGE(""https://docs.google.com/spreadsheets/d/11923uPwbBZFjjGgGUA6NLw09EwE0CqkOc4q9oUmW1yo/edit?usp=sharing"",""สุโขทัย!L353"")"),0)</f>
        <v>0</v>
      </c>
      <c r="M458" s="168"/>
      <c r="N458" s="168">
        <f ca="1">IFERROR(__xludf.DUMMYFUNCTION("IMPORTRANGE(""https://docs.google.com/spreadsheets/d/11923uPwbBZFjjGgGUA6NLw09EwE0CqkOc4q9oUmW1yo/edit?usp=sharing"",""สุโขทัย!M353"")"),0)</f>
        <v>0</v>
      </c>
      <c r="O458" s="168">
        <f t="shared" ca="1" si="116"/>
        <v>0</v>
      </c>
      <c r="P458" s="168"/>
    </row>
    <row r="459" spans="1:16" ht="21.75" customHeight="1" x14ac:dyDescent="0.3">
      <c r="A459" s="156"/>
      <c r="B459" s="157"/>
      <c r="C459" s="157"/>
      <c r="D459" s="166"/>
      <c r="E459" s="159"/>
      <c r="F459" s="159"/>
      <c r="G459" s="372" t="s">
        <v>130</v>
      </c>
      <c r="H459" s="161" t="s">
        <v>12</v>
      </c>
      <c r="I459" s="162"/>
      <c r="J459" s="162"/>
      <c r="K459" s="163"/>
      <c r="L459" s="168">
        <f ca="1">IFERROR(__xludf.DUMMYFUNCTION("IMPORTRANGE(""https://docs.google.com/spreadsheets/d/11923uPwbBZFjjGgGUA6NLw09EwE0CqkOc4q9oUmW1yo/edit?usp=sharing"",""สุโขทัย!L354"")"),382323)</f>
        <v>382323</v>
      </c>
      <c r="M459" s="168"/>
      <c r="N459" s="168">
        <f ca="1">IFERROR(__xludf.DUMMYFUNCTION("IMPORTRANGE(""https://docs.google.com/spreadsheets/d/11923uPwbBZFjjGgGUA6NLw09EwE0CqkOc4q9oUmW1yo/edit?usp=sharing"",""สุโขทัย!M354"")"),58385)</f>
        <v>58385</v>
      </c>
      <c r="O459" s="168">
        <f t="shared" ca="1" si="116"/>
        <v>15.271118923004893</v>
      </c>
      <c r="P459" s="168"/>
    </row>
    <row r="460" spans="1:16" ht="21.75" customHeight="1" x14ac:dyDescent="0.3">
      <c r="A460" s="373"/>
      <c r="B460" s="374"/>
      <c r="C460" s="157"/>
      <c r="D460" s="375"/>
      <c r="E460" s="159"/>
      <c r="F460" s="159"/>
      <c r="G460" s="376" t="s">
        <v>131</v>
      </c>
      <c r="H460" s="161" t="s">
        <v>12</v>
      </c>
      <c r="I460" s="187"/>
      <c r="J460" s="187"/>
      <c r="K460" s="223"/>
      <c r="L460" s="168"/>
      <c r="M460" s="168"/>
      <c r="N460" s="167">
        <f ca="1">IFERROR(__xludf.DUMMYFUNCTION("IMPORTRANGE(""https://docs.google.com/spreadsheets/d/11923uPwbBZFjjGgGUA6NLw09EwE0CqkOc4q9oUmW1yo/edit?usp=sharing"",""สุโขทัย!M355"")"),0)</f>
        <v>0</v>
      </c>
      <c r="O460" s="168"/>
      <c r="P460" s="168"/>
    </row>
    <row r="461" spans="1:16" ht="21.75" customHeight="1" x14ac:dyDescent="0.3">
      <c r="A461" s="373"/>
      <c r="B461" s="374"/>
      <c r="C461" s="157"/>
      <c r="D461" s="375"/>
      <c r="E461" s="159"/>
      <c r="F461" s="159"/>
      <c r="G461" s="376" t="s">
        <v>132</v>
      </c>
      <c r="H461" s="161" t="s">
        <v>12</v>
      </c>
      <c r="I461" s="187"/>
      <c r="J461" s="187"/>
      <c r="K461" s="223"/>
      <c r="L461" s="168"/>
      <c r="M461" s="168"/>
      <c r="N461" s="167">
        <f ca="1">IFERROR(__xludf.DUMMYFUNCTION("IMPORTRANGE(""https://docs.google.com/spreadsheets/d/11923uPwbBZFjjGgGUA6NLw09EwE0CqkOc4q9oUmW1yo/edit?usp=sharing"",""สุโขทัย!M356"")"),0)</f>
        <v>0</v>
      </c>
      <c r="O461" s="168"/>
      <c r="P461" s="168"/>
    </row>
    <row r="462" spans="1:16" ht="21.75" customHeight="1" x14ac:dyDescent="0.3">
      <c r="A462" s="373"/>
      <c r="B462" s="374"/>
      <c r="C462" s="157"/>
      <c r="D462" s="375"/>
      <c r="E462" s="159"/>
      <c r="F462" s="159"/>
      <c r="G462" s="376" t="s">
        <v>133</v>
      </c>
      <c r="H462" s="161" t="s">
        <v>12</v>
      </c>
      <c r="I462" s="187"/>
      <c r="J462" s="187"/>
      <c r="K462" s="223"/>
      <c r="L462" s="168"/>
      <c r="M462" s="168"/>
      <c r="N462" s="377">
        <f ca="1">IFERROR(__xludf.DUMMYFUNCTION("IMPORTRANGE(""https://docs.google.com/spreadsheets/d/11923uPwbBZFjjGgGUA6NLw09EwE0CqkOc4q9oUmW1yo/edit?usp=sharing"",""สุโขทัย!M357"")"),33000)</f>
        <v>33000</v>
      </c>
      <c r="O462" s="168"/>
      <c r="P462" s="168"/>
    </row>
    <row r="463" spans="1:16" ht="21.75" customHeight="1" x14ac:dyDescent="0.3">
      <c r="A463" s="373"/>
      <c r="B463" s="374"/>
      <c r="C463" s="157"/>
      <c r="D463" s="375"/>
      <c r="E463" s="159"/>
      <c r="F463" s="159"/>
      <c r="G463" s="376" t="s">
        <v>134</v>
      </c>
      <c r="H463" s="161" t="s">
        <v>12</v>
      </c>
      <c r="I463" s="187"/>
      <c r="J463" s="187"/>
      <c r="K463" s="223"/>
      <c r="L463" s="168"/>
      <c r="M463" s="168"/>
      <c r="N463" s="377">
        <f ca="1">IFERROR(__xludf.DUMMYFUNCTION("IMPORTRANGE(""https://docs.google.com/spreadsheets/d/11923uPwbBZFjjGgGUA6NLw09EwE0CqkOc4q9oUmW1yo/edit?usp=sharing"",""สุโขทัย!M358"")"),25385)</f>
        <v>25385</v>
      </c>
      <c r="O463" s="168"/>
      <c r="P463" s="168"/>
    </row>
    <row r="464" spans="1:16" ht="21.75" customHeight="1" x14ac:dyDescent="0.3">
      <c r="A464" s="175"/>
      <c r="B464" s="176"/>
      <c r="C464" s="413" t="s">
        <v>166</v>
      </c>
      <c r="D464" s="413"/>
      <c r="E464" s="414"/>
      <c r="F464" s="414"/>
      <c r="G464" s="415"/>
      <c r="H464" s="265" t="s">
        <v>122</v>
      </c>
      <c r="I464" s="266">
        <f ca="1">IFERROR(__xludf.DUMMYFUNCTION("IMPORTRANGE(""https://docs.google.com/spreadsheets/d/11923uPwbBZFjjGgGUA6NLw09EwE0CqkOc4q9oUmW1yo/edit?usp=sharing"",""สุโขทัย!I359"")"),35801)</f>
        <v>35801</v>
      </c>
      <c r="J464" s="266">
        <f ca="1">IFERROR(__xludf.DUMMYFUNCTION("IMPORTRANGE(""https://docs.google.com/spreadsheets/d/11923uPwbBZFjjGgGUA6NLw09EwE0CqkOc4q9oUmW1yo/edit?usp=sharing"",""สุโขทัย!J359"")"),0)</f>
        <v>0</v>
      </c>
      <c r="K464" s="267">
        <f t="shared" ref="K464:K515" ca="1" si="117">IF(I464&gt;0,J464*100/I464,0)</f>
        <v>0</v>
      </c>
      <c r="L464" s="290"/>
      <c r="M464" s="290"/>
      <c r="N464" s="290"/>
      <c r="O464" s="290"/>
      <c r="P464" s="290"/>
    </row>
    <row r="465" spans="1:16" ht="21.75" customHeight="1" x14ac:dyDescent="0.3">
      <c r="A465" s="400"/>
      <c r="B465" s="401"/>
      <c r="C465" s="401"/>
      <c r="D465" s="402"/>
      <c r="E465" s="193" t="s">
        <v>167</v>
      </c>
      <c r="F465" s="195"/>
      <c r="G465" s="196"/>
      <c r="H465" s="416" t="s">
        <v>122</v>
      </c>
      <c r="I465" s="417">
        <f ca="1">IFERROR(__xludf.DUMMYFUNCTION("IMPORTRANGE(""https://docs.google.com/spreadsheets/d/11923uPwbBZFjjGgGUA6NLw09EwE0CqkOc4q9oUmW1yo/edit?usp=sharing"",""สุโขทัย!I360"")"),35801)</f>
        <v>35801</v>
      </c>
      <c r="J465" s="418">
        <f ca="1">IFERROR(__xludf.DUMMYFUNCTION("IMPORTRANGE(""https://docs.google.com/spreadsheets/d/11923uPwbBZFjjGgGUA6NLw09EwE0CqkOc4q9oUmW1yo/edit?usp=sharing"",""สุโขทัย!J360"")"),34689)</f>
        <v>34689</v>
      </c>
      <c r="K465" s="201">
        <f t="shared" ca="1" si="117"/>
        <v>96.89394151001369</v>
      </c>
      <c r="L465" s="181"/>
      <c r="M465" s="181"/>
      <c r="N465" s="181"/>
      <c r="O465" s="181"/>
      <c r="P465" s="181"/>
    </row>
    <row r="466" spans="1:16" ht="21.75" customHeight="1" x14ac:dyDescent="0.3">
      <c r="A466" s="400"/>
      <c r="B466" s="401"/>
      <c r="C466" s="401"/>
      <c r="D466" s="402"/>
      <c r="E466" s="195"/>
      <c r="F466" s="195"/>
      <c r="G466" s="196"/>
      <c r="H466" s="416" t="s">
        <v>36</v>
      </c>
      <c r="I466" s="417">
        <f ca="1">IFERROR(__xludf.DUMMYFUNCTION("IMPORTRANGE(""https://docs.google.com/spreadsheets/d/11923uPwbBZFjjGgGUA6NLw09EwE0CqkOc4q9oUmW1yo/edit?usp=sharing"",""สุโขทัย!I361"")"),4578)</f>
        <v>4578</v>
      </c>
      <c r="J466" s="418">
        <f ca="1">IFERROR(__xludf.DUMMYFUNCTION("IMPORTRANGE(""https://docs.google.com/spreadsheets/d/11923uPwbBZFjjGgGUA6NLw09EwE0CqkOc4q9oUmW1yo/edit?usp=sharing"",""สุโขทัย!J361"")"),4217)</f>
        <v>4217</v>
      </c>
      <c r="K466" s="201">
        <f t="shared" ca="1" si="117"/>
        <v>92.114460463084313</v>
      </c>
      <c r="L466" s="181"/>
      <c r="M466" s="181"/>
      <c r="N466" s="181"/>
      <c r="O466" s="181"/>
      <c r="P466" s="181"/>
    </row>
    <row r="467" spans="1:16" ht="21.75" customHeight="1" x14ac:dyDescent="0.3">
      <c r="A467" s="400"/>
      <c r="B467" s="401"/>
      <c r="C467" s="401"/>
      <c r="D467" s="402"/>
      <c r="E467" s="195"/>
      <c r="F467" s="388" t="s">
        <v>168</v>
      </c>
      <c r="G467" s="419"/>
      <c r="H467" s="420" t="s">
        <v>122</v>
      </c>
      <c r="I467" s="202">
        <f ca="1">IFERROR(__xludf.DUMMYFUNCTION("IMPORTRANGE(""https://docs.google.com/spreadsheets/d/11923uPwbBZFjjGgGUA6NLw09EwE0CqkOc4q9oUmW1yo/edit?usp=sharing"",""สุโขทัย!I362"")"),0)</f>
        <v>0</v>
      </c>
      <c r="J467" s="188">
        <f ca="1">IFERROR(__xludf.DUMMYFUNCTION("IMPORTRANGE(""https://docs.google.com/spreadsheets/d/11923uPwbBZFjjGgGUA6NLw09EwE0CqkOc4q9oUmW1yo/edit?usp=sharing"",""สุโขทัย!J362"")"),22829)</f>
        <v>22829</v>
      </c>
      <c r="K467" s="163">
        <f t="shared" ca="1" si="117"/>
        <v>0</v>
      </c>
      <c r="L467" s="181"/>
      <c r="M467" s="181"/>
      <c r="N467" s="181"/>
      <c r="O467" s="181"/>
      <c r="P467" s="181"/>
    </row>
    <row r="468" spans="1:16" ht="21.75" customHeight="1" x14ac:dyDescent="0.3">
      <c r="A468" s="400"/>
      <c r="B468" s="401"/>
      <c r="C468" s="401"/>
      <c r="D468" s="402"/>
      <c r="E468" s="195"/>
      <c r="F468" s="195"/>
      <c r="G468" s="419"/>
      <c r="H468" s="420" t="s">
        <v>36</v>
      </c>
      <c r="I468" s="202">
        <f ca="1">IFERROR(__xludf.DUMMYFUNCTION("IMPORTRANGE(""https://docs.google.com/spreadsheets/d/11923uPwbBZFjjGgGUA6NLw09EwE0CqkOc4q9oUmW1yo/edit?usp=sharing"",""สุโขทัย!I363"")"),0)</f>
        <v>0</v>
      </c>
      <c r="J468" s="188">
        <f ca="1">IFERROR(__xludf.DUMMYFUNCTION("IMPORTRANGE(""https://docs.google.com/spreadsheets/d/11923uPwbBZFjjGgGUA6NLw09EwE0CqkOc4q9oUmW1yo/edit?usp=sharing"",""สุโขทัย!J363"")"),2587)</f>
        <v>2587</v>
      </c>
      <c r="K468" s="163">
        <f t="shared" ca="1" si="117"/>
        <v>0</v>
      </c>
      <c r="L468" s="181"/>
      <c r="M468" s="181"/>
      <c r="N468" s="181"/>
      <c r="O468" s="181"/>
      <c r="P468" s="181"/>
    </row>
    <row r="469" spans="1:16" ht="21.75" customHeight="1" x14ac:dyDescent="0.3">
      <c r="A469" s="400"/>
      <c r="B469" s="401"/>
      <c r="C469" s="401"/>
      <c r="D469" s="402"/>
      <c r="E469" s="195"/>
      <c r="F469" s="388" t="s">
        <v>169</v>
      </c>
      <c r="G469" s="419"/>
      <c r="H469" s="420" t="s">
        <v>122</v>
      </c>
      <c r="I469" s="202">
        <f ca="1">IFERROR(__xludf.DUMMYFUNCTION("IMPORTRANGE(""https://docs.google.com/spreadsheets/d/11923uPwbBZFjjGgGUA6NLw09EwE0CqkOc4q9oUmW1yo/edit?usp=sharing"",""สุโขทัย!I364"")"),0)</f>
        <v>0</v>
      </c>
      <c r="J469" s="188">
        <f ca="1">IFERROR(__xludf.DUMMYFUNCTION("IMPORTRANGE(""https://docs.google.com/spreadsheets/d/11923uPwbBZFjjGgGUA6NLw09EwE0CqkOc4q9oUmW1yo/edit?usp=sharing"",""สุโขทัย!J364"")"),11125)</f>
        <v>11125</v>
      </c>
      <c r="K469" s="163">
        <f t="shared" ca="1" si="117"/>
        <v>0</v>
      </c>
      <c r="L469" s="181"/>
      <c r="M469" s="181"/>
      <c r="N469" s="181"/>
      <c r="O469" s="181"/>
      <c r="P469" s="181"/>
    </row>
    <row r="470" spans="1:16" ht="21.75" customHeight="1" x14ac:dyDescent="0.3">
      <c r="A470" s="400"/>
      <c r="B470" s="401"/>
      <c r="C470" s="401"/>
      <c r="D470" s="402"/>
      <c r="E470" s="195"/>
      <c r="F470" s="195"/>
      <c r="G470" s="419"/>
      <c r="H470" s="420" t="s">
        <v>36</v>
      </c>
      <c r="I470" s="202">
        <f ca="1">IFERROR(__xludf.DUMMYFUNCTION("IMPORTRANGE(""https://docs.google.com/spreadsheets/d/11923uPwbBZFjjGgGUA6NLw09EwE0CqkOc4q9oUmW1yo/edit?usp=sharing"",""สุโขทัย!I365"")"),0)</f>
        <v>0</v>
      </c>
      <c r="J470" s="188">
        <f ca="1">IFERROR(__xludf.DUMMYFUNCTION("IMPORTRANGE(""https://docs.google.com/spreadsheets/d/11923uPwbBZFjjGgGUA6NLw09EwE0CqkOc4q9oUmW1yo/edit?usp=sharing"",""สุโขทัย!J365"")"),1551)</f>
        <v>1551</v>
      </c>
      <c r="K470" s="163">
        <f t="shared" ca="1" si="117"/>
        <v>0</v>
      </c>
      <c r="L470" s="181"/>
      <c r="M470" s="181"/>
      <c r="N470" s="181"/>
      <c r="O470" s="181"/>
      <c r="P470" s="181"/>
    </row>
    <row r="471" spans="1:16" ht="21.75" customHeight="1" x14ac:dyDescent="0.3">
      <c r="A471" s="400"/>
      <c r="B471" s="401"/>
      <c r="C471" s="401"/>
      <c r="D471" s="402"/>
      <c r="E471" s="195"/>
      <c r="F471" s="388" t="s">
        <v>170</v>
      </c>
      <c r="G471" s="419"/>
      <c r="H471" s="420" t="s">
        <v>122</v>
      </c>
      <c r="I471" s="202">
        <f ca="1">IFERROR(__xludf.DUMMYFUNCTION("IMPORTRANGE(""https://docs.google.com/spreadsheets/d/11923uPwbBZFjjGgGUA6NLw09EwE0CqkOc4q9oUmW1yo/edit?usp=sharing"",""สุโขทัย!I366"")"),0)</f>
        <v>0</v>
      </c>
      <c r="J471" s="188">
        <f ca="1">IFERROR(__xludf.DUMMYFUNCTION("IMPORTRANGE(""https://docs.google.com/spreadsheets/d/11923uPwbBZFjjGgGUA6NLw09EwE0CqkOc4q9oUmW1yo/edit?usp=sharing"",""สุโขทัย!J366"")"),735)</f>
        <v>735</v>
      </c>
      <c r="K471" s="163">
        <f t="shared" ca="1" si="117"/>
        <v>0</v>
      </c>
      <c r="L471" s="181"/>
      <c r="M471" s="181"/>
      <c r="N471" s="181"/>
      <c r="O471" s="181"/>
      <c r="P471" s="181"/>
    </row>
    <row r="472" spans="1:16" ht="21.75" customHeight="1" x14ac:dyDescent="0.3">
      <c r="A472" s="400"/>
      <c r="B472" s="401"/>
      <c r="C472" s="401"/>
      <c r="D472" s="402"/>
      <c r="E472" s="195"/>
      <c r="F472" s="195"/>
      <c r="G472" s="195"/>
      <c r="H472" s="420" t="s">
        <v>36</v>
      </c>
      <c r="I472" s="202">
        <f ca="1">IFERROR(__xludf.DUMMYFUNCTION("IMPORTRANGE(""https://docs.google.com/spreadsheets/d/11923uPwbBZFjjGgGUA6NLw09EwE0CqkOc4q9oUmW1yo/edit?usp=sharing"",""สุโขทัย!I367"")"),0)</f>
        <v>0</v>
      </c>
      <c r="J472" s="188">
        <f ca="1">IFERROR(__xludf.DUMMYFUNCTION("IMPORTRANGE(""https://docs.google.com/spreadsheets/d/11923uPwbBZFjjGgGUA6NLw09EwE0CqkOc4q9oUmW1yo/edit?usp=sharing"",""สุโขทัย!J367"")"),79)</f>
        <v>79</v>
      </c>
      <c r="K472" s="163">
        <f t="shared" ca="1" si="117"/>
        <v>0</v>
      </c>
      <c r="L472" s="181"/>
      <c r="M472" s="181"/>
      <c r="N472" s="181"/>
      <c r="O472" s="181"/>
      <c r="P472" s="181"/>
    </row>
    <row r="473" spans="1:16" ht="21.75" customHeight="1" x14ac:dyDescent="0.3">
      <c r="A473" s="400"/>
      <c r="B473" s="401"/>
      <c r="C473" s="401"/>
      <c r="D473" s="402"/>
      <c r="E473" s="289" t="s">
        <v>171</v>
      </c>
      <c r="F473" s="195"/>
      <c r="G473" s="196"/>
      <c r="H473" s="416" t="s">
        <v>122</v>
      </c>
      <c r="I473" s="418">
        <f ca="1">IFERROR(__xludf.DUMMYFUNCTION("IMPORTRANGE(""https://docs.google.com/spreadsheets/d/11923uPwbBZFjjGgGUA6NLw09EwE0CqkOc4q9oUmW1yo/edit?usp=sharing"",""สุโขทัย!I368"")"),35801)</f>
        <v>35801</v>
      </c>
      <c r="J473" s="418">
        <f ca="1">IFERROR(__xludf.DUMMYFUNCTION("IMPORTRANGE(""https://docs.google.com/spreadsheets/d/11923uPwbBZFjjGgGUA6NLw09EwE0CqkOc4q9oUmW1yo/edit?usp=sharing"",""สุโขทัย!J368"")"),0)</f>
        <v>0</v>
      </c>
      <c r="K473" s="201">
        <f t="shared" ca="1" si="117"/>
        <v>0</v>
      </c>
      <c r="L473" s="181"/>
      <c r="M473" s="181"/>
      <c r="N473" s="181"/>
      <c r="O473" s="181"/>
      <c r="P473" s="181"/>
    </row>
    <row r="474" spans="1:16" ht="21.75" customHeight="1" x14ac:dyDescent="0.3">
      <c r="A474" s="400"/>
      <c r="B474" s="401"/>
      <c r="C474" s="401"/>
      <c r="D474" s="402"/>
      <c r="E474" s="195"/>
      <c r="F474" s="195"/>
      <c r="G474" s="196"/>
      <c r="H474" s="416" t="s">
        <v>36</v>
      </c>
      <c r="I474" s="417">
        <f ca="1">IFERROR(__xludf.DUMMYFUNCTION("IMPORTRANGE(""https://docs.google.com/spreadsheets/d/11923uPwbBZFjjGgGUA6NLw09EwE0CqkOc4q9oUmW1yo/edit?usp=sharing"",""สุโขทัย!I369"")"),4578)</f>
        <v>4578</v>
      </c>
      <c r="J474" s="418">
        <f ca="1">IFERROR(__xludf.DUMMYFUNCTION("IMPORTRANGE(""https://docs.google.com/spreadsheets/d/11923uPwbBZFjjGgGUA6NLw09EwE0CqkOc4q9oUmW1yo/edit?usp=sharing"",""สุโขทัย!J369"")"),0)</f>
        <v>0</v>
      </c>
      <c r="K474" s="163">
        <f t="shared" ca="1" si="117"/>
        <v>0</v>
      </c>
      <c r="L474" s="181"/>
      <c r="M474" s="181"/>
      <c r="N474" s="181"/>
      <c r="O474" s="181"/>
      <c r="P474" s="181"/>
    </row>
    <row r="475" spans="1:16" ht="21.75" customHeight="1" x14ac:dyDescent="0.3">
      <c r="A475" s="400"/>
      <c r="B475" s="401"/>
      <c r="C475" s="401"/>
      <c r="D475" s="402"/>
      <c r="E475" s="195"/>
      <c r="F475" s="194" t="s">
        <v>172</v>
      </c>
      <c r="G475" s="419"/>
      <c r="H475" s="420" t="s">
        <v>122</v>
      </c>
      <c r="I475" s="202">
        <f ca="1">IFERROR(__xludf.DUMMYFUNCTION("IMPORTRANGE(""https://docs.google.com/spreadsheets/d/11923uPwbBZFjjGgGUA6NLw09EwE0CqkOc4q9oUmW1yo/edit?usp=sharing"",""สุโขทัย!I370"")"),0)</f>
        <v>0</v>
      </c>
      <c r="J475" s="188">
        <f ca="1">IFERROR(__xludf.DUMMYFUNCTION("IMPORTRANGE(""https://docs.google.com/spreadsheets/d/11923uPwbBZFjjGgGUA6NLw09EwE0CqkOc4q9oUmW1yo/edit?usp=sharing"",""สุโขทัย!J370"")"),0)</f>
        <v>0</v>
      </c>
      <c r="K475" s="163">
        <f t="shared" ca="1" si="117"/>
        <v>0</v>
      </c>
      <c r="L475" s="181"/>
      <c r="M475" s="181"/>
      <c r="N475" s="181"/>
      <c r="O475" s="181"/>
      <c r="P475" s="181"/>
    </row>
    <row r="476" spans="1:16" ht="21.75" customHeight="1" x14ac:dyDescent="0.3">
      <c r="A476" s="400"/>
      <c r="B476" s="401"/>
      <c r="C476" s="401"/>
      <c r="D476" s="402"/>
      <c r="E476" s="195"/>
      <c r="F476" s="195"/>
      <c r="G476" s="419"/>
      <c r="H476" s="420" t="s">
        <v>36</v>
      </c>
      <c r="I476" s="202">
        <f ca="1">IFERROR(__xludf.DUMMYFUNCTION("IMPORTRANGE(""https://docs.google.com/spreadsheets/d/11923uPwbBZFjjGgGUA6NLw09EwE0CqkOc4q9oUmW1yo/edit?usp=sharing"",""สุโขทัย!I371"")"),0)</f>
        <v>0</v>
      </c>
      <c r="J476" s="188">
        <f ca="1">IFERROR(__xludf.DUMMYFUNCTION("IMPORTRANGE(""https://docs.google.com/spreadsheets/d/11923uPwbBZFjjGgGUA6NLw09EwE0CqkOc4q9oUmW1yo/edit?usp=sharing"",""สุโขทัย!J371"")"),0)</f>
        <v>0</v>
      </c>
      <c r="K476" s="163">
        <f t="shared" ca="1" si="117"/>
        <v>0</v>
      </c>
      <c r="L476" s="181"/>
      <c r="M476" s="181"/>
      <c r="N476" s="181"/>
      <c r="O476" s="181"/>
      <c r="P476" s="181"/>
    </row>
    <row r="477" spans="1:16" ht="21.75" customHeight="1" x14ac:dyDescent="0.3">
      <c r="A477" s="400"/>
      <c r="B477" s="401"/>
      <c r="C477" s="401"/>
      <c r="D477" s="402"/>
      <c r="E477" s="195"/>
      <c r="F477" s="194" t="s">
        <v>173</v>
      </c>
      <c r="G477" s="419"/>
      <c r="H477" s="420" t="s">
        <v>122</v>
      </c>
      <c r="I477" s="202">
        <f ca="1">IFERROR(__xludf.DUMMYFUNCTION("IMPORTRANGE(""https://docs.google.com/spreadsheets/d/11923uPwbBZFjjGgGUA6NLw09EwE0CqkOc4q9oUmW1yo/edit?usp=sharing"",""สุโขทัย!I372"")"),0)</f>
        <v>0</v>
      </c>
      <c r="J477" s="188">
        <f ca="1">IFERROR(__xludf.DUMMYFUNCTION("IMPORTRANGE(""https://docs.google.com/spreadsheets/d/11923uPwbBZFjjGgGUA6NLw09EwE0CqkOc4q9oUmW1yo/edit?usp=sharing"",""สุโขทัย!J372"")"),0)</f>
        <v>0</v>
      </c>
      <c r="K477" s="163">
        <f t="shared" ca="1" si="117"/>
        <v>0</v>
      </c>
      <c r="L477" s="181"/>
      <c r="M477" s="181"/>
      <c r="N477" s="181"/>
      <c r="O477" s="181"/>
      <c r="P477" s="181"/>
    </row>
    <row r="478" spans="1:16" ht="21.75" customHeight="1" x14ac:dyDescent="0.3">
      <c r="A478" s="400"/>
      <c r="B478" s="401"/>
      <c r="C478" s="401"/>
      <c r="D478" s="402"/>
      <c r="E478" s="195"/>
      <c r="F478" s="195"/>
      <c r="G478" s="419"/>
      <c r="H478" s="420" t="s">
        <v>36</v>
      </c>
      <c r="I478" s="202">
        <f ca="1">IFERROR(__xludf.DUMMYFUNCTION("IMPORTRANGE(""https://docs.google.com/spreadsheets/d/11923uPwbBZFjjGgGUA6NLw09EwE0CqkOc4q9oUmW1yo/edit?usp=sharing"",""สุโขทัย!I373"")"),0)</f>
        <v>0</v>
      </c>
      <c r="J478" s="188">
        <f ca="1">IFERROR(__xludf.DUMMYFUNCTION("IMPORTRANGE(""https://docs.google.com/spreadsheets/d/11923uPwbBZFjjGgGUA6NLw09EwE0CqkOc4q9oUmW1yo/edit?usp=sharing"",""สุโขทัย!J373"")"),0)</f>
        <v>0</v>
      </c>
      <c r="K478" s="163">
        <f t="shared" ca="1" si="117"/>
        <v>0</v>
      </c>
      <c r="L478" s="181"/>
      <c r="M478" s="181"/>
      <c r="N478" s="181"/>
      <c r="O478" s="181"/>
      <c r="P478" s="181"/>
    </row>
    <row r="479" spans="1:16" ht="21.75" customHeight="1" x14ac:dyDescent="0.3">
      <c r="A479" s="400"/>
      <c r="B479" s="401"/>
      <c r="C479" s="401"/>
      <c r="D479" s="402"/>
      <c r="E479" s="195"/>
      <c r="F479" s="194" t="s">
        <v>174</v>
      </c>
      <c r="G479" s="419"/>
      <c r="H479" s="420" t="s">
        <v>122</v>
      </c>
      <c r="I479" s="202">
        <f ca="1">IFERROR(__xludf.DUMMYFUNCTION("IMPORTRANGE(""https://docs.google.com/spreadsheets/d/11923uPwbBZFjjGgGUA6NLw09EwE0CqkOc4q9oUmW1yo/edit?usp=sharing"",""สุโขทัย!I374"")"),0)</f>
        <v>0</v>
      </c>
      <c r="J479" s="188">
        <f ca="1">IFERROR(__xludf.DUMMYFUNCTION("IMPORTRANGE(""https://docs.google.com/spreadsheets/d/11923uPwbBZFjjGgGUA6NLw09EwE0CqkOc4q9oUmW1yo/edit?usp=sharing"",""สุโขทัย!J374"")"),0)</f>
        <v>0</v>
      </c>
      <c r="K479" s="163">
        <f t="shared" ca="1" si="117"/>
        <v>0</v>
      </c>
      <c r="L479" s="181"/>
      <c r="M479" s="181"/>
      <c r="N479" s="181"/>
      <c r="O479" s="181"/>
      <c r="P479" s="181"/>
    </row>
    <row r="480" spans="1:16" ht="21.75" customHeight="1" x14ac:dyDescent="0.3">
      <c r="A480" s="400"/>
      <c r="B480" s="401"/>
      <c r="C480" s="401"/>
      <c r="D480" s="402"/>
      <c r="E480" s="195"/>
      <c r="F480" s="195"/>
      <c r="G480" s="196"/>
      <c r="H480" s="420" t="s">
        <v>36</v>
      </c>
      <c r="I480" s="202">
        <f ca="1">IFERROR(__xludf.DUMMYFUNCTION("IMPORTRANGE(""https://docs.google.com/spreadsheets/d/11923uPwbBZFjjGgGUA6NLw09EwE0CqkOc4q9oUmW1yo/edit?usp=sharing"",""สุโขทัย!I375"")"),0)</f>
        <v>0</v>
      </c>
      <c r="J480" s="188">
        <f ca="1">IFERROR(__xludf.DUMMYFUNCTION("IMPORTRANGE(""https://docs.google.com/spreadsheets/d/11923uPwbBZFjjGgGUA6NLw09EwE0CqkOc4q9oUmW1yo/edit?usp=sharing"",""สุโขทัย!J375"")"),0)</f>
        <v>0</v>
      </c>
      <c r="K480" s="163">
        <f t="shared" ca="1" si="117"/>
        <v>0</v>
      </c>
      <c r="L480" s="181"/>
      <c r="M480" s="181"/>
      <c r="N480" s="181"/>
      <c r="O480" s="181"/>
      <c r="P480" s="181"/>
    </row>
    <row r="481" spans="1:16" ht="21.75" customHeight="1" x14ac:dyDescent="0.3">
      <c r="A481" s="421"/>
      <c r="B481" s="422"/>
      <c r="C481" s="422"/>
      <c r="D481" s="423"/>
      <c r="E481" s="424" t="s">
        <v>175</v>
      </c>
      <c r="F481" s="425"/>
      <c r="G481" s="426"/>
      <c r="H481" s="427" t="s">
        <v>122</v>
      </c>
      <c r="I481" s="418">
        <f ca="1">IFERROR(__xludf.DUMMYFUNCTION("IMPORTRANGE(""https://docs.google.com/spreadsheets/d/11923uPwbBZFjjGgGUA6NLw09EwE0CqkOc4q9oUmW1yo/edit?usp=sharing"",""สุโขทัย!I376"")"),35801)</f>
        <v>35801</v>
      </c>
      <c r="J481" s="418">
        <f ca="1">IFERROR(__xludf.DUMMYFUNCTION("IMPORTRANGE(""https://docs.google.com/spreadsheets/d/11923uPwbBZFjjGgGUA6NLw09EwE0CqkOc4q9oUmW1yo/edit?usp=sharing"",""สุโขทัย!J376"")"),0)</f>
        <v>0</v>
      </c>
      <c r="K481" s="201">
        <f t="shared" ca="1" si="117"/>
        <v>0</v>
      </c>
      <c r="L481" s="428"/>
      <c r="M481" s="428"/>
      <c r="N481" s="428"/>
      <c r="O481" s="428"/>
      <c r="P481" s="428"/>
    </row>
    <row r="482" spans="1:16" ht="21.75" customHeight="1" x14ac:dyDescent="0.3">
      <c r="A482" s="400"/>
      <c r="B482" s="401"/>
      <c r="C482" s="401"/>
      <c r="D482" s="402"/>
      <c r="E482" s="195"/>
      <c r="F482" s="195"/>
      <c r="G482" s="196"/>
      <c r="H482" s="416" t="s">
        <v>36</v>
      </c>
      <c r="I482" s="417">
        <f ca="1">IFERROR(__xludf.DUMMYFUNCTION("IMPORTRANGE(""https://docs.google.com/spreadsheets/d/11923uPwbBZFjjGgGUA6NLw09EwE0CqkOc4q9oUmW1yo/edit?usp=sharing"",""สุโขทัย!I377"")"),4578)</f>
        <v>4578</v>
      </c>
      <c r="J482" s="418">
        <f ca="1">IFERROR(__xludf.DUMMYFUNCTION("IMPORTRANGE(""https://docs.google.com/spreadsheets/d/11923uPwbBZFjjGgGUA6NLw09EwE0CqkOc4q9oUmW1yo/edit?usp=sharing"",""สุโขทัย!J377"")"),0)</f>
        <v>0</v>
      </c>
      <c r="K482" s="163">
        <f t="shared" ca="1" si="117"/>
        <v>0</v>
      </c>
      <c r="L482" s="181"/>
      <c r="M482" s="181"/>
      <c r="N482" s="181"/>
      <c r="O482" s="181"/>
      <c r="P482" s="181"/>
    </row>
    <row r="483" spans="1:16" ht="21.75" customHeight="1" x14ac:dyDescent="0.3">
      <c r="A483" s="400"/>
      <c r="B483" s="401"/>
      <c r="C483" s="401"/>
      <c r="D483" s="402"/>
      <c r="E483" s="195"/>
      <c r="F483" s="194" t="s">
        <v>176</v>
      </c>
      <c r="G483" s="419"/>
      <c r="H483" s="420" t="s">
        <v>122</v>
      </c>
      <c r="I483" s="202">
        <f ca="1">IFERROR(__xludf.DUMMYFUNCTION("IMPORTRANGE(""https://docs.google.com/spreadsheets/d/11923uPwbBZFjjGgGUA6NLw09EwE0CqkOc4q9oUmW1yo/edit?usp=sharing"",""สุโขทัย!I378"")"),0)</f>
        <v>0</v>
      </c>
      <c r="J483" s="188">
        <f ca="1">IFERROR(__xludf.DUMMYFUNCTION("IMPORTRANGE(""https://docs.google.com/spreadsheets/d/11923uPwbBZFjjGgGUA6NLw09EwE0CqkOc4q9oUmW1yo/edit?usp=sharing"",""สุโขทัย!J378"")"),0)</f>
        <v>0</v>
      </c>
      <c r="K483" s="163">
        <f t="shared" ca="1" si="117"/>
        <v>0</v>
      </c>
      <c r="L483" s="181"/>
      <c r="M483" s="181"/>
      <c r="N483" s="181"/>
      <c r="O483" s="181"/>
      <c r="P483" s="181"/>
    </row>
    <row r="484" spans="1:16" ht="21.75" customHeight="1" x14ac:dyDescent="0.3">
      <c r="A484" s="400"/>
      <c r="B484" s="401"/>
      <c r="C484" s="401"/>
      <c r="D484" s="402"/>
      <c r="E484" s="195"/>
      <c r="F484" s="195"/>
      <c r="G484" s="419"/>
      <c r="H484" s="420" t="s">
        <v>36</v>
      </c>
      <c r="I484" s="202">
        <f ca="1">IFERROR(__xludf.DUMMYFUNCTION("IMPORTRANGE(""https://docs.google.com/spreadsheets/d/11923uPwbBZFjjGgGUA6NLw09EwE0CqkOc4q9oUmW1yo/edit?usp=sharing"",""สุโขทัย!I379"")"),0)</f>
        <v>0</v>
      </c>
      <c r="J484" s="188">
        <f ca="1">IFERROR(__xludf.DUMMYFUNCTION("IMPORTRANGE(""https://docs.google.com/spreadsheets/d/11923uPwbBZFjjGgGUA6NLw09EwE0CqkOc4q9oUmW1yo/edit?usp=sharing"",""สุโขทัย!J379"")"),0)</f>
        <v>0</v>
      </c>
      <c r="K484" s="163">
        <f t="shared" ca="1" si="117"/>
        <v>0</v>
      </c>
      <c r="L484" s="181"/>
      <c r="M484" s="181"/>
      <c r="N484" s="181"/>
      <c r="O484" s="181"/>
      <c r="P484" s="181"/>
    </row>
    <row r="485" spans="1:16" ht="21.75" customHeight="1" x14ac:dyDescent="0.3">
      <c r="A485" s="400"/>
      <c r="B485" s="401"/>
      <c r="C485" s="401"/>
      <c r="D485" s="402"/>
      <c r="E485" s="195"/>
      <c r="F485" s="194" t="s">
        <v>177</v>
      </c>
      <c r="G485" s="419"/>
      <c r="H485" s="420" t="s">
        <v>122</v>
      </c>
      <c r="I485" s="202">
        <f ca="1">IFERROR(__xludf.DUMMYFUNCTION("IMPORTRANGE(""https://docs.google.com/spreadsheets/d/11923uPwbBZFjjGgGUA6NLw09EwE0CqkOc4q9oUmW1yo/edit?usp=sharing"",""สุโขทัย!I380"")"),0)</f>
        <v>0</v>
      </c>
      <c r="J485" s="188">
        <f ca="1">IFERROR(__xludf.DUMMYFUNCTION("IMPORTRANGE(""https://docs.google.com/spreadsheets/d/11923uPwbBZFjjGgGUA6NLw09EwE0CqkOc4q9oUmW1yo/edit?usp=sharing"",""สุโขทัย!J380"")"),0)</f>
        <v>0</v>
      </c>
      <c r="K485" s="163">
        <f t="shared" ca="1" si="117"/>
        <v>0</v>
      </c>
      <c r="L485" s="181"/>
      <c r="M485" s="181"/>
      <c r="N485" s="181"/>
      <c r="O485" s="181"/>
      <c r="P485" s="181"/>
    </row>
    <row r="486" spans="1:16" ht="21.75" customHeight="1" x14ac:dyDescent="0.3">
      <c r="A486" s="400"/>
      <c r="B486" s="401"/>
      <c r="C486" s="401"/>
      <c r="D486" s="402"/>
      <c r="E486" s="195"/>
      <c r="F486" s="195"/>
      <c r="G486" s="419"/>
      <c r="H486" s="420" t="s">
        <v>36</v>
      </c>
      <c r="I486" s="202">
        <f ca="1">IFERROR(__xludf.DUMMYFUNCTION("IMPORTRANGE(""https://docs.google.com/spreadsheets/d/11923uPwbBZFjjGgGUA6NLw09EwE0CqkOc4q9oUmW1yo/edit?usp=sharing"",""สุโขทัย!I381"")"),0)</f>
        <v>0</v>
      </c>
      <c r="J486" s="188">
        <f ca="1">IFERROR(__xludf.DUMMYFUNCTION("IMPORTRANGE(""https://docs.google.com/spreadsheets/d/11923uPwbBZFjjGgGUA6NLw09EwE0CqkOc4q9oUmW1yo/edit?usp=sharing"",""สุโขทัย!J381"")"),0)</f>
        <v>0</v>
      </c>
      <c r="K486" s="163">
        <f t="shared" ca="1" si="117"/>
        <v>0</v>
      </c>
      <c r="L486" s="181"/>
      <c r="M486" s="181"/>
      <c r="N486" s="181"/>
      <c r="O486" s="181"/>
      <c r="P486" s="181"/>
    </row>
    <row r="487" spans="1:16" ht="21.75" customHeight="1" x14ac:dyDescent="0.3">
      <c r="A487" s="400"/>
      <c r="B487" s="401"/>
      <c r="C487" s="401"/>
      <c r="D487" s="402"/>
      <c r="E487" s="195"/>
      <c r="F487" s="194" t="s">
        <v>178</v>
      </c>
      <c r="G487" s="419"/>
      <c r="H487" s="420" t="s">
        <v>122</v>
      </c>
      <c r="I487" s="202">
        <f ca="1">IFERROR(__xludf.DUMMYFUNCTION("IMPORTRANGE(""https://docs.google.com/spreadsheets/d/11923uPwbBZFjjGgGUA6NLw09EwE0CqkOc4q9oUmW1yo/edit?usp=sharing"",""สุโขทัย!I382"")"),0)</f>
        <v>0</v>
      </c>
      <c r="J487" s="418">
        <f ca="1">IFERROR(__xludf.DUMMYFUNCTION("IMPORTRANGE(""https://docs.google.com/spreadsheets/d/11923uPwbBZFjjGgGUA6NLw09EwE0CqkOc4q9oUmW1yo/edit?usp=sharing"",""สุโขทัย!J382"")"),0)</f>
        <v>0</v>
      </c>
      <c r="K487" s="163">
        <f t="shared" ca="1" si="117"/>
        <v>0</v>
      </c>
      <c r="L487" s="181"/>
      <c r="M487" s="181"/>
      <c r="N487" s="181"/>
      <c r="O487" s="181"/>
      <c r="P487" s="181"/>
    </row>
    <row r="488" spans="1:16" ht="21.75" customHeight="1" x14ac:dyDescent="0.3">
      <c r="A488" s="400"/>
      <c r="B488" s="401"/>
      <c r="C488" s="401"/>
      <c r="D488" s="402"/>
      <c r="E488" s="195"/>
      <c r="F488" s="195"/>
      <c r="G488" s="195"/>
      <c r="H488" s="420" t="s">
        <v>36</v>
      </c>
      <c r="I488" s="202">
        <f ca="1">IFERROR(__xludf.DUMMYFUNCTION("IMPORTRANGE(""https://docs.google.com/spreadsheets/d/11923uPwbBZFjjGgGUA6NLw09EwE0CqkOc4q9oUmW1yo/edit?usp=sharing"",""สุโขทัย!I383"")"),0)</f>
        <v>0</v>
      </c>
      <c r="J488" s="418">
        <f ca="1">IFERROR(__xludf.DUMMYFUNCTION("IMPORTRANGE(""https://docs.google.com/spreadsheets/d/11923uPwbBZFjjGgGUA6NLw09EwE0CqkOc4q9oUmW1yo/edit?usp=sharing"",""สุโขทัย!J383"")"),0)</f>
        <v>0</v>
      </c>
      <c r="K488" s="163">
        <f t="shared" ca="1" si="117"/>
        <v>0</v>
      </c>
      <c r="L488" s="181"/>
      <c r="M488" s="181"/>
      <c r="N488" s="181"/>
      <c r="O488" s="181"/>
      <c r="P488" s="181"/>
    </row>
    <row r="489" spans="1:16" ht="21.75" customHeight="1" x14ac:dyDescent="0.3">
      <c r="A489" s="400"/>
      <c r="B489" s="401"/>
      <c r="C489" s="401"/>
      <c r="D489" s="402"/>
      <c r="E489" s="195"/>
      <c r="F489" s="195"/>
      <c r="G489" s="194" t="s">
        <v>179</v>
      </c>
      <c r="H489" s="420" t="s">
        <v>122</v>
      </c>
      <c r="I489" s="202">
        <f ca="1">IFERROR(__xludf.DUMMYFUNCTION("IMPORTRANGE(""https://docs.google.com/spreadsheets/d/11923uPwbBZFjjGgGUA6NLw09EwE0CqkOc4q9oUmW1yo/edit?usp=sharing"",""สุโขทัย!I384"")"),0)</f>
        <v>0</v>
      </c>
      <c r="J489" s="188">
        <f ca="1">IFERROR(__xludf.DUMMYFUNCTION("IMPORTRANGE(""https://docs.google.com/spreadsheets/d/11923uPwbBZFjjGgGUA6NLw09EwE0CqkOc4q9oUmW1yo/edit?usp=sharing"",""สุโขทัย!J384"")"),0)</f>
        <v>0</v>
      </c>
      <c r="K489" s="163">
        <f t="shared" ca="1" si="117"/>
        <v>0</v>
      </c>
      <c r="L489" s="181"/>
      <c r="M489" s="181"/>
      <c r="N489" s="181"/>
      <c r="O489" s="181"/>
      <c r="P489" s="181"/>
    </row>
    <row r="490" spans="1:16" ht="21.75" customHeight="1" x14ac:dyDescent="0.3">
      <c r="A490" s="400"/>
      <c r="B490" s="401"/>
      <c r="C490" s="401"/>
      <c r="D490" s="402"/>
      <c r="E490" s="195"/>
      <c r="F490" s="195"/>
      <c r="G490" s="195"/>
      <c r="H490" s="420" t="s">
        <v>36</v>
      </c>
      <c r="I490" s="202">
        <f ca="1">IFERROR(__xludf.DUMMYFUNCTION("IMPORTRANGE(""https://docs.google.com/spreadsheets/d/11923uPwbBZFjjGgGUA6NLw09EwE0CqkOc4q9oUmW1yo/edit?usp=sharing"",""สุโขทัย!I385"")"),0)</f>
        <v>0</v>
      </c>
      <c r="J490" s="188">
        <f ca="1">IFERROR(__xludf.DUMMYFUNCTION("IMPORTRANGE(""https://docs.google.com/spreadsheets/d/11923uPwbBZFjjGgGUA6NLw09EwE0CqkOc4q9oUmW1yo/edit?usp=sharing"",""สุโขทัย!J385"")"),0)</f>
        <v>0</v>
      </c>
      <c r="K490" s="163">
        <f t="shared" ca="1" si="117"/>
        <v>0</v>
      </c>
      <c r="L490" s="181"/>
      <c r="M490" s="181"/>
      <c r="N490" s="181"/>
      <c r="O490" s="181"/>
      <c r="P490" s="181"/>
    </row>
    <row r="491" spans="1:16" ht="21.75" customHeight="1" x14ac:dyDescent="0.3">
      <c r="A491" s="400"/>
      <c r="B491" s="401"/>
      <c r="C491" s="401"/>
      <c r="D491" s="402"/>
      <c r="E491" s="195"/>
      <c r="F491" s="195"/>
      <c r="G491" s="194" t="s">
        <v>180</v>
      </c>
      <c r="H491" s="420" t="s">
        <v>122</v>
      </c>
      <c r="I491" s="202">
        <f ca="1">IFERROR(__xludf.DUMMYFUNCTION("IMPORTRANGE(""https://docs.google.com/spreadsheets/d/11923uPwbBZFjjGgGUA6NLw09EwE0CqkOc4q9oUmW1yo/edit?usp=sharing"",""สุโขทัย!I386"")"),0)</f>
        <v>0</v>
      </c>
      <c r="J491" s="188">
        <f ca="1">IFERROR(__xludf.DUMMYFUNCTION("IMPORTRANGE(""https://docs.google.com/spreadsheets/d/11923uPwbBZFjjGgGUA6NLw09EwE0CqkOc4q9oUmW1yo/edit?usp=sharing"",""สุโขทัย!J386"")"),0)</f>
        <v>0</v>
      </c>
      <c r="K491" s="163">
        <f t="shared" ca="1" si="117"/>
        <v>0</v>
      </c>
      <c r="L491" s="181"/>
      <c r="M491" s="181"/>
      <c r="N491" s="181"/>
      <c r="O491" s="181"/>
      <c r="P491" s="181"/>
    </row>
    <row r="492" spans="1:16" ht="21.75" customHeight="1" x14ac:dyDescent="0.3">
      <c r="A492" s="400"/>
      <c r="B492" s="401"/>
      <c r="C492" s="401"/>
      <c r="D492" s="402"/>
      <c r="E492" s="195"/>
      <c r="F492" s="195"/>
      <c r="G492" s="196"/>
      <c r="H492" s="420" t="s">
        <v>36</v>
      </c>
      <c r="I492" s="202">
        <f ca="1">IFERROR(__xludf.DUMMYFUNCTION("IMPORTRANGE(""https://docs.google.com/spreadsheets/d/11923uPwbBZFjjGgGUA6NLw09EwE0CqkOc4q9oUmW1yo/edit?usp=sharing"",""สุโขทัย!I387"")"),0)</f>
        <v>0</v>
      </c>
      <c r="J492" s="188">
        <f ca="1">IFERROR(__xludf.DUMMYFUNCTION("IMPORTRANGE(""https://docs.google.com/spreadsheets/d/11923uPwbBZFjjGgGUA6NLw09EwE0CqkOc4q9oUmW1yo/edit?usp=sharing"",""สุโขทัย!J387"")"),0)</f>
        <v>0</v>
      </c>
      <c r="K492" s="163">
        <f t="shared" ca="1" si="117"/>
        <v>0</v>
      </c>
      <c r="L492" s="181"/>
      <c r="M492" s="181"/>
      <c r="N492" s="181"/>
      <c r="O492" s="181"/>
      <c r="P492" s="181"/>
    </row>
    <row r="493" spans="1:16" ht="21.75" customHeight="1" x14ac:dyDescent="0.3">
      <c r="A493" s="400"/>
      <c r="B493" s="401"/>
      <c r="C493" s="401"/>
      <c r="D493" s="402"/>
      <c r="E493" s="195"/>
      <c r="F493" s="194" t="s">
        <v>181</v>
      </c>
      <c r="G493" s="419"/>
      <c r="H493" s="420" t="s">
        <v>122</v>
      </c>
      <c r="I493" s="202">
        <f ca="1">IFERROR(__xludf.DUMMYFUNCTION("IMPORTRANGE(""https://docs.google.com/spreadsheets/d/11923uPwbBZFjjGgGUA6NLw09EwE0CqkOc4q9oUmW1yo/edit?usp=sharing"",""สุโขทัย!I388"")"),0)</f>
        <v>0</v>
      </c>
      <c r="J493" s="188">
        <f ca="1">IFERROR(__xludf.DUMMYFUNCTION("IMPORTRANGE(""https://docs.google.com/spreadsheets/d/11923uPwbBZFjjGgGUA6NLw09EwE0CqkOc4q9oUmW1yo/edit?usp=sharing"",""สุโขทัย!J388"")"),0)</f>
        <v>0</v>
      </c>
      <c r="K493" s="163">
        <f t="shared" ca="1" si="117"/>
        <v>0</v>
      </c>
      <c r="L493" s="181"/>
      <c r="M493" s="181"/>
      <c r="N493" s="181"/>
      <c r="O493" s="181"/>
      <c r="P493" s="181"/>
    </row>
    <row r="494" spans="1:16" ht="21.75" customHeight="1" x14ac:dyDescent="0.3">
      <c r="A494" s="429"/>
      <c r="B494" s="430"/>
      <c r="C494" s="430"/>
      <c r="D494" s="431"/>
      <c r="E494" s="345"/>
      <c r="F494" s="345"/>
      <c r="G494" s="345"/>
      <c r="H494" s="432" t="s">
        <v>36</v>
      </c>
      <c r="I494" s="433">
        <f ca="1">IFERROR(__xludf.DUMMYFUNCTION("IMPORTRANGE(""https://docs.google.com/spreadsheets/d/11923uPwbBZFjjGgGUA6NLw09EwE0CqkOc4q9oUmW1yo/edit?usp=sharing"",""สุโขทัย!I389"")"),0)</f>
        <v>0</v>
      </c>
      <c r="J494" s="434">
        <f ca="1">IFERROR(__xludf.DUMMYFUNCTION("IMPORTRANGE(""https://docs.google.com/spreadsheets/d/11923uPwbBZFjjGgGUA6NLw09EwE0CqkOc4q9oUmW1yo/edit?usp=sharing"",""สุโขทัย!J389"")"),0)</f>
        <v>0</v>
      </c>
      <c r="K494" s="286">
        <f t="shared" ca="1" si="117"/>
        <v>0</v>
      </c>
      <c r="L494" s="244"/>
      <c r="M494" s="244"/>
      <c r="N494" s="244"/>
      <c r="O494" s="244"/>
      <c r="P494" s="244"/>
    </row>
    <row r="495" spans="1:16" ht="21.75" customHeight="1" x14ac:dyDescent="0.3">
      <c r="A495" s="400"/>
      <c r="B495" s="401"/>
      <c r="C495" s="401"/>
      <c r="D495" s="402"/>
      <c r="E495" s="195"/>
      <c r="F495" s="195">
        <v>3.5</v>
      </c>
      <c r="G495" s="419" t="s">
        <v>182</v>
      </c>
      <c r="H495" s="420" t="s">
        <v>122</v>
      </c>
      <c r="I495" s="433">
        <f ca="1">IFERROR(__xludf.DUMMYFUNCTION("IMPORTRANGE(""https://docs.google.com/spreadsheets/d/11923uPwbBZFjjGgGUA6NLw09EwE0CqkOc4q9oUmW1yo/edit?usp=sharing"",""สุโขทัย!I390"")"),0)</f>
        <v>0</v>
      </c>
      <c r="J495" s="434">
        <f ca="1">IFERROR(__xludf.DUMMYFUNCTION("IMPORTRANGE(""https://docs.google.com/spreadsheets/d/11923uPwbBZFjjGgGUA6NLw09EwE0CqkOc4q9oUmW1yo/edit?usp=sharing"",""สุโขทัย!J390"")"),0)</f>
        <v>0</v>
      </c>
      <c r="K495" s="163">
        <f t="shared" ca="1" si="117"/>
        <v>0</v>
      </c>
      <c r="L495" s="181"/>
      <c r="M495" s="181"/>
      <c r="N495" s="181"/>
      <c r="O495" s="181"/>
      <c r="P495" s="181"/>
    </row>
    <row r="496" spans="1:16" ht="21.75" customHeight="1" x14ac:dyDescent="0.3">
      <c r="A496" s="429"/>
      <c r="B496" s="430"/>
      <c r="C496" s="430"/>
      <c r="D496" s="431"/>
      <c r="E496" s="345"/>
      <c r="F496" s="345"/>
      <c r="G496" s="345"/>
      <c r="H496" s="432" t="s">
        <v>36</v>
      </c>
      <c r="I496" s="433">
        <f ca="1">IFERROR(__xludf.DUMMYFUNCTION("IMPORTRANGE(""https://docs.google.com/spreadsheets/d/11923uPwbBZFjjGgGUA6NLw09EwE0CqkOc4q9oUmW1yo/edit?usp=sharing"",""สุโขทัย!I391"")"),0)</f>
        <v>0</v>
      </c>
      <c r="J496" s="434">
        <f ca="1">IFERROR(__xludf.DUMMYFUNCTION("IMPORTRANGE(""https://docs.google.com/spreadsheets/d/11923uPwbBZFjjGgGUA6NLw09EwE0CqkOc4q9oUmW1yo/edit?usp=sharing"",""สุโขทัย!J391"")"),0)</f>
        <v>0</v>
      </c>
      <c r="K496" s="286">
        <f t="shared" ca="1" si="117"/>
        <v>0</v>
      </c>
      <c r="L496" s="244"/>
      <c r="M496" s="244"/>
      <c r="N496" s="244"/>
      <c r="O496" s="244"/>
      <c r="P496" s="244"/>
    </row>
    <row r="497" spans="1:16" ht="21.75" customHeight="1" x14ac:dyDescent="0.3">
      <c r="A497" s="435"/>
      <c r="B497" s="436"/>
      <c r="C497" s="437" t="s">
        <v>183</v>
      </c>
      <c r="D497" s="437"/>
      <c r="E497" s="438"/>
      <c r="F497" s="438"/>
      <c r="G497" s="439"/>
      <c r="H497" s="440" t="s">
        <v>122</v>
      </c>
      <c r="I497" s="441">
        <f ca="1">IFERROR(__xludf.DUMMYFUNCTION("IMPORTRANGE(""https://docs.google.com/spreadsheets/d/11923uPwbBZFjjGgGUA6NLw09EwE0CqkOc4q9oUmW1yo/edit?usp=sharing"",""สุโขทัย!I392"")"),1851)</f>
        <v>1851</v>
      </c>
      <c r="J497" s="441">
        <f ca="1">IFERROR(__xludf.DUMMYFUNCTION("IMPORTRANGE(""https://docs.google.com/spreadsheets/d/11923uPwbBZFjjGgGUA6NLw09EwE0CqkOc4q9oUmW1yo/edit?usp=sharing"",""สุโขทัย!J392"")"),0)</f>
        <v>0</v>
      </c>
      <c r="K497" s="442">
        <f t="shared" ca="1" si="117"/>
        <v>0</v>
      </c>
      <c r="L497" s="443"/>
      <c r="M497" s="443"/>
      <c r="N497" s="443"/>
      <c r="O497" s="443"/>
      <c r="P497" s="443"/>
    </row>
    <row r="498" spans="1:16" ht="21.75" customHeight="1" x14ac:dyDescent="0.3">
      <c r="A498" s="175"/>
      <c r="B498" s="176"/>
      <c r="C498" s="176"/>
      <c r="D498" s="402"/>
      <c r="E498" s="444" t="s">
        <v>184</v>
      </c>
      <c r="F498" s="445"/>
      <c r="G498" s="446"/>
      <c r="H498" s="447" t="s">
        <v>122</v>
      </c>
      <c r="I498" s="418">
        <f ca="1">IFERROR(__xludf.DUMMYFUNCTION("IMPORTRANGE(""https://docs.google.com/spreadsheets/d/11923uPwbBZFjjGgGUA6NLw09EwE0CqkOc4q9oUmW1yo/edit?usp=sharing"",""สุโขทัย!I393"")"),1851)</f>
        <v>1851</v>
      </c>
      <c r="J498" s="418">
        <f ca="1">IFERROR(__xludf.DUMMYFUNCTION("IMPORTRANGE(""https://docs.google.com/spreadsheets/d/11923uPwbBZFjjGgGUA6NLw09EwE0CqkOc4q9oUmW1yo/edit?usp=sharing"",""สุโขทัย!J393"")"),0)</f>
        <v>0</v>
      </c>
      <c r="K498" s="163">
        <f t="shared" ca="1" si="117"/>
        <v>0</v>
      </c>
      <c r="L498" s="181"/>
      <c r="M498" s="181"/>
      <c r="N498" s="181"/>
      <c r="O498" s="181"/>
      <c r="P498" s="181"/>
    </row>
    <row r="499" spans="1:16" ht="21.75" customHeight="1" x14ac:dyDescent="0.3">
      <c r="A499" s="175"/>
      <c r="B499" s="176"/>
      <c r="C499" s="176"/>
      <c r="D499" s="193"/>
      <c r="E499" s="445"/>
      <c r="F499" s="445"/>
      <c r="G499" s="446"/>
      <c r="H499" s="447" t="s">
        <v>36</v>
      </c>
      <c r="I499" s="418">
        <f ca="1">IFERROR(__xludf.DUMMYFUNCTION("IMPORTRANGE(""https://docs.google.com/spreadsheets/d/11923uPwbBZFjjGgGUA6NLw09EwE0CqkOc4q9oUmW1yo/edit?usp=sharing"",""สุโขทัย!I394"")"),138)</f>
        <v>138</v>
      </c>
      <c r="J499" s="418">
        <f ca="1">IFERROR(__xludf.DUMMYFUNCTION("IMPORTRANGE(""https://docs.google.com/spreadsheets/d/11923uPwbBZFjjGgGUA6NLw09EwE0CqkOc4q9oUmW1yo/edit?usp=sharing"",""สุโขทัย!J394"")"),0)</f>
        <v>0</v>
      </c>
      <c r="K499" s="201">
        <f t="shared" ca="1" si="117"/>
        <v>0</v>
      </c>
      <c r="L499" s="181"/>
      <c r="M499" s="181"/>
      <c r="N499" s="181"/>
      <c r="O499" s="181"/>
      <c r="P499" s="181"/>
    </row>
    <row r="500" spans="1:16" ht="21.75" customHeight="1" x14ac:dyDescent="0.3">
      <c r="A500" s="175"/>
      <c r="B500" s="176"/>
      <c r="C500" s="176"/>
      <c r="D500" s="402"/>
      <c r="E500" s="402" t="s">
        <v>185</v>
      </c>
      <c r="F500" s="195"/>
      <c r="G500" s="196"/>
      <c r="H500" s="420" t="s">
        <v>122</v>
      </c>
      <c r="I500" s="202">
        <f ca="1">IFERROR(__xludf.DUMMYFUNCTION("IMPORTRANGE(""https://docs.google.com/spreadsheets/d/11923uPwbBZFjjGgGUA6NLw09EwE0CqkOc4q9oUmW1yo/edit?usp=sharing"",""สุโขทัย!I395"")"),0)</f>
        <v>0</v>
      </c>
      <c r="J500" s="162">
        <f ca="1">IFERROR(__xludf.DUMMYFUNCTION("IMPORTRANGE(""https://docs.google.com/spreadsheets/d/11923uPwbBZFjjGgGUA6NLw09EwE0CqkOc4q9oUmW1yo/edit?usp=sharing"",""สุโขทัย!J395"")"),0)</f>
        <v>0</v>
      </c>
      <c r="K500" s="163">
        <f t="shared" ca="1" si="117"/>
        <v>0</v>
      </c>
      <c r="L500" s="181"/>
      <c r="M500" s="181"/>
      <c r="N500" s="181"/>
      <c r="O500" s="181"/>
      <c r="P500" s="181"/>
    </row>
    <row r="501" spans="1:16" ht="21.75" customHeight="1" x14ac:dyDescent="0.3">
      <c r="A501" s="175"/>
      <c r="B501" s="176"/>
      <c r="C501" s="176"/>
      <c r="D501" s="193"/>
      <c r="E501" s="195"/>
      <c r="F501" s="195"/>
      <c r="G501" s="196"/>
      <c r="H501" s="420" t="s">
        <v>36</v>
      </c>
      <c r="I501" s="202">
        <f ca="1">IFERROR(__xludf.DUMMYFUNCTION("IMPORTRANGE(""https://docs.google.com/spreadsheets/d/11923uPwbBZFjjGgGUA6NLw09EwE0CqkOc4q9oUmW1yo/edit?usp=sharing"",""สุโขทัย!I396"")"),0)</f>
        <v>0</v>
      </c>
      <c r="J501" s="162">
        <f ca="1">IFERROR(__xludf.DUMMYFUNCTION("IMPORTRANGE(""https://docs.google.com/spreadsheets/d/11923uPwbBZFjjGgGUA6NLw09EwE0CqkOc4q9oUmW1yo/edit?usp=sharing"",""สุโขทัย!J396"")"),0)</f>
        <v>0</v>
      </c>
      <c r="K501" s="163">
        <f t="shared" ca="1" si="117"/>
        <v>0</v>
      </c>
      <c r="L501" s="181"/>
      <c r="M501" s="181"/>
      <c r="N501" s="181"/>
      <c r="O501" s="181"/>
      <c r="P501" s="181"/>
    </row>
    <row r="502" spans="1:16" ht="21.75" customHeight="1" x14ac:dyDescent="0.3">
      <c r="A502" s="175"/>
      <c r="B502" s="176"/>
      <c r="C502" s="176"/>
      <c r="D502" s="193"/>
      <c r="E502" s="195"/>
      <c r="F502" s="397" t="s">
        <v>186</v>
      </c>
      <c r="G502" s="419"/>
      <c r="H502" s="420" t="s">
        <v>122</v>
      </c>
      <c r="I502" s="202">
        <f ca="1">IFERROR(__xludf.DUMMYFUNCTION("IMPORTRANGE(""https://docs.google.com/spreadsheets/d/11923uPwbBZFjjGgGUA6NLw09EwE0CqkOc4q9oUmW1yo/edit?usp=sharing"",""สุโขทัย!I397"")"),0)</f>
        <v>0</v>
      </c>
      <c r="J502" s="188">
        <f ca="1">IFERROR(__xludf.DUMMYFUNCTION("IMPORTRANGE(""https://docs.google.com/spreadsheets/d/11923uPwbBZFjjGgGUA6NLw09EwE0CqkOc4q9oUmW1yo/edit?usp=sharing"",""สุโขทัย!J397"")"),0)</f>
        <v>0</v>
      </c>
      <c r="K502" s="163">
        <f t="shared" ca="1" si="117"/>
        <v>0</v>
      </c>
      <c r="L502" s="181"/>
      <c r="M502" s="181"/>
      <c r="N502" s="181"/>
      <c r="O502" s="181"/>
      <c r="P502" s="181"/>
    </row>
    <row r="503" spans="1:16" ht="21.75" customHeight="1" x14ac:dyDescent="0.3">
      <c r="A503" s="175"/>
      <c r="B503" s="176"/>
      <c r="C503" s="176"/>
      <c r="D503" s="193"/>
      <c r="E503" s="195"/>
      <c r="F503" s="195"/>
      <c r="G503" s="419"/>
      <c r="H503" s="420" t="s">
        <v>36</v>
      </c>
      <c r="I503" s="187">
        <f ca="1">IFERROR(__xludf.DUMMYFUNCTION("IMPORTRANGE(""https://docs.google.com/spreadsheets/d/11923uPwbBZFjjGgGUA6NLw09EwE0CqkOc4q9oUmW1yo/edit?usp=sharing"",""สุโขทัย!I398"")"),0)</f>
        <v>0</v>
      </c>
      <c r="J503" s="197">
        <f ca="1">IFERROR(__xludf.DUMMYFUNCTION("IMPORTRANGE(""https://docs.google.com/spreadsheets/d/11923uPwbBZFjjGgGUA6NLw09EwE0CqkOc4q9oUmW1yo/edit?usp=sharing"",""สุโขทัย!J398"")"),0)</f>
        <v>0</v>
      </c>
      <c r="K503" s="163">
        <f t="shared" ca="1" si="117"/>
        <v>0</v>
      </c>
      <c r="L503" s="181"/>
      <c r="M503" s="181"/>
      <c r="N503" s="181"/>
      <c r="O503" s="181"/>
      <c r="P503" s="181"/>
    </row>
    <row r="504" spans="1:16" ht="21.75" customHeight="1" x14ac:dyDescent="0.3">
      <c r="A504" s="175"/>
      <c r="B504" s="176"/>
      <c r="C504" s="176"/>
      <c r="D504" s="193"/>
      <c r="E504" s="195"/>
      <c r="F504" s="388" t="s">
        <v>187</v>
      </c>
      <c r="G504" s="419"/>
      <c r="H504" s="420" t="s">
        <v>122</v>
      </c>
      <c r="I504" s="203">
        <f ca="1">IFERROR(__xludf.DUMMYFUNCTION("IMPORTRANGE(""https://docs.google.com/spreadsheets/d/11923uPwbBZFjjGgGUA6NLw09EwE0CqkOc4q9oUmW1yo/edit?usp=sharing"",""สุโขทัย!I399"")"),0)</f>
        <v>0</v>
      </c>
      <c r="J504" s="188">
        <f ca="1">IFERROR(__xludf.DUMMYFUNCTION("IMPORTRANGE(""https://docs.google.com/spreadsheets/d/11923uPwbBZFjjGgGUA6NLw09EwE0CqkOc4q9oUmW1yo/edit?usp=sharing"",""สุโขทัย!J399"")"),0)</f>
        <v>0</v>
      </c>
      <c r="K504" s="163">
        <f t="shared" ca="1" si="117"/>
        <v>0</v>
      </c>
      <c r="L504" s="181"/>
      <c r="M504" s="181"/>
      <c r="N504" s="181"/>
      <c r="O504" s="181"/>
      <c r="P504" s="181"/>
    </row>
    <row r="505" spans="1:16" ht="21.75" customHeight="1" x14ac:dyDescent="0.3">
      <c r="A505" s="175"/>
      <c r="B505" s="176"/>
      <c r="C505" s="176"/>
      <c r="D505" s="193"/>
      <c r="E505" s="195"/>
      <c r="F505" s="195"/>
      <c r="G505" s="419"/>
      <c r="H505" s="420" t="s">
        <v>36</v>
      </c>
      <c r="I505" s="187">
        <f ca="1">IFERROR(__xludf.DUMMYFUNCTION("IMPORTRANGE(""https://docs.google.com/spreadsheets/d/11923uPwbBZFjjGgGUA6NLw09EwE0CqkOc4q9oUmW1yo/edit?usp=sharing"",""สุโขทัย!I400"")"),0)</f>
        <v>0</v>
      </c>
      <c r="J505" s="197">
        <f ca="1">IFERROR(__xludf.DUMMYFUNCTION("IMPORTRANGE(""https://docs.google.com/spreadsheets/d/11923uPwbBZFjjGgGUA6NLw09EwE0CqkOc4q9oUmW1yo/edit?usp=sharing"",""สุโขทัย!J400"")"),0)</f>
        <v>0</v>
      </c>
      <c r="K505" s="163">
        <f t="shared" ca="1" si="117"/>
        <v>0</v>
      </c>
      <c r="L505" s="181"/>
      <c r="M505" s="181"/>
      <c r="N505" s="181"/>
      <c r="O505" s="181"/>
      <c r="P505" s="181"/>
    </row>
    <row r="506" spans="1:16" ht="21.75" customHeight="1" x14ac:dyDescent="0.3">
      <c r="A506" s="175"/>
      <c r="B506" s="176"/>
      <c r="C506" s="176"/>
      <c r="D506" s="193"/>
      <c r="E506" s="195"/>
      <c r="F506" s="397" t="s">
        <v>188</v>
      </c>
      <c r="G506" s="419"/>
      <c r="H506" s="420" t="s">
        <v>122</v>
      </c>
      <c r="I506" s="203">
        <f ca="1">IFERROR(__xludf.DUMMYFUNCTION("IMPORTRANGE(""https://docs.google.com/spreadsheets/d/11923uPwbBZFjjGgGUA6NLw09EwE0CqkOc4q9oUmW1yo/edit?usp=sharing"",""สุโขทัย!I401"")"),0)</f>
        <v>0</v>
      </c>
      <c r="J506" s="188">
        <f ca="1">IFERROR(__xludf.DUMMYFUNCTION("IMPORTRANGE(""https://docs.google.com/spreadsheets/d/11923uPwbBZFjjGgGUA6NLw09EwE0CqkOc4q9oUmW1yo/edit?usp=sharing"",""สุโขทัย!J401"")"),0)</f>
        <v>0</v>
      </c>
      <c r="K506" s="163">
        <f t="shared" ca="1" si="117"/>
        <v>0</v>
      </c>
      <c r="L506" s="181"/>
      <c r="M506" s="181"/>
      <c r="N506" s="181"/>
      <c r="O506" s="181"/>
      <c r="P506" s="181"/>
    </row>
    <row r="507" spans="1:16" ht="21.75" customHeight="1" x14ac:dyDescent="0.3">
      <c r="A507" s="175"/>
      <c r="B507" s="176"/>
      <c r="C507" s="176"/>
      <c r="D507" s="193"/>
      <c r="E507" s="195"/>
      <c r="F507" s="195"/>
      <c r="G507" s="195"/>
      <c r="H507" s="420" t="s">
        <v>36</v>
      </c>
      <c r="I507" s="187">
        <f ca="1">IFERROR(__xludf.DUMMYFUNCTION("IMPORTRANGE(""https://docs.google.com/spreadsheets/d/11923uPwbBZFjjGgGUA6NLw09EwE0CqkOc4q9oUmW1yo/edit?usp=sharing"",""สุโขทัย!I402"")"),0)</f>
        <v>0</v>
      </c>
      <c r="J507" s="197">
        <f ca="1">IFERROR(__xludf.DUMMYFUNCTION("IMPORTRANGE(""https://docs.google.com/spreadsheets/d/11923uPwbBZFjjGgGUA6NLw09EwE0CqkOc4q9oUmW1yo/edit?usp=sharing"",""สุโขทัย!J402"")"),0)</f>
        <v>0</v>
      </c>
      <c r="K507" s="163">
        <f t="shared" ca="1" si="117"/>
        <v>0</v>
      </c>
      <c r="L507" s="181"/>
      <c r="M507" s="181"/>
      <c r="N507" s="181"/>
      <c r="O507" s="181"/>
      <c r="P507" s="181"/>
    </row>
    <row r="508" spans="1:16" ht="21.75" customHeight="1" x14ac:dyDescent="0.3">
      <c r="A508" s="175"/>
      <c r="B508" s="176"/>
      <c r="C508" s="176"/>
      <c r="D508" s="193"/>
      <c r="E508" s="194" t="s">
        <v>189</v>
      </c>
      <c r="F508" s="195"/>
      <c r="G508" s="419"/>
      <c r="H508" s="420" t="s">
        <v>122</v>
      </c>
      <c r="I508" s="187">
        <f ca="1">IFERROR(__xludf.DUMMYFUNCTION("IMPORTRANGE(""https://docs.google.com/spreadsheets/d/11923uPwbBZFjjGgGUA6NLw09EwE0CqkOc4q9oUmW1yo/edit?usp=sharing"",""สุโขทัย!I403"")"),0)</f>
        <v>0</v>
      </c>
      <c r="J508" s="162">
        <f ca="1">IFERROR(__xludf.DUMMYFUNCTION("IMPORTRANGE(""https://docs.google.com/spreadsheets/d/11923uPwbBZFjjGgGUA6NLw09EwE0CqkOc4q9oUmW1yo/edit?usp=sharing"",""สุโขทัย!J403"")"),0)</f>
        <v>0</v>
      </c>
      <c r="K508" s="163">
        <f t="shared" ca="1" si="117"/>
        <v>0</v>
      </c>
      <c r="L508" s="181"/>
      <c r="M508" s="181"/>
      <c r="N508" s="181"/>
      <c r="O508" s="181"/>
      <c r="P508" s="181"/>
    </row>
    <row r="509" spans="1:16" ht="21.75" customHeight="1" x14ac:dyDescent="0.3">
      <c r="A509" s="175"/>
      <c r="B509" s="176"/>
      <c r="C509" s="176"/>
      <c r="D509" s="193"/>
      <c r="E509" s="195"/>
      <c r="F509" s="195"/>
      <c r="G509" s="195"/>
      <c r="H509" s="420" t="s">
        <v>36</v>
      </c>
      <c r="I509" s="187">
        <f ca="1">IFERROR(__xludf.DUMMYFUNCTION("IMPORTRANGE(""https://docs.google.com/spreadsheets/d/11923uPwbBZFjjGgGUA6NLw09EwE0CqkOc4q9oUmW1yo/edit?usp=sharing"",""สุโขทัย!I404"")"),0)</f>
        <v>0</v>
      </c>
      <c r="J509" s="162">
        <f ca="1">IFERROR(__xludf.DUMMYFUNCTION("IMPORTRANGE(""https://docs.google.com/spreadsheets/d/11923uPwbBZFjjGgGUA6NLw09EwE0CqkOc4q9oUmW1yo/edit?usp=sharing"",""สุโขทัย!J404"")"),0)</f>
        <v>0</v>
      </c>
      <c r="K509" s="163">
        <f t="shared" ca="1" si="117"/>
        <v>0</v>
      </c>
      <c r="L509" s="181"/>
      <c r="M509" s="181"/>
      <c r="N509" s="181"/>
      <c r="O509" s="181"/>
      <c r="P509" s="181"/>
    </row>
    <row r="510" spans="1:16" ht="21.75" customHeight="1" x14ac:dyDescent="0.3">
      <c r="A510" s="175"/>
      <c r="B510" s="176"/>
      <c r="C510" s="176"/>
      <c r="D510" s="193"/>
      <c r="E510" s="195"/>
      <c r="F510" s="194" t="s">
        <v>190</v>
      </c>
      <c r="G510" s="195"/>
      <c r="H510" s="420" t="s">
        <v>122</v>
      </c>
      <c r="I510" s="187">
        <f ca="1">IFERROR(__xludf.DUMMYFUNCTION("IMPORTRANGE(""https://docs.google.com/spreadsheets/d/11923uPwbBZFjjGgGUA6NLw09EwE0CqkOc4q9oUmW1yo/edit?usp=sharing"",""สุโขทัย!I405"")"),0)</f>
        <v>0</v>
      </c>
      <c r="J510" s="197">
        <f ca="1">IFERROR(__xludf.DUMMYFUNCTION("IMPORTRANGE(""https://docs.google.com/spreadsheets/d/11923uPwbBZFjjGgGUA6NLw09EwE0CqkOc4q9oUmW1yo/edit?usp=sharing"",""สุโขทัย!J405"")"),0)</f>
        <v>0</v>
      </c>
      <c r="K510" s="163">
        <f t="shared" ca="1" si="117"/>
        <v>0</v>
      </c>
      <c r="L510" s="181"/>
      <c r="M510" s="181"/>
      <c r="N510" s="181"/>
      <c r="O510" s="181"/>
      <c r="P510" s="181"/>
    </row>
    <row r="511" spans="1:16" ht="21.75" customHeight="1" x14ac:dyDescent="0.3">
      <c r="A511" s="175"/>
      <c r="B511" s="176"/>
      <c r="C511" s="176"/>
      <c r="D511" s="193"/>
      <c r="E511" s="195"/>
      <c r="F511" s="195"/>
      <c r="G511" s="195"/>
      <c r="H511" s="420" t="s">
        <v>36</v>
      </c>
      <c r="I511" s="187">
        <f ca="1">IFERROR(__xludf.DUMMYFUNCTION("IMPORTRANGE(""https://docs.google.com/spreadsheets/d/11923uPwbBZFjjGgGUA6NLw09EwE0CqkOc4q9oUmW1yo/edit?usp=sharing"",""สุโขทัย!I406"")"),0)</f>
        <v>0</v>
      </c>
      <c r="J511" s="197">
        <f ca="1">IFERROR(__xludf.DUMMYFUNCTION("IMPORTRANGE(""https://docs.google.com/spreadsheets/d/11923uPwbBZFjjGgGUA6NLw09EwE0CqkOc4q9oUmW1yo/edit?usp=sharing"",""สุโขทัย!J406"")"),0)</f>
        <v>0</v>
      </c>
      <c r="K511" s="163">
        <f t="shared" ca="1" si="117"/>
        <v>0</v>
      </c>
      <c r="L511" s="181"/>
      <c r="M511" s="181"/>
      <c r="N511" s="181"/>
      <c r="O511" s="181"/>
      <c r="P511" s="181"/>
    </row>
    <row r="512" spans="1:16" ht="21.75" customHeight="1" x14ac:dyDescent="0.3">
      <c r="A512" s="175"/>
      <c r="B512" s="176"/>
      <c r="C512" s="176"/>
      <c r="D512" s="193"/>
      <c r="E512" s="195"/>
      <c r="F512" s="194" t="s">
        <v>191</v>
      </c>
      <c r="G512" s="195"/>
      <c r="H512" s="420" t="s">
        <v>122</v>
      </c>
      <c r="I512" s="187">
        <f ca="1">IFERROR(__xludf.DUMMYFUNCTION("IMPORTRANGE(""https://docs.google.com/spreadsheets/d/11923uPwbBZFjjGgGUA6NLw09EwE0CqkOc4q9oUmW1yo/edit?usp=sharing"",""สุโขทัย!I407"")"),0)</f>
        <v>0</v>
      </c>
      <c r="J512" s="197">
        <f ca="1">IFERROR(__xludf.DUMMYFUNCTION("IMPORTRANGE(""https://docs.google.com/spreadsheets/d/11923uPwbBZFjjGgGUA6NLw09EwE0CqkOc4q9oUmW1yo/edit?usp=sharing"",""สุโขทัย!J407"")"),0)</f>
        <v>0</v>
      </c>
      <c r="K512" s="163">
        <f t="shared" ca="1" si="117"/>
        <v>0</v>
      </c>
      <c r="L512" s="181"/>
      <c r="M512" s="181"/>
      <c r="N512" s="181"/>
      <c r="O512" s="181"/>
      <c r="P512" s="181"/>
    </row>
    <row r="513" spans="1:16" ht="21.75" customHeight="1" x14ac:dyDescent="0.3">
      <c r="A513" s="175"/>
      <c r="B513" s="176"/>
      <c r="C513" s="176"/>
      <c r="D513" s="193"/>
      <c r="E513" s="195"/>
      <c r="F513" s="195"/>
      <c r="G513" s="196"/>
      <c r="H513" s="420" t="s">
        <v>36</v>
      </c>
      <c r="I513" s="187">
        <f ca="1">IFERROR(__xludf.DUMMYFUNCTION("IMPORTRANGE(""https://docs.google.com/spreadsheets/d/11923uPwbBZFjjGgGUA6NLw09EwE0CqkOc4q9oUmW1yo/edit?usp=sharing"",""สุโขทัย!I408"")"),0)</f>
        <v>0</v>
      </c>
      <c r="J513" s="197">
        <f ca="1">IFERROR(__xludf.DUMMYFUNCTION("IMPORTRANGE(""https://docs.google.com/spreadsheets/d/11923uPwbBZFjjGgGUA6NLw09EwE0CqkOc4q9oUmW1yo/edit?usp=sharing"",""สุโขทัย!J408"")"),0)</f>
        <v>0</v>
      </c>
      <c r="K513" s="163">
        <f t="shared" ca="1" si="117"/>
        <v>0</v>
      </c>
      <c r="L513" s="181"/>
      <c r="M513" s="181"/>
      <c r="N513" s="181"/>
      <c r="O513" s="181"/>
      <c r="P513" s="181"/>
    </row>
    <row r="514" spans="1:16" ht="21.75" customHeight="1" x14ac:dyDescent="0.3">
      <c r="A514" s="175"/>
      <c r="B514" s="176"/>
      <c r="C514" s="176"/>
      <c r="D514" s="402"/>
      <c r="E514" s="448" t="s">
        <v>192</v>
      </c>
      <c r="F514" s="195"/>
      <c r="G514" s="196"/>
      <c r="H514" s="420" t="s">
        <v>122</v>
      </c>
      <c r="I514" s="187">
        <f ca="1">IFERROR(__xludf.DUMMYFUNCTION("IMPORTRANGE(""https://docs.google.com/spreadsheets/d/11923uPwbBZFjjGgGUA6NLw09EwE0CqkOc4q9oUmW1yo/edit?usp=sharing"",""สุโขทัย!I409"")"),0)</f>
        <v>0</v>
      </c>
      <c r="J514" s="197">
        <f ca="1">IFERROR(__xludf.DUMMYFUNCTION("IMPORTRANGE(""https://docs.google.com/spreadsheets/d/11923uPwbBZFjjGgGUA6NLw09EwE0CqkOc4q9oUmW1yo/edit?usp=sharing"",""สุโขทัย!J409"")"),0)</f>
        <v>0</v>
      </c>
      <c r="K514" s="163">
        <f t="shared" ca="1" si="117"/>
        <v>0</v>
      </c>
      <c r="L514" s="181"/>
      <c r="M514" s="181"/>
      <c r="N514" s="181"/>
      <c r="O514" s="181"/>
      <c r="P514" s="181"/>
    </row>
    <row r="515" spans="1:16" ht="21.75" customHeight="1" x14ac:dyDescent="0.3">
      <c r="A515" s="175"/>
      <c r="B515" s="176"/>
      <c r="C515" s="176"/>
      <c r="D515" s="193"/>
      <c r="E515" s="195"/>
      <c r="F515" s="195"/>
      <c r="G515" s="196"/>
      <c r="H515" s="420" t="s">
        <v>36</v>
      </c>
      <c r="I515" s="187">
        <f ca="1">IFERROR(__xludf.DUMMYFUNCTION("IMPORTRANGE(""https://docs.google.com/spreadsheets/d/11923uPwbBZFjjGgGUA6NLw09EwE0CqkOc4q9oUmW1yo/edit?usp=sharing"",""สุโขทัย!I410"")"),0)</f>
        <v>0</v>
      </c>
      <c r="J515" s="197">
        <f ca="1">IFERROR(__xludf.DUMMYFUNCTION("IMPORTRANGE(""https://docs.google.com/spreadsheets/d/11923uPwbBZFjjGgGUA6NLw09EwE0CqkOc4q9oUmW1yo/edit?usp=sharing"",""สุโขทัย!J410"")"),0)</f>
        <v>0</v>
      </c>
      <c r="K515" s="163">
        <f t="shared" ca="1" si="117"/>
        <v>0</v>
      </c>
      <c r="L515" s="181"/>
      <c r="M515" s="181"/>
      <c r="N515" s="181"/>
      <c r="O515" s="181"/>
      <c r="P515" s="181"/>
    </row>
    <row r="516" spans="1:16" ht="21.75" customHeight="1" x14ac:dyDescent="0.3">
      <c r="A516" s="175"/>
      <c r="B516" s="176"/>
      <c r="C516" s="413" t="s">
        <v>193</v>
      </c>
      <c r="D516" s="413"/>
      <c r="E516" s="449"/>
      <c r="F516" s="449"/>
      <c r="G516" s="450"/>
      <c r="H516" s="451" t="s">
        <v>122</v>
      </c>
      <c r="I516" s="266">
        <f ca="1">IFERROR(__xludf.DUMMYFUNCTION("IMPORTRANGE(""https://docs.google.com/spreadsheets/d/11923uPwbBZFjjGgGUA6NLw09EwE0CqkOc4q9oUmW1yo/edit?usp=sharing"",""สุโขทัย!I411"")"),0)</f>
        <v>0</v>
      </c>
      <c r="J516" s="266">
        <f ca="1">IFERROR(__xludf.DUMMYFUNCTION("IMPORTRANGE(""https://docs.google.com/spreadsheets/d/11923uPwbBZFjjGgGUA6NLw09EwE0CqkOc4q9oUmW1yo/edit?usp=sharing"",""สุโขทัย!J411"")"),0)</f>
        <v>0</v>
      </c>
      <c r="K516" s="267">
        <v>0</v>
      </c>
      <c r="L516" s="181"/>
      <c r="M516" s="181"/>
      <c r="N516" s="181"/>
      <c r="O516" s="181"/>
      <c r="P516" s="181"/>
    </row>
    <row r="517" spans="1:16" ht="21.75" customHeight="1" x14ac:dyDescent="0.3">
      <c r="A517" s="175"/>
      <c r="B517" s="176"/>
      <c r="C517" s="452"/>
      <c r="D517" s="452"/>
      <c r="E517" s="452" t="s">
        <v>194</v>
      </c>
      <c r="F517" s="453"/>
      <c r="G517" s="454"/>
      <c r="H517" s="455" t="s">
        <v>122</v>
      </c>
      <c r="I517" s="282">
        <f ca="1">IFERROR(__xludf.DUMMYFUNCTION("IMPORTRANGE(""https://docs.google.com/spreadsheets/d/11923uPwbBZFjjGgGUA6NLw09EwE0CqkOc4q9oUmW1yo/edit?usp=sharing"",""สุโขทัย!I412"")"),0)</f>
        <v>0</v>
      </c>
      <c r="J517" s="282">
        <f ca="1">IFERROR(__xludf.DUMMYFUNCTION("IMPORTRANGE(""https://docs.google.com/spreadsheets/d/11923uPwbBZFjjGgGUA6NLw09EwE0CqkOc4q9oUmW1yo/edit?usp=sharing"",""สุโขทัย!J412"")"),0)</f>
        <v>0</v>
      </c>
      <c r="K517" s="283">
        <v>0</v>
      </c>
      <c r="L517" s="181"/>
      <c r="M517" s="181"/>
      <c r="N517" s="181"/>
      <c r="O517" s="181"/>
      <c r="P517" s="181"/>
    </row>
    <row r="518" spans="1:16" ht="21.75" customHeight="1" x14ac:dyDescent="0.3">
      <c r="A518" s="175"/>
      <c r="B518" s="176"/>
      <c r="C518" s="452"/>
      <c r="D518" s="452"/>
      <c r="E518" s="452" t="s">
        <v>195</v>
      </c>
      <c r="F518" s="453"/>
      <c r="G518" s="454"/>
      <c r="H518" s="455" t="s">
        <v>36</v>
      </c>
      <c r="I518" s="282">
        <f ca="1">IFERROR(__xludf.DUMMYFUNCTION("IMPORTRANGE(""https://docs.google.com/spreadsheets/d/11923uPwbBZFjjGgGUA6NLw09EwE0CqkOc4q9oUmW1yo/edit?usp=sharing"",""สุโขทัย!I413"")"),0)</f>
        <v>0</v>
      </c>
      <c r="J518" s="282">
        <f ca="1">IFERROR(__xludf.DUMMYFUNCTION("IMPORTRANGE(""https://docs.google.com/spreadsheets/d/11923uPwbBZFjjGgGUA6NLw09EwE0CqkOc4q9oUmW1yo/edit?usp=sharing"",""สุโขทัย!J413"")"),0)</f>
        <v>0</v>
      </c>
      <c r="K518" s="283">
        <v>0</v>
      </c>
      <c r="L518" s="181"/>
      <c r="M518" s="181"/>
      <c r="N518" s="181"/>
      <c r="O518" s="181"/>
      <c r="P518" s="181"/>
    </row>
    <row r="519" spans="1:16" ht="21.75" customHeight="1" x14ac:dyDescent="0.3">
      <c r="A519" s="175"/>
      <c r="B519" s="176"/>
      <c r="C519" s="176"/>
      <c r="D519" s="193"/>
      <c r="E519" s="195"/>
      <c r="F519" s="195"/>
      <c r="G519" s="225" t="s">
        <v>196</v>
      </c>
      <c r="H519" s="420" t="s">
        <v>122</v>
      </c>
      <c r="I519" s="187">
        <f ca="1">IFERROR(__xludf.DUMMYFUNCTION("IMPORTRANGE(""https://docs.google.com/spreadsheets/d/11923uPwbBZFjjGgGUA6NLw09EwE0CqkOc4q9oUmW1yo/edit?usp=sharing"",""สุโขทัย!I414"")"),0)</f>
        <v>0</v>
      </c>
      <c r="J519" s="187">
        <f ca="1">IFERROR(__xludf.DUMMYFUNCTION("IMPORTRANGE(""https://docs.google.com/spreadsheets/d/11923uPwbBZFjjGgGUA6NLw09EwE0CqkOc4q9oUmW1yo/edit?usp=sharing"",""สุโขทัย!J414"")"),0)</f>
        <v>0</v>
      </c>
      <c r="K519" s="163">
        <v>0</v>
      </c>
      <c r="L519" s="181"/>
      <c r="M519" s="181"/>
      <c r="N519" s="181"/>
      <c r="O519" s="181"/>
      <c r="P519" s="181"/>
    </row>
    <row r="520" spans="1:16" ht="21.75" customHeight="1" x14ac:dyDescent="0.3">
      <c r="A520" s="175"/>
      <c r="B520" s="176"/>
      <c r="C520" s="176"/>
      <c r="D520" s="193"/>
      <c r="E520" s="195"/>
      <c r="F520" s="195"/>
      <c r="G520" s="196"/>
      <c r="H520" s="420" t="s">
        <v>36</v>
      </c>
      <c r="I520" s="187">
        <f ca="1">IFERROR(__xludf.DUMMYFUNCTION("IMPORTRANGE(""https://docs.google.com/spreadsheets/d/11923uPwbBZFjjGgGUA6NLw09EwE0CqkOc4q9oUmW1yo/edit?usp=sharing"",""สุโขทัย!I415"")"),0)</f>
        <v>0</v>
      </c>
      <c r="J520" s="187">
        <f ca="1">IFERROR(__xludf.DUMMYFUNCTION("IMPORTRANGE(""https://docs.google.com/spreadsheets/d/11923uPwbBZFjjGgGUA6NLw09EwE0CqkOc4q9oUmW1yo/edit?usp=sharing"",""สุโขทัย!J415"")"),0)</f>
        <v>0</v>
      </c>
      <c r="K520" s="163">
        <v>0</v>
      </c>
      <c r="L520" s="181"/>
      <c r="M520" s="181"/>
      <c r="N520" s="181"/>
      <c r="O520" s="181"/>
      <c r="P520" s="181"/>
    </row>
    <row r="521" spans="1:16" ht="21.75" customHeight="1" x14ac:dyDescent="0.3">
      <c r="A521" s="175"/>
      <c r="B521" s="176"/>
      <c r="C521" s="176"/>
      <c r="D521" s="193"/>
      <c r="E521" s="195"/>
      <c r="F521" s="195"/>
      <c r="G521" s="225" t="s">
        <v>197</v>
      </c>
      <c r="H521" s="420" t="s">
        <v>122</v>
      </c>
      <c r="I521" s="187">
        <f ca="1">IFERROR(__xludf.DUMMYFUNCTION("IMPORTRANGE(""https://docs.google.com/spreadsheets/d/11923uPwbBZFjjGgGUA6NLw09EwE0CqkOc4q9oUmW1yo/edit?usp=sharing"",""สุโขทัย!I416"")"),0)</f>
        <v>0</v>
      </c>
      <c r="J521" s="187">
        <f ca="1">IFERROR(__xludf.DUMMYFUNCTION("IMPORTRANGE(""https://docs.google.com/spreadsheets/d/11923uPwbBZFjjGgGUA6NLw09EwE0CqkOc4q9oUmW1yo/edit?usp=sharing"",""สุโขทัย!J416"")"),0)</f>
        <v>0</v>
      </c>
      <c r="K521" s="163">
        <v>0</v>
      </c>
      <c r="L521" s="181"/>
      <c r="M521" s="181"/>
      <c r="N521" s="181"/>
      <c r="O521" s="181"/>
      <c r="P521" s="181"/>
    </row>
    <row r="522" spans="1:16" ht="21.75" customHeight="1" x14ac:dyDescent="0.3">
      <c r="A522" s="175"/>
      <c r="B522" s="176"/>
      <c r="C522" s="176"/>
      <c r="D522" s="193"/>
      <c r="E522" s="195"/>
      <c r="F522" s="195"/>
      <c r="G522" s="196"/>
      <c r="H522" s="420" t="s">
        <v>36</v>
      </c>
      <c r="I522" s="187">
        <f ca="1">IFERROR(__xludf.DUMMYFUNCTION("IMPORTRANGE(""https://docs.google.com/spreadsheets/d/11923uPwbBZFjjGgGUA6NLw09EwE0CqkOc4q9oUmW1yo/edit?usp=sharing"",""สุโขทัย!I417"")"),0)</f>
        <v>0</v>
      </c>
      <c r="J522" s="187">
        <f ca="1">IFERROR(__xludf.DUMMYFUNCTION("IMPORTRANGE(""https://docs.google.com/spreadsheets/d/11923uPwbBZFjjGgGUA6NLw09EwE0CqkOc4q9oUmW1yo/edit?usp=sharing"",""สุโขทัย!J417"")"),0)</f>
        <v>0</v>
      </c>
      <c r="K522" s="163">
        <v>0</v>
      </c>
      <c r="L522" s="181"/>
      <c r="M522" s="181"/>
      <c r="N522" s="181"/>
      <c r="O522" s="181"/>
      <c r="P522" s="181"/>
    </row>
    <row r="523" spans="1:16" ht="21.75" customHeight="1" x14ac:dyDescent="0.3">
      <c r="A523" s="175"/>
      <c r="B523" s="176"/>
      <c r="C523" s="176"/>
      <c r="D523" s="193"/>
      <c r="E523" s="195"/>
      <c r="F523" s="195"/>
      <c r="G523" s="456" t="s">
        <v>198</v>
      </c>
      <c r="H523" s="420" t="s">
        <v>122</v>
      </c>
      <c r="I523" s="187">
        <f ca="1">IFERROR(__xludf.DUMMYFUNCTION("IMPORTRANGE(""https://docs.google.com/spreadsheets/d/11923uPwbBZFjjGgGUA6NLw09EwE0CqkOc4q9oUmW1yo/edit?usp=sharing"",""สุโขทัย!I418"")"),0)</f>
        <v>0</v>
      </c>
      <c r="J523" s="187">
        <f ca="1">IFERROR(__xludf.DUMMYFUNCTION("IMPORTRANGE(""https://docs.google.com/spreadsheets/d/11923uPwbBZFjjGgGUA6NLw09EwE0CqkOc4q9oUmW1yo/edit?usp=sharing"",""สุโขทัย!J418"")"),12)</f>
        <v>12</v>
      </c>
      <c r="K523" s="163">
        <v>0</v>
      </c>
      <c r="L523" s="181"/>
      <c r="M523" s="181"/>
      <c r="N523" s="181"/>
      <c r="O523" s="181"/>
      <c r="P523" s="181"/>
    </row>
    <row r="524" spans="1:16" ht="21.75" customHeight="1" x14ac:dyDescent="0.3">
      <c r="A524" s="175"/>
      <c r="B524" s="176"/>
      <c r="C524" s="176"/>
      <c r="D524" s="193"/>
      <c r="E524" s="195"/>
      <c r="F524" s="195"/>
      <c r="G524" s="196"/>
      <c r="H524" s="420" t="s">
        <v>36</v>
      </c>
      <c r="I524" s="187">
        <f ca="1">IFERROR(__xludf.DUMMYFUNCTION("IMPORTRANGE(""https://docs.google.com/spreadsheets/d/11923uPwbBZFjjGgGUA6NLw09EwE0CqkOc4q9oUmW1yo/edit?usp=sharing"",""สุโขทัย!I419"")"),0)</f>
        <v>0</v>
      </c>
      <c r="J524" s="187">
        <f ca="1">IFERROR(__xludf.DUMMYFUNCTION("IMPORTRANGE(""https://docs.google.com/spreadsheets/d/11923uPwbBZFjjGgGUA6NLw09EwE0CqkOc4q9oUmW1yo/edit?usp=sharing"",""สุโขทัย!J419"")"),2)</f>
        <v>2</v>
      </c>
      <c r="K524" s="163">
        <v>0</v>
      </c>
      <c r="L524" s="181"/>
      <c r="M524" s="181"/>
      <c r="N524" s="181"/>
      <c r="O524" s="181"/>
      <c r="P524" s="181"/>
    </row>
    <row r="525" spans="1:16" ht="21.75" customHeight="1" x14ac:dyDescent="0.3">
      <c r="A525" s="175"/>
      <c r="B525" s="176"/>
      <c r="C525" s="452"/>
      <c r="D525" s="452"/>
      <c r="E525" s="452" t="s">
        <v>199</v>
      </c>
      <c r="F525" s="453"/>
      <c r="G525" s="454"/>
      <c r="H525" s="455" t="s">
        <v>122</v>
      </c>
      <c r="I525" s="282">
        <f ca="1">IFERROR(__xludf.DUMMYFUNCTION("IMPORTRANGE(""https://docs.google.com/spreadsheets/d/11923uPwbBZFjjGgGUA6NLw09EwE0CqkOc4q9oUmW1yo/edit?usp=sharing"",""สุโขทัย!I420"")"),12)</f>
        <v>12</v>
      </c>
      <c r="J525" s="282">
        <f ca="1">IFERROR(__xludf.DUMMYFUNCTION("IMPORTRANGE(""https://docs.google.com/spreadsheets/d/11923uPwbBZFjjGgGUA6NLw09EwE0CqkOc4q9oUmW1yo/edit?usp=sharing"",""สุโขทัย!J420"")"),12)</f>
        <v>12</v>
      </c>
      <c r="K525" s="283">
        <v>0</v>
      </c>
      <c r="L525" s="181"/>
      <c r="M525" s="181"/>
      <c r="N525" s="181"/>
      <c r="O525" s="181"/>
      <c r="P525" s="181"/>
    </row>
    <row r="526" spans="1:16" ht="21.75" customHeight="1" x14ac:dyDescent="0.3">
      <c r="A526" s="175"/>
      <c r="B526" s="176"/>
      <c r="C526" s="452"/>
      <c r="D526" s="452"/>
      <c r="E526" s="452" t="s">
        <v>200</v>
      </c>
      <c r="F526" s="453"/>
      <c r="G526" s="454"/>
      <c r="H526" s="455" t="s">
        <v>36</v>
      </c>
      <c r="I526" s="282">
        <f ca="1">IFERROR(__xludf.DUMMYFUNCTION("IMPORTRANGE(""https://docs.google.com/spreadsheets/d/11923uPwbBZFjjGgGUA6NLw09EwE0CqkOc4q9oUmW1yo/edit?usp=sharing"",""สุโขทัย!I421"")"),2)</f>
        <v>2</v>
      </c>
      <c r="J526" s="282">
        <f ca="1">IFERROR(__xludf.DUMMYFUNCTION("IMPORTRANGE(""https://docs.google.com/spreadsheets/d/11923uPwbBZFjjGgGUA6NLw09EwE0CqkOc4q9oUmW1yo/edit?usp=sharing"",""สุโขทัย!J421"")"),2)</f>
        <v>2</v>
      </c>
      <c r="K526" s="283">
        <v>0</v>
      </c>
      <c r="L526" s="181"/>
      <c r="M526" s="181"/>
      <c r="N526" s="181"/>
      <c r="O526" s="181"/>
      <c r="P526" s="181"/>
    </row>
    <row r="527" spans="1:16" ht="21.75" customHeight="1" x14ac:dyDescent="0.3">
      <c r="A527" s="175"/>
      <c r="B527" s="176"/>
      <c r="C527" s="176"/>
      <c r="D527" s="193"/>
      <c r="E527" s="195"/>
      <c r="F527" s="195"/>
      <c r="G527" s="225" t="s">
        <v>196</v>
      </c>
      <c r="H527" s="420" t="s">
        <v>122</v>
      </c>
      <c r="I527" s="187">
        <f ca="1">IFERROR(__xludf.DUMMYFUNCTION("IMPORTRANGE(""https://docs.google.com/spreadsheets/d/11923uPwbBZFjjGgGUA6NLw09EwE0CqkOc4q9oUmW1yo/edit?usp=sharing"",""สุโขทัย!I422"")"),0)</f>
        <v>0</v>
      </c>
      <c r="J527" s="197">
        <f ca="1">IFERROR(__xludf.DUMMYFUNCTION("IMPORTRANGE(""https://docs.google.com/spreadsheets/d/11923uPwbBZFjjGgGUA6NLw09EwE0CqkOc4q9oUmW1yo/edit?usp=sharing"",""สุโขทัย!J422"")"),0)</f>
        <v>0</v>
      </c>
      <c r="K527" s="163">
        <v>0</v>
      </c>
      <c r="L527" s="181"/>
      <c r="M527" s="181"/>
      <c r="N527" s="181"/>
      <c r="O527" s="181"/>
      <c r="P527" s="181"/>
    </row>
    <row r="528" spans="1:16" ht="21.75" customHeight="1" x14ac:dyDescent="0.3">
      <c r="A528" s="175"/>
      <c r="B528" s="176"/>
      <c r="C528" s="176"/>
      <c r="D528" s="193"/>
      <c r="E528" s="195"/>
      <c r="F528" s="195"/>
      <c r="G528" s="196"/>
      <c r="H528" s="420" t="s">
        <v>36</v>
      </c>
      <c r="I528" s="187">
        <f ca="1">IFERROR(__xludf.DUMMYFUNCTION("IMPORTRANGE(""https://docs.google.com/spreadsheets/d/11923uPwbBZFjjGgGUA6NLw09EwE0CqkOc4q9oUmW1yo/edit?usp=sharing"",""สุโขทัย!I423"")"),0)</f>
        <v>0</v>
      </c>
      <c r="J528" s="197">
        <f ca="1">IFERROR(__xludf.DUMMYFUNCTION("IMPORTRANGE(""https://docs.google.com/spreadsheets/d/11923uPwbBZFjjGgGUA6NLw09EwE0CqkOc4q9oUmW1yo/edit?usp=sharing"",""สุโขทัย!J423"")"),0)</f>
        <v>0</v>
      </c>
      <c r="K528" s="163">
        <v>0</v>
      </c>
      <c r="L528" s="181"/>
      <c r="M528" s="181"/>
      <c r="N528" s="181"/>
      <c r="O528" s="181"/>
      <c r="P528" s="181"/>
    </row>
    <row r="529" spans="1:16" ht="21.75" customHeight="1" x14ac:dyDescent="0.3">
      <c r="A529" s="175"/>
      <c r="B529" s="176"/>
      <c r="C529" s="176"/>
      <c r="D529" s="193"/>
      <c r="E529" s="195"/>
      <c r="F529" s="195"/>
      <c r="G529" s="225" t="s">
        <v>197</v>
      </c>
      <c r="H529" s="420" t="s">
        <v>122</v>
      </c>
      <c r="I529" s="187">
        <f ca="1">IFERROR(__xludf.DUMMYFUNCTION("IMPORTRANGE(""https://docs.google.com/spreadsheets/d/11923uPwbBZFjjGgGUA6NLw09EwE0CqkOc4q9oUmW1yo/edit?usp=sharing"",""สุโขทัย!I424"")"),0)</f>
        <v>0</v>
      </c>
      <c r="J529" s="197">
        <f ca="1">IFERROR(__xludf.DUMMYFUNCTION("IMPORTRANGE(""https://docs.google.com/spreadsheets/d/11923uPwbBZFjjGgGUA6NLw09EwE0CqkOc4q9oUmW1yo/edit?usp=sharing"",""สุโขทัย!J424"")"),12)</f>
        <v>12</v>
      </c>
      <c r="K529" s="163">
        <v>0</v>
      </c>
      <c r="L529" s="181"/>
      <c r="M529" s="181"/>
      <c r="N529" s="181"/>
      <c r="O529" s="181"/>
      <c r="P529" s="181"/>
    </row>
    <row r="530" spans="1:16" ht="21.75" customHeight="1" x14ac:dyDescent="0.3">
      <c r="A530" s="175"/>
      <c r="B530" s="176"/>
      <c r="C530" s="176"/>
      <c r="D530" s="193"/>
      <c r="E530" s="195"/>
      <c r="F530" s="195"/>
      <c r="G530" s="196"/>
      <c r="H530" s="420" t="s">
        <v>36</v>
      </c>
      <c r="I530" s="187">
        <f ca="1">IFERROR(__xludf.DUMMYFUNCTION("IMPORTRANGE(""https://docs.google.com/spreadsheets/d/11923uPwbBZFjjGgGUA6NLw09EwE0CqkOc4q9oUmW1yo/edit?usp=sharing"",""สุโขทัย!I425"")"),0)</f>
        <v>0</v>
      </c>
      <c r="J530" s="197">
        <f ca="1">IFERROR(__xludf.DUMMYFUNCTION("IMPORTRANGE(""https://docs.google.com/spreadsheets/d/11923uPwbBZFjjGgGUA6NLw09EwE0CqkOc4q9oUmW1yo/edit?usp=sharing"",""สุโขทัย!J425"")"),2)</f>
        <v>2</v>
      </c>
      <c r="K530" s="163">
        <v>0</v>
      </c>
      <c r="L530" s="181"/>
      <c r="M530" s="181"/>
      <c r="N530" s="181"/>
      <c r="O530" s="181"/>
      <c r="P530" s="181"/>
    </row>
    <row r="531" spans="1:16" ht="21.75" customHeight="1" x14ac:dyDescent="0.3">
      <c r="A531" s="175"/>
      <c r="B531" s="176"/>
      <c r="C531" s="176"/>
      <c r="D531" s="193"/>
      <c r="E531" s="195"/>
      <c r="F531" s="195"/>
      <c r="G531" s="225" t="s">
        <v>201</v>
      </c>
      <c r="H531" s="420" t="s">
        <v>122</v>
      </c>
      <c r="I531" s="187">
        <f ca="1">IFERROR(__xludf.DUMMYFUNCTION("IMPORTRANGE(""https://docs.google.com/spreadsheets/d/11923uPwbBZFjjGgGUA6NLw09EwE0CqkOc4q9oUmW1yo/edit?usp=sharing"",""สุโขทัย!I426"")"),0)</f>
        <v>0</v>
      </c>
      <c r="J531" s="197">
        <f ca="1">IFERROR(__xludf.DUMMYFUNCTION("IMPORTRANGE(""https://docs.google.com/spreadsheets/d/11923uPwbBZFjjGgGUA6NLw09EwE0CqkOc4q9oUmW1yo/edit?usp=sharing"",""สุโขทัย!J426"")"),0)</f>
        <v>0</v>
      </c>
      <c r="K531" s="163">
        <v>0</v>
      </c>
      <c r="L531" s="181"/>
      <c r="M531" s="181"/>
      <c r="N531" s="181"/>
      <c r="O531" s="181"/>
      <c r="P531" s="181"/>
    </row>
    <row r="532" spans="1:16" ht="21.75" customHeight="1" x14ac:dyDescent="0.3">
      <c r="A532" s="457"/>
      <c r="B532" s="458"/>
      <c r="C532" s="458"/>
      <c r="D532" s="459"/>
      <c r="E532" s="460"/>
      <c r="F532" s="460"/>
      <c r="G532" s="461"/>
      <c r="H532" s="462" t="s">
        <v>36</v>
      </c>
      <c r="I532" s="463">
        <f ca="1">IFERROR(__xludf.DUMMYFUNCTION("IMPORTRANGE(""https://docs.google.com/spreadsheets/d/11923uPwbBZFjjGgGUA6NLw09EwE0CqkOc4q9oUmW1yo/edit?usp=sharing"",""สุโขทัย!I427"")"),0)</f>
        <v>0</v>
      </c>
      <c r="J532" s="464">
        <f ca="1">IFERROR(__xludf.DUMMYFUNCTION("IMPORTRANGE(""https://docs.google.com/spreadsheets/d/11923uPwbBZFjjGgGUA6NLw09EwE0CqkOc4q9oUmW1yo/edit?usp=sharing"",""สุโขทัย!J427"")"),0)</f>
        <v>0</v>
      </c>
      <c r="K532" s="465">
        <v>0</v>
      </c>
      <c r="L532" s="466"/>
      <c r="M532" s="466"/>
      <c r="N532" s="466"/>
      <c r="O532" s="466"/>
      <c r="P532" s="466"/>
    </row>
    <row r="533" spans="1:16" ht="21.75" customHeight="1" x14ac:dyDescent="0.3">
      <c r="A533" s="403"/>
      <c r="B533" s="404">
        <v>6</v>
      </c>
      <c r="C533" s="405" t="s">
        <v>202</v>
      </c>
      <c r="D533" s="405"/>
      <c r="E533" s="405"/>
      <c r="F533" s="405"/>
      <c r="G533" s="406"/>
      <c r="H533" s="407" t="s">
        <v>37</v>
      </c>
      <c r="I533" s="408">
        <f ca="1">IFERROR(__xludf.DUMMYFUNCTION("IMPORTRANGE(""https://docs.google.com/spreadsheets/d/11923uPwbBZFjjGgGUA6NLw09EwE0CqkOc4q9oUmW1yo/edit?usp=sharing"",""สุโขทัย!I428"")"),22)</f>
        <v>22</v>
      </c>
      <c r="J533" s="408">
        <f ca="1">IFERROR(__xludf.DUMMYFUNCTION("IMPORTRANGE(""https://docs.google.com/spreadsheets/d/11923uPwbBZFjjGgGUA6NLw09EwE0CqkOc4q9oUmW1yo/edit?usp=sharing"",""สุโขทัย!J428"")"),22)</f>
        <v>22</v>
      </c>
      <c r="K533" s="409">
        <f ca="1">IF(I533&gt;0,J533*100/I533,0)</f>
        <v>100</v>
      </c>
      <c r="L533" s="410">
        <f ca="1">IFERROR(__xludf.DUMMYFUNCTION("IMPORTRANGE(""https://docs.google.com/spreadsheets/d/11923uPwbBZFjjGgGUA6NLw09EwE0CqkOc4q9oUmW1yo/edit?usp=sharing"",""สุโขทัย!L428"")"),34340)</f>
        <v>34340</v>
      </c>
      <c r="M533" s="410"/>
      <c r="N533" s="410">
        <f ca="1">IFERROR(__xludf.DUMMYFUNCTION("IMPORTRANGE(""https://docs.google.com/spreadsheets/d/11923uPwbBZFjjGgGUA6NLw09EwE0CqkOc4q9oUmW1yo/edit?usp=sharing"",""สุโขทัย!M428"")"),18740)</f>
        <v>18740</v>
      </c>
      <c r="O533" s="410">
        <f t="shared" ref="O533:O537" ca="1" si="118">+IF(L533&gt;0,N533*100/L533,0)</f>
        <v>54.571927781013393</v>
      </c>
      <c r="P533" s="410"/>
    </row>
    <row r="534" spans="1:16" ht="21.75" customHeight="1" x14ac:dyDescent="0.3">
      <c r="A534" s="156"/>
      <c r="B534" s="157"/>
      <c r="C534" s="157" t="s">
        <v>16</v>
      </c>
      <c r="D534" s="158" t="s">
        <v>38</v>
      </c>
      <c r="E534" s="159"/>
      <c r="F534" s="159"/>
      <c r="G534" s="160" t="s">
        <v>39</v>
      </c>
      <c r="H534" s="161" t="s">
        <v>12</v>
      </c>
      <c r="I534" s="162" t="s">
        <v>40</v>
      </c>
      <c r="J534" s="162"/>
      <c r="K534" s="163"/>
      <c r="L534" s="164">
        <f ca="1">IFERROR(__xludf.DUMMYFUNCTION("IMPORTRANGE(""https://docs.google.com/spreadsheets/d/11923uPwbBZFjjGgGUA6NLw09EwE0CqkOc4q9oUmW1yo/edit?usp=sharing"",""สุโขทัย!L429"")"),0)</f>
        <v>0</v>
      </c>
      <c r="M534" s="164"/>
      <c r="N534" s="168">
        <f ca="1">IFERROR(__xludf.DUMMYFUNCTION("IMPORTRANGE(""https://docs.google.com/spreadsheets/d/11923uPwbBZFjjGgGUA6NLw09EwE0CqkOc4q9oUmW1yo/edit?usp=sharing"",""สุโขทัย!M429"")"),0)</f>
        <v>0</v>
      </c>
      <c r="O534" s="168">
        <f t="shared" ca="1" si="118"/>
        <v>0</v>
      </c>
      <c r="P534" s="168"/>
    </row>
    <row r="535" spans="1:16" ht="21.75" customHeight="1" x14ac:dyDescent="0.3">
      <c r="A535" s="156"/>
      <c r="B535" s="157"/>
      <c r="C535" s="157"/>
      <c r="D535" s="166"/>
      <c r="E535" s="159"/>
      <c r="F535" s="159" t="s">
        <v>40</v>
      </c>
      <c r="G535" s="160" t="s">
        <v>41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IFERROR(__xludf.DUMMYFUNCTION("IMPORTRANGE(""https://docs.google.com/spreadsheets/d/11923uPwbBZFjjGgGUA6NLw09EwE0CqkOc4q9oUmW1yo/edit?usp=sharing"",""สุโขทัย!L430"")"),34340)</f>
        <v>34340</v>
      </c>
      <c r="M535" s="165"/>
      <c r="N535" s="168">
        <f ca="1">IFERROR(__xludf.DUMMYFUNCTION("IMPORTRANGE(""https://docs.google.com/spreadsheets/d/11923uPwbBZFjjGgGUA6NLw09EwE0CqkOc4q9oUmW1yo/edit?usp=sharing"",""สุโขทัย!M430"")"),18740)</f>
        <v>18740</v>
      </c>
      <c r="O535" s="168">
        <f t="shared" ca="1" si="118"/>
        <v>54.571927781013393</v>
      </c>
      <c r="P535" s="168"/>
    </row>
    <row r="536" spans="1:16" ht="21.75" customHeight="1" x14ac:dyDescent="0.3">
      <c r="A536" s="156"/>
      <c r="B536" s="157"/>
      <c r="C536" s="157"/>
      <c r="D536" s="166"/>
      <c r="E536" s="159"/>
      <c r="F536" s="159"/>
      <c r="G536" s="372" t="s">
        <v>129</v>
      </c>
      <c r="H536" s="161" t="s">
        <v>12</v>
      </c>
      <c r="I536" s="162"/>
      <c r="J536" s="162"/>
      <c r="K536" s="163"/>
      <c r="L536" s="168">
        <f ca="1">IFERROR(__xludf.DUMMYFUNCTION("IMPORTRANGE(""https://docs.google.com/spreadsheets/d/11923uPwbBZFjjGgGUA6NLw09EwE0CqkOc4q9oUmW1yo/edit?usp=sharing"",""สุโขทัย!L431"")"),0)</f>
        <v>0</v>
      </c>
      <c r="M536" s="168"/>
      <c r="N536" s="168">
        <f ca="1">IFERROR(__xludf.DUMMYFUNCTION("IMPORTRANGE(""https://docs.google.com/spreadsheets/d/11923uPwbBZFjjGgGUA6NLw09EwE0CqkOc4q9oUmW1yo/edit?usp=sharing"",""สุโขทัย!M431"")"),0)</f>
        <v>0</v>
      </c>
      <c r="O536" s="168">
        <f t="shared" ca="1" si="118"/>
        <v>0</v>
      </c>
      <c r="P536" s="168"/>
    </row>
    <row r="537" spans="1:16" ht="21.75" customHeight="1" x14ac:dyDescent="0.3">
      <c r="A537" s="156"/>
      <c r="B537" s="157"/>
      <c r="C537" s="157"/>
      <c r="D537" s="166"/>
      <c r="E537" s="159"/>
      <c r="F537" s="159"/>
      <c r="G537" s="372" t="s">
        <v>130</v>
      </c>
      <c r="H537" s="161" t="s">
        <v>12</v>
      </c>
      <c r="I537" s="162"/>
      <c r="J537" s="162"/>
      <c r="K537" s="163"/>
      <c r="L537" s="168">
        <f ca="1">IFERROR(__xludf.DUMMYFUNCTION("IMPORTRANGE(""https://docs.google.com/spreadsheets/d/11923uPwbBZFjjGgGUA6NLw09EwE0CqkOc4q9oUmW1yo/edit?usp=sharing"",""สุโขทัย!L432"")"),34340)</f>
        <v>34340</v>
      </c>
      <c r="M537" s="168"/>
      <c r="N537" s="168">
        <f ca="1">IFERROR(__xludf.DUMMYFUNCTION("IMPORTRANGE(""https://docs.google.com/spreadsheets/d/11923uPwbBZFjjGgGUA6NLw09EwE0CqkOc4q9oUmW1yo/edit?usp=sharing"",""สุโขทัย!M432"")"),18740)</f>
        <v>18740</v>
      </c>
      <c r="O537" s="168">
        <f t="shared" ca="1" si="118"/>
        <v>54.571927781013393</v>
      </c>
      <c r="P537" s="168"/>
    </row>
    <row r="538" spans="1:16" ht="21.75" customHeight="1" x14ac:dyDescent="0.3">
      <c r="A538" s="373"/>
      <c r="B538" s="374"/>
      <c r="C538" s="157"/>
      <c r="D538" s="375"/>
      <c r="E538" s="159"/>
      <c r="F538" s="159"/>
      <c r="G538" s="376" t="s">
        <v>131</v>
      </c>
      <c r="H538" s="161" t="s">
        <v>12</v>
      </c>
      <c r="I538" s="187"/>
      <c r="J538" s="187"/>
      <c r="K538" s="223"/>
      <c r="L538" s="168"/>
      <c r="M538" s="168"/>
      <c r="N538" s="377">
        <f ca="1">IFERROR(__xludf.DUMMYFUNCTION("IMPORTRANGE(""https://docs.google.com/spreadsheets/d/11923uPwbBZFjjGgGUA6NLw09EwE0CqkOc4q9oUmW1yo/edit?usp=sharing"",""สุโขทัย!M433"")"),18740)</f>
        <v>18740</v>
      </c>
      <c r="O538" s="168"/>
      <c r="P538" s="168"/>
    </row>
    <row r="539" spans="1:16" ht="21.75" customHeight="1" x14ac:dyDescent="0.3">
      <c r="A539" s="373"/>
      <c r="B539" s="374"/>
      <c r="C539" s="157"/>
      <c r="D539" s="375"/>
      <c r="E539" s="159"/>
      <c r="F539" s="159"/>
      <c r="G539" s="376" t="s">
        <v>132</v>
      </c>
      <c r="H539" s="161" t="s">
        <v>12</v>
      </c>
      <c r="I539" s="187"/>
      <c r="J539" s="187"/>
      <c r="K539" s="223"/>
      <c r="L539" s="168"/>
      <c r="M539" s="168"/>
      <c r="N539" s="377">
        <f ca="1">IFERROR(__xludf.DUMMYFUNCTION("IMPORTRANGE(""https://docs.google.com/spreadsheets/d/11923uPwbBZFjjGgGUA6NLw09EwE0CqkOc4q9oUmW1yo/edit?usp=sharing"",""สุโขทัย!M434"")"),0)</f>
        <v>0</v>
      </c>
      <c r="O539" s="168"/>
      <c r="P539" s="168"/>
    </row>
    <row r="540" spans="1:16" ht="21.75" customHeight="1" x14ac:dyDescent="0.3">
      <c r="A540" s="373"/>
      <c r="B540" s="374"/>
      <c r="C540" s="157"/>
      <c r="D540" s="375"/>
      <c r="E540" s="159"/>
      <c r="F540" s="159"/>
      <c r="G540" s="376" t="s">
        <v>133</v>
      </c>
      <c r="H540" s="161" t="s">
        <v>12</v>
      </c>
      <c r="I540" s="187"/>
      <c r="J540" s="187"/>
      <c r="K540" s="223"/>
      <c r="L540" s="168"/>
      <c r="M540" s="168"/>
      <c r="N540" s="377">
        <f ca="1">IFERROR(__xludf.DUMMYFUNCTION("IMPORTRANGE(""https://docs.google.com/spreadsheets/d/11923uPwbBZFjjGgGUA6NLw09EwE0CqkOc4q9oUmW1yo/edit?usp=sharing"",""สุโขทัย!M435"")"),0)</f>
        <v>0</v>
      </c>
      <c r="O540" s="168"/>
      <c r="P540" s="168"/>
    </row>
    <row r="541" spans="1:16" ht="21.75" customHeight="1" x14ac:dyDescent="0.3">
      <c r="A541" s="373"/>
      <c r="B541" s="374"/>
      <c r="C541" s="157"/>
      <c r="D541" s="375"/>
      <c r="E541" s="159"/>
      <c r="F541" s="159"/>
      <c r="G541" s="376" t="s">
        <v>134</v>
      </c>
      <c r="H541" s="161" t="s">
        <v>12</v>
      </c>
      <c r="I541" s="187"/>
      <c r="J541" s="187"/>
      <c r="K541" s="223"/>
      <c r="L541" s="168"/>
      <c r="M541" s="168"/>
      <c r="N541" s="377">
        <f ca="1">IFERROR(__xludf.DUMMYFUNCTION("IMPORTRANGE(""https://docs.google.com/spreadsheets/d/11923uPwbBZFjjGgGUA6NLw09EwE0CqkOc4q9oUmW1yo/edit?usp=sharing"",""สุโขทัย!M436"")"),0)</f>
        <v>0</v>
      </c>
      <c r="O541" s="168"/>
      <c r="P541" s="168"/>
    </row>
    <row r="542" spans="1:16" ht="21.75" customHeight="1" x14ac:dyDescent="0.3">
      <c r="A542" s="175"/>
      <c r="B542" s="176"/>
      <c r="C542" s="157" t="s">
        <v>16</v>
      </c>
      <c r="D542" s="177" t="s">
        <v>44</v>
      </c>
      <c r="E542" s="178"/>
      <c r="F542" s="178"/>
      <c r="G542" s="179"/>
      <c r="H542" s="180"/>
      <c r="I542" s="162"/>
      <c r="J542" s="162"/>
      <c r="K542" s="163"/>
      <c r="L542" s="181"/>
      <c r="M542" s="181"/>
      <c r="N542" s="181"/>
      <c r="O542" s="181"/>
      <c r="P542" s="181"/>
    </row>
    <row r="543" spans="1:16" ht="21.75" customHeight="1" x14ac:dyDescent="0.3">
      <c r="A543" s="175"/>
      <c r="B543" s="176"/>
      <c r="C543" s="176"/>
      <c r="D543" s="182">
        <v>1</v>
      </c>
      <c r="E543" s="183" t="s">
        <v>45</v>
      </c>
      <c r="F543" s="184"/>
      <c r="G543" s="185"/>
      <c r="H543" s="186"/>
      <c r="I543" s="187"/>
      <c r="J543" s="197">
        <f ca="1">IFERROR(__xludf.DUMMYFUNCTION("IMPORTRANGE(""https://docs.google.com/spreadsheets/d/11923uPwbBZFjjGgGUA6NLw09EwE0CqkOc4q9oUmW1yo/edit?usp=sharing"",""สุโขทัย!J438"")"),0)</f>
        <v>0</v>
      </c>
      <c r="K543" s="163"/>
      <c r="L543" s="181"/>
      <c r="M543" s="181"/>
      <c r="N543" s="181"/>
      <c r="O543" s="181"/>
      <c r="P543" s="181"/>
    </row>
    <row r="544" spans="1:16" ht="21.75" customHeight="1" x14ac:dyDescent="0.3">
      <c r="A544" s="175"/>
      <c r="B544" s="176"/>
      <c r="C544" s="176"/>
      <c r="D544" s="189">
        <v>2</v>
      </c>
      <c r="E544" s="190" t="s">
        <v>46</v>
      </c>
      <c r="F544" s="191"/>
      <c r="G544" s="192"/>
      <c r="H544" s="186"/>
      <c r="I544" s="187"/>
      <c r="J544" s="188">
        <f ca="1">IFERROR(__xludf.DUMMYFUNCTION("IMPORTRANGE(""https://docs.google.com/spreadsheets/d/11923uPwbBZFjjGgGUA6NLw09EwE0CqkOc4q9oUmW1yo/edit?usp=sharing"",""สุโขทัย!J439"")"),1)</f>
        <v>1</v>
      </c>
      <c r="K544" s="163"/>
      <c r="L544" s="181" t="s">
        <v>40</v>
      </c>
      <c r="M544" s="181"/>
      <c r="N544" s="181" t="s">
        <v>40</v>
      </c>
      <c r="O544" s="181"/>
      <c r="P544" s="181"/>
    </row>
    <row r="545" spans="1:16" ht="21.75" customHeight="1" x14ac:dyDescent="0.3">
      <c r="A545" s="175"/>
      <c r="B545" s="176"/>
      <c r="C545" s="176"/>
      <c r="D545" s="193"/>
      <c r="E545" s="194" t="s">
        <v>47</v>
      </c>
      <c r="F545" s="195"/>
      <c r="G545" s="196"/>
      <c r="H545" s="186"/>
      <c r="I545" s="187"/>
      <c r="J545" s="188">
        <f ca="1">IFERROR(__xludf.DUMMYFUNCTION("IMPORTRANGE(""https://docs.google.com/spreadsheets/d/11923uPwbBZFjjGgGUA6NLw09EwE0CqkOc4q9oUmW1yo/edit?usp=sharing"",""สุโขทัย!J440"")"),1)</f>
        <v>1</v>
      </c>
      <c r="K545" s="163"/>
      <c r="L545" s="181"/>
      <c r="M545" s="181"/>
      <c r="N545" s="181"/>
      <c r="O545" s="181"/>
      <c r="P545" s="181"/>
    </row>
    <row r="546" spans="1:16" ht="21.75" customHeight="1" x14ac:dyDescent="0.3">
      <c r="A546" s="175"/>
      <c r="B546" s="176"/>
      <c r="C546" s="176"/>
      <c r="D546" s="193"/>
      <c r="E546" s="194" t="s">
        <v>48</v>
      </c>
      <c r="F546" s="195"/>
      <c r="G546" s="196"/>
      <c r="H546" s="186"/>
      <c r="I546" s="187"/>
      <c r="J546" s="197">
        <f ca="1">IFERROR(__xludf.DUMMYFUNCTION("IMPORTRANGE(""https://docs.google.com/spreadsheets/d/11923uPwbBZFjjGgGUA6NLw09EwE0CqkOc4q9oUmW1yo/edit?usp=sharing"",""สุโขทัย!J441"")"),1)</f>
        <v>1</v>
      </c>
      <c r="K546" s="163"/>
      <c r="L546" s="181"/>
      <c r="M546" s="181"/>
      <c r="N546" s="181"/>
      <c r="O546" s="181"/>
      <c r="P546" s="181"/>
    </row>
    <row r="547" spans="1:16" ht="21.75" customHeight="1" x14ac:dyDescent="0.3">
      <c r="A547" s="175"/>
      <c r="B547" s="176"/>
      <c r="C547" s="176"/>
      <c r="D547" s="193"/>
      <c r="E547" s="198"/>
      <c r="F547" s="195"/>
      <c r="G547" s="225" t="s">
        <v>203</v>
      </c>
      <c r="H547" s="186" t="s">
        <v>37</v>
      </c>
      <c r="I547" s="203">
        <f ca="1">IFERROR(__xludf.DUMMYFUNCTION("IMPORTRANGE(""https://docs.google.com/spreadsheets/d/11923uPwbBZFjjGgGUA6NLw09EwE0CqkOc4q9oUmW1yo/edit?usp=sharing"",""สุโขทัย!I442"")"),22)</f>
        <v>22</v>
      </c>
      <c r="J547" s="188">
        <f ca="1">IFERROR(__xludf.DUMMYFUNCTION("IMPORTRANGE(""https://docs.google.com/spreadsheets/d/11923uPwbBZFjjGgGUA6NLw09EwE0CqkOc4q9oUmW1yo/edit?usp=sharing"",""สุโขทัย!J442"")"),22)</f>
        <v>22</v>
      </c>
      <c r="K547" s="163">
        <f t="shared" ref="K547:K548" ca="1" si="119">IF(I547&gt;0,J547*100/I547,0)</f>
        <v>100</v>
      </c>
      <c r="L547" s="181"/>
      <c r="M547" s="181"/>
      <c r="N547" s="181"/>
      <c r="O547" s="181"/>
      <c r="P547" s="181"/>
    </row>
    <row r="548" spans="1:16" ht="21.75" hidden="1" customHeight="1" x14ac:dyDescent="0.3">
      <c r="A548" s="175"/>
      <c r="B548" s="176"/>
      <c r="C548" s="176"/>
      <c r="D548" s="193"/>
      <c r="E548" s="198"/>
      <c r="F548" s="195"/>
      <c r="G548" s="225" t="s">
        <v>204</v>
      </c>
      <c r="H548" s="186" t="s">
        <v>37</v>
      </c>
      <c r="I548" s="339">
        <f ca="1">IFERROR(__xludf.DUMMYFUNCTION("IMPORTRANGE(""https://docs.google.com/spreadsheets/d/1C3CXT74ZlgGe6_JY_1olB1XN4rF0dxEuIIF-xsYjHgg/edit?usp=sharing"",""งบกองทุน!dr63"")"),0)</f>
        <v>0</v>
      </c>
      <c r="J548" s="197">
        <f ca="1">IFERROR(__xludf.DUMMYFUNCTION("IMPORTRANGE(""https://docs.google.com/spreadsheets/d/11923uPwbBZFjjGgGUA6NLw09EwE0CqkOc4q9oUmW1yo/edit?usp=sharing"",""สุโขทัย!J166"")"),0)</f>
        <v>0</v>
      </c>
      <c r="K548" s="163">
        <f t="shared" ca="1" si="119"/>
        <v>0</v>
      </c>
      <c r="L548" s="181"/>
      <c r="M548" s="181"/>
      <c r="N548" s="181"/>
      <c r="O548" s="181"/>
      <c r="P548" s="181"/>
    </row>
    <row r="549" spans="1:16" ht="21.75" customHeight="1" x14ac:dyDescent="0.3">
      <c r="A549" s="175"/>
      <c r="B549" s="176"/>
      <c r="C549" s="176"/>
      <c r="D549" s="193"/>
      <c r="E549" s="194" t="s">
        <v>54</v>
      </c>
      <c r="F549" s="195"/>
      <c r="G549" s="196"/>
      <c r="H549" s="186"/>
      <c r="I549" s="187"/>
      <c r="J549" s="197">
        <f ca="1">IFERROR(__xludf.DUMMYFUNCTION("IMPORTRANGE(""https://docs.google.com/spreadsheets/d/11923uPwbBZFjjGgGUA6NLw09EwE0CqkOc4q9oUmW1yo/edit?usp=sharing"",""สุโขทัย!J444"")"),0)</f>
        <v>0</v>
      </c>
      <c r="K549" s="163"/>
      <c r="L549" s="181"/>
      <c r="M549" s="181"/>
      <c r="N549" s="181"/>
      <c r="O549" s="181"/>
      <c r="P549" s="181"/>
    </row>
    <row r="550" spans="1:16" ht="21.75" customHeight="1" x14ac:dyDescent="0.3">
      <c r="A550" s="457"/>
      <c r="B550" s="458"/>
      <c r="C550" s="458"/>
      <c r="D550" s="467">
        <v>3</v>
      </c>
      <c r="E550" s="468" t="s">
        <v>55</v>
      </c>
      <c r="F550" s="469"/>
      <c r="G550" s="470"/>
      <c r="H550" s="471"/>
      <c r="I550" s="463"/>
      <c r="J550" s="472">
        <f ca="1">IFERROR(__xludf.DUMMYFUNCTION("IMPORTRANGE(""https://docs.google.com/spreadsheets/d/11923uPwbBZFjjGgGUA6NLw09EwE0CqkOc4q9oUmW1yo/edit?usp=sharing"",""สุโขทัย!J445"")"),0)</f>
        <v>0</v>
      </c>
      <c r="K550" s="465"/>
      <c r="L550" s="466"/>
      <c r="M550" s="466"/>
      <c r="N550" s="466"/>
      <c r="O550" s="466"/>
      <c r="P550" s="466"/>
    </row>
    <row r="551" spans="1:16" ht="21.75" customHeight="1" x14ac:dyDescent="0.3">
      <c r="A551" s="403"/>
      <c r="B551" s="404">
        <v>7</v>
      </c>
      <c r="C551" s="405" t="s">
        <v>205</v>
      </c>
      <c r="D551" s="405"/>
      <c r="E551" s="405"/>
      <c r="F551" s="405"/>
      <c r="G551" s="406"/>
      <c r="H551" s="407" t="s">
        <v>122</v>
      </c>
      <c r="I551" s="408">
        <f ca="1">IFERROR(__xludf.DUMMYFUNCTION("IMPORTRANGE(""https://docs.google.com/spreadsheets/d/11923uPwbBZFjjGgGUA6NLw09EwE0CqkOc4q9oUmW1yo/edit?usp=sharing"",""สุโขทัย!I446"")"),0)</f>
        <v>0</v>
      </c>
      <c r="J551" s="408">
        <f ca="1">IFERROR(__xludf.DUMMYFUNCTION("IMPORTRANGE(""https://docs.google.com/spreadsheets/d/11923uPwbBZFjjGgGUA6NLw09EwE0CqkOc4q9oUmW1yo/edit?usp=sharing"",""สุโขทัย!J446"")"),0)</f>
        <v>0</v>
      </c>
      <c r="K551" s="409">
        <f ca="1">IF(I551&gt;0,J551*100/I551,0)</f>
        <v>0</v>
      </c>
      <c r="L551" s="410">
        <f ca="1">IFERROR(__xludf.DUMMYFUNCTION("IMPORTRANGE(""https://docs.google.com/spreadsheets/d/11923uPwbBZFjjGgGUA6NLw09EwE0CqkOc4q9oUmW1yo/edit?usp=sharing"",""สุโขทัย!L446"")"),0)</f>
        <v>0</v>
      </c>
      <c r="M551" s="410"/>
      <c r="N551" s="410">
        <f ca="1">IFERROR(__xludf.DUMMYFUNCTION("IMPORTRANGE(""https://docs.google.com/spreadsheets/d/11923uPwbBZFjjGgGUA6NLw09EwE0CqkOc4q9oUmW1yo/edit?usp=sharing"",""สุโขทัย!M446"")"),0)</f>
        <v>0</v>
      </c>
      <c r="O551" s="410">
        <f t="shared" ref="O551:O555" ca="1" si="120">+IF(L551&gt;0,N551*100/L551,0)</f>
        <v>0</v>
      </c>
      <c r="P551" s="410"/>
    </row>
    <row r="552" spans="1:16" ht="21.75" customHeight="1" x14ac:dyDescent="0.3">
      <c r="A552" s="156"/>
      <c r="B552" s="157"/>
      <c r="C552" s="157" t="s">
        <v>16</v>
      </c>
      <c r="D552" s="158" t="s">
        <v>38</v>
      </c>
      <c r="E552" s="159"/>
      <c r="F552" s="159"/>
      <c r="G552" s="160" t="s">
        <v>39</v>
      </c>
      <c r="H552" s="161" t="s">
        <v>12</v>
      </c>
      <c r="I552" s="162" t="s">
        <v>40</v>
      </c>
      <c r="J552" s="162"/>
      <c r="K552" s="163"/>
      <c r="L552" s="164">
        <f ca="1">IFERROR(__xludf.DUMMYFUNCTION("IMPORTRANGE(""https://docs.google.com/spreadsheets/d/11923uPwbBZFjjGgGUA6NLw09EwE0CqkOc4q9oUmW1yo/edit?usp=sharing"",""สุโขทัย!L447"")"),0)</f>
        <v>0</v>
      </c>
      <c r="M552" s="164"/>
      <c r="N552" s="168">
        <f ca="1">IFERROR(__xludf.DUMMYFUNCTION("IMPORTRANGE(""https://docs.google.com/spreadsheets/d/11923uPwbBZFjjGgGUA6NLw09EwE0CqkOc4q9oUmW1yo/edit?usp=sharing"",""สุโขทัย!M447"")"),0)</f>
        <v>0</v>
      </c>
      <c r="O552" s="168">
        <f t="shared" ca="1" si="120"/>
        <v>0</v>
      </c>
      <c r="P552" s="168"/>
    </row>
    <row r="553" spans="1:16" ht="21.75" customHeight="1" x14ac:dyDescent="0.3">
      <c r="A553" s="156"/>
      <c r="B553" s="157"/>
      <c r="C553" s="157"/>
      <c r="D553" s="166"/>
      <c r="E553" s="159"/>
      <c r="F553" s="159" t="s">
        <v>40</v>
      </c>
      <c r="G553" s="160" t="s">
        <v>41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IFERROR(__xludf.DUMMYFUNCTION("IMPORTRANGE(""https://docs.google.com/spreadsheets/d/11923uPwbBZFjjGgGUA6NLw09EwE0CqkOc4q9oUmW1yo/edit?usp=sharing"",""สุโขทัย!L448"")"),0)</f>
        <v>0</v>
      </c>
      <c r="M553" s="165"/>
      <c r="N553" s="168">
        <f ca="1">IFERROR(__xludf.DUMMYFUNCTION("IMPORTRANGE(""https://docs.google.com/spreadsheets/d/11923uPwbBZFjjGgGUA6NLw09EwE0CqkOc4q9oUmW1yo/edit?usp=sharing"",""สุโขทัย!M448"")"),0)</f>
        <v>0</v>
      </c>
      <c r="O553" s="168">
        <f t="shared" ca="1" si="120"/>
        <v>0</v>
      </c>
      <c r="P553" s="168"/>
    </row>
    <row r="554" spans="1:16" ht="21.75" customHeight="1" x14ac:dyDescent="0.3">
      <c r="A554" s="156"/>
      <c r="B554" s="157"/>
      <c r="C554" s="157"/>
      <c r="D554" s="166"/>
      <c r="E554" s="159"/>
      <c r="F554" s="159"/>
      <c r="G554" s="372" t="s">
        <v>129</v>
      </c>
      <c r="H554" s="161" t="s">
        <v>12</v>
      </c>
      <c r="I554" s="162"/>
      <c r="J554" s="162"/>
      <c r="K554" s="163"/>
      <c r="L554" s="168">
        <f ca="1">IFERROR(__xludf.DUMMYFUNCTION("IMPORTRANGE(""https://docs.google.com/spreadsheets/d/11923uPwbBZFjjGgGUA6NLw09EwE0CqkOc4q9oUmW1yo/edit?usp=sharing"",""สุโขทัย!L449"")"),0)</f>
        <v>0</v>
      </c>
      <c r="M554" s="168"/>
      <c r="N554" s="168">
        <f ca="1">IFERROR(__xludf.DUMMYFUNCTION("IMPORTRANGE(""https://docs.google.com/spreadsheets/d/11923uPwbBZFjjGgGUA6NLw09EwE0CqkOc4q9oUmW1yo/edit?usp=sharing"",""สุโขทัย!M449"")"),0)</f>
        <v>0</v>
      </c>
      <c r="O554" s="168">
        <f t="shared" ca="1" si="120"/>
        <v>0</v>
      </c>
      <c r="P554" s="168"/>
    </row>
    <row r="555" spans="1:16" ht="21.75" customHeight="1" x14ac:dyDescent="0.3">
      <c r="A555" s="156"/>
      <c r="B555" s="157"/>
      <c r="C555" s="157"/>
      <c r="D555" s="166"/>
      <c r="E555" s="159"/>
      <c r="F555" s="159"/>
      <c r="G555" s="372" t="s">
        <v>130</v>
      </c>
      <c r="H555" s="161" t="s">
        <v>12</v>
      </c>
      <c r="I555" s="162"/>
      <c r="J555" s="162"/>
      <c r="K555" s="163"/>
      <c r="L555" s="168">
        <f ca="1">IFERROR(__xludf.DUMMYFUNCTION("IMPORTRANGE(""https://docs.google.com/spreadsheets/d/11923uPwbBZFjjGgGUA6NLw09EwE0CqkOc4q9oUmW1yo/edit?usp=sharing"",""สุโขทัย!L450"")"),0)</f>
        <v>0</v>
      </c>
      <c r="M555" s="168"/>
      <c r="N555" s="168">
        <f ca="1">IFERROR(__xludf.DUMMYFUNCTION("IMPORTRANGE(""https://docs.google.com/spreadsheets/d/11923uPwbBZFjjGgGUA6NLw09EwE0CqkOc4q9oUmW1yo/edit?usp=sharing"",""สุโขทัย!M450"")"),0)</f>
        <v>0</v>
      </c>
      <c r="O555" s="168">
        <f t="shared" ca="1" si="120"/>
        <v>0</v>
      </c>
      <c r="P555" s="168"/>
    </row>
    <row r="556" spans="1:16" ht="21.75" customHeight="1" x14ac:dyDescent="0.3">
      <c r="A556" s="373"/>
      <c r="B556" s="374"/>
      <c r="C556" s="157"/>
      <c r="D556" s="375"/>
      <c r="E556" s="159"/>
      <c r="F556" s="159"/>
      <c r="G556" s="376" t="s">
        <v>131</v>
      </c>
      <c r="H556" s="161" t="s">
        <v>12</v>
      </c>
      <c r="I556" s="187"/>
      <c r="J556" s="187"/>
      <c r="K556" s="223"/>
      <c r="L556" s="168"/>
      <c r="M556" s="168"/>
      <c r="N556" s="167">
        <f ca="1">IFERROR(__xludf.DUMMYFUNCTION("IMPORTRANGE(""https://docs.google.com/spreadsheets/d/11923uPwbBZFjjGgGUA6NLw09EwE0CqkOc4q9oUmW1yo/edit?usp=sharing"",""สุโขทัย!M451"")"),0)</f>
        <v>0</v>
      </c>
      <c r="O556" s="168"/>
      <c r="P556" s="168"/>
    </row>
    <row r="557" spans="1:16" ht="21.75" customHeight="1" x14ac:dyDescent="0.3">
      <c r="A557" s="373"/>
      <c r="B557" s="374"/>
      <c r="C557" s="157"/>
      <c r="D557" s="375"/>
      <c r="E557" s="159"/>
      <c r="F557" s="159"/>
      <c r="G557" s="376" t="s">
        <v>132</v>
      </c>
      <c r="H557" s="161" t="s">
        <v>12</v>
      </c>
      <c r="I557" s="187"/>
      <c r="J557" s="187"/>
      <c r="K557" s="223"/>
      <c r="L557" s="168"/>
      <c r="M557" s="168"/>
      <c r="N557" s="167">
        <f ca="1">IFERROR(__xludf.DUMMYFUNCTION("IMPORTRANGE(""https://docs.google.com/spreadsheets/d/11923uPwbBZFjjGgGUA6NLw09EwE0CqkOc4q9oUmW1yo/edit?usp=sharing"",""สุโขทัย!M452"")"),0)</f>
        <v>0</v>
      </c>
      <c r="O557" s="168"/>
      <c r="P557" s="168"/>
    </row>
    <row r="558" spans="1:16" ht="21.75" customHeight="1" x14ac:dyDescent="0.3">
      <c r="A558" s="373"/>
      <c r="B558" s="374"/>
      <c r="C558" s="157"/>
      <c r="D558" s="375"/>
      <c r="E558" s="159"/>
      <c r="F558" s="159"/>
      <c r="G558" s="376" t="s">
        <v>133</v>
      </c>
      <c r="H558" s="161" t="s">
        <v>12</v>
      </c>
      <c r="I558" s="187"/>
      <c r="J558" s="187"/>
      <c r="K558" s="223"/>
      <c r="L558" s="168"/>
      <c r="M558" s="168"/>
      <c r="N558" s="167">
        <f ca="1">IFERROR(__xludf.DUMMYFUNCTION("IMPORTRANGE(""https://docs.google.com/spreadsheets/d/11923uPwbBZFjjGgGUA6NLw09EwE0CqkOc4q9oUmW1yo/edit?usp=sharing"",""สุโขทัย!M453"")"),0)</f>
        <v>0</v>
      </c>
      <c r="O558" s="168"/>
      <c r="P558" s="168"/>
    </row>
    <row r="559" spans="1:16" ht="21.75" customHeight="1" x14ac:dyDescent="0.3">
      <c r="A559" s="373"/>
      <c r="B559" s="374"/>
      <c r="C559" s="157"/>
      <c r="D559" s="375"/>
      <c r="E559" s="159"/>
      <c r="F559" s="159"/>
      <c r="G559" s="376" t="s">
        <v>134</v>
      </c>
      <c r="H559" s="161" t="s">
        <v>12</v>
      </c>
      <c r="I559" s="187"/>
      <c r="J559" s="187"/>
      <c r="K559" s="223"/>
      <c r="L559" s="168"/>
      <c r="M559" s="168"/>
      <c r="N559" s="167">
        <f ca="1">IFERROR(__xludf.DUMMYFUNCTION("IMPORTRANGE(""https://docs.google.com/spreadsheets/d/11923uPwbBZFjjGgGUA6NLw09EwE0CqkOc4q9oUmW1yo/edit?usp=sharing"",""สุโขทัย!M454"")"),0)</f>
        <v>0</v>
      </c>
      <c r="O559" s="168"/>
      <c r="P559" s="168"/>
    </row>
    <row r="560" spans="1:16" ht="21.75" customHeight="1" x14ac:dyDescent="0.3">
      <c r="A560" s="175"/>
      <c r="B560" s="176"/>
      <c r="C560" s="176"/>
      <c r="D560" s="193"/>
      <c r="E560" s="195"/>
      <c r="F560" s="277" t="s">
        <v>206</v>
      </c>
      <c r="G560" s="196"/>
      <c r="H560" s="473" t="s">
        <v>122</v>
      </c>
      <c r="I560" s="162">
        <f ca="1">IFERROR(__xludf.DUMMYFUNCTION("IMPORTRANGE(""https://docs.google.com/spreadsheets/d/11923uPwbBZFjjGgGUA6NLw09EwE0CqkOc4q9oUmW1yo/edit?usp=sharing"",""สุโขทัย!I455"")"),0)</f>
        <v>0</v>
      </c>
      <c r="J560" s="162">
        <f ca="1">IFERROR(__xludf.DUMMYFUNCTION("IMPORTRANGE(""https://docs.google.com/spreadsheets/d/11923uPwbBZFjjGgGUA6NLw09EwE0CqkOc4q9oUmW1yo/edit?usp=sharing"",""สุโขทัย!J455"")"),0)</f>
        <v>0</v>
      </c>
      <c r="K560" s="223">
        <f t="shared" ref="K560:K564" ca="1" si="121">IF(I560&gt;0,J560*100/I560,0)</f>
        <v>0</v>
      </c>
      <c r="L560" s="168"/>
      <c r="M560" s="168"/>
      <c r="N560" s="168"/>
      <c r="O560" s="181"/>
      <c r="P560" s="181"/>
    </row>
    <row r="561" spans="1:16" ht="21.75" customHeight="1" x14ac:dyDescent="0.3">
      <c r="A561" s="175"/>
      <c r="B561" s="176"/>
      <c r="C561" s="176"/>
      <c r="D561" s="193"/>
      <c r="E561" s="195"/>
      <c r="F561" s="195"/>
      <c r="G561" s="196"/>
      <c r="H561" s="473" t="s">
        <v>36</v>
      </c>
      <c r="I561" s="162">
        <f ca="1">IFERROR(__xludf.DUMMYFUNCTION("IMPORTRANGE(""https://docs.google.com/spreadsheets/d/11923uPwbBZFjjGgGUA6NLw09EwE0CqkOc4q9oUmW1yo/edit?usp=sharing"",""สุโขทัย!I456"")"),0)</f>
        <v>0</v>
      </c>
      <c r="J561" s="203">
        <f ca="1">IFERROR(__xludf.DUMMYFUNCTION("IMPORTRANGE(""https://docs.google.com/spreadsheets/d/11923uPwbBZFjjGgGUA6NLw09EwE0CqkOc4q9oUmW1yo/edit?usp=sharing"",""สุโขทัย!J456"")"),0)</f>
        <v>0</v>
      </c>
      <c r="K561" s="223">
        <f t="shared" ca="1" si="121"/>
        <v>0</v>
      </c>
      <c r="L561" s="168"/>
      <c r="M561" s="168"/>
      <c r="N561" s="168"/>
      <c r="O561" s="181"/>
      <c r="P561" s="181"/>
    </row>
    <row r="562" spans="1:16" ht="21.75" customHeight="1" x14ac:dyDescent="0.3">
      <c r="A562" s="175"/>
      <c r="B562" s="176"/>
      <c r="C562" s="176"/>
      <c r="D562" s="193"/>
      <c r="E562" s="195"/>
      <c r="F562" s="195" t="s">
        <v>207</v>
      </c>
      <c r="G562" s="196"/>
      <c r="H562" s="473" t="s">
        <v>122</v>
      </c>
      <c r="I562" s="162">
        <v>0</v>
      </c>
      <c r="J562" s="203" t="str">
        <f ca="1">IFERROR(__xludf.DUMMYFUNCTION("IMPORTRANGE(""https://docs.google.com/spreadsheets/d/11923uPwbBZFjjGgGUA6NLw09EwE0CqkOc4q9oUmW1yo/edit?usp=sharing"",""สุโขทัย!J457"")"),"")</f>
        <v/>
      </c>
      <c r="K562" s="163">
        <f t="shared" si="121"/>
        <v>0</v>
      </c>
      <c r="L562" s="181"/>
      <c r="M562" s="181"/>
      <c r="N562" s="181"/>
      <c r="O562" s="181"/>
      <c r="P562" s="181"/>
    </row>
    <row r="563" spans="1:16" ht="21.75" customHeight="1" x14ac:dyDescent="0.3">
      <c r="A563" s="175"/>
      <c r="B563" s="176"/>
      <c r="C563" s="176"/>
      <c r="D563" s="193"/>
      <c r="E563" s="195"/>
      <c r="F563" s="195"/>
      <c r="G563" s="196"/>
      <c r="H563" s="473" t="s">
        <v>36</v>
      </c>
      <c r="I563" s="162">
        <v>0</v>
      </c>
      <c r="J563" s="187" t="str">
        <f ca="1">IFERROR(__xludf.DUMMYFUNCTION("IMPORTRANGE(""https://docs.google.com/spreadsheets/d/11923uPwbBZFjjGgGUA6NLw09EwE0CqkOc4q9oUmW1yo/edit?usp=sharing"",""สุโขทัย!J458"")"),"")</f>
        <v/>
      </c>
      <c r="K563" s="163">
        <f t="shared" si="121"/>
        <v>0</v>
      </c>
      <c r="L563" s="181"/>
      <c r="M563" s="181"/>
      <c r="N563" s="181"/>
      <c r="O563" s="181"/>
      <c r="P563" s="181"/>
    </row>
    <row r="564" spans="1:16" ht="21.75" customHeight="1" x14ac:dyDescent="0.3">
      <c r="A564" s="364"/>
      <c r="B564" s="365">
        <v>8</v>
      </c>
      <c r="C564" s="366" t="s">
        <v>208</v>
      </c>
      <c r="D564" s="366"/>
      <c r="E564" s="366"/>
      <c r="F564" s="366"/>
      <c r="G564" s="367"/>
      <c r="H564" s="368" t="s">
        <v>37</v>
      </c>
      <c r="I564" s="369">
        <f ca="1">IFERROR(__xludf.DUMMYFUNCTION("IMPORTRANGE(""https://docs.google.com/spreadsheets/d/11923uPwbBZFjjGgGUA6NLw09EwE0CqkOc4q9oUmW1yo/edit?usp=sharing"",""สุโขทัย!I459"")"),2100)</f>
        <v>2100</v>
      </c>
      <c r="J564" s="369">
        <f ca="1">IFERROR(__xludf.DUMMYFUNCTION("IMPORTRANGE(""https://docs.google.com/spreadsheets/d/11923uPwbBZFjjGgGUA6NLw09EwE0CqkOc4q9oUmW1yo/edit?usp=sharing"",""สุโขทัย!J459"")"),3501)</f>
        <v>3501</v>
      </c>
      <c r="K564" s="370">
        <f t="shared" ca="1" si="121"/>
        <v>166.71428571428572</v>
      </c>
      <c r="L564" s="371">
        <f ca="1">IFERROR(__xludf.DUMMYFUNCTION("IMPORTRANGE(""https://docs.google.com/spreadsheets/d/11923uPwbBZFjjGgGUA6NLw09EwE0CqkOc4q9oUmW1yo/edit?usp=sharing"",""สุโขทัย!L459"")"),142240)</f>
        <v>142240</v>
      </c>
      <c r="M564" s="371"/>
      <c r="N564" s="371">
        <f ca="1">IFERROR(__xludf.DUMMYFUNCTION("IMPORTRANGE(""https://docs.google.com/spreadsheets/d/11923uPwbBZFjjGgGUA6NLw09EwE0CqkOc4q9oUmW1yo/edit?usp=sharing"",""สุโขทัย!M459"")"),9935.48)</f>
        <v>9935.48</v>
      </c>
      <c r="O564" s="371">
        <f t="shared" ref="O564:O568" ca="1" si="122">+IF(L564&gt;0,N564*100/L564,0)</f>
        <v>6.985011248593926</v>
      </c>
      <c r="P564" s="371"/>
    </row>
    <row r="565" spans="1:16" ht="21.75" customHeight="1" x14ac:dyDescent="0.3">
      <c r="A565" s="156"/>
      <c r="B565" s="157"/>
      <c r="C565" s="157" t="s">
        <v>16</v>
      </c>
      <c r="D565" s="158" t="s">
        <v>38</v>
      </c>
      <c r="E565" s="159"/>
      <c r="F565" s="159"/>
      <c r="G565" s="160" t="s">
        <v>39</v>
      </c>
      <c r="H565" s="161" t="s">
        <v>12</v>
      </c>
      <c r="I565" s="162" t="s">
        <v>40</v>
      </c>
      <c r="J565" s="162"/>
      <c r="K565" s="163"/>
      <c r="L565" s="164">
        <f ca="1">IFERROR(__xludf.DUMMYFUNCTION("IMPORTRANGE(""https://docs.google.com/spreadsheets/d/11923uPwbBZFjjGgGUA6NLw09EwE0CqkOc4q9oUmW1yo/edit?usp=sharing"",""สุโขทัย!L460"")"),0)</f>
        <v>0</v>
      </c>
      <c r="M565" s="164"/>
      <c r="N565" s="168">
        <f ca="1">IFERROR(__xludf.DUMMYFUNCTION("IMPORTRANGE(""https://docs.google.com/spreadsheets/d/11923uPwbBZFjjGgGUA6NLw09EwE0CqkOc4q9oUmW1yo/edit?usp=sharing"",""สุโขทัย!M460"")"),0)</f>
        <v>0</v>
      </c>
      <c r="O565" s="168">
        <f t="shared" ca="1" si="122"/>
        <v>0</v>
      </c>
      <c r="P565" s="168"/>
    </row>
    <row r="566" spans="1:16" ht="21.75" customHeight="1" x14ac:dyDescent="0.3">
      <c r="A566" s="156"/>
      <c r="B566" s="157"/>
      <c r="C566" s="157"/>
      <c r="D566" s="166"/>
      <c r="E566" s="159"/>
      <c r="F566" s="159" t="s">
        <v>40</v>
      </c>
      <c r="G566" s="160" t="s">
        <v>41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IFERROR(__xludf.DUMMYFUNCTION("IMPORTRANGE(""https://docs.google.com/spreadsheets/d/11923uPwbBZFjjGgGUA6NLw09EwE0CqkOc4q9oUmW1yo/edit?usp=sharing"",""สุโขทัย!L461"")"),142240)</f>
        <v>142240</v>
      </c>
      <c r="M566" s="165"/>
      <c r="N566" s="168">
        <f ca="1">IFERROR(__xludf.DUMMYFUNCTION("IMPORTRANGE(""https://docs.google.com/spreadsheets/d/11923uPwbBZFjjGgGUA6NLw09EwE0CqkOc4q9oUmW1yo/edit?usp=sharing"",""สุโขทัย!M461"")"),9935.48)</f>
        <v>9935.48</v>
      </c>
      <c r="O566" s="168">
        <f t="shared" ca="1" si="122"/>
        <v>6.985011248593926</v>
      </c>
      <c r="P566" s="168"/>
    </row>
    <row r="567" spans="1:16" ht="21.75" customHeight="1" x14ac:dyDescent="0.3">
      <c r="A567" s="156"/>
      <c r="B567" s="157"/>
      <c r="C567" s="157"/>
      <c r="D567" s="166"/>
      <c r="E567" s="159"/>
      <c r="F567" s="159"/>
      <c r="G567" s="372" t="s">
        <v>129</v>
      </c>
      <c r="H567" s="161" t="s">
        <v>12</v>
      </c>
      <c r="I567" s="162"/>
      <c r="J567" s="162"/>
      <c r="K567" s="163"/>
      <c r="L567" s="168">
        <f ca="1">IFERROR(__xludf.DUMMYFUNCTION("IMPORTRANGE(""https://docs.google.com/spreadsheets/d/11923uPwbBZFjjGgGUA6NLw09EwE0CqkOc4q9oUmW1yo/edit?usp=sharing"",""สุโขทัย!L462"")"),0)</f>
        <v>0</v>
      </c>
      <c r="M567" s="168"/>
      <c r="N567" s="168">
        <f ca="1">IFERROR(__xludf.DUMMYFUNCTION("IMPORTRANGE(""https://docs.google.com/spreadsheets/d/11923uPwbBZFjjGgGUA6NLw09EwE0CqkOc4q9oUmW1yo/edit?usp=sharing"",""สุโขทัย!M462"")"),0)</f>
        <v>0</v>
      </c>
      <c r="O567" s="168">
        <f t="shared" ca="1" si="122"/>
        <v>0</v>
      </c>
      <c r="P567" s="168"/>
    </row>
    <row r="568" spans="1:16" ht="21.75" customHeight="1" x14ac:dyDescent="0.3">
      <c r="A568" s="156"/>
      <c r="B568" s="157"/>
      <c r="C568" s="157"/>
      <c r="D568" s="166"/>
      <c r="E568" s="159"/>
      <c r="F568" s="159"/>
      <c r="G568" s="372" t="s">
        <v>130</v>
      </c>
      <c r="H568" s="161" t="s">
        <v>12</v>
      </c>
      <c r="I568" s="162"/>
      <c r="J568" s="162"/>
      <c r="K568" s="163"/>
      <c r="L568" s="168">
        <f ca="1">IFERROR(__xludf.DUMMYFUNCTION("IMPORTRANGE(""https://docs.google.com/spreadsheets/d/11923uPwbBZFjjGgGUA6NLw09EwE0CqkOc4q9oUmW1yo/edit?usp=sharing"",""สุโขทัย!L463"")"),142240)</f>
        <v>142240</v>
      </c>
      <c r="M568" s="168"/>
      <c r="N568" s="168">
        <f ca="1">IFERROR(__xludf.DUMMYFUNCTION("IMPORTRANGE(""https://docs.google.com/spreadsheets/d/11923uPwbBZFjjGgGUA6NLw09EwE0CqkOc4q9oUmW1yo/edit?usp=sharing"",""สุโขทัย!M463"")"),9935.48)</f>
        <v>9935.48</v>
      </c>
      <c r="O568" s="168">
        <f t="shared" ca="1" si="122"/>
        <v>6.985011248593926</v>
      </c>
      <c r="P568" s="168"/>
    </row>
    <row r="569" spans="1:16" ht="21.75" customHeight="1" x14ac:dyDescent="0.3">
      <c r="A569" s="373"/>
      <c r="B569" s="374"/>
      <c r="C569" s="157"/>
      <c r="D569" s="375"/>
      <c r="E569" s="159"/>
      <c r="F569" s="159"/>
      <c r="G569" s="376" t="s">
        <v>131</v>
      </c>
      <c r="H569" s="161" t="s">
        <v>12</v>
      </c>
      <c r="I569" s="187"/>
      <c r="J569" s="187"/>
      <c r="K569" s="223"/>
      <c r="L569" s="168"/>
      <c r="M569" s="168"/>
      <c r="N569" s="167">
        <f ca="1">IFERROR(__xludf.DUMMYFUNCTION("IMPORTRANGE(""https://docs.google.com/spreadsheets/d/11923uPwbBZFjjGgGUA6NLw09EwE0CqkOc4q9oUmW1yo/edit?usp=sharing"",""สุโขทัย!M464"")"),0)</f>
        <v>0</v>
      </c>
      <c r="O569" s="168"/>
      <c r="P569" s="168"/>
    </row>
    <row r="570" spans="1:16" ht="21.75" customHeight="1" x14ac:dyDescent="0.3">
      <c r="A570" s="373"/>
      <c r="B570" s="374"/>
      <c r="C570" s="157"/>
      <c r="D570" s="375"/>
      <c r="E570" s="159"/>
      <c r="F570" s="159"/>
      <c r="G570" s="376" t="s">
        <v>132</v>
      </c>
      <c r="H570" s="161" t="s">
        <v>12</v>
      </c>
      <c r="I570" s="187"/>
      <c r="J570" s="187"/>
      <c r="K570" s="223"/>
      <c r="L570" s="168"/>
      <c r="M570" s="168"/>
      <c r="N570" s="167">
        <f ca="1">IFERROR(__xludf.DUMMYFUNCTION("IMPORTRANGE(""https://docs.google.com/spreadsheets/d/11923uPwbBZFjjGgGUA6NLw09EwE0CqkOc4q9oUmW1yo/edit?usp=sharing"",""สุโขทัย!M465"")"),0)</f>
        <v>0</v>
      </c>
      <c r="O570" s="168"/>
      <c r="P570" s="168"/>
    </row>
    <row r="571" spans="1:16" ht="21.75" customHeight="1" x14ac:dyDescent="0.3">
      <c r="A571" s="373"/>
      <c r="B571" s="374"/>
      <c r="C571" s="157"/>
      <c r="D571" s="375"/>
      <c r="E571" s="159"/>
      <c r="F571" s="159"/>
      <c r="G571" s="376" t="s">
        <v>133</v>
      </c>
      <c r="H571" s="161" t="s">
        <v>12</v>
      </c>
      <c r="I571" s="187"/>
      <c r="J571" s="187"/>
      <c r="K571" s="223"/>
      <c r="L571" s="168"/>
      <c r="M571" s="168"/>
      <c r="N571" s="377">
        <f ca="1">IFERROR(__xludf.DUMMYFUNCTION("IMPORTRANGE(""https://docs.google.com/spreadsheets/d/11923uPwbBZFjjGgGUA6NLw09EwE0CqkOc4q9oUmW1yo/edit?usp=sharing"",""สุโขทัย!M466"")"),9935.48)</f>
        <v>9935.48</v>
      </c>
      <c r="O571" s="168"/>
      <c r="P571" s="168"/>
    </row>
    <row r="572" spans="1:16" ht="21.75" customHeight="1" x14ac:dyDescent="0.3">
      <c r="A572" s="373"/>
      <c r="B572" s="374"/>
      <c r="C572" s="157"/>
      <c r="D572" s="375"/>
      <c r="E572" s="159"/>
      <c r="F572" s="159"/>
      <c r="G572" s="376" t="s">
        <v>134</v>
      </c>
      <c r="H572" s="161" t="s">
        <v>12</v>
      </c>
      <c r="I572" s="187"/>
      <c r="J572" s="187"/>
      <c r="K572" s="223"/>
      <c r="L572" s="168"/>
      <c r="M572" s="168"/>
      <c r="N572" s="377">
        <f ca="1">IFERROR(__xludf.DUMMYFUNCTION("IMPORTRANGE(""https://docs.google.com/spreadsheets/d/11923uPwbBZFjjGgGUA6NLw09EwE0CqkOc4q9oUmW1yo/edit?usp=sharing"",""สุโขทัย!M467"")"),0)</f>
        <v>0</v>
      </c>
      <c r="O572" s="168"/>
      <c r="P572" s="168"/>
    </row>
    <row r="573" spans="1:16" ht="21.75" customHeight="1" x14ac:dyDescent="0.3">
      <c r="A573" s="175"/>
      <c r="B573" s="176"/>
      <c r="C573" s="176"/>
      <c r="D573" s="195"/>
      <c r="E573" s="194" t="s">
        <v>40</v>
      </c>
      <c r="F573" s="412" t="s">
        <v>209</v>
      </c>
      <c r="G573" s="386"/>
      <c r="H573" s="474" t="s">
        <v>37</v>
      </c>
      <c r="I573" s="418">
        <f ca="1">IFERROR(__xludf.DUMMYFUNCTION("IMPORTRANGE(""https://docs.google.com/spreadsheets/d/11923uPwbBZFjjGgGUA6NLw09EwE0CqkOc4q9oUmW1yo/edit?usp=sharing"",""สุโขทัย!I468"")"),2100)</f>
        <v>2100</v>
      </c>
      <c r="J573" s="418">
        <f ca="1">IFERROR(__xludf.DUMMYFUNCTION("IMPORTRANGE(""https://docs.google.com/spreadsheets/d/11923uPwbBZFjjGgGUA6NLw09EwE0CqkOc4q9oUmW1yo/edit?usp=sharing"",""สุโขทัย!J468"")"),3501)</f>
        <v>3501</v>
      </c>
      <c r="K573" s="201">
        <f ca="1">IF(I573&gt;0,J573*100/I573,0)</f>
        <v>166.71428571428572</v>
      </c>
      <c r="L573" s="181"/>
      <c r="M573" s="181"/>
      <c r="N573" s="181"/>
      <c r="O573" s="181"/>
      <c r="P573" s="181"/>
    </row>
    <row r="574" spans="1:16" ht="21.75" customHeight="1" x14ac:dyDescent="0.3">
      <c r="A574" s="175"/>
      <c r="B574" s="176"/>
      <c r="C574" s="176"/>
      <c r="D574" s="195"/>
      <c r="E574" s="195"/>
      <c r="F574" s="194" t="s">
        <v>210</v>
      </c>
      <c r="G574" s="196"/>
      <c r="H574" s="473"/>
      <c r="I574" s="162"/>
      <c r="J574" s="162"/>
      <c r="K574" s="163"/>
      <c r="L574" s="181"/>
      <c r="M574" s="181"/>
      <c r="N574" s="181"/>
      <c r="O574" s="181"/>
      <c r="P574" s="181"/>
    </row>
    <row r="575" spans="1:16" ht="21.75" customHeight="1" x14ac:dyDescent="0.3">
      <c r="A575" s="175"/>
      <c r="B575" s="176"/>
      <c r="C575" s="176"/>
      <c r="D575" s="195"/>
      <c r="E575" s="194" t="s">
        <v>40</v>
      </c>
      <c r="F575" s="194" t="s">
        <v>211</v>
      </c>
      <c r="G575" s="196"/>
      <c r="H575" s="473" t="s">
        <v>77</v>
      </c>
      <c r="I575" s="202">
        <f ca="1">IFERROR(__xludf.DUMMYFUNCTION("IMPORTRANGE(""https://docs.google.com/spreadsheets/d/11923uPwbBZFjjGgGUA6NLw09EwE0CqkOc4q9oUmW1yo/edit?usp=sharing"",""สุโขทัย!I470"")"),0)</f>
        <v>0</v>
      </c>
      <c r="J575" s="197">
        <f ca="1">IFERROR(__xludf.DUMMYFUNCTION("IMPORTRANGE(""https://docs.google.com/spreadsheets/d/11923uPwbBZFjjGgGUA6NLw09EwE0CqkOc4q9oUmW1yo/edit?usp=sharing"",""สุโขทัย!J470"")"),4)</f>
        <v>4</v>
      </c>
      <c r="K575" s="163">
        <f t="shared" ref="K575:K579" ca="1" si="123">IF(I575&gt;0,J575*100/I575,0)</f>
        <v>0</v>
      </c>
      <c r="L575" s="181"/>
      <c r="M575" s="181"/>
      <c r="N575" s="181"/>
      <c r="O575" s="181"/>
      <c r="P575" s="181"/>
    </row>
    <row r="576" spans="1:16" ht="21.75" customHeight="1" x14ac:dyDescent="0.3">
      <c r="A576" s="175"/>
      <c r="B576" s="176"/>
      <c r="C576" s="176"/>
      <c r="D576" s="195"/>
      <c r="E576" s="195"/>
      <c r="F576" s="194" t="s">
        <v>212</v>
      </c>
      <c r="G576" s="196"/>
      <c r="H576" s="473" t="s">
        <v>37</v>
      </c>
      <c r="I576" s="202">
        <f ca="1">IFERROR(__xludf.DUMMYFUNCTION("IMPORTRANGE(""https://docs.google.com/spreadsheets/d/11923uPwbBZFjjGgGUA6NLw09EwE0CqkOc4q9oUmW1yo/edit?usp=sharing"",""สุโขทัย!I471"")"),0)</f>
        <v>0</v>
      </c>
      <c r="J576" s="197">
        <f ca="1">IFERROR(__xludf.DUMMYFUNCTION("IMPORTRANGE(""https://docs.google.com/spreadsheets/d/11923uPwbBZFjjGgGUA6NLw09EwE0CqkOc4q9oUmW1yo/edit?usp=sharing"",""สุโขทัย!J471"")"),174)</f>
        <v>174</v>
      </c>
      <c r="K576" s="163">
        <f t="shared" ca="1" si="123"/>
        <v>0</v>
      </c>
      <c r="L576" s="181"/>
      <c r="M576" s="181"/>
      <c r="N576" s="181"/>
      <c r="O576" s="181"/>
      <c r="P576" s="181"/>
    </row>
    <row r="577" spans="1:16" ht="21.75" customHeight="1" x14ac:dyDescent="0.3">
      <c r="A577" s="175"/>
      <c r="B577" s="176"/>
      <c r="C577" s="176"/>
      <c r="D577" s="195"/>
      <c r="E577" s="195"/>
      <c r="F577" s="194" t="s">
        <v>213</v>
      </c>
      <c r="G577" s="196"/>
      <c r="H577" s="473" t="s">
        <v>37</v>
      </c>
      <c r="I577" s="202">
        <f ca="1">IFERROR(__xludf.DUMMYFUNCTION("IMPORTRANGE(""https://docs.google.com/spreadsheets/d/11923uPwbBZFjjGgGUA6NLw09EwE0CqkOc4q9oUmW1yo/edit?usp=sharing"",""สุโขทัย!I472"")"),0)</f>
        <v>0</v>
      </c>
      <c r="J577" s="188">
        <f ca="1">IFERROR(__xludf.DUMMYFUNCTION("IMPORTRANGE(""https://docs.google.com/spreadsheets/d/11923uPwbBZFjjGgGUA6NLw09EwE0CqkOc4q9oUmW1yo/edit?usp=sharing"",""สุโขทัย!J472"")"),3327)</f>
        <v>3327</v>
      </c>
      <c r="K577" s="163">
        <f t="shared" ca="1" si="123"/>
        <v>0</v>
      </c>
      <c r="L577" s="181"/>
      <c r="M577" s="181"/>
      <c r="N577" s="181"/>
      <c r="O577" s="181"/>
      <c r="P577" s="181"/>
    </row>
    <row r="578" spans="1:16" ht="21.75" customHeight="1" x14ac:dyDescent="0.3">
      <c r="A578" s="175"/>
      <c r="B578" s="176"/>
      <c r="C578" s="176"/>
      <c r="D578" s="195"/>
      <c r="E578" s="195"/>
      <c r="F578" s="194" t="s">
        <v>214</v>
      </c>
      <c r="G578" s="419"/>
      <c r="H578" s="473" t="s">
        <v>37</v>
      </c>
      <c r="I578" s="202">
        <f ca="1">IFERROR(__xludf.DUMMYFUNCTION("IMPORTRANGE(""https://docs.google.com/spreadsheets/d/11923uPwbBZFjjGgGUA6NLw09EwE0CqkOc4q9oUmW1yo/edit?usp=sharing"",""สุโขทัย!I473"")"),0)</f>
        <v>0</v>
      </c>
      <c r="J578" s="197">
        <f ca="1">IFERROR(__xludf.DUMMYFUNCTION("IMPORTRANGE(""https://docs.google.com/spreadsheets/d/11923uPwbBZFjjGgGUA6NLw09EwE0CqkOc4q9oUmW1yo/edit?usp=sharing"",""สุโขทัย!J473"")"),0)</f>
        <v>0</v>
      </c>
      <c r="K578" s="163">
        <f t="shared" ca="1" si="123"/>
        <v>0</v>
      </c>
      <c r="L578" s="181"/>
      <c r="M578" s="181"/>
      <c r="N578" s="181"/>
      <c r="O578" s="181"/>
      <c r="P578" s="181"/>
    </row>
    <row r="579" spans="1:16" ht="21.75" customHeight="1" x14ac:dyDescent="0.3">
      <c r="A579" s="175"/>
      <c r="B579" s="176"/>
      <c r="C579" s="176"/>
      <c r="D579" s="195"/>
      <c r="E579" s="195"/>
      <c r="F579" s="194" t="s">
        <v>215</v>
      </c>
      <c r="G579" s="419"/>
      <c r="H579" s="473" t="s">
        <v>37</v>
      </c>
      <c r="I579" s="202">
        <f ca="1">IFERROR(__xludf.DUMMYFUNCTION("IMPORTRANGE(""https://docs.google.com/spreadsheets/d/11923uPwbBZFjjGgGUA6NLw09EwE0CqkOc4q9oUmW1yo/edit?usp=sharing"",""สุโขทัย!I474"")"),0)</f>
        <v>0</v>
      </c>
      <c r="J579" s="197">
        <f ca="1">IFERROR(__xludf.DUMMYFUNCTION("IMPORTRANGE(""https://docs.google.com/spreadsheets/d/11923uPwbBZFjjGgGUA6NLw09EwE0CqkOc4q9oUmW1yo/edit?usp=sharing"",""สุโขทัย!J474"")"),0)</f>
        <v>0</v>
      </c>
      <c r="K579" s="163">
        <f t="shared" ca="1" si="123"/>
        <v>0</v>
      </c>
      <c r="L579" s="181"/>
      <c r="M579" s="181"/>
      <c r="N579" s="181"/>
      <c r="O579" s="181"/>
      <c r="P579" s="181"/>
    </row>
    <row r="580" spans="1:16" ht="21.75" customHeight="1" x14ac:dyDescent="0.3">
      <c r="A580" s="364"/>
      <c r="B580" s="365">
        <v>9</v>
      </c>
      <c r="C580" s="475" t="s">
        <v>216</v>
      </c>
      <c r="D580" s="366"/>
      <c r="E580" s="366"/>
      <c r="F580" s="366"/>
      <c r="G580" s="367"/>
      <c r="H580" s="368" t="s">
        <v>37</v>
      </c>
      <c r="I580" s="369">
        <f ca="1">IFERROR(__xludf.DUMMYFUNCTION("IMPORTRANGE(""https://docs.google.com/spreadsheets/d/11923uPwbBZFjjGgGUA6NLw09EwE0CqkOc4q9oUmW1yo/edit?usp=sharing"",""สุโขทัย!I475"")"),90)</f>
        <v>90</v>
      </c>
      <c r="J580" s="369">
        <f ca="1">IFERROR(__xludf.DUMMYFUNCTION("IMPORTRANGE(""https://docs.google.com/spreadsheets/d/11923uPwbBZFjjGgGUA6NLw09EwE0CqkOc4q9oUmW1yo/edit?usp=sharing"",""สุโขทัย!J475"")"),0)</f>
        <v>0</v>
      </c>
      <c r="K580" s="370">
        <f ca="1">IF(I580&gt;0,J580*100/I580,0)</f>
        <v>0</v>
      </c>
      <c r="L580" s="371">
        <f ca="1">IFERROR(__xludf.DUMMYFUNCTION("IMPORTRANGE(""https://docs.google.com/spreadsheets/d/11923uPwbBZFjjGgGUA6NLw09EwE0CqkOc4q9oUmW1yo/edit?usp=sharing"",""สุโขทัย!L475"")"),296190)</f>
        <v>296190</v>
      </c>
      <c r="M580" s="371"/>
      <c r="N580" s="371">
        <f ca="1">IFERROR(__xludf.DUMMYFUNCTION("IMPORTRANGE(""https://docs.google.com/spreadsheets/d/11923uPwbBZFjjGgGUA6NLw09EwE0CqkOc4q9oUmW1yo/edit?usp=sharing"",""สุโขทัย!M475"")"),0)</f>
        <v>0</v>
      </c>
      <c r="O580" s="371">
        <f t="shared" ref="O580:O584" ca="1" si="124">+IF(L580&gt;0,N580*100/L580,0)</f>
        <v>0</v>
      </c>
      <c r="P580" s="371"/>
    </row>
    <row r="581" spans="1:16" ht="21.75" customHeight="1" x14ac:dyDescent="0.3">
      <c r="A581" s="156"/>
      <c r="B581" s="157"/>
      <c r="C581" s="157" t="s">
        <v>16</v>
      </c>
      <c r="D581" s="158" t="s">
        <v>38</v>
      </c>
      <c r="E581" s="159"/>
      <c r="F581" s="159"/>
      <c r="G581" s="160" t="s">
        <v>39</v>
      </c>
      <c r="H581" s="161" t="s">
        <v>12</v>
      </c>
      <c r="I581" s="162" t="s">
        <v>40</v>
      </c>
      <c r="J581" s="162"/>
      <c r="K581" s="163"/>
      <c r="L581" s="164">
        <f ca="1">IFERROR(__xludf.DUMMYFUNCTION("IMPORTRANGE(""https://docs.google.com/spreadsheets/d/11923uPwbBZFjjGgGUA6NLw09EwE0CqkOc4q9oUmW1yo/edit?usp=sharing"",""สุโขทัย!L476"")"),0)</f>
        <v>0</v>
      </c>
      <c r="M581" s="164"/>
      <c r="N581" s="168">
        <f ca="1">IFERROR(__xludf.DUMMYFUNCTION("IMPORTRANGE(""https://docs.google.com/spreadsheets/d/11923uPwbBZFjjGgGUA6NLw09EwE0CqkOc4q9oUmW1yo/edit?usp=sharing"",""สุโขทัย!M476"")"),0)</f>
        <v>0</v>
      </c>
      <c r="O581" s="168">
        <f t="shared" ca="1" si="124"/>
        <v>0</v>
      </c>
      <c r="P581" s="168"/>
    </row>
    <row r="582" spans="1:16" ht="21.75" customHeight="1" x14ac:dyDescent="0.3">
      <c r="A582" s="156"/>
      <c r="B582" s="157"/>
      <c r="C582" s="157"/>
      <c r="D582" s="166"/>
      <c r="E582" s="159"/>
      <c r="F582" s="159" t="s">
        <v>40</v>
      </c>
      <c r="G582" s="160" t="s">
        <v>41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IFERROR(__xludf.DUMMYFUNCTION("IMPORTRANGE(""https://docs.google.com/spreadsheets/d/11923uPwbBZFjjGgGUA6NLw09EwE0CqkOc4q9oUmW1yo/edit?usp=sharing"",""สุโขทัย!L477"")"),296190)</f>
        <v>296190</v>
      </c>
      <c r="M582" s="165"/>
      <c r="N582" s="168">
        <f ca="1">IFERROR(__xludf.DUMMYFUNCTION("IMPORTRANGE(""https://docs.google.com/spreadsheets/d/11923uPwbBZFjjGgGUA6NLw09EwE0CqkOc4q9oUmW1yo/edit?usp=sharing"",""สุโขทัย!M477"")"),0)</f>
        <v>0</v>
      </c>
      <c r="O582" s="168">
        <f t="shared" ca="1" si="124"/>
        <v>0</v>
      </c>
      <c r="P582" s="168"/>
    </row>
    <row r="583" spans="1:16" ht="21.75" customHeight="1" x14ac:dyDescent="0.3">
      <c r="A583" s="156"/>
      <c r="B583" s="157"/>
      <c r="C583" s="157"/>
      <c r="D583" s="166"/>
      <c r="E583" s="159"/>
      <c r="F583" s="159"/>
      <c r="G583" s="372" t="s">
        <v>129</v>
      </c>
      <c r="H583" s="161" t="s">
        <v>12</v>
      </c>
      <c r="I583" s="162"/>
      <c r="J583" s="162"/>
      <c r="K583" s="163"/>
      <c r="L583" s="168">
        <f ca="1">IFERROR(__xludf.DUMMYFUNCTION("IMPORTRANGE(""https://docs.google.com/spreadsheets/d/11923uPwbBZFjjGgGUA6NLw09EwE0CqkOc4q9oUmW1yo/edit?usp=sharing"",""สุโขทัย!L478"")"),0)</f>
        <v>0</v>
      </c>
      <c r="M583" s="168"/>
      <c r="N583" s="168">
        <f ca="1">IFERROR(__xludf.DUMMYFUNCTION("IMPORTRANGE(""https://docs.google.com/spreadsheets/d/11923uPwbBZFjjGgGUA6NLw09EwE0CqkOc4q9oUmW1yo/edit?usp=sharing"",""สุโขทัย!M478"")"),0)</f>
        <v>0</v>
      </c>
      <c r="O583" s="168">
        <f t="shared" ca="1" si="124"/>
        <v>0</v>
      </c>
      <c r="P583" s="168"/>
    </row>
    <row r="584" spans="1:16" ht="21.75" customHeight="1" x14ac:dyDescent="0.3">
      <c r="A584" s="156"/>
      <c r="B584" s="157"/>
      <c r="C584" s="157"/>
      <c r="D584" s="166"/>
      <c r="E584" s="159"/>
      <c r="F584" s="159"/>
      <c r="G584" s="372" t="s">
        <v>130</v>
      </c>
      <c r="H584" s="161" t="s">
        <v>12</v>
      </c>
      <c r="I584" s="162"/>
      <c r="J584" s="162"/>
      <c r="K584" s="163"/>
      <c r="L584" s="168">
        <f ca="1">IFERROR(__xludf.DUMMYFUNCTION("IMPORTRANGE(""https://docs.google.com/spreadsheets/d/11923uPwbBZFjjGgGUA6NLw09EwE0CqkOc4q9oUmW1yo/edit?usp=sharing"",""สุโขทัย!L479"")"),296190)</f>
        <v>296190</v>
      </c>
      <c r="M584" s="168"/>
      <c r="N584" s="168">
        <f ca="1">IFERROR(__xludf.DUMMYFUNCTION("IMPORTRANGE(""https://docs.google.com/spreadsheets/d/11923uPwbBZFjjGgGUA6NLw09EwE0CqkOc4q9oUmW1yo/edit?usp=sharing"",""สุโขทัย!M479"")"),0)</f>
        <v>0</v>
      </c>
      <c r="O584" s="168">
        <f t="shared" ca="1" si="124"/>
        <v>0</v>
      </c>
      <c r="P584" s="168"/>
    </row>
    <row r="585" spans="1:16" ht="21.75" customHeight="1" x14ac:dyDescent="0.3">
      <c r="A585" s="373"/>
      <c r="B585" s="374"/>
      <c r="C585" s="157"/>
      <c r="D585" s="375"/>
      <c r="E585" s="159"/>
      <c r="F585" s="159"/>
      <c r="G585" s="376" t="s">
        <v>131</v>
      </c>
      <c r="H585" s="161" t="s">
        <v>12</v>
      </c>
      <c r="I585" s="187"/>
      <c r="J585" s="187"/>
      <c r="K585" s="223"/>
      <c r="L585" s="168"/>
      <c r="M585" s="168"/>
      <c r="N585" s="167">
        <f ca="1">IFERROR(__xludf.DUMMYFUNCTION("IMPORTRANGE(""https://docs.google.com/spreadsheets/d/11923uPwbBZFjjGgGUA6NLw09EwE0CqkOc4q9oUmW1yo/edit?usp=sharing"",""สุโขทัย!M480"")"),0)</f>
        <v>0</v>
      </c>
      <c r="O585" s="168"/>
      <c r="P585" s="168"/>
    </row>
    <row r="586" spans="1:16" ht="21.75" customHeight="1" x14ac:dyDescent="0.3">
      <c r="A586" s="373"/>
      <c r="B586" s="374"/>
      <c r="C586" s="157"/>
      <c r="D586" s="375"/>
      <c r="E586" s="159"/>
      <c r="F586" s="159"/>
      <c r="G586" s="376" t="s">
        <v>132</v>
      </c>
      <c r="H586" s="161" t="s">
        <v>12</v>
      </c>
      <c r="I586" s="187"/>
      <c r="J586" s="187"/>
      <c r="K586" s="223"/>
      <c r="L586" s="168"/>
      <c r="M586" s="168"/>
      <c r="N586" s="167">
        <f ca="1">IFERROR(__xludf.DUMMYFUNCTION("IMPORTRANGE(""https://docs.google.com/spreadsheets/d/11923uPwbBZFjjGgGUA6NLw09EwE0CqkOc4q9oUmW1yo/edit?usp=sharing"",""สุโขทัย!M481"")"),0)</f>
        <v>0</v>
      </c>
      <c r="O586" s="168"/>
      <c r="P586" s="168"/>
    </row>
    <row r="587" spans="1:16" ht="21.75" customHeight="1" x14ac:dyDescent="0.3">
      <c r="A587" s="373"/>
      <c r="B587" s="374"/>
      <c r="C587" s="157"/>
      <c r="D587" s="375"/>
      <c r="E587" s="159"/>
      <c r="F587" s="159"/>
      <c r="G587" s="376" t="s">
        <v>133</v>
      </c>
      <c r="H587" s="161" t="s">
        <v>12</v>
      </c>
      <c r="I587" s="187"/>
      <c r="J587" s="187"/>
      <c r="K587" s="223"/>
      <c r="L587" s="168"/>
      <c r="M587" s="168"/>
      <c r="N587" s="167">
        <f ca="1">IFERROR(__xludf.DUMMYFUNCTION("IMPORTRANGE(""https://docs.google.com/spreadsheets/d/11923uPwbBZFjjGgGUA6NLw09EwE0CqkOc4q9oUmW1yo/edit?usp=sharing"",""สุโขทัย!M482"")"),0)</f>
        <v>0</v>
      </c>
      <c r="O587" s="168"/>
      <c r="P587" s="168"/>
    </row>
    <row r="588" spans="1:16" ht="21.75" customHeight="1" x14ac:dyDescent="0.3">
      <c r="A588" s="373"/>
      <c r="B588" s="374"/>
      <c r="C588" s="157"/>
      <c r="D588" s="375"/>
      <c r="E588" s="159"/>
      <c r="F588" s="159"/>
      <c r="G588" s="376" t="s">
        <v>134</v>
      </c>
      <c r="H588" s="161" t="s">
        <v>12</v>
      </c>
      <c r="I588" s="187"/>
      <c r="J588" s="187"/>
      <c r="K588" s="223"/>
      <c r="L588" s="168"/>
      <c r="M588" s="168"/>
      <c r="N588" s="167">
        <f ca="1">IFERROR(__xludf.DUMMYFUNCTION("IMPORTRANGE(""https://docs.google.com/spreadsheets/d/11923uPwbBZFjjGgGUA6NLw09EwE0CqkOc4q9oUmW1yo/edit?usp=sharing"",""สุโขทัย!M483"")"),0)</f>
        <v>0</v>
      </c>
      <c r="O588" s="168"/>
      <c r="P588" s="168"/>
    </row>
    <row r="589" spans="1:16" ht="21.75" customHeight="1" x14ac:dyDescent="0.3">
      <c r="A589" s="476"/>
      <c r="B589" s="166"/>
      <c r="C589" s="157"/>
      <c r="D589" s="289"/>
      <c r="E589" s="194" t="s">
        <v>217</v>
      </c>
      <c r="F589" s="195"/>
      <c r="G589" s="196"/>
      <c r="H589" s="180" t="s">
        <v>36</v>
      </c>
      <c r="I589" s="339">
        <f ca="1">IFERROR(__xludf.DUMMYFUNCTION("IMPORTRANGE(""https://docs.google.com/spreadsheets/d/11923uPwbBZFjjGgGUA6NLw09EwE0CqkOc4q9oUmW1yo/edit?usp=sharing"",""สุโขทัย!I484"")"),90)</f>
        <v>90</v>
      </c>
      <c r="J589" s="187">
        <f ca="1">IFERROR(__xludf.DUMMYFUNCTION("IMPORTRANGE(""https://docs.google.com/spreadsheets/d/11923uPwbBZFjjGgGUA6NLw09EwE0CqkOc4q9oUmW1yo/edit?usp=sharing"",""สุโขทัย!J484"")"),0)</f>
        <v>0</v>
      </c>
      <c r="K589" s="163">
        <f t="shared" ref="K589:K596" ca="1" si="125">IF(I589&gt;0,J589*100/I589,0)</f>
        <v>0</v>
      </c>
      <c r="L589" s="181"/>
      <c r="M589" s="181"/>
      <c r="N589" s="168"/>
      <c r="O589" s="181"/>
      <c r="P589" s="181"/>
    </row>
    <row r="590" spans="1:16" ht="21.75" customHeight="1" x14ac:dyDescent="0.3">
      <c r="A590" s="476"/>
      <c r="B590" s="166"/>
      <c r="C590" s="157"/>
      <c r="D590" s="289"/>
      <c r="E590" s="195"/>
      <c r="F590" s="195"/>
      <c r="G590" s="196"/>
      <c r="H590" s="180" t="s">
        <v>122</v>
      </c>
      <c r="I590" s="343">
        <f ca="1">IFERROR(__xludf.DUMMYFUNCTION("IMPORTRANGE(""https://docs.google.com/spreadsheets/d/11923uPwbBZFjjGgGUA6NLw09EwE0CqkOc4q9oUmW1yo/edit?usp=sharing"",""สุโขทัย!I485"")"),0)</f>
        <v>0</v>
      </c>
      <c r="J590" s="187">
        <f ca="1">IFERROR(__xludf.DUMMYFUNCTION("IMPORTRANGE(""https://docs.google.com/spreadsheets/d/11923uPwbBZFjjGgGUA6NLw09EwE0CqkOc4q9oUmW1yo/edit?usp=sharing"",""สุโขทัย!J485"")"),0)</f>
        <v>0</v>
      </c>
      <c r="K590" s="477">
        <f t="shared" ca="1" si="125"/>
        <v>0</v>
      </c>
      <c r="L590" s="181"/>
      <c r="M590" s="181"/>
      <c r="N590" s="168"/>
      <c r="O590" s="181"/>
      <c r="P590" s="181"/>
    </row>
    <row r="591" spans="1:16" ht="21.75" customHeight="1" x14ac:dyDescent="0.3">
      <c r="A591" s="476"/>
      <c r="B591" s="166"/>
      <c r="C591" s="157"/>
      <c r="D591" s="289"/>
      <c r="E591" s="194" t="s">
        <v>123</v>
      </c>
      <c r="F591" s="195"/>
      <c r="G591" s="196"/>
      <c r="H591" s="180" t="s">
        <v>37</v>
      </c>
      <c r="I591" s="339">
        <f ca="1">IFERROR(__xludf.DUMMYFUNCTION("IMPORTRANGE(""https://docs.google.com/spreadsheets/d/11923uPwbBZFjjGgGUA6NLw09EwE0CqkOc4q9oUmW1yo/edit?usp=sharing"",""สุโขทัย!I486"")"),90)</f>
        <v>90</v>
      </c>
      <c r="J591" s="187">
        <f ca="1">IFERROR(__xludf.DUMMYFUNCTION("IMPORTRANGE(""https://docs.google.com/spreadsheets/d/11923uPwbBZFjjGgGUA6NLw09EwE0CqkOc4q9oUmW1yo/edit?usp=sharing"",""สุโขทัย!J486"")"),21)</f>
        <v>21</v>
      </c>
      <c r="K591" s="163">
        <f t="shared" ca="1" si="125"/>
        <v>23.333333333333332</v>
      </c>
      <c r="L591" s="181"/>
      <c r="M591" s="181"/>
      <c r="N591" s="181"/>
      <c r="O591" s="181"/>
      <c r="P591" s="181"/>
    </row>
    <row r="592" spans="1:16" ht="21.75" customHeight="1" x14ac:dyDescent="0.3">
      <c r="A592" s="476"/>
      <c r="B592" s="166"/>
      <c r="C592" s="157"/>
      <c r="D592" s="289"/>
      <c r="E592" s="195"/>
      <c r="F592" s="195"/>
      <c r="G592" s="196"/>
      <c r="H592" s="180" t="s">
        <v>122</v>
      </c>
      <c r="I592" s="343">
        <f ca="1">IFERROR(__xludf.DUMMYFUNCTION("IMPORTRANGE(""https://docs.google.com/spreadsheets/d/11923uPwbBZFjjGgGUA6NLw09EwE0CqkOc4q9oUmW1yo/edit?usp=sharing"",""สุโขทัย!I487"")"),0)</f>
        <v>0</v>
      </c>
      <c r="J592" s="187">
        <f ca="1">IFERROR(__xludf.DUMMYFUNCTION("IMPORTRANGE(""https://docs.google.com/spreadsheets/d/11923uPwbBZFjjGgGUA6NLw09EwE0CqkOc4q9oUmW1yo/edit?usp=sharing"",""สุโขทัย!J487"")"),23.95)</f>
        <v>23.95</v>
      </c>
      <c r="K592" s="340">
        <f t="shared" ca="1" si="125"/>
        <v>0</v>
      </c>
      <c r="L592" s="181"/>
      <c r="M592" s="181"/>
      <c r="N592" s="181"/>
      <c r="O592" s="181"/>
      <c r="P592" s="181"/>
    </row>
    <row r="593" spans="1:16" ht="21.75" customHeight="1" x14ac:dyDescent="0.3">
      <c r="A593" s="476"/>
      <c r="B593" s="166"/>
      <c r="C593" s="157"/>
      <c r="D593" s="289"/>
      <c r="E593" s="194" t="s">
        <v>124</v>
      </c>
      <c r="F593" s="195"/>
      <c r="G593" s="196"/>
      <c r="H593" s="180" t="s">
        <v>37</v>
      </c>
      <c r="I593" s="339">
        <f ca="1">IFERROR(__xludf.DUMMYFUNCTION("IMPORTRANGE(""https://docs.google.com/spreadsheets/d/11923uPwbBZFjjGgGUA6NLw09EwE0CqkOc4q9oUmW1yo/edit?usp=sharing"",""สุโขทัย!I488"")"),90)</f>
        <v>90</v>
      </c>
      <c r="J593" s="187">
        <f ca="1">IFERROR(__xludf.DUMMYFUNCTION("IMPORTRANGE(""https://docs.google.com/spreadsheets/d/11923uPwbBZFjjGgGUA6NLw09EwE0CqkOc4q9oUmW1yo/edit?usp=sharing"",""สุโขทัย!J488"")"),0)</f>
        <v>0</v>
      </c>
      <c r="K593" s="163">
        <f t="shared" ca="1" si="125"/>
        <v>0</v>
      </c>
      <c r="L593" s="181"/>
      <c r="M593" s="181"/>
      <c r="N593" s="181"/>
      <c r="O593" s="181"/>
      <c r="P593" s="181"/>
    </row>
    <row r="594" spans="1:16" ht="21.75" customHeight="1" x14ac:dyDescent="0.3">
      <c r="A594" s="476"/>
      <c r="B594" s="166"/>
      <c r="C594" s="157"/>
      <c r="D594" s="289"/>
      <c r="E594" s="195"/>
      <c r="F594" s="195"/>
      <c r="G594" s="196"/>
      <c r="H594" s="180" t="s">
        <v>122</v>
      </c>
      <c r="I594" s="343">
        <f ca="1">IFERROR(__xludf.DUMMYFUNCTION("IMPORTRANGE(""https://docs.google.com/spreadsheets/d/11923uPwbBZFjjGgGUA6NLw09EwE0CqkOc4q9oUmW1yo/edit?usp=sharing"",""สุโขทัย!I489"")"),0)</f>
        <v>0</v>
      </c>
      <c r="J594" s="187">
        <f ca="1">IFERROR(__xludf.DUMMYFUNCTION("IMPORTRANGE(""https://docs.google.com/spreadsheets/d/11923uPwbBZFjjGgGUA6NLw09EwE0CqkOc4q9oUmW1yo/edit?usp=sharing"",""สุโขทัย!J489"")"),0)</f>
        <v>0</v>
      </c>
      <c r="K594" s="340">
        <f t="shared" ca="1" si="125"/>
        <v>0</v>
      </c>
      <c r="L594" s="181"/>
      <c r="M594" s="181"/>
      <c r="N594" s="181"/>
      <c r="O594" s="181"/>
      <c r="P594" s="181"/>
    </row>
    <row r="595" spans="1:16" ht="21.75" customHeight="1" x14ac:dyDescent="0.3">
      <c r="A595" s="476"/>
      <c r="B595" s="166"/>
      <c r="C595" s="157"/>
      <c r="D595" s="289"/>
      <c r="E595" s="194" t="s">
        <v>125</v>
      </c>
      <c r="F595" s="195"/>
      <c r="G595" s="196"/>
      <c r="H595" s="180" t="s">
        <v>37</v>
      </c>
      <c r="I595" s="339">
        <f ca="1">IFERROR(__xludf.DUMMYFUNCTION("IMPORTRANGE(""https://docs.google.com/spreadsheets/d/11923uPwbBZFjjGgGUA6NLw09EwE0CqkOc4q9oUmW1yo/edit?usp=sharing"",""สุโขทัย!I490"")"),90)</f>
        <v>90</v>
      </c>
      <c r="J595" s="187">
        <f ca="1">IFERROR(__xludf.DUMMYFUNCTION("IMPORTRANGE(""https://docs.google.com/spreadsheets/d/11923uPwbBZFjjGgGUA6NLw09EwE0CqkOc4q9oUmW1yo/edit?usp=sharing"",""สุโขทัย!J490"")"),0)</f>
        <v>0</v>
      </c>
      <c r="K595" s="163">
        <f t="shared" ca="1" si="125"/>
        <v>0</v>
      </c>
      <c r="L595" s="181"/>
      <c r="M595" s="181"/>
      <c r="N595" s="181"/>
      <c r="O595" s="181"/>
      <c r="P595" s="181"/>
    </row>
    <row r="596" spans="1:16" ht="21.75" customHeight="1" x14ac:dyDescent="0.3">
      <c r="A596" s="478"/>
      <c r="B596" s="479"/>
      <c r="C596" s="480"/>
      <c r="D596" s="481"/>
      <c r="E596" s="460"/>
      <c r="F596" s="460"/>
      <c r="G596" s="461"/>
      <c r="H596" s="482" t="s">
        <v>122</v>
      </c>
      <c r="I596" s="483">
        <f ca="1">IFERROR(__xludf.DUMMYFUNCTION("IMPORTRANGE(""https://docs.google.com/spreadsheets/d/11923uPwbBZFjjGgGUA6NLw09EwE0CqkOc4q9oUmW1yo/edit?usp=sharing"",""สุโขทัย!I491"")"),0)</f>
        <v>0</v>
      </c>
      <c r="J596" s="240">
        <f ca="1">IFERROR(__xludf.DUMMYFUNCTION("IMPORTRANGE(""https://docs.google.com/spreadsheets/d/11923uPwbBZFjjGgGUA6NLw09EwE0CqkOc4q9oUmW1yo/edit?usp=sharing"",""สุโขทัย!J491"")"),0)</f>
        <v>0</v>
      </c>
      <c r="K596" s="484">
        <f t="shared" ca="1" si="125"/>
        <v>0</v>
      </c>
      <c r="L596" s="466"/>
      <c r="M596" s="466"/>
      <c r="N596" s="466"/>
      <c r="O596" s="466"/>
      <c r="P596" s="466"/>
    </row>
    <row r="597" spans="1:16" ht="21.75" customHeight="1" x14ac:dyDescent="0.3">
      <c r="A597" s="403"/>
      <c r="B597" s="404">
        <v>10</v>
      </c>
      <c r="C597" s="405" t="s">
        <v>218</v>
      </c>
      <c r="D597" s="405"/>
      <c r="E597" s="405"/>
      <c r="F597" s="405"/>
      <c r="G597" s="406"/>
      <c r="H597" s="407" t="s">
        <v>122</v>
      </c>
      <c r="I597" s="408">
        <f ca="1">IFERROR(__xludf.DUMMYFUNCTION("IMPORTRANGE(""https://docs.google.com/spreadsheets/d/11923uPwbBZFjjGgGUA6NLw09EwE0CqkOc4q9oUmW1yo/edit?usp=sharing"",""สุโขทัย!I492"")"),100)</f>
        <v>100</v>
      </c>
      <c r="J597" s="485">
        <f ca="1">IFERROR(__xludf.DUMMYFUNCTION("IMPORTRANGE(""https://docs.google.com/spreadsheets/d/11923uPwbBZFjjGgGUA6NLw09EwE0CqkOc4q9oUmW1yo/edit?usp=sharing"",""สุโขทัย!J492"")"),0)</f>
        <v>0</v>
      </c>
      <c r="K597" s="409">
        <f ca="1">IF(I597&gt;0,J597*100/I597,0)</f>
        <v>0</v>
      </c>
      <c r="L597" s="410">
        <f ca="1">IFERROR(__xludf.DUMMYFUNCTION("IMPORTRANGE(""https://docs.google.com/spreadsheets/d/11923uPwbBZFjjGgGUA6NLw09EwE0CqkOc4q9oUmW1yo/edit?usp=sharing"",""สุโขทัย!L492"")"),7300)</f>
        <v>7300</v>
      </c>
      <c r="M597" s="410"/>
      <c r="N597" s="410">
        <f ca="1">IFERROR(__xludf.DUMMYFUNCTION("IMPORTRANGE(""https://docs.google.com/spreadsheets/d/11923uPwbBZFjjGgGUA6NLw09EwE0CqkOc4q9oUmW1yo/edit?usp=sharing"",""สุโขทัย!M492"")"),0)</f>
        <v>0</v>
      </c>
      <c r="O597" s="410">
        <f t="shared" ref="O597:O601" ca="1" si="126">+IF(L597&gt;0,N597*100/L597,0)</f>
        <v>0</v>
      </c>
      <c r="P597" s="410"/>
    </row>
    <row r="598" spans="1:16" ht="21.75" customHeight="1" x14ac:dyDescent="0.3">
      <c r="A598" s="156"/>
      <c r="B598" s="157"/>
      <c r="C598" s="157" t="s">
        <v>16</v>
      </c>
      <c r="D598" s="158" t="s">
        <v>38</v>
      </c>
      <c r="E598" s="159"/>
      <c r="F598" s="159"/>
      <c r="G598" s="160" t="s">
        <v>39</v>
      </c>
      <c r="H598" s="161" t="s">
        <v>12</v>
      </c>
      <c r="I598" s="162" t="s">
        <v>40</v>
      </c>
      <c r="J598" s="162"/>
      <c r="K598" s="163"/>
      <c r="L598" s="164">
        <f ca="1">IFERROR(__xludf.DUMMYFUNCTION("IMPORTRANGE(""https://docs.google.com/spreadsheets/d/11923uPwbBZFjjGgGUA6NLw09EwE0CqkOc4q9oUmW1yo/edit?usp=sharing"",""สุโขทัย!L493"")"),0)</f>
        <v>0</v>
      </c>
      <c r="M598" s="164"/>
      <c r="N598" s="168">
        <f ca="1">IFERROR(__xludf.DUMMYFUNCTION("IMPORTRANGE(""https://docs.google.com/spreadsheets/d/11923uPwbBZFjjGgGUA6NLw09EwE0CqkOc4q9oUmW1yo/edit?usp=sharing"",""สุโขทัย!M493"")"),0)</f>
        <v>0</v>
      </c>
      <c r="O598" s="168">
        <f t="shared" ca="1" si="126"/>
        <v>0</v>
      </c>
      <c r="P598" s="168"/>
    </row>
    <row r="599" spans="1:16" ht="21.75" customHeight="1" x14ac:dyDescent="0.3">
      <c r="A599" s="156"/>
      <c r="B599" s="157"/>
      <c r="C599" s="157"/>
      <c r="D599" s="166"/>
      <c r="E599" s="159"/>
      <c r="F599" s="159" t="s">
        <v>40</v>
      </c>
      <c r="G599" s="160" t="s">
        <v>41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IFERROR(__xludf.DUMMYFUNCTION("IMPORTRANGE(""https://docs.google.com/spreadsheets/d/11923uPwbBZFjjGgGUA6NLw09EwE0CqkOc4q9oUmW1yo/edit?usp=sharing"",""สุโขทัย!L494"")"),7300)</f>
        <v>7300</v>
      </c>
      <c r="M599" s="165"/>
      <c r="N599" s="168">
        <f ca="1">IFERROR(__xludf.DUMMYFUNCTION("IMPORTRANGE(""https://docs.google.com/spreadsheets/d/11923uPwbBZFjjGgGUA6NLw09EwE0CqkOc4q9oUmW1yo/edit?usp=sharing"",""สุโขทัย!M494"")"),0)</f>
        <v>0</v>
      </c>
      <c r="O599" s="168">
        <f t="shared" ca="1" si="126"/>
        <v>0</v>
      </c>
      <c r="P599" s="168"/>
    </row>
    <row r="600" spans="1:16" ht="21.75" customHeight="1" x14ac:dyDescent="0.3">
      <c r="A600" s="156"/>
      <c r="B600" s="157"/>
      <c r="C600" s="157"/>
      <c r="D600" s="166"/>
      <c r="E600" s="159"/>
      <c r="F600" s="159"/>
      <c r="G600" s="372" t="s">
        <v>129</v>
      </c>
      <c r="H600" s="161" t="s">
        <v>12</v>
      </c>
      <c r="I600" s="162"/>
      <c r="J600" s="162"/>
      <c r="K600" s="163"/>
      <c r="L600" s="168">
        <f ca="1">IFERROR(__xludf.DUMMYFUNCTION("IMPORTRANGE(""https://docs.google.com/spreadsheets/d/11923uPwbBZFjjGgGUA6NLw09EwE0CqkOc4q9oUmW1yo/edit?usp=sharing"",""สุโขทัย!L495"")"),0)</f>
        <v>0</v>
      </c>
      <c r="M600" s="168"/>
      <c r="N600" s="168">
        <f ca="1">IFERROR(__xludf.DUMMYFUNCTION("IMPORTRANGE(""https://docs.google.com/spreadsheets/d/11923uPwbBZFjjGgGUA6NLw09EwE0CqkOc4q9oUmW1yo/edit?usp=sharing"",""สุโขทัย!M495"")"),0)</f>
        <v>0</v>
      </c>
      <c r="O600" s="168">
        <f t="shared" ca="1" si="126"/>
        <v>0</v>
      </c>
      <c r="P600" s="168"/>
    </row>
    <row r="601" spans="1:16" ht="21.75" customHeight="1" x14ac:dyDescent="0.3">
      <c r="A601" s="156"/>
      <c r="B601" s="157"/>
      <c r="C601" s="157"/>
      <c r="D601" s="166"/>
      <c r="E601" s="159"/>
      <c r="F601" s="159"/>
      <c r="G601" s="372" t="s">
        <v>130</v>
      </c>
      <c r="H601" s="161" t="s">
        <v>12</v>
      </c>
      <c r="I601" s="162"/>
      <c r="J601" s="162"/>
      <c r="K601" s="163"/>
      <c r="L601" s="168">
        <f ca="1">IFERROR(__xludf.DUMMYFUNCTION("IMPORTRANGE(""https://docs.google.com/spreadsheets/d/11923uPwbBZFjjGgGUA6NLw09EwE0CqkOc4q9oUmW1yo/edit?usp=sharing"",""สุโขทัย!L496"")"),7300)</f>
        <v>7300</v>
      </c>
      <c r="M601" s="168"/>
      <c r="N601" s="168">
        <f ca="1">IFERROR(__xludf.DUMMYFUNCTION("IMPORTRANGE(""https://docs.google.com/spreadsheets/d/11923uPwbBZFjjGgGUA6NLw09EwE0CqkOc4q9oUmW1yo/edit?usp=sharing"",""สุโขทัย!M496"")"),0)</f>
        <v>0</v>
      </c>
      <c r="O601" s="168">
        <f t="shared" ca="1" si="126"/>
        <v>0</v>
      </c>
      <c r="P601" s="168"/>
    </row>
    <row r="602" spans="1:16" ht="21.75" customHeight="1" x14ac:dyDescent="0.3">
      <c r="A602" s="373"/>
      <c r="B602" s="374"/>
      <c r="C602" s="157"/>
      <c r="D602" s="375"/>
      <c r="E602" s="159"/>
      <c r="F602" s="159"/>
      <c r="G602" s="376" t="s">
        <v>131</v>
      </c>
      <c r="H602" s="161" t="s">
        <v>12</v>
      </c>
      <c r="I602" s="187"/>
      <c r="J602" s="187"/>
      <c r="K602" s="223"/>
      <c r="L602" s="168"/>
      <c r="M602" s="168"/>
      <c r="N602" s="167">
        <f ca="1">IFERROR(__xludf.DUMMYFUNCTION("IMPORTRANGE(""https://docs.google.com/spreadsheets/d/11923uPwbBZFjjGgGUA6NLw09EwE0CqkOc4q9oUmW1yo/edit?usp=sharing"",""สุโขทัย!M497"")"),0)</f>
        <v>0</v>
      </c>
      <c r="O602" s="168"/>
      <c r="P602" s="168"/>
    </row>
    <row r="603" spans="1:16" ht="21.75" customHeight="1" x14ac:dyDescent="0.3">
      <c r="A603" s="373"/>
      <c r="B603" s="374"/>
      <c r="C603" s="157"/>
      <c r="D603" s="375"/>
      <c r="E603" s="159"/>
      <c r="F603" s="159"/>
      <c r="G603" s="376" t="s">
        <v>132</v>
      </c>
      <c r="H603" s="161" t="s">
        <v>12</v>
      </c>
      <c r="I603" s="187"/>
      <c r="J603" s="187"/>
      <c r="K603" s="223"/>
      <c r="L603" s="168"/>
      <c r="M603" s="168"/>
      <c r="N603" s="167">
        <f ca="1">IFERROR(__xludf.DUMMYFUNCTION("IMPORTRANGE(""https://docs.google.com/spreadsheets/d/11923uPwbBZFjjGgGUA6NLw09EwE0CqkOc4q9oUmW1yo/edit?usp=sharing"",""สุโขทัย!M498"")"),0)</f>
        <v>0</v>
      </c>
      <c r="O603" s="168"/>
      <c r="P603" s="168"/>
    </row>
    <row r="604" spans="1:16" ht="21.75" customHeight="1" x14ac:dyDescent="0.3">
      <c r="A604" s="373"/>
      <c r="B604" s="374"/>
      <c r="C604" s="157"/>
      <c r="D604" s="375"/>
      <c r="E604" s="159"/>
      <c r="F604" s="159"/>
      <c r="G604" s="376" t="s">
        <v>133</v>
      </c>
      <c r="H604" s="161" t="s">
        <v>12</v>
      </c>
      <c r="I604" s="187"/>
      <c r="J604" s="187"/>
      <c r="K604" s="223"/>
      <c r="L604" s="168"/>
      <c r="M604" s="168"/>
      <c r="N604" s="377">
        <f ca="1">IFERROR(__xludf.DUMMYFUNCTION("IMPORTRANGE(""https://docs.google.com/spreadsheets/d/11923uPwbBZFjjGgGUA6NLw09EwE0CqkOc4q9oUmW1yo/edit?usp=sharing"",""สุโขทัย!M499"")"),0)</f>
        <v>0</v>
      </c>
      <c r="O604" s="168"/>
      <c r="P604" s="168"/>
    </row>
    <row r="605" spans="1:16" ht="21.75" customHeight="1" x14ac:dyDescent="0.3">
      <c r="A605" s="373"/>
      <c r="B605" s="374"/>
      <c r="C605" s="157"/>
      <c r="D605" s="375"/>
      <c r="E605" s="159"/>
      <c r="F605" s="159"/>
      <c r="G605" s="376" t="s">
        <v>134</v>
      </c>
      <c r="H605" s="161" t="s">
        <v>12</v>
      </c>
      <c r="I605" s="187"/>
      <c r="J605" s="187"/>
      <c r="K605" s="223"/>
      <c r="L605" s="168"/>
      <c r="M605" s="168"/>
      <c r="N605" s="377">
        <f ca="1">IFERROR(__xludf.DUMMYFUNCTION("IMPORTRANGE(""https://docs.google.com/spreadsheets/d/11923uPwbBZFjjGgGUA6NLw09EwE0CqkOc4q9oUmW1yo/edit?usp=sharing"",""สุโขทัย!M500"")"),0)</f>
        <v>0</v>
      </c>
      <c r="O605" s="168"/>
      <c r="P605" s="168"/>
    </row>
    <row r="606" spans="1:16" ht="21.75" customHeight="1" x14ac:dyDescent="0.3">
      <c r="A606" s="175"/>
      <c r="B606" s="176"/>
      <c r="C606" s="157" t="s">
        <v>16</v>
      </c>
      <c r="D606" s="177" t="s">
        <v>44</v>
      </c>
      <c r="E606" s="178"/>
      <c r="F606" s="178"/>
      <c r="G606" s="179"/>
      <c r="H606" s="180"/>
      <c r="I606" s="162"/>
      <c r="J606" s="162"/>
      <c r="K606" s="163"/>
      <c r="L606" s="181"/>
      <c r="M606" s="181"/>
      <c r="N606" s="181"/>
      <c r="O606" s="181"/>
      <c r="P606" s="181"/>
    </row>
    <row r="607" spans="1:16" ht="21.75" customHeight="1" x14ac:dyDescent="0.3">
      <c r="A607" s="175"/>
      <c r="B607" s="176"/>
      <c r="C607" s="176"/>
      <c r="D607" s="182">
        <v>1</v>
      </c>
      <c r="E607" s="183" t="s">
        <v>45</v>
      </c>
      <c r="F607" s="184"/>
      <c r="G607" s="185"/>
      <c r="H607" s="186"/>
      <c r="I607" s="187"/>
      <c r="J607" s="197">
        <f ca="1">IFERROR(__xludf.DUMMYFUNCTION("IMPORTRANGE(""https://docs.google.com/spreadsheets/d/11923uPwbBZFjjGgGUA6NLw09EwE0CqkOc4q9oUmW1yo/edit?usp=sharing"",""สุโขทัย!J502"")"),0)</f>
        <v>0</v>
      </c>
      <c r="K607" s="163"/>
      <c r="L607" s="181"/>
      <c r="M607" s="181"/>
      <c r="N607" s="181"/>
      <c r="O607" s="181"/>
      <c r="P607" s="181"/>
    </row>
    <row r="608" spans="1:16" ht="21.75" customHeight="1" x14ac:dyDescent="0.3">
      <c r="A608" s="175"/>
      <c r="B608" s="176"/>
      <c r="C608" s="176"/>
      <c r="D608" s="189">
        <v>2</v>
      </c>
      <c r="E608" s="190" t="s">
        <v>46</v>
      </c>
      <c r="F608" s="191"/>
      <c r="G608" s="192"/>
      <c r="H608" s="186"/>
      <c r="I608" s="187"/>
      <c r="J608" s="197">
        <f ca="1">IFERROR(__xludf.DUMMYFUNCTION("IMPORTRANGE(""https://docs.google.com/spreadsheets/d/11923uPwbBZFjjGgGUA6NLw09EwE0CqkOc4q9oUmW1yo/edit?usp=sharing"",""สุโขทัย!J503"")"),1)</f>
        <v>1</v>
      </c>
      <c r="K608" s="163"/>
      <c r="L608" s="181" t="s">
        <v>40</v>
      </c>
      <c r="M608" s="181"/>
      <c r="N608" s="181" t="s">
        <v>40</v>
      </c>
      <c r="O608" s="181"/>
      <c r="P608" s="181"/>
    </row>
    <row r="609" spans="1:16" ht="21.75" hidden="1" customHeight="1" x14ac:dyDescent="0.3">
      <c r="A609" s="373"/>
      <c r="B609" s="374"/>
      <c r="C609" s="374"/>
      <c r="D609" s="486"/>
      <c r="E609" s="487" t="s">
        <v>47</v>
      </c>
      <c r="F609" s="488"/>
      <c r="G609" s="379"/>
      <c r="H609" s="186"/>
      <c r="I609" s="187"/>
      <c r="J609" s="187">
        <f ca="1">IFERROR(__xludf.DUMMYFUNCTION("IMPORTRANGE(""https://docs.google.com/spreadsheets/d/11923uPwbBZFjjGgGUA6NLw09EwE0CqkOc4q9oUmW1yo/edit?usp=sharing"",""สุโขทัย!J166"")"),0)</f>
        <v>0</v>
      </c>
      <c r="K609" s="223"/>
      <c r="L609" s="168"/>
      <c r="M609" s="168"/>
      <c r="N609" s="168"/>
      <c r="O609" s="168"/>
      <c r="P609" s="168"/>
    </row>
    <row r="610" spans="1:16" ht="21.75" hidden="1" customHeight="1" x14ac:dyDescent="0.3">
      <c r="A610" s="373"/>
      <c r="B610" s="374"/>
      <c r="C610" s="374"/>
      <c r="D610" s="486"/>
      <c r="E610" s="487" t="s">
        <v>48</v>
      </c>
      <c r="F610" s="488"/>
      <c r="G610" s="379"/>
      <c r="H610" s="186"/>
      <c r="I610" s="187"/>
      <c r="J610" s="187">
        <f ca="1">IFERROR(__xludf.DUMMYFUNCTION("IMPORTRANGE(""https://docs.google.com/spreadsheets/d/11923uPwbBZFjjGgGUA6NLw09EwE0CqkOc4q9oUmW1yo/edit?usp=sharing"",""สุโขทัย!J166"")"),0)</f>
        <v>0</v>
      </c>
      <c r="K610" s="223"/>
      <c r="L610" s="168"/>
      <c r="M610" s="168"/>
      <c r="N610" s="168"/>
      <c r="O610" s="168"/>
      <c r="P610" s="168"/>
    </row>
    <row r="611" spans="1:16" ht="21.75" customHeight="1" x14ac:dyDescent="0.3">
      <c r="A611" s="175"/>
      <c r="B611" s="176"/>
      <c r="C611" s="176"/>
      <c r="D611" s="193"/>
      <c r="E611" s="195"/>
      <c r="F611" s="195" t="s">
        <v>219</v>
      </c>
      <c r="G611" s="196"/>
      <c r="H611" s="180" t="s">
        <v>122</v>
      </c>
      <c r="I611" s="187">
        <f ca="1">IFERROR(__xludf.DUMMYFUNCTION("IMPORTRANGE(""https://docs.google.com/spreadsheets/d/11923uPwbBZFjjGgGUA6NLw09EwE0CqkOc4q9oUmW1yo/edit?usp=sharing"",""สุโขทัย!I506"")"),100)</f>
        <v>100</v>
      </c>
      <c r="J611" s="162">
        <f ca="1">IFERROR(__xludf.DUMMYFUNCTION("IMPORTRANGE(""https://docs.google.com/spreadsheets/d/11923uPwbBZFjjGgGUA6NLw09EwE0CqkOc4q9oUmW1yo/edit?usp=sharing"",""สุโขทัย!J506"")"),0)</f>
        <v>0</v>
      </c>
      <c r="K611" s="163">
        <f t="shared" ref="K611:K619" ca="1" si="127">IF(I$611&gt;0,J611*100/I$611,0)</f>
        <v>0</v>
      </c>
      <c r="L611" s="181"/>
      <c r="M611" s="181"/>
      <c r="N611" s="181"/>
      <c r="O611" s="181"/>
      <c r="P611" s="181"/>
    </row>
    <row r="612" spans="1:16" ht="21.75" customHeight="1" x14ac:dyDescent="0.3">
      <c r="A612" s="175"/>
      <c r="B612" s="176"/>
      <c r="C612" s="176"/>
      <c r="D612" s="193"/>
      <c r="E612" s="198"/>
      <c r="F612" s="195"/>
      <c r="G612" s="225" t="s">
        <v>220</v>
      </c>
      <c r="H612" s="180" t="s">
        <v>122</v>
      </c>
      <c r="I612" s="203">
        <f ca="1">IFERROR(__xludf.DUMMYFUNCTION("IMPORTRANGE(""https://docs.google.com/spreadsheets/d/11923uPwbBZFjjGgGUA6NLw09EwE0CqkOc4q9oUmW1yo/edit?usp=sharing"",""สุโขทัย!I507"")"),0)</f>
        <v>0</v>
      </c>
      <c r="J612" s="197">
        <f ca="1">IFERROR(__xludf.DUMMYFUNCTION("IMPORTRANGE(""https://docs.google.com/spreadsheets/d/11923uPwbBZFjjGgGUA6NLw09EwE0CqkOc4q9oUmW1yo/edit?usp=sharing"",""สุโขทัย!J507"")"),0)</f>
        <v>0</v>
      </c>
      <c r="K612" s="163">
        <f t="shared" ca="1" si="127"/>
        <v>0</v>
      </c>
      <c r="L612" s="181"/>
      <c r="M612" s="181"/>
      <c r="N612" s="181"/>
      <c r="O612" s="181"/>
      <c r="P612" s="181"/>
    </row>
    <row r="613" spans="1:16" ht="21.75" customHeight="1" x14ac:dyDescent="0.3">
      <c r="A613" s="175"/>
      <c r="B613" s="176"/>
      <c r="C613" s="176"/>
      <c r="D613" s="193"/>
      <c r="E613" s="198"/>
      <c r="F613" s="195"/>
      <c r="G613" s="225" t="s">
        <v>221</v>
      </c>
      <c r="H613" s="180" t="s">
        <v>122</v>
      </c>
      <c r="I613" s="203">
        <f ca="1">IFERROR(__xludf.DUMMYFUNCTION("IMPORTRANGE(""https://docs.google.com/spreadsheets/d/11923uPwbBZFjjGgGUA6NLw09EwE0CqkOc4q9oUmW1yo/edit?usp=sharing"",""สุโขทัย!I508"")"),0)</f>
        <v>0</v>
      </c>
      <c r="J613" s="197">
        <f ca="1">IFERROR(__xludf.DUMMYFUNCTION("IMPORTRANGE(""https://docs.google.com/spreadsheets/d/11923uPwbBZFjjGgGUA6NLw09EwE0CqkOc4q9oUmW1yo/edit?usp=sharing"",""สุโขทัย!J508"")"),0)</f>
        <v>0</v>
      </c>
      <c r="K613" s="163">
        <f t="shared" ca="1" si="127"/>
        <v>0</v>
      </c>
      <c r="L613" s="181"/>
      <c r="M613" s="181"/>
      <c r="N613" s="181"/>
      <c r="O613" s="181"/>
      <c r="P613" s="181"/>
    </row>
    <row r="614" spans="1:16" ht="21.75" customHeight="1" x14ac:dyDescent="0.3">
      <c r="A614" s="175"/>
      <c r="B614" s="176"/>
      <c r="C614" s="176"/>
      <c r="D614" s="193"/>
      <c r="E614" s="198"/>
      <c r="F614" s="195"/>
      <c r="G614" s="225" t="s">
        <v>222</v>
      </c>
      <c r="H614" s="180" t="s">
        <v>122</v>
      </c>
      <c r="I614" s="203">
        <f ca="1">IFERROR(__xludf.DUMMYFUNCTION("IMPORTRANGE(""https://docs.google.com/spreadsheets/d/11923uPwbBZFjjGgGUA6NLw09EwE0CqkOc4q9oUmW1yo/edit?usp=sharing"",""สุโขทัย!I509"")"),0)</f>
        <v>0</v>
      </c>
      <c r="J614" s="197">
        <f ca="1">IFERROR(__xludf.DUMMYFUNCTION("IMPORTRANGE(""https://docs.google.com/spreadsheets/d/11923uPwbBZFjjGgGUA6NLw09EwE0CqkOc4q9oUmW1yo/edit?usp=sharing"",""สุโขทัย!J509"")"),0)</f>
        <v>0</v>
      </c>
      <c r="K614" s="163">
        <f t="shared" ca="1" si="127"/>
        <v>0</v>
      </c>
      <c r="L614" s="181"/>
      <c r="M614" s="181"/>
      <c r="N614" s="181"/>
      <c r="O614" s="181"/>
      <c r="P614" s="181"/>
    </row>
    <row r="615" spans="1:16" ht="21.75" customHeight="1" x14ac:dyDescent="0.3">
      <c r="A615" s="175"/>
      <c r="B615" s="176"/>
      <c r="C615" s="176"/>
      <c r="D615" s="193"/>
      <c r="E615" s="198"/>
      <c r="F615" s="195"/>
      <c r="G615" s="225" t="s">
        <v>223</v>
      </c>
      <c r="H615" s="180" t="s">
        <v>122</v>
      </c>
      <c r="I615" s="203">
        <f ca="1">IFERROR(__xludf.DUMMYFUNCTION("IMPORTRANGE(""https://docs.google.com/spreadsheets/d/11923uPwbBZFjjGgGUA6NLw09EwE0CqkOc4q9oUmW1yo/edit?usp=sharing"",""สุโขทัย!I510"")"),0)</f>
        <v>0</v>
      </c>
      <c r="J615" s="197">
        <f ca="1">IFERROR(__xludf.DUMMYFUNCTION("IMPORTRANGE(""https://docs.google.com/spreadsheets/d/11923uPwbBZFjjGgGUA6NLw09EwE0CqkOc4q9oUmW1yo/edit?usp=sharing"",""สุโขทัย!J510"")"),0)</f>
        <v>0</v>
      </c>
      <c r="K615" s="163">
        <f t="shared" ca="1" si="127"/>
        <v>0</v>
      </c>
      <c r="L615" s="181"/>
      <c r="M615" s="181"/>
      <c r="N615" s="181"/>
      <c r="O615" s="181"/>
      <c r="P615" s="181"/>
    </row>
    <row r="616" spans="1:16" ht="21.75" customHeight="1" x14ac:dyDescent="0.3">
      <c r="A616" s="175"/>
      <c r="B616" s="176"/>
      <c r="C616" s="176"/>
      <c r="D616" s="193"/>
      <c r="E616" s="198"/>
      <c r="F616" s="195"/>
      <c r="G616" s="194" t="s">
        <v>224</v>
      </c>
      <c r="H616" s="180" t="s">
        <v>122</v>
      </c>
      <c r="I616" s="203">
        <f ca="1">IFERROR(__xludf.DUMMYFUNCTION("IMPORTRANGE(""https://docs.google.com/spreadsheets/d/11923uPwbBZFjjGgGUA6NLw09EwE0CqkOc4q9oUmW1yo/edit?usp=sharing"",""สุโขทัย!I511"")"),0)</f>
        <v>0</v>
      </c>
      <c r="J616" s="197">
        <f ca="1">IFERROR(__xludf.DUMMYFUNCTION("IMPORTRANGE(""https://docs.google.com/spreadsheets/d/11923uPwbBZFjjGgGUA6NLw09EwE0CqkOc4q9oUmW1yo/edit?usp=sharing"",""สุโขทัย!J511"")"),0)</f>
        <v>0</v>
      </c>
      <c r="K616" s="163">
        <f t="shared" ca="1" si="127"/>
        <v>0</v>
      </c>
      <c r="L616" s="181"/>
      <c r="M616" s="181"/>
      <c r="N616" s="181"/>
      <c r="O616" s="181"/>
      <c r="P616" s="181"/>
    </row>
    <row r="617" spans="1:16" ht="21.75" customHeight="1" x14ac:dyDescent="0.3">
      <c r="A617" s="175"/>
      <c r="B617" s="176"/>
      <c r="C617" s="176"/>
      <c r="D617" s="193"/>
      <c r="E617" s="198"/>
      <c r="F617" s="195"/>
      <c r="G617" s="194" t="s">
        <v>225</v>
      </c>
      <c r="H617" s="180" t="s">
        <v>122</v>
      </c>
      <c r="I617" s="187">
        <f ca="1">IFERROR(__xludf.DUMMYFUNCTION("IMPORTRANGE(""https://docs.google.com/spreadsheets/d/11923uPwbBZFjjGgGUA6NLw09EwE0CqkOc4q9oUmW1yo/edit?usp=sharing"",""สุโขทัย!I512"")"),0)</f>
        <v>0</v>
      </c>
      <c r="J617" s="187">
        <f ca="1">IFERROR(__xludf.DUMMYFUNCTION("IMPORTRANGE(""https://docs.google.com/spreadsheets/d/11923uPwbBZFjjGgGUA6NLw09EwE0CqkOc4q9oUmW1yo/edit?usp=sharing"",""สุโขทัย!J512"")"),0)</f>
        <v>0</v>
      </c>
      <c r="K617" s="163">
        <f t="shared" ca="1" si="127"/>
        <v>0</v>
      </c>
      <c r="L617" s="181"/>
      <c r="M617" s="181"/>
      <c r="N617" s="181"/>
      <c r="O617" s="181"/>
      <c r="P617" s="181"/>
    </row>
    <row r="618" spans="1:16" ht="21.75" customHeight="1" x14ac:dyDescent="0.3">
      <c r="A618" s="175"/>
      <c r="B618" s="176"/>
      <c r="C618" s="176"/>
      <c r="D618" s="193"/>
      <c r="E618" s="198"/>
      <c r="F618" s="195"/>
      <c r="G618" s="489" t="s">
        <v>226</v>
      </c>
      <c r="H618" s="180" t="s">
        <v>122</v>
      </c>
      <c r="I618" s="203">
        <f ca="1">IFERROR(__xludf.DUMMYFUNCTION("IMPORTRANGE(""https://docs.google.com/spreadsheets/d/11923uPwbBZFjjGgGUA6NLw09EwE0CqkOc4q9oUmW1yo/edit?usp=sharing"",""สุโขทัย!I513"")"),0)</f>
        <v>0</v>
      </c>
      <c r="J618" s="188">
        <f ca="1">IFERROR(__xludf.DUMMYFUNCTION("IMPORTRANGE(""https://docs.google.com/spreadsheets/d/11923uPwbBZFjjGgGUA6NLw09EwE0CqkOc4q9oUmW1yo/edit?usp=sharing"",""สุโขทัย!J513"")"),0)</f>
        <v>0</v>
      </c>
      <c r="K618" s="163">
        <f t="shared" ca="1" si="127"/>
        <v>0</v>
      </c>
      <c r="L618" s="181"/>
      <c r="M618" s="181"/>
      <c r="N618" s="181"/>
      <c r="O618" s="181"/>
      <c r="P618" s="181"/>
    </row>
    <row r="619" spans="1:16" ht="21.75" customHeight="1" x14ac:dyDescent="0.3">
      <c r="A619" s="175"/>
      <c r="B619" s="176"/>
      <c r="C619" s="176"/>
      <c r="D619" s="193"/>
      <c r="E619" s="198"/>
      <c r="F619" s="195"/>
      <c r="G619" s="489" t="s">
        <v>227</v>
      </c>
      <c r="H619" s="180" t="s">
        <v>122</v>
      </c>
      <c r="I619" s="203">
        <f ca="1">IFERROR(__xludf.DUMMYFUNCTION("IMPORTRANGE(""https://docs.google.com/spreadsheets/d/11923uPwbBZFjjGgGUA6NLw09EwE0CqkOc4q9oUmW1yo/edit?usp=sharing"",""สุโขทัย!I514"")"),0)</f>
        <v>0</v>
      </c>
      <c r="J619" s="188">
        <f ca="1">IFERROR(__xludf.DUMMYFUNCTION("IMPORTRANGE(""https://docs.google.com/spreadsheets/d/11923uPwbBZFjjGgGUA6NLw09EwE0CqkOc4q9oUmW1yo/edit?usp=sharing"",""สุโขทัย!J514"")"),0)</f>
        <v>0</v>
      </c>
      <c r="K619" s="163">
        <f t="shared" ca="1" si="127"/>
        <v>0</v>
      </c>
      <c r="L619" s="181"/>
      <c r="M619" s="181"/>
      <c r="N619" s="181"/>
      <c r="O619" s="181"/>
      <c r="P619" s="181"/>
    </row>
    <row r="620" spans="1:16" ht="21.75" customHeight="1" x14ac:dyDescent="0.3">
      <c r="A620" s="175"/>
      <c r="B620" s="176"/>
      <c r="C620" s="176"/>
      <c r="D620" s="193"/>
      <c r="E620" s="195"/>
      <c r="F620" s="194" t="s">
        <v>228</v>
      </c>
      <c r="G620" s="196"/>
      <c r="H620" s="180" t="s">
        <v>122</v>
      </c>
      <c r="I620" s="187">
        <f ca="1">IFERROR(__xludf.DUMMYFUNCTION("IMPORTRANGE(""https://docs.google.com/spreadsheets/d/11923uPwbBZFjjGgGUA6NLw09EwE0CqkOc4q9oUmW1yo/edit?usp=sharing"",""สุโขทัย!I515"")"),0)</f>
        <v>0</v>
      </c>
      <c r="J620" s="202">
        <f ca="1">IFERROR(__xludf.DUMMYFUNCTION("IMPORTRANGE(""https://docs.google.com/spreadsheets/d/11923uPwbBZFjjGgGUA6NLw09EwE0CqkOc4q9oUmW1yo/edit?usp=sharing"",""สุโขทัย!J515"")"),0)</f>
        <v>0</v>
      </c>
      <c r="K620" s="163">
        <f t="shared" ref="K620:K626" ca="1" si="128">IF(I$620&gt;0,J620*100/I$620,0)</f>
        <v>0</v>
      </c>
      <c r="L620" s="181"/>
      <c r="M620" s="181"/>
      <c r="N620" s="181"/>
      <c r="O620" s="181"/>
      <c r="P620" s="181"/>
    </row>
    <row r="621" spans="1:16" ht="21.75" customHeight="1" x14ac:dyDescent="0.3">
      <c r="A621" s="175"/>
      <c r="B621" s="176"/>
      <c r="C621" s="176"/>
      <c r="D621" s="193"/>
      <c r="E621" s="198"/>
      <c r="F621" s="195"/>
      <c r="G621" s="225" t="s">
        <v>225</v>
      </c>
      <c r="H621" s="180" t="s">
        <v>122</v>
      </c>
      <c r="I621" s="202">
        <f ca="1">IFERROR(__xludf.DUMMYFUNCTION("IMPORTRANGE(""https://docs.google.com/spreadsheets/d/11923uPwbBZFjjGgGUA6NLw09EwE0CqkOc4q9oUmW1yo/edit?usp=sharing"",""สุโขทัย!I516"")"),0)</f>
        <v>0</v>
      </c>
      <c r="J621" s="202">
        <f ca="1">IFERROR(__xludf.DUMMYFUNCTION("IMPORTRANGE(""https://docs.google.com/spreadsheets/d/11923uPwbBZFjjGgGUA6NLw09EwE0CqkOc4q9oUmW1yo/edit?usp=sharing"",""สุโขทัย!J516"")"),0)</f>
        <v>0</v>
      </c>
      <c r="K621" s="163">
        <f t="shared" ca="1" si="128"/>
        <v>0</v>
      </c>
      <c r="L621" s="181"/>
      <c r="M621" s="181"/>
      <c r="N621" s="181"/>
      <c r="O621" s="181"/>
      <c r="P621" s="181"/>
    </row>
    <row r="622" spans="1:16" ht="21.75" customHeight="1" x14ac:dyDescent="0.3">
      <c r="A622" s="175"/>
      <c r="B622" s="176"/>
      <c r="C622" s="176"/>
      <c r="D622" s="193"/>
      <c r="E622" s="198"/>
      <c r="F622" s="195"/>
      <c r="G622" s="489" t="s">
        <v>226</v>
      </c>
      <c r="H622" s="180" t="s">
        <v>122</v>
      </c>
      <c r="I622" s="203">
        <f ca="1">IFERROR(__xludf.DUMMYFUNCTION("IMPORTRANGE(""https://docs.google.com/spreadsheets/d/11923uPwbBZFjjGgGUA6NLw09EwE0CqkOc4q9oUmW1yo/edit?usp=sharing"",""สุโขทัย!I517"")"),0)</f>
        <v>0</v>
      </c>
      <c r="J622" s="188">
        <f ca="1">IFERROR(__xludf.DUMMYFUNCTION("IMPORTRANGE(""https://docs.google.com/spreadsheets/d/11923uPwbBZFjjGgGUA6NLw09EwE0CqkOc4q9oUmW1yo/edit?usp=sharing"",""สุโขทัย!J517"")"),0)</f>
        <v>0</v>
      </c>
      <c r="K622" s="163">
        <f t="shared" ca="1" si="128"/>
        <v>0</v>
      </c>
      <c r="L622" s="181"/>
      <c r="M622" s="181"/>
      <c r="N622" s="181"/>
      <c r="O622" s="181"/>
      <c r="P622" s="181"/>
    </row>
    <row r="623" spans="1:16" ht="21.75" customHeight="1" x14ac:dyDescent="0.3">
      <c r="A623" s="175"/>
      <c r="B623" s="176"/>
      <c r="C623" s="176"/>
      <c r="D623" s="193"/>
      <c r="E623" s="198"/>
      <c r="F623" s="195"/>
      <c r="G623" s="489" t="s">
        <v>227</v>
      </c>
      <c r="H623" s="180" t="s">
        <v>122</v>
      </c>
      <c r="I623" s="203">
        <f ca="1">IFERROR(__xludf.DUMMYFUNCTION("IMPORTRANGE(""https://docs.google.com/spreadsheets/d/11923uPwbBZFjjGgGUA6NLw09EwE0CqkOc4q9oUmW1yo/edit?usp=sharing"",""สุโขทัย!I518"")"),0)</f>
        <v>0</v>
      </c>
      <c r="J623" s="188">
        <f ca="1">IFERROR(__xludf.DUMMYFUNCTION("IMPORTRANGE(""https://docs.google.com/spreadsheets/d/11923uPwbBZFjjGgGUA6NLw09EwE0CqkOc4q9oUmW1yo/edit?usp=sharing"",""สุโขทัย!J518"")"),0)</f>
        <v>0</v>
      </c>
      <c r="K623" s="163">
        <f t="shared" ca="1" si="128"/>
        <v>0</v>
      </c>
      <c r="L623" s="181"/>
      <c r="M623" s="181"/>
      <c r="N623" s="181"/>
      <c r="O623" s="181"/>
      <c r="P623" s="181"/>
    </row>
    <row r="624" spans="1:16" ht="21.75" customHeight="1" x14ac:dyDescent="0.3">
      <c r="A624" s="175"/>
      <c r="B624" s="176"/>
      <c r="C624" s="176"/>
      <c r="D624" s="193"/>
      <c r="E624" s="198"/>
      <c r="F624" s="195"/>
      <c r="G624" s="225" t="s">
        <v>229</v>
      </c>
      <c r="H624" s="180" t="s">
        <v>122</v>
      </c>
      <c r="I624" s="187">
        <f ca="1">IFERROR(__xludf.DUMMYFUNCTION("IMPORTRANGE(""https://docs.google.com/spreadsheets/d/11923uPwbBZFjjGgGUA6NLw09EwE0CqkOc4q9oUmW1yo/edit?usp=sharing"",""สุโขทัย!I519"")"),0)</f>
        <v>0</v>
      </c>
      <c r="J624" s="187">
        <f ca="1">IFERROR(__xludf.DUMMYFUNCTION("IMPORTRANGE(""https://docs.google.com/spreadsheets/d/11923uPwbBZFjjGgGUA6NLw09EwE0CqkOc4q9oUmW1yo/edit?usp=sharing"",""สุโขทัย!J519"")"),0)</f>
        <v>0</v>
      </c>
      <c r="K624" s="163">
        <f t="shared" ca="1" si="128"/>
        <v>0</v>
      </c>
      <c r="L624" s="181"/>
      <c r="M624" s="181"/>
      <c r="N624" s="181"/>
      <c r="O624" s="181"/>
      <c r="P624" s="181"/>
    </row>
    <row r="625" spans="1:16" ht="21.75" customHeight="1" x14ac:dyDescent="0.3">
      <c r="A625" s="175"/>
      <c r="B625" s="176"/>
      <c r="C625" s="176"/>
      <c r="D625" s="193"/>
      <c r="E625" s="198"/>
      <c r="F625" s="195"/>
      <c r="G625" s="489" t="s">
        <v>230</v>
      </c>
      <c r="H625" s="180" t="s">
        <v>122</v>
      </c>
      <c r="I625" s="203">
        <f ca="1">IFERROR(__xludf.DUMMYFUNCTION("IMPORTRANGE(""https://docs.google.com/spreadsheets/d/11923uPwbBZFjjGgGUA6NLw09EwE0CqkOc4q9oUmW1yo/edit?usp=sharing"",""สุโขทัย!I520"")"),0)</f>
        <v>0</v>
      </c>
      <c r="J625" s="188">
        <f ca="1">IFERROR(__xludf.DUMMYFUNCTION("IMPORTRANGE(""https://docs.google.com/spreadsheets/d/11923uPwbBZFjjGgGUA6NLw09EwE0CqkOc4q9oUmW1yo/edit?usp=sharing"",""สุโขทัย!J520"")"),0)</f>
        <v>0</v>
      </c>
      <c r="K625" s="163">
        <f t="shared" ca="1" si="128"/>
        <v>0</v>
      </c>
      <c r="L625" s="181"/>
      <c r="M625" s="181"/>
      <c r="N625" s="181"/>
      <c r="O625" s="181"/>
      <c r="P625" s="181"/>
    </row>
    <row r="626" spans="1:16" ht="21.75" customHeight="1" x14ac:dyDescent="0.3">
      <c r="A626" s="175"/>
      <c r="B626" s="176"/>
      <c r="C626" s="176"/>
      <c r="D626" s="193"/>
      <c r="E626" s="198"/>
      <c r="F626" s="195"/>
      <c r="G626" s="489" t="s">
        <v>231</v>
      </c>
      <c r="H626" s="180" t="s">
        <v>122</v>
      </c>
      <c r="I626" s="203">
        <f ca="1">IFERROR(__xludf.DUMMYFUNCTION("IMPORTRANGE(""https://docs.google.com/spreadsheets/d/11923uPwbBZFjjGgGUA6NLw09EwE0CqkOc4q9oUmW1yo/edit?usp=sharing"",""สุโขทัย!I521"")"),0)</f>
        <v>0</v>
      </c>
      <c r="J626" s="188">
        <f ca="1">IFERROR(__xludf.DUMMYFUNCTION("IMPORTRANGE(""https://docs.google.com/spreadsheets/d/11923uPwbBZFjjGgGUA6NLw09EwE0CqkOc4q9oUmW1yo/edit?usp=sharing"",""สุโขทัย!J521"")"),0)</f>
        <v>0</v>
      </c>
      <c r="K626" s="163">
        <f t="shared" ca="1" si="128"/>
        <v>0</v>
      </c>
      <c r="L626" s="181"/>
      <c r="M626" s="181"/>
      <c r="N626" s="181"/>
      <c r="O626" s="181"/>
      <c r="P626" s="181"/>
    </row>
    <row r="627" spans="1:16" ht="21.75" customHeight="1" x14ac:dyDescent="0.3">
      <c r="A627" s="490" t="s">
        <v>232</v>
      </c>
      <c r="B627" s="491"/>
      <c r="C627" s="491"/>
      <c r="D627" s="491"/>
      <c r="E627" s="491"/>
      <c r="F627" s="491"/>
      <c r="G627" s="492"/>
      <c r="H627" s="493"/>
      <c r="I627" s="494"/>
      <c r="J627" s="494"/>
      <c r="K627" s="495"/>
      <c r="L627" s="495"/>
      <c r="M627" s="495"/>
      <c r="N627" s="495"/>
      <c r="O627" s="496"/>
      <c r="P627" s="496"/>
    </row>
    <row r="628" spans="1:16" ht="21.75" customHeight="1" x14ac:dyDescent="0.3">
      <c r="A628" s="476"/>
      <c r="B628" s="497" t="s">
        <v>233</v>
      </c>
      <c r="C628" s="157"/>
      <c r="D628" s="166"/>
      <c r="E628" s="159"/>
      <c r="F628" s="159"/>
      <c r="G628" s="160"/>
      <c r="H628" s="498" t="s">
        <v>12</v>
      </c>
      <c r="I628" s="339">
        <f ca="1">IFERROR(__xludf.DUMMYFUNCTION("IMPORTRANGE(""https://docs.google.com/spreadsheets/d/11923uPwbBZFjjGgGUA6NLw09EwE0CqkOc4q9oUmW1yo/edit?usp=sharing"",""สุโขทัย!I523"")"),6127231.12)</f>
        <v>6127231.1200000001</v>
      </c>
      <c r="J628" s="339">
        <f ca="1">IFERROR(__xludf.DUMMYFUNCTION("IMPORTRANGE(""https://docs.google.com/spreadsheets/d/11923uPwbBZFjjGgGUA6NLw09EwE0CqkOc4q9oUmW1yo/edit?usp=sharing"",""สุโขทัย!J523"")"),2043537.96)</f>
        <v>2043537.96</v>
      </c>
      <c r="K628" s="340">
        <f t="shared" ref="K628:K635" ca="1" si="129">IF(I628&gt;0,J628*100/I628,0)</f>
        <v>33.351736208050859</v>
      </c>
      <c r="L628" s="340"/>
      <c r="M628" s="340"/>
      <c r="N628" s="340"/>
      <c r="O628" s="168"/>
      <c r="P628" s="168"/>
    </row>
    <row r="629" spans="1:16" ht="21.75" customHeight="1" x14ac:dyDescent="0.3">
      <c r="A629" s="476"/>
      <c r="B629" s="157"/>
      <c r="C629" s="157"/>
      <c r="D629" s="166"/>
      <c r="E629" s="159"/>
      <c r="F629" s="159"/>
      <c r="G629" s="160"/>
      <c r="H629" s="498" t="s">
        <v>37</v>
      </c>
      <c r="I629" s="339">
        <f ca="1">IFERROR(__xludf.DUMMYFUNCTION("IMPORTRANGE(""https://docs.google.com/spreadsheets/d/11923uPwbBZFjjGgGUA6NLw09EwE0CqkOc4q9oUmW1yo/edit?usp=sharing"",""สุโขทัย!I524"")"),426)</f>
        <v>426</v>
      </c>
      <c r="J629" s="339">
        <f ca="1">IFERROR(__xludf.DUMMYFUNCTION("IMPORTRANGE(""https://docs.google.com/spreadsheets/d/11923uPwbBZFjjGgGUA6NLw09EwE0CqkOc4q9oUmW1yo/edit?usp=sharing"",""สุโขทัย!J524"")"),149)</f>
        <v>149</v>
      </c>
      <c r="K629" s="340">
        <f t="shared" ca="1" si="129"/>
        <v>34.976525821596248</v>
      </c>
      <c r="L629" s="340"/>
      <c r="M629" s="340"/>
      <c r="N629" s="340"/>
      <c r="O629" s="168"/>
      <c r="P629" s="168"/>
    </row>
    <row r="630" spans="1:16" ht="21.75" customHeight="1" x14ac:dyDescent="0.3">
      <c r="A630" s="476"/>
      <c r="B630" s="497" t="s">
        <v>234</v>
      </c>
      <c r="C630" s="157"/>
      <c r="D630" s="166"/>
      <c r="E630" s="159"/>
      <c r="F630" s="159"/>
      <c r="G630" s="160"/>
      <c r="H630" s="498" t="s">
        <v>12</v>
      </c>
      <c r="I630" s="339">
        <f ca="1">IFERROR(__xludf.DUMMYFUNCTION("IMPORTRANGE(""https://docs.google.com/spreadsheets/d/11923uPwbBZFjjGgGUA6NLw09EwE0CqkOc4q9oUmW1yo/edit?usp=sharing"",""สุโขทัย!I525"")"),7008091.62)</f>
        <v>7008091.6200000001</v>
      </c>
      <c r="J630" s="339">
        <f ca="1">IFERROR(__xludf.DUMMYFUNCTION("IMPORTRANGE(""https://docs.google.com/spreadsheets/d/11923uPwbBZFjjGgGUA6NLw09EwE0CqkOc4q9oUmW1yo/edit?usp=sharing"",""สุโขทัย!J525"")"),1078895.23)</f>
        <v>1078895.23</v>
      </c>
      <c r="K630" s="340">
        <f t="shared" ca="1" si="129"/>
        <v>15.394993223561766</v>
      </c>
      <c r="L630" s="340"/>
      <c r="M630" s="340"/>
      <c r="N630" s="340"/>
      <c r="O630" s="168"/>
      <c r="P630" s="168"/>
    </row>
    <row r="631" spans="1:16" ht="21.75" customHeight="1" x14ac:dyDescent="0.3">
      <c r="A631" s="476"/>
      <c r="B631" s="157"/>
      <c r="C631" s="157"/>
      <c r="D631" s="166"/>
      <c r="E631" s="159"/>
      <c r="F631" s="159"/>
      <c r="G631" s="160"/>
      <c r="H631" s="498" t="s">
        <v>37</v>
      </c>
      <c r="I631" s="339">
        <f ca="1">IFERROR(__xludf.DUMMYFUNCTION("IMPORTRANGE(""https://docs.google.com/spreadsheets/d/11923uPwbBZFjjGgGUA6NLw09EwE0CqkOc4q9oUmW1yo/edit?usp=sharing"",""สุโขทัย!I526"")"),256)</f>
        <v>256</v>
      </c>
      <c r="J631" s="339">
        <f ca="1">IFERROR(__xludf.DUMMYFUNCTION("IMPORTRANGE(""https://docs.google.com/spreadsheets/d/11923uPwbBZFjjGgGUA6NLw09EwE0CqkOc4q9oUmW1yo/edit?usp=sharing"",""สุโขทัย!J526"")"),185)</f>
        <v>185</v>
      </c>
      <c r="K631" s="340">
        <f t="shared" ca="1" si="129"/>
        <v>72.265625</v>
      </c>
      <c r="L631" s="340"/>
      <c r="M631" s="340"/>
      <c r="N631" s="340"/>
      <c r="O631" s="168"/>
      <c r="P631" s="168"/>
    </row>
    <row r="632" spans="1:16" ht="21.75" customHeight="1" x14ac:dyDescent="0.3">
      <c r="A632" s="476"/>
      <c r="B632" s="497" t="s">
        <v>235</v>
      </c>
      <c r="C632" s="157"/>
      <c r="D632" s="166"/>
      <c r="E632" s="159"/>
      <c r="F632" s="159"/>
      <c r="G632" s="160"/>
      <c r="H632" s="498" t="s">
        <v>12</v>
      </c>
      <c r="I632" s="339">
        <f ca="1">IFERROR(__xludf.DUMMYFUNCTION("IMPORTRANGE(""https://docs.google.com/spreadsheets/d/11923uPwbBZFjjGgGUA6NLw09EwE0CqkOc4q9oUmW1yo/edit?usp=sharing"",""สุโขทัย!I527"")"),2664010.23)</f>
        <v>2664010.23</v>
      </c>
      <c r="J632" s="339">
        <f ca="1">IFERROR(__xludf.DUMMYFUNCTION("IMPORTRANGE(""https://docs.google.com/spreadsheets/d/11923uPwbBZFjjGgGUA6NLw09EwE0CqkOc4q9oUmW1yo/edit?usp=sharing"",""สุโขทัย!J527"")"),385837.47)</f>
        <v>385837.47</v>
      </c>
      <c r="K632" s="340">
        <f t="shared" ca="1" si="129"/>
        <v>14.483332896210387</v>
      </c>
      <c r="L632" s="340"/>
      <c r="M632" s="340"/>
      <c r="N632" s="340"/>
      <c r="O632" s="168"/>
      <c r="P632" s="168"/>
    </row>
    <row r="633" spans="1:16" ht="21.75" customHeight="1" x14ac:dyDescent="0.3">
      <c r="A633" s="476"/>
      <c r="B633" s="497"/>
      <c r="C633" s="157"/>
      <c r="D633" s="166"/>
      <c r="E633" s="159"/>
      <c r="F633" s="159"/>
      <c r="G633" s="160"/>
      <c r="H633" s="498" t="s">
        <v>37</v>
      </c>
      <c r="I633" s="339">
        <f ca="1">IFERROR(__xludf.DUMMYFUNCTION("IMPORTRANGE(""https://docs.google.com/spreadsheets/d/11923uPwbBZFjjGgGUA6NLw09EwE0CqkOc4q9oUmW1yo/edit?usp=sharing"",""สุโขทัย!I528"")"),180)</f>
        <v>180</v>
      </c>
      <c r="J633" s="339">
        <f ca="1">IFERROR(__xludf.DUMMYFUNCTION("IMPORTRANGE(""https://docs.google.com/spreadsheets/d/11923uPwbBZFjjGgGUA6NLw09EwE0CqkOc4q9oUmW1yo/edit?usp=sharing"",""สุโขทัย!J528"")"),42)</f>
        <v>42</v>
      </c>
      <c r="K633" s="340">
        <f t="shared" ca="1" si="129"/>
        <v>23.333333333333332</v>
      </c>
      <c r="L633" s="340"/>
      <c r="M633" s="340"/>
      <c r="N633" s="340"/>
      <c r="O633" s="168"/>
      <c r="P633" s="168"/>
    </row>
    <row r="634" spans="1:16" ht="21.75" customHeight="1" x14ac:dyDescent="0.3">
      <c r="A634" s="476"/>
      <c r="B634" s="497" t="s">
        <v>236</v>
      </c>
      <c r="C634" s="157"/>
      <c r="D634" s="166"/>
      <c r="E634" s="159"/>
      <c r="F634" s="159"/>
      <c r="G634" s="160"/>
      <c r="H634" s="498" t="s">
        <v>12</v>
      </c>
      <c r="I634" s="339">
        <f ca="1">IFERROR(__xludf.DUMMYFUNCTION("IMPORTRANGE(""https://docs.google.com/spreadsheets/d/11923uPwbBZFjjGgGUA6NLw09EwE0CqkOc4q9oUmW1yo/edit?usp=sharing"",""สุโขทัย!I529"")"),5000000)</f>
        <v>5000000</v>
      </c>
      <c r="J634" s="339">
        <f ca="1">IFERROR(__xludf.DUMMYFUNCTION("IMPORTRANGE(""https://docs.google.com/spreadsheets/d/11923uPwbBZFjjGgGUA6NLw09EwE0CqkOc4q9oUmW1yo/edit?usp=sharing"",""สุโขทัย!J529"")"),2140000)</f>
        <v>2140000</v>
      </c>
      <c r="K634" s="340">
        <f t="shared" ca="1" si="129"/>
        <v>42.8</v>
      </c>
      <c r="L634" s="340"/>
      <c r="M634" s="340"/>
      <c r="N634" s="340"/>
      <c r="O634" s="168"/>
      <c r="P634" s="168"/>
    </row>
    <row r="635" spans="1:16" ht="21.75" customHeight="1" x14ac:dyDescent="0.3">
      <c r="A635" s="478"/>
      <c r="B635" s="480"/>
      <c r="C635" s="480"/>
      <c r="D635" s="479"/>
      <c r="E635" s="499"/>
      <c r="F635" s="499"/>
      <c r="G635" s="500"/>
      <c r="H635" s="501" t="s">
        <v>37</v>
      </c>
      <c r="I635" s="502">
        <f ca="1">IFERROR(__xludf.DUMMYFUNCTION("IMPORTRANGE(""https://docs.google.com/spreadsheets/d/11923uPwbBZFjjGgGUA6NLw09EwE0CqkOc4q9oUmW1yo/edit?usp=sharing"",""สุโขทัย!I530"")"),114)</f>
        <v>114</v>
      </c>
      <c r="J635" s="502">
        <f ca="1">IFERROR(__xludf.DUMMYFUNCTION("IMPORTRANGE(""https://docs.google.com/spreadsheets/d/11923uPwbBZFjjGgGUA6NLw09EwE0CqkOc4q9oUmW1yo/edit?usp=sharing"",""สุโขทัย!J530"")"),44)</f>
        <v>44</v>
      </c>
      <c r="K635" s="484">
        <f t="shared" ca="1" si="129"/>
        <v>38.596491228070178</v>
      </c>
      <c r="L635" s="484"/>
      <c r="M635" s="484"/>
      <c r="N635" s="484"/>
      <c r="O635" s="503"/>
      <c r="P635" s="503"/>
    </row>
    <row r="636" spans="1:16" ht="21.75" customHeight="1" x14ac:dyDescent="0.3">
      <c r="A636" s="504"/>
      <c r="B636" s="504"/>
      <c r="C636" s="504"/>
      <c r="D636" s="504"/>
      <c r="E636" s="505" t="s">
        <v>237</v>
      </c>
      <c r="F636" s="505"/>
      <c r="G636" s="505"/>
      <c r="H636" s="506"/>
      <c r="I636" s="506"/>
      <c r="J636" s="506"/>
      <c r="K636" s="507"/>
      <c r="L636" s="508"/>
      <c r="M636" s="508"/>
      <c r="N636" s="508"/>
      <c r="O636" s="509"/>
      <c r="P636" s="509"/>
    </row>
    <row r="637" spans="1:16" ht="21.75" customHeight="1" x14ac:dyDescent="0.3">
      <c r="A637" s="504"/>
      <c r="B637" s="504"/>
      <c r="C637" s="504"/>
      <c r="D637" s="504"/>
      <c r="E637" s="506"/>
      <c r="F637" s="506"/>
      <c r="G637" s="506"/>
      <c r="H637" s="506"/>
      <c r="I637" s="506"/>
      <c r="J637" s="506"/>
      <c r="K637" s="507"/>
      <c r="L637" s="508"/>
      <c r="M637" s="508"/>
      <c r="N637" s="508"/>
      <c r="O637" s="509"/>
      <c r="P637" s="509"/>
    </row>
    <row r="638" spans="1:16" ht="21.75" customHeight="1" x14ac:dyDescent="0.3">
      <c r="A638" s="504"/>
      <c r="B638" s="504"/>
      <c r="C638" s="504"/>
      <c r="D638" s="504"/>
      <c r="E638" s="506"/>
      <c r="F638" s="506"/>
      <c r="G638" s="506"/>
      <c r="H638" s="506"/>
      <c r="I638" s="506"/>
      <c r="J638" s="506"/>
      <c r="K638" s="507"/>
      <c r="L638" s="508"/>
      <c r="M638" s="508"/>
      <c r="N638" s="508"/>
      <c r="O638" s="509"/>
      <c r="P638" s="509"/>
    </row>
    <row r="639" spans="1:16" ht="21.75" customHeight="1" x14ac:dyDescent="0.3">
      <c r="A639" s="504"/>
      <c r="B639" s="504"/>
      <c r="C639" s="504"/>
      <c r="D639" s="504"/>
      <c r="E639" s="506"/>
      <c r="F639" s="506"/>
      <c r="G639" s="506"/>
      <c r="H639" s="506"/>
      <c r="I639" s="506"/>
      <c r="J639" s="506"/>
      <c r="K639" s="507"/>
      <c r="L639" s="508"/>
      <c r="M639" s="508"/>
      <c r="N639" s="508"/>
      <c r="O639" s="509"/>
      <c r="P639" s="509"/>
    </row>
    <row r="640" spans="1:16" ht="21.75" customHeight="1" x14ac:dyDescent="0.3">
      <c r="A640" s="504"/>
      <c r="B640" s="504"/>
      <c r="C640" s="504"/>
      <c r="D640" s="504"/>
      <c r="E640" s="506"/>
      <c r="F640" s="506"/>
      <c r="G640" s="506"/>
      <c r="H640" s="506"/>
      <c r="I640" s="506"/>
      <c r="J640" s="506"/>
      <c r="K640" s="507"/>
      <c r="L640" s="508"/>
      <c r="M640" s="508"/>
      <c r="N640" s="508"/>
      <c r="O640" s="509"/>
      <c r="P640" s="509"/>
    </row>
    <row r="641" spans="1:16" ht="21.75" customHeight="1" x14ac:dyDescent="0.3">
      <c r="A641" s="504"/>
      <c r="B641" s="504"/>
      <c r="C641" s="504"/>
      <c r="D641" s="504"/>
      <c r="E641" s="506"/>
      <c r="F641" s="506"/>
      <c r="G641" s="506"/>
      <c r="H641" s="506"/>
      <c r="I641" s="506"/>
      <c r="J641" s="506"/>
      <c r="K641" s="507"/>
      <c r="L641" s="508"/>
      <c r="M641" s="508"/>
      <c r="N641" s="508"/>
      <c r="O641" s="509"/>
      <c r="P641" s="509"/>
    </row>
    <row r="642" spans="1:16" ht="21.75" customHeight="1" x14ac:dyDescent="0.3">
      <c r="A642" s="504"/>
      <c r="B642" s="504"/>
      <c r="C642" s="504"/>
      <c r="D642" s="504"/>
      <c r="E642" s="506"/>
      <c r="F642" s="506"/>
      <c r="G642" s="506"/>
      <c r="H642" s="506"/>
      <c r="I642" s="506"/>
      <c r="J642" s="506"/>
      <c r="K642" s="507"/>
      <c r="L642" s="508"/>
      <c r="M642" s="508"/>
      <c r="N642" s="508"/>
      <c r="O642" s="509"/>
      <c r="P642" s="509"/>
    </row>
    <row r="643" spans="1:16" ht="21.75" customHeight="1" x14ac:dyDescent="0.3">
      <c r="A643" s="504"/>
      <c r="B643" s="504"/>
      <c r="C643" s="504"/>
      <c r="D643" s="504"/>
      <c r="E643" s="506"/>
      <c r="F643" s="506"/>
      <c r="G643" s="506"/>
      <c r="H643" s="506"/>
      <c r="I643" s="506"/>
      <c r="J643" s="506"/>
      <c r="K643" s="507"/>
      <c r="L643" s="508"/>
      <c r="M643" s="508"/>
      <c r="N643" s="508"/>
      <c r="O643" s="509"/>
      <c r="P643" s="509"/>
    </row>
    <row r="644" spans="1:16" ht="21.75" customHeight="1" x14ac:dyDescent="0.3">
      <c r="A644" s="504"/>
      <c r="B644" s="504"/>
      <c r="C644" s="504"/>
      <c r="D644" s="504"/>
      <c r="E644" s="506"/>
      <c r="F644" s="506"/>
      <c r="G644" s="506"/>
      <c r="H644" s="506"/>
      <c r="I644" s="506"/>
      <c r="J644" s="506"/>
      <c r="K644" s="507"/>
      <c r="L644" s="508"/>
      <c r="M644" s="508"/>
      <c r="N644" s="508"/>
      <c r="O644" s="509"/>
      <c r="P644" s="509"/>
    </row>
    <row r="645" spans="1:16" ht="21.75" customHeight="1" x14ac:dyDescent="0.3">
      <c r="A645" s="504"/>
      <c r="B645" s="504"/>
      <c r="C645" s="504"/>
      <c r="D645" s="504"/>
      <c r="E645" s="506"/>
      <c r="F645" s="506"/>
      <c r="G645" s="506"/>
      <c r="H645" s="506"/>
      <c r="I645" s="506"/>
      <c r="J645" s="506"/>
      <c r="K645" s="507"/>
      <c r="L645" s="508"/>
      <c r="M645" s="508"/>
      <c r="N645" s="508"/>
      <c r="O645" s="509"/>
      <c r="P645" s="509"/>
    </row>
    <row r="646" spans="1:16" ht="21.75" customHeight="1" x14ac:dyDescent="0.3">
      <c r="A646" s="504"/>
      <c r="B646" s="504"/>
      <c r="C646" s="504"/>
      <c r="D646" s="504"/>
      <c r="E646" s="506"/>
      <c r="F646" s="506"/>
      <c r="G646" s="506"/>
      <c r="H646" s="506"/>
      <c r="I646" s="506"/>
      <c r="J646" s="506"/>
      <c r="K646" s="507"/>
      <c r="L646" s="508"/>
      <c r="M646" s="508"/>
      <c r="N646" s="508"/>
      <c r="O646" s="509"/>
      <c r="P646" s="509"/>
    </row>
    <row r="647" spans="1:16" ht="21.75" customHeight="1" x14ac:dyDescent="0.3">
      <c r="A647" s="504"/>
      <c r="B647" s="504"/>
      <c r="C647" s="504"/>
      <c r="D647" s="504"/>
      <c r="E647" s="506"/>
      <c r="F647" s="506"/>
      <c r="G647" s="506"/>
      <c r="H647" s="506"/>
      <c r="I647" s="506"/>
      <c r="J647" s="506"/>
      <c r="K647" s="507"/>
      <c r="L647" s="508"/>
      <c r="M647" s="508"/>
      <c r="N647" s="508"/>
      <c r="O647" s="509"/>
      <c r="P647" s="509"/>
    </row>
    <row r="648" spans="1:16" ht="21.75" customHeight="1" x14ac:dyDescent="0.3">
      <c r="A648" s="504"/>
      <c r="B648" s="504"/>
      <c r="C648" s="504"/>
      <c r="D648" s="504"/>
      <c r="E648" s="506"/>
      <c r="F648" s="506"/>
      <c r="G648" s="506"/>
      <c r="H648" s="506"/>
      <c r="I648" s="506"/>
      <c r="J648" s="506"/>
      <c r="K648" s="507"/>
      <c r="L648" s="508"/>
      <c r="M648" s="508"/>
      <c r="N648" s="508"/>
      <c r="O648" s="509"/>
      <c r="P648" s="509"/>
    </row>
    <row r="649" spans="1:16" ht="21.75" customHeight="1" x14ac:dyDescent="0.3">
      <c r="A649" s="504"/>
      <c r="B649" s="504"/>
      <c r="C649" s="504"/>
      <c r="D649" s="504"/>
      <c r="E649" s="506"/>
      <c r="F649" s="506"/>
      <c r="G649" s="506"/>
      <c r="H649" s="506"/>
      <c r="I649" s="506"/>
      <c r="J649" s="506"/>
      <c r="K649" s="507"/>
      <c r="L649" s="508"/>
      <c r="M649" s="508"/>
      <c r="N649" s="508"/>
      <c r="O649" s="509"/>
      <c r="P649" s="509"/>
    </row>
    <row r="650" spans="1:16" ht="21.75" customHeight="1" x14ac:dyDescent="0.3">
      <c r="A650" s="504"/>
      <c r="B650" s="504"/>
      <c r="C650" s="504"/>
      <c r="D650" s="504"/>
      <c r="E650" s="506"/>
      <c r="F650" s="506"/>
      <c r="G650" s="506"/>
      <c r="H650" s="506"/>
      <c r="I650" s="506"/>
      <c r="J650" s="506"/>
      <c r="K650" s="507"/>
      <c r="L650" s="508"/>
      <c r="M650" s="508"/>
      <c r="N650" s="508"/>
      <c r="O650" s="509"/>
      <c r="P650" s="509"/>
    </row>
    <row r="651" spans="1:16" ht="21.75" customHeight="1" x14ac:dyDescent="0.3">
      <c r="A651" s="504"/>
      <c r="B651" s="504"/>
      <c r="C651" s="504"/>
      <c r="D651" s="504"/>
      <c r="E651" s="506"/>
      <c r="F651" s="506"/>
      <c r="G651" s="506"/>
      <c r="H651" s="506"/>
      <c r="I651" s="506"/>
      <c r="J651" s="506"/>
      <c r="K651" s="507"/>
      <c r="L651" s="508"/>
      <c r="M651" s="508"/>
      <c r="N651" s="508"/>
      <c r="O651" s="509"/>
      <c r="P651" s="509"/>
    </row>
    <row r="652" spans="1:16" ht="21.75" customHeight="1" x14ac:dyDescent="0.3">
      <c r="A652" s="504"/>
      <c r="B652" s="504"/>
      <c r="C652" s="504"/>
      <c r="D652" s="504"/>
      <c r="E652" s="506"/>
      <c r="F652" s="506"/>
      <c r="G652" s="506"/>
      <c r="H652" s="506"/>
      <c r="I652" s="506"/>
      <c r="J652" s="506"/>
      <c r="K652" s="507"/>
      <c r="L652" s="508"/>
      <c r="M652" s="508"/>
      <c r="N652" s="508"/>
      <c r="O652" s="509"/>
      <c r="P652" s="509"/>
    </row>
    <row r="653" spans="1:16" ht="21.75" customHeight="1" x14ac:dyDescent="0.3">
      <c r="A653" s="504"/>
      <c r="B653" s="504"/>
      <c r="C653" s="504"/>
      <c r="D653" s="504"/>
      <c r="E653" s="506"/>
      <c r="F653" s="506"/>
      <c r="G653" s="506"/>
      <c r="H653" s="506"/>
      <c r="I653" s="506"/>
      <c r="J653" s="506"/>
      <c r="K653" s="507"/>
      <c r="L653" s="508"/>
      <c r="M653" s="508"/>
      <c r="N653" s="508"/>
      <c r="O653" s="509"/>
      <c r="P653" s="509"/>
    </row>
    <row r="654" spans="1:16" ht="21.75" customHeight="1" x14ac:dyDescent="0.3">
      <c r="A654" s="504"/>
      <c r="B654" s="504"/>
      <c r="C654" s="504"/>
      <c r="D654" s="504"/>
      <c r="E654" s="506"/>
      <c r="F654" s="506"/>
      <c r="G654" s="506"/>
      <c r="H654" s="506"/>
      <c r="I654" s="506"/>
      <c r="J654" s="506"/>
      <c r="K654" s="507"/>
      <c r="L654" s="508"/>
      <c r="M654" s="508"/>
      <c r="N654" s="508"/>
      <c r="O654" s="509"/>
      <c r="P654" s="509"/>
    </row>
    <row r="655" spans="1:16" ht="21.75" customHeight="1" x14ac:dyDescent="0.3">
      <c r="A655" s="504"/>
      <c r="B655" s="504"/>
      <c r="C655" s="504"/>
      <c r="D655" s="504"/>
      <c r="E655" s="506"/>
      <c r="F655" s="506"/>
      <c r="G655" s="506"/>
      <c r="H655" s="506"/>
      <c r="I655" s="506"/>
      <c r="J655" s="506"/>
      <c r="K655" s="507"/>
      <c r="L655" s="508"/>
      <c r="M655" s="508"/>
      <c r="N655" s="508"/>
      <c r="O655" s="509"/>
      <c r="P655" s="509"/>
    </row>
    <row r="656" spans="1:16" ht="21.75" customHeight="1" x14ac:dyDescent="0.3">
      <c r="A656" s="504"/>
      <c r="B656" s="504"/>
      <c r="C656" s="504"/>
      <c r="D656" s="504"/>
      <c r="E656" s="506"/>
      <c r="F656" s="506"/>
      <c r="G656" s="506"/>
      <c r="H656" s="506"/>
      <c r="I656" s="506"/>
      <c r="J656" s="506"/>
      <c r="K656" s="507"/>
      <c r="L656" s="508"/>
      <c r="M656" s="508"/>
      <c r="N656" s="508"/>
      <c r="O656" s="509"/>
      <c r="P656" s="509"/>
    </row>
    <row r="657" spans="1:16" ht="21.75" customHeight="1" x14ac:dyDescent="0.3">
      <c r="A657" s="504"/>
      <c r="B657" s="504"/>
      <c r="C657" s="504"/>
      <c r="D657" s="504"/>
      <c r="E657" s="506"/>
      <c r="F657" s="506"/>
      <c r="G657" s="506"/>
      <c r="H657" s="506"/>
      <c r="I657" s="506"/>
      <c r="J657" s="506"/>
      <c r="K657" s="507"/>
      <c r="L657" s="508"/>
      <c r="M657" s="508"/>
      <c r="N657" s="508"/>
      <c r="O657" s="509"/>
      <c r="P657" s="509"/>
    </row>
    <row r="658" spans="1:16" ht="21.75" customHeight="1" x14ac:dyDescent="0.3">
      <c r="A658" s="504"/>
      <c r="B658" s="504"/>
      <c r="C658" s="504"/>
      <c r="D658" s="504"/>
      <c r="E658" s="506"/>
      <c r="F658" s="506"/>
      <c r="G658" s="506"/>
      <c r="H658" s="506"/>
      <c r="I658" s="506"/>
      <c r="J658" s="506"/>
      <c r="K658" s="507"/>
      <c r="L658" s="508"/>
      <c r="M658" s="508"/>
      <c r="N658" s="508"/>
      <c r="O658" s="509"/>
      <c r="P658" s="509"/>
    </row>
    <row r="659" spans="1:16" ht="21.75" customHeight="1" x14ac:dyDescent="0.3">
      <c r="A659" s="504"/>
      <c r="B659" s="504"/>
      <c r="C659" s="504"/>
      <c r="D659" s="504"/>
      <c r="E659" s="506"/>
      <c r="F659" s="506"/>
      <c r="G659" s="506"/>
      <c r="H659" s="506"/>
      <c r="I659" s="506"/>
      <c r="J659" s="506"/>
      <c r="K659" s="507"/>
      <c r="L659" s="508"/>
      <c r="M659" s="508"/>
      <c r="N659" s="508"/>
      <c r="O659" s="509"/>
      <c r="P659" s="509"/>
    </row>
    <row r="660" spans="1:16" ht="21.75" customHeight="1" x14ac:dyDescent="0.3">
      <c r="A660" s="504"/>
      <c r="B660" s="504"/>
      <c r="C660" s="504"/>
      <c r="D660" s="504"/>
      <c r="E660" s="506"/>
      <c r="F660" s="506"/>
      <c r="G660" s="506"/>
      <c r="H660" s="506"/>
      <c r="I660" s="506"/>
      <c r="J660" s="506"/>
      <c r="K660" s="507"/>
      <c r="L660" s="508"/>
      <c r="M660" s="508"/>
      <c r="N660" s="508"/>
      <c r="O660" s="509"/>
      <c r="P660" s="509"/>
    </row>
    <row r="661" spans="1:16" ht="21.75" customHeight="1" x14ac:dyDescent="0.3">
      <c r="A661" s="504"/>
      <c r="B661" s="504"/>
      <c r="C661" s="504"/>
      <c r="D661" s="504"/>
      <c r="E661" s="506"/>
      <c r="F661" s="506"/>
      <c r="G661" s="506"/>
      <c r="H661" s="506"/>
      <c r="I661" s="506"/>
      <c r="J661" s="506"/>
      <c r="K661" s="507"/>
      <c r="L661" s="508"/>
      <c r="M661" s="508"/>
      <c r="N661" s="508"/>
      <c r="O661" s="509"/>
      <c r="P661" s="509"/>
    </row>
    <row r="662" spans="1:16" ht="21.75" customHeight="1" x14ac:dyDescent="0.3">
      <c r="A662" s="504"/>
      <c r="B662" s="504"/>
      <c r="C662" s="504"/>
      <c r="D662" s="504"/>
      <c r="E662" s="506"/>
      <c r="F662" s="506"/>
      <c r="G662" s="506"/>
      <c r="H662" s="506"/>
      <c r="I662" s="506"/>
      <c r="J662" s="506"/>
      <c r="K662" s="507"/>
      <c r="L662" s="508"/>
      <c r="M662" s="508"/>
      <c r="N662" s="508"/>
      <c r="O662" s="509"/>
      <c r="P662" s="509"/>
    </row>
    <row r="663" spans="1:16" ht="21.75" customHeight="1" x14ac:dyDescent="0.3">
      <c r="A663" s="504"/>
      <c r="B663" s="504"/>
      <c r="C663" s="504"/>
      <c r="D663" s="504"/>
      <c r="E663" s="506"/>
      <c r="F663" s="506"/>
      <c r="G663" s="506"/>
      <c r="H663" s="506"/>
      <c r="I663" s="506"/>
      <c r="J663" s="506"/>
      <c r="K663" s="507"/>
      <c r="L663" s="508"/>
      <c r="M663" s="508"/>
      <c r="N663" s="508"/>
      <c r="O663" s="509"/>
      <c r="P663" s="509"/>
    </row>
    <row r="664" spans="1:16" ht="21.75" customHeight="1" x14ac:dyDescent="0.3">
      <c r="A664" s="504"/>
      <c r="B664" s="504"/>
      <c r="C664" s="504"/>
      <c r="D664" s="504"/>
      <c r="E664" s="506"/>
      <c r="F664" s="506"/>
      <c r="G664" s="506"/>
      <c r="H664" s="506"/>
      <c r="I664" s="506"/>
      <c r="J664" s="506"/>
      <c r="K664" s="507"/>
      <c r="L664" s="508"/>
      <c r="M664" s="508"/>
      <c r="N664" s="508"/>
      <c r="O664" s="509"/>
      <c r="P664" s="509"/>
    </row>
    <row r="665" spans="1:16" ht="21.75" customHeight="1" x14ac:dyDescent="0.3">
      <c r="A665" s="504"/>
      <c r="B665" s="504"/>
      <c r="C665" s="504"/>
      <c r="D665" s="504"/>
      <c r="E665" s="506"/>
      <c r="F665" s="506"/>
      <c r="G665" s="506"/>
      <c r="H665" s="506"/>
      <c r="I665" s="506"/>
      <c r="J665" s="506"/>
      <c r="K665" s="507"/>
      <c r="L665" s="508"/>
      <c r="M665" s="508"/>
      <c r="N665" s="508"/>
      <c r="O665" s="509"/>
      <c r="P665" s="509"/>
    </row>
    <row r="666" spans="1:16" ht="21.75" customHeight="1" x14ac:dyDescent="0.3">
      <c r="A666" s="504"/>
      <c r="B666" s="504"/>
      <c r="C666" s="504"/>
      <c r="D666" s="504"/>
      <c r="E666" s="506"/>
      <c r="F666" s="506"/>
      <c r="G666" s="506"/>
      <c r="H666" s="506"/>
      <c r="I666" s="506"/>
      <c r="J666" s="506"/>
      <c r="K666" s="507"/>
      <c r="L666" s="508"/>
      <c r="M666" s="508"/>
      <c r="N666" s="508"/>
      <c r="O666" s="509"/>
      <c r="P666" s="509"/>
    </row>
    <row r="667" spans="1:16" ht="21.75" customHeight="1" x14ac:dyDescent="0.3">
      <c r="A667" s="504"/>
      <c r="B667" s="504"/>
      <c r="C667" s="504"/>
      <c r="D667" s="504"/>
      <c r="E667" s="506"/>
      <c r="F667" s="506"/>
      <c r="G667" s="506"/>
      <c r="H667" s="506"/>
      <c r="I667" s="506"/>
      <c r="J667" s="506"/>
      <c r="K667" s="507"/>
      <c r="L667" s="508"/>
      <c r="M667" s="508"/>
      <c r="N667" s="508"/>
      <c r="O667" s="509"/>
      <c r="P667" s="509"/>
    </row>
    <row r="668" spans="1:16" ht="21.75" customHeight="1" x14ac:dyDescent="0.3">
      <c r="A668" s="504"/>
      <c r="B668" s="504"/>
      <c r="C668" s="504"/>
      <c r="D668" s="504"/>
      <c r="E668" s="506"/>
      <c r="F668" s="506"/>
      <c r="G668" s="506"/>
      <c r="H668" s="506"/>
      <c r="I668" s="506"/>
      <c r="J668" s="506"/>
      <c r="K668" s="507"/>
      <c r="L668" s="508"/>
      <c r="M668" s="508"/>
      <c r="N668" s="508"/>
      <c r="O668" s="509"/>
      <c r="P668" s="509"/>
    </row>
    <row r="669" spans="1:16" ht="21.75" customHeight="1" x14ac:dyDescent="0.3">
      <c r="A669" s="504"/>
      <c r="B669" s="504"/>
      <c r="C669" s="504"/>
      <c r="D669" s="504"/>
      <c r="E669" s="506"/>
      <c r="F669" s="506"/>
      <c r="G669" s="506"/>
      <c r="H669" s="506"/>
      <c r="I669" s="506"/>
      <c r="J669" s="506"/>
      <c r="K669" s="507"/>
      <c r="L669" s="508"/>
      <c r="M669" s="508"/>
      <c r="N669" s="508"/>
      <c r="O669" s="509"/>
      <c r="P669" s="509"/>
    </row>
    <row r="670" spans="1:16" ht="21.75" customHeight="1" x14ac:dyDescent="0.3">
      <c r="A670" s="504"/>
      <c r="B670" s="504"/>
      <c r="C670" s="504"/>
      <c r="D670" s="504"/>
      <c r="E670" s="506"/>
      <c r="F670" s="506"/>
      <c r="G670" s="506"/>
      <c r="H670" s="506"/>
      <c r="I670" s="506"/>
      <c r="J670" s="506"/>
      <c r="K670" s="507"/>
      <c r="L670" s="508"/>
      <c r="M670" s="508"/>
      <c r="N670" s="508"/>
      <c r="O670" s="509"/>
      <c r="P670" s="509"/>
    </row>
    <row r="671" spans="1:16" ht="21.75" customHeight="1" x14ac:dyDescent="0.3">
      <c r="A671" s="504"/>
      <c r="B671" s="504"/>
      <c r="C671" s="504"/>
      <c r="D671" s="504"/>
      <c r="E671" s="506"/>
      <c r="F671" s="506"/>
      <c r="G671" s="506"/>
      <c r="H671" s="506"/>
      <c r="I671" s="506"/>
      <c r="J671" s="506"/>
      <c r="K671" s="507"/>
      <c r="L671" s="508"/>
      <c r="M671" s="508"/>
      <c r="N671" s="508"/>
      <c r="O671" s="509"/>
      <c r="P671" s="509"/>
    </row>
    <row r="672" spans="1:16" ht="21.75" customHeight="1" x14ac:dyDescent="0.3">
      <c r="A672" s="504"/>
      <c r="B672" s="504"/>
      <c r="C672" s="504"/>
      <c r="D672" s="504"/>
      <c r="E672" s="506"/>
      <c r="F672" s="506"/>
      <c r="G672" s="506"/>
      <c r="H672" s="506"/>
      <c r="I672" s="506"/>
      <c r="J672" s="506"/>
      <c r="K672" s="507"/>
      <c r="L672" s="508"/>
      <c r="M672" s="508"/>
      <c r="N672" s="508"/>
      <c r="O672" s="509"/>
      <c r="P672" s="509"/>
    </row>
    <row r="673" spans="1:16" ht="21.75" customHeight="1" x14ac:dyDescent="0.3">
      <c r="A673" s="504"/>
      <c r="B673" s="504"/>
      <c r="C673" s="504"/>
      <c r="D673" s="504"/>
      <c r="E673" s="506"/>
      <c r="F673" s="506"/>
      <c r="G673" s="506"/>
      <c r="H673" s="506"/>
      <c r="I673" s="506"/>
      <c r="J673" s="506"/>
      <c r="K673" s="507"/>
      <c r="L673" s="508"/>
      <c r="M673" s="508"/>
      <c r="N673" s="508"/>
      <c r="O673" s="509"/>
      <c r="P673" s="509"/>
    </row>
    <row r="674" spans="1:16" ht="21.75" customHeight="1" x14ac:dyDescent="0.3">
      <c r="A674" s="504"/>
      <c r="B674" s="504"/>
      <c r="C674" s="504"/>
      <c r="D674" s="504"/>
      <c r="E674" s="506"/>
      <c r="F674" s="506"/>
      <c r="G674" s="506"/>
      <c r="H674" s="506"/>
      <c r="I674" s="506"/>
      <c r="J674" s="506"/>
      <c r="K674" s="507"/>
      <c r="L674" s="508"/>
      <c r="M674" s="508"/>
      <c r="N674" s="508"/>
      <c r="O674" s="509"/>
      <c r="P674" s="509"/>
    </row>
    <row r="675" spans="1:16" ht="21.75" customHeight="1" x14ac:dyDescent="0.3">
      <c r="A675" s="504"/>
      <c r="B675" s="504"/>
      <c r="C675" s="504"/>
      <c r="D675" s="504"/>
      <c r="E675" s="506"/>
      <c r="F675" s="506"/>
      <c r="G675" s="506"/>
      <c r="H675" s="506"/>
      <c r="I675" s="506"/>
      <c r="J675" s="506"/>
      <c r="K675" s="507"/>
      <c r="L675" s="508"/>
      <c r="M675" s="508"/>
      <c r="N675" s="508"/>
      <c r="O675" s="509"/>
      <c r="P675" s="509"/>
    </row>
    <row r="676" spans="1:16" ht="21.75" customHeight="1" x14ac:dyDescent="0.3">
      <c r="A676" s="504"/>
      <c r="B676" s="504"/>
      <c r="C676" s="504"/>
      <c r="D676" s="504"/>
      <c r="E676" s="506"/>
      <c r="F676" s="506"/>
      <c r="G676" s="506"/>
      <c r="H676" s="506"/>
      <c r="I676" s="506"/>
      <c r="J676" s="506"/>
      <c r="K676" s="507"/>
      <c r="L676" s="508"/>
      <c r="M676" s="508"/>
      <c r="N676" s="508"/>
      <c r="O676" s="509"/>
      <c r="P676" s="509"/>
    </row>
    <row r="677" spans="1:16" ht="21.75" customHeight="1" x14ac:dyDescent="0.3">
      <c r="A677" s="504"/>
      <c r="B677" s="504"/>
      <c r="C677" s="504"/>
      <c r="D677" s="504"/>
      <c r="E677" s="506"/>
      <c r="F677" s="506"/>
      <c r="G677" s="506"/>
      <c r="H677" s="506"/>
      <c r="I677" s="506"/>
      <c r="J677" s="506"/>
      <c r="K677" s="507"/>
      <c r="L677" s="508"/>
      <c r="M677" s="508"/>
      <c r="N677" s="508"/>
      <c r="O677" s="509"/>
      <c r="P677" s="509"/>
    </row>
    <row r="678" spans="1:16" ht="21.75" customHeight="1" x14ac:dyDescent="0.3">
      <c r="A678" s="504"/>
      <c r="B678" s="504"/>
      <c r="C678" s="504"/>
      <c r="D678" s="504"/>
      <c r="E678" s="506"/>
      <c r="F678" s="506"/>
      <c r="G678" s="506"/>
      <c r="H678" s="506"/>
      <c r="I678" s="506"/>
      <c r="J678" s="506"/>
      <c r="K678" s="507"/>
      <c r="L678" s="508"/>
      <c r="M678" s="508"/>
      <c r="N678" s="508"/>
      <c r="O678" s="509"/>
      <c r="P678" s="509"/>
    </row>
    <row r="679" spans="1:16" ht="21.75" customHeight="1" x14ac:dyDescent="0.3">
      <c r="A679" s="504"/>
      <c r="B679" s="504"/>
      <c r="C679" s="504"/>
      <c r="D679" s="504"/>
      <c r="E679" s="506"/>
      <c r="F679" s="506"/>
      <c r="G679" s="506"/>
      <c r="H679" s="506"/>
      <c r="I679" s="506"/>
      <c r="J679" s="506"/>
      <c r="K679" s="507"/>
      <c r="L679" s="508"/>
      <c r="M679" s="508"/>
      <c r="N679" s="508"/>
      <c r="O679" s="509"/>
      <c r="P679" s="509"/>
    </row>
    <row r="680" spans="1:16" ht="21.75" customHeight="1" x14ac:dyDescent="0.3">
      <c r="A680" s="504"/>
      <c r="B680" s="504"/>
      <c r="C680" s="504"/>
      <c r="D680" s="504"/>
      <c r="E680" s="506"/>
      <c r="F680" s="506"/>
      <c r="G680" s="506"/>
      <c r="H680" s="506"/>
      <c r="I680" s="506"/>
      <c r="J680" s="506"/>
      <c r="K680" s="507"/>
      <c r="L680" s="508"/>
      <c r="M680" s="508"/>
      <c r="N680" s="508"/>
      <c r="O680" s="509"/>
      <c r="P680" s="509"/>
    </row>
    <row r="681" spans="1:16" ht="21.75" customHeight="1" x14ac:dyDescent="0.3">
      <c r="A681" s="504"/>
      <c r="B681" s="504"/>
      <c r="C681" s="504"/>
      <c r="D681" s="504"/>
      <c r="E681" s="506"/>
      <c r="F681" s="506"/>
      <c r="G681" s="506"/>
      <c r="H681" s="506"/>
      <c r="I681" s="506"/>
      <c r="J681" s="506"/>
      <c r="K681" s="507"/>
      <c r="L681" s="508"/>
      <c r="M681" s="508"/>
      <c r="N681" s="508"/>
      <c r="O681" s="509"/>
      <c r="P681" s="509"/>
    </row>
    <row r="682" spans="1:16" ht="21.75" customHeight="1" x14ac:dyDescent="0.3">
      <c r="A682" s="504"/>
      <c r="B682" s="504"/>
      <c r="C682" s="504"/>
      <c r="D682" s="504"/>
      <c r="E682" s="506"/>
      <c r="F682" s="506"/>
      <c r="G682" s="506"/>
      <c r="H682" s="506"/>
      <c r="I682" s="506"/>
      <c r="J682" s="506"/>
      <c r="K682" s="507"/>
      <c r="L682" s="508"/>
      <c r="M682" s="508"/>
      <c r="N682" s="508"/>
      <c r="O682" s="509"/>
      <c r="P682" s="509"/>
    </row>
    <row r="683" spans="1:16" ht="21.75" customHeight="1" x14ac:dyDescent="0.3">
      <c r="A683" s="504"/>
      <c r="B683" s="504"/>
      <c r="C683" s="504"/>
      <c r="D683" s="504"/>
      <c r="E683" s="506"/>
      <c r="F683" s="506"/>
      <c r="G683" s="506"/>
      <c r="H683" s="506"/>
      <c r="I683" s="506"/>
      <c r="J683" s="506"/>
      <c r="K683" s="507"/>
      <c r="L683" s="508"/>
      <c r="M683" s="508"/>
      <c r="N683" s="508"/>
      <c r="O683" s="509"/>
      <c r="P683" s="509"/>
    </row>
    <row r="684" spans="1:16" ht="21.75" customHeight="1" x14ac:dyDescent="0.3">
      <c r="A684" s="504"/>
      <c r="B684" s="504"/>
      <c r="C684" s="504"/>
      <c r="D684" s="504"/>
      <c r="E684" s="506"/>
      <c r="F684" s="506"/>
      <c r="G684" s="506"/>
      <c r="H684" s="506"/>
      <c r="I684" s="506"/>
      <c r="J684" s="506"/>
      <c r="K684" s="507"/>
      <c r="L684" s="508"/>
      <c r="M684" s="508"/>
      <c r="N684" s="508"/>
      <c r="O684" s="509"/>
      <c r="P684" s="509"/>
    </row>
    <row r="685" spans="1:16" ht="21.75" customHeight="1" x14ac:dyDescent="0.3">
      <c r="A685" s="504"/>
      <c r="B685" s="504"/>
      <c r="C685" s="504"/>
      <c r="D685" s="504"/>
      <c r="E685" s="506"/>
      <c r="F685" s="506"/>
      <c r="G685" s="506"/>
      <c r="H685" s="506"/>
      <c r="I685" s="506"/>
      <c r="J685" s="506"/>
      <c r="K685" s="507"/>
      <c r="L685" s="508"/>
      <c r="M685" s="508"/>
      <c r="N685" s="508"/>
      <c r="O685" s="509"/>
      <c r="P685" s="509"/>
    </row>
    <row r="686" spans="1:16" ht="21.75" customHeight="1" x14ac:dyDescent="0.3">
      <c r="A686" s="504"/>
      <c r="B686" s="504"/>
      <c r="C686" s="504"/>
      <c r="D686" s="504"/>
      <c r="E686" s="506"/>
      <c r="F686" s="506"/>
      <c r="G686" s="506"/>
      <c r="H686" s="506"/>
      <c r="I686" s="506"/>
      <c r="J686" s="506"/>
      <c r="K686" s="507"/>
      <c r="L686" s="508"/>
      <c r="M686" s="508"/>
      <c r="N686" s="508"/>
      <c r="O686" s="509"/>
      <c r="P686" s="509"/>
    </row>
    <row r="687" spans="1:16" ht="21.75" customHeight="1" x14ac:dyDescent="0.3">
      <c r="A687" s="504"/>
      <c r="B687" s="504"/>
      <c r="C687" s="504"/>
      <c r="D687" s="504"/>
      <c r="E687" s="506"/>
      <c r="F687" s="506"/>
      <c r="G687" s="506"/>
      <c r="H687" s="506"/>
      <c r="I687" s="506"/>
      <c r="J687" s="506"/>
      <c r="K687" s="507"/>
      <c r="L687" s="508"/>
      <c r="M687" s="508"/>
      <c r="N687" s="508"/>
      <c r="O687" s="509"/>
      <c r="P687" s="509"/>
    </row>
    <row r="688" spans="1:16" ht="21.75" customHeight="1" x14ac:dyDescent="0.3">
      <c r="A688" s="504"/>
      <c r="B688" s="504"/>
      <c r="C688" s="504"/>
      <c r="D688" s="504"/>
      <c r="E688" s="506"/>
      <c r="F688" s="506"/>
      <c r="G688" s="506"/>
      <c r="H688" s="506"/>
      <c r="I688" s="506"/>
      <c r="J688" s="506"/>
      <c r="K688" s="507"/>
      <c r="L688" s="508"/>
      <c r="M688" s="508"/>
      <c r="N688" s="508"/>
      <c r="O688" s="509"/>
      <c r="P688" s="509"/>
    </row>
    <row r="689" spans="1:16" ht="21.75" customHeight="1" x14ac:dyDescent="0.3">
      <c r="A689" s="504"/>
      <c r="B689" s="504"/>
      <c r="C689" s="504"/>
      <c r="D689" s="504"/>
      <c r="E689" s="506"/>
      <c r="F689" s="506"/>
      <c r="G689" s="506"/>
      <c r="H689" s="506"/>
      <c r="I689" s="506"/>
      <c r="J689" s="506"/>
      <c r="K689" s="507"/>
      <c r="L689" s="508"/>
      <c r="M689" s="508"/>
      <c r="N689" s="508"/>
      <c r="O689" s="509"/>
      <c r="P689" s="509"/>
    </row>
    <row r="690" spans="1:16" ht="21.75" customHeight="1" x14ac:dyDescent="0.3">
      <c r="A690" s="504"/>
      <c r="B690" s="504"/>
      <c r="C690" s="504"/>
      <c r="D690" s="504"/>
      <c r="E690" s="506"/>
      <c r="F690" s="506"/>
      <c r="G690" s="506"/>
      <c r="H690" s="506"/>
      <c r="I690" s="506"/>
      <c r="J690" s="506"/>
      <c r="K690" s="507"/>
      <c r="L690" s="508"/>
      <c r="M690" s="508"/>
      <c r="N690" s="508"/>
      <c r="O690" s="509"/>
      <c r="P690" s="509"/>
    </row>
    <row r="691" spans="1:16" ht="21.75" customHeight="1" x14ac:dyDescent="0.3">
      <c r="A691" s="504"/>
      <c r="B691" s="504"/>
      <c r="C691" s="504"/>
      <c r="D691" s="504"/>
      <c r="E691" s="506"/>
      <c r="F691" s="506"/>
      <c r="G691" s="506"/>
      <c r="H691" s="506"/>
      <c r="I691" s="506"/>
      <c r="J691" s="506"/>
      <c r="K691" s="507"/>
      <c r="L691" s="508"/>
      <c r="M691" s="508"/>
      <c r="N691" s="508"/>
      <c r="O691" s="509"/>
      <c r="P691" s="509"/>
    </row>
    <row r="692" spans="1:16" ht="21.75" customHeight="1" x14ac:dyDescent="0.3">
      <c r="A692" s="504"/>
      <c r="B692" s="504"/>
      <c r="C692" s="504"/>
      <c r="D692" s="504"/>
      <c r="E692" s="506"/>
      <c r="F692" s="506"/>
      <c r="G692" s="506"/>
      <c r="H692" s="506"/>
      <c r="I692" s="506"/>
      <c r="J692" s="506"/>
      <c r="K692" s="507"/>
      <c r="L692" s="508"/>
      <c r="M692" s="508"/>
      <c r="N692" s="508"/>
      <c r="O692" s="509"/>
      <c r="P692" s="509"/>
    </row>
    <row r="693" spans="1:16" ht="21.75" customHeight="1" x14ac:dyDescent="0.3">
      <c r="A693" s="504"/>
      <c r="B693" s="504"/>
      <c r="C693" s="504"/>
      <c r="D693" s="504"/>
      <c r="E693" s="506"/>
      <c r="F693" s="506"/>
      <c r="G693" s="506"/>
      <c r="H693" s="506"/>
      <c r="I693" s="506"/>
      <c r="J693" s="506"/>
      <c r="K693" s="507"/>
      <c r="L693" s="508"/>
      <c r="M693" s="508"/>
      <c r="N693" s="508"/>
      <c r="O693" s="509"/>
      <c r="P693" s="509"/>
    </row>
    <row r="694" spans="1:16" ht="21.75" customHeight="1" x14ac:dyDescent="0.3">
      <c r="A694" s="504"/>
      <c r="B694" s="504"/>
      <c r="C694" s="504"/>
      <c r="D694" s="504"/>
      <c r="E694" s="506"/>
      <c r="F694" s="506"/>
      <c r="G694" s="506"/>
      <c r="H694" s="506"/>
      <c r="I694" s="506"/>
      <c r="J694" s="506"/>
      <c r="K694" s="507"/>
      <c r="L694" s="508"/>
      <c r="M694" s="508"/>
      <c r="N694" s="508"/>
      <c r="O694" s="509"/>
      <c r="P694" s="509"/>
    </row>
    <row r="695" spans="1:16" ht="21.75" customHeight="1" x14ac:dyDescent="0.3">
      <c r="A695" s="504"/>
      <c r="B695" s="504"/>
      <c r="C695" s="504"/>
      <c r="D695" s="504"/>
      <c r="E695" s="506"/>
      <c r="F695" s="506"/>
      <c r="G695" s="506"/>
      <c r="H695" s="506"/>
      <c r="I695" s="506"/>
      <c r="J695" s="506"/>
      <c r="K695" s="507"/>
      <c r="L695" s="508"/>
      <c r="M695" s="508"/>
      <c r="N695" s="508"/>
      <c r="O695" s="509"/>
      <c r="P695" s="509"/>
    </row>
    <row r="696" spans="1:16" ht="21.75" customHeight="1" x14ac:dyDescent="0.3">
      <c r="A696" s="504"/>
      <c r="B696" s="504"/>
      <c r="C696" s="504"/>
      <c r="D696" s="504"/>
      <c r="E696" s="506"/>
      <c r="F696" s="506"/>
      <c r="G696" s="506"/>
      <c r="H696" s="506"/>
      <c r="I696" s="506"/>
      <c r="J696" s="506"/>
      <c r="K696" s="507"/>
      <c r="L696" s="508"/>
      <c r="M696" s="508"/>
      <c r="N696" s="508"/>
      <c r="O696" s="509"/>
      <c r="P696" s="509"/>
    </row>
    <row r="697" spans="1:16" ht="21.75" customHeight="1" x14ac:dyDescent="0.3">
      <c r="A697" s="504"/>
      <c r="B697" s="504"/>
      <c r="C697" s="504"/>
      <c r="D697" s="504"/>
      <c r="E697" s="506"/>
      <c r="F697" s="506"/>
      <c r="G697" s="506"/>
      <c r="H697" s="506"/>
      <c r="I697" s="506"/>
      <c r="J697" s="506"/>
      <c r="K697" s="507"/>
      <c r="L697" s="508"/>
      <c r="M697" s="508"/>
      <c r="N697" s="508"/>
      <c r="O697" s="509"/>
      <c r="P697" s="509"/>
    </row>
    <row r="698" spans="1:16" ht="21.75" customHeight="1" x14ac:dyDescent="0.3">
      <c r="A698" s="504"/>
      <c r="B698" s="504"/>
      <c r="C698" s="504"/>
      <c r="D698" s="504"/>
      <c r="E698" s="506"/>
      <c r="F698" s="506"/>
      <c r="G698" s="506"/>
      <c r="H698" s="506"/>
      <c r="I698" s="506"/>
      <c r="J698" s="506"/>
      <c r="K698" s="507"/>
      <c r="L698" s="508"/>
      <c r="M698" s="508"/>
      <c r="N698" s="508"/>
      <c r="O698" s="509"/>
      <c r="P698" s="509"/>
    </row>
    <row r="699" spans="1:16" ht="21.75" customHeight="1" x14ac:dyDescent="0.3">
      <c r="A699" s="504"/>
      <c r="B699" s="504"/>
      <c r="C699" s="504"/>
      <c r="D699" s="504"/>
      <c r="E699" s="506"/>
      <c r="F699" s="506"/>
      <c r="G699" s="506"/>
      <c r="H699" s="506"/>
      <c r="I699" s="506"/>
      <c r="J699" s="506"/>
      <c r="K699" s="507"/>
      <c r="L699" s="508"/>
      <c r="M699" s="508"/>
      <c r="N699" s="508"/>
      <c r="O699" s="509"/>
      <c r="P699" s="509"/>
    </row>
    <row r="700" spans="1:16" ht="21.75" customHeight="1" x14ac:dyDescent="0.3">
      <c r="A700" s="504"/>
      <c r="B700" s="504"/>
      <c r="C700" s="504"/>
      <c r="D700" s="504"/>
      <c r="E700" s="506"/>
      <c r="F700" s="506"/>
      <c r="G700" s="506"/>
      <c r="H700" s="506"/>
      <c r="I700" s="506"/>
      <c r="J700" s="506"/>
      <c r="K700" s="507"/>
      <c r="L700" s="508"/>
      <c r="M700" s="508"/>
      <c r="N700" s="508"/>
      <c r="O700" s="509"/>
      <c r="P700" s="509"/>
    </row>
    <row r="701" spans="1:16" ht="21.75" customHeight="1" x14ac:dyDescent="0.3">
      <c r="A701" s="504"/>
      <c r="B701" s="504"/>
      <c r="C701" s="504"/>
      <c r="D701" s="504"/>
      <c r="E701" s="506"/>
      <c r="F701" s="506"/>
      <c r="G701" s="506"/>
      <c r="H701" s="506"/>
      <c r="I701" s="506"/>
      <c r="J701" s="506"/>
      <c r="K701" s="507"/>
      <c r="L701" s="508"/>
      <c r="M701" s="508"/>
      <c r="N701" s="508"/>
      <c r="O701" s="509"/>
      <c r="P701" s="509"/>
    </row>
    <row r="702" spans="1:16" ht="21.75" customHeight="1" x14ac:dyDescent="0.3">
      <c r="A702" s="504"/>
      <c r="B702" s="504"/>
      <c r="C702" s="504"/>
      <c r="D702" s="504"/>
      <c r="E702" s="506"/>
      <c r="F702" s="506"/>
      <c r="G702" s="506"/>
      <c r="H702" s="506"/>
      <c r="I702" s="506"/>
      <c r="J702" s="506"/>
      <c r="K702" s="507"/>
      <c r="L702" s="508"/>
      <c r="M702" s="508"/>
      <c r="N702" s="508"/>
      <c r="O702" s="509"/>
      <c r="P702" s="509"/>
    </row>
    <row r="703" spans="1:16" ht="21.75" customHeight="1" x14ac:dyDescent="0.3">
      <c r="A703" s="504"/>
      <c r="B703" s="504"/>
      <c r="C703" s="504"/>
      <c r="D703" s="504"/>
      <c r="E703" s="506"/>
      <c r="F703" s="506"/>
      <c r="G703" s="506"/>
      <c r="H703" s="506"/>
      <c r="I703" s="506"/>
      <c r="J703" s="506"/>
      <c r="K703" s="507"/>
      <c r="L703" s="508"/>
      <c r="M703" s="508"/>
      <c r="N703" s="508"/>
      <c r="O703" s="509"/>
      <c r="P703" s="509"/>
    </row>
    <row r="704" spans="1:16" ht="21.75" customHeight="1" x14ac:dyDescent="0.3">
      <c r="A704" s="504"/>
      <c r="B704" s="504"/>
      <c r="C704" s="504"/>
      <c r="D704" s="504"/>
      <c r="E704" s="506"/>
      <c r="F704" s="506"/>
      <c r="G704" s="506"/>
      <c r="H704" s="506"/>
      <c r="I704" s="506"/>
      <c r="J704" s="506"/>
      <c r="K704" s="507"/>
      <c r="L704" s="508"/>
      <c r="M704" s="508"/>
      <c r="N704" s="508"/>
      <c r="O704" s="509"/>
      <c r="P704" s="509"/>
    </row>
    <row r="705" spans="1:16" ht="21.75" customHeight="1" x14ac:dyDescent="0.3">
      <c r="A705" s="504"/>
      <c r="B705" s="504"/>
      <c r="C705" s="504"/>
      <c r="D705" s="504"/>
      <c r="E705" s="506"/>
      <c r="F705" s="506"/>
      <c r="G705" s="506"/>
      <c r="H705" s="506"/>
      <c r="I705" s="506"/>
      <c r="J705" s="506"/>
      <c r="K705" s="507"/>
      <c r="L705" s="508"/>
      <c r="M705" s="508"/>
      <c r="N705" s="508"/>
      <c r="O705" s="509"/>
      <c r="P705" s="509"/>
    </row>
    <row r="706" spans="1:16" ht="21.75" customHeight="1" x14ac:dyDescent="0.3">
      <c r="A706" s="504"/>
      <c r="B706" s="504"/>
      <c r="C706" s="504"/>
      <c r="D706" s="504"/>
      <c r="E706" s="506"/>
      <c r="F706" s="506"/>
      <c r="G706" s="506"/>
      <c r="H706" s="506"/>
      <c r="I706" s="506"/>
      <c r="J706" s="506"/>
      <c r="K706" s="507"/>
      <c r="L706" s="508"/>
      <c r="M706" s="508"/>
      <c r="N706" s="508"/>
      <c r="O706" s="509"/>
      <c r="P706" s="509"/>
    </row>
    <row r="707" spans="1:16" ht="21.75" customHeight="1" x14ac:dyDescent="0.3">
      <c r="A707" s="504"/>
      <c r="B707" s="504"/>
      <c r="C707" s="504"/>
      <c r="D707" s="504"/>
      <c r="E707" s="506"/>
      <c r="F707" s="506"/>
      <c r="G707" s="506"/>
      <c r="H707" s="506"/>
      <c r="I707" s="506"/>
      <c r="J707" s="506"/>
      <c r="K707" s="507"/>
      <c r="L707" s="508"/>
      <c r="M707" s="508"/>
      <c r="N707" s="508"/>
      <c r="O707" s="509"/>
      <c r="P707" s="509"/>
    </row>
    <row r="708" spans="1:16" ht="21.75" customHeight="1" x14ac:dyDescent="0.3">
      <c r="A708" s="504"/>
      <c r="B708" s="504"/>
      <c r="C708" s="504"/>
      <c r="D708" s="504"/>
      <c r="E708" s="506"/>
      <c r="F708" s="506"/>
      <c r="G708" s="506"/>
      <c r="H708" s="506"/>
      <c r="I708" s="506"/>
      <c r="J708" s="506"/>
      <c r="K708" s="507"/>
      <c r="L708" s="508"/>
      <c r="M708" s="508"/>
      <c r="N708" s="508"/>
      <c r="O708" s="509"/>
      <c r="P708" s="509"/>
    </row>
    <row r="709" spans="1:16" ht="21.75" customHeight="1" x14ac:dyDescent="0.3">
      <c r="A709" s="504"/>
      <c r="B709" s="504"/>
      <c r="C709" s="504"/>
      <c r="D709" s="504"/>
      <c r="E709" s="506"/>
      <c r="F709" s="506"/>
      <c r="G709" s="506"/>
      <c r="H709" s="506"/>
      <c r="I709" s="506"/>
      <c r="J709" s="506"/>
      <c r="K709" s="507"/>
      <c r="L709" s="508"/>
      <c r="M709" s="508"/>
      <c r="N709" s="508"/>
      <c r="O709" s="509"/>
      <c r="P709" s="509"/>
    </row>
    <row r="710" spans="1:16" ht="21.75" customHeight="1" x14ac:dyDescent="0.3">
      <c r="A710" s="504"/>
      <c r="B710" s="504"/>
      <c r="C710" s="504"/>
      <c r="D710" s="504"/>
      <c r="E710" s="506"/>
      <c r="F710" s="506"/>
      <c r="G710" s="506"/>
      <c r="H710" s="506"/>
      <c r="I710" s="506"/>
      <c r="J710" s="506"/>
      <c r="K710" s="507"/>
      <c r="L710" s="508"/>
      <c r="M710" s="508"/>
      <c r="N710" s="508"/>
      <c r="O710" s="509"/>
      <c r="P710" s="509"/>
    </row>
    <row r="711" spans="1:16" ht="21.75" customHeight="1" x14ac:dyDescent="0.3">
      <c r="A711" s="504"/>
      <c r="B711" s="504"/>
      <c r="C711" s="504"/>
      <c r="D711" s="504"/>
      <c r="E711" s="506"/>
      <c r="F711" s="506"/>
      <c r="G711" s="506"/>
      <c r="H711" s="506"/>
      <c r="I711" s="506"/>
      <c r="J711" s="506"/>
      <c r="K711" s="507"/>
      <c r="L711" s="508"/>
      <c r="M711" s="508"/>
      <c r="N711" s="508"/>
      <c r="O711" s="509"/>
      <c r="P711" s="509"/>
    </row>
    <row r="712" spans="1:16" ht="21.75" customHeight="1" x14ac:dyDescent="0.3">
      <c r="A712" s="504"/>
      <c r="B712" s="504"/>
      <c r="C712" s="504"/>
      <c r="D712" s="504"/>
      <c r="E712" s="506"/>
      <c r="F712" s="506"/>
      <c r="G712" s="506"/>
      <c r="H712" s="506"/>
      <c r="I712" s="506"/>
      <c r="J712" s="506"/>
      <c r="K712" s="507"/>
      <c r="L712" s="508"/>
      <c r="M712" s="508"/>
      <c r="N712" s="508"/>
      <c r="O712" s="509"/>
      <c r="P712" s="509"/>
    </row>
    <row r="713" spans="1:16" ht="21.75" customHeight="1" x14ac:dyDescent="0.3">
      <c r="A713" s="504"/>
      <c r="B713" s="504"/>
      <c r="C713" s="504"/>
      <c r="D713" s="504"/>
      <c r="E713" s="506"/>
      <c r="F713" s="506"/>
      <c r="G713" s="506"/>
      <c r="H713" s="506"/>
      <c r="I713" s="506"/>
      <c r="J713" s="506"/>
      <c r="K713" s="507"/>
      <c r="L713" s="508"/>
      <c r="M713" s="508"/>
      <c r="N713" s="508"/>
      <c r="O713" s="509"/>
      <c r="P713" s="509"/>
    </row>
    <row r="714" spans="1:16" ht="21.75" customHeight="1" x14ac:dyDescent="0.3">
      <c r="A714" s="504"/>
      <c r="B714" s="504"/>
      <c r="C714" s="504"/>
      <c r="D714" s="504"/>
      <c r="E714" s="506"/>
      <c r="F714" s="506"/>
      <c r="G714" s="506"/>
      <c r="H714" s="506"/>
      <c r="I714" s="506"/>
      <c r="J714" s="506"/>
      <c r="K714" s="507"/>
      <c r="L714" s="508"/>
      <c r="M714" s="508"/>
      <c r="N714" s="508"/>
      <c r="O714" s="509"/>
      <c r="P714" s="509"/>
    </row>
    <row r="715" spans="1:16" ht="21.75" customHeight="1" x14ac:dyDescent="0.3">
      <c r="A715" s="504"/>
      <c r="B715" s="504"/>
      <c r="C715" s="504"/>
      <c r="D715" s="504"/>
      <c r="E715" s="506"/>
      <c r="F715" s="506"/>
      <c r="G715" s="506"/>
      <c r="H715" s="506"/>
      <c r="I715" s="506"/>
      <c r="J715" s="506"/>
      <c r="K715" s="507"/>
      <c r="L715" s="508"/>
      <c r="M715" s="508"/>
      <c r="N715" s="508"/>
      <c r="O715" s="509"/>
      <c r="P715" s="509"/>
    </row>
    <row r="716" spans="1:16" ht="21.75" customHeight="1" x14ac:dyDescent="0.3">
      <c r="A716" s="504"/>
      <c r="B716" s="504"/>
      <c r="C716" s="504"/>
      <c r="D716" s="504"/>
      <c r="E716" s="506"/>
      <c r="F716" s="506"/>
      <c r="G716" s="506"/>
      <c r="H716" s="506"/>
      <c r="I716" s="506"/>
      <c r="J716" s="506"/>
      <c r="K716" s="507"/>
      <c r="L716" s="508"/>
      <c r="M716" s="508"/>
      <c r="N716" s="508"/>
      <c r="O716" s="509"/>
      <c r="P716" s="509"/>
    </row>
    <row r="717" spans="1:16" ht="21.75" customHeight="1" x14ac:dyDescent="0.3">
      <c r="A717" s="504"/>
      <c r="B717" s="504"/>
      <c r="C717" s="504"/>
      <c r="D717" s="504"/>
      <c r="E717" s="506"/>
      <c r="F717" s="506"/>
      <c r="G717" s="506"/>
      <c r="H717" s="506"/>
      <c r="I717" s="506"/>
      <c r="J717" s="506"/>
      <c r="K717" s="507"/>
      <c r="L717" s="508"/>
      <c r="M717" s="508"/>
      <c r="N717" s="508"/>
      <c r="O717" s="509"/>
      <c r="P717" s="509"/>
    </row>
    <row r="718" spans="1:16" ht="21.75" customHeight="1" x14ac:dyDescent="0.3">
      <c r="A718" s="504"/>
      <c r="B718" s="504"/>
      <c r="C718" s="504"/>
      <c r="D718" s="504"/>
      <c r="E718" s="506"/>
      <c r="F718" s="506"/>
      <c r="G718" s="506"/>
      <c r="H718" s="506"/>
      <c r="I718" s="506"/>
      <c r="J718" s="506"/>
      <c r="K718" s="507"/>
      <c r="L718" s="508"/>
      <c r="M718" s="508"/>
      <c r="N718" s="508"/>
      <c r="O718" s="509"/>
      <c r="P718" s="509"/>
    </row>
    <row r="719" spans="1:16" ht="21.75" customHeight="1" x14ac:dyDescent="0.3">
      <c r="A719" s="504"/>
      <c r="B719" s="504"/>
      <c r="C719" s="504"/>
      <c r="D719" s="504"/>
      <c r="E719" s="506"/>
      <c r="F719" s="506"/>
      <c r="G719" s="506"/>
      <c r="H719" s="506"/>
      <c r="I719" s="506"/>
      <c r="J719" s="506"/>
      <c r="K719" s="507"/>
      <c r="L719" s="508"/>
      <c r="M719" s="508"/>
      <c r="N719" s="508"/>
      <c r="O719" s="509"/>
      <c r="P719" s="509"/>
    </row>
    <row r="720" spans="1:16" ht="21.75" customHeight="1" x14ac:dyDescent="0.3">
      <c r="A720" s="504"/>
      <c r="B720" s="504"/>
      <c r="C720" s="504"/>
      <c r="D720" s="504"/>
      <c r="E720" s="506"/>
      <c r="F720" s="506"/>
      <c r="G720" s="506"/>
      <c r="H720" s="506"/>
      <c r="I720" s="506"/>
      <c r="J720" s="506"/>
      <c r="K720" s="507"/>
      <c r="L720" s="508"/>
      <c r="M720" s="508"/>
      <c r="N720" s="508"/>
      <c r="O720" s="509"/>
      <c r="P720" s="509"/>
    </row>
    <row r="721" spans="1:16" ht="21.75" customHeight="1" x14ac:dyDescent="0.3">
      <c r="A721" s="504"/>
      <c r="B721" s="504"/>
      <c r="C721" s="504"/>
      <c r="D721" s="504"/>
      <c r="E721" s="506"/>
      <c r="F721" s="506"/>
      <c r="G721" s="506"/>
      <c r="H721" s="506"/>
      <c r="I721" s="506"/>
      <c r="J721" s="506"/>
      <c r="K721" s="507"/>
      <c r="L721" s="508"/>
      <c r="M721" s="508"/>
      <c r="N721" s="508"/>
      <c r="O721" s="509"/>
      <c r="P721" s="509"/>
    </row>
    <row r="722" spans="1:16" ht="21.75" customHeight="1" x14ac:dyDescent="0.3">
      <c r="A722" s="504"/>
      <c r="B722" s="504"/>
      <c r="C722" s="504"/>
      <c r="D722" s="504"/>
      <c r="E722" s="506"/>
      <c r="F722" s="506"/>
      <c r="G722" s="506"/>
      <c r="H722" s="506"/>
      <c r="I722" s="506"/>
      <c r="J722" s="506"/>
      <c r="K722" s="507"/>
      <c r="L722" s="508"/>
      <c r="M722" s="508"/>
      <c r="N722" s="508"/>
      <c r="O722" s="509"/>
      <c r="P722" s="509"/>
    </row>
    <row r="723" spans="1:16" ht="21.75" customHeight="1" x14ac:dyDescent="0.3">
      <c r="A723" s="504"/>
      <c r="B723" s="504"/>
      <c r="C723" s="504"/>
      <c r="D723" s="504"/>
      <c r="E723" s="506"/>
      <c r="F723" s="506"/>
      <c r="G723" s="506"/>
      <c r="H723" s="506"/>
      <c r="I723" s="506"/>
      <c r="J723" s="506"/>
      <c r="K723" s="507"/>
      <c r="L723" s="508"/>
      <c r="M723" s="508"/>
      <c r="N723" s="508"/>
      <c r="O723" s="509"/>
      <c r="P723" s="509"/>
    </row>
    <row r="724" spans="1:16" ht="21.75" customHeight="1" x14ac:dyDescent="0.3">
      <c r="A724" s="504"/>
      <c r="B724" s="504"/>
      <c r="C724" s="504"/>
      <c r="D724" s="504"/>
      <c r="E724" s="506"/>
      <c r="F724" s="506"/>
      <c r="G724" s="506"/>
      <c r="H724" s="506"/>
      <c r="I724" s="506"/>
      <c r="J724" s="506"/>
      <c r="K724" s="507"/>
      <c r="L724" s="508"/>
      <c r="M724" s="508"/>
      <c r="N724" s="508"/>
      <c r="O724" s="509"/>
      <c r="P724" s="509"/>
    </row>
    <row r="725" spans="1:16" ht="21.75" customHeight="1" x14ac:dyDescent="0.3">
      <c r="A725" s="504"/>
      <c r="B725" s="504"/>
      <c r="C725" s="504"/>
      <c r="D725" s="504"/>
      <c r="E725" s="506"/>
      <c r="F725" s="506"/>
      <c r="G725" s="506"/>
      <c r="H725" s="506"/>
      <c r="I725" s="506"/>
      <c r="J725" s="506"/>
      <c r="K725" s="507"/>
      <c r="L725" s="508"/>
      <c r="M725" s="508"/>
      <c r="N725" s="508"/>
      <c r="O725" s="509"/>
      <c r="P725" s="509"/>
    </row>
    <row r="726" spans="1:16" ht="21.75" customHeight="1" x14ac:dyDescent="0.3">
      <c r="A726" s="504"/>
      <c r="B726" s="504"/>
      <c r="C726" s="504"/>
      <c r="D726" s="504"/>
      <c r="E726" s="506"/>
      <c r="F726" s="506"/>
      <c r="G726" s="506"/>
      <c r="H726" s="506"/>
      <c r="I726" s="506"/>
      <c r="J726" s="506"/>
      <c r="K726" s="507"/>
      <c r="L726" s="508"/>
      <c r="M726" s="508"/>
      <c r="N726" s="508"/>
      <c r="O726" s="509"/>
      <c r="P726" s="509"/>
    </row>
    <row r="727" spans="1:16" ht="21.75" customHeight="1" x14ac:dyDescent="0.3">
      <c r="A727" s="504"/>
      <c r="B727" s="504"/>
      <c r="C727" s="504"/>
      <c r="D727" s="504"/>
      <c r="E727" s="506"/>
      <c r="F727" s="506"/>
      <c r="G727" s="506"/>
      <c r="H727" s="506"/>
      <c r="I727" s="506"/>
      <c r="J727" s="506"/>
      <c r="K727" s="507"/>
      <c r="L727" s="508"/>
      <c r="M727" s="508"/>
      <c r="N727" s="508"/>
      <c r="O727" s="509"/>
      <c r="P727" s="509"/>
    </row>
    <row r="728" spans="1:16" ht="21.75" customHeight="1" x14ac:dyDescent="0.3">
      <c r="A728" s="504"/>
      <c r="B728" s="504"/>
      <c r="C728" s="504"/>
      <c r="D728" s="504"/>
      <c r="E728" s="506"/>
      <c r="F728" s="506"/>
      <c r="G728" s="506"/>
      <c r="H728" s="506"/>
      <c r="I728" s="506"/>
      <c r="J728" s="506"/>
      <c r="K728" s="507"/>
      <c r="L728" s="508"/>
      <c r="M728" s="508"/>
      <c r="N728" s="508"/>
      <c r="O728" s="509"/>
      <c r="P728" s="509"/>
    </row>
    <row r="729" spans="1:16" ht="21.75" customHeight="1" x14ac:dyDescent="0.3">
      <c r="A729" s="504"/>
      <c r="B729" s="504"/>
      <c r="C729" s="504"/>
      <c r="D729" s="504"/>
      <c r="E729" s="506"/>
      <c r="F729" s="506"/>
      <c r="G729" s="506"/>
      <c r="H729" s="506"/>
      <c r="I729" s="506"/>
      <c r="J729" s="506"/>
      <c r="K729" s="507"/>
      <c r="L729" s="508"/>
      <c r="M729" s="508"/>
      <c r="N729" s="508"/>
      <c r="O729" s="509"/>
      <c r="P729" s="509"/>
    </row>
    <row r="730" spans="1:16" ht="21.75" customHeight="1" x14ac:dyDescent="0.3">
      <c r="A730" s="504"/>
      <c r="B730" s="504"/>
      <c r="C730" s="504"/>
      <c r="D730" s="504"/>
      <c r="E730" s="506"/>
      <c r="F730" s="506"/>
      <c r="G730" s="506"/>
      <c r="H730" s="506"/>
      <c r="I730" s="506"/>
      <c r="J730" s="506"/>
      <c r="K730" s="507"/>
      <c r="L730" s="508"/>
      <c r="M730" s="508"/>
      <c r="N730" s="508"/>
      <c r="O730" s="509"/>
      <c r="P730" s="509"/>
    </row>
    <row r="731" spans="1:16" ht="21.75" customHeight="1" x14ac:dyDescent="0.3">
      <c r="A731" s="504"/>
      <c r="B731" s="504"/>
      <c r="C731" s="504"/>
      <c r="D731" s="504"/>
      <c r="E731" s="506"/>
      <c r="F731" s="506"/>
      <c r="G731" s="506"/>
      <c r="H731" s="506"/>
      <c r="I731" s="506"/>
      <c r="J731" s="506"/>
      <c r="K731" s="507"/>
      <c r="L731" s="508"/>
      <c r="M731" s="508"/>
      <c r="N731" s="508"/>
      <c r="O731" s="509"/>
      <c r="P731" s="509"/>
    </row>
    <row r="732" spans="1:16" ht="21.75" customHeight="1" x14ac:dyDescent="0.3">
      <c r="A732" s="504"/>
      <c r="B732" s="504"/>
      <c r="C732" s="504"/>
      <c r="D732" s="504"/>
      <c r="E732" s="506"/>
      <c r="F732" s="506"/>
      <c r="G732" s="506"/>
      <c r="H732" s="506"/>
      <c r="I732" s="506"/>
      <c r="J732" s="506"/>
      <c r="K732" s="507"/>
      <c r="L732" s="508"/>
      <c r="M732" s="508"/>
      <c r="N732" s="508"/>
      <c r="O732" s="509"/>
      <c r="P732" s="509"/>
    </row>
    <row r="733" spans="1:16" ht="21.75" customHeight="1" x14ac:dyDescent="0.3">
      <c r="A733" s="504"/>
      <c r="B733" s="504"/>
      <c r="C733" s="504"/>
      <c r="D733" s="504"/>
      <c r="E733" s="506"/>
      <c r="F733" s="506"/>
      <c r="G733" s="506"/>
      <c r="H733" s="506"/>
      <c r="I733" s="506"/>
      <c r="J733" s="506"/>
      <c r="K733" s="507"/>
      <c r="L733" s="508"/>
      <c r="M733" s="508"/>
      <c r="N733" s="508"/>
      <c r="O733" s="509"/>
      <c r="P733" s="509"/>
    </row>
    <row r="734" spans="1:16" ht="21.75" customHeight="1" x14ac:dyDescent="0.3">
      <c r="A734" s="504"/>
      <c r="B734" s="504"/>
      <c r="C734" s="504"/>
      <c r="D734" s="504"/>
      <c r="E734" s="506"/>
      <c r="F734" s="506"/>
      <c r="G734" s="506"/>
      <c r="H734" s="506"/>
      <c r="I734" s="506"/>
      <c r="J734" s="506"/>
      <c r="K734" s="507"/>
      <c r="L734" s="508"/>
      <c r="M734" s="508"/>
      <c r="N734" s="508"/>
      <c r="O734" s="509"/>
      <c r="P734" s="509"/>
    </row>
    <row r="735" spans="1:16" ht="21.75" customHeight="1" x14ac:dyDescent="0.3">
      <c r="A735" s="504"/>
      <c r="B735" s="504"/>
      <c r="C735" s="504"/>
      <c r="D735" s="504"/>
      <c r="E735" s="506"/>
      <c r="F735" s="506"/>
      <c r="G735" s="506"/>
      <c r="H735" s="506"/>
      <c r="I735" s="506"/>
      <c r="J735" s="506"/>
      <c r="K735" s="507"/>
      <c r="L735" s="508"/>
      <c r="M735" s="508"/>
      <c r="N735" s="508"/>
      <c r="O735" s="509"/>
      <c r="P735" s="509"/>
    </row>
    <row r="736" spans="1:16" ht="21.75" customHeight="1" x14ac:dyDescent="0.3">
      <c r="A736" s="504"/>
      <c r="B736" s="504"/>
      <c r="C736" s="504"/>
      <c r="D736" s="504"/>
      <c r="E736" s="506"/>
      <c r="F736" s="506"/>
      <c r="G736" s="506"/>
      <c r="H736" s="506"/>
      <c r="I736" s="506"/>
      <c r="J736" s="506"/>
      <c r="K736" s="507"/>
      <c r="L736" s="508"/>
      <c r="M736" s="508"/>
      <c r="N736" s="508"/>
      <c r="O736" s="509"/>
      <c r="P736" s="509"/>
    </row>
    <row r="737" spans="1:16" ht="21.75" customHeight="1" x14ac:dyDescent="0.3">
      <c r="A737" s="504"/>
      <c r="B737" s="504"/>
      <c r="C737" s="504"/>
      <c r="D737" s="504"/>
      <c r="E737" s="506"/>
      <c r="F737" s="506"/>
      <c r="G737" s="506"/>
      <c r="H737" s="506"/>
      <c r="I737" s="506"/>
      <c r="J737" s="506"/>
      <c r="K737" s="507"/>
      <c r="L737" s="508"/>
      <c r="M737" s="508"/>
      <c r="N737" s="508"/>
      <c r="O737" s="509"/>
      <c r="P737" s="509"/>
    </row>
    <row r="738" spans="1:16" ht="21.75" customHeight="1" x14ac:dyDescent="0.3">
      <c r="A738" s="504"/>
      <c r="B738" s="504"/>
      <c r="C738" s="504"/>
      <c r="D738" s="504"/>
      <c r="E738" s="506"/>
      <c r="F738" s="506"/>
      <c r="G738" s="506"/>
      <c r="H738" s="506"/>
      <c r="I738" s="506"/>
      <c r="J738" s="506"/>
      <c r="K738" s="507"/>
      <c r="L738" s="508"/>
      <c r="M738" s="508"/>
      <c r="N738" s="508"/>
      <c r="O738" s="509"/>
      <c r="P738" s="509"/>
    </row>
    <row r="739" spans="1:16" ht="21.75" customHeight="1" x14ac:dyDescent="0.3">
      <c r="A739" s="504"/>
      <c r="B739" s="504"/>
      <c r="C739" s="504"/>
      <c r="D739" s="504"/>
      <c r="E739" s="506"/>
      <c r="F739" s="506"/>
      <c r="G739" s="506"/>
      <c r="H739" s="506"/>
      <c r="I739" s="506"/>
      <c r="J739" s="506"/>
      <c r="K739" s="507"/>
      <c r="L739" s="508"/>
      <c r="M739" s="508"/>
      <c r="N739" s="508"/>
      <c r="O739" s="509"/>
      <c r="P739" s="509"/>
    </row>
    <row r="740" spans="1:16" ht="21.75" customHeight="1" x14ac:dyDescent="0.3">
      <c r="A740" s="504"/>
      <c r="B740" s="504"/>
      <c r="C740" s="504"/>
      <c r="D740" s="504"/>
      <c r="E740" s="506"/>
      <c r="F740" s="506"/>
      <c r="G740" s="506"/>
      <c r="H740" s="506"/>
      <c r="I740" s="506"/>
      <c r="J740" s="506"/>
      <c r="K740" s="507"/>
      <c r="L740" s="508"/>
      <c r="M740" s="508"/>
      <c r="N740" s="508"/>
      <c r="O740" s="509"/>
      <c r="P740" s="509"/>
    </row>
    <row r="741" spans="1:16" ht="21.75" customHeight="1" x14ac:dyDescent="0.3">
      <c r="A741" s="504"/>
      <c r="B741" s="504"/>
      <c r="C741" s="504"/>
      <c r="D741" s="504"/>
      <c r="E741" s="506"/>
      <c r="F741" s="506"/>
      <c r="G741" s="506"/>
      <c r="H741" s="506"/>
      <c r="I741" s="506"/>
      <c r="J741" s="506"/>
      <c r="K741" s="507"/>
      <c r="L741" s="508"/>
      <c r="M741" s="508"/>
      <c r="N741" s="508"/>
      <c r="O741" s="509"/>
      <c r="P741" s="509"/>
    </row>
    <row r="742" spans="1:16" ht="21.75" customHeight="1" x14ac:dyDescent="0.3">
      <c r="A742" s="504"/>
      <c r="B742" s="504"/>
      <c r="C742" s="504"/>
      <c r="D742" s="504"/>
      <c r="E742" s="506"/>
      <c r="F742" s="506"/>
      <c r="G742" s="506"/>
      <c r="H742" s="506"/>
      <c r="I742" s="506"/>
      <c r="J742" s="506"/>
      <c r="K742" s="507"/>
      <c r="L742" s="508"/>
      <c r="M742" s="508"/>
      <c r="N742" s="508"/>
      <c r="O742" s="509"/>
      <c r="P742" s="509"/>
    </row>
    <row r="743" spans="1:16" ht="21.75" customHeight="1" x14ac:dyDescent="0.3">
      <c r="A743" s="504"/>
      <c r="B743" s="504"/>
      <c r="C743" s="504"/>
      <c r="D743" s="504"/>
      <c r="E743" s="506"/>
      <c r="F743" s="506"/>
      <c r="G743" s="506"/>
      <c r="H743" s="506"/>
      <c r="I743" s="506"/>
      <c r="J743" s="506"/>
      <c r="K743" s="507"/>
      <c r="L743" s="508"/>
      <c r="M743" s="508"/>
      <c r="N743" s="508"/>
      <c r="O743" s="509"/>
      <c r="P743" s="509"/>
    </row>
    <row r="744" spans="1:16" ht="21.75" customHeight="1" x14ac:dyDescent="0.3">
      <c r="A744" s="504"/>
      <c r="B744" s="504"/>
      <c r="C744" s="504"/>
      <c r="D744" s="504"/>
      <c r="E744" s="506"/>
      <c r="F744" s="506"/>
      <c r="G744" s="506"/>
      <c r="H744" s="506"/>
      <c r="I744" s="506"/>
      <c r="J744" s="506"/>
      <c r="K744" s="507"/>
      <c r="L744" s="508"/>
      <c r="M744" s="508"/>
      <c r="N744" s="508"/>
      <c r="O744" s="509"/>
      <c r="P744" s="509"/>
    </row>
    <row r="745" spans="1:16" ht="21.75" customHeight="1" x14ac:dyDescent="0.3">
      <c r="A745" s="504"/>
      <c r="B745" s="504"/>
      <c r="C745" s="504"/>
      <c r="D745" s="504"/>
      <c r="E745" s="506"/>
      <c r="F745" s="506"/>
      <c r="G745" s="506"/>
      <c r="H745" s="506"/>
      <c r="I745" s="506"/>
      <c r="J745" s="506"/>
      <c r="K745" s="507"/>
      <c r="L745" s="508"/>
      <c r="M745" s="508"/>
      <c r="N745" s="508"/>
      <c r="O745" s="509"/>
      <c r="P745" s="509"/>
    </row>
    <row r="746" spans="1:16" ht="21.75" customHeight="1" x14ac:dyDescent="0.3">
      <c r="A746" s="504"/>
      <c r="B746" s="504"/>
      <c r="C746" s="504"/>
      <c r="D746" s="504"/>
      <c r="E746" s="506"/>
      <c r="F746" s="506"/>
      <c r="G746" s="506"/>
      <c r="H746" s="506"/>
      <c r="I746" s="506"/>
      <c r="J746" s="506"/>
      <c r="K746" s="507"/>
      <c r="L746" s="508"/>
      <c r="M746" s="508"/>
      <c r="N746" s="508"/>
      <c r="O746" s="509"/>
      <c r="P746" s="509"/>
    </row>
    <row r="747" spans="1:16" ht="21.75" customHeight="1" x14ac:dyDescent="0.3">
      <c r="A747" s="504"/>
      <c r="B747" s="504"/>
      <c r="C747" s="504"/>
      <c r="D747" s="504"/>
      <c r="E747" s="506"/>
      <c r="F747" s="506"/>
      <c r="G747" s="506"/>
      <c r="H747" s="506"/>
      <c r="I747" s="506"/>
      <c r="J747" s="506"/>
      <c r="K747" s="507"/>
      <c r="L747" s="508"/>
      <c r="M747" s="508"/>
      <c r="N747" s="508"/>
      <c r="O747" s="509"/>
      <c r="P747" s="509"/>
    </row>
    <row r="748" spans="1:16" ht="21.75" customHeight="1" x14ac:dyDescent="0.3">
      <c r="A748" s="504"/>
      <c r="B748" s="504"/>
      <c r="C748" s="504"/>
      <c r="D748" s="504"/>
      <c r="E748" s="506"/>
      <c r="F748" s="506"/>
      <c r="G748" s="506"/>
      <c r="H748" s="506"/>
      <c r="I748" s="506"/>
      <c r="J748" s="506"/>
      <c r="K748" s="507"/>
      <c r="L748" s="508"/>
      <c r="M748" s="508"/>
      <c r="N748" s="508"/>
      <c r="O748" s="509"/>
      <c r="P748" s="509"/>
    </row>
    <row r="749" spans="1:16" ht="21.75" customHeight="1" x14ac:dyDescent="0.3">
      <c r="A749" s="504"/>
      <c r="B749" s="504"/>
      <c r="C749" s="504"/>
      <c r="D749" s="504"/>
      <c r="E749" s="506"/>
      <c r="F749" s="506"/>
      <c r="G749" s="506"/>
      <c r="H749" s="506"/>
      <c r="I749" s="506"/>
      <c r="J749" s="506"/>
      <c r="K749" s="507"/>
      <c r="L749" s="508"/>
      <c r="M749" s="508"/>
      <c r="N749" s="508"/>
      <c r="O749" s="509"/>
      <c r="P749" s="509"/>
    </row>
    <row r="750" spans="1:16" ht="21.75" customHeight="1" x14ac:dyDescent="0.3">
      <c r="A750" s="504"/>
      <c r="B750" s="504"/>
      <c r="C750" s="504"/>
      <c r="D750" s="504"/>
      <c r="E750" s="506"/>
      <c r="F750" s="506"/>
      <c r="G750" s="506"/>
      <c r="H750" s="506"/>
      <c r="I750" s="506"/>
      <c r="J750" s="506"/>
      <c r="K750" s="507"/>
      <c r="L750" s="508"/>
      <c r="M750" s="508"/>
      <c r="N750" s="508"/>
      <c r="O750" s="509"/>
      <c r="P750" s="509"/>
    </row>
    <row r="751" spans="1:16" ht="21.75" customHeight="1" x14ac:dyDescent="0.3">
      <c r="A751" s="504"/>
      <c r="B751" s="504"/>
      <c r="C751" s="504"/>
      <c r="D751" s="504"/>
      <c r="E751" s="506"/>
      <c r="F751" s="506"/>
      <c r="G751" s="506"/>
      <c r="H751" s="506"/>
      <c r="I751" s="506"/>
      <c r="J751" s="506"/>
      <c r="K751" s="507"/>
      <c r="L751" s="508"/>
      <c r="M751" s="508"/>
      <c r="N751" s="508"/>
      <c r="O751" s="509"/>
      <c r="P751" s="509"/>
    </row>
    <row r="752" spans="1:16" ht="21.75" customHeight="1" x14ac:dyDescent="0.3">
      <c r="A752" s="504"/>
      <c r="B752" s="504"/>
      <c r="C752" s="504"/>
      <c r="D752" s="504"/>
      <c r="E752" s="506"/>
      <c r="F752" s="506"/>
      <c r="G752" s="506"/>
      <c r="H752" s="506"/>
      <c r="I752" s="506"/>
      <c r="J752" s="506"/>
      <c r="K752" s="507"/>
      <c r="L752" s="508"/>
      <c r="M752" s="508"/>
      <c r="N752" s="508"/>
      <c r="O752" s="509"/>
      <c r="P752" s="509"/>
    </row>
    <row r="753" spans="1:16" ht="21.75" customHeight="1" x14ac:dyDescent="0.3">
      <c r="A753" s="504"/>
      <c r="B753" s="504"/>
      <c r="C753" s="504"/>
      <c r="D753" s="504"/>
      <c r="E753" s="506"/>
      <c r="F753" s="506"/>
      <c r="G753" s="506"/>
      <c r="H753" s="506"/>
      <c r="I753" s="506"/>
      <c r="J753" s="506"/>
      <c r="K753" s="507"/>
      <c r="L753" s="508"/>
      <c r="M753" s="508"/>
      <c r="N753" s="508"/>
      <c r="O753" s="509"/>
      <c r="P753" s="509"/>
    </row>
    <row r="754" spans="1:16" ht="21.75" customHeight="1" x14ac:dyDescent="0.3">
      <c r="A754" s="504"/>
      <c r="B754" s="504"/>
      <c r="C754" s="504"/>
      <c r="D754" s="504"/>
      <c r="E754" s="506"/>
      <c r="F754" s="506"/>
      <c r="G754" s="506"/>
      <c r="H754" s="506"/>
      <c r="I754" s="506"/>
      <c r="J754" s="506"/>
      <c r="K754" s="507"/>
      <c r="L754" s="508"/>
      <c r="M754" s="508"/>
      <c r="N754" s="508"/>
      <c r="O754" s="509"/>
      <c r="P754" s="509"/>
    </row>
    <row r="755" spans="1:16" ht="21.75" customHeight="1" x14ac:dyDescent="0.3">
      <c r="A755" s="504"/>
      <c r="B755" s="504"/>
      <c r="C755" s="504"/>
      <c r="D755" s="504"/>
      <c r="E755" s="506"/>
      <c r="F755" s="506"/>
      <c r="G755" s="506"/>
      <c r="H755" s="506"/>
      <c r="I755" s="506"/>
      <c r="J755" s="506"/>
      <c r="K755" s="507"/>
      <c r="L755" s="508"/>
      <c r="M755" s="508"/>
      <c r="N755" s="508"/>
      <c r="O755" s="509"/>
      <c r="P755" s="509"/>
    </row>
    <row r="756" spans="1:16" ht="21.75" customHeight="1" x14ac:dyDescent="0.3">
      <c r="A756" s="504"/>
      <c r="B756" s="504"/>
      <c r="C756" s="504"/>
      <c r="D756" s="504"/>
      <c r="E756" s="506"/>
      <c r="F756" s="506"/>
      <c r="G756" s="506"/>
      <c r="H756" s="506"/>
      <c r="I756" s="506"/>
      <c r="J756" s="506"/>
      <c r="K756" s="507"/>
      <c r="L756" s="508"/>
      <c r="M756" s="508"/>
      <c r="N756" s="508"/>
      <c r="O756" s="509"/>
      <c r="P756" s="509"/>
    </row>
    <row r="757" spans="1:16" ht="21.75" customHeight="1" x14ac:dyDescent="0.3">
      <c r="A757" s="504"/>
      <c r="B757" s="504"/>
      <c r="C757" s="504"/>
      <c r="D757" s="504"/>
      <c r="E757" s="506"/>
      <c r="F757" s="506"/>
      <c r="G757" s="506"/>
      <c r="H757" s="506"/>
      <c r="I757" s="506"/>
      <c r="J757" s="506"/>
      <c r="K757" s="507"/>
      <c r="L757" s="508"/>
      <c r="M757" s="508"/>
      <c r="N757" s="508"/>
      <c r="O757" s="509"/>
      <c r="P757" s="509"/>
    </row>
    <row r="758" spans="1:16" ht="21.75" customHeight="1" x14ac:dyDescent="0.3">
      <c r="A758" s="504"/>
      <c r="B758" s="504"/>
      <c r="C758" s="504"/>
      <c r="D758" s="504"/>
      <c r="E758" s="506"/>
      <c r="F758" s="506"/>
      <c r="G758" s="506"/>
      <c r="H758" s="506"/>
      <c r="I758" s="506"/>
      <c r="J758" s="506"/>
      <c r="K758" s="507"/>
      <c r="L758" s="508"/>
      <c r="M758" s="508"/>
      <c r="N758" s="508"/>
      <c r="O758" s="509"/>
      <c r="P758" s="509"/>
    </row>
    <row r="759" spans="1:16" ht="21.75" customHeight="1" x14ac:dyDescent="0.3">
      <c r="A759" s="504"/>
      <c r="B759" s="504"/>
      <c r="C759" s="504"/>
      <c r="D759" s="504"/>
      <c r="E759" s="506"/>
      <c r="F759" s="506"/>
      <c r="G759" s="506"/>
      <c r="H759" s="506"/>
      <c r="I759" s="506"/>
      <c r="J759" s="506"/>
      <c r="K759" s="507"/>
      <c r="L759" s="508"/>
      <c r="M759" s="508"/>
      <c r="N759" s="508"/>
      <c r="O759" s="509"/>
      <c r="P759" s="509"/>
    </row>
    <row r="760" spans="1:16" ht="21.75" customHeight="1" x14ac:dyDescent="0.3">
      <c r="A760" s="504"/>
      <c r="B760" s="504"/>
      <c r="C760" s="504"/>
      <c r="D760" s="504"/>
      <c r="E760" s="506"/>
      <c r="F760" s="506"/>
      <c r="G760" s="506"/>
      <c r="H760" s="506"/>
      <c r="I760" s="506"/>
      <c r="J760" s="506"/>
      <c r="K760" s="507"/>
      <c r="L760" s="508"/>
      <c r="M760" s="508"/>
      <c r="N760" s="508"/>
      <c r="O760" s="509"/>
      <c r="P760" s="509"/>
    </row>
    <row r="761" spans="1:16" ht="21.75" customHeight="1" x14ac:dyDescent="0.3">
      <c r="A761" s="504"/>
      <c r="B761" s="504"/>
      <c r="C761" s="504"/>
      <c r="D761" s="504"/>
      <c r="E761" s="506"/>
      <c r="F761" s="506"/>
      <c r="G761" s="506"/>
      <c r="H761" s="506"/>
      <c r="I761" s="506"/>
      <c r="J761" s="506"/>
      <c r="K761" s="507"/>
      <c r="L761" s="508"/>
      <c r="M761" s="508"/>
      <c r="N761" s="508"/>
      <c r="O761" s="509"/>
      <c r="P761" s="509"/>
    </row>
    <row r="762" spans="1:16" ht="21.75" customHeight="1" x14ac:dyDescent="0.3">
      <c r="A762" s="504"/>
      <c r="B762" s="504"/>
      <c r="C762" s="504"/>
      <c r="D762" s="504"/>
      <c r="E762" s="506"/>
      <c r="F762" s="506"/>
      <c r="G762" s="506"/>
      <c r="H762" s="506"/>
      <c r="I762" s="506"/>
      <c r="J762" s="506"/>
      <c r="K762" s="507"/>
      <c r="L762" s="508"/>
      <c r="M762" s="508"/>
      <c r="N762" s="508"/>
      <c r="O762" s="509"/>
      <c r="P762" s="509"/>
    </row>
    <row r="763" spans="1:16" ht="21.75" customHeight="1" x14ac:dyDescent="0.3">
      <c r="A763" s="504"/>
      <c r="B763" s="504"/>
      <c r="C763" s="504"/>
      <c r="D763" s="504"/>
      <c r="E763" s="506"/>
      <c r="F763" s="506"/>
      <c r="G763" s="506"/>
      <c r="H763" s="506"/>
      <c r="I763" s="506"/>
      <c r="J763" s="506"/>
      <c r="K763" s="507"/>
      <c r="L763" s="508"/>
      <c r="M763" s="508"/>
      <c r="N763" s="508"/>
      <c r="O763" s="509"/>
      <c r="P763" s="509"/>
    </row>
    <row r="764" spans="1:16" ht="21.75" customHeight="1" x14ac:dyDescent="0.3">
      <c r="A764" s="504"/>
      <c r="B764" s="504"/>
      <c r="C764" s="504"/>
      <c r="D764" s="504"/>
      <c r="E764" s="506"/>
      <c r="F764" s="506"/>
      <c r="G764" s="506"/>
      <c r="H764" s="506"/>
      <c r="I764" s="506"/>
      <c r="J764" s="506"/>
      <c r="K764" s="507"/>
      <c r="L764" s="508"/>
      <c r="M764" s="508"/>
      <c r="N764" s="508"/>
      <c r="O764" s="509"/>
      <c r="P764" s="509"/>
    </row>
    <row r="765" spans="1:16" ht="21.75" customHeight="1" x14ac:dyDescent="0.3">
      <c r="A765" s="504"/>
      <c r="B765" s="504"/>
      <c r="C765" s="504"/>
      <c r="D765" s="504"/>
      <c r="E765" s="506"/>
      <c r="F765" s="506"/>
      <c r="G765" s="506"/>
      <c r="H765" s="506"/>
      <c r="I765" s="506"/>
      <c r="J765" s="506"/>
      <c r="K765" s="507"/>
      <c r="L765" s="508"/>
      <c r="M765" s="508"/>
      <c r="N765" s="508"/>
      <c r="O765" s="509"/>
      <c r="P765" s="509"/>
    </row>
    <row r="766" spans="1:16" ht="21.75" customHeight="1" x14ac:dyDescent="0.3">
      <c r="A766" s="504"/>
      <c r="B766" s="504"/>
      <c r="C766" s="504"/>
      <c r="D766" s="504"/>
      <c r="E766" s="506"/>
      <c r="F766" s="506"/>
      <c r="G766" s="506"/>
      <c r="H766" s="506"/>
      <c r="I766" s="506"/>
      <c r="J766" s="506"/>
      <c r="K766" s="507"/>
      <c r="L766" s="508"/>
      <c r="M766" s="508"/>
      <c r="N766" s="508"/>
      <c r="O766" s="509"/>
      <c r="P766" s="509"/>
    </row>
    <row r="767" spans="1:16" ht="21.75" customHeight="1" x14ac:dyDescent="0.3">
      <c r="A767" s="504"/>
      <c r="B767" s="504"/>
      <c r="C767" s="504"/>
      <c r="D767" s="504"/>
      <c r="E767" s="506"/>
      <c r="F767" s="506"/>
      <c r="G767" s="506"/>
      <c r="H767" s="506"/>
      <c r="I767" s="506"/>
      <c r="J767" s="506"/>
      <c r="K767" s="507"/>
      <c r="L767" s="508"/>
      <c r="M767" s="508"/>
      <c r="N767" s="508"/>
      <c r="O767" s="509"/>
      <c r="P767" s="509"/>
    </row>
    <row r="768" spans="1:16" ht="21.75" customHeight="1" x14ac:dyDescent="0.3">
      <c r="A768" s="504"/>
      <c r="B768" s="504"/>
      <c r="C768" s="504"/>
      <c r="D768" s="504"/>
      <c r="E768" s="506"/>
      <c r="F768" s="506"/>
      <c r="G768" s="506"/>
      <c r="H768" s="506"/>
      <c r="I768" s="506"/>
      <c r="J768" s="506"/>
      <c r="K768" s="507"/>
      <c r="L768" s="508"/>
      <c r="M768" s="508"/>
      <c r="N768" s="508"/>
      <c r="O768" s="509"/>
      <c r="P768" s="509"/>
    </row>
    <row r="769" spans="1:16" ht="21.75" customHeight="1" x14ac:dyDescent="0.3">
      <c r="A769" s="504"/>
      <c r="B769" s="504"/>
      <c r="C769" s="504"/>
      <c r="D769" s="504"/>
      <c r="E769" s="506"/>
      <c r="F769" s="506"/>
      <c r="G769" s="506"/>
      <c r="H769" s="506"/>
      <c r="I769" s="506"/>
      <c r="J769" s="506"/>
      <c r="K769" s="507"/>
      <c r="L769" s="508"/>
      <c r="M769" s="508"/>
      <c r="N769" s="508"/>
      <c r="O769" s="509"/>
      <c r="P769" s="509"/>
    </row>
    <row r="770" spans="1:16" ht="21.75" customHeight="1" x14ac:dyDescent="0.3">
      <c r="A770" s="504"/>
      <c r="B770" s="504"/>
      <c r="C770" s="504"/>
      <c r="D770" s="504"/>
      <c r="E770" s="506"/>
      <c r="F770" s="506"/>
      <c r="G770" s="506"/>
      <c r="H770" s="506"/>
      <c r="I770" s="506"/>
      <c r="J770" s="506"/>
      <c r="K770" s="507"/>
      <c r="L770" s="508"/>
      <c r="M770" s="508"/>
      <c r="N770" s="508"/>
      <c r="O770" s="509"/>
      <c r="P770" s="509"/>
    </row>
    <row r="771" spans="1:16" ht="21.75" customHeight="1" x14ac:dyDescent="0.3">
      <c r="A771" s="504"/>
      <c r="B771" s="504"/>
      <c r="C771" s="504"/>
      <c r="D771" s="504"/>
      <c r="E771" s="506"/>
      <c r="F771" s="506"/>
      <c r="G771" s="506"/>
      <c r="H771" s="506"/>
      <c r="I771" s="506"/>
      <c r="J771" s="506"/>
      <c r="K771" s="507"/>
      <c r="L771" s="508"/>
      <c r="M771" s="508"/>
      <c r="N771" s="508"/>
      <c r="O771" s="509"/>
      <c r="P771" s="509"/>
    </row>
    <row r="772" spans="1:16" ht="21.75" customHeight="1" x14ac:dyDescent="0.3">
      <c r="A772" s="504"/>
      <c r="B772" s="504"/>
      <c r="C772" s="504"/>
      <c r="D772" s="504"/>
      <c r="E772" s="506"/>
      <c r="F772" s="506"/>
      <c r="G772" s="506"/>
      <c r="H772" s="506"/>
      <c r="I772" s="506"/>
      <c r="J772" s="506"/>
      <c r="K772" s="507"/>
      <c r="L772" s="508"/>
      <c r="M772" s="508"/>
      <c r="N772" s="508"/>
      <c r="O772" s="509"/>
      <c r="P772" s="509"/>
    </row>
    <row r="773" spans="1:16" ht="21.75" customHeight="1" x14ac:dyDescent="0.3">
      <c r="A773" s="504"/>
      <c r="B773" s="504"/>
      <c r="C773" s="504"/>
      <c r="D773" s="504"/>
      <c r="E773" s="506"/>
      <c r="F773" s="506"/>
      <c r="G773" s="506"/>
      <c r="H773" s="506"/>
      <c r="I773" s="506"/>
      <c r="J773" s="506"/>
      <c r="K773" s="507"/>
      <c r="L773" s="508"/>
      <c r="M773" s="508"/>
      <c r="N773" s="508"/>
      <c r="O773" s="509"/>
      <c r="P773" s="509"/>
    </row>
    <row r="774" spans="1:16" ht="21.75" customHeight="1" x14ac:dyDescent="0.3">
      <c r="A774" s="504"/>
      <c r="B774" s="504"/>
      <c r="C774" s="504"/>
      <c r="D774" s="504"/>
      <c r="E774" s="506"/>
      <c r="F774" s="506"/>
      <c r="G774" s="506"/>
      <c r="H774" s="506"/>
      <c r="I774" s="506"/>
      <c r="J774" s="506"/>
      <c r="K774" s="507"/>
      <c r="L774" s="508"/>
      <c r="M774" s="508"/>
      <c r="N774" s="508"/>
      <c r="O774" s="509"/>
      <c r="P774" s="509"/>
    </row>
    <row r="775" spans="1:16" ht="21.75" customHeight="1" x14ac:dyDescent="0.3">
      <c r="A775" s="504"/>
      <c r="B775" s="504"/>
      <c r="C775" s="504"/>
      <c r="D775" s="504"/>
      <c r="E775" s="506"/>
      <c r="F775" s="506"/>
      <c r="G775" s="506"/>
      <c r="H775" s="506"/>
      <c r="I775" s="506"/>
      <c r="J775" s="506"/>
      <c r="K775" s="507"/>
      <c r="L775" s="508"/>
      <c r="M775" s="508"/>
      <c r="N775" s="508"/>
      <c r="O775" s="509"/>
      <c r="P775" s="509"/>
    </row>
    <row r="776" spans="1:16" ht="21.75" customHeight="1" x14ac:dyDescent="0.3">
      <c r="A776" s="504"/>
      <c r="B776" s="504"/>
      <c r="C776" s="504"/>
      <c r="D776" s="504"/>
      <c r="E776" s="506"/>
      <c r="F776" s="506"/>
      <c r="G776" s="506"/>
      <c r="H776" s="506"/>
      <c r="I776" s="506"/>
      <c r="J776" s="506"/>
      <c r="K776" s="507"/>
      <c r="L776" s="508"/>
      <c r="M776" s="508"/>
      <c r="N776" s="508"/>
      <c r="O776" s="509"/>
      <c r="P776" s="509"/>
    </row>
    <row r="777" spans="1:16" ht="21.75" customHeight="1" x14ac:dyDescent="0.3">
      <c r="A777" s="504"/>
      <c r="B777" s="504"/>
      <c r="C777" s="504"/>
      <c r="D777" s="504"/>
      <c r="E777" s="506"/>
      <c r="F777" s="506"/>
      <c r="G777" s="506"/>
      <c r="H777" s="506"/>
      <c r="I777" s="506"/>
      <c r="J777" s="506"/>
      <c r="K777" s="507"/>
      <c r="L777" s="508"/>
      <c r="M777" s="508"/>
      <c r="N777" s="508"/>
      <c r="O777" s="509"/>
      <c r="P777" s="509"/>
    </row>
    <row r="778" spans="1:16" ht="21.75" customHeight="1" x14ac:dyDescent="0.3">
      <c r="A778" s="504"/>
      <c r="B778" s="504"/>
      <c r="C778" s="504"/>
      <c r="D778" s="504"/>
      <c r="E778" s="506"/>
      <c r="F778" s="506"/>
      <c r="G778" s="506"/>
      <c r="H778" s="506"/>
      <c r="I778" s="506"/>
      <c r="J778" s="506"/>
      <c r="K778" s="507"/>
      <c r="L778" s="508"/>
      <c r="M778" s="508"/>
      <c r="N778" s="508"/>
      <c r="O778" s="509"/>
      <c r="P778" s="509"/>
    </row>
    <row r="779" spans="1:16" ht="21.75" customHeight="1" x14ac:dyDescent="0.3">
      <c r="A779" s="504"/>
      <c r="B779" s="504"/>
      <c r="C779" s="504"/>
      <c r="D779" s="504"/>
      <c r="E779" s="506"/>
      <c r="F779" s="506"/>
      <c r="G779" s="506"/>
      <c r="H779" s="506"/>
      <c r="I779" s="506"/>
      <c r="J779" s="506"/>
      <c r="K779" s="507"/>
      <c r="L779" s="508"/>
      <c r="M779" s="508"/>
      <c r="N779" s="508"/>
      <c r="O779" s="509"/>
      <c r="P779" s="509"/>
    </row>
    <row r="780" spans="1:16" ht="21.75" customHeight="1" x14ac:dyDescent="0.3">
      <c r="A780" s="504"/>
      <c r="B780" s="504"/>
      <c r="C780" s="504"/>
      <c r="D780" s="504"/>
      <c r="E780" s="506"/>
      <c r="F780" s="506"/>
      <c r="G780" s="506"/>
      <c r="H780" s="506"/>
      <c r="I780" s="506"/>
      <c r="J780" s="506"/>
      <c r="K780" s="507"/>
      <c r="L780" s="508"/>
      <c r="M780" s="508"/>
      <c r="N780" s="508"/>
      <c r="O780" s="509"/>
      <c r="P780" s="509"/>
    </row>
    <row r="781" spans="1:16" ht="21.75" customHeight="1" x14ac:dyDescent="0.3">
      <c r="A781" s="504"/>
      <c r="B781" s="504"/>
      <c r="C781" s="504"/>
      <c r="D781" s="504"/>
      <c r="E781" s="506"/>
      <c r="F781" s="506"/>
      <c r="G781" s="506"/>
      <c r="H781" s="506"/>
      <c r="I781" s="506"/>
      <c r="J781" s="506"/>
      <c r="K781" s="507"/>
      <c r="L781" s="508"/>
      <c r="M781" s="508"/>
      <c r="N781" s="508"/>
      <c r="O781" s="509"/>
      <c r="P781" s="509"/>
    </row>
    <row r="782" spans="1:16" ht="21.75" customHeight="1" x14ac:dyDescent="0.3">
      <c r="A782" s="504"/>
      <c r="B782" s="504"/>
      <c r="C782" s="504"/>
      <c r="D782" s="504"/>
      <c r="E782" s="506"/>
      <c r="F782" s="506"/>
      <c r="G782" s="506"/>
      <c r="H782" s="506"/>
      <c r="I782" s="506"/>
      <c r="J782" s="506"/>
      <c r="K782" s="507"/>
      <c r="L782" s="508"/>
      <c r="M782" s="508"/>
      <c r="N782" s="508"/>
      <c r="O782" s="509"/>
      <c r="P782" s="509"/>
    </row>
    <row r="783" spans="1:16" ht="21.75" customHeight="1" x14ac:dyDescent="0.3">
      <c r="A783" s="504"/>
      <c r="B783" s="504"/>
      <c r="C783" s="504"/>
      <c r="D783" s="504"/>
      <c r="E783" s="506"/>
      <c r="F783" s="506"/>
      <c r="G783" s="506"/>
      <c r="H783" s="506"/>
      <c r="I783" s="506"/>
      <c r="J783" s="506"/>
      <c r="K783" s="507"/>
      <c r="L783" s="508"/>
      <c r="M783" s="508"/>
      <c r="N783" s="508"/>
      <c r="O783" s="509"/>
      <c r="P783" s="509"/>
    </row>
    <row r="784" spans="1:16" ht="21.75" customHeight="1" x14ac:dyDescent="0.3">
      <c r="A784" s="504"/>
      <c r="B784" s="504"/>
      <c r="C784" s="504"/>
      <c r="D784" s="504"/>
      <c r="E784" s="506"/>
      <c r="F784" s="506"/>
      <c r="G784" s="506"/>
      <c r="H784" s="506"/>
      <c r="I784" s="506"/>
      <c r="J784" s="506"/>
      <c r="K784" s="507"/>
      <c r="L784" s="508"/>
      <c r="M784" s="508"/>
      <c r="N784" s="508"/>
      <c r="O784" s="509"/>
      <c r="P784" s="509"/>
    </row>
    <row r="785" spans="1:16" ht="21.75" customHeight="1" x14ac:dyDescent="0.3">
      <c r="A785" s="504"/>
      <c r="B785" s="504"/>
      <c r="C785" s="504"/>
      <c r="D785" s="504"/>
      <c r="E785" s="506"/>
      <c r="F785" s="506"/>
      <c r="G785" s="506"/>
      <c r="H785" s="506"/>
      <c r="I785" s="506"/>
      <c r="J785" s="506"/>
      <c r="K785" s="507"/>
      <c r="L785" s="508"/>
      <c r="M785" s="508"/>
      <c r="N785" s="508"/>
      <c r="O785" s="509"/>
      <c r="P785" s="509"/>
    </row>
    <row r="786" spans="1:16" ht="21.75" customHeight="1" x14ac:dyDescent="0.3">
      <c r="A786" s="504"/>
      <c r="B786" s="504"/>
      <c r="C786" s="504"/>
      <c r="D786" s="504"/>
      <c r="E786" s="506"/>
      <c r="F786" s="506"/>
      <c r="G786" s="506"/>
      <c r="H786" s="506"/>
      <c r="I786" s="506"/>
      <c r="J786" s="506"/>
      <c r="K786" s="507"/>
      <c r="L786" s="508"/>
      <c r="M786" s="508"/>
      <c r="N786" s="508"/>
      <c r="O786" s="509"/>
      <c r="P786" s="509"/>
    </row>
    <row r="787" spans="1:16" ht="21.75" customHeight="1" x14ac:dyDescent="0.3">
      <c r="A787" s="504"/>
      <c r="B787" s="504"/>
      <c r="C787" s="504"/>
      <c r="D787" s="504"/>
      <c r="E787" s="506"/>
      <c r="F787" s="506"/>
      <c r="G787" s="506"/>
      <c r="H787" s="506"/>
      <c r="I787" s="506"/>
      <c r="J787" s="506"/>
      <c r="K787" s="507"/>
      <c r="L787" s="508"/>
      <c r="M787" s="508"/>
      <c r="N787" s="508"/>
      <c r="O787" s="509"/>
      <c r="P787" s="509"/>
    </row>
    <row r="788" spans="1:16" ht="21.75" customHeight="1" x14ac:dyDescent="0.3">
      <c r="A788" s="504"/>
      <c r="B788" s="504"/>
      <c r="C788" s="504"/>
      <c r="D788" s="504"/>
      <c r="E788" s="506"/>
      <c r="F788" s="506"/>
      <c r="G788" s="506"/>
      <c r="H788" s="506"/>
      <c r="I788" s="506"/>
      <c r="J788" s="506"/>
      <c r="K788" s="507"/>
      <c r="L788" s="508"/>
      <c r="M788" s="508"/>
      <c r="N788" s="508"/>
      <c r="O788" s="509"/>
      <c r="P788" s="509"/>
    </row>
    <row r="789" spans="1:16" ht="21.75" customHeight="1" x14ac:dyDescent="0.3">
      <c r="A789" s="504"/>
      <c r="B789" s="504"/>
      <c r="C789" s="504"/>
      <c r="D789" s="504"/>
      <c r="E789" s="506"/>
      <c r="F789" s="506"/>
      <c r="G789" s="506"/>
      <c r="H789" s="506"/>
      <c r="I789" s="506"/>
      <c r="J789" s="506"/>
      <c r="K789" s="507"/>
      <c r="L789" s="508"/>
      <c r="M789" s="508"/>
      <c r="N789" s="508"/>
      <c r="O789" s="509"/>
      <c r="P789" s="509"/>
    </row>
    <row r="790" spans="1:16" ht="21.75" customHeight="1" x14ac:dyDescent="0.3">
      <c r="A790" s="504"/>
      <c r="B790" s="504"/>
      <c r="C790" s="504"/>
      <c r="D790" s="504"/>
      <c r="E790" s="506"/>
      <c r="F790" s="506"/>
      <c r="G790" s="506"/>
      <c r="H790" s="506"/>
      <c r="I790" s="506"/>
      <c r="J790" s="506"/>
      <c r="K790" s="507"/>
      <c r="L790" s="508"/>
      <c r="M790" s="508"/>
      <c r="N790" s="508"/>
      <c r="O790" s="509"/>
      <c r="P790" s="509"/>
    </row>
    <row r="791" spans="1:16" ht="21.75" customHeight="1" x14ac:dyDescent="0.3">
      <c r="A791" s="504"/>
      <c r="B791" s="504"/>
      <c r="C791" s="504"/>
      <c r="D791" s="504"/>
      <c r="E791" s="506"/>
      <c r="F791" s="506"/>
      <c r="G791" s="506"/>
      <c r="H791" s="506"/>
      <c r="I791" s="506"/>
      <c r="J791" s="506"/>
      <c r="K791" s="507"/>
      <c r="L791" s="508"/>
      <c r="M791" s="508"/>
      <c r="N791" s="508"/>
      <c r="O791" s="509"/>
      <c r="P791" s="509"/>
    </row>
    <row r="792" spans="1:16" ht="21.75" customHeight="1" x14ac:dyDescent="0.3">
      <c r="A792" s="504"/>
      <c r="B792" s="504"/>
      <c r="C792" s="504"/>
      <c r="D792" s="504"/>
      <c r="E792" s="506"/>
      <c r="F792" s="506"/>
      <c r="G792" s="506"/>
      <c r="H792" s="506"/>
      <c r="I792" s="506"/>
      <c r="J792" s="506"/>
      <c r="K792" s="507"/>
      <c r="L792" s="508"/>
      <c r="M792" s="508"/>
      <c r="N792" s="508"/>
      <c r="O792" s="509"/>
      <c r="P792" s="509"/>
    </row>
    <row r="793" spans="1:16" ht="21.75" customHeight="1" x14ac:dyDescent="0.3">
      <c r="A793" s="504"/>
      <c r="B793" s="504"/>
      <c r="C793" s="504"/>
      <c r="D793" s="504"/>
      <c r="E793" s="506"/>
      <c r="F793" s="506"/>
      <c r="G793" s="506"/>
      <c r="H793" s="506"/>
      <c r="I793" s="506"/>
      <c r="J793" s="506"/>
      <c r="K793" s="507"/>
      <c r="L793" s="508"/>
      <c r="M793" s="508"/>
      <c r="N793" s="508"/>
      <c r="O793" s="509"/>
      <c r="P793" s="509"/>
    </row>
    <row r="794" spans="1:16" ht="21.75" customHeight="1" x14ac:dyDescent="0.3">
      <c r="A794" s="504"/>
      <c r="B794" s="504"/>
      <c r="C794" s="504"/>
      <c r="D794" s="504"/>
      <c r="E794" s="506"/>
      <c r="F794" s="506"/>
      <c r="G794" s="506"/>
      <c r="H794" s="506"/>
      <c r="I794" s="506"/>
      <c r="J794" s="506"/>
      <c r="K794" s="507"/>
      <c r="L794" s="508"/>
      <c r="M794" s="508"/>
      <c r="N794" s="508"/>
      <c r="O794" s="509"/>
      <c r="P794" s="509"/>
    </row>
    <row r="795" spans="1:16" ht="21.75" customHeight="1" x14ac:dyDescent="0.3">
      <c r="A795" s="504"/>
      <c r="B795" s="504"/>
      <c r="C795" s="504"/>
      <c r="D795" s="504"/>
      <c r="E795" s="506"/>
      <c r="F795" s="506"/>
      <c r="G795" s="506"/>
      <c r="H795" s="506"/>
      <c r="I795" s="506"/>
      <c r="J795" s="506"/>
      <c r="K795" s="507"/>
      <c r="L795" s="508"/>
      <c r="M795" s="508"/>
      <c r="N795" s="508"/>
      <c r="O795" s="509"/>
      <c r="P795" s="509"/>
    </row>
    <row r="796" spans="1:16" ht="21.75" customHeight="1" x14ac:dyDescent="0.3">
      <c r="A796" s="504"/>
      <c r="B796" s="504"/>
      <c r="C796" s="504"/>
      <c r="D796" s="504"/>
      <c r="E796" s="506"/>
      <c r="F796" s="506"/>
      <c r="G796" s="506"/>
      <c r="H796" s="506"/>
      <c r="I796" s="506"/>
      <c r="J796" s="506"/>
      <c r="K796" s="507"/>
      <c r="L796" s="508"/>
      <c r="M796" s="508"/>
      <c r="N796" s="508"/>
      <c r="O796" s="509"/>
      <c r="P796" s="509"/>
    </row>
    <row r="797" spans="1:16" ht="21.75" customHeight="1" x14ac:dyDescent="0.3">
      <c r="A797" s="504"/>
      <c r="B797" s="504"/>
      <c r="C797" s="504"/>
      <c r="D797" s="504"/>
      <c r="E797" s="506"/>
      <c r="F797" s="506"/>
      <c r="G797" s="506"/>
      <c r="H797" s="506"/>
      <c r="I797" s="506"/>
      <c r="J797" s="506"/>
      <c r="K797" s="507"/>
      <c r="L797" s="508"/>
      <c r="M797" s="508"/>
      <c r="N797" s="508"/>
      <c r="O797" s="509"/>
      <c r="P797" s="509"/>
    </row>
    <row r="798" spans="1:16" ht="21.75" customHeight="1" x14ac:dyDescent="0.3">
      <c r="A798" s="504"/>
      <c r="B798" s="504"/>
      <c r="C798" s="504"/>
      <c r="D798" s="504"/>
      <c r="E798" s="506"/>
      <c r="F798" s="506"/>
      <c r="G798" s="506"/>
      <c r="H798" s="506"/>
      <c r="I798" s="506"/>
      <c r="J798" s="506"/>
      <c r="K798" s="507"/>
      <c r="L798" s="508"/>
      <c r="M798" s="508"/>
      <c r="N798" s="508"/>
      <c r="O798" s="509"/>
      <c r="P798" s="509"/>
    </row>
    <row r="799" spans="1:16" ht="21.75" customHeight="1" x14ac:dyDescent="0.3">
      <c r="A799" s="504"/>
      <c r="B799" s="504"/>
      <c r="C799" s="504"/>
      <c r="D799" s="504"/>
      <c r="E799" s="506"/>
      <c r="F799" s="506"/>
      <c r="G799" s="506"/>
      <c r="H799" s="506"/>
      <c r="I799" s="506"/>
      <c r="J799" s="506"/>
      <c r="K799" s="507"/>
      <c r="L799" s="508"/>
      <c r="M799" s="508"/>
      <c r="N799" s="508"/>
      <c r="O799" s="509"/>
      <c r="P799" s="509"/>
    </row>
    <row r="800" spans="1:16" ht="21.75" customHeight="1" x14ac:dyDescent="0.3">
      <c r="A800" s="504"/>
      <c r="B800" s="504"/>
      <c r="C800" s="504"/>
      <c r="D800" s="504"/>
      <c r="E800" s="506"/>
      <c r="F800" s="506"/>
      <c r="G800" s="506"/>
      <c r="H800" s="506"/>
      <c r="I800" s="506"/>
      <c r="J800" s="506"/>
      <c r="K800" s="507"/>
      <c r="L800" s="508"/>
      <c r="M800" s="508"/>
      <c r="N800" s="508"/>
      <c r="O800" s="509"/>
      <c r="P800" s="509"/>
    </row>
    <row r="801" spans="1:16" ht="21.75" customHeight="1" x14ac:dyDescent="0.3">
      <c r="A801" s="504"/>
      <c r="B801" s="504"/>
      <c r="C801" s="504"/>
      <c r="D801" s="504"/>
      <c r="E801" s="506"/>
      <c r="F801" s="506"/>
      <c r="G801" s="506"/>
      <c r="H801" s="506"/>
      <c r="I801" s="506"/>
      <c r="J801" s="506"/>
      <c r="K801" s="507"/>
      <c r="L801" s="508"/>
      <c r="M801" s="508"/>
      <c r="N801" s="508"/>
      <c r="O801" s="509"/>
      <c r="P801" s="509"/>
    </row>
    <row r="802" spans="1:16" ht="21.75" customHeight="1" x14ac:dyDescent="0.3">
      <c r="A802" s="504"/>
      <c r="B802" s="504"/>
      <c r="C802" s="504"/>
      <c r="D802" s="504"/>
      <c r="E802" s="506"/>
      <c r="F802" s="506"/>
      <c r="G802" s="506"/>
      <c r="H802" s="506"/>
      <c r="I802" s="506"/>
      <c r="J802" s="506"/>
      <c r="K802" s="507"/>
      <c r="L802" s="508"/>
      <c r="M802" s="508"/>
      <c r="N802" s="508"/>
      <c r="O802" s="509"/>
      <c r="P802" s="509"/>
    </row>
    <row r="803" spans="1:16" ht="21.75" customHeight="1" x14ac:dyDescent="0.3">
      <c r="A803" s="504"/>
      <c r="B803" s="504"/>
      <c r="C803" s="504"/>
      <c r="D803" s="504"/>
      <c r="E803" s="506"/>
      <c r="F803" s="506"/>
      <c r="G803" s="506"/>
      <c r="H803" s="506"/>
      <c r="I803" s="506"/>
      <c r="J803" s="506"/>
      <c r="K803" s="507"/>
      <c r="L803" s="508"/>
      <c r="M803" s="508"/>
      <c r="N803" s="508"/>
      <c r="O803" s="509"/>
      <c r="P803" s="509"/>
    </row>
    <row r="804" spans="1:16" ht="21.75" customHeight="1" x14ac:dyDescent="0.3">
      <c r="A804" s="504"/>
      <c r="B804" s="504"/>
      <c r="C804" s="504"/>
      <c r="D804" s="504"/>
      <c r="E804" s="506"/>
      <c r="F804" s="506"/>
      <c r="G804" s="506"/>
      <c r="H804" s="506"/>
      <c r="I804" s="506"/>
      <c r="J804" s="506"/>
      <c r="K804" s="507"/>
      <c r="L804" s="508"/>
      <c r="M804" s="508"/>
      <c r="N804" s="508"/>
      <c r="O804" s="509"/>
      <c r="P804" s="509"/>
    </row>
    <row r="805" spans="1:16" ht="21.75" customHeight="1" x14ac:dyDescent="0.3">
      <c r="A805" s="504"/>
      <c r="B805" s="504"/>
      <c r="C805" s="504"/>
      <c r="D805" s="504"/>
      <c r="E805" s="506"/>
      <c r="F805" s="506"/>
      <c r="G805" s="506"/>
      <c r="H805" s="506"/>
      <c r="I805" s="506"/>
      <c r="J805" s="506"/>
      <c r="K805" s="507"/>
      <c r="L805" s="508"/>
      <c r="M805" s="508"/>
      <c r="N805" s="508"/>
      <c r="O805" s="509"/>
      <c r="P805" s="509"/>
    </row>
    <row r="806" spans="1:16" ht="21.75" customHeight="1" x14ac:dyDescent="0.3">
      <c r="A806" s="504"/>
      <c r="B806" s="504"/>
      <c r="C806" s="504"/>
      <c r="D806" s="504"/>
      <c r="E806" s="506"/>
      <c r="F806" s="506"/>
      <c r="G806" s="506"/>
      <c r="H806" s="506"/>
      <c r="I806" s="506"/>
      <c r="J806" s="506"/>
      <c r="K806" s="507"/>
      <c r="L806" s="508"/>
      <c r="M806" s="508"/>
      <c r="N806" s="508"/>
      <c r="O806" s="509"/>
      <c r="P806" s="509"/>
    </row>
    <row r="807" spans="1:16" ht="21.75" customHeight="1" x14ac:dyDescent="0.3">
      <c r="A807" s="504"/>
      <c r="B807" s="504"/>
      <c r="C807" s="504"/>
      <c r="D807" s="504"/>
      <c r="E807" s="506"/>
      <c r="F807" s="506"/>
      <c r="G807" s="506"/>
      <c r="H807" s="506"/>
      <c r="I807" s="506"/>
      <c r="J807" s="506"/>
      <c r="K807" s="507"/>
      <c r="L807" s="508"/>
      <c r="M807" s="508"/>
      <c r="N807" s="508"/>
      <c r="O807" s="509"/>
      <c r="P807" s="509"/>
    </row>
    <row r="808" spans="1:16" ht="21.75" customHeight="1" x14ac:dyDescent="0.3">
      <c r="A808" s="504"/>
      <c r="B808" s="504"/>
      <c r="C808" s="504"/>
      <c r="D808" s="504"/>
      <c r="E808" s="506"/>
      <c r="F808" s="506"/>
      <c r="G808" s="506"/>
      <c r="H808" s="506"/>
      <c r="I808" s="506"/>
      <c r="J808" s="506"/>
      <c r="K808" s="507"/>
      <c r="L808" s="508"/>
      <c r="M808" s="508"/>
      <c r="N808" s="508"/>
      <c r="O808" s="509"/>
      <c r="P808" s="509"/>
    </row>
    <row r="809" spans="1:16" ht="21.75" customHeight="1" x14ac:dyDescent="0.3">
      <c r="A809" s="504"/>
      <c r="B809" s="504"/>
      <c r="C809" s="504"/>
      <c r="D809" s="504"/>
      <c r="E809" s="506"/>
      <c r="F809" s="506"/>
      <c r="G809" s="506"/>
      <c r="H809" s="506"/>
      <c r="I809" s="506"/>
      <c r="J809" s="506"/>
      <c r="K809" s="507"/>
      <c r="L809" s="508"/>
      <c r="M809" s="508"/>
      <c r="N809" s="508"/>
      <c r="O809" s="509"/>
      <c r="P809" s="509"/>
    </row>
    <row r="810" spans="1:16" ht="21.75" customHeight="1" x14ac:dyDescent="0.3">
      <c r="A810" s="504"/>
      <c r="B810" s="504"/>
      <c r="C810" s="504"/>
      <c r="D810" s="504"/>
      <c r="E810" s="506"/>
      <c r="F810" s="506"/>
      <c r="G810" s="506"/>
      <c r="H810" s="506"/>
      <c r="I810" s="506"/>
      <c r="J810" s="506"/>
      <c r="K810" s="507"/>
      <c r="L810" s="508"/>
      <c r="M810" s="508"/>
      <c r="N810" s="508"/>
      <c r="O810" s="509"/>
      <c r="P810" s="509"/>
    </row>
    <row r="811" spans="1:16" ht="21.75" customHeight="1" x14ac:dyDescent="0.3">
      <c r="A811" s="504"/>
      <c r="B811" s="504"/>
      <c r="C811" s="504"/>
      <c r="D811" s="504"/>
      <c r="E811" s="506"/>
      <c r="F811" s="506"/>
      <c r="G811" s="506"/>
      <c r="H811" s="506"/>
      <c r="I811" s="506"/>
      <c r="J811" s="506"/>
      <c r="K811" s="507"/>
      <c r="L811" s="508"/>
      <c r="M811" s="508"/>
      <c r="N811" s="508"/>
      <c r="O811" s="509"/>
      <c r="P811" s="509"/>
    </row>
    <row r="812" spans="1:16" ht="21.75" customHeight="1" x14ac:dyDescent="0.3">
      <c r="A812" s="504"/>
      <c r="B812" s="504"/>
      <c r="C812" s="504"/>
      <c r="D812" s="504"/>
      <c r="E812" s="506"/>
      <c r="F812" s="506"/>
      <c r="G812" s="506"/>
      <c r="H812" s="506"/>
      <c r="I812" s="506"/>
      <c r="J812" s="506"/>
      <c r="K812" s="507"/>
      <c r="L812" s="508"/>
      <c r="M812" s="508"/>
      <c r="N812" s="508"/>
      <c r="O812" s="509"/>
      <c r="P812" s="509"/>
    </row>
    <row r="813" spans="1:16" ht="21.75" customHeight="1" x14ac:dyDescent="0.3">
      <c r="A813" s="504"/>
      <c r="B813" s="504"/>
      <c r="C813" s="504"/>
      <c r="D813" s="504"/>
      <c r="E813" s="506"/>
      <c r="F813" s="506"/>
      <c r="G813" s="506"/>
      <c r="H813" s="506"/>
      <c r="I813" s="506"/>
      <c r="J813" s="506"/>
      <c r="K813" s="507"/>
      <c r="L813" s="508"/>
      <c r="M813" s="508"/>
      <c r="N813" s="508"/>
      <c r="O813" s="509"/>
      <c r="P813" s="509"/>
    </row>
    <row r="814" spans="1:16" ht="21.75" customHeight="1" x14ac:dyDescent="0.3">
      <c r="A814" s="504"/>
      <c r="B814" s="504"/>
      <c r="C814" s="504"/>
      <c r="D814" s="504"/>
      <c r="E814" s="506"/>
      <c r="F814" s="506"/>
      <c r="G814" s="506"/>
      <c r="H814" s="506"/>
      <c r="I814" s="506"/>
      <c r="J814" s="506"/>
      <c r="K814" s="507"/>
      <c r="L814" s="508"/>
      <c r="M814" s="508"/>
      <c r="N814" s="508"/>
      <c r="O814" s="509"/>
      <c r="P814" s="509"/>
    </row>
    <row r="815" spans="1:16" ht="21.75" customHeight="1" x14ac:dyDescent="0.3">
      <c r="A815" s="504"/>
      <c r="B815" s="504"/>
      <c r="C815" s="504"/>
      <c r="D815" s="504"/>
      <c r="E815" s="506"/>
      <c r="F815" s="506"/>
      <c r="G815" s="506"/>
      <c r="H815" s="506"/>
      <c r="I815" s="506"/>
      <c r="J815" s="506"/>
      <c r="K815" s="507"/>
      <c r="L815" s="508"/>
      <c r="M815" s="508"/>
      <c r="N815" s="508"/>
      <c r="O815" s="509"/>
      <c r="P815" s="509"/>
    </row>
    <row r="816" spans="1:16" ht="21.75" customHeight="1" x14ac:dyDescent="0.3">
      <c r="A816" s="504"/>
      <c r="B816" s="504"/>
      <c r="C816" s="504"/>
      <c r="D816" s="504"/>
      <c r="E816" s="506"/>
      <c r="F816" s="506"/>
      <c r="G816" s="506"/>
      <c r="H816" s="506"/>
      <c r="I816" s="506"/>
      <c r="J816" s="506"/>
      <c r="K816" s="507"/>
      <c r="L816" s="508"/>
      <c r="M816" s="508"/>
      <c r="N816" s="508"/>
      <c r="O816" s="509"/>
      <c r="P816" s="509"/>
    </row>
    <row r="817" spans="1:16" ht="21.75" customHeight="1" x14ac:dyDescent="0.3">
      <c r="A817" s="504"/>
      <c r="B817" s="504"/>
      <c r="C817" s="504"/>
      <c r="D817" s="504"/>
      <c r="E817" s="506"/>
      <c r="F817" s="506"/>
      <c r="G817" s="506"/>
      <c r="H817" s="506"/>
      <c r="I817" s="506"/>
      <c r="J817" s="506"/>
      <c r="K817" s="507"/>
      <c r="L817" s="508"/>
      <c r="M817" s="508"/>
      <c r="N817" s="508"/>
      <c r="O817" s="509"/>
      <c r="P817" s="509"/>
    </row>
    <row r="818" spans="1:16" ht="21.75" customHeight="1" x14ac:dyDescent="0.3">
      <c r="A818" s="504"/>
      <c r="B818" s="504"/>
      <c r="C818" s="504"/>
      <c r="D818" s="504"/>
      <c r="E818" s="506"/>
      <c r="F818" s="506"/>
      <c r="G818" s="506"/>
      <c r="H818" s="506"/>
      <c r="I818" s="506"/>
      <c r="J818" s="506"/>
      <c r="K818" s="507"/>
      <c r="L818" s="508"/>
      <c r="M818" s="508"/>
      <c r="N818" s="508"/>
      <c r="O818" s="509"/>
      <c r="P818" s="509"/>
    </row>
    <row r="819" spans="1:16" ht="21.75" customHeight="1" x14ac:dyDescent="0.3">
      <c r="A819" s="504"/>
      <c r="B819" s="504"/>
      <c r="C819" s="504"/>
      <c r="D819" s="504"/>
      <c r="E819" s="506"/>
      <c r="F819" s="506"/>
      <c r="G819" s="506"/>
      <c r="H819" s="506"/>
      <c r="I819" s="506"/>
      <c r="J819" s="506"/>
      <c r="K819" s="507"/>
      <c r="L819" s="508"/>
      <c r="M819" s="508"/>
      <c r="N819" s="508"/>
      <c r="O819" s="509"/>
      <c r="P819" s="509"/>
    </row>
    <row r="820" spans="1:16" ht="21.75" customHeight="1" x14ac:dyDescent="0.3">
      <c r="A820" s="504"/>
      <c r="B820" s="504"/>
      <c r="C820" s="504"/>
      <c r="D820" s="504"/>
      <c r="E820" s="506"/>
      <c r="F820" s="506"/>
      <c r="G820" s="506"/>
      <c r="H820" s="506"/>
      <c r="I820" s="506"/>
      <c r="J820" s="506"/>
      <c r="K820" s="507"/>
      <c r="L820" s="508"/>
      <c r="M820" s="508"/>
      <c r="N820" s="508"/>
      <c r="O820" s="509"/>
      <c r="P820" s="509"/>
    </row>
    <row r="821" spans="1:16" ht="21.75" customHeight="1" x14ac:dyDescent="0.3">
      <c r="A821" s="504"/>
      <c r="B821" s="504"/>
      <c r="C821" s="504"/>
      <c r="D821" s="504"/>
      <c r="E821" s="506"/>
      <c r="F821" s="506"/>
      <c r="G821" s="506"/>
      <c r="H821" s="506"/>
      <c r="I821" s="506"/>
      <c r="J821" s="506"/>
      <c r="K821" s="507"/>
      <c r="L821" s="508"/>
      <c r="M821" s="508"/>
      <c r="N821" s="508"/>
      <c r="O821" s="509"/>
      <c r="P821" s="509"/>
    </row>
    <row r="822" spans="1:16" ht="21.75" customHeight="1" x14ac:dyDescent="0.3">
      <c r="A822" s="504"/>
      <c r="B822" s="504"/>
      <c r="C822" s="504"/>
      <c r="D822" s="504"/>
      <c r="E822" s="506"/>
      <c r="F822" s="506"/>
      <c r="G822" s="506"/>
      <c r="H822" s="506"/>
      <c r="I822" s="506"/>
      <c r="J822" s="506"/>
      <c r="K822" s="507"/>
      <c r="L822" s="508"/>
      <c r="M822" s="508"/>
      <c r="N822" s="508"/>
      <c r="O822" s="509"/>
      <c r="P822" s="509"/>
    </row>
    <row r="823" spans="1:16" ht="21.75" customHeight="1" x14ac:dyDescent="0.3">
      <c r="A823" s="504"/>
      <c r="B823" s="504"/>
      <c r="C823" s="504"/>
      <c r="D823" s="504"/>
      <c r="E823" s="506"/>
      <c r="F823" s="506"/>
      <c r="G823" s="506"/>
      <c r="H823" s="506"/>
      <c r="I823" s="506"/>
      <c r="J823" s="506"/>
      <c r="K823" s="507"/>
      <c r="L823" s="508"/>
      <c r="M823" s="508"/>
      <c r="N823" s="508"/>
      <c r="O823" s="509"/>
      <c r="P823" s="509"/>
    </row>
    <row r="824" spans="1:16" ht="21.75" customHeight="1" x14ac:dyDescent="0.3">
      <c r="A824" s="504"/>
      <c r="B824" s="504"/>
      <c r="C824" s="504"/>
      <c r="D824" s="504"/>
      <c r="E824" s="506"/>
      <c r="F824" s="506"/>
      <c r="G824" s="506"/>
      <c r="H824" s="506"/>
      <c r="I824" s="506"/>
      <c r="J824" s="506"/>
      <c r="K824" s="507"/>
      <c r="L824" s="508"/>
      <c r="M824" s="508"/>
      <c r="N824" s="508"/>
      <c r="O824" s="509"/>
      <c r="P824" s="509"/>
    </row>
    <row r="825" spans="1:16" ht="21.75" customHeight="1" x14ac:dyDescent="0.3">
      <c r="A825" s="504"/>
      <c r="B825" s="504"/>
      <c r="C825" s="504"/>
      <c r="D825" s="504"/>
      <c r="E825" s="506"/>
      <c r="F825" s="506"/>
      <c r="G825" s="506"/>
      <c r="H825" s="506"/>
      <c r="I825" s="506"/>
      <c r="J825" s="506"/>
      <c r="K825" s="507"/>
      <c r="L825" s="508"/>
      <c r="M825" s="508"/>
      <c r="N825" s="508"/>
      <c r="O825" s="509"/>
      <c r="P825" s="509"/>
    </row>
    <row r="826" spans="1:16" ht="21.75" customHeight="1" x14ac:dyDescent="0.3">
      <c r="A826" s="504"/>
      <c r="B826" s="504"/>
      <c r="C826" s="504"/>
      <c r="D826" s="504"/>
      <c r="E826" s="506"/>
      <c r="F826" s="506"/>
      <c r="G826" s="506"/>
      <c r="H826" s="506"/>
      <c r="I826" s="506"/>
      <c r="J826" s="506"/>
      <c r="K826" s="507"/>
      <c r="L826" s="508"/>
      <c r="M826" s="508"/>
      <c r="N826" s="508"/>
      <c r="O826" s="509"/>
      <c r="P826" s="509"/>
    </row>
    <row r="827" spans="1:16" ht="21.75" customHeight="1" x14ac:dyDescent="0.3">
      <c r="A827" s="504"/>
      <c r="B827" s="504"/>
      <c r="C827" s="504"/>
      <c r="D827" s="504"/>
      <c r="E827" s="506"/>
      <c r="F827" s="506"/>
      <c r="G827" s="506"/>
      <c r="H827" s="506"/>
      <c r="I827" s="506"/>
      <c r="J827" s="506"/>
      <c r="K827" s="507"/>
      <c r="L827" s="508"/>
      <c r="M827" s="508"/>
      <c r="N827" s="508"/>
      <c r="O827" s="509"/>
      <c r="P827" s="509"/>
    </row>
    <row r="828" spans="1:16" ht="21.75" customHeight="1" x14ac:dyDescent="0.3">
      <c r="A828" s="504"/>
      <c r="B828" s="504"/>
      <c r="C828" s="504"/>
      <c r="D828" s="504"/>
      <c r="E828" s="506"/>
      <c r="F828" s="506"/>
      <c r="G828" s="506"/>
      <c r="H828" s="506"/>
      <c r="I828" s="506"/>
      <c r="J828" s="506"/>
      <c r="K828" s="507"/>
      <c r="L828" s="508"/>
      <c r="M828" s="508"/>
      <c r="N828" s="508"/>
      <c r="O828" s="509"/>
      <c r="P828" s="509"/>
    </row>
    <row r="829" spans="1:16" ht="21.75" customHeight="1" x14ac:dyDescent="0.3">
      <c r="A829" s="504"/>
      <c r="B829" s="504"/>
      <c r="C829" s="504"/>
      <c r="D829" s="504"/>
      <c r="E829" s="506"/>
      <c r="F829" s="506"/>
      <c r="G829" s="506"/>
      <c r="H829" s="506"/>
      <c r="I829" s="506"/>
      <c r="J829" s="506"/>
      <c r="K829" s="507"/>
      <c r="L829" s="508"/>
      <c r="M829" s="508"/>
      <c r="N829" s="508"/>
      <c r="O829" s="509"/>
      <c r="P829" s="509"/>
    </row>
    <row r="830" spans="1:16" ht="21.75" customHeight="1" x14ac:dyDescent="0.3">
      <c r="A830" s="504"/>
      <c r="B830" s="504"/>
      <c r="C830" s="504"/>
      <c r="D830" s="504"/>
      <c r="E830" s="506"/>
      <c r="F830" s="506"/>
      <c r="G830" s="506"/>
      <c r="H830" s="506"/>
      <c r="I830" s="506"/>
      <c r="J830" s="506"/>
      <c r="K830" s="507"/>
      <c r="L830" s="508"/>
      <c r="M830" s="508"/>
      <c r="N830" s="508"/>
      <c r="O830" s="509"/>
      <c r="P830" s="509"/>
    </row>
    <row r="831" spans="1:16" ht="21.75" customHeight="1" x14ac:dyDescent="0.3">
      <c r="A831" s="504"/>
      <c r="B831" s="504"/>
      <c r="C831" s="504"/>
      <c r="D831" s="504"/>
      <c r="E831" s="506"/>
      <c r="F831" s="506"/>
      <c r="G831" s="506"/>
      <c r="H831" s="506"/>
      <c r="I831" s="506"/>
      <c r="J831" s="506"/>
      <c r="K831" s="507"/>
      <c r="L831" s="508"/>
      <c r="M831" s="508"/>
      <c r="N831" s="508"/>
      <c r="O831" s="509"/>
      <c r="P831" s="509"/>
    </row>
    <row r="832" spans="1:16" ht="21.75" customHeight="1" x14ac:dyDescent="0.3">
      <c r="A832" s="504"/>
      <c r="B832" s="504"/>
      <c r="C832" s="504"/>
      <c r="D832" s="504"/>
      <c r="E832" s="506"/>
      <c r="F832" s="506"/>
      <c r="G832" s="506"/>
      <c r="H832" s="506"/>
      <c r="I832" s="506"/>
      <c r="J832" s="506"/>
      <c r="K832" s="507"/>
      <c r="L832" s="508"/>
      <c r="M832" s="508"/>
      <c r="N832" s="508"/>
      <c r="O832" s="509"/>
      <c r="P832" s="509"/>
    </row>
    <row r="833" spans="1:16" ht="21.75" customHeight="1" x14ac:dyDescent="0.3">
      <c r="A833" s="504"/>
      <c r="B833" s="504"/>
      <c r="C833" s="504"/>
      <c r="D833" s="504"/>
      <c r="E833" s="506"/>
      <c r="F833" s="506"/>
      <c r="G833" s="506"/>
      <c r="H833" s="506"/>
      <c r="I833" s="506"/>
      <c r="J833" s="506"/>
      <c r="K833" s="507"/>
      <c r="L833" s="508"/>
      <c r="M833" s="508"/>
      <c r="N833" s="508"/>
      <c r="O833" s="509"/>
      <c r="P833" s="509"/>
    </row>
    <row r="834" spans="1:16" ht="21.75" customHeight="1" x14ac:dyDescent="0.3">
      <c r="A834" s="504"/>
      <c r="B834" s="504"/>
      <c r="C834" s="504"/>
      <c r="D834" s="504"/>
      <c r="E834" s="506"/>
      <c r="F834" s="506"/>
      <c r="G834" s="506"/>
      <c r="H834" s="506"/>
      <c r="I834" s="506"/>
      <c r="J834" s="506"/>
      <c r="K834" s="507"/>
      <c r="L834" s="508"/>
      <c r="M834" s="508"/>
      <c r="N834" s="508"/>
      <c r="O834" s="509"/>
      <c r="P834" s="509"/>
    </row>
    <row r="835" spans="1:16" ht="21.75" customHeight="1" x14ac:dyDescent="0.3">
      <c r="A835" s="504"/>
      <c r="B835" s="504"/>
      <c r="C835" s="504"/>
      <c r="D835" s="504"/>
      <c r="E835" s="506"/>
      <c r="F835" s="506"/>
      <c r="G835" s="506"/>
      <c r="H835" s="506"/>
      <c r="I835" s="506"/>
      <c r="J835" s="506"/>
      <c r="K835" s="507"/>
      <c r="L835" s="508"/>
      <c r="M835" s="508"/>
      <c r="N835" s="508"/>
      <c r="O835" s="509"/>
      <c r="P835" s="509"/>
    </row>
    <row r="836" spans="1:16" ht="21.75" customHeight="1" x14ac:dyDescent="0.3">
      <c r="A836" s="504"/>
      <c r="B836" s="504"/>
      <c r="C836" s="504"/>
      <c r="D836" s="504"/>
      <c r="E836" s="506"/>
      <c r="F836" s="506"/>
      <c r="G836" s="506"/>
      <c r="H836" s="506"/>
      <c r="I836" s="506"/>
      <c r="J836" s="506"/>
      <c r="K836" s="507"/>
      <c r="L836" s="508"/>
      <c r="M836" s="508"/>
      <c r="N836" s="508"/>
      <c r="O836" s="509"/>
      <c r="P836" s="509"/>
    </row>
    <row r="837" spans="1:16" ht="21.75" customHeight="1" x14ac:dyDescent="0.3">
      <c r="A837" s="504"/>
      <c r="B837" s="504"/>
      <c r="C837" s="504"/>
      <c r="D837" s="504"/>
      <c r="E837" s="506"/>
      <c r="F837" s="506"/>
      <c r="G837" s="506"/>
      <c r="H837" s="506"/>
      <c r="I837" s="506"/>
      <c r="J837" s="506"/>
      <c r="K837" s="507"/>
      <c r="L837" s="508"/>
      <c r="M837" s="508"/>
      <c r="N837" s="508"/>
      <c r="O837" s="509"/>
      <c r="P837" s="509"/>
    </row>
    <row r="838" spans="1:16" ht="21.75" customHeight="1" x14ac:dyDescent="0.3">
      <c r="A838" s="504"/>
      <c r="B838" s="504"/>
      <c r="C838" s="504"/>
      <c r="D838" s="504"/>
      <c r="E838" s="506"/>
      <c r="F838" s="506"/>
      <c r="G838" s="506"/>
      <c r="H838" s="506"/>
      <c r="I838" s="506"/>
      <c r="J838" s="506"/>
      <c r="K838" s="507"/>
      <c r="L838" s="508"/>
      <c r="M838" s="508"/>
      <c r="N838" s="508"/>
      <c r="O838" s="509"/>
      <c r="P838" s="509"/>
    </row>
    <row r="839" spans="1:16" ht="21.75" customHeight="1" x14ac:dyDescent="0.3">
      <c r="A839" s="504"/>
      <c r="B839" s="504"/>
      <c r="C839" s="504"/>
      <c r="D839" s="504"/>
      <c r="E839" s="506"/>
      <c r="F839" s="506"/>
      <c r="G839" s="506"/>
      <c r="H839" s="506"/>
      <c r="I839" s="506"/>
      <c r="J839" s="506"/>
      <c r="K839" s="507"/>
      <c r="L839" s="508"/>
      <c r="M839" s="508"/>
      <c r="N839" s="508"/>
      <c r="O839" s="509"/>
      <c r="P839" s="509"/>
    </row>
    <row r="840" spans="1:16" ht="21.75" customHeight="1" x14ac:dyDescent="0.3">
      <c r="A840" s="504"/>
      <c r="B840" s="504"/>
      <c r="C840" s="504"/>
      <c r="D840" s="504"/>
      <c r="E840" s="506"/>
      <c r="F840" s="506"/>
      <c r="G840" s="506"/>
      <c r="H840" s="506"/>
      <c r="I840" s="506"/>
      <c r="J840" s="506"/>
      <c r="K840" s="507"/>
      <c r="L840" s="508"/>
      <c r="M840" s="508"/>
      <c r="N840" s="508"/>
      <c r="O840" s="509"/>
      <c r="P840" s="509"/>
    </row>
    <row r="841" spans="1:16" ht="21.75" customHeight="1" x14ac:dyDescent="0.3">
      <c r="A841" s="504"/>
      <c r="B841" s="504"/>
      <c r="C841" s="504"/>
      <c r="D841" s="504"/>
      <c r="E841" s="506"/>
      <c r="F841" s="506"/>
      <c r="G841" s="506"/>
      <c r="H841" s="506"/>
      <c r="I841" s="506"/>
      <c r="J841" s="506"/>
      <c r="K841" s="507"/>
      <c r="L841" s="508"/>
      <c r="M841" s="508"/>
      <c r="N841" s="508"/>
      <c r="O841" s="509"/>
      <c r="P841" s="509"/>
    </row>
    <row r="842" spans="1:16" ht="21.75" customHeight="1" x14ac:dyDescent="0.3">
      <c r="A842" s="504"/>
      <c r="B842" s="504"/>
      <c r="C842" s="504"/>
      <c r="D842" s="504"/>
      <c r="E842" s="506"/>
      <c r="F842" s="506"/>
      <c r="G842" s="506"/>
      <c r="H842" s="506"/>
      <c r="I842" s="506"/>
      <c r="J842" s="506"/>
      <c r="K842" s="507"/>
      <c r="L842" s="508"/>
      <c r="M842" s="508"/>
      <c r="N842" s="508"/>
      <c r="O842" s="509"/>
      <c r="P842" s="509"/>
    </row>
    <row r="843" spans="1:16" ht="21.75" customHeight="1" x14ac:dyDescent="0.3">
      <c r="A843" s="504"/>
      <c r="B843" s="504"/>
      <c r="C843" s="504"/>
      <c r="D843" s="504"/>
      <c r="E843" s="506"/>
      <c r="F843" s="506"/>
      <c r="G843" s="506"/>
      <c r="H843" s="506"/>
      <c r="I843" s="506"/>
      <c r="J843" s="506"/>
      <c r="K843" s="507"/>
      <c r="L843" s="508"/>
      <c r="M843" s="508"/>
      <c r="N843" s="508"/>
      <c r="O843" s="509"/>
      <c r="P843" s="509"/>
    </row>
    <row r="844" spans="1:16" ht="21.75" customHeight="1" x14ac:dyDescent="0.3">
      <c r="A844" s="504"/>
      <c r="B844" s="504"/>
      <c r="C844" s="504"/>
      <c r="D844" s="504"/>
      <c r="E844" s="506"/>
      <c r="F844" s="506"/>
      <c r="G844" s="506"/>
      <c r="H844" s="506"/>
      <c r="I844" s="506"/>
      <c r="J844" s="506"/>
      <c r="K844" s="507"/>
      <c r="L844" s="508"/>
      <c r="M844" s="508"/>
      <c r="N844" s="508"/>
      <c r="O844" s="509"/>
      <c r="P844" s="509"/>
    </row>
    <row r="845" spans="1:16" ht="21.75" customHeight="1" x14ac:dyDescent="0.3">
      <c r="A845" s="504"/>
      <c r="B845" s="504"/>
      <c r="C845" s="504"/>
      <c r="D845" s="504"/>
      <c r="E845" s="506"/>
      <c r="F845" s="506"/>
      <c r="G845" s="506"/>
      <c r="H845" s="506"/>
      <c r="I845" s="506"/>
      <c r="J845" s="506"/>
      <c r="K845" s="507"/>
      <c r="L845" s="508"/>
      <c r="M845" s="508"/>
      <c r="N845" s="508"/>
      <c r="O845" s="509"/>
      <c r="P845" s="509"/>
    </row>
    <row r="846" spans="1:16" ht="21.75" customHeight="1" x14ac:dyDescent="0.3">
      <c r="A846" s="504"/>
      <c r="B846" s="504"/>
      <c r="C846" s="504"/>
      <c r="D846" s="504"/>
      <c r="E846" s="506"/>
      <c r="F846" s="506"/>
      <c r="G846" s="506"/>
      <c r="H846" s="506"/>
      <c r="I846" s="506"/>
      <c r="J846" s="506"/>
      <c r="K846" s="507"/>
      <c r="L846" s="508"/>
      <c r="M846" s="508"/>
      <c r="N846" s="508"/>
      <c r="O846" s="509"/>
      <c r="P846" s="509"/>
    </row>
    <row r="847" spans="1:16" ht="21.75" customHeight="1" x14ac:dyDescent="0.3">
      <c r="A847" s="504"/>
      <c r="B847" s="504"/>
      <c r="C847" s="504"/>
      <c r="D847" s="504"/>
      <c r="E847" s="506"/>
      <c r="F847" s="506"/>
      <c r="G847" s="506"/>
      <c r="H847" s="506"/>
      <c r="I847" s="506"/>
      <c r="J847" s="506"/>
      <c r="K847" s="507"/>
      <c r="L847" s="508"/>
      <c r="M847" s="508"/>
      <c r="N847" s="508"/>
      <c r="O847" s="509"/>
      <c r="P847" s="509"/>
    </row>
    <row r="848" spans="1:16" ht="21.75" customHeight="1" x14ac:dyDescent="0.3">
      <c r="A848" s="504"/>
      <c r="B848" s="504"/>
      <c r="C848" s="504"/>
      <c r="D848" s="504"/>
      <c r="E848" s="506"/>
      <c r="F848" s="506"/>
      <c r="G848" s="506"/>
      <c r="H848" s="506"/>
      <c r="I848" s="506"/>
      <c r="J848" s="506"/>
      <c r="K848" s="507"/>
      <c r="L848" s="508"/>
      <c r="M848" s="508"/>
      <c r="N848" s="508"/>
      <c r="O848" s="509"/>
      <c r="P848" s="509"/>
    </row>
    <row r="849" spans="1:16" ht="21.75" customHeight="1" x14ac:dyDescent="0.3">
      <c r="A849" s="504"/>
      <c r="B849" s="504"/>
      <c r="C849" s="504"/>
      <c r="D849" s="504"/>
      <c r="E849" s="506"/>
      <c r="F849" s="506"/>
      <c r="G849" s="506"/>
      <c r="H849" s="506"/>
      <c r="I849" s="506"/>
      <c r="J849" s="506"/>
      <c r="K849" s="507"/>
      <c r="L849" s="508"/>
      <c r="M849" s="508"/>
      <c r="N849" s="508"/>
      <c r="O849" s="509"/>
      <c r="P849" s="509"/>
    </row>
    <row r="850" spans="1:16" ht="21.75" customHeight="1" x14ac:dyDescent="0.3">
      <c r="A850" s="504"/>
      <c r="B850" s="504"/>
      <c r="C850" s="504"/>
      <c r="D850" s="504"/>
      <c r="E850" s="506"/>
      <c r="F850" s="506"/>
      <c r="G850" s="506"/>
      <c r="H850" s="506"/>
      <c r="I850" s="506"/>
      <c r="J850" s="506"/>
      <c r="K850" s="507"/>
      <c r="L850" s="508"/>
      <c r="M850" s="508"/>
      <c r="N850" s="508"/>
      <c r="O850" s="509"/>
      <c r="P850" s="509"/>
    </row>
    <row r="851" spans="1:16" ht="21.75" customHeight="1" x14ac:dyDescent="0.3">
      <c r="A851" s="504"/>
      <c r="B851" s="504"/>
      <c r="C851" s="504"/>
      <c r="D851" s="504"/>
      <c r="E851" s="506"/>
      <c r="F851" s="506"/>
      <c r="G851" s="506"/>
      <c r="H851" s="506"/>
      <c r="I851" s="506"/>
      <c r="J851" s="506"/>
      <c r="K851" s="507"/>
      <c r="L851" s="508"/>
      <c r="M851" s="508"/>
      <c r="N851" s="508"/>
      <c r="O851" s="509"/>
      <c r="P851" s="509"/>
    </row>
    <row r="852" spans="1:16" ht="21.75" customHeight="1" x14ac:dyDescent="0.3">
      <c r="A852" s="504"/>
      <c r="B852" s="504"/>
      <c r="C852" s="504"/>
      <c r="D852" s="504"/>
      <c r="E852" s="506"/>
      <c r="F852" s="506"/>
      <c r="G852" s="506"/>
      <c r="H852" s="506"/>
      <c r="I852" s="506"/>
      <c r="J852" s="506"/>
      <c r="K852" s="507"/>
      <c r="L852" s="508"/>
      <c r="M852" s="508"/>
      <c r="N852" s="508"/>
      <c r="O852" s="509"/>
      <c r="P852" s="509"/>
    </row>
    <row r="853" spans="1:16" ht="21.75" customHeight="1" x14ac:dyDescent="0.3">
      <c r="A853" s="504"/>
      <c r="B853" s="504"/>
      <c r="C853" s="504"/>
      <c r="D853" s="504"/>
      <c r="E853" s="506"/>
      <c r="F853" s="506"/>
      <c r="G853" s="506"/>
      <c r="H853" s="506"/>
      <c r="I853" s="506"/>
      <c r="J853" s="506"/>
      <c r="K853" s="507"/>
      <c r="L853" s="508"/>
      <c r="M853" s="508"/>
      <c r="N853" s="508"/>
      <c r="O853" s="509"/>
      <c r="P853" s="509"/>
    </row>
    <row r="854" spans="1:16" ht="21.75" customHeight="1" x14ac:dyDescent="0.3">
      <c r="A854" s="504"/>
      <c r="B854" s="504"/>
      <c r="C854" s="504"/>
      <c r="D854" s="504"/>
      <c r="E854" s="506"/>
      <c r="F854" s="506"/>
      <c r="G854" s="506"/>
      <c r="H854" s="506"/>
      <c r="I854" s="506"/>
      <c r="J854" s="506"/>
      <c r="K854" s="507"/>
      <c r="L854" s="508"/>
      <c r="M854" s="508"/>
      <c r="N854" s="508"/>
      <c r="O854" s="509"/>
      <c r="P854" s="509"/>
    </row>
    <row r="855" spans="1:16" ht="21.75" customHeight="1" x14ac:dyDescent="0.3">
      <c r="A855" s="504"/>
      <c r="B855" s="504"/>
      <c r="C855" s="504"/>
      <c r="D855" s="504"/>
      <c r="E855" s="506"/>
      <c r="F855" s="506"/>
      <c r="G855" s="506"/>
      <c r="H855" s="506"/>
      <c r="I855" s="506"/>
      <c r="J855" s="506"/>
      <c r="K855" s="507"/>
      <c r="L855" s="508"/>
      <c r="M855" s="508"/>
      <c r="N855" s="508"/>
      <c r="O855" s="509"/>
      <c r="P855" s="509"/>
    </row>
    <row r="856" spans="1:16" ht="21.75" customHeight="1" x14ac:dyDescent="0.3">
      <c r="A856" s="504"/>
      <c r="B856" s="504"/>
      <c r="C856" s="504"/>
      <c r="D856" s="504"/>
      <c r="E856" s="506"/>
      <c r="F856" s="506"/>
      <c r="G856" s="506"/>
      <c r="H856" s="506"/>
      <c r="I856" s="506"/>
      <c r="J856" s="506"/>
      <c r="K856" s="507"/>
      <c r="L856" s="508"/>
      <c r="M856" s="508"/>
      <c r="N856" s="508"/>
      <c r="O856" s="509"/>
      <c r="P856" s="509"/>
    </row>
    <row r="857" spans="1:16" ht="21.75" customHeight="1" x14ac:dyDescent="0.3">
      <c r="A857" s="504"/>
      <c r="B857" s="504"/>
      <c r="C857" s="504"/>
      <c r="D857" s="504"/>
      <c r="E857" s="506"/>
      <c r="F857" s="506"/>
      <c r="G857" s="506"/>
      <c r="H857" s="506"/>
      <c r="I857" s="506"/>
      <c r="J857" s="506"/>
      <c r="K857" s="507"/>
      <c r="L857" s="508"/>
      <c r="M857" s="508"/>
      <c r="N857" s="508"/>
      <c r="O857" s="509"/>
      <c r="P857" s="509"/>
    </row>
    <row r="858" spans="1:16" ht="21.75" customHeight="1" x14ac:dyDescent="0.3">
      <c r="A858" s="504"/>
      <c r="B858" s="504"/>
      <c r="C858" s="504"/>
      <c r="D858" s="504"/>
      <c r="E858" s="506"/>
      <c r="F858" s="506"/>
      <c r="G858" s="506"/>
      <c r="H858" s="506"/>
      <c r="I858" s="506"/>
      <c r="J858" s="506"/>
      <c r="K858" s="507"/>
      <c r="L858" s="508"/>
      <c r="M858" s="508"/>
      <c r="N858" s="508"/>
      <c r="O858" s="509"/>
      <c r="P858" s="509"/>
    </row>
    <row r="859" spans="1:16" ht="21.75" customHeight="1" x14ac:dyDescent="0.3">
      <c r="A859" s="504"/>
      <c r="B859" s="504"/>
      <c r="C859" s="504"/>
      <c r="D859" s="504"/>
      <c r="E859" s="506"/>
      <c r="F859" s="506"/>
      <c r="G859" s="506"/>
      <c r="H859" s="506"/>
      <c r="I859" s="506"/>
      <c r="J859" s="506"/>
      <c r="K859" s="507"/>
      <c r="L859" s="508"/>
      <c r="M859" s="508"/>
      <c r="N859" s="508"/>
      <c r="O859" s="509"/>
      <c r="P859" s="509"/>
    </row>
    <row r="860" spans="1:16" ht="21.75" customHeight="1" x14ac:dyDescent="0.3">
      <c r="A860" s="504"/>
      <c r="B860" s="504"/>
      <c r="C860" s="504"/>
      <c r="D860" s="504"/>
      <c r="E860" s="506"/>
      <c r="F860" s="506"/>
      <c r="G860" s="506"/>
      <c r="H860" s="506"/>
      <c r="I860" s="506"/>
      <c r="J860" s="506"/>
      <c r="K860" s="507"/>
      <c r="L860" s="508"/>
      <c r="M860" s="508"/>
      <c r="N860" s="508"/>
      <c r="O860" s="509"/>
      <c r="P860" s="509"/>
    </row>
    <row r="861" spans="1:16" ht="21.75" customHeight="1" x14ac:dyDescent="0.3">
      <c r="A861" s="504"/>
      <c r="B861" s="504"/>
      <c r="C861" s="504"/>
      <c r="D861" s="504"/>
      <c r="E861" s="506"/>
      <c r="F861" s="506"/>
      <c r="G861" s="506"/>
      <c r="H861" s="506"/>
      <c r="I861" s="506"/>
      <c r="J861" s="506"/>
      <c r="K861" s="507"/>
      <c r="L861" s="508"/>
      <c r="M861" s="508"/>
      <c r="N861" s="508"/>
      <c r="O861" s="509"/>
      <c r="P861" s="509"/>
    </row>
    <row r="862" spans="1:16" ht="21.75" customHeight="1" x14ac:dyDescent="0.3">
      <c r="A862" s="504"/>
      <c r="B862" s="504"/>
      <c r="C862" s="504"/>
      <c r="D862" s="504"/>
      <c r="E862" s="506"/>
      <c r="F862" s="506"/>
      <c r="G862" s="506"/>
      <c r="H862" s="506"/>
      <c r="I862" s="506"/>
      <c r="J862" s="506"/>
      <c r="K862" s="507"/>
      <c r="L862" s="508"/>
      <c r="M862" s="508"/>
      <c r="N862" s="508"/>
      <c r="O862" s="509"/>
      <c r="P862" s="509"/>
    </row>
    <row r="863" spans="1:16" ht="21.75" customHeight="1" x14ac:dyDescent="0.3">
      <c r="A863" s="504"/>
      <c r="B863" s="504"/>
      <c r="C863" s="504"/>
      <c r="D863" s="504"/>
      <c r="E863" s="506"/>
      <c r="F863" s="506"/>
      <c r="G863" s="506"/>
      <c r="H863" s="506"/>
      <c r="I863" s="506"/>
      <c r="J863" s="506"/>
      <c r="K863" s="507"/>
      <c r="L863" s="508"/>
      <c r="M863" s="508"/>
      <c r="N863" s="508"/>
      <c r="O863" s="509"/>
      <c r="P863" s="509"/>
    </row>
    <row r="864" spans="1:16" ht="21.75" customHeight="1" x14ac:dyDescent="0.3">
      <c r="A864" s="504"/>
      <c r="B864" s="504"/>
      <c r="C864" s="504"/>
      <c r="D864" s="504"/>
      <c r="E864" s="506"/>
      <c r="F864" s="506"/>
      <c r="G864" s="506"/>
      <c r="H864" s="506"/>
      <c r="I864" s="506"/>
      <c r="J864" s="506"/>
      <c r="K864" s="507"/>
      <c r="L864" s="508"/>
      <c r="M864" s="508"/>
      <c r="N864" s="508"/>
      <c r="O864" s="509"/>
      <c r="P864" s="509"/>
    </row>
    <row r="865" spans="1:16" ht="21.75" customHeight="1" x14ac:dyDescent="0.3">
      <c r="A865" s="504"/>
      <c r="B865" s="504"/>
      <c r="C865" s="504"/>
      <c r="D865" s="504"/>
      <c r="E865" s="506"/>
      <c r="F865" s="506"/>
      <c r="G865" s="506"/>
      <c r="H865" s="506"/>
      <c r="I865" s="506"/>
      <c r="J865" s="506"/>
      <c r="K865" s="507"/>
      <c r="L865" s="508"/>
      <c r="M865" s="508"/>
      <c r="N865" s="508"/>
      <c r="O865" s="509"/>
      <c r="P865" s="509"/>
    </row>
    <row r="866" spans="1:16" ht="21.75" customHeight="1" x14ac:dyDescent="0.3">
      <c r="A866" s="504"/>
      <c r="B866" s="504"/>
      <c r="C866" s="504"/>
      <c r="D866" s="504"/>
      <c r="E866" s="506"/>
      <c r="F866" s="506"/>
      <c r="G866" s="506"/>
      <c r="H866" s="506"/>
      <c r="I866" s="506"/>
      <c r="J866" s="506"/>
      <c r="K866" s="507"/>
      <c r="L866" s="508"/>
      <c r="M866" s="508"/>
      <c r="N866" s="508"/>
      <c r="O866" s="509"/>
      <c r="P866" s="509"/>
    </row>
    <row r="867" spans="1:16" ht="21.75" customHeight="1" x14ac:dyDescent="0.3">
      <c r="A867" s="504"/>
      <c r="B867" s="504"/>
      <c r="C867" s="504"/>
      <c r="D867" s="504"/>
      <c r="E867" s="506"/>
      <c r="F867" s="506"/>
      <c r="G867" s="506"/>
      <c r="H867" s="506"/>
      <c r="I867" s="506"/>
      <c r="J867" s="506"/>
      <c r="K867" s="507"/>
      <c r="L867" s="508"/>
      <c r="M867" s="508"/>
      <c r="N867" s="508"/>
      <c r="O867" s="509"/>
      <c r="P867" s="509"/>
    </row>
    <row r="868" spans="1:16" ht="21.75" customHeight="1" x14ac:dyDescent="0.3">
      <c r="A868" s="504"/>
      <c r="B868" s="504"/>
      <c r="C868" s="504"/>
      <c r="D868" s="504"/>
      <c r="E868" s="506"/>
      <c r="F868" s="506"/>
      <c r="G868" s="506"/>
      <c r="H868" s="506"/>
      <c r="I868" s="506"/>
      <c r="J868" s="506"/>
      <c r="K868" s="507"/>
      <c r="L868" s="508"/>
      <c r="M868" s="508"/>
      <c r="N868" s="508"/>
      <c r="O868" s="509"/>
      <c r="P868" s="509"/>
    </row>
    <row r="869" spans="1:16" ht="21.75" customHeight="1" x14ac:dyDescent="0.3">
      <c r="A869" s="504"/>
      <c r="B869" s="504"/>
      <c r="C869" s="504"/>
      <c r="D869" s="504"/>
      <c r="E869" s="506"/>
      <c r="F869" s="506"/>
      <c r="G869" s="506"/>
      <c r="H869" s="506"/>
      <c r="I869" s="506"/>
      <c r="J869" s="506"/>
      <c r="K869" s="507"/>
      <c r="L869" s="508"/>
      <c r="M869" s="508"/>
      <c r="N869" s="508"/>
      <c r="O869" s="509"/>
      <c r="P869" s="509"/>
    </row>
    <row r="870" spans="1:16" ht="21.75" customHeight="1" x14ac:dyDescent="0.3">
      <c r="A870" s="504"/>
      <c r="B870" s="504"/>
      <c r="C870" s="504"/>
      <c r="D870" s="504"/>
      <c r="E870" s="506"/>
      <c r="F870" s="506"/>
      <c r="G870" s="506"/>
      <c r="H870" s="506"/>
      <c r="I870" s="506"/>
      <c r="J870" s="506"/>
      <c r="K870" s="507"/>
      <c r="L870" s="508"/>
      <c r="M870" s="508"/>
      <c r="N870" s="508"/>
      <c r="O870" s="509"/>
      <c r="P870" s="509"/>
    </row>
    <row r="871" spans="1:16" ht="21.75" customHeight="1" x14ac:dyDescent="0.3">
      <c r="A871" s="504"/>
      <c r="B871" s="504"/>
      <c r="C871" s="504"/>
      <c r="D871" s="504"/>
      <c r="E871" s="506"/>
      <c r="F871" s="506"/>
      <c r="G871" s="506"/>
      <c r="H871" s="506"/>
      <c r="I871" s="506"/>
      <c r="J871" s="506"/>
      <c r="K871" s="507"/>
      <c r="L871" s="508"/>
      <c r="M871" s="508"/>
      <c r="N871" s="508"/>
      <c r="O871" s="509"/>
      <c r="P871" s="509"/>
    </row>
    <row r="872" spans="1:16" ht="21.75" customHeight="1" x14ac:dyDescent="0.3">
      <c r="A872" s="504"/>
      <c r="B872" s="504"/>
      <c r="C872" s="504"/>
      <c r="D872" s="504"/>
      <c r="E872" s="506"/>
      <c r="F872" s="506"/>
      <c r="G872" s="506"/>
      <c r="H872" s="506"/>
      <c r="I872" s="506"/>
      <c r="J872" s="506"/>
      <c r="K872" s="507"/>
      <c r="L872" s="508"/>
      <c r="M872" s="508"/>
      <c r="N872" s="508"/>
      <c r="O872" s="509"/>
      <c r="P872" s="509"/>
    </row>
    <row r="873" spans="1:16" ht="21.75" customHeight="1" x14ac:dyDescent="0.3">
      <c r="A873" s="504"/>
      <c r="B873" s="504"/>
      <c r="C873" s="504"/>
      <c r="D873" s="504"/>
      <c r="E873" s="506"/>
      <c r="F873" s="506"/>
      <c r="G873" s="506"/>
      <c r="H873" s="506"/>
      <c r="I873" s="506"/>
      <c r="J873" s="506"/>
      <c r="K873" s="507"/>
      <c r="L873" s="508"/>
      <c r="M873" s="508"/>
      <c r="N873" s="508"/>
      <c r="O873" s="509"/>
      <c r="P873" s="509"/>
    </row>
    <row r="874" spans="1:16" ht="21.75" customHeight="1" x14ac:dyDescent="0.3">
      <c r="A874" s="504"/>
      <c r="B874" s="504"/>
      <c r="C874" s="504"/>
      <c r="D874" s="504"/>
      <c r="E874" s="506"/>
      <c r="F874" s="506"/>
      <c r="G874" s="506"/>
      <c r="H874" s="506"/>
      <c r="I874" s="506"/>
      <c r="J874" s="506"/>
      <c r="K874" s="507"/>
      <c r="L874" s="508"/>
      <c r="M874" s="508"/>
      <c r="N874" s="508"/>
      <c r="O874" s="509"/>
      <c r="P874" s="509"/>
    </row>
    <row r="875" spans="1:16" ht="21.75" customHeight="1" x14ac:dyDescent="0.3">
      <c r="A875" s="504"/>
      <c r="B875" s="504"/>
      <c r="C875" s="504"/>
      <c r="D875" s="504"/>
      <c r="E875" s="506"/>
      <c r="F875" s="506"/>
      <c r="G875" s="506"/>
      <c r="H875" s="506"/>
      <c r="I875" s="506"/>
      <c r="J875" s="506"/>
      <c r="K875" s="507"/>
      <c r="L875" s="508"/>
      <c r="M875" s="508"/>
      <c r="N875" s="508"/>
      <c r="O875" s="509"/>
      <c r="P875" s="509"/>
    </row>
    <row r="876" spans="1:16" ht="21.75" customHeight="1" x14ac:dyDescent="0.3">
      <c r="A876" s="504"/>
      <c r="B876" s="504"/>
      <c r="C876" s="504"/>
      <c r="D876" s="504"/>
      <c r="E876" s="506"/>
      <c r="F876" s="506"/>
      <c r="G876" s="506"/>
      <c r="H876" s="506"/>
      <c r="I876" s="506"/>
      <c r="J876" s="506"/>
      <c r="K876" s="507"/>
      <c r="L876" s="508"/>
      <c r="M876" s="508"/>
      <c r="N876" s="508"/>
      <c r="O876" s="509"/>
      <c r="P876" s="509"/>
    </row>
    <row r="877" spans="1:16" ht="21.75" customHeight="1" x14ac:dyDescent="0.3">
      <c r="A877" s="504"/>
      <c r="B877" s="504"/>
      <c r="C877" s="504"/>
      <c r="D877" s="504"/>
      <c r="E877" s="506"/>
      <c r="F877" s="506"/>
      <c r="G877" s="506"/>
      <c r="H877" s="506"/>
      <c r="I877" s="506"/>
      <c r="J877" s="506"/>
      <c r="K877" s="507"/>
      <c r="L877" s="508"/>
      <c r="M877" s="508"/>
      <c r="N877" s="508"/>
      <c r="O877" s="509"/>
      <c r="P877" s="509"/>
    </row>
    <row r="878" spans="1:16" ht="21.75" customHeight="1" x14ac:dyDescent="0.3">
      <c r="A878" s="504"/>
      <c r="B878" s="504"/>
      <c r="C878" s="504"/>
      <c r="D878" s="504"/>
      <c r="E878" s="506"/>
      <c r="F878" s="506"/>
      <c r="G878" s="506"/>
      <c r="H878" s="506"/>
      <c r="I878" s="506"/>
      <c r="J878" s="506"/>
      <c r="K878" s="507"/>
      <c r="L878" s="508"/>
      <c r="M878" s="508"/>
      <c r="N878" s="508"/>
      <c r="O878" s="509"/>
      <c r="P878" s="509"/>
    </row>
    <row r="879" spans="1:16" ht="21.75" customHeight="1" x14ac:dyDescent="0.3">
      <c r="A879" s="504"/>
      <c r="B879" s="504"/>
      <c r="C879" s="504"/>
      <c r="D879" s="504"/>
      <c r="E879" s="506"/>
      <c r="F879" s="506"/>
      <c r="G879" s="506"/>
      <c r="H879" s="506"/>
      <c r="I879" s="506"/>
      <c r="J879" s="506"/>
      <c r="K879" s="507"/>
      <c r="L879" s="508"/>
      <c r="M879" s="508"/>
      <c r="N879" s="508"/>
      <c r="O879" s="509"/>
      <c r="P879" s="509"/>
    </row>
    <row r="880" spans="1:16" ht="21.75" customHeight="1" x14ac:dyDescent="0.3">
      <c r="A880" s="504"/>
      <c r="B880" s="504"/>
      <c r="C880" s="504"/>
      <c r="D880" s="504"/>
      <c r="E880" s="506"/>
      <c r="F880" s="506"/>
      <c r="G880" s="506"/>
      <c r="H880" s="506"/>
      <c r="I880" s="506"/>
      <c r="J880" s="506"/>
      <c r="K880" s="507"/>
      <c r="L880" s="508"/>
      <c r="M880" s="508"/>
      <c r="N880" s="508"/>
      <c r="O880" s="509"/>
      <c r="P880" s="509"/>
    </row>
    <row r="881" spans="1:16" ht="21.75" customHeight="1" x14ac:dyDescent="0.3">
      <c r="A881" s="504"/>
      <c r="B881" s="504"/>
      <c r="C881" s="504"/>
      <c r="D881" s="504"/>
      <c r="E881" s="506"/>
      <c r="F881" s="506"/>
      <c r="G881" s="506"/>
      <c r="H881" s="506"/>
      <c r="I881" s="506"/>
      <c r="J881" s="506"/>
      <c r="K881" s="507"/>
      <c r="L881" s="508"/>
      <c r="M881" s="508"/>
      <c r="N881" s="508"/>
      <c r="O881" s="509"/>
      <c r="P881" s="509"/>
    </row>
    <row r="882" spans="1:16" ht="21.75" customHeight="1" x14ac:dyDescent="0.3">
      <c r="A882" s="504"/>
      <c r="B882" s="504"/>
      <c r="C882" s="504"/>
      <c r="D882" s="504"/>
      <c r="E882" s="506"/>
      <c r="F882" s="506"/>
      <c r="G882" s="506"/>
      <c r="H882" s="506"/>
      <c r="I882" s="506"/>
      <c r="J882" s="506"/>
      <c r="K882" s="507"/>
      <c r="L882" s="508"/>
      <c r="M882" s="508"/>
      <c r="N882" s="508"/>
      <c r="O882" s="509"/>
      <c r="P882" s="509"/>
    </row>
    <row r="883" spans="1:16" ht="21.75" customHeight="1" x14ac:dyDescent="0.3">
      <c r="A883" s="504"/>
      <c r="B883" s="504"/>
      <c r="C883" s="504"/>
      <c r="D883" s="504"/>
      <c r="E883" s="506"/>
      <c r="F883" s="506"/>
      <c r="G883" s="506"/>
      <c r="H883" s="506"/>
      <c r="I883" s="506"/>
      <c r="J883" s="506"/>
      <c r="K883" s="507"/>
      <c r="L883" s="508"/>
      <c r="M883" s="508"/>
      <c r="N883" s="508"/>
      <c r="O883" s="509"/>
      <c r="P883" s="509"/>
    </row>
    <row r="884" spans="1:16" ht="21.75" customHeight="1" x14ac:dyDescent="0.3">
      <c r="A884" s="504"/>
      <c r="B884" s="504"/>
      <c r="C884" s="504"/>
      <c r="D884" s="504"/>
      <c r="E884" s="506"/>
      <c r="F884" s="506"/>
      <c r="G884" s="506"/>
      <c r="H884" s="506"/>
      <c r="I884" s="506"/>
      <c r="J884" s="506"/>
      <c r="K884" s="507"/>
      <c r="L884" s="508"/>
      <c r="M884" s="508"/>
      <c r="N884" s="508"/>
      <c r="O884" s="509"/>
      <c r="P884" s="509"/>
    </row>
    <row r="885" spans="1:16" ht="21.75" customHeight="1" x14ac:dyDescent="0.3">
      <c r="A885" s="504"/>
      <c r="B885" s="504"/>
      <c r="C885" s="504"/>
      <c r="D885" s="504"/>
      <c r="E885" s="506"/>
      <c r="F885" s="506"/>
      <c r="G885" s="506"/>
      <c r="H885" s="506"/>
      <c r="I885" s="506"/>
      <c r="J885" s="506"/>
      <c r="K885" s="507"/>
      <c r="L885" s="508"/>
      <c r="M885" s="508"/>
      <c r="N885" s="508"/>
      <c r="O885" s="509"/>
      <c r="P885" s="509"/>
    </row>
    <row r="886" spans="1:16" ht="21.75" customHeight="1" x14ac:dyDescent="0.3">
      <c r="A886" s="504"/>
      <c r="B886" s="504"/>
      <c r="C886" s="504"/>
      <c r="D886" s="504"/>
      <c r="E886" s="506"/>
      <c r="F886" s="506"/>
      <c r="G886" s="506"/>
      <c r="H886" s="506"/>
      <c r="I886" s="506"/>
      <c r="J886" s="506"/>
      <c r="K886" s="507"/>
      <c r="L886" s="508"/>
      <c r="M886" s="508"/>
      <c r="N886" s="508"/>
      <c r="O886" s="509"/>
      <c r="P886" s="509"/>
    </row>
    <row r="887" spans="1:16" ht="21.75" customHeight="1" x14ac:dyDescent="0.3">
      <c r="A887" s="504"/>
      <c r="B887" s="504"/>
      <c r="C887" s="504"/>
      <c r="D887" s="504"/>
      <c r="E887" s="506"/>
      <c r="F887" s="506"/>
      <c r="G887" s="506"/>
      <c r="H887" s="506"/>
      <c r="I887" s="506"/>
      <c r="J887" s="506"/>
      <c r="K887" s="507"/>
      <c r="L887" s="508"/>
      <c r="M887" s="508"/>
      <c r="N887" s="508"/>
      <c r="O887" s="509"/>
      <c r="P887" s="509"/>
    </row>
    <row r="888" spans="1:16" ht="21.75" customHeight="1" x14ac:dyDescent="0.3">
      <c r="A888" s="504"/>
      <c r="B888" s="504"/>
      <c r="C888" s="504"/>
      <c r="D888" s="504"/>
      <c r="E888" s="506"/>
      <c r="F888" s="506"/>
      <c r="G888" s="506"/>
      <c r="H888" s="506"/>
      <c r="I888" s="506"/>
      <c r="J888" s="506"/>
      <c r="K888" s="507"/>
      <c r="L888" s="508"/>
      <c r="M888" s="508"/>
      <c r="N888" s="508"/>
      <c r="O888" s="509"/>
      <c r="P888" s="509"/>
    </row>
    <row r="889" spans="1:16" ht="21.75" customHeight="1" x14ac:dyDescent="0.3">
      <c r="A889" s="504"/>
      <c r="B889" s="504"/>
      <c r="C889" s="504"/>
      <c r="D889" s="504"/>
      <c r="E889" s="506"/>
      <c r="F889" s="506"/>
      <c r="G889" s="506"/>
      <c r="H889" s="506"/>
      <c r="I889" s="506"/>
      <c r="J889" s="506"/>
      <c r="K889" s="507"/>
      <c r="L889" s="508"/>
      <c r="M889" s="508"/>
      <c r="N889" s="508"/>
      <c r="O889" s="509"/>
      <c r="P889" s="509"/>
    </row>
    <row r="890" spans="1:16" ht="21.75" customHeight="1" x14ac:dyDescent="0.3">
      <c r="A890" s="504"/>
      <c r="B890" s="504"/>
      <c r="C890" s="504"/>
      <c r="D890" s="504"/>
      <c r="E890" s="506"/>
      <c r="F890" s="506"/>
      <c r="G890" s="506"/>
      <c r="H890" s="506"/>
      <c r="I890" s="506"/>
      <c r="J890" s="506"/>
      <c r="K890" s="507"/>
      <c r="L890" s="508"/>
      <c r="M890" s="508"/>
      <c r="N890" s="508"/>
      <c r="O890" s="509"/>
      <c r="P890" s="509"/>
    </row>
    <row r="891" spans="1:16" ht="21.75" customHeight="1" x14ac:dyDescent="0.3">
      <c r="A891" s="504"/>
      <c r="B891" s="504"/>
      <c r="C891" s="504"/>
      <c r="D891" s="504"/>
      <c r="E891" s="506"/>
      <c r="F891" s="506"/>
      <c r="G891" s="506"/>
      <c r="H891" s="506"/>
      <c r="I891" s="506"/>
      <c r="J891" s="506"/>
      <c r="K891" s="507"/>
      <c r="L891" s="508"/>
      <c r="M891" s="508"/>
      <c r="N891" s="508"/>
      <c r="O891" s="509"/>
      <c r="P891" s="509"/>
    </row>
    <row r="892" spans="1:16" ht="21.75" customHeight="1" x14ac:dyDescent="0.3">
      <c r="A892" s="504"/>
      <c r="B892" s="504"/>
      <c r="C892" s="504"/>
      <c r="D892" s="504"/>
      <c r="E892" s="506"/>
      <c r="F892" s="506"/>
      <c r="G892" s="506"/>
      <c r="H892" s="506"/>
      <c r="I892" s="506"/>
      <c r="J892" s="506"/>
      <c r="K892" s="507"/>
      <c r="L892" s="508"/>
      <c r="M892" s="508"/>
      <c r="N892" s="508"/>
      <c r="O892" s="509"/>
      <c r="P892" s="509"/>
    </row>
    <row r="893" spans="1:16" ht="21.75" customHeight="1" x14ac:dyDescent="0.3">
      <c r="A893" s="504"/>
      <c r="B893" s="504"/>
      <c r="C893" s="504"/>
      <c r="D893" s="504"/>
      <c r="E893" s="506"/>
      <c r="F893" s="506"/>
      <c r="G893" s="506"/>
      <c r="H893" s="506"/>
      <c r="I893" s="506"/>
      <c r="J893" s="506"/>
      <c r="K893" s="507"/>
      <c r="L893" s="508"/>
      <c r="M893" s="508"/>
      <c r="N893" s="508"/>
      <c r="O893" s="509"/>
      <c r="P893" s="509"/>
    </row>
    <row r="894" spans="1:16" ht="21.75" customHeight="1" x14ac:dyDescent="0.3">
      <c r="A894" s="504"/>
      <c r="B894" s="504"/>
      <c r="C894" s="504"/>
      <c r="D894" s="504"/>
      <c r="E894" s="506"/>
      <c r="F894" s="506"/>
      <c r="G894" s="506"/>
      <c r="H894" s="506"/>
      <c r="I894" s="506"/>
      <c r="J894" s="506"/>
      <c r="K894" s="507"/>
      <c r="L894" s="508"/>
      <c r="M894" s="508"/>
      <c r="N894" s="508"/>
      <c r="O894" s="509"/>
      <c r="P894" s="509"/>
    </row>
    <row r="895" spans="1:16" ht="21.75" customHeight="1" x14ac:dyDescent="0.3">
      <c r="A895" s="504"/>
      <c r="B895" s="504"/>
      <c r="C895" s="504"/>
      <c r="D895" s="504"/>
      <c r="E895" s="506"/>
      <c r="F895" s="506"/>
      <c r="G895" s="506"/>
      <c r="H895" s="506"/>
      <c r="I895" s="506"/>
      <c r="J895" s="506"/>
      <c r="K895" s="507"/>
      <c r="L895" s="508"/>
      <c r="M895" s="508"/>
      <c r="N895" s="508"/>
      <c r="O895" s="509"/>
      <c r="P895" s="509"/>
    </row>
    <row r="896" spans="1:16" ht="21.75" customHeight="1" x14ac:dyDescent="0.3">
      <c r="A896" s="504"/>
      <c r="B896" s="504"/>
      <c r="C896" s="504"/>
      <c r="D896" s="504"/>
      <c r="E896" s="506"/>
      <c r="F896" s="506"/>
      <c r="G896" s="506"/>
      <c r="H896" s="506"/>
      <c r="I896" s="506"/>
      <c r="J896" s="506"/>
      <c r="K896" s="507"/>
      <c r="L896" s="508"/>
      <c r="M896" s="508"/>
      <c r="N896" s="508"/>
      <c r="O896" s="509"/>
      <c r="P896" s="509"/>
    </row>
    <row r="897" spans="1:16" ht="21.75" customHeight="1" x14ac:dyDescent="0.3">
      <c r="A897" s="504"/>
      <c r="B897" s="504"/>
      <c r="C897" s="504"/>
      <c r="D897" s="504"/>
      <c r="E897" s="506"/>
      <c r="F897" s="506"/>
      <c r="G897" s="506"/>
      <c r="H897" s="506"/>
      <c r="I897" s="506"/>
      <c r="J897" s="506"/>
      <c r="K897" s="507"/>
      <c r="L897" s="508"/>
      <c r="M897" s="508"/>
      <c r="N897" s="508"/>
      <c r="O897" s="509"/>
      <c r="P897" s="509"/>
    </row>
    <row r="898" spans="1:16" ht="21.75" customHeight="1" x14ac:dyDescent="0.3">
      <c r="A898" s="504"/>
      <c r="B898" s="504"/>
      <c r="C898" s="504"/>
      <c r="D898" s="504"/>
      <c r="E898" s="506"/>
      <c r="F898" s="506"/>
      <c r="G898" s="506"/>
      <c r="H898" s="506"/>
      <c r="I898" s="506"/>
      <c r="J898" s="506"/>
      <c r="K898" s="507"/>
      <c r="L898" s="508"/>
      <c r="M898" s="508"/>
      <c r="N898" s="508"/>
      <c r="O898" s="509"/>
      <c r="P898" s="509"/>
    </row>
    <row r="899" spans="1:16" ht="21.75" customHeight="1" x14ac:dyDescent="0.3">
      <c r="A899" s="504"/>
      <c r="B899" s="504"/>
      <c r="C899" s="504"/>
      <c r="D899" s="504"/>
      <c r="E899" s="506"/>
      <c r="F899" s="506"/>
      <c r="G899" s="506"/>
      <c r="H899" s="506"/>
      <c r="I899" s="506"/>
      <c r="J899" s="506"/>
      <c r="K899" s="507"/>
      <c r="L899" s="508"/>
      <c r="M899" s="508"/>
      <c r="N899" s="508"/>
      <c r="O899" s="509"/>
      <c r="P899" s="509"/>
    </row>
    <row r="900" spans="1:16" ht="21.75" customHeight="1" x14ac:dyDescent="0.3">
      <c r="A900" s="504"/>
      <c r="B900" s="504"/>
      <c r="C900" s="504"/>
      <c r="D900" s="504"/>
      <c r="E900" s="506"/>
      <c r="F900" s="506"/>
      <c r="G900" s="506"/>
      <c r="H900" s="506"/>
      <c r="I900" s="506"/>
      <c r="J900" s="506"/>
      <c r="K900" s="507"/>
      <c r="L900" s="508"/>
      <c r="M900" s="508"/>
      <c r="N900" s="508"/>
      <c r="O900" s="509"/>
      <c r="P900" s="509"/>
    </row>
    <row r="901" spans="1:16" ht="21.75" customHeight="1" x14ac:dyDescent="0.3">
      <c r="A901" s="504"/>
      <c r="B901" s="504"/>
      <c r="C901" s="504"/>
      <c r="D901" s="504"/>
      <c r="E901" s="506"/>
      <c r="F901" s="506"/>
      <c r="G901" s="506"/>
      <c r="H901" s="506"/>
      <c r="I901" s="506"/>
      <c r="J901" s="506"/>
      <c r="K901" s="507"/>
      <c r="L901" s="508"/>
      <c r="M901" s="508"/>
      <c r="N901" s="508"/>
      <c r="O901" s="509"/>
      <c r="P901" s="509"/>
    </row>
    <row r="902" spans="1:16" ht="21.75" customHeight="1" x14ac:dyDescent="0.3">
      <c r="A902" s="504"/>
      <c r="B902" s="504"/>
      <c r="C902" s="504"/>
      <c r="D902" s="504"/>
      <c r="E902" s="506"/>
      <c r="F902" s="506"/>
      <c r="G902" s="506"/>
      <c r="H902" s="506"/>
      <c r="I902" s="506"/>
      <c r="J902" s="506"/>
      <c r="K902" s="507"/>
      <c r="L902" s="508"/>
      <c r="M902" s="508"/>
      <c r="N902" s="508"/>
      <c r="O902" s="509"/>
      <c r="P902" s="509"/>
    </row>
    <row r="903" spans="1:16" ht="21.75" customHeight="1" x14ac:dyDescent="0.3">
      <c r="A903" s="504"/>
      <c r="B903" s="504"/>
      <c r="C903" s="504"/>
      <c r="D903" s="504"/>
      <c r="E903" s="506"/>
      <c r="F903" s="506"/>
      <c r="G903" s="506"/>
      <c r="H903" s="506"/>
      <c r="I903" s="506"/>
      <c r="J903" s="506"/>
      <c r="K903" s="507"/>
      <c r="L903" s="508"/>
      <c r="M903" s="508"/>
      <c r="N903" s="508"/>
      <c r="O903" s="509"/>
      <c r="P903" s="509"/>
    </row>
    <row r="904" spans="1:16" ht="21.75" customHeight="1" x14ac:dyDescent="0.3">
      <c r="A904" s="504"/>
      <c r="B904" s="504"/>
      <c r="C904" s="504"/>
      <c r="D904" s="504"/>
      <c r="E904" s="506"/>
      <c r="F904" s="506"/>
      <c r="G904" s="506"/>
      <c r="H904" s="506"/>
      <c r="I904" s="506"/>
      <c r="J904" s="506"/>
      <c r="K904" s="507"/>
      <c r="L904" s="508"/>
      <c r="M904" s="508"/>
      <c r="N904" s="508"/>
      <c r="O904" s="509"/>
      <c r="P904" s="509"/>
    </row>
    <row r="905" spans="1:16" ht="21.75" customHeight="1" x14ac:dyDescent="0.3">
      <c r="A905" s="504"/>
      <c r="B905" s="504"/>
      <c r="C905" s="504"/>
      <c r="D905" s="504"/>
      <c r="E905" s="506"/>
      <c r="F905" s="506"/>
      <c r="G905" s="506"/>
      <c r="H905" s="506"/>
      <c r="I905" s="506"/>
      <c r="J905" s="506"/>
      <c r="K905" s="507"/>
      <c r="L905" s="508"/>
      <c r="M905" s="508"/>
      <c r="N905" s="508"/>
      <c r="O905" s="509"/>
      <c r="P905" s="509"/>
    </row>
    <row r="906" spans="1:16" ht="21.75" customHeight="1" x14ac:dyDescent="0.3">
      <c r="A906" s="504"/>
      <c r="B906" s="504"/>
      <c r="C906" s="504"/>
      <c r="D906" s="504"/>
      <c r="E906" s="506"/>
      <c r="F906" s="506"/>
      <c r="G906" s="506"/>
      <c r="H906" s="506"/>
      <c r="I906" s="506"/>
      <c r="J906" s="506"/>
      <c r="K906" s="507"/>
      <c r="L906" s="508"/>
      <c r="M906" s="508"/>
      <c r="N906" s="508"/>
      <c r="O906" s="509"/>
      <c r="P906" s="509"/>
    </row>
    <row r="907" spans="1:16" ht="21.75" customHeight="1" x14ac:dyDescent="0.3">
      <c r="A907" s="504"/>
      <c r="B907" s="504"/>
      <c r="C907" s="504"/>
      <c r="D907" s="504"/>
      <c r="E907" s="506"/>
      <c r="F907" s="506"/>
      <c r="G907" s="506"/>
      <c r="H907" s="506"/>
      <c r="I907" s="506"/>
      <c r="J907" s="506"/>
      <c r="K907" s="507"/>
      <c r="L907" s="508"/>
      <c r="M907" s="508"/>
      <c r="N907" s="508"/>
      <c r="O907" s="509"/>
      <c r="P907" s="509"/>
    </row>
    <row r="908" spans="1:16" ht="21.75" customHeight="1" x14ac:dyDescent="0.3">
      <c r="A908" s="504"/>
      <c r="B908" s="504"/>
      <c r="C908" s="504"/>
      <c r="D908" s="504"/>
      <c r="E908" s="506"/>
      <c r="F908" s="506"/>
      <c r="G908" s="506"/>
      <c r="H908" s="506"/>
      <c r="I908" s="506"/>
      <c r="J908" s="506"/>
      <c r="K908" s="507"/>
      <c r="L908" s="508"/>
      <c r="M908" s="508"/>
      <c r="N908" s="508"/>
      <c r="O908" s="509"/>
      <c r="P908" s="509"/>
    </row>
    <row r="909" spans="1:16" ht="21.75" customHeight="1" x14ac:dyDescent="0.3">
      <c r="A909" s="504"/>
      <c r="B909" s="504"/>
      <c r="C909" s="504"/>
      <c r="D909" s="504"/>
      <c r="E909" s="506"/>
      <c r="F909" s="506"/>
      <c r="G909" s="506"/>
      <c r="H909" s="506"/>
      <c r="I909" s="506"/>
      <c r="J909" s="506"/>
      <c r="K909" s="507"/>
      <c r="L909" s="508"/>
      <c r="M909" s="508"/>
      <c r="N909" s="508"/>
      <c r="O909" s="509"/>
      <c r="P909" s="509"/>
    </row>
    <row r="910" spans="1:16" ht="21.75" customHeight="1" x14ac:dyDescent="0.3">
      <c r="A910" s="504"/>
      <c r="B910" s="504"/>
      <c r="C910" s="504"/>
      <c r="D910" s="504"/>
      <c r="E910" s="506"/>
      <c r="F910" s="506"/>
      <c r="G910" s="506"/>
      <c r="H910" s="506"/>
      <c r="I910" s="506"/>
      <c r="J910" s="506"/>
      <c r="K910" s="507"/>
      <c r="L910" s="508"/>
      <c r="M910" s="508"/>
      <c r="N910" s="508"/>
      <c r="O910" s="509"/>
      <c r="P910" s="509"/>
    </row>
    <row r="911" spans="1:16" ht="21.75" customHeight="1" x14ac:dyDescent="0.3">
      <c r="A911" s="504"/>
      <c r="B911" s="504"/>
      <c r="C911" s="504"/>
      <c r="D911" s="504"/>
      <c r="E911" s="506"/>
      <c r="F911" s="506"/>
      <c r="G911" s="506"/>
      <c r="H911" s="506"/>
      <c r="I911" s="506"/>
      <c r="J911" s="506"/>
      <c r="K911" s="507"/>
      <c r="L911" s="508"/>
      <c r="M911" s="508"/>
      <c r="N911" s="508"/>
      <c r="O911" s="509"/>
      <c r="P911" s="509"/>
    </row>
    <row r="912" spans="1:16" ht="21.75" customHeight="1" x14ac:dyDescent="0.3">
      <c r="A912" s="504"/>
      <c r="B912" s="504"/>
      <c r="C912" s="504"/>
      <c r="D912" s="504"/>
      <c r="E912" s="506"/>
      <c r="F912" s="506"/>
      <c r="G912" s="506"/>
      <c r="H912" s="506"/>
      <c r="I912" s="506"/>
      <c r="J912" s="506"/>
      <c r="K912" s="507"/>
      <c r="L912" s="508"/>
      <c r="M912" s="508"/>
      <c r="N912" s="508"/>
      <c r="O912" s="509"/>
      <c r="P912" s="509"/>
    </row>
    <row r="913" spans="1:16" ht="21.75" customHeight="1" x14ac:dyDescent="0.3">
      <c r="A913" s="504"/>
      <c r="B913" s="504"/>
      <c r="C913" s="504"/>
      <c r="D913" s="504"/>
      <c r="E913" s="506"/>
      <c r="F913" s="506"/>
      <c r="G913" s="506"/>
      <c r="H913" s="506"/>
      <c r="I913" s="506"/>
      <c r="J913" s="506"/>
      <c r="K913" s="507"/>
      <c r="L913" s="508"/>
      <c r="M913" s="508"/>
      <c r="N913" s="508"/>
      <c r="O913" s="509"/>
      <c r="P913" s="509"/>
    </row>
    <row r="914" spans="1:16" ht="21.75" customHeight="1" x14ac:dyDescent="0.3">
      <c r="A914" s="504"/>
      <c r="B914" s="504"/>
      <c r="C914" s="504"/>
      <c r="D914" s="504"/>
      <c r="E914" s="506"/>
      <c r="F914" s="506"/>
      <c r="G914" s="506"/>
      <c r="H914" s="506"/>
      <c r="I914" s="506"/>
      <c r="J914" s="506"/>
      <c r="K914" s="507"/>
      <c r="L914" s="508"/>
      <c r="M914" s="508"/>
      <c r="N914" s="508"/>
      <c r="O914" s="509"/>
      <c r="P914" s="509"/>
    </row>
    <row r="915" spans="1:16" ht="21.75" customHeight="1" x14ac:dyDescent="0.3">
      <c r="A915" s="504"/>
      <c r="B915" s="504"/>
      <c r="C915" s="504"/>
      <c r="D915" s="504"/>
      <c r="E915" s="506"/>
      <c r="F915" s="506"/>
      <c r="G915" s="506"/>
      <c r="H915" s="506"/>
      <c r="I915" s="506"/>
      <c r="J915" s="506"/>
      <c r="K915" s="507"/>
      <c r="L915" s="508"/>
      <c r="M915" s="508"/>
      <c r="N915" s="508"/>
      <c r="O915" s="509"/>
      <c r="P915" s="509"/>
    </row>
    <row r="916" spans="1:16" ht="21.75" customHeight="1" x14ac:dyDescent="0.3">
      <c r="A916" s="504"/>
      <c r="B916" s="504"/>
      <c r="C916" s="504"/>
      <c r="D916" s="504"/>
      <c r="E916" s="506"/>
      <c r="F916" s="506"/>
      <c r="G916" s="506"/>
      <c r="H916" s="506"/>
      <c r="I916" s="506"/>
      <c r="J916" s="506"/>
      <c r="K916" s="507"/>
      <c r="L916" s="508"/>
      <c r="M916" s="508"/>
      <c r="N916" s="508"/>
      <c r="O916" s="509"/>
      <c r="P916" s="509"/>
    </row>
    <row r="917" spans="1:16" ht="21.75" customHeight="1" x14ac:dyDescent="0.3">
      <c r="A917" s="504"/>
      <c r="B917" s="504"/>
      <c r="C917" s="504"/>
      <c r="D917" s="504"/>
      <c r="E917" s="506"/>
      <c r="F917" s="506"/>
      <c r="G917" s="506"/>
      <c r="H917" s="506"/>
      <c r="I917" s="506"/>
      <c r="J917" s="506"/>
      <c r="K917" s="507"/>
      <c r="L917" s="508"/>
      <c r="M917" s="508"/>
      <c r="N917" s="508"/>
      <c r="O917" s="509"/>
      <c r="P917" s="509"/>
    </row>
    <row r="918" spans="1:16" ht="21.75" customHeight="1" x14ac:dyDescent="0.3">
      <c r="A918" s="504"/>
      <c r="B918" s="504"/>
      <c r="C918" s="504"/>
      <c r="D918" s="504"/>
      <c r="E918" s="506"/>
      <c r="F918" s="506"/>
      <c r="G918" s="506"/>
      <c r="H918" s="506"/>
      <c r="I918" s="506"/>
      <c r="J918" s="506"/>
      <c r="K918" s="507"/>
      <c r="L918" s="508"/>
      <c r="M918" s="508"/>
      <c r="N918" s="508"/>
      <c r="O918" s="509"/>
      <c r="P918" s="509"/>
    </row>
    <row r="919" spans="1:16" ht="21.75" customHeight="1" x14ac:dyDescent="0.3">
      <c r="A919" s="504"/>
      <c r="B919" s="504"/>
      <c r="C919" s="504"/>
      <c r="D919" s="504"/>
      <c r="E919" s="506"/>
      <c r="F919" s="506"/>
      <c r="G919" s="506"/>
      <c r="H919" s="506"/>
      <c r="I919" s="506"/>
      <c r="J919" s="506"/>
      <c r="K919" s="507"/>
      <c r="L919" s="508"/>
      <c r="M919" s="508"/>
      <c r="N919" s="508"/>
      <c r="O919" s="509"/>
      <c r="P919" s="509"/>
    </row>
    <row r="920" spans="1:16" ht="21.75" customHeight="1" x14ac:dyDescent="0.3">
      <c r="A920" s="504"/>
      <c r="B920" s="504"/>
      <c r="C920" s="504"/>
      <c r="D920" s="504"/>
      <c r="E920" s="506"/>
      <c r="F920" s="506"/>
      <c r="G920" s="506"/>
      <c r="H920" s="506"/>
      <c r="I920" s="506"/>
      <c r="J920" s="506"/>
      <c r="K920" s="507"/>
      <c r="L920" s="508"/>
      <c r="M920" s="508"/>
      <c r="N920" s="508"/>
      <c r="O920" s="509"/>
      <c r="P920" s="509"/>
    </row>
    <row r="921" spans="1:16" ht="21.75" customHeight="1" x14ac:dyDescent="0.3">
      <c r="A921" s="504"/>
      <c r="B921" s="504"/>
      <c r="C921" s="504"/>
      <c r="D921" s="504"/>
      <c r="E921" s="506"/>
      <c r="F921" s="506"/>
      <c r="G921" s="506"/>
      <c r="H921" s="506"/>
      <c r="I921" s="506"/>
      <c r="J921" s="506"/>
      <c r="K921" s="507"/>
      <c r="L921" s="508"/>
      <c r="M921" s="508"/>
      <c r="N921" s="508"/>
      <c r="O921" s="509"/>
      <c r="P921" s="509"/>
    </row>
    <row r="922" spans="1:16" ht="21.75" customHeight="1" x14ac:dyDescent="0.3">
      <c r="A922" s="504"/>
      <c r="B922" s="504"/>
      <c r="C922" s="504"/>
      <c r="D922" s="504"/>
      <c r="E922" s="506"/>
      <c r="F922" s="506"/>
      <c r="G922" s="506"/>
      <c r="H922" s="506"/>
      <c r="I922" s="506"/>
      <c r="J922" s="506"/>
      <c r="K922" s="507"/>
      <c r="L922" s="508"/>
      <c r="M922" s="508"/>
      <c r="N922" s="508"/>
      <c r="O922" s="509"/>
      <c r="P922" s="509"/>
    </row>
    <row r="923" spans="1:16" ht="21.75" customHeight="1" x14ac:dyDescent="0.3">
      <c r="A923" s="504"/>
      <c r="B923" s="504"/>
      <c r="C923" s="504"/>
      <c r="D923" s="504"/>
      <c r="E923" s="506"/>
      <c r="F923" s="506"/>
      <c r="G923" s="506"/>
      <c r="H923" s="506"/>
      <c r="I923" s="506"/>
      <c r="J923" s="506"/>
      <c r="K923" s="507"/>
      <c r="L923" s="508"/>
      <c r="M923" s="508"/>
      <c r="N923" s="508"/>
      <c r="O923" s="509"/>
      <c r="P923" s="509"/>
    </row>
    <row r="924" spans="1:16" ht="21.75" customHeight="1" x14ac:dyDescent="0.3">
      <c r="A924" s="504"/>
      <c r="B924" s="504"/>
      <c r="C924" s="504"/>
      <c r="D924" s="504"/>
      <c r="E924" s="506"/>
      <c r="F924" s="506"/>
      <c r="G924" s="506"/>
      <c r="H924" s="506"/>
      <c r="I924" s="506"/>
      <c r="J924" s="506"/>
      <c r="K924" s="507"/>
      <c r="L924" s="508"/>
      <c r="M924" s="508"/>
      <c r="N924" s="508"/>
      <c r="O924" s="509"/>
      <c r="P924" s="509"/>
    </row>
    <row r="925" spans="1:16" ht="21.75" customHeight="1" x14ac:dyDescent="0.3">
      <c r="A925" s="504"/>
      <c r="B925" s="504"/>
      <c r="C925" s="504"/>
      <c r="D925" s="504"/>
      <c r="E925" s="506"/>
      <c r="F925" s="506"/>
      <c r="G925" s="506"/>
      <c r="H925" s="506"/>
      <c r="I925" s="506"/>
      <c r="J925" s="506"/>
      <c r="K925" s="507"/>
      <c r="L925" s="508"/>
      <c r="M925" s="508"/>
      <c r="N925" s="508"/>
      <c r="O925" s="509"/>
      <c r="P925" s="509"/>
    </row>
    <row r="926" spans="1:16" ht="21.75" customHeight="1" x14ac:dyDescent="0.3">
      <c r="A926" s="504"/>
      <c r="B926" s="504"/>
      <c r="C926" s="504"/>
      <c r="D926" s="504"/>
      <c r="E926" s="506"/>
      <c r="F926" s="506"/>
      <c r="G926" s="506"/>
      <c r="H926" s="506"/>
      <c r="I926" s="506"/>
      <c r="J926" s="506"/>
      <c r="K926" s="507"/>
      <c r="L926" s="508"/>
      <c r="M926" s="508"/>
      <c r="N926" s="508"/>
      <c r="O926" s="509"/>
      <c r="P926" s="509"/>
    </row>
    <row r="927" spans="1:16" ht="21.75" customHeight="1" x14ac:dyDescent="0.3">
      <c r="A927" s="504"/>
      <c r="B927" s="504"/>
      <c r="C927" s="504"/>
      <c r="D927" s="504"/>
      <c r="E927" s="506"/>
      <c r="F927" s="506"/>
      <c r="G927" s="506"/>
      <c r="H927" s="506"/>
      <c r="I927" s="506"/>
      <c r="J927" s="506"/>
      <c r="K927" s="507"/>
      <c r="L927" s="508"/>
      <c r="M927" s="508"/>
      <c r="N927" s="508"/>
      <c r="O927" s="509"/>
      <c r="P927" s="509"/>
    </row>
    <row r="928" spans="1:16" ht="21.75" customHeight="1" x14ac:dyDescent="0.3">
      <c r="A928" s="504"/>
      <c r="B928" s="504"/>
      <c r="C928" s="504"/>
      <c r="D928" s="504"/>
      <c r="E928" s="506"/>
      <c r="F928" s="506"/>
      <c r="G928" s="506"/>
      <c r="H928" s="506"/>
      <c r="I928" s="506"/>
      <c r="J928" s="506"/>
      <c r="K928" s="507"/>
      <c r="L928" s="508"/>
      <c r="M928" s="508"/>
      <c r="N928" s="508"/>
      <c r="O928" s="509"/>
      <c r="P928" s="509"/>
    </row>
    <row r="929" spans="1:16" ht="21.75" customHeight="1" x14ac:dyDescent="0.3">
      <c r="A929" s="504"/>
      <c r="B929" s="504"/>
      <c r="C929" s="504"/>
      <c r="D929" s="504"/>
      <c r="E929" s="506"/>
      <c r="F929" s="506"/>
      <c r="G929" s="506"/>
      <c r="H929" s="506"/>
      <c r="I929" s="506"/>
      <c r="J929" s="506"/>
      <c r="K929" s="507"/>
      <c r="L929" s="508"/>
      <c r="M929" s="508"/>
      <c r="N929" s="508"/>
      <c r="O929" s="509"/>
      <c r="P929" s="509"/>
    </row>
    <row r="930" spans="1:16" ht="21.75" customHeight="1" x14ac:dyDescent="0.3">
      <c r="A930" s="504"/>
      <c r="B930" s="504"/>
      <c r="C930" s="504"/>
      <c r="D930" s="504"/>
      <c r="E930" s="506"/>
      <c r="F930" s="506"/>
      <c r="G930" s="506"/>
      <c r="H930" s="506"/>
      <c r="I930" s="506"/>
      <c r="J930" s="506"/>
      <c r="K930" s="507"/>
      <c r="L930" s="508"/>
      <c r="M930" s="508"/>
      <c r="N930" s="508"/>
      <c r="O930" s="509"/>
      <c r="P930" s="509"/>
    </row>
    <row r="931" spans="1:16" ht="21.75" customHeight="1" x14ac:dyDescent="0.3">
      <c r="A931" s="504"/>
      <c r="B931" s="504"/>
      <c r="C931" s="504"/>
      <c r="D931" s="504"/>
      <c r="E931" s="506"/>
      <c r="F931" s="506"/>
      <c r="G931" s="506"/>
      <c r="H931" s="506"/>
      <c r="I931" s="506"/>
      <c r="J931" s="506"/>
      <c r="K931" s="507"/>
      <c r="L931" s="508"/>
      <c r="M931" s="508"/>
      <c r="N931" s="508"/>
      <c r="O931" s="509"/>
      <c r="P931" s="509"/>
    </row>
    <row r="932" spans="1:16" ht="21.75" customHeight="1" x14ac:dyDescent="0.3">
      <c r="A932" s="504"/>
      <c r="B932" s="504"/>
      <c r="C932" s="504"/>
      <c r="D932" s="504"/>
      <c r="E932" s="506"/>
      <c r="F932" s="506"/>
      <c r="G932" s="506"/>
      <c r="H932" s="506"/>
      <c r="I932" s="506"/>
      <c r="J932" s="506"/>
      <c r="K932" s="507"/>
      <c r="L932" s="508"/>
      <c r="M932" s="508"/>
      <c r="N932" s="508"/>
      <c r="O932" s="509"/>
      <c r="P932" s="509"/>
    </row>
    <row r="933" spans="1:16" ht="21.75" customHeight="1" x14ac:dyDescent="0.3">
      <c r="A933" s="504"/>
      <c r="B933" s="504"/>
      <c r="C933" s="504"/>
      <c r="D933" s="504"/>
      <c r="E933" s="506"/>
      <c r="F933" s="506"/>
      <c r="G933" s="506"/>
      <c r="H933" s="506"/>
      <c r="I933" s="506"/>
      <c r="J933" s="506"/>
      <c r="K933" s="507"/>
      <c r="L933" s="508"/>
      <c r="M933" s="508"/>
      <c r="N933" s="508"/>
      <c r="O933" s="509"/>
      <c r="P933" s="509"/>
    </row>
    <row r="934" spans="1:16" ht="21.75" customHeight="1" x14ac:dyDescent="0.3">
      <c r="A934" s="504"/>
      <c r="B934" s="504"/>
      <c r="C934" s="504"/>
      <c r="D934" s="504"/>
      <c r="E934" s="506"/>
      <c r="F934" s="506"/>
      <c r="G934" s="506"/>
      <c r="H934" s="506"/>
      <c r="I934" s="506"/>
      <c r="J934" s="506"/>
      <c r="K934" s="507"/>
      <c r="L934" s="508"/>
      <c r="M934" s="508"/>
      <c r="N934" s="508"/>
      <c r="O934" s="509"/>
      <c r="P934" s="509"/>
    </row>
    <row r="935" spans="1:16" ht="21.75" customHeight="1" x14ac:dyDescent="0.3">
      <c r="A935" s="504"/>
      <c r="B935" s="504"/>
      <c r="C935" s="504"/>
      <c r="D935" s="504"/>
      <c r="E935" s="506"/>
      <c r="F935" s="506"/>
      <c r="G935" s="506"/>
      <c r="H935" s="506"/>
      <c r="I935" s="506"/>
      <c r="J935" s="506"/>
      <c r="K935" s="507"/>
      <c r="L935" s="508"/>
      <c r="M935" s="508"/>
      <c r="N935" s="508"/>
      <c r="O935" s="509"/>
      <c r="P935" s="509"/>
    </row>
    <row r="936" spans="1:16" ht="21.75" customHeight="1" x14ac:dyDescent="0.3">
      <c r="A936" s="504"/>
      <c r="B936" s="504"/>
      <c r="C936" s="504"/>
      <c r="D936" s="504"/>
      <c r="E936" s="506"/>
      <c r="F936" s="506"/>
      <c r="G936" s="506"/>
      <c r="H936" s="506"/>
      <c r="I936" s="506"/>
      <c r="J936" s="506"/>
      <c r="K936" s="507"/>
      <c r="L936" s="508"/>
      <c r="M936" s="508"/>
      <c r="N936" s="508"/>
      <c r="O936" s="509"/>
      <c r="P936" s="509"/>
    </row>
    <row r="937" spans="1:16" ht="21.75" customHeight="1" x14ac:dyDescent="0.3">
      <c r="A937" s="504"/>
      <c r="B937" s="504"/>
      <c r="C937" s="504"/>
      <c r="D937" s="504"/>
      <c r="E937" s="506"/>
      <c r="F937" s="506"/>
      <c r="G937" s="506"/>
      <c r="H937" s="506"/>
      <c r="I937" s="506"/>
      <c r="J937" s="506"/>
      <c r="K937" s="507"/>
      <c r="L937" s="508"/>
      <c r="M937" s="508"/>
      <c r="N937" s="508"/>
      <c r="O937" s="509"/>
      <c r="P937" s="509"/>
    </row>
    <row r="938" spans="1:16" ht="21.75" customHeight="1" x14ac:dyDescent="0.3">
      <c r="A938" s="504"/>
      <c r="B938" s="504"/>
      <c r="C938" s="504"/>
      <c r="D938" s="504"/>
      <c r="E938" s="506"/>
      <c r="F938" s="506"/>
      <c r="G938" s="506"/>
      <c r="H938" s="506"/>
      <c r="I938" s="506"/>
      <c r="J938" s="506"/>
      <c r="K938" s="507"/>
      <c r="L938" s="508"/>
      <c r="M938" s="508"/>
      <c r="N938" s="508"/>
      <c r="O938" s="509"/>
      <c r="P938" s="509"/>
    </row>
    <row r="939" spans="1:16" ht="21.75" customHeight="1" x14ac:dyDescent="0.3">
      <c r="A939" s="504"/>
      <c r="B939" s="504"/>
      <c r="C939" s="504"/>
      <c r="D939" s="504"/>
      <c r="E939" s="506"/>
      <c r="F939" s="506"/>
      <c r="G939" s="506"/>
      <c r="H939" s="506"/>
      <c r="I939" s="506"/>
      <c r="J939" s="506"/>
      <c r="K939" s="507"/>
      <c r="L939" s="508"/>
      <c r="M939" s="508"/>
      <c r="N939" s="508"/>
      <c r="O939" s="509"/>
      <c r="P939" s="509"/>
    </row>
    <row r="940" spans="1:16" ht="21.75" customHeight="1" x14ac:dyDescent="0.3">
      <c r="A940" s="504"/>
      <c r="B940" s="504"/>
      <c r="C940" s="504"/>
      <c r="D940" s="504"/>
      <c r="E940" s="506"/>
      <c r="F940" s="506"/>
      <c r="G940" s="506"/>
      <c r="H940" s="506"/>
      <c r="I940" s="506"/>
      <c r="J940" s="506"/>
      <c r="K940" s="507"/>
      <c r="L940" s="508"/>
      <c r="M940" s="508"/>
      <c r="N940" s="508"/>
      <c r="O940" s="509"/>
      <c r="P940" s="509"/>
    </row>
    <row r="941" spans="1:16" ht="21.75" customHeight="1" x14ac:dyDescent="0.3">
      <c r="A941" s="504"/>
      <c r="B941" s="504"/>
      <c r="C941" s="504"/>
      <c r="D941" s="504"/>
      <c r="E941" s="506"/>
      <c r="F941" s="506"/>
      <c r="G941" s="506"/>
      <c r="H941" s="506"/>
      <c r="I941" s="506"/>
      <c r="J941" s="506"/>
      <c r="K941" s="507"/>
      <c r="L941" s="508"/>
      <c r="M941" s="508"/>
      <c r="N941" s="508"/>
      <c r="O941" s="509"/>
      <c r="P941" s="509"/>
    </row>
    <row r="942" spans="1:16" ht="21.75" customHeight="1" x14ac:dyDescent="0.3">
      <c r="A942" s="504"/>
      <c r="B942" s="504"/>
      <c r="C942" s="504"/>
      <c r="D942" s="504"/>
      <c r="E942" s="506"/>
      <c r="F942" s="506"/>
      <c r="G942" s="506"/>
      <c r="H942" s="506"/>
      <c r="I942" s="506"/>
      <c r="J942" s="506"/>
      <c r="K942" s="507"/>
      <c r="L942" s="508"/>
      <c r="M942" s="508"/>
      <c r="N942" s="508"/>
      <c r="O942" s="509"/>
      <c r="P942" s="509"/>
    </row>
    <row r="943" spans="1:16" ht="21.75" customHeight="1" x14ac:dyDescent="0.3">
      <c r="A943" s="504"/>
      <c r="B943" s="504"/>
      <c r="C943" s="504"/>
      <c r="D943" s="504"/>
      <c r="E943" s="506"/>
      <c r="F943" s="506"/>
      <c r="G943" s="506"/>
      <c r="H943" s="506"/>
      <c r="I943" s="506"/>
      <c r="J943" s="506"/>
      <c r="K943" s="507"/>
      <c r="L943" s="508"/>
      <c r="M943" s="508"/>
      <c r="N943" s="508"/>
      <c r="O943" s="509"/>
      <c r="P943" s="509"/>
    </row>
    <row r="944" spans="1:16" ht="21.75" customHeight="1" x14ac:dyDescent="0.3">
      <c r="A944" s="504"/>
      <c r="B944" s="504"/>
      <c r="C944" s="504"/>
      <c r="D944" s="504"/>
      <c r="E944" s="506"/>
      <c r="F944" s="506"/>
      <c r="G944" s="506"/>
      <c r="H944" s="506"/>
      <c r="I944" s="506"/>
      <c r="J944" s="506"/>
      <c r="K944" s="507"/>
      <c r="L944" s="508"/>
      <c r="M944" s="508"/>
      <c r="N944" s="508"/>
      <c r="O944" s="509"/>
      <c r="P944" s="509"/>
    </row>
    <row r="945" spans="1:16" ht="21.75" customHeight="1" x14ac:dyDescent="0.3">
      <c r="A945" s="504"/>
      <c r="B945" s="504"/>
      <c r="C945" s="504"/>
      <c r="D945" s="504"/>
      <c r="E945" s="506"/>
      <c r="F945" s="506"/>
      <c r="G945" s="506"/>
      <c r="H945" s="506"/>
      <c r="I945" s="506"/>
      <c r="J945" s="506"/>
      <c r="K945" s="507"/>
      <c r="L945" s="508"/>
      <c r="M945" s="508"/>
      <c r="N945" s="508"/>
      <c r="O945" s="509"/>
      <c r="P945" s="509"/>
    </row>
    <row r="946" spans="1:16" ht="21.75" customHeight="1" x14ac:dyDescent="0.3">
      <c r="A946" s="504"/>
      <c r="B946" s="504"/>
      <c r="C946" s="504"/>
      <c r="D946" s="504"/>
      <c r="E946" s="506"/>
      <c r="F946" s="506"/>
      <c r="G946" s="506"/>
      <c r="H946" s="506"/>
      <c r="I946" s="506"/>
      <c r="J946" s="506"/>
      <c r="K946" s="507"/>
      <c r="L946" s="508"/>
      <c r="M946" s="508"/>
      <c r="N946" s="508"/>
      <c r="O946" s="509"/>
      <c r="P946" s="509"/>
    </row>
    <row r="947" spans="1:16" ht="21.75" customHeight="1" x14ac:dyDescent="0.3">
      <c r="A947" s="504"/>
      <c r="B947" s="504"/>
      <c r="C947" s="504"/>
      <c r="D947" s="504"/>
      <c r="E947" s="506"/>
      <c r="F947" s="506"/>
      <c r="G947" s="506"/>
      <c r="H947" s="506"/>
      <c r="I947" s="506"/>
      <c r="J947" s="506"/>
      <c r="K947" s="507"/>
      <c r="L947" s="508"/>
      <c r="M947" s="508"/>
      <c r="N947" s="508"/>
      <c r="O947" s="509"/>
      <c r="P947" s="509"/>
    </row>
    <row r="948" spans="1:16" ht="21.75" customHeight="1" x14ac:dyDescent="0.3">
      <c r="A948" s="504"/>
      <c r="B948" s="504"/>
      <c r="C948" s="504"/>
      <c r="D948" s="504"/>
      <c r="E948" s="506"/>
      <c r="F948" s="506"/>
      <c r="G948" s="506"/>
      <c r="H948" s="506"/>
      <c r="I948" s="506"/>
      <c r="J948" s="506"/>
      <c r="K948" s="507"/>
      <c r="L948" s="508"/>
      <c r="M948" s="508"/>
      <c r="N948" s="508"/>
      <c r="O948" s="509"/>
      <c r="P948" s="509"/>
    </row>
    <row r="949" spans="1:16" ht="21.75" customHeight="1" x14ac:dyDescent="0.3">
      <c r="A949" s="504"/>
      <c r="B949" s="504"/>
      <c r="C949" s="504"/>
      <c r="D949" s="504"/>
      <c r="E949" s="506"/>
      <c r="F949" s="506"/>
      <c r="G949" s="506"/>
      <c r="H949" s="506"/>
      <c r="I949" s="506"/>
      <c r="J949" s="506"/>
      <c r="K949" s="507"/>
      <c r="L949" s="508"/>
      <c r="M949" s="508"/>
      <c r="N949" s="508"/>
      <c r="O949" s="509"/>
      <c r="P949" s="509"/>
    </row>
    <row r="950" spans="1:16" ht="21.75" customHeight="1" x14ac:dyDescent="0.3">
      <c r="A950" s="504"/>
      <c r="B950" s="504"/>
      <c r="C950" s="504"/>
      <c r="D950" s="504"/>
      <c r="E950" s="506"/>
      <c r="F950" s="506"/>
      <c r="G950" s="506"/>
      <c r="H950" s="506"/>
      <c r="I950" s="506"/>
      <c r="J950" s="506"/>
      <c r="K950" s="507"/>
      <c r="L950" s="508"/>
      <c r="M950" s="508"/>
      <c r="N950" s="508"/>
      <c r="O950" s="509"/>
      <c r="P950" s="509"/>
    </row>
    <row r="951" spans="1:16" ht="21.75" customHeight="1" x14ac:dyDescent="0.3">
      <c r="A951" s="504"/>
      <c r="B951" s="504"/>
      <c r="C951" s="504"/>
      <c r="D951" s="504"/>
      <c r="E951" s="506"/>
      <c r="F951" s="506"/>
      <c r="G951" s="506"/>
      <c r="H951" s="506"/>
      <c r="I951" s="506"/>
      <c r="J951" s="506"/>
      <c r="K951" s="507"/>
      <c r="L951" s="508"/>
      <c r="M951" s="508"/>
      <c r="N951" s="508"/>
      <c r="O951" s="509"/>
      <c r="P951" s="509"/>
    </row>
    <row r="952" spans="1:16" ht="21.75" customHeight="1" x14ac:dyDescent="0.3">
      <c r="A952" s="504"/>
      <c r="B952" s="504"/>
      <c r="C952" s="504"/>
      <c r="D952" s="504"/>
      <c r="E952" s="506"/>
      <c r="F952" s="506"/>
      <c r="G952" s="506"/>
      <c r="H952" s="506"/>
      <c r="I952" s="506"/>
      <c r="J952" s="506"/>
      <c r="K952" s="507"/>
      <c r="L952" s="508"/>
      <c r="M952" s="508"/>
      <c r="N952" s="508"/>
      <c r="O952" s="509"/>
      <c r="P952" s="509"/>
    </row>
    <row r="953" spans="1:16" ht="21.75" customHeight="1" x14ac:dyDescent="0.3">
      <c r="A953" s="504"/>
      <c r="B953" s="504"/>
      <c r="C953" s="504"/>
      <c r="D953" s="504"/>
      <c r="E953" s="506"/>
      <c r="F953" s="506"/>
      <c r="G953" s="506"/>
      <c r="H953" s="506"/>
      <c r="I953" s="506"/>
      <c r="J953" s="506"/>
      <c r="K953" s="507"/>
      <c r="L953" s="508"/>
      <c r="M953" s="508"/>
      <c r="N953" s="508"/>
      <c r="O953" s="509"/>
      <c r="P953" s="509"/>
    </row>
    <row r="954" spans="1:16" ht="21.75" customHeight="1" x14ac:dyDescent="0.3">
      <c r="A954" s="504"/>
      <c r="B954" s="504"/>
      <c r="C954" s="504"/>
      <c r="D954" s="504"/>
      <c r="E954" s="506"/>
      <c r="F954" s="506"/>
      <c r="G954" s="506"/>
      <c r="H954" s="506"/>
      <c r="I954" s="506"/>
      <c r="J954" s="506"/>
      <c r="K954" s="507"/>
      <c r="L954" s="508"/>
      <c r="M954" s="508"/>
      <c r="N954" s="508"/>
      <c r="O954" s="509"/>
      <c r="P954" s="509"/>
    </row>
    <row r="955" spans="1:16" ht="21.75" customHeight="1" x14ac:dyDescent="0.3">
      <c r="A955" s="504"/>
      <c r="B955" s="504"/>
      <c r="C955" s="504"/>
      <c r="D955" s="504"/>
      <c r="E955" s="506"/>
      <c r="F955" s="506"/>
      <c r="G955" s="506"/>
      <c r="H955" s="506"/>
      <c r="I955" s="506"/>
      <c r="J955" s="506"/>
      <c r="K955" s="507"/>
      <c r="L955" s="508"/>
      <c r="M955" s="508"/>
      <c r="N955" s="508"/>
      <c r="O955" s="509"/>
      <c r="P955" s="509"/>
    </row>
    <row r="956" spans="1:16" ht="21.75" customHeight="1" x14ac:dyDescent="0.3">
      <c r="A956" s="504"/>
      <c r="B956" s="504"/>
      <c r="C956" s="504"/>
      <c r="D956" s="504"/>
      <c r="E956" s="506"/>
      <c r="F956" s="506"/>
      <c r="G956" s="506"/>
      <c r="H956" s="506"/>
      <c r="I956" s="506"/>
      <c r="J956" s="506"/>
      <c r="K956" s="507"/>
      <c r="L956" s="508"/>
      <c r="M956" s="508"/>
      <c r="N956" s="508"/>
      <c r="O956" s="509"/>
      <c r="P956" s="509"/>
    </row>
    <row r="957" spans="1:16" ht="21.75" customHeight="1" x14ac:dyDescent="0.3">
      <c r="A957" s="504"/>
      <c r="B957" s="504"/>
      <c r="C957" s="504"/>
      <c r="D957" s="504"/>
      <c r="E957" s="506"/>
      <c r="F957" s="506"/>
      <c r="G957" s="506"/>
      <c r="H957" s="506"/>
      <c r="I957" s="506"/>
      <c r="J957" s="506"/>
      <c r="K957" s="507"/>
      <c r="L957" s="508"/>
      <c r="M957" s="508"/>
      <c r="N957" s="508"/>
      <c r="O957" s="509"/>
      <c r="P957" s="509"/>
    </row>
    <row r="958" spans="1:16" ht="21.75" customHeight="1" x14ac:dyDescent="0.3">
      <c r="A958" s="504"/>
      <c r="B958" s="504"/>
      <c r="C958" s="504"/>
      <c r="D958" s="504"/>
      <c r="E958" s="506"/>
      <c r="F958" s="506"/>
      <c r="G958" s="506"/>
      <c r="H958" s="506"/>
      <c r="I958" s="506"/>
      <c r="J958" s="506"/>
      <c r="K958" s="507"/>
      <c r="L958" s="508"/>
      <c r="M958" s="508"/>
      <c r="N958" s="508"/>
      <c r="O958" s="509"/>
      <c r="P958" s="509"/>
    </row>
    <row r="959" spans="1:16" ht="21.75" customHeight="1" x14ac:dyDescent="0.3">
      <c r="A959" s="504"/>
      <c r="B959" s="504"/>
      <c r="C959" s="504"/>
      <c r="D959" s="504"/>
      <c r="E959" s="506"/>
      <c r="F959" s="506"/>
      <c r="G959" s="506"/>
      <c r="H959" s="506"/>
      <c r="I959" s="506"/>
      <c r="J959" s="506"/>
      <c r="K959" s="507"/>
      <c r="L959" s="508"/>
      <c r="M959" s="508"/>
      <c r="N959" s="508"/>
      <c r="O959" s="509"/>
      <c r="P959" s="509"/>
    </row>
    <row r="960" spans="1:16" ht="21.75" customHeight="1" x14ac:dyDescent="0.3">
      <c r="A960" s="504"/>
      <c r="B960" s="504"/>
      <c r="C960" s="504"/>
      <c r="D960" s="504"/>
      <c r="E960" s="506"/>
      <c r="F960" s="506"/>
      <c r="G960" s="506"/>
      <c r="H960" s="506"/>
      <c r="I960" s="506"/>
      <c r="J960" s="506"/>
      <c r="K960" s="507"/>
      <c r="L960" s="508"/>
      <c r="M960" s="508"/>
      <c r="N960" s="508"/>
      <c r="O960" s="509"/>
      <c r="P960" s="509"/>
    </row>
    <row r="961" spans="1:16" ht="21.75" customHeight="1" x14ac:dyDescent="0.3">
      <c r="A961" s="504"/>
      <c r="B961" s="504"/>
      <c r="C961" s="504"/>
      <c r="D961" s="504"/>
      <c r="E961" s="506"/>
      <c r="F961" s="506"/>
      <c r="G961" s="506"/>
      <c r="H961" s="506"/>
      <c r="I961" s="506"/>
      <c r="J961" s="506"/>
      <c r="K961" s="507"/>
      <c r="L961" s="508"/>
      <c r="M961" s="508"/>
      <c r="N961" s="508"/>
      <c r="O961" s="509"/>
      <c r="P961" s="509"/>
    </row>
    <row r="962" spans="1:16" ht="21.75" customHeight="1" x14ac:dyDescent="0.3">
      <c r="A962" s="504"/>
      <c r="B962" s="504"/>
      <c r="C962" s="504"/>
      <c r="D962" s="504"/>
      <c r="E962" s="506"/>
      <c r="F962" s="506"/>
      <c r="G962" s="506"/>
      <c r="H962" s="506"/>
      <c r="I962" s="506"/>
      <c r="J962" s="506"/>
      <c r="K962" s="507"/>
      <c r="L962" s="508"/>
      <c r="M962" s="508"/>
      <c r="N962" s="508"/>
      <c r="O962" s="509"/>
      <c r="P962" s="509"/>
    </row>
    <row r="963" spans="1:16" ht="21.75" customHeight="1" x14ac:dyDescent="0.3">
      <c r="A963" s="504"/>
      <c r="B963" s="504"/>
      <c r="C963" s="504"/>
      <c r="D963" s="504"/>
      <c r="E963" s="506"/>
      <c r="F963" s="506"/>
      <c r="G963" s="506"/>
      <c r="H963" s="506"/>
      <c r="I963" s="506"/>
      <c r="J963" s="506"/>
      <c r="K963" s="507"/>
      <c r="L963" s="508"/>
      <c r="M963" s="508"/>
      <c r="N963" s="508"/>
      <c r="O963" s="509"/>
      <c r="P963" s="509"/>
    </row>
    <row r="964" spans="1:16" ht="21.75" customHeight="1" x14ac:dyDescent="0.3">
      <c r="A964" s="504"/>
      <c r="B964" s="504"/>
      <c r="C964" s="504"/>
      <c r="D964" s="504"/>
      <c r="E964" s="506"/>
      <c r="F964" s="506"/>
      <c r="G964" s="506"/>
      <c r="H964" s="506"/>
      <c r="I964" s="506"/>
      <c r="J964" s="506"/>
      <c r="K964" s="507"/>
      <c r="L964" s="508"/>
      <c r="M964" s="508"/>
      <c r="N964" s="508"/>
      <c r="O964" s="509"/>
      <c r="P964" s="509"/>
    </row>
    <row r="965" spans="1:16" ht="21.75" customHeight="1" x14ac:dyDescent="0.3">
      <c r="A965" s="504"/>
      <c r="B965" s="504"/>
      <c r="C965" s="504"/>
      <c r="D965" s="504"/>
      <c r="E965" s="506"/>
      <c r="F965" s="506"/>
      <c r="G965" s="506"/>
      <c r="H965" s="506"/>
      <c r="I965" s="506"/>
      <c r="J965" s="506"/>
      <c r="K965" s="507"/>
      <c r="L965" s="508"/>
      <c r="M965" s="508"/>
      <c r="N965" s="508"/>
      <c r="O965" s="509"/>
      <c r="P965" s="509"/>
    </row>
    <row r="966" spans="1:16" ht="21.75" customHeight="1" x14ac:dyDescent="0.3">
      <c r="A966" s="504"/>
      <c r="B966" s="504"/>
      <c r="C966" s="504"/>
      <c r="D966" s="504"/>
      <c r="E966" s="506"/>
      <c r="F966" s="506"/>
      <c r="G966" s="506"/>
      <c r="H966" s="506"/>
      <c r="I966" s="506"/>
      <c r="J966" s="506"/>
      <c r="K966" s="507"/>
      <c r="L966" s="508"/>
      <c r="M966" s="508"/>
      <c r="N966" s="508"/>
      <c r="O966" s="509"/>
      <c r="P966" s="509"/>
    </row>
    <row r="967" spans="1:16" ht="21.75" customHeight="1" x14ac:dyDescent="0.3">
      <c r="A967" s="504"/>
      <c r="B967" s="504"/>
      <c r="C967" s="504"/>
      <c r="D967" s="504"/>
      <c r="E967" s="506"/>
      <c r="F967" s="506"/>
      <c r="G967" s="506"/>
      <c r="H967" s="506"/>
      <c r="I967" s="506"/>
      <c r="J967" s="506"/>
      <c r="K967" s="507"/>
      <c r="L967" s="508"/>
      <c r="M967" s="508"/>
      <c r="N967" s="508"/>
      <c r="O967" s="509"/>
      <c r="P967" s="509"/>
    </row>
    <row r="968" spans="1:16" ht="21.75" customHeight="1" x14ac:dyDescent="0.3">
      <c r="A968" s="504"/>
      <c r="B968" s="504"/>
      <c r="C968" s="504"/>
      <c r="D968" s="504"/>
      <c r="E968" s="506"/>
      <c r="F968" s="506"/>
      <c r="G968" s="506"/>
      <c r="H968" s="506"/>
      <c r="I968" s="506"/>
      <c r="J968" s="506"/>
      <c r="K968" s="507"/>
      <c r="L968" s="508"/>
      <c r="M968" s="508"/>
      <c r="N968" s="508"/>
      <c r="O968" s="509"/>
      <c r="P968" s="509"/>
    </row>
    <row r="969" spans="1:16" ht="21.75" customHeight="1" x14ac:dyDescent="0.3">
      <c r="A969" s="504"/>
      <c r="B969" s="504"/>
      <c r="C969" s="504"/>
      <c r="D969" s="504"/>
      <c r="E969" s="506"/>
      <c r="F969" s="506"/>
      <c r="G969" s="506"/>
      <c r="H969" s="506"/>
      <c r="I969" s="506"/>
      <c r="J969" s="506"/>
      <c r="K969" s="507"/>
      <c r="L969" s="508"/>
      <c r="M969" s="508"/>
      <c r="N969" s="508"/>
      <c r="O969" s="509"/>
      <c r="P969" s="509"/>
    </row>
    <row r="970" spans="1:16" ht="21.75" customHeight="1" x14ac:dyDescent="0.3">
      <c r="A970" s="504"/>
      <c r="B970" s="504"/>
      <c r="C970" s="504"/>
      <c r="D970" s="504"/>
      <c r="E970" s="506"/>
      <c r="F970" s="506"/>
      <c r="G970" s="506"/>
      <c r="H970" s="506"/>
      <c r="I970" s="506"/>
      <c r="J970" s="506"/>
      <c r="K970" s="507"/>
      <c r="L970" s="508"/>
      <c r="M970" s="508"/>
      <c r="N970" s="508"/>
      <c r="O970" s="509"/>
      <c r="P970" s="509"/>
    </row>
    <row r="971" spans="1:16" ht="21.75" customHeight="1" x14ac:dyDescent="0.3">
      <c r="A971" s="504"/>
      <c r="B971" s="504"/>
      <c r="C971" s="504"/>
      <c r="D971" s="504"/>
      <c r="E971" s="506"/>
      <c r="F971" s="506"/>
      <c r="G971" s="506"/>
      <c r="H971" s="506"/>
      <c r="I971" s="506"/>
      <c r="J971" s="506"/>
      <c r="K971" s="507"/>
      <c r="L971" s="508"/>
      <c r="M971" s="508"/>
      <c r="N971" s="508"/>
      <c r="O971" s="509"/>
      <c r="P971" s="509"/>
    </row>
    <row r="972" spans="1:16" ht="21.75" customHeight="1" x14ac:dyDescent="0.3">
      <c r="A972" s="504"/>
      <c r="B972" s="504"/>
      <c r="C972" s="504"/>
      <c r="D972" s="504"/>
      <c r="E972" s="506"/>
      <c r="F972" s="506"/>
      <c r="G972" s="506"/>
      <c r="H972" s="506"/>
      <c r="I972" s="506"/>
      <c r="J972" s="506"/>
      <c r="K972" s="507"/>
      <c r="L972" s="508"/>
      <c r="M972" s="508"/>
      <c r="N972" s="508"/>
      <c r="O972" s="509"/>
      <c r="P972" s="509"/>
    </row>
    <row r="973" spans="1:16" ht="21.75" customHeight="1" x14ac:dyDescent="0.3">
      <c r="A973" s="504"/>
      <c r="B973" s="504"/>
      <c r="C973" s="504"/>
      <c r="D973" s="504"/>
      <c r="E973" s="506"/>
      <c r="F973" s="506"/>
      <c r="G973" s="506"/>
      <c r="H973" s="506"/>
      <c r="I973" s="506"/>
      <c r="J973" s="506"/>
      <c r="K973" s="507"/>
      <c r="L973" s="508"/>
      <c r="M973" s="508"/>
      <c r="N973" s="508"/>
      <c r="O973" s="509"/>
      <c r="P973" s="509"/>
    </row>
    <row r="974" spans="1:16" ht="21.75" customHeight="1" x14ac:dyDescent="0.3">
      <c r="A974" s="504"/>
      <c r="B974" s="504"/>
      <c r="C974" s="504"/>
      <c r="D974" s="504"/>
      <c r="E974" s="506"/>
      <c r="F974" s="506"/>
      <c r="G974" s="506"/>
      <c r="H974" s="506"/>
      <c r="I974" s="506"/>
      <c r="J974" s="506"/>
      <c r="K974" s="507"/>
      <c r="L974" s="508"/>
      <c r="M974" s="508"/>
      <c r="N974" s="508"/>
      <c r="O974" s="509"/>
      <c r="P974" s="509"/>
    </row>
    <row r="975" spans="1:16" ht="21.75" customHeight="1" x14ac:dyDescent="0.3">
      <c r="A975" s="504"/>
      <c r="B975" s="504"/>
      <c r="C975" s="504"/>
      <c r="D975" s="504"/>
      <c r="E975" s="506"/>
      <c r="F975" s="506"/>
      <c r="G975" s="506"/>
      <c r="H975" s="506"/>
      <c r="I975" s="506"/>
      <c r="J975" s="506"/>
      <c r="K975" s="507"/>
      <c r="L975" s="508"/>
      <c r="M975" s="508"/>
      <c r="N975" s="508"/>
      <c r="O975" s="509"/>
      <c r="P975" s="509"/>
    </row>
    <row r="976" spans="1:16" ht="21.75" customHeight="1" x14ac:dyDescent="0.3">
      <c r="A976" s="504"/>
      <c r="B976" s="504"/>
      <c r="C976" s="504"/>
      <c r="D976" s="504"/>
      <c r="E976" s="506"/>
      <c r="F976" s="506"/>
      <c r="G976" s="506"/>
      <c r="H976" s="506"/>
      <c r="I976" s="506"/>
      <c r="J976" s="506"/>
      <c r="K976" s="507"/>
      <c r="L976" s="508"/>
      <c r="M976" s="508"/>
      <c r="N976" s="508"/>
      <c r="O976" s="509"/>
      <c r="P976" s="509"/>
    </row>
    <row r="977" spans="1:16" ht="21.75" customHeight="1" x14ac:dyDescent="0.3">
      <c r="A977" s="504"/>
      <c r="B977" s="504"/>
      <c r="C977" s="504"/>
      <c r="D977" s="504"/>
      <c r="E977" s="506"/>
      <c r="F977" s="506"/>
      <c r="G977" s="506"/>
      <c r="H977" s="506"/>
      <c r="I977" s="506"/>
      <c r="J977" s="506"/>
      <c r="K977" s="507"/>
      <c r="L977" s="508"/>
      <c r="M977" s="508"/>
      <c r="N977" s="508"/>
      <c r="O977" s="509"/>
      <c r="P977" s="509"/>
    </row>
    <row r="978" spans="1:16" ht="21.75" customHeight="1" x14ac:dyDescent="0.3">
      <c r="A978" s="504"/>
      <c r="B978" s="504"/>
      <c r="C978" s="504"/>
      <c r="D978" s="504"/>
      <c r="E978" s="506"/>
      <c r="F978" s="506"/>
      <c r="G978" s="506"/>
      <c r="H978" s="506"/>
      <c r="I978" s="506"/>
      <c r="J978" s="506"/>
      <c r="K978" s="507"/>
      <c r="L978" s="508"/>
      <c r="M978" s="508"/>
      <c r="N978" s="508"/>
      <c r="O978" s="509"/>
      <c r="P978" s="509"/>
    </row>
    <row r="979" spans="1:16" ht="21.75" customHeight="1" x14ac:dyDescent="0.3">
      <c r="A979" s="504"/>
      <c r="B979" s="504"/>
      <c r="C979" s="504"/>
      <c r="D979" s="504"/>
      <c r="E979" s="506"/>
      <c r="F979" s="506"/>
      <c r="G979" s="506"/>
      <c r="H979" s="506"/>
      <c r="I979" s="506"/>
      <c r="J979" s="506"/>
      <c r="K979" s="507"/>
      <c r="L979" s="508"/>
      <c r="M979" s="508"/>
      <c r="N979" s="508"/>
      <c r="O979" s="509"/>
      <c r="P979" s="509"/>
    </row>
    <row r="980" spans="1:16" ht="21.75" customHeight="1" x14ac:dyDescent="0.3">
      <c r="A980" s="504"/>
      <c r="B980" s="504"/>
      <c r="C980" s="504"/>
      <c r="D980" s="504"/>
      <c r="E980" s="506"/>
      <c r="F980" s="506"/>
      <c r="G980" s="506"/>
      <c r="H980" s="506"/>
      <c r="I980" s="506"/>
      <c r="J980" s="506"/>
      <c r="K980" s="507"/>
      <c r="L980" s="508"/>
      <c r="M980" s="508"/>
      <c r="N980" s="508"/>
      <c r="O980" s="509"/>
      <c r="P980" s="509"/>
    </row>
    <row r="981" spans="1:16" ht="21.75" customHeight="1" x14ac:dyDescent="0.3">
      <c r="A981" s="504"/>
      <c r="B981" s="504"/>
      <c r="C981" s="504"/>
      <c r="D981" s="504"/>
      <c r="E981" s="506"/>
      <c r="F981" s="506"/>
      <c r="G981" s="506"/>
      <c r="H981" s="506"/>
      <c r="I981" s="506"/>
      <c r="J981" s="506"/>
      <c r="K981" s="507"/>
      <c r="L981" s="508"/>
      <c r="M981" s="508"/>
      <c r="N981" s="508"/>
      <c r="O981" s="509"/>
      <c r="P981" s="509"/>
    </row>
    <row r="982" spans="1:16" ht="21.75" customHeight="1" x14ac:dyDescent="0.3">
      <c r="A982" s="504"/>
      <c r="B982" s="504"/>
      <c r="C982" s="504"/>
      <c r="D982" s="504"/>
      <c r="E982" s="506"/>
      <c r="F982" s="506"/>
      <c r="G982" s="506"/>
      <c r="H982" s="506"/>
      <c r="I982" s="506"/>
      <c r="J982" s="506"/>
      <c r="K982" s="507"/>
      <c r="L982" s="508"/>
      <c r="M982" s="508"/>
      <c r="N982" s="508"/>
      <c r="O982" s="509"/>
      <c r="P982" s="509"/>
    </row>
    <row r="983" spans="1:16" ht="21.75" customHeight="1" x14ac:dyDescent="0.3">
      <c r="A983" s="504"/>
      <c r="B983" s="504"/>
      <c r="C983" s="504"/>
      <c r="D983" s="504"/>
      <c r="E983" s="506"/>
      <c r="F983" s="506"/>
      <c r="G983" s="506"/>
      <c r="H983" s="506"/>
      <c r="I983" s="506"/>
      <c r="J983" s="506"/>
      <c r="K983" s="507"/>
      <c r="L983" s="508"/>
      <c r="M983" s="508"/>
      <c r="N983" s="508"/>
      <c r="O983" s="509"/>
      <c r="P983" s="509"/>
    </row>
    <row r="984" spans="1:16" ht="21.75" customHeight="1" x14ac:dyDescent="0.3">
      <c r="A984" s="504"/>
      <c r="B984" s="504"/>
      <c r="C984" s="504"/>
      <c r="D984" s="504"/>
      <c r="E984" s="506"/>
      <c r="F984" s="506"/>
      <c r="G984" s="506"/>
      <c r="H984" s="506"/>
      <c r="I984" s="506"/>
      <c r="J984" s="506"/>
      <c r="K984" s="507"/>
      <c r="L984" s="508"/>
      <c r="M984" s="508"/>
      <c r="N984" s="508"/>
      <c r="O984" s="509"/>
      <c r="P984" s="509"/>
    </row>
    <row r="985" spans="1:16" ht="21.75" customHeight="1" x14ac:dyDescent="0.3">
      <c r="A985" s="504"/>
      <c r="B985" s="504"/>
      <c r="C985" s="504"/>
      <c r="D985" s="504"/>
      <c r="E985" s="506"/>
      <c r="F985" s="506"/>
      <c r="G985" s="506"/>
      <c r="H985" s="506"/>
      <c r="I985" s="506"/>
      <c r="J985" s="506"/>
      <c r="K985" s="507"/>
      <c r="L985" s="508"/>
      <c r="M985" s="508"/>
      <c r="N985" s="508"/>
      <c r="O985" s="509"/>
      <c r="P985" s="509"/>
    </row>
    <row r="986" spans="1:16" ht="21.75" customHeight="1" x14ac:dyDescent="0.3">
      <c r="A986" s="504"/>
      <c r="B986" s="504"/>
      <c r="C986" s="504"/>
      <c r="D986" s="504"/>
      <c r="E986" s="506"/>
      <c r="F986" s="506"/>
      <c r="G986" s="506"/>
      <c r="H986" s="506"/>
      <c r="I986" s="506"/>
      <c r="J986" s="506"/>
      <c r="K986" s="507"/>
      <c r="L986" s="508"/>
      <c r="M986" s="508"/>
      <c r="N986" s="508"/>
      <c r="O986" s="509"/>
      <c r="P986" s="509"/>
    </row>
    <row r="987" spans="1:16" ht="21.75" customHeight="1" x14ac:dyDescent="0.3">
      <c r="A987" s="504"/>
      <c r="B987" s="504"/>
      <c r="C987" s="504"/>
      <c r="D987" s="504"/>
      <c r="E987" s="506"/>
      <c r="F987" s="506"/>
      <c r="G987" s="506"/>
      <c r="H987" s="506"/>
      <c r="I987" s="506"/>
      <c r="J987" s="506"/>
      <c r="K987" s="507"/>
      <c r="L987" s="508"/>
      <c r="M987" s="508"/>
      <c r="N987" s="508"/>
      <c r="O987" s="509"/>
      <c r="P987" s="509"/>
    </row>
    <row r="988" spans="1:16" ht="21.75" customHeight="1" x14ac:dyDescent="0.3">
      <c r="A988" s="504"/>
      <c r="B988" s="504"/>
      <c r="C988" s="504"/>
      <c r="D988" s="504"/>
      <c r="E988" s="506"/>
      <c r="F988" s="506"/>
      <c r="G988" s="506"/>
      <c r="H988" s="506"/>
      <c r="I988" s="506"/>
      <c r="J988" s="506"/>
      <c r="K988" s="507"/>
      <c r="L988" s="508"/>
      <c r="M988" s="508"/>
      <c r="N988" s="508"/>
      <c r="O988" s="509"/>
      <c r="P988" s="509"/>
    </row>
    <row r="989" spans="1:16" ht="21.75" customHeight="1" x14ac:dyDescent="0.3">
      <c r="A989" s="504"/>
      <c r="B989" s="504"/>
      <c r="C989" s="504"/>
      <c r="D989" s="504"/>
      <c r="E989" s="506"/>
      <c r="F989" s="506"/>
      <c r="G989" s="506"/>
      <c r="H989" s="506"/>
      <c r="I989" s="506"/>
      <c r="J989" s="506"/>
      <c r="K989" s="507"/>
      <c r="L989" s="508"/>
      <c r="M989" s="508"/>
      <c r="N989" s="508"/>
      <c r="O989" s="509"/>
      <c r="P989" s="509"/>
    </row>
    <row r="990" spans="1:16" ht="21.75" customHeight="1" x14ac:dyDescent="0.3">
      <c r="A990" s="504"/>
      <c r="B990" s="504"/>
      <c r="C990" s="504"/>
      <c r="D990" s="504"/>
      <c r="E990" s="506"/>
      <c r="F990" s="506"/>
      <c r="G990" s="506"/>
      <c r="H990" s="506"/>
      <c r="I990" s="506"/>
      <c r="J990" s="506"/>
      <c r="K990" s="507"/>
      <c r="L990" s="508"/>
      <c r="M990" s="508"/>
      <c r="N990" s="508"/>
      <c r="O990" s="509"/>
      <c r="P990" s="509"/>
    </row>
    <row r="991" spans="1:16" ht="21.75" customHeight="1" x14ac:dyDescent="0.3">
      <c r="A991" s="504"/>
      <c r="B991" s="504"/>
      <c r="C991" s="504"/>
      <c r="D991" s="504"/>
      <c r="E991" s="506"/>
      <c r="F991" s="506"/>
      <c r="G991" s="506"/>
      <c r="H991" s="506"/>
      <c r="I991" s="506"/>
      <c r="J991" s="506"/>
      <c r="K991" s="507"/>
      <c r="L991" s="508"/>
      <c r="M991" s="508"/>
      <c r="N991" s="508"/>
      <c r="O991" s="509"/>
      <c r="P991" s="509"/>
    </row>
    <row r="992" spans="1:16" ht="21.75" customHeight="1" x14ac:dyDescent="0.3">
      <c r="A992" s="504"/>
      <c r="B992" s="504"/>
      <c r="C992" s="504"/>
      <c r="D992" s="504"/>
      <c r="E992" s="506"/>
      <c r="F992" s="506"/>
      <c r="G992" s="506"/>
      <c r="H992" s="506"/>
      <c r="I992" s="506"/>
      <c r="J992" s="506"/>
      <c r="K992" s="507"/>
      <c r="L992" s="508"/>
      <c r="M992" s="508"/>
      <c r="N992" s="508"/>
      <c r="O992" s="509"/>
      <c r="P992" s="509"/>
    </row>
    <row r="993" spans="1:16" ht="21.75" customHeight="1" x14ac:dyDescent="0.3">
      <c r="A993" s="504"/>
      <c r="B993" s="504"/>
      <c r="C993" s="504"/>
      <c r="D993" s="504"/>
      <c r="E993" s="506"/>
      <c r="F993" s="506"/>
      <c r="G993" s="506"/>
      <c r="H993" s="506"/>
      <c r="I993" s="506"/>
      <c r="J993" s="506"/>
      <c r="K993" s="507"/>
      <c r="L993" s="508"/>
      <c r="M993" s="508"/>
      <c r="N993" s="508"/>
      <c r="O993" s="509"/>
      <c r="P993" s="509"/>
    </row>
    <row r="994" spans="1:16" ht="21.75" customHeight="1" x14ac:dyDescent="0.3">
      <c r="A994" s="504"/>
      <c r="B994" s="504"/>
      <c r="C994" s="504"/>
      <c r="D994" s="504"/>
      <c r="E994" s="506"/>
      <c r="F994" s="506"/>
      <c r="G994" s="506"/>
      <c r="H994" s="506"/>
      <c r="I994" s="506"/>
      <c r="J994" s="506"/>
      <c r="K994" s="507"/>
      <c r="L994" s="508"/>
      <c r="M994" s="508"/>
      <c r="N994" s="508"/>
      <c r="O994" s="509"/>
      <c r="P994" s="509"/>
    </row>
    <row r="995" spans="1:16" ht="21.75" customHeight="1" x14ac:dyDescent="0.3">
      <c r="A995" s="504"/>
      <c r="B995" s="504"/>
      <c r="C995" s="504"/>
      <c r="D995" s="504"/>
      <c r="E995" s="506"/>
      <c r="F995" s="506"/>
      <c r="G995" s="506"/>
      <c r="H995" s="506"/>
      <c r="I995" s="506"/>
      <c r="J995" s="506"/>
      <c r="K995" s="507"/>
      <c r="L995" s="508"/>
      <c r="M995" s="508"/>
      <c r="N995" s="508"/>
      <c r="O995" s="509"/>
      <c r="P995" s="509"/>
    </row>
    <row r="996" spans="1:16" ht="21.75" customHeight="1" x14ac:dyDescent="0.3">
      <c r="A996" s="504"/>
      <c r="B996" s="504"/>
      <c r="C996" s="504"/>
      <c r="D996" s="504"/>
      <c r="E996" s="506"/>
      <c r="F996" s="506"/>
      <c r="G996" s="506"/>
      <c r="H996" s="506"/>
      <c r="I996" s="506"/>
      <c r="J996" s="506"/>
      <c r="K996" s="507"/>
      <c r="L996" s="508"/>
      <c r="M996" s="508"/>
      <c r="N996" s="508"/>
      <c r="O996" s="509"/>
      <c r="P996" s="509"/>
    </row>
    <row r="997" spans="1:16" ht="21.75" customHeight="1" x14ac:dyDescent="0.3">
      <c r="A997" s="504"/>
      <c r="B997" s="504"/>
      <c r="C997" s="504"/>
      <c r="D997" s="504"/>
      <c r="E997" s="506"/>
      <c r="F997" s="506"/>
      <c r="G997" s="506"/>
      <c r="H997" s="506"/>
      <c r="I997" s="506"/>
      <c r="J997" s="506"/>
      <c r="K997" s="507"/>
      <c r="L997" s="508"/>
      <c r="M997" s="508"/>
      <c r="N997" s="508"/>
      <c r="O997" s="509"/>
      <c r="P997" s="509"/>
    </row>
    <row r="998" spans="1:16" ht="21.75" customHeight="1" x14ac:dyDescent="0.3">
      <c r="A998" s="504"/>
      <c r="B998" s="504"/>
      <c r="C998" s="504"/>
      <c r="D998" s="504"/>
      <c r="E998" s="506"/>
      <c r="F998" s="506"/>
      <c r="G998" s="506"/>
      <c r="H998" s="506"/>
      <c r="I998" s="506"/>
      <c r="J998" s="506"/>
      <c r="K998" s="507"/>
      <c r="L998" s="508"/>
      <c r="M998" s="508"/>
      <c r="N998" s="508"/>
      <c r="O998" s="509"/>
      <c r="P998" s="509"/>
    </row>
    <row r="999" spans="1:16" ht="21.75" customHeight="1" x14ac:dyDescent="0.3">
      <c r="A999" s="504"/>
      <c r="B999" s="504"/>
      <c r="C999" s="504"/>
      <c r="D999" s="504"/>
      <c r="E999" s="506"/>
      <c r="F999" s="506"/>
      <c r="G999" s="506"/>
      <c r="H999" s="506"/>
      <c r="I999" s="506"/>
      <c r="J999" s="506"/>
      <c r="K999" s="507"/>
      <c r="L999" s="508"/>
      <c r="M999" s="508"/>
      <c r="N999" s="508"/>
      <c r="O999" s="509"/>
      <c r="P999" s="509"/>
    </row>
    <row r="1000" spans="1:16" ht="21.75" customHeight="1" x14ac:dyDescent="0.3">
      <c r="A1000" s="504"/>
      <c r="B1000" s="504"/>
      <c r="C1000" s="504"/>
      <c r="D1000" s="504"/>
      <c r="E1000" s="506"/>
      <c r="F1000" s="506"/>
      <c r="G1000" s="506"/>
      <c r="H1000" s="506"/>
      <c r="I1000" s="506"/>
      <c r="J1000" s="506"/>
      <c r="K1000" s="507"/>
      <c r="L1000" s="508"/>
      <c r="M1000" s="508"/>
      <c r="N1000" s="508"/>
      <c r="O1000" s="509"/>
      <c r="P1000" s="509"/>
    </row>
    <row r="1001" spans="1:16" ht="21.75" customHeight="1" x14ac:dyDescent="0.3">
      <c r="A1001" s="504"/>
      <c r="B1001" s="504"/>
      <c r="C1001" s="504"/>
      <c r="D1001" s="504"/>
      <c r="E1001" s="506"/>
      <c r="F1001" s="506"/>
      <c r="G1001" s="506"/>
      <c r="H1001" s="506"/>
      <c r="I1001" s="506"/>
      <c r="J1001" s="506"/>
      <c r="K1001" s="507"/>
      <c r="L1001" s="508"/>
      <c r="M1001" s="508"/>
      <c r="N1001" s="508"/>
      <c r="O1001" s="509"/>
      <c r="P1001" s="509"/>
    </row>
    <row r="1002" spans="1:16" ht="21.75" customHeight="1" x14ac:dyDescent="0.3">
      <c r="A1002" s="504"/>
      <c r="B1002" s="504"/>
      <c r="C1002" s="504"/>
      <c r="D1002" s="504"/>
      <c r="E1002" s="506"/>
      <c r="F1002" s="506"/>
      <c r="G1002" s="506"/>
      <c r="H1002" s="506"/>
      <c r="I1002" s="506"/>
      <c r="J1002" s="506"/>
      <c r="K1002" s="507"/>
      <c r="L1002" s="508"/>
      <c r="M1002" s="508"/>
      <c r="N1002" s="508"/>
      <c r="O1002" s="509"/>
      <c r="P1002" s="509"/>
    </row>
    <row r="1003" spans="1:16" ht="21.75" customHeight="1" x14ac:dyDescent="0.3">
      <c r="A1003" s="504"/>
      <c r="B1003" s="504"/>
      <c r="C1003" s="504"/>
      <c r="D1003" s="504"/>
      <c r="E1003" s="506"/>
      <c r="F1003" s="506"/>
      <c r="G1003" s="506"/>
      <c r="H1003" s="506"/>
      <c r="I1003" s="506"/>
      <c r="J1003" s="506"/>
      <c r="K1003" s="507"/>
      <c r="L1003" s="508"/>
      <c r="M1003" s="508"/>
      <c r="N1003" s="508"/>
      <c r="O1003" s="509"/>
      <c r="P1003" s="509"/>
    </row>
    <row r="1004" spans="1:16" ht="21.75" customHeight="1" x14ac:dyDescent="0.3">
      <c r="A1004" s="504"/>
      <c r="B1004" s="504"/>
      <c r="C1004" s="504"/>
      <c r="D1004" s="504"/>
      <c r="E1004" s="506"/>
      <c r="F1004" s="506"/>
      <c r="G1004" s="506"/>
      <c r="H1004" s="506"/>
      <c r="I1004" s="506"/>
      <c r="J1004" s="506"/>
      <c r="K1004" s="507"/>
      <c r="L1004" s="508"/>
      <c r="M1004" s="508"/>
      <c r="N1004" s="508"/>
      <c r="O1004" s="509"/>
      <c r="P1004" s="509"/>
    </row>
    <row r="1005" spans="1:16" ht="21.75" customHeight="1" x14ac:dyDescent="0.3">
      <c r="A1005" s="504"/>
      <c r="B1005" s="504"/>
      <c r="C1005" s="504"/>
      <c r="D1005" s="504"/>
      <c r="E1005" s="506"/>
      <c r="F1005" s="506"/>
      <c r="G1005" s="506"/>
      <c r="H1005" s="506"/>
      <c r="I1005" s="506"/>
      <c r="J1005" s="506"/>
      <c r="K1005" s="507"/>
      <c r="L1005" s="508"/>
      <c r="M1005" s="508"/>
      <c r="N1005" s="508"/>
      <c r="O1005" s="509"/>
      <c r="P1005" s="509"/>
    </row>
    <row r="1006" spans="1:16" ht="21.75" customHeight="1" x14ac:dyDescent="0.3">
      <c r="A1006" s="504"/>
      <c r="B1006" s="504"/>
      <c r="C1006" s="504"/>
      <c r="D1006" s="504"/>
      <c r="E1006" s="506"/>
      <c r="F1006" s="506"/>
      <c r="G1006" s="506"/>
      <c r="H1006" s="506"/>
      <c r="I1006" s="506"/>
      <c r="J1006" s="506"/>
      <c r="K1006" s="507"/>
      <c r="L1006" s="508"/>
      <c r="M1006" s="508"/>
      <c r="N1006" s="508"/>
      <c r="O1006" s="509"/>
      <c r="P1006" s="509"/>
    </row>
    <row r="1007" spans="1:16" ht="21.75" customHeight="1" x14ac:dyDescent="0.3">
      <c r="A1007" s="504"/>
      <c r="B1007" s="504"/>
      <c r="C1007" s="504"/>
      <c r="D1007" s="504"/>
      <c r="E1007" s="506"/>
      <c r="F1007" s="506"/>
      <c r="G1007" s="506"/>
      <c r="H1007" s="506"/>
      <c r="I1007" s="506"/>
      <c r="J1007" s="506"/>
      <c r="K1007" s="507"/>
      <c r="L1007" s="508"/>
      <c r="M1007" s="508"/>
      <c r="N1007" s="508"/>
      <c r="O1007" s="509"/>
      <c r="P1007" s="509"/>
    </row>
    <row r="1008" spans="1:16" ht="21.75" customHeight="1" x14ac:dyDescent="0.3">
      <c r="A1008" s="504"/>
      <c r="B1008" s="504"/>
      <c r="C1008" s="504"/>
      <c r="D1008" s="504"/>
      <c r="E1008" s="506"/>
      <c r="F1008" s="506"/>
      <c r="G1008" s="506"/>
      <c r="H1008" s="506"/>
      <c r="I1008" s="506"/>
      <c r="J1008" s="506"/>
      <c r="K1008" s="507"/>
      <c r="L1008" s="508"/>
      <c r="M1008" s="508"/>
      <c r="N1008" s="508"/>
      <c r="O1008" s="509"/>
      <c r="P1008" s="509"/>
    </row>
    <row r="1009" spans="1:16" ht="21.75" customHeight="1" x14ac:dyDescent="0.3">
      <c r="A1009" s="504"/>
      <c r="B1009" s="504"/>
      <c r="C1009" s="504"/>
      <c r="D1009" s="504"/>
      <c r="E1009" s="506"/>
      <c r="F1009" s="506"/>
      <c r="G1009" s="506"/>
      <c r="H1009" s="506"/>
      <c r="I1009" s="506"/>
      <c r="J1009" s="506"/>
      <c r="K1009" s="507"/>
      <c r="L1009" s="508"/>
      <c r="M1009" s="508"/>
      <c r="N1009" s="508"/>
      <c r="O1009" s="509"/>
      <c r="P1009" s="509"/>
    </row>
    <row r="1010" spans="1:16" ht="21.75" customHeight="1" x14ac:dyDescent="0.3">
      <c r="A1010" s="504"/>
      <c r="B1010" s="504"/>
      <c r="C1010" s="504"/>
      <c r="D1010" s="504"/>
      <c r="E1010" s="506"/>
      <c r="F1010" s="506"/>
      <c r="G1010" s="506"/>
      <c r="H1010" s="506"/>
      <c r="I1010" s="506"/>
      <c r="J1010" s="506"/>
      <c r="K1010" s="507"/>
      <c r="L1010" s="508"/>
      <c r="M1010" s="508"/>
      <c r="N1010" s="508"/>
      <c r="O1010" s="509"/>
      <c r="P1010" s="509"/>
    </row>
    <row r="1011" spans="1:16" ht="21.75" customHeight="1" x14ac:dyDescent="0.3">
      <c r="A1011" s="504"/>
      <c r="B1011" s="504"/>
      <c r="C1011" s="504"/>
      <c r="D1011" s="504"/>
      <c r="E1011" s="506"/>
      <c r="F1011" s="506"/>
      <c r="G1011" s="506"/>
      <c r="H1011" s="506"/>
      <c r="I1011" s="506"/>
      <c r="J1011" s="506"/>
      <c r="K1011" s="507"/>
      <c r="L1011" s="508"/>
      <c r="M1011" s="508"/>
      <c r="N1011" s="508"/>
      <c r="O1011" s="509"/>
      <c r="P1011" s="509"/>
    </row>
    <row r="1012" spans="1:16" ht="21.75" customHeight="1" x14ac:dyDescent="0.3">
      <c r="A1012" s="504"/>
      <c r="B1012" s="504"/>
      <c r="C1012" s="504"/>
      <c r="D1012" s="504"/>
      <c r="E1012" s="506"/>
      <c r="F1012" s="506"/>
      <c r="G1012" s="506"/>
      <c r="H1012" s="506"/>
      <c r="I1012" s="506"/>
      <c r="J1012" s="506"/>
      <c r="K1012" s="507"/>
      <c r="L1012" s="508"/>
      <c r="M1012" s="508"/>
      <c r="N1012" s="508"/>
      <c r="O1012" s="509"/>
      <c r="P1012" s="509"/>
    </row>
    <row r="1013" spans="1:16" ht="21.75" customHeight="1" x14ac:dyDescent="0.3">
      <c r="A1013" s="504"/>
      <c r="B1013" s="504"/>
      <c r="C1013" s="504"/>
      <c r="D1013" s="504"/>
      <c r="E1013" s="506"/>
      <c r="F1013" s="506"/>
      <c r="G1013" s="506"/>
      <c r="H1013" s="506"/>
      <c r="I1013" s="506"/>
      <c r="J1013" s="506"/>
      <c r="K1013" s="507"/>
      <c r="L1013" s="508"/>
      <c r="M1013" s="508"/>
      <c r="N1013" s="508"/>
      <c r="O1013" s="509"/>
      <c r="P1013" s="509"/>
    </row>
    <row r="1014" spans="1:16" ht="21.75" customHeight="1" x14ac:dyDescent="0.3">
      <c r="A1014" s="504"/>
      <c r="B1014" s="504"/>
      <c r="C1014" s="504"/>
      <c r="D1014" s="504"/>
      <c r="E1014" s="506"/>
      <c r="F1014" s="506"/>
      <c r="G1014" s="506"/>
      <c r="H1014" s="506"/>
      <c r="I1014" s="506"/>
      <c r="J1014" s="506"/>
      <c r="K1014" s="507"/>
      <c r="L1014" s="508"/>
      <c r="M1014" s="508"/>
      <c r="N1014" s="508"/>
      <c r="O1014" s="509"/>
      <c r="P1014" s="509"/>
    </row>
    <row r="1015" spans="1:16" ht="21.75" customHeight="1" x14ac:dyDescent="0.3">
      <c r="A1015" s="504"/>
      <c r="B1015" s="504"/>
      <c r="C1015" s="504"/>
      <c r="D1015" s="504"/>
      <c r="E1015" s="506"/>
      <c r="F1015" s="506"/>
      <c r="G1015" s="506"/>
      <c r="H1015" s="506"/>
      <c r="I1015" s="506"/>
      <c r="J1015" s="506"/>
      <c r="K1015" s="507"/>
      <c r="L1015" s="508"/>
      <c r="M1015" s="508"/>
      <c r="N1015" s="508"/>
      <c r="O1015" s="509"/>
      <c r="P1015" s="509"/>
    </row>
    <row r="1016" spans="1:16" ht="21.75" customHeight="1" x14ac:dyDescent="0.3">
      <c r="A1016" s="504"/>
      <c r="B1016" s="504"/>
      <c r="C1016" s="504"/>
      <c r="D1016" s="504"/>
      <c r="E1016" s="506"/>
      <c r="F1016" s="506"/>
      <c r="G1016" s="506"/>
      <c r="H1016" s="506"/>
      <c r="I1016" s="506"/>
      <c r="J1016" s="506"/>
      <c r="K1016" s="507"/>
      <c r="L1016" s="508"/>
      <c r="M1016" s="508"/>
      <c r="N1016" s="508"/>
      <c r="O1016" s="509"/>
      <c r="P1016" s="509"/>
    </row>
    <row r="1017" spans="1:16" ht="21.75" customHeight="1" x14ac:dyDescent="0.3">
      <c r="A1017" s="504"/>
      <c r="B1017" s="504"/>
      <c r="C1017" s="504"/>
      <c r="D1017" s="504"/>
      <c r="E1017" s="506"/>
      <c r="F1017" s="506"/>
      <c r="G1017" s="506"/>
      <c r="H1017" s="506"/>
      <c r="I1017" s="506"/>
      <c r="J1017" s="506"/>
      <c r="K1017" s="507"/>
      <c r="L1017" s="508"/>
      <c r="M1017" s="508"/>
      <c r="N1017" s="508"/>
      <c r="O1017" s="509"/>
      <c r="P1017" s="509"/>
    </row>
    <row r="1018" spans="1:16" ht="21.75" customHeight="1" x14ac:dyDescent="0.3">
      <c r="A1018" s="504"/>
      <c r="B1018" s="504"/>
      <c r="C1018" s="504"/>
      <c r="D1018" s="504"/>
      <c r="E1018" s="506"/>
      <c r="F1018" s="506"/>
      <c r="G1018" s="506"/>
      <c r="H1018" s="506"/>
      <c r="I1018" s="506"/>
      <c r="J1018" s="506"/>
      <c r="K1018" s="507"/>
      <c r="L1018" s="508"/>
      <c r="M1018" s="508"/>
      <c r="N1018" s="508"/>
      <c r="O1018" s="509"/>
      <c r="P1018" s="509"/>
    </row>
    <row r="1019" spans="1:16" ht="21.75" customHeight="1" x14ac:dyDescent="0.3">
      <c r="A1019" s="504"/>
      <c r="B1019" s="504"/>
      <c r="C1019" s="504"/>
      <c r="D1019" s="504"/>
      <c r="E1019" s="506"/>
      <c r="F1019" s="506"/>
      <c r="G1019" s="506"/>
      <c r="H1019" s="506"/>
      <c r="I1019" s="506"/>
      <c r="J1019" s="506"/>
      <c r="K1019" s="507"/>
      <c r="L1019" s="508"/>
      <c r="M1019" s="508"/>
      <c r="N1019" s="508"/>
      <c r="O1019" s="509"/>
      <c r="P1019" s="509"/>
    </row>
    <row r="1020" spans="1:16" ht="21.75" customHeight="1" x14ac:dyDescent="0.3">
      <c r="A1020" s="504"/>
      <c r="B1020" s="504"/>
      <c r="C1020" s="504"/>
      <c r="D1020" s="504"/>
      <c r="E1020" s="506"/>
      <c r="F1020" s="506"/>
      <c r="G1020" s="506"/>
      <c r="H1020" s="506"/>
      <c r="I1020" s="506"/>
      <c r="J1020" s="506"/>
      <c r="K1020" s="507"/>
      <c r="L1020" s="508"/>
      <c r="M1020" s="508"/>
      <c r="N1020" s="508"/>
      <c r="O1020" s="509"/>
      <c r="P1020" s="509"/>
    </row>
    <row r="1021" spans="1:16" ht="21.75" customHeight="1" x14ac:dyDescent="0.3">
      <c r="A1021" s="504"/>
      <c r="B1021" s="504"/>
      <c r="C1021" s="504"/>
      <c r="D1021" s="504"/>
      <c r="E1021" s="506"/>
      <c r="F1021" s="506"/>
      <c r="G1021" s="506"/>
      <c r="H1021" s="506"/>
      <c r="I1021" s="506"/>
      <c r="J1021" s="506"/>
      <c r="K1021" s="507"/>
      <c r="L1021" s="508"/>
      <c r="M1021" s="508"/>
      <c r="N1021" s="508"/>
      <c r="O1021" s="509"/>
      <c r="P1021" s="509"/>
    </row>
    <row r="1022" spans="1:16" ht="21.75" customHeight="1" x14ac:dyDescent="0.3">
      <c r="A1022" s="504"/>
      <c r="B1022" s="504"/>
      <c r="C1022" s="504"/>
      <c r="D1022" s="504"/>
      <c r="E1022" s="506"/>
      <c r="F1022" s="506"/>
      <c r="G1022" s="506"/>
      <c r="H1022" s="506"/>
      <c r="I1022" s="506"/>
      <c r="J1022" s="506"/>
      <c r="K1022" s="507"/>
      <c r="L1022" s="508"/>
      <c r="M1022" s="508"/>
      <c r="N1022" s="508"/>
      <c r="O1022" s="509"/>
      <c r="P1022" s="509"/>
    </row>
    <row r="1023" spans="1:16" ht="21.75" customHeight="1" x14ac:dyDescent="0.3">
      <c r="A1023" s="504"/>
      <c r="B1023" s="504"/>
      <c r="C1023" s="504"/>
      <c r="D1023" s="504"/>
      <c r="E1023" s="506"/>
      <c r="F1023" s="506"/>
      <c r="G1023" s="506"/>
      <c r="H1023" s="506"/>
      <c r="I1023" s="506"/>
      <c r="J1023" s="506"/>
      <c r="K1023" s="507"/>
      <c r="L1023" s="508"/>
      <c r="M1023" s="508"/>
      <c r="N1023" s="508"/>
      <c r="O1023" s="509"/>
      <c r="P1023" s="509"/>
    </row>
    <row r="1024" spans="1:16" ht="21.75" customHeight="1" x14ac:dyDescent="0.3">
      <c r="A1024" s="504"/>
      <c r="B1024" s="504"/>
      <c r="C1024" s="504"/>
      <c r="D1024" s="504"/>
      <c r="E1024" s="506"/>
      <c r="F1024" s="506"/>
      <c r="G1024" s="506"/>
      <c r="H1024" s="506"/>
      <c r="I1024" s="506"/>
      <c r="J1024" s="506"/>
      <c r="K1024" s="507"/>
      <c r="L1024" s="508"/>
      <c r="M1024" s="508"/>
      <c r="N1024" s="508"/>
      <c r="O1024" s="509"/>
      <c r="P1024" s="509"/>
    </row>
    <row r="1025" spans="1:16" ht="21.75" customHeight="1" x14ac:dyDescent="0.3">
      <c r="A1025" s="504"/>
      <c r="B1025" s="504"/>
      <c r="C1025" s="504"/>
      <c r="D1025" s="504"/>
      <c r="E1025" s="506"/>
      <c r="F1025" s="506"/>
      <c r="G1025" s="506"/>
      <c r="H1025" s="506"/>
      <c r="I1025" s="506"/>
      <c r="J1025" s="506"/>
      <c r="K1025" s="507"/>
      <c r="L1025" s="508"/>
      <c r="M1025" s="508"/>
      <c r="N1025" s="508"/>
      <c r="O1025" s="509"/>
      <c r="P1025" s="509"/>
    </row>
    <row r="1026" spans="1:16" ht="21.75" customHeight="1" x14ac:dyDescent="0.3">
      <c r="A1026" s="504"/>
      <c r="B1026" s="504"/>
      <c r="C1026" s="504"/>
      <c r="D1026" s="504"/>
      <c r="E1026" s="506"/>
      <c r="F1026" s="506"/>
      <c r="G1026" s="506"/>
      <c r="H1026" s="506"/>
      <c r="I1026" s="506"/>
      <c r="J1026" s="506"/>
      <c r="K1026" s="507"/>
      <c r="L1026" s="508"/>
      <c r="M1026" s="508"/>
      <c r="N1026" s="508"/>
      <c r="O1026" s="509"/>
      <c r="P1026" s="509"/>
    </row>
    <row r="1027" spans="1:16" ht="21.75" customHeight="1" x14ac:dyDescent="0.3">
      <c r="A1027" s="504"/>
      <c r="B1027" s="504"/>
      <c r="C1027" s="504"/>
      <c r="D1027" s="504"/>
      <c r="E1027" s="506"/>
      <c r="F1027" s="506"/>
      <c r="G1027" s="506"/>
      <c r="H1027" s="506"/>
      <c r="I1027" s="506"/>
      <c r="J1027" s="506"/>
      <c r="K1027" s="507"/>
      <c r="L1027" s="508"/>
      <c r="M1027" s="508"/>
      <c r="N1027" s="508"/>
      <c r="O1027" s="509"/>
      <c r="P1027" s="509"/>
    </row>
    <row r="1028" spans="1:16" ht="21.75" customHeight="1" x14ac:dyDescent="0.3">
      <c r="A1028" s="504"/>
      <c r="B1028" s="504"/>
      <c r="C1028" s="504"/>
      <c r="D1028" s="504"/>
      <c r="E1028" s="506"/>
      <c r="F1028" s="506"/>
      <c r="G1028" s="506"/>
      <c r="H1028" s="506"/>
      <c r="I1028" s="506"/>
      <c r="J1028" s="506"/>
      <c r="K1028" s="507"/>
      <c r="L1028" s="508"/>
      <c r="M1028" s="508"/>
      <c r="N1028" s="508"/>
      <c r="O1028" s="509"/>
      <c r="P1028" s="509"/>
    </row>
    <row r="1029" spans="1:16" ht="21.75" customHeight="1" x14ac:dyDescent="0.3">
      <c r="A1029" s="504"/>
      <c r="B1029" s="504"/>
      <c r="C1029" s="504"/>
      <c r="D1029" s="504"/>
      <c r="E1029" s="506"/>
      <c r="F1029" s="506"/>
      <c r="G1029" s="506"/>
      <c r="H1029" s="506"/>
      <c r="I1029" s="506"/>
      <c r="J1029" s="506"/>
      <c r="K1029" s="507"/>
      <c r="L1029" s="508"/>
      <c r="M1029" s="508"/>
      <c r="N1029" s="508"/>
      <c r="O1029" s="509"/>
      <c r="P1029" s="509"/>
    </row>
    <row r="1030" spans="1:16" ht="21.75" customHeight="1" x14ac:dyDescent="0.3">
      <c r="A1030" s="504"/>
      <c r="B1030" s="504"/>
      <c r="C1030" s="504"/>
      <c r="D1030" s="504"/>
      <c r="E1030" s="506"/>
      <c r="F1030" s="506"/>
      <c r="G1030" s="506"/>
      <c r="H1030" s="506"/>
      <c r="I1030" s="506"/>
      <c r="J1030" s="506"/>
      <c r="K1030" s="507"/>
      <c r="L1030" s="508"/>
      <c r="M1030" s="508"/>
      <c r="N1030" s="508"/>
      <c r="O1030" s="509"/>
      <c r="P1030" s="509"/>
    </row>
    <row r="1031" spans="1:16" ht="21.75" customHeight="1" x14ac:dyDescent="0.3">
      <c r="A1031" s="504"/>
      <c r="B1031" s="504"/>
      <c r="C1031" s="504"/>
      <c r="D1031" s="504"/>
      <c r="E1031" s="506"/>
      <c r="F1031" s="506"/>
      <c r="G1031" s="506"/>
      <c r="H1031" s="506"/>
      <c r="I1031" s="506"/>
      <c r="J1031" s="506"/>
      <c r="K1031" s="507"/>
      <c r="L1031" s="508"/>
      <c r="M1031" s="508"/>
      <c r="N1031" s="508"/>
      <c r="O1031" s="509"/>
      <c r="P1031" s="509"/>
    </row>
    <row r="1032" spans="1:16" ht="21.75" customHeight="1" x14ac:dyDescent="0.3">
      <c r="A1032" s="504"/>
      <c r="B1032" s="504"/>
      <c r="C1032" s="504"/>
      <c r="D1032" s="504"/>
      <c r="E1032" s="506"/>
      <c r="F1032" s="506"/>
      <c r="G1032" s="506"/>
      <c r="H1032" s="506"/>
      <c r="I1032" s="506"/>
      <c r="J1032" s="506"/>
      <c r="K1032" s="507"/>
      <c r="L1032" s="508"/>
      <c r="M1032" s="508"/>
      <c r="N1032" s="508"/>
      <c r="O1032" s="509"/>
      <c r="P1032" s="509"/>
    </row>
    <row r="1033" spans="1:16" ht="21.75" customHeight="1" x14ac:dyDescent="0.3">
      <c r="A1033" s="504"/>
      <c r="B1033" s="504"/>
      <c r="C1033" s="504"/>
      <c r="D1033" s="504"/>
      <c r="E1033" s="506"/>
      <c r="F1033" s="506"/>
      <c r="G1033" s="506"/>
      <c r="H1033" s="506"/>
      <c r="I1033" s="506"/>
      <c r="J1033" s="506"/>
      <c r="K1033" s="507"/>
      <c r="L1033" s="508"/>
      <c r="M1033" s="508"/>
      <c r="N1033" s="508"/>
      <c r="O1033" s="509"/>
      <c r="P1033" s="509"/>
    </row>
    <row r="1034" spans="1:16" ht="21.75" customHeight="1" x14ac:dyDescent="0.3">
      <c r="A1034" s="504"/>
      <c r="B1034" s="504"/>
      <c r="C1034" s="504"/>
      <c r="D1034" s="504"/>
      <c r="E1034" s="506"/>
      <c r="F1034" s="506"/>
      <c r="G1034" s="506"/>
      <c r="H1034" s="506"/>
      <c r="I1034" s="506"/>
      <c r="J1034" s="506"/>
      <c r="K1034" s="507"/>
      <c r="L1034" s="508"/>
      <c r="M1034" s="508"/>
      <c r="N1034" s="508"/>
      <c r="O1034" s="509"/>
      <c r="P1034" s="509"/>
    </row>
    <row r="1035" spans="1:16" ht="21.75" customHeight="1" x14ac:dyDescent="0.3">
      <c r="A1035" s="504"/>
      <c r="B1035" s="504"/>
      <c r="C1035" s="504"/>
      <c r="D1035" s="504"/>
      <c r="E1035" s="506"/>
      <c r="F1035" s="506"/>
      <c r="G1035" s="506"/>
      <c r="H1035" s="506"/>
      <c r="I1035" s="506"/>
      <c r="J1035" s="506"/>
      <c r="K1035" s="507"/>
      <c r="L1035" s="508"/>
      <c r="M1035" s="508"/>
      <c r="N1035" s="508"/>
      <c r="O1035" s="509"/>
      <c r="P1035" s="509"/>
    </row>
    <row r="1036" spans="1:16" ht="21.75" customHeight="1" x14ac:dyDescent="0.3">
      <c r="A1036" s="504"/>
      <c r="B1036" s="504"/>
      <c r="C1036" s="504"/>
      <c r="D1036" s="504"/>
      <c r="E1036" s="506"/>
      <c r="F1036" s="506"/>
      <c r="G1036" s="506"/>
      <c r="H1036" s="506"/>
      <c r="I1036" s="506"/>
      <c r="J1036" s="506"/>
      <c r="K1036" s="507"/>
      <c r="L1036" s="508"/>
      <c r="M1036" s="508"/>
      <c r="N1036" s="508"/>
      <c r="O1036" s="509"/>
      <c r="P1036" s="509"/>
    </row>
    <row r="1037" spans="1:16" ht="21.75" customHeight="1" x14ac:dyDescent="0.3">
      <c r="A1037" s="504"/>
      <c r="B1037" s="504"/>
      <c r="C1037" s="504"/>
      <c r="D1037" s="504"/>
      <c r="E1037" s="506"/>
      <c r="F1037" s="506"/>
      <c r="G1037" s="506"/>
      <c r="H1037" s="506"/>
      <c r="I1037" s="506"/>
      <c r="J1037" s="506"/>
      <c r="K1037" s="507"/>
      <c r="L1037" s="508"/>
      <c r="M1037" s="508"/>
      <c r="N1037" s="508"/>
      <c r="O1037" s="509"/>
      <c r="P1037" s="509"/>
    </row>
    <row r="1038" spans="1:16" ht="21.75" customHeight="1" x14ac:dyDescent="0.3">
      <c r="A1038" s="504"/>
      <c r="B1038" s="504"/>
      <c r="C1038" s="504"/>
      <c r="D1038" s="504"/>
      <c r="E1038" s="506"/>
      <c r="F1038" s="506"/>
      <c r="G1038" s="506"/>
      <c r="H1038" s="506"/>
      <c r="I1038" s="506"/>
      <c r="J1038" s="506"/>
      <c r="K1038" s="507"/>
      <c r="L1038" s="508"/>
      <c r="M1038" s="508"/>
      <c r="N1038" s="508"/>
      <c r="O1038" s="509"/>
      <c r="P1038" s="509"/>
    </row>
    <row r="1039" spans="1:16" ht="21.75" customHeight="1" x14ac:dyDescent="0.3">
      <c r="A1039" s="504"/>
      <c r="B1039" s="504"/>
      <c r="C1039" s="504"/>
      <c r="D1039" s="504"/>
      <c r="E1039" s="506"/>
      <c r="F1039" s="506"/>
      <c r="G1039" s="506"/>
      <c r="H1039" s="506"/>
      <c r="I1039" s="506"/>
      <c r="J1039" s="506"/>
      <c r="K1039" s="507"/>
      <c r="L1039" s="508"/>
      <c r="M1039" s="508"/>
      <c r="N1039" s="508"/>
      <c r="O1039" s="509"/>
      <c r="P1039" s="509"/>
    </row>
    <row r="1040" spans="1:16" ht="21.75" customHeight="1" x14ac:dyDescent="0.3">
      <c r="A1040" s="504"/>
      <c r="B1040" s="504"/>
      <c r="C1040" s="504"/>
      <c r="D1040" s="504"/>
      <c r="E1040" s="506"/>
      <c r="F1040" s="506"/>
      <c r="G1040" s="506"/>
      <c r="H1040" s="506"/>
      <c r="I1040" s="506"/>
      <c r="J1040" s="506"/>
      <c r="K1040" s="507"/>
      <c r="L1040" s="508"/>
      <c r="M1040" s="508"/>
      <c r="N1040" s="508"/>
      <c r="O1040" s="509"/>
      <c r="P1040" s="509"/>
    </row>
    <row r="1041" spans="1:16" ht="21.75" customHeight="1" x14ac:dyDescent="0.3">
      <c r="A1041" s="504"/>
      <c r="B1041" s="504"/>
      <c r="C1041" s="504"/>
      <c r="D1041" s="504"/>
      <c r="E1041" s="506"/>
      <c r="F1041" s="506"/>
      <c r="G1041" s="506"/>
      <c r="H1041" s="506"/>
      <c r="I1041" s="506"/>
      <c r="J1041" s="506"/>
      <c r="K1041" s="507"/>
      <c r="L1041" s="508"/>
      <c r="M1041" s="508"/>
      <c r="N1041" s="508"/>
      <c r="O1041" s="509"/>
      <c r="P1041" s="509"/>
    </row>
    <row r="1042" spans="1:16" ht="21.75" customHeight="1" x14ac:dyDescent="0.3">
      <c r="A1042" s="504"/>
      <c r="B1042" s="504"/>
      <c r="C1042" s="504"/>
      <c r="D1042" s="504"/>
      <c r="E1042" s="506"/>
      <c r="F1042" s="506"/>
      <c r="G1042" s="506"/>
      <c r="H1042" s="506"/>
      <c r="I1042" s="506"/>
      <c r="J1042" s="506"/>
      <c r="K1042" s="507"/>
      <c r="L1042" s="508"/>
      <c r="M1042" s="508"/>
      <c r="N1042" s="508"/>
      <c r="O1042" s="509"/>
      <c r="P1042" s="509"/>
    </row>
    <row r="1043" spans="1:16" ht="21.75" customHeight="1" x14ac:dyDescent="0.3">
      <c r="A1043" s="504"/>
      <c r="B1043" s="504"/>
      <c r="C1043" s="504"/>
      <c r="D1043" s="504"/>
      <c r="E1043" s="506"/>
      <c r="F1043" s="506"/>
      <c r="G1043" s="506"/>
      <c r="H1043" s="506"/>
      <c r="I1043" s="506"/>
      <c r="J1043" s="506"/>
      <c r="K1043" s="507"/>
      <c r="L1043" s="508"/>
      <c r="M1043" s="508"/>
      <c r="N1043" s="508"/>
      <c r="O1043" s="509"/>
      <c r="P1043" s="509"/>
    </row>
    <row r="1044" spans="1:16" ht="21.75" customHeight="1" x14ac:dyDescent="0.3">
      <c r="A1044" s="504"/>
      <c r="B1044" s="504"/>
      <c r="C1044" s="504"/>
      <c r="D1044" s="504"/>
      <c r="E1044" s="506"/>
      <c r="F1044" s="506"/>
      <c r="G1044" s="506"/>
      <c r="H1044" s="506"/>
      <c r="I1044" s="506"/>
      <c r="J1044" s="506"/>
      <c r="K1044" s="507"/>
      <c r="L1044" s="508"/>
      <c r="M1044" s="508"/>
      <c r="N1044" s="508"/>
      <c r="O1044" s="509"/>
      <c r="P1044" s="509"/>
    </row>
    <row r="1045" spans="1:16" ht="21.75" customHeight="1" x14ac:dyDescent="0.3">
      <c r="A1045" s="504"/>
      <c r="B1045" s="504"/>
      <c r="C1045" s="504"/>
      <c r="D1045" s="504"/>
      <c r="E1045" s="506"/>
      <c r="F1045" s="506"/>
      <c r="G1045" s="506"/>
      <c r="H1045" s="506"/>
      <c r="I1045" s="506"/>
      <c r="J1045" s="506"/>
      <c r="K1045" s="507"/>
      <c r="L1045" s="508"/>
      <c r="M1045" s="508"/>
      <c r="N1045" s="508"/>
      <c r="O1045" s="509"/>
      <c r="P1045" s="509"/>
    </row>
    <row r="1046" spans="1:16" ht="21.75" customHeight="1" x14ac:dyDescent="0.3">
      <c r="A1046" s="504"/>
      <c r="B1046" s="504"/>
      <c r="C1046" s="504"/>
      <c r="D1046" s="504"/>
      <c r="E1046" s="506"/>
      <c r="F1046" s="506"/>
      <c r="G1046" s="506"/>
      <c r="H1046" s="506"/>
      <c r="I1046" s="506"/>
      <c r="J1046" s="506"/>
      <c r="K1046" s="507"/>
      <c r="L1046" s="508"/>
      <c r="M1046" s="508"/>
      <c r="N1046" s="508"/>
      <c r="O1046" s="509"/>
      <c r="P1046" s="509"/>
    </row>
    <row r="1047" spans="1:16" ht="21.75" customHeight="1" x14ac:dyDescent="0.3">
      <c r="A1047" s="504"/>
      <c r="B1047" s="504"/>
      <c r="C1047" s="504"/>
      <c r="D1047" s="504"/>
      <c r="E1047" s="506"/>
      <c r="F1047" s="506"/>
      <c r="G1047" s="506"/>
      <c r="H1047" s="506"/>
      <c r="I1047" s="506"/>
      <c r="J1047" s="506"/>
      <c r="K1047" s="507"/>
      <c r="L1047" s="508"/>
      <c r="M1047" s="508"/>
      <c r="N1047" s="508"/>
      <c r="O1047" s="509"/>
      <c r="P1047" s="509"/>
    </row>
    <row r="1048" spans="1:16" ht="21.75" customHeight="1" x14ac:dyDescent="0.3">
      <c r="A1048" s="504"/>
      <c r="B1048" s="504"/>
      <c r="C1048" s="504"/>
      <c r="D1048" s="504"/>
      <c r="E1048" s="506"/>
      <c r="F1048" s="506"/>
      <c r="G1048" s="506"/>
      <c r="H1048" s="506"/>
      <c r="I1048" s="506"/>
      <c r="J1048" s="506"/>
      <c r="K1048" s="507"/>
      <c r="L1048" s="508"/>
      <c r="M1048" s="508"/>
      <c r="N1048" s="508"/>
      <c r="O1048" s="509"/>
      <c r="P1048" s="509"/>
    </row>
    <row r="1049" spans="1:16" ht="21.75" customHeight="1" x14ac:dyDescent="0.3">
      <c r="A1049" s="504"/>
      <c r="B1049" s="504"/>
      <c r="C1049" s="504"/>
      <c r="D1049" s="504"/>
      <c r="E1049" s="506"/>
      <c r="F1049" s="506"/>
      <c r="G1049" s="506"/>
      <c r="H1049" s="506"/>
      <c r="I1049" s="506"/>
      <c r="J1049" s="506"/>
      <c r="K1049" s="507"/>
      <c r="L1049" s="508"/>
      <c r="M1049" s="508"/>
      <c r="N1049" s="508"/>
      <c r="O1049" s="509"/>
      <c r="P1049" s="509"/>
    </row>
    <row r="1050" spans="1:16" ht="21.75" customHeight="1" x14ac:dyDescent="0.3">
      <c r="A1050" s="504"/>
      <c r="B1050" s="504"/>
      <c r="C1050" s="504"/>
      <c r="D1050" s="504"/>
      <c r="E1050" s="506"/>
      <c r="F1050" s="506"/>
      <c r="G1050" s="506"/>
      <c r="H1050" s="506"/>
      <c r="I1050" s="506"/>
      <c r="J1050" s="506"/>
      <c r="K1050" s="507"/>
      <c r="L1050" s="508"/>
      <c r="M1050" s="508"/>
      <c r="N1050" s="508"/>
      <c r="O1050" s="509"/>
      <c r="P1050" s="509"/>
    </row>
    <row r="1051" spans="1:16" ht="21.75" customHeight="1" x14ac:dyDescent="0.3">
      <c r="A1051" s="504"/>
      <c r="B1051" s="504"/>
      <c r="C1051" s="504"/>
      <c r="D1051" s="504"/>
      <c r="E1051" s="506"/>
      <c r="F1051" s="506"/>
      <c r="G1051" s="506"/>
      <c r="H1051" s="506"/>
      <c r="I1051" s="506"/>
      <c r="J1051" s="506"/>
      <c r="K1051" s="507"/>
      <c r="L1051" s="508"/>
      <c r="M1051" s="508"/>
      <c r="N1051" s="508"/>
      <c r="O1051" s="509"/>
      <c r="P1051" s="509"/>
    </row>
    <row r="1052" spans="1:16" ht="21.75" customHeight="1" x14ac:dyDescent="0.3">
      <c r="A1052" s="504"/>
      <c r="B1052" s="504"/>
      <c r="C1052" s="504"/>
      <c r="D1052" s="504"/>
      <c r="E1052" s="506"/>
      <c r="F1052" s="506"/>
      <c r="G1052" s="506"/>
      <c r="H1052" s="506"/>
      <c r="I1052" s="506"/>
      <c r="J1052" s="506"/>
      <c r="K1052" s="507"/>
      <c r="L1052" s="508"/>
      <c r="M1052" s="508"/>
      <c r="N1052" s="508"/>
      <c r="O1052" s="509"/>
      <c r="P1052" s="509"/>
    </row>
    <row r="1053" spans="1:16" ht="21.75" customHeight="1" x14ac:dyDescent="0.3">
      <c r="A1053" s="504"/>
      <c r="B1053" s="504"/>
      <c r="C1053" s="504"/>
      <c r="D1053" s="504"/>
      <c r="E1053" s="506"/>
      <c r="F1053" s="506"/>
      <c r="G1053" s="506"/>
      <c r="H1053" s="506"/>
      <c r="I1053" s="506"/>
      <c r="J1053" s="506"/>
      <c r="K1053" s="507"/>
      <c r="L1053" s="508"/>
      <c r="M1053" s="508"/>
      <c r="N1053" s="508"/>
      <c r="O1053" s="509"/>
      <c r="P1053" s="509"/>
    </row>
    <row r="1054" spans="1:16" ht="21.75" customHeight="1" x14ac:dyDescent="0.3">
      <c r="A1054" s="504"/>
      <c r="B1054" s="504"/>
      <c r="C1054" s="504"/>
      <c r="D1054" s="504"/>
      <c r="E1054" s="506"/>
      <c r="F1054" s="506"/>
      <c r="G1054" s="506"/>
      <c r="H1054" s="506"/>
      <c r="I1054" s="506"/>
      <c r="J1054" s="506"/>
      <c r="K1054" s="507"/>
      <c r="L1054" s="508"/>
      <c r="M1054" s="508"/>
      <c r="N1054" s="508"/>
      <c r="O1054" s="509"/>
      <c r="P1054" s="509"/>
    </row>
    <row r="1055" spans="1:16" ht="21.75" customHeight="1" x14ac:dyDescent="0.3">
      <c r="A1055" s="504"/>
      <c r="B1055" s="504"/>
      <c r="C1055" s="504"/>
      <c r="D1055" s="504"/>
      <c r="E1055" s="506"/>
      <c r="F1055" s="506"/>
      <c r="G1055" s="506"/>
      <c r="H1055" s="506"/>
      <c r="I1055" s="506"/>
      <c r="J1055" s="506"/>
      <c r="K1055" s="507"/>
      <c r="L1055" s="508"/>
      <c r="M1055" s="508"/>
      <c r="N1055" s="508"/>
      <c r="O1055" s="509"/>
      <c r="P1055" s="509"/>
    </row>
    <row r="1056" spans="1:16" ht="21.75" customHeight="1" x14ac:dyDescent="0.3">
      <c r="A1056" s="504"/>
      <c r="B1056" s="504"/>
      <c r="C1056" s="504"/>
      <c r="D1056" s="504"/>
      <c r="E1056" s="506"/>
      <c r="F1056" s="506"/>
      <c r="G1056" s="506"/>
      <c r="H1056" s="506"/>
      <c r="I1056" s="506"/>
      <c r="J1056" s="506"/>
      <c r="K1056" s="507"/>
      <c r="L1056" s="508"/>
      <c r="M1056" s="508"/>
      <c r="N1056" s="508"/>
      <c r="O1056" s="509"/>
      <c r="P1056" s="509"/>
    </row>
    <row r="1057" spans="1:16" ht="21.75" customHeight="1" x14ac:dyDescent="0.3">
      <c r="A1057" s="504"/>
      <c r="B1057" s="504"/>
      <c r="C1057" s="504"/>
      <c r="D1057" s="504"/>
      <c r="E1057" s="506"/>
      <c r="F1057" s="506"/>
      <c r="G1057" s="506"/>
      <c r="H1057" s="506"/>
      <c r="I1057" s="506"/>
      <c r="J1057" s="506"/>
      <c r="K1057" s="507"/>
      <c r="L1057" s="508"/>
      <c r="M1057" s="508"/>
      <c r="N1057" s="508"/>
      <c r="O1057" s="509"/>
      <c r="P1057" s="509"/>
    </row>
    <row r="1058" spans="1:16" ht="21.75" customHeight="1" x14ac:dyDescent="0.3">
      <c r="A1058" s="504"/>
      <c r="B1058" s="504"/>
      <c r="C1058" s="504"/>
      <c r="D1058" s="504"/>
      <c r="E1058" s="506"/>
      <c r="F1058" s="506"/>
      <c r="G1058" s="506"/>
      <c r="H1058" s="506"/>
      <c r="I1058" s="506"/>
      <c r="J1058" s="506"/>
      <c r="K1058" s="507"/>
      <c r="L1058" s="508"/>
      <c r="M1058" s="508"/>
      <c r="N1058" s="508"/>
      <c r="O1058" s="509"/>
      <c r="P1058" s="509"/>
    </row>
    <row r="1059" spans="1:16" ht="21.75" customHeight="1" x14ac:dyDescent="0.3">
      <c r="A1059" s="504"/>
      <c r="B1059" s="504"/>
      <c r="C1059" s="504"/>
      <c r="D1059" s="504"/>
      <c r="E1059" s="506"/>
      <c r="F1059" s="506"/>
      <c r="G1059" s="506"/>
      <c r="H1059" s="506"/>
      <c r="I1059" s="506"/>
      <c r="J1059" s="506"/>
      <c r="K1059" s="507"/>
      <c r="L1059" s="508"/>
      <c r="M1059" s="508"/>
      <c r="N1059" s="508"/>
      <c r="O1059" s="509"/>
      <c r="P1059" s="509"/>
    </row>
    <row r="1060" spans="1:16" ht="21.75" customHeight="1" x14ac:dyDescent="0.3">
      <c r="A1060" s="504"/>
      <c r="B1060" s="504"/>
      <c r="C1060" s="504"/>
      <c r="D1060" s="504"/>
      <c r="E1060" s="506"/>
      <c r="F1060" s="506"/>
      <c r="G1060" s="506"/>
      <c r="H1060" s="506"/>
      <c r="I1060" s="506"/>
      <c r="J1060" s="506"/>
      <c r="K1060" s="507"/>
      <c r="L1060" s="508"/>
      <c r="M1060" s="508"/>
      <c r="N1060" s="508"/>
      <c r="O1060" s="509"/>
      <c r="P1060" s="509"/>
    </row>
    <row r="1061" spans="1:16" ht="21.75" customHeight="1" x14ac:dyDescent="0.3">
      <c r="A1061" s="504"/>
      <c r="B1061" s="504"/>
      <c r="C1061" s="504"/>
      <c r="D1061" s="504"/>
      <c r="E1061" s="506"/>
      <c r="F1061" s="506"/>
      <c r="G1061" s="506"/>
      <c r="H1061" s="506"/>
      <c r="I1061" s="506"/>
      <c r="J1061" s="506"/>
      <c r="K1061" s="507"/>
      <c r="L1061" s="508"/>
      <c r="M1061" s="508"/>
      <c r="N1061" s="508"/>
      <c r="O1061" s="509"/>
      <c r="P1061" s="509"/>
    </row>
    <row r="1062" spans="1:16" ht="21.75" customHeight="1" x14ac:dyDescent="0.3">
      <c r="A1062" s="504"/>
      <c r="B1062" s="504"/>
      <c r="C1062" s="504"/>
      <c r="D1062" s="504"/>
      <c r="E1062" s="506"/>
      <c r="F1062" s="506"/>
      <c r="G1062" s="506"/>
      <c r="H1062" s="506"/>
      <c r="I1062" s="506"/>
      <c r="J1062" s="506"/>
      <c r="K1062" s="507"/>
      <c r="L1062" s="508"/>
      <c r="M1062" s="508"/>
      <c r="N1062" s="508"/>
      <c r="O1062" s="509"/>
      <c r="P1062" s="509"/>
    </row>
    <row r="1063" spans="1:16" ht="21.75" customHeight="1" x14ac:dyDescent="0.3">
      <c r="A1063" s="504"/>
      <c r="B1063" s="504"/>
      <c r="C1063" s="504"/>
      <c r="D1063" s="504"/>
      <c r="E1063" s="506"/>
      <c r="F1063" s="506"/>
      <c r="G1063" s="506"/>
      <c r="H1063" s="506"/>
      <c r="I1063" s="506"/>
      <c r="J1063" s="506"/>
      <c r="K1063" s="507"/>
      <c r="L1063" s="508"/>
      <c r="M1063" s="508"/>
      <c r="N1063" s="508"/>
      <c r="O1063" s="509"/>
      <c r="P1063" s="509"/>
    </row>
    <row r="1064" spans="1:16" ht="21.75" customHeight="1" x14ac:dyDescent="0.3">
      <c r="A1064" s="504"/>
      <c r="B1064" s="504"/>
      <c r="C1064" s="504"/>
      <c r="D1064" s="504"/>
      <c r="E1064" s="506"/>
      <c r="F1064" s="506"/>
      <c r="G1064" s="506"/>
      <c r="H1064" s="506"/>
      <c r="I1064" s="506"/>
      <c r="J1064" s="506"/>
      <c r="K1064" s="507"/>
      <c r="L1064" s="508"/>
      <c r="M1064" s="508"/>
      <c r="N1064" s="508"/>
      <c r="O1064" s="509"/>
      <c r="P1064" s="509"/>
    </row>
    <row r="1065" spans="1:16" ht="21.75" customHeight="1" x14ac:dyDescent="0.3">
      <c r="A1065" s="504"/>
      <c r="B1065" s="504"/>
      <c r="C1065" s="504"/>
      <c r="D1065" s="504"/>
      <c r="E1065" s="506"/>
      <c r="F1065" s="506"/>
      <c r="G1065" s="506"/>
      <c r="H1065" s="506"/>
      <c r="I1065" s="506"/>
      <c r="J1065" s="506"/>
      <c r="K1065" s="507"/>
      <c r="L1065" s="508"/>
      <c r="M1065" s="508"/>
      <c r="N1065" s="508"/>
      <c r="O1065" s="509"/>
      <c r="P1065" s="509"/>
    </row>
    <row r="1066" spans="1:16" ht="21.75" customHeight="1" x14ac:dyDescent="0.3">
      <c r="A1066" s="504"/>
      <c r="B1066" s="504"/>
      <c r="C1066" s="504"/>
      <c r="D1066" s="504"/>
      <c r="E1066" s="506"/>
      <c r="F1066" s="506"/>
      <c r="G1066" s="506"/>
      <c r="H1066" s="506"/>
      <c r="I1066" s="506"/>
      <c r="J1066" s="506"/>
      <c r="K1066" s="507"/>
      <c r="L1066" s="508"/>
      <c r="M1066" s="508"/>
      <c r="N1066" s="508"/>
      <c r="O1066" s="509"/>
      <c r="P1066" s="509"/>
    </row>
    <row r="1067" spans="1:16" ht="21.75" customHeight="1" x14ac:dyDescent="0.3">
      <c r="A1067" s="504"/>
      <c r="B1067" s="504"/>
      <c r="C1067" s="504"/>
      <c r="D1067" s="504"/>
      <c r="E1067" s="506"/>
      <c r="F1067" s="506"/>
      <c r="G1067" s="506"/>
      <c r="H1067" s="506"/>
      <c r="I1067" s="506"/>
      <c r="J1067" s="506"/>
      <c r="K1067" s="507"/>
      <c r="L1067" s="508"/>
      <c r="M1067" s="508"/>
      <c r="N1067" s="508"/>
      <c r="O1067" s="509"/>
      <c r="P1067" s="509"/>
    </row>
    <row r="1068" spans="1:16" ht="21.75" customHeight="1" x14ac:dyDescent="0.3">
      <c r="A1068" s="504"/>
      <c r="B1068" s="504"/>
      <c r="C1068" s="504"/>
      <c r="D1068" s="504"/>
      <c r="E1068" s="506"/>
      <c r="F1068" s="506"/>
      <c r="G1068" s="506"/>
      <c r="H1068" s="506"/>
      <c r="I1068" s="506"/>
      <c r="J1068" s="506"/>
      <c r="K1068" s="507"/>
      <c r="L1068" s="508"/>
      <c r="M1068" s="508"/>
      <c r="N1068" s="508"/>
      <c r="O1068" s="509"/>
      <c r="P1068" s="509"/>
    </row>
    <row r="1069" spans="1:16" ht="21.75" customHeight="1" x14ac:dyDescent="0.3">
      <c r="A1069" s="504"/>
      <c r="B1069" s="504"/>
      <c r="C1069" s="504"/>
      <c r="D1069" s="504"/>
      <c r="E1069" s="506"/>
      <c r="F1069" s="506"/>
      <c r="G1069" s="506"/>
      <c r="H1069" s="506"/>
      <c r="I1069" s="506"/>
      <c r="J1069" s="506"/>
      <c r="K1069" s="507"/>
      <c r="L1069" s="508"/>
      <c r="M1069" s="508"/>
      <c r="N1069" s="508"/>
      <c r="O1069" s="509"/>
      <c r="P1069" s="509"/>
    </row>
    <row r="1070" spans="1:16" ht="21.75" customHeight="1" x14ac:dyDescent="0.3">
      <c r="A1070" s="504"/>
      <c r="B1070" s="504"/>
      <c r="C1070" s="504"/>
      <c r="D1070" s="504"/>
      <c r="E1070" s="506"/>
      <c r="F1070" s="506"/>
      <c r="G1070" s="506"/>
      <c r="H1070" s="506"/>
      <c r="I1070" s="506"/>
      <c r="J1070" s="506"/>
      <c r="K1070" s="507"/>
      <c r="L1070" s="508"/>
      <c r="M1070" s="508"/>
      <c r="N1070" s="508"/>
      <c r="O1070" s="509"/>
      <c r="P1070" s="509"/>
    </row>
    <row r="1071" spans="1:16" ht="21.75" customHeight="1" x14ac:dyDescent="0.3">
      <c r="A1071" s="504"/>
      <c r="B1071" s="504"/>
      <c r="C1071" s="504"/>
      <c r="D1071" s="504"/>
      <c r="E1071" s="506"/>
      <c r="F1071" s="506"/>
      <c r="G1071" s="506"/>
      <c r="H1071" s="506"/>
      <c r="I1071" s="506"/>
      <c r="J1071" s="506"/>
      <c r="K1071" s="507"/>
      <c r="L1071" s="508"/>
      <c r="M1071" s="508"/>
      <c r="N1071" s="508"/>
      <c r="O1071" s="509"/>
      <c r="P1071" s="509"/>
    </row>
    <row r="1072" spans="1:16" ht="21.75" customHeight="1" x14ac:dyDescent="0.3">
      <c r="A1072" s="504"/>
      <c r="B1072" s="504"/>
      <c r="C1072" s="504"/>
      <c r="D1072" s="504"/>
      <c r="E1072" s="506"/>
      <c r="F1072" s="506"/>
      <c r="G1072" s="506"/>
      <c r="H1072" s="506"/>
      <c r="I1072" s="506"/>
      <c r="J1072" s="506"/>
      <c r="K1072" s="507"/>
      <c r="L1072" s="508"/>
      <c r="M1072" s="508"/>
      <c r="N1072" s="508"/>
      <c r="O1072" s="509"/>
      <c r="P1072" s="509"/>
    </row>
    <row r="1073" spans="1:16" ht="21.75" customHeight="1" x14ac:dyDescent="0.3">
      <c r="A1073" s="504"/>
      <c r="B1073" s="504"/>
      <c r="C1073" s="504"/>
      <c r="D1073" s="504"/>
      <c r="E1073" s="506"/>
      <c r="F1073" s="506"/>
      <c r="G1073" s="506"/>
      <c r="H1073" s="506"/>
      <c r="I1073" s="506"/>
      <c r="J1073" s="506"/>
      <c r="K1073" s="507"/>
      <c r="L1073" s="508"/>
      <c r="M1073" s="508"/>
      <c r="N1073" s="508"/>
      <c r="O1073" s="509"/>
      <c r="P1073" s="509"/>
    </row>
    <row r="1074" spans="1:16" ht="21.75" customHeight="1" x14ac:dyDescent="0.3">
      <c r="A1074" s="504"/>
      <c r="B1074" s="504"/>
      <c r="C1074" s="504"/>
      <c r="D1074" s="504"/>
      <c r="E1074" s="506"/>
      <c r="F1074" s="506"/>
      <c r="G1074" s="506"/>
      <c r="H1074" s="506"/>
      <c r="I1074" s="506"/>
      <c r="J1074" s="506"/>
      <c r="K1074" s="507"/>
      <c r="L1074" s="508"/>
      <c r="M1074" s="508"/>
      <c r="N1074" s="508"/>
      <c r="O1074" s="509"/>
      <c r="P1074" s="509"/>
    </row>
    <row r="1075" spans="1:16" ht="21.75" customHeight="1" x14ac:dyDescent="0.3">
      <c r="A1075" s="504"/>
      <c r="B1075" s="504"/>
      <c r="C1075" s="504"/>
      <c r="D1075" s="504"/>
      <c r="E1075" s="506"/>
      <c r="F1075" s="506"/>
      <c r="G1075" s="506"/>
      <c r="H1075" s="506"/>
      <c r="I1075" s="506"/>
      <c r="J1075" s="506"/>
      <c r="K1075" s="507"/>
      <c r="L1075" s="508"/>
      <c r="M1075" s="508"/>
      <c r="N1075" s="508"/>
      <c r="O1075" s="509"/>
      <c r="P1075" s="509"/>
    </row>
    <row r="1076" spans="1:16" ht="21.75" customHeight="1" x14ac:dyDescent="0.3">
      <c r="A1076" s="504"/>
      <c r="B1076" s="504"/>
      <c r="C1076" s="504"/>
      <c r="D1076" s="504"/>
      <c r="E1076" s="506"/>
      <c r="F1076" s="506"/>
      <c r="G1076" s="506"/>
      <c r="H1076" s="506"/>
      <c r="I1076" s="506"/>
      <c r="J1076" s="506"/>
      <c r="K1076" s="507"/>
      <c r="L1076" s="508"/>
      <c r="M1076" s="508"/>
      <c r="N1076" s="508"/>
      <c r="O1076" s="509"/>
      <c r="P1076" s="509"/>
    </row>
    <row r="1077" spans="1:16" ht="21.75" customHeight="1" x14ac:dyDescent="0.3">
      <c r="A1077" s="504"/>
      <c r="B1077" s="504"/>
      <c r="C1077" s="504"/>
      <c r="D1077" s="504"/>
      <c r="E1077" s="506"/>
      <c r="F1077" s="506"/>
      <c r="G1077" s="506"/>
      <c r="H1077" s="506"/>
      <c r="I1077" s="506"/>
      <c r="J1077" s="506"/>
      <c r="K1077" s="507"/>
      <c r="L1077" s="508"/>
      <c r="M1077" s="508"/>
      <c r="N1077" s="508"/>
      <c r="O1077" s="509"/>
      <c r="P1077" s="509"/>
    </row>
    <row r="1078" spans="1:16" ht="21.75" customHeight="1" x14ac:dyDescent="0.3">
      <c r="A1078" s="504"/>
      <c r="B1078" s="504"/>
      <c r="C1078" s="504"/>
      <c r="D1078" s="504"/>
      <c r="E1078" s="506"/>
      <c r="F1078" s="506"/>
      <c r="G1078" s="506"/>
      <c r="H1078" s="506"/>
      <c r="I1078" s="506"/>
      <c r="J1078" s="506"/>
      <c r="K1078" s="507"/>
      <c r="L1078" s="508"/>
      <c r="M1078" s="508"/>
      <c r="N1078" s="508"/>
      <c r="O1078" s="509"/>
      <c r="P1078" s="509"/>
    </row>
    <row r="1079" spans="1:16" ht="21.75" customHeight="1" x14ac:dyDescent="0.3">
      <c r="A1079" s="504"/>
      <c r="B1079" s="504"/>
      <c r="C1079" s="504"/>
      <c r="D1079" s="504"/>
      <c r="E1079" s="506"/>
      <c r="F1079" s="506"/>
      <c r="G1079" s="506"/>
      <c r="H1079" s="506"/>
      <c r="I1079" s="506"/>
      <c r="J1079" s="506"/>
      <c r="K1079" s="507"/>
      <c r="L1079" s="508"/>
      <c r="M1079" s="508"/>
      <c r="N1079" s="508"/>
      <c r="O1079" s="509"/>
      <c r="P1079" s="509"/>
    </row>
    <row r="1080" spans="1:16" ht="21.75" customHeight="1" x14ac:dyDescent="0.3">
      <c r="A1080" s="504"/>
      <c r="B1080" s="504"/>
      <c r="C1080" s="504"/>
      <c r="D1080" s="504"/>
      <c r="E1080" s="506"/>
      <c r="F1080" s="506"/>
      <c r="G1080" s="506"/>
      <c r="H1080" s="506"/>
      <c r="I1080" s="506"/>
      <c r="J1080" s="506"/>
      <c r="K1080" s="507"/>
      <c r="L1080" s="508"/>
      <c r="M1080" s="508"/>
      <c r="N1080" s="508"/>
      <c r="O1080" s="509"/>
      <c r="P1080" s="509"/>
    </row>
    <row r="1081" spans="1:16" ht="21.75" customHeight="1" x14ac:dyDescent="0.3">
      <c r="A1081" s="504"/>
      <c r="B1081" s="504"/>
      <c r="C1081" s="504"/>
      <c r="D1081" s="504"/>
      <c r="E1081" s="506"/>
      <c r="F1081" s="506"/>
      <c r="G1081" s="506"/>
      <c r="H1081" s="506"/>
      <c r="I1081" s="506"/>
      <c r="J1081" s="506"/>
      <c r="K1081" s="507"/>
      <c r="L1081" s="508"/>
      <c r="M1081" s="508"/>
      <c r="N1081" s="508"/>
      <c r="O1081" s="509"/>
      <c r="P1081" s="509"/>
    </row>
    <row r="1082" spans="1:16" ht="21.75" customHeight="1" x14ac:dyDescent="0.3">
      <c r="A1082" s="504"/>
      <c r="B1082" s="504"/>
      <c r="C1082" s="504"/>
      <c r="D1082" s="504"/>
      <c r="E1082" s="506"/>
      <c r="F1082" s="506"/>
      <c r="G1082" s="506"/>
      <c r="H1082" s="506"/>
      <c r="I1082" s="506"/>
      <c r="J1082" s="506"/>
      <c r="K1082" s="507"/>
      <c r="L1082" s="508"/>
      <c r="M1082" s="508"/>
      <c r="N1082" s="508"/>
      <c r="O1082" s="509"/>
      <c r="P1082" s="509"/>
    </row>
    <row r="1083" spans="1:16" ht="21.75" customHeight="1" x14ac:dyDescent="0.3">
      <c r="A1083" s="504"/>
      <c r="B1083" s="504"/>
      <c r="C1083" s="504"/>
      <c r="D1083" s="504"/>
      <c r="E1083" s="506"/>
      <c r="F1083" s="506"/>
      <c r="G1083" s="506"/>
      <c r="H1083" s="506"/>
      <c r="I1083" s="506"/>
      <c r="J1083" s="506"/>
      <c r="K1083" s="507"/>
      <c r="L1083" s="508"/>
      <c r="M1083" s="508"/>
      <c r="N1083" s="508"/>
      <c r="O1083" s="509"/>
      <c r="P1083" s="509"/>
    </row>
    <row r="1084" spans="1:16" ht="21.75" customHeight="1" x14ac:dyDescent="0.3">
      <c r="A1084" s="504"/>
      <c r="B1084" s="504"/>
      <c r="C1084" s="504"/>
      <c r="D1084" s="504"/>
      <c r="E1084" s="506"/>
      <c r="F1084" s="506"/>
      <c r="G1084" s="506"/>
      <c r="H1084" s="506"/>
      <c r="I1084" s="506"/>
      <c r="J1084" s="506"/>
      <c r="K1084" s="507"/>
      <c r="L1084" s="508"/>
      <c r="M1084" s="508"/>
      <c r="N1084" s="508"/>
      <c r="O1084" s="509"/>
      <c r="P1084" s="509"/>
    </row>
    <row r="1085" spans="1:16" ht="21.75" customHeight="1" x14ac:dyDescent="0.3">
      <c r="A1085" s="504"/>
      <c r="B1085" s="504"/>
      <c r="C1085" s="504"/>
      <c r="D1085" s="504"/>
      <c r="E1085" s="506"/>
      <c r="F1085" s="506"/>
      <c r="G1085" s="506"/>
      <c r="H1085" s="506"/>
      <c r="I1085" s="506"/>
      <c r="J1085" s="506"/>
      <c r="K1085" s="507"/>
      <c r="L1085" s="508"/>
      <c r="M1085" s="508"/>
      <c r="N1085" s="508"/>
      <c r="O1085" s="509"/>
      <c r="P1085" s="509"/>
    </row>
    <row r="1086" spans="1:16" ht="21.75" customHeight="1" x14ac:dyDescent="0.3">
      <c r="A1086" s="504"/>
      <c r="B1086" s="504"/>
      <c r="C1086" s="504"/>
      <c r="D1086" s="504"/>
      <c r="E1086" s="506"/>
      <c r="F1086" s="506"/>
      <c r="G1086" s="506"/>
      <c r="H1086" s="506"/>
      <c r="I1086" s="506"/>
      <c r="J1086" s="506"/>
      <c r="K1086" s="507"/>
      <c r="L1086" s="508"/>
      <c r="M1086" s="508"/>
      <c r="N1086" s="508"/>
      <c r="O1086" s="509"/>
      <c r="P1086" s="509"/>
    </row>
    <row r="1087" spans="1:16" ht="21.75" customHeight="1" x14ac:dyDescent="0.3">
      <c r="A1087" s="504"/>
      <c r="B1087" s="504"/>
      <c r="C1087" s="504"/>
      <c r="D1087" s="504"/>
      <c r="E1087" s="506"/>
      <c r="F1087" s="506"/>
      <c r="G1087" s="506"/>
      <c r="H1087" s="506"/>
      <c r="I1087" s="506"/>
      <c r="J1087" s="506"/>
      <c r="K1087" s="507"/>
      <c r="L1087" s="508"/>
      <c r="M1087" s="508"/>
      <c r="N1087" s="508"/>
      <c r="O1087" s="509"/>
      <c r="P1087" s="509"/>
    </row>
    <row r="1088" spans="1:16" ht="21.75" customHeight="1" x14ac:dyDescent="0.3">
      <c r="A1088" s="504"/>
      <c r="B1088" s="504"/>
      <c r="C1088" s="504"/>
      <c r="D1088" s="504"/>
      <c r="E1088" s="506"/>
      <c r="F1088" s="506"/>
      <c r="G1088" s="506"/>
      <c r="H1088" s="506"/>
      <c r="I1088" s="506"/>
      <c r="J1088" s="506"/>
      <c r="K1088" s="507"/>
      <c r="L1088" s="508"/>
      <c r="M1088" s="508"/>
      <c r="N1088" s="508"/>
      <c r="O1088" s="509"/>
      <c r="P1088" s="509"/>
    </row>
    <row r="1089" spans="1:16" ht="21.75" customHeight="1" x14ac:dyDescent="0.3">
      <c r="A1089" s="504"/>
      <c r="B1089" s="504"/>
      <c r="C1089" s="504"/>
      <c r="D1089" s="504"/>
      <c r="E1089" s="506"/>
      <c r="F1089" s="506"/>
      <c r="G1089" s="506"/>
      <c r="H1089" s="506"/>
      <c r="I1089" s="506"/>
      <c r="J1089" s="506"/>
      <c r="K1089" s="507"/>
      <c r="L1089" s="508"/>
      <c r="M1089" s="508"/>
      <c r="N1089" s="508"/>
      <c r="O1089" s="509"/>
      <c r="P1089" s="509"/>
    </row>
    <row r="1090" spans="1:16" ht="21.75" customHeight="1" x14ac:dyDescent="0.3">
      <c r="A1090" s="504"/>
      <c r="B1090" s="504"/>
      <c r="C1090" s="504"/>
      <c r="D1090" s="504"/>
      <c r="E1090" s="506"/>
      <c r="F1090" s="506"/>
      <c r="G1090" s="506"/>
      <c r="H1090" s="506"/>
      <c r="I1090" s="506"/>
      <c r="J1090" s="506"/>
      <c r="K1090" s="507"/>
      <c r="L1090" s="508"/>
      <c r="M1090" s="508"/>
      <c r="N1090" s="508"/>
      <c r="O1090" s="509"/>
      <c r="P1090" s="509"/>
    </row>
    <row r="1091" spans="1:16" ht="21.75" customHeight="1" x14ac:dyDescent="0.3">
      <c r="A1091" s="504"/>
      <c r="B1091" s="504"/>
      <c r="C1091" s="504"/>
      <c r="D1091" s="504"/>
      <c r="E1091" s="506"/>
      <c r="F1091" s="506"/>
      <c r="G1091" s="506"/>
      <c r="H1091" s="506"/>
      <c r="I1091" s="506"/>
      <c r="J1091" s="506"/>
      <c r="K1091" s="507"/>
      <c r="L1091" s="508"/>
      <c r="M1091" s="508"/>
      <c r="N1091" s="508"/>
      <c r="O1091" s="509"/>
      <c r="P1091" s="509"/>
    </row>
    <row r="1092" spans="1:16" ht="21.75" customHeight="1" x14ac:dyDescent="0.3">
      <c r="A1092" s="504"/>
      <c r="B1092" s="504"/>
      <c r="C1092" s="504"/>
      <c r="D1092" s="504"/>
      <c r="E1092" s="506"/>
      <c r="F1092" s="506"/>
      <c r="G1092" s="506"/>
      <c r="H1092" s="506"/>
      <c r="I1092" s="506"/>
      <c r="J1092" s="506"/>
      <c r="K1092" s="507"/>
      <c r="L1092" s="508"/>
      <c r="M1092" s="508"/>
      <c r="N1092" s="508"/>
      <c r="O1092" s="509"/>
      <c r="P1092" s="509"/>
    </row>
    <row r="1093" spans="1:16" ht="21.75" customHeight="1" x14ac:dyDescent="0.3">
      <c r="A1093" s="504"/>
      <c r="B1093" s="504"/>
      <c r="C1093" s="504"/>
      <c r="D1093" s="504"/>
      <c r="E1093" s="506"/>
      <c r="F1093" s="506"/>
      <c r="G1093" s="506"/>
      <c r="H1093" s="506"/>
      <c r="I1093" s="506"/>
      <c r="J1093" s="506"/>
      <c r="K1093" s="507"/>
      <c r="L1093" s="508"/>
      <c r="M1093" s="508"/>
      <c r="N1093" s="508"/>
      <c r="O1093" s="509"/>
      <c r="P1093" s="509"/>
    </row>
    <row r="1094" spans="1:16" ht="21.75" customHeight="1" x14ac:dyDescent="0.3">
      <c r="A1094" s="504"/>
      <c r="B1094" s="504"/>
      <c r="C1094" s="504"/>
      <c r="D1094" s="504"/>
      <c r="E1094" s="506"/>
      <c r="F1094" s="506"/>
      <c r="G1094" s="506"/>
      <c r="H1094" s="506"/>
      <c r="I1094" s="506"/>
      <c r="J1094" s="506"/>
      <c r="K1094" s="507"/>
      <c r="L1094" s="508"/>
      <c r="M1094" s="508"/>
      <c r="N1094" s="508"/>
      <c r="O1094" s="509"/>
      <c r="P1094" s="509"/>
    </row>
    <row r="1095" spans="1:16" ht="21.75" customHeight="1" x14ac:dyDescent="0.3">
      <c r="A1095" s="504"/>
      <c r="B1095" s="504"/>
      <c r="C1095" s="504"/>
      <c r="D1095" s="504"/>
      <c r="E1095" s="506"/>
      <c r="F1095" s="506"/>
      <c r="G1095" s="506"/>
      <c r="H1095" s="506"/>
      <c r="I1095" s="506"/>
      <c r="J1095" s="506"/>
      <c r="K1095" s="507"/>
      <c r="L1095" s="508"/>
      <c r="M1095" s="508"/>
      <c r="N1095" s="508"/>
      <c r="O1095" s="509"/>
      <c r="P1095" s="509"/>
    </row>
    <row r="1096" spans="1:16" ht="21.75" customHeight="1" x14ac:dyDescent="0.3">
      <c r="A1096" s="504"/>
      <c r="B1096" s="504"/>
      <c r="C1096" s="504"/>
      <c r="D1096" s="504"/>
      <c r="E1096" s="506"/>
      <c r="F1096" s="506"/>
      <c r="G1096" s="506"/>
      <c r="H1096" s="506"/>
      <c r="I1096" s="506"/>
      <c r="J1096" s="506"/>
      <c r="K1096" s="507"/>
      <c r="L1096" s="508"/>
      <c r="M1096" s="508"/>
      <c r="N1096" s="508"/>
      <c r="O1096" s="509"/>
      <c r="P1096" s="509"/>
    </row>
    <row r="1097" spans="1:16" ht="21.75" customHeight="1" x14ac:dyDescent="0.3">
      <c r="A1097" s="504"/>
      <c r="B1097" s="504"/>
      <c r="C1097" s="504"/>
      <c r="D1097" s="504"/>
      <c r="E1097" s="506"/>
      <c r="F1097" s="506"/>
      <c r="G1097" s="506"/>
      <c r="H1097" s="506"/>
      <c r="I1097" s="506"/>
      <c r="J1097" s="506"/>
      <c r="K1097" s="507"/>
      <c r="L1097" s="508"/>
      <c r="M1097" s="508"/>
      <c r="N1097" s="508"/>
      <c r="O1097" s="509"/>
      <c r="P1097" s="509"/>
    </row>
    <row r="1098" spans="1:16" ht="21.75" customHeight="1" x14ac:dyDescent="0.3">
      <c r="A1098" s="504"/>
      <c r="B1098" s="504"/>
      <c r="C1098" s="504"/>
      <c r="D1098" s="504"/>
      <c r="E1098" s="506"/>
      <c r="F1098" s="506"/>
      <c r="G1098" s="506"/>
      <c r="H1098" s="506"/>
      <c r="I1098" s="506"/>
      <c r="J1098" s="506"/>
      <c r="K1098" s="507"/>
      <c r="L1098" s="508"/>
      <c r="M1098" s="508"/>
      <c r="N1098" s="508"/>
      <c r="O1098" s="509"/>
      <c r="P1098" s="509"/>
    </row>
    <row r="1099" spans="1:16" ht="21.75" customHeight="1" x14ac:dyDescent="0.3">
      <c r="A1099" s="504"/>
      <c r="B1099" s="504"/>
      <c r="C1099" s="504"/>
      <c r="D1099" s="504"/>
      <c r="E1099" s="506"/>
      <c r="F1099" s="506"/>
      <c r="G1099" s="506"/>
      <c r="H1099" s="506"/>
      <c r="I1099" s="506"/>
      <c r="J1099" s="506"/>
      <c r="K1099" s="507"/>
      <c r="L1099" s="508"/>
      <c r="M1099" s="508"/>
      <c r="N1099" s="508"/>
      <c r="O1099" s="509"/>
      <c r="P1099" s="509"/>
    </row>
    <row r="1100" spans="1:16" ht="21.75" customHeight="1" x14ac:dyDescent="0.3">
      <c r="A1100" s="504"/>
      <c r="B1100" s="504"/>
      <c r="C1100" s="504"/>
      <c r="D1100" s="504"/>
      <c r="E1100" s="506"/>
      <c r="F1100" s="506"/>
      <c r="G1100" s="506"/>
      <c r="H1100" s="506"/>
      <c r="I1100" s="506"/>
      <c r="J1100" s="506"/>
      <c r="K1100" s="507"/>
      <c r="L1100" s="508"/>
      <c r="M1100" s="508"/>
      <c r="N1100" s="508"/>
      <c r="O1100" s="509"/>
      <c r="P1100" s="509"/>
    </row>
    <row r="1101" spans="1:16" ht="21.75" customHeight="1" x14ac:dyDescent="0.3">
      <c r="A1101" s="504"/>
      <c r="B1101" s="504"/>
      <c r="C1101" s="504"/>
      <c r="D1101" s="504"/>
      <c r="E1101" s="506"/>
      <c r="F1101" s="506"/>
      <c r="G1101" s="506"/>
      <c r="H1101" s="506"/>
      <c r="I1101" s="506"/>
      <c r="J1101" s="506"/>
      <c r="K1101" s="507"/>
      <c r="L1101" s="508"/>
      <c r="M1101" s="508"/>
      <c r="N1101" s="508"/>
      <c r="O1101" s="509"/>
      <c r="P1101" s="509"/>
    </row>
    <row r="1102" spans="1:16" ht="21.75" customHeight="1" x14ac:dyDescent="0.3">
      <c r="A1102" s="504"/>
      <c r="B1102" s="504"/>
      <c r="C1102" s="504"/>
      <c r="D1102" s="504"/>
      <c r="E1102" s="506"/>
      <c r="F1102" s="506"/>
      <c r="G1102" s="506"/>
      <c r="H1102" s="506"/>
      <c r="I1102" s="506"/>
      <c r="J1102" s="506"/>
      <c r="K1102" s="507"/>
      <c r="L1102" s="508"/>
      <c r="M1102" s="508"/>
      <c r="N1102" s="508"/>
      <c r="O1102" s="509"/>
      <c r="P1102" s="509"/>
    </row>
    <row r="1103" spans="1:16" ht="21.75" customHeight="1" x14ac:dyDescent="0.3">
      <c r="A1103" s="504"/>
      <c r="B1103" s="504"/>
      <c r="C1103" s="504"/>
      <c r="D1103" s="504"/>
      <c r="E1103" s="506"/>
      <c r="F1103" s="506"/>
      <c r="G1103" s="506"/>
      <c r="H1103" s="506"/>
      <c r="I1103" s="506"/>
      <c r="J1103" s="506"/>
      <c r="K1103" s="507"/>
      <c r="L1103" s="508"/>
      <c r="M1103" s="508"/>
      <c r="N1103" s="508"/>
      <c r="O1103" s="509"/>
      <c r="P1103" s="509"/>
    </row>
    <row r="1104" spans="1:16" ht="21.75" customHeight="1" x14ac:dyDescent="0.3">
      <c r="A1104" s="504"/>
      <c r="B1104" s="504"/>
      <c r="C1104" s="504"/>
      <c r="D1104" s="504"/>
      <c r="E1104" s="506"/>
      <c r="F1104" s="506"/>
      <c r="G1104" s="506"/>
      <c r="H1104" s="506"/>
      <c r="I1104" s="506"/>
      <c r="J1104" s="506"/>
      <c r="K1104" s="507"/>
      <c r="L1104" s="508"/>
      <c r="M1104" s="508"/>
      <c r="N1104" s="508"/>
      <c r="O1104" s="509"/>
      <c r="P1104" s="509"/>
    </row>
    <row r="1105" spans="1:16" ht="21.75" customHeight="1" x14ac:dyDescent="0.3">
      <c r="A1105" s="504"/>
      <c r="B1105" s="504"/>
      <c r="C1105" s="504"/>
      <c r="D1105" s="504"/>
      <c r="E1105" s="506"/>
      <c r="F1105" s="506"/>
      <c r="G1105" s="506"/>
      <c r="H1105" s="506"/>
      <c r="I1105" s="506"/>
      <c r="J1105" s="506"/>
      <c r="K1105" s="507"/>
      <c r="L1105" s="508"/>
      <c r="M1105" s="508"/>
      <c r="N1105" s="508"/>
      <c r="O1105" s="509"/>
      <c r="P1105" s="509"/>
    </row>
    <row r="1106" spans="1:16" ht="21.75" customHeight="1" x14ac:dyDescent="0.3">
      <c r="A1106" s="504"/>
      <c r="B1106" s="504"/>
      <c r="C1106" s="504"/>
      <c r="D1106" s="504"/>
      <c r="E1106" s="506"/>
      <c r="F1106" s="506"/>
      <c r="G1106" s="506"/>
      <c r="H1106" s="506"/>
      <c r="I1106" s="506"/>
      <c r="J1106" s="506"/>
      <c r="K1106" s="507"/>
      <c r="L1106" s="508"/>
      <c r="M1106" s="508"/>
      <c r="N1106" s="508"/>
      <c r="O1106" s="509"/>
      <c r="P1106" s="509"/>
    </row>
    <row r="1107" spans="1:16" ht="21.75" customHeight="1" x14ac:dyDescent="0.3">
      <c r="A1107" s="504"/>
      <c r="B1107" s="504"/>
      <c r="C1107" s="504"/>
      <c r="D1107" s="504"/>
      <c r="E1107" s="506"/>
      <c r="F1107" s="506"/>
      <c r="G1107" s="506"/>
      <c r="H1107" s="506"/>
      <c r="I1107" s="506"/>
      <c r="J1107" s="506"/>
      <c r="K1107" s="507"/>
      <c r="L1107" s="508"/>
      <c r="M1107" s="508"/>
      <c r="N1107" s="508"/>
      <c r="O1107" s="509"/>
      <c r="P1107" s="509"/>
    </row>
    <row r="1108" spans="1:16" ht="21.75" customHeight="1" x14ac:dyDescent="0.3">
      <c r="A1108" s="504"/>
      <c r="B1108" s="504"/>
      <c r="C1108" s="504"/>
      <c r="D1108" s="504"/>
      <c r="E1108" s="506"/>
      <c r="F1108" s="506"/>
      <c r="G1108" s="506"/>
      <c r="H1108" s="506"/>
      <c r="I1108" s="506"/>
      <c r="J1108" s="506"/>
      <c r="K1108" s="507"/>
      <c r="L1108" s="508"/>
      <c r="M1108" s="508"/>
      <c r="N1108" s="508"/>
      <c r="O1108" s="509"/>
      <c r="P1108" s="509"/>
    </row>
    <row r="1109" spans="1:16" ht="21.75" customHeight="1" x14ac:dyDescent="0.3">
      <c r="A1109" s="504"/>
      <c r="B1109" s="504"/>
      <c r="C1109" s="504"/>
      <c r="D1109" s="504"/>
      <c r="E1109" s="506"/>
      <c r="F1109" s="506"/>
      <c r="G1109" s="506"/>
      <c r="H1109" s="506"/>
      <c r="I1109" s="506"/>
      <c r="J1109" s="506"/>
      <c r="K1109" s="507"/>
      <c r="L1109" s="508"/>
      <c r="M1109" s="508"/>
      <c r="N1109" s="508"/>
      <c r="O1109" s="509"/>
      <c r="P1109" s="509"/>
    </row>
    <row r="1110" spans="1:16" ht="21.75" customHeight="1" x14ac:dyDescent="0.3">
      <c r="A1110" s="504"/>
      <c r="B1110" s="504"/>
      <c r="C1110" s="504"/>
      <c r="D1110" s="504"/>
      <c r="E1110" s="506"/>
      <c r="F1110" s="506"/>
      <c r="G1110" s="506"/>
      <c r="H1110" s="506"/>
      <c r="I1110" s="506"/>
      <c r="J1110" s="506"/>
      <c r="K1110" s="507"/>
      <c r="L1110" s="508"/>
      <c r="M1110" s="508"/>
      <c r="N1110" s="508"/>
      <c r="O1110" s="509"/>
      <c r="P1110" s="509"/>
    </row>
    <row r="1111" spans="1:16" ht="21.75" customHeight="1" x14ac:dyDescent="0.3">
      <c r="A1111" s="504"/>
      <c r="B1111" s="504"/>
      <c r="C1111" s="504"/>
      <c r="D1111" s="504"/>
      <c r="E1111" s="506"/>
      <c r="F1111" s="506"/>
      <c r="G1111" s="506"/>
      <c r="H1111" s="506"/>
      <c r="I1111" s="506"/>
      <c r="J1111" s="506"/>
      <c r="K1111" s="507"/>
      <c r="L1111" s="508"/>
      <c r="M1111" s="508"/>
      <c r="N1111" s="508"/>
      <c r="O1111" s="509"/>
      <c r="P1111" s="509"/>
    </row>
    <row r="1112" spans="1:16" ht="21.75" customHeight="1" x14ac:dyDescent="0.3">
      <c r="A1112" s="504"/>
      <c r="B1112" s="504"/>
      <c r="C1112" s="504"/>
      <c r="D1112" s="504"/>
      <c r="E1112" s="506"/>
      <c r="F1112" s="506"/>
      <c r="G1112" s="506"/>
      <c r="H1112" s="506"/>
      <c r="I1112" s="506"/>
      <c r="J1112" s="506"/>
      <c r="K1112" s="507"/>
      <c r="L1112" s="508"/>
      <c r="M1112" s="508"/>
      <c r="N1112" s="508"/>
      <c r="O1112" s="509"/>
      <c r="P1112" s="509"/>
    </row>
    <row r="1113" spans="1:16" ht="21.75" customHeight="1" x14ac:dyDescent="0.3">
      <c r="A1113" s="504"/>
      <c r="B1113" s="504"/>
      <c r="C1113" s="504"/>
      <c r="D1113" s="504"/>
      <c r="E1113" s="506"/>
      <c r="F1113" s="506"/>
      <c r="G1113" s="506"/>
      <c r="H1113" s="506"/>
      <c r="I1113" s="506"/>
      <c r="J1113" s="506"/>
      <c r="K1113" s="507"/>
      <c r="L1113" s="508"/>
      <c r="M1113" s="508"/>
      <c r="N1113" s="508"/>
      <c r="O1113" s="509"/>
      <c r="P1113" s="509"/>
    </row>
    <row r="1114" spans="1:16" ht="21.75" customHeight="1" x14ac:dyDescent="0.3">
      <c r="A1114" s="504"/>
      <c r="B1114" s="504"/>
      <c r="C1114" s="504"/>
      <c r="D1114" s="504"/>
      <c r="E1114" s="506"/>
      <c r="F1114" s="506"/>
      <c r="G1114" s="506"/>
      <c r="H1114" s="506"/>
      <c r="I1114" s="506"/>
      <c r="J1114" s="506"/>
      <c r="K1114" s="507"/>
      <c r="L1114" s="508"/>
      <c r="M1114" s="508"/>
      <c r="N1114" s="508"/>
      <c r="O1114" s="509"/>
      <c r="P1114" s="509"/>
    </row>
    <row r="1115" spans="1:16" ht="21.75" customHeight="1" x14ac:dyDescent="0.3">
      <c r="A1115" s="504"/>
      <c r="B1115" s="504"/>
      <c r="C1115" s="504"/>
      <c r="D1115" s="504"/>
      <c r="E1115" s="506"/>
      <c r="F1115" s="506"/>
      <c r="G1115" s="506"/>
      <c r="H1115" s="506"/>
      <c r="I1115" s="506"/>
      <c r="J1115" s="506"/>
      <c r="K1115" s="507"/>
      <c r="L1115" s="508"/>
      <c r="M1115" s="508"/>
      <c r="N1115" s="508"/>
      <c r="O1115" s="509"/>
      <c r="P1115" s="509"/>
    </row>
    <row r="1116" spans="1:16" ht="21.75" customHeight="1" x14ac:dyDescent="0.3">
      <c r="A1116" s="504"/>
      <c r="B1116" s="504"/>
      <c r="C1116" s="504"/>
      <c r="D1116" s="504"/>
      <c r="E1116" s="506"/>
      <c r="F1116" s="506"/>
      <c r="G1116" s="506"/>
      <c r="H1116" s="506"/>
      <c r="I1116" s="506"/>
      <c r="J1116" s="506"/>
      <c r="K1116" s="507"/>
      <c r="L1116" s="508"/>
      <c r="M1116" s="508"/>
      <c r="N1116" s="508"/>
      <c r="O1116" s="509"/>
      <c r="P1116" s="509"/>
    </row>
    <row r="1117" spans="1:16" ht="21.75" customHeight="1" x14ac:dyDescent="0.3">
      <c r="A1117" s="504"/>
      <c r="B1117" s="504"/>
      <c r="C1117" s="504"/>
      <c r="D1117" s="504"/>
      <c r="E1117" s="506"/>
      <c r="F1117" s="506"/>
      <c r="G1117" s="506"/>
      <c r="H1117" s="506"/>
      <c r="I1117" s="506"/>
      <c r="J1117" s="506"/>
      <c r="K1117" s="507"/>
      <c r="L1117" s="508"/>
      <c r="M1117" s="508"/>
      <c r="N1117" s="508"/>
      <c r="O1117" s="509"/>
      <c r="P1117" s="509"/>
    </row>
    <row r="1118" spans="1:16" ht="21.75" customHeight="1" x14ac:dyDescent="0.3">
      <c r="A1118" s="504"/>
      <c r="B1118" s="504"/>
      <c r="C1118" s="504"/>
      <c r="D1118" s="504"/>
      <c r="E1118" s="506"/>
      <c r="F1118" s="506"/>
      <c r="G1118" s="506"/>
      <c r="H1118" s="506"/>
      <c r="I1118" s="506"/>
      <c r="J1118" s="506"/>
      <c r="K1118" s="507"/>
      <c r="L1118" s="508"/>
      <c r="M1118" s="508"/>
      <c r="N1118" s="508"/>
      <c r="O1118" s="509"/>
      <c r="P1118" s="509"/>
    </row>
    <row r="1119" spans="1:16" ht="21.75" customHeight="1" x14ac:dyDescent="0.3">
      <c r="A1119" s="504"/>
      <c r="B1119" s="504"/>
      <c r="C1119" s="504"/>
      <c r="D1119" s="504"/>
      <c r="E1119" s="506"/>
      <c r="F1119" s="506"/>
      <c r="G1119" s="506"/>
      <c r="H1119" s="506"/>
      <c r="I1119" s="506"/>
      <c r="J1119" s="506"/>
      <c r="K1119" s="507"/>
      <c r="L1119" s="508"/>
      <c r="M1119" s="508"/>
      <c r="N1119" s="508"/>
      <c r="O1119" s="509"/>
      <c r="P1119" s="509"/>
    </row>
    <row r="1120" spans="1:16" ht="21.75" customHeight="1" x14ac:dyDescent="0.3">
      <c r="A1120" s="504"/>
      <c r="B1120" s="504"/>
      <c r="C1120" s="504"/>
      <c r="D1120" s="504"/>
      <c r="E1120" s="506"/>
      <c r="F1120" s="506"/>
      <c r="G1120" s="506"/>
      <c r="H1120" s="506"/>
      <c r="I1120" s="506"/>
      <c r="J1120" s="506"/>
      <c r="K1120" s="507"/>
      <c r="L1120" s="508"/>
      <c r="M1120" s="508"/>
      <c r="N1120" s="508"/>
      <c r="O1120" s="509"/>
      <c r="P1120" s="509"/>
    </row>
    <row r="1121" spans="1:16" ht="21.75" customHeight="1" x14ac:dyDescent="0.3">
      <c r="A1121" s="504"/>
      <c r="B1121" s="504"/>
      <c r="C1121" s="504"/>
      <c r="D1121" s="504"/>
      <c r="E1121" s="506"/>
      <c r="F1121" s="506"/>
      <c r="G1121" s="506"/>
      <c r="H1121" s="506"/>
      <c r="I1121" s="506"/>
      <c r="J1121" s="506"/>
      <c r="K1121" s="507"/>
      <c r="L1121" s="508"/>
      <c r="M1121" s="508"/>
      <c r="N1121" s="508"/>
      <c r="O1121" s="509"/>
      <c r="P1121" s="509"/>
    </row>
    <row r="1122" spans="1:16" ht="21.75" customHeight="1" x14ac:dyDescent="0.3">
      <c r="A1122" s="504"/>
      <c r="B1122" s="504"/>
      <c r="C1122" s="504"/>
      <c r="D1122" s="504"/>
      <c r="E1122" s="506"/>
      <c r="F1122" s="506"/>
      <c r="G1122" s="506"/>
      <c r="H1122" s="506"/>
      <c r="I1122" s="506"/>
      <c r="J1122" s="506"/>
      <c r="K1122" s="507"/>
      <c r="L1122" s="508"/>
      <c r="M1122" s="508"/>
      <c r="N1122" s="508"/>
      <c r="O1122" s="509"/>
      <c r="P1122" s="509"/>
    </row>
    <row r="1123" spans="1:16" ht="21.75" customHeight="1" x14ac:dyDescent="0.3">
      <c r="A1123" s="504"/>
      <c r="B1123" s="504"/>
      <c r="C1123" s="504"/>
      <c r="D1123" s="504"/>
      <c r="E1123" s="506"/>
      <c r="F1123" s="506"/>
      <c r="G1123" s="506"/>
      <c r="H1123" s="506"/>
      <c r="I1123" s="506"/>
      <c r="J1123" s="506"/>
      <c r="K1123" s="507"/>
      <c r="L1123" s="508"/>
      <c r="M1123" s="508"/>
      <c r="N1123" s="508"/>
      <c r="O1123" s="509"/>
      <c r="P1123" s="509"/>
    </row>
    <row r="1124" spans="1:16" ht="21.75" customHeight="1" x14ac:dyDescent="0.3">
      <c r="A1124" s="504"/>
      <c r="B1124" s="504"/>
      <c r="C1124" s="504"/>
      <c r="D1124" s="504"/>
      <c r="E1124" s="506"/>
      <c r="F1124" s="506"/>
      <c r="G1124" s="506"/>
      <c r="H1124" s="506"/>
      <c r="I1124" s="506"/>
      <c r="J1124" s="506"/>
      <c r="K1124" s="507"/>
      <c r="L1124" s="508"/>
      <c r="M1124" s="508"/>
      <c r="N1124" s="508"/>
      <c r="O1124" s="509"/>
      <c r="P1124" s="509"/>
    </row>
    <row r="1125" spans="1:16" ht="21.75" customHeight="1" x14ac:dyDescent="0.3">
      <c r="A1125" s="504"/>
      <c r="B1125" s="504"/>
      <c r="C1125" s="504"/>
      <c r="D1125" s="504"/>
      <c r="E1125" s="506"/>
      <c r="F1125" s="506"/>
      <c r="G1125" s="506"/>
      <c r="H1125" s="506"/>
      <c r="I1125" s="506"/>
      <c r="J1125" s="506"/>
      <c r="K1125" s="507"/>
      <c r="L1125" s="508"/>
      <c r="M1125" s="508"/>
      <c r="N1125" s="508"/>
      <c r="O1125" s="509"/>
      <c r="P1125" s="509"/>
    </row>
    <row r="1126" spans="1:16" ht="21.75" customHeight="1" x14ac:dyDescent="0.3">
      <c r="A1126" s="504"/>
      <c r="B1126" s="504"/>
      <c r="C1126" s="504"/>
      <c r="D1126" s="504"/>
      <c r="E1126" s="506"/>
      <c r="F1126" s="506"/>
      <c r="G1126" s="506"/>
      <c r="H1126" s="506"/>
      <c r="I1126" s="506"/>
      <c r="J1126" s="506"/>
      <c r="K1126" s="507"/>
      <c r="L1126" s="508"/>
      <c r="M1126" s="508"/>
      <c r="N1126" s="508"/>
      <c r="O1126" s="509"/>
      <c r="P1126" s="509"/>
    </row>
    <row r="1127" spans="1:16" ht="21.75" customHeight="1" x14ac:dyDescent="0.3">
      <c r="A1127" s="504"/>
      <c r="B1127" s="504"/>
      <c r="C1127" s="504"/>
      <c r="D1127" s="504"/>
      <c r="E1127" s="506"/>
      <c r="F1127" s="506"/>
      <c r="G1127" s="506"/>
      <c r="H1127" s="506"/>
      <c r="I1127" s="506"/>
      <c r="J1127" s="506"/>
      <c r="K1127" s="507"/>
      <c r="L1127" s="508"/>
      <c r="M1127" s="508"/>
      <c r="N1127" s="508"/>
      <c r="O1127" s="509"/>
      <c r="P1127" s="509"/>
    </row>
    <row r="1128" spans="1:16" ht="21.75" customHeight="1" x14ac:dyDescent="0.3">
      <c r="A1128" s="504"/>
      <c r="B1128" s="504"/>
      <c r="C1128" s="504"/>
      <c r="D1128" s="504"/>
      <c r="E1128" s="506"/>
      <c r="F1128" s="506"/>
      <c r="G1128" s="506"/>
      <c r="H1128" s="506"/>
      <c r="I1128" s="506"/>
      <c r="J1128" s="506"/>
      <c r="K1128" s="507"/>
      <c r="L1128" s="508"/>
      <c r="M1128" s="508"/>
      <c r="N1128" s="508"/>
      <c r="O1128" s="509"/>
      <c r="P1128" s="509"/>
    </row>
    <row r="1129" spans="1:16" ht="21.75" customHeight="1" x14ac:dyDescent="0.3">
      <c r="A1129" s="504"/>
      <c r="B1129" s="504"/>
      <c r="C1129" s="504"/>
      <c r="D1129" s="504"/>
      <c r="E1129" s="506"/>
      <c r="F1129" s="506"/>
      <c r="G1129" s="506"/>
      <c r="H1129" s="506"/>
      <c r="I1129" s="506"/>
      <c r="J1129" s="506"/>
      <c r="K1129" s="507"/>
      <c r="L1129" s="508"/>
      <c r="M1129" s="508"/>
      <c r="N1129" s="508"/>
      <c r="O1129" s="509"/>
      <c r="P1129" s="509"/>
    </row>
    <row r="1130" spans="1:16" ht="21.75" customHeight="1" x14ac:dyDescent="0.3">
      <c r="A1130" s="504"/>
      <c r="B1130" s="504"/>
      <c r="C1130" s="504"/>
      <c r="D1130" s="504"/>
      <c r="E1130" s="506"/>
      <c r="F1130" s="506"/>
      <c r="G1130" s="506"/>
      <c r="H1130" s="506"/>
      <c r="I1130" s="506"/>
      <c r="J1130" s="506"/>
      <c r="K1130" s="507"/>
      <c r="L1130" s="508"/>
      <c r="M1130" s="508"/>
      <c r="N1130" s="508"/>
      <c r="O1130" s="509"/>
      <c r="P1130" s="509"/>
    </row>
    <row r="1131" spans="1:16" ht="21.75" customHeight="1" x14ac:dyDescent="0.3">
      <c r="A1131" s="504"/>
      <c r="B1131" s="504"/>
      <c r="C1131" s="504"/>
      <c r="D1131" s="504"/>
      <c r="E1131" s="506"/>
      <c r="F1131" s="506"/>
      <c r="G1131" s="506"/>
      <c r="H1131" s="506"/>
      <c r="I1131" s="506"/>
      <c r="J1131" s="506"/>
      <c r="K1131" s="507"/>
      <c r="L1131" s="508"/>
      <c r="M1131" s="508"/>
      <c r="N1131" s="508"/>
      <c r="O1131" s="509"/>
      <c r="P1131" s="509"/>
    </row>
    <row r="1132" spans="1:16" ht="21.75" customHeight="1" x14ac:dyDescent="0.3">
      <c r="A1132" s="504"/>
      <c r="B1132" s="504"/>
      <c r="C1132" s="504"/>
      <c r="D1132" s="504"/>
      <c r="E1132" s="506"/>
      <c r="F1132" s="506"/>
      <c r="G1132" s="506"/>
      <c r="H1132" s="506"/>
      <c r="I1132" s="506"/>
      <c r="J1132" s="506"/>
      <c r="K1132" s="507"/>
      <c r="L1132" s="508"/>
      <c r="M1132" s="508"/>
      <c r="N1132" s="508"/>
      <c r="O1132" s="509"/>
      <c r="P1132" s="509"/>
    </row>
    <row r="1133" spans="1:16" ht="21.75" customHeight="1" x14ac:dyDescent="0.3">
      <c r="A1133" s="504"/>
      <c r="B1133" s="504"/>
      <c r="C1133" s="504"/>
      <c r="D1133" s="504"/>
      <c r="E1133" s="506"/>
      <c r="F1133" s="506"/>
      <c r="G1133" s="506"/>
      <c r="H1133" s="506"/>
      <c r="I1133" s="506"/>
      <c r="J1133" s="506"/>
      <c r="K1133" s="507"/>
      <c r="L1133" s="508"/>
      <c r="M1133" s="508"/>
      <c r="N1133" s="508"/>
      <c r="O1133" s="509"/>
      <c r="P1133" s="509"/>
    </row>
    <row r="1134" spans="1:16" ht="21.75" customHeight="1" x14ac:dyDescent="0.3">
      <c r="A1134" s="504"/>
      <c r="B1134" s="504"/>
      <c r="C1134" s="504"/>
      <c r="D1134" s="504"/>
      <c r="E1134" s="506"/>
      <c r="F1134" s="506"/>
      <c r="G1134" s="506"/>
      <c r="H1134" s="506"/>
      <c r="I1134" s="506"/>
      <c r="J1134" s="506"/>
      <c r="K1134" s="507"/>
      <c r="L1134" s="508"/>
      <c r="M1134" s="508"/>
      <c r="N1134" s="508"/>
      <c r="O1134" s="509"/>
      <c r="P1134" s="509"/>
    </row>
    <row r="1135" spans="1:16" ht="21.75" customHeight="1" x14ac:dyDescent="0.3">
      <c r="A1135" s="504"/>
      <c r="B1135" s="504"/>
      <c r="C1135" s="504"/>
      <c r="D1135" s="504"/>
      <c r="E1135" s="506"/>
      <c r="F1135" s="506"/>
      <c r="G1135" s="506"/>
      <c r="H1135" s="506"/>
      <c r="I1135" s="506"/>
      <c r="J1135" s="506"/>
      <c r="K1135" s="507"/>
      <c r="L1135" s="508"/>
      <c r="M1135" s="508"/>
      <c r="N1135" s="508"/>
      <c r="O1135" s="509"/>
      <c r="P1135" s="509"/>
    </row>
    <row r="1136" spans="1:16" ht="21.75" customHeight="1" x14ac:dyDescent="0.3">
      <c r="A1136" s="504"/>
      <c r="B1136" s="504"/>
      <c r="C1136" s="504"/>
      <c r="D1136" s="504"/>
      <c r="E1136" s="506"/>
      <c r="F1136" s="506"/>
      <c r="G1136" s="506"/>
      <c r="H1136" s="506"/>
      <c r="I1136" s="506"/>
      <c r="J1136" s="506"/>
      <c r="K1136" s="507"/>
      <c r="L1136" s="508"/>
      <c r="M1136" s="508"/>
      <c r="N1136" s="508"/>
      <c r="O1136" s="509"/>
      <c r="P1136" s="509"/>
    </row>
    <row r="1137" spans="1:16" ht="21.75" customHeight="1" x14ac:dyDescent="0.3">
      <c r="A1137" s="504"/>
      <c r="B1137" s="504"/>
      <c r="C1137" s="504"/>
      <c r="D1137" s="504"/>
      <c r="E1137" s="506"/>
      <c r="F1137" s="506"/>
      <c r="G1137" s="506"/>
      <c r="H1137" s="506"/>
      <c r="I1137" s="506"/>
      <c r="J1137" s="506"/>
      <c r="K1137" s="507"/>
      <c r="L1137" s="508"/>
      <c r="M1137" s="508"/>
      <c r="N1137" s="508"/>
      <c r="O1137" s="509"/>
      <c r="P1137" s="509"/>
    </row>
    <row r="1138" spans="1:16" ht="21.75" customHeight="1" x14ac:dyDescent="0.3">
      <c r="A1138" s="504"/>
      <c r="B1138" s="504"/>
      <c r="C1138" s="504"/>
      <c r="D1138" s="504"/>
      <c r="E1138" s="506"/>
      <c r="F1138" s="506"/>
      <c r="G1138" s="506"/>
      <c r="H1138" s="506"/>
      <c r="I1138" s="506"/>
      <c r="J1138" s="506"/>
      <c r="K1138" s="507"/>
      <c r="L1138" s="508"/>
      <c r="M1138" s="508"/>
      <c r="N1138" s="508"/>
      <c r="O1138" s="509"/>
      <c r="P1138" s="509"/>
    </row>
    <row r="1139" spans="1:16" ht="21.75" customHeight="1" x14ac:dyDescent="0.3">
      <c r="A1139" s="504"/>
      <c r="B1139" s="504"/>
      <c r="C1139" s="504"/>
      <c r="D1139" s="504"/>
      <c r="E1139" s="506"/>
      <c r="F1139" s="506"/>
      <c r="G1139" s="506"/>
      <c r="H1139" s="506"/>
      <c r="I1139" s="506"/>
      <c r="J1139" s="506"/>
      <c r="K1139" s="507"/>
      <c r="L1139" s="508"/>
      <c r="M1139" s="508"/>
      <c r="N1139" s="508"/>
      <c r="O1139" s="509"/>
      <c r="P1139" s="509"/>
    </row>
    <row r="1140" spans="1:16" ht="21.75" customHeight="1" x14ac:dyDescent="0.3">
      <c r="A1140" s="504"/>
      <c r="B1140" s="504"/>
      <c r="C1140" s="504"/>
      <c r="D1140" s="504"/>
      <c r="E1140" s="506"/>
      <c r="F1140" s="506"/>
      <c r="G1140" s="506"/>
      <c r="H1140" s="506"/>
      <c r="I1140" s="506"/>
      <c r="J1140" s="506"/>
      <c r="K1140" s="507"/>
      <c r="L1140" s="508"/>
      <c r="M1140" s="508"/>
      <c r="N1140" s="508"/>
      <c r="O1140" s="509"/>
      <c r="P1140" s="509"/>
    </row>
    <row r="1141" spans="1:16" ht="21.75" customHeight="1" x14ac:dyDescent="0.3">
      <c r="A1141" s="504"/>
      <c r="B1141" s="504"/>
      <c r="C1141" s="504"/>
      <c r="D1141" s="504"/>
      <c r="E1141" s="506"/>
      <c r="F1141" s="506"/>
      <c r="G1141" s="506"/>
      <c r="H1141" s="506"/>
      <c r="I1141" s="506"/>
      <c r="J1141" s="506"/>
      <c r="K1141" s="507"/>
      <c r="L1141" s="508"/>
      <c r="M1141" s="508"/>
      <c r="N1141" s="508"/>
      <c r="O1141" s="509"/>
      <c r="P1141" s="509"/>
    </row>
    <row r="1142" spans="1:16" ht="21.75" customHeight="1" x14ac:dyDescent="0.3">
      <c r="A1142" s="504"/>
      <c r="B1142" s="504"/>
      <c r="C1142" s="504"/>
      <c r="D1142" s="504"/>
      <c r="E1142" s="506"/>
      <c r="F1142" s="506"/>
      <c r="G1142" s="506"/>
      <c r="H1142" s="506"/>
      <c r="I1142" s="506"/>
      <c r="J1142" s="506"/>
      <c r="K1142" s="507"/>
      <c r="L1142" s="508"/>
      <c r="M1142" s="508"/>
      <c r="N1142" s="508"/>
      <c r="O1142" s="509"/>
      <c r="P1142" s="509"/>
    </row>
    <row r="1143" spans="1:16" ht="21.75" customHeight="1" x14ac:dyDescent="0.3">
      <c r="A1143" s="504"/>
      <c r="B1143" s="504"/>
      <c r="C1143" s="504"/>
      <c r="D1143" s="504"/>
      <c r="E1143" s="506"/>
      <c r="F1143" s="506"/>
      <c r="G1143" s="506"/>
      <c r="H1143" s="506"/>
      <c r="I1143" s="506"/>
      <c r="J1143" s="506"/>
      <c r="K1143" s="507"/>
      <c r="L1143" s="508"/>
      <c r="M1143" s="508"/>
      <c r="N1143" s="508"/>
      <c r="O1143" s="509"/>
      <c r="P1143" s="509"/>
    </row>
  </sheetData>
  <mergeCells count="49">
    <mergeCell ref="D310:G310"/>
    <mergeCell ref="D317:E317"/>
    <mergeCell ref="D329:G329"/>
    <mergeCell ref="D336:E336"/>
    <mergeCell ref="D140:G140"/>
    <mergeCell ref="D147:E147"/>
    <mergeCell ref="D220:G220"/>
    <mergeCell ref="D227:E227"/>
    <mergeCell ref="D250:G250"/>
    <mergeCell ref="D257:E257"/>
    <mergeCell ref="D271:G271"/>
    <mergeCell ref="D118:G118"/>
    <mergeCell ref="D125:E125"/>
    <mergeCell ref="D278:E278"/>
    <mergeCell ref="D290:G290"/>
    <mergeCell ref="D297:E297"/>
    <mergeCell ref="D60:E60"/>
    <mergeCell ref="D66:G66"/>
    <mergeCell ref="D73:E73"/>
    <mergeCell ref="D94:G94"/>
    <mergeCell ref="D101:E101"/>
    <mergeCell ref="D44:F44"/>
    <mergeCell ref="D48:E48"/>
    <mergeCell ref="B52:G52"/>
    <mergeCell ref="D53:G53"/>
    <mergeCell ref="D56:F56"/>
    <mergeCell ref="D31:F31"/>
    <mergeCell ref="D35:E35"/>
    <mergeCell ref="A38:G38"/>
    <mergeCell ref="B39:G39"/>
    <mergeCell ref="D41:G41"/>
    <mergeCell ref="D18:G18"/>
    <mergeCell ref="D21:F21"/>
    <mergeCell ref="D25:E25"/>
    <mergeCell ref="A27:G27"/>
    <mergeCell ref="D28:G28"/>
    <mergeCell ref="A7:G7"/>
    <mergeCell ref="D8:G8"/>
    <mergeCell ref="D11:F11"/>
    <mergeCell ref="D15:E15"/>
    <mergeCell ref="A17:G17"/>
    <mergeCell ref="H5:H6"/>
    <mergeCell ref="I5:K5"/>
    <mergeCell ref="L5:M5"/>
    <mergeCell ref="N5:P5"/>
    <mergeCell ref="A5:G6"/>
    <mergeCell ref="A1:P1"/>
    <mergeCell ref="A2:P2"/>
    <mergeCell ref="A3:P3"/>
  </mergeCells>
  <printOptions horizontalCentered="1"/>
  <pageMargins left="0.23622047244094491" right="0.27559055118110237" top="0.31496062992125984" bottom="0.39370078740157483" header="0" footer="0"/>
  <pageSetup paperSize="9" scale="39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46" max="16383" man="1"/>
    <brk id="326" max="16383" man="1"/>
    <brk id="400" max="16383" man="1"/>
    <brk id="486" max="16383" man="1"/>
    <brk id="563" max="16383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J7" sqref="J7"/>
      <selection pane="bottomLeft" activeCell="J568" sqref="J568"/>
    </sheetView>
  </sheetViews>
  <sheetFormatPr defaultColWidth="12.6640625" defaultRowHeight="15" customHeight="1" x14ac:dyDescent="0.3"/>
  <cols>
    <col min="1" max="3" width="2.75" customWidth="1"/>
    <col min="4" max="6" width="5" customWidth="1"/>
    <col min="7" max="7" width="70.9140625" customWidth="1"/>
    <col min="8" max="8" width="9.5" customWidth="1"/>
    <col min="9" max="10" width="13.9140625" customWidth="1"/>
    <col min="11" max="11" width="10.08203125" bestFit="1" customWidth="1"/>
    <col min="12" max="12" width="16.33203125" bestFit="1" customWidth="1"/>
    <col min="13" max="13" width="17.6640625" customWidth="1"/>
    <col min="14" max="14" width="19.5" customWidth="1"/>
    <col min="15" max="15" width="16.5" customWidth="1"/>
    <col min="16" max="16" width="18" customWidth="1"/>
  </cols>
  <sheetData>
    <row r="1" spans="1:16" ht="18" customHeight="1" x14ac:dyDescent="0.3">
      <c r="A1" s="512" t="s">
        <v>0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</row>
    <row r="2" spans="1:16" ht="18" customHeight="1" x14ac:dyDescent="0.3">
      <c r="A2" s="512" t="s">
        <v>268</v>
      </c>
      <c r="B2" s="512"/>
      <c r="C2" s="512"/>
      <c r="D2" s="512"/>
      <c r="E2" s="512"/>
      <c r="F2" s="512"/>
      <c r="G2" s="512"/>
      <c r="H2" s="512"/>
      <c r="I2" s="512"/>
      <c r="J2" s="512"/>
      <c r="K2" s="512"/>
      <c r="L2" s="512"/>
      <c r="M2" s="512"/>
      <c r="N2" s="512"/>
      <c r="O2" s="512"/>
      <c r="P2" s="512"/>
    </row>
    <row r="3" spans="1:16" ht="18" customHeight="1" x14ac:dyDescent="0.3">
      <c r="A3" s="512" t="s">
        <v>272</v>
      </c>
      <c r="B3" s="512"/>
      <c r="C3" s="512"/>
      <c r="D3" s="512"/>
      <c r="E3" s="512"/>
      <c r="F3" s="512"/>
      <c r="G3" s="512"/>
      <c r="H3" s="512"/>
      <c r="I3" s="512"/>
      <c r="J3" s="512"/>
      <c r="K3" s="512"/>
      <c r="L3" s="512"/>
      <c r="M3" s="512"/>
      <c r="N3" s="512"/>
      <c r="O3" s="512"/>
      <c r="P3" s="512"/>
    </row>
    <row r="4" spans="1:16" ht="33.75" customHeight="1" x14ac:dyDescent="0.3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3">
      <c r="A5" s="520" t="s">
        <v>2</v>
      </c>
      <c r="B5" s="521"/>
      <c r="C5" s="521"/>
      <c r="D5" s="521"/>
      <c r="E5" s="521"/>
      <c r="F5" s="521"/>
      <c r="G5" s="522"/>
      <c r="H5" s="513" t="s">
        <v>3</v>
      </c>
      <c r="I5" s="515" t="s">
        <v>4</v>
      </c>
      <c r="J5" s="516"/>
      <c r="K5" s="517"/>
      <c r="L5" s="518" t="s">
        <v>5</v>
      </c>
      <c r="M5" s="517"/>
      <c r="N5" s="519" t="s">
        <v>6</v>
      </c>
      <c r="O5" s="516"/>
      <c r="P5" s="517"/>
    </row>
    <row r="6" spans="1:16" ht="21.75" customHeight="1" x14ac:dyDescent="0.3">
      <c r="A6" s="523"/>
      <c r="B6" s="524"/>
      <c r="C6" s="524"/>
      <c r="D6" s="524"/>
      <c r="E6" s="524"/>
      <c r="F6" s="524"/>
      <c r="G6" s="525"/>
      <c r="H6" s="514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45">
      <c r="A7" s="526" t="s">
        <v>15</v>
      </c>
      <c r="B7" s="516"/>
      <c r="C7" s="516"/>
      <c r="D7" s="516"/>
      <c r="E7" s="516"/>
      <c r="F7" s="516"/>
      <c r="G7" s="517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45">
      <c r="A8" s="17"/>
      <c r="B8" s="18"/>
      <c r="C8" s="19" t="s">
        <v>16</v>
      </c>
      <c r="D8" s="527" t="s">
        <v>17</v>
      </c>
      <c r="E8" s="528"/>
      <c r="F8" s="528"/>
      <c r="G8" s="528"/>
      <c r="H8" s="20" t="s">
        <v>12</v>
      </c>
      <c r="I8" s="21"/>
      <c r="J8" s="21"/>
      <c r="K8" s="22"/>
      <c r="L8" s="23">
        <f t="shared" ref="L8:N8" ca="1" si="0">L9+L10</f>
        <v>5639792</v>
      </c>
      <c r="M8" s="23">
        <f t="shared" ca="1" si="0"/>
        <v>2261795</v>
      </c>
      <c r="N8" s="23">
        <f t="shared" ca="1" si="0"/>
        <v>2288075.4</v>
      </c>
      <c r="O8" s="22">
        <f t="shared" ref="O8:O16" ca="1" si="1">IF(L8&gt;0,N8*100/L8,0)</f>
        <v>40.570208972245787</v>
      </c>
      <c r="P8" s="22">
        <f t="shared" ref="P8:P16" ca="1" si="2">IF(M8&gt;0,N8*100/M8,0)</f>
        <v>101.16192669981143</v>
      </c>
    </row>
    <row r="9" spans="1:16" ht="21.75" customHeight="1" x14ac:dyDescent="0.45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45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5639792</v>
      </c>
      <c r="M10" s="30">
        <f t="shared" ca="1" si="4"/>
        <v>2261795</v>
      </c>
      <c r="N10" s="30">
        <f t="shared" ca="1" si="4"/>
        <v>2288075.4</v>
      </c>
      <c r="O10" s="29">
        <f t="shared" ca="1" si="1"/>
        <v>40.570208972245787</v>
      </c>
      <c r="P10" s="29">
        <f t="shared" ca="1" si="2"/>
        <v>101.16192669981143</v>
      </c>
    </row>
    <row r="11" spans="1:16" ht="21.75" customHeight="1" x14ac:dyDescent="0.45">
      <c r="A11" s="31"/>
      <c r="B11" s="32"/>
      <c r="C11" s="33" t="s">
        <v>16</v>
      </c>
      <c r="D11" s="529" t="s">
        <v>20</v>
      </c>
      <c r="E11" s="530"/>
      <c r="F11" s="530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45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4749392</v>
      </c>
      <c r="M12" s="38">
        <f t="shared" ca="1" si="6"/>
        <v>1371395</v>
      </c>
      <c r="N12" s="38">
        <f t="shared" ca="1" si="6"/>
        <v>1442645.4</v>
      </c>
      <c r="O12" s="38">
        <f t="shared" ca="1" si="1"/>
        <v>30.375370152642695</v>
      </c>
      <c r="P12" s="38">
        <f t="shared" ca="1" si="2"/>
        <v>105.19546884741449</v>
      </c>
    </row>
    <row r="13" spans="1:16" ht="21.75" customHeight="1" x14ac:dyDescent="0.45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1880100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45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2869292</v>
      </c>
      <c r="M14" s="38">
        <f t="shared" si="8"/>
        <v>0</v>
      </c>
      <c r="N14" s="38">
        <f t="shared" ca="1" si="8"/>
        <v>335382.40000000002</v>
      </c>
      <c r="O14" s="38">
        <f t="shared" ca="1" si="1"/>
        <v>11.688681388997706</v>
      </c>
      <c r="P14" s="38">
        <f t="shared" si="2"/>
        <v>0</v>
      </c>
    </row>
    <row r="15" spans="1:16" ht="21.75" customHeight="1" x14ac:dyDescent="0.45">
      <c r="A15" s="31"/>
      <c r="B15" s="32"/>
      <c r="C15" s="33" t="s">
        <v>16</v>
      </c>
      <c r="D15" s="529" t="s">
        <v>23</v>
      </c>
      <c r="E15" s="530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45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890400</v>
      </c>
      <c r="M16" s="38">
        <f t="shared" ca="1" si="10"/>
        <v>890400</v>
      </c>
      <c r="N16" s="38">
        <f t="shared" ca="1" si="10"/>
        <v>845430</v>
      </c>
      <c r="O16" s="49">
        <f t="shared" ca="1" si="1"/>
        <v>94.94946091644205</v>
      </c>
      <c r="P16" s="49">
        <f t="shared" ca="1" si="2"/>
        <v>94.94946091644205</v>
      </c>
    </row>
    <row r="17" spans="1:16" ht="21.75" customHeight="1" x14ac:dyDescent="0.45">
      <c r="A17" s="526" t="s">
        <v>24</v>
      </c>
      <c r="B17" s="516"/>
      <c r="C17" s="516"/>
      <c r="D17" s="516"/>
      <c r="E17" s="516"/>
      <c r="F17" s="516"/>
      <c r="G17" s="517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45">
      <c r="A18" s="17"/>
      <c r="B18" s="18"/>
      <c r="C18" s="19" t="s">
        <v>16</v>
      </c>
      <c r="D18" s="527" t="s">
        <v>17</v>
      </c>
      <c r="E18" s="528"/>
      <c r="F18" s="528"/>
      <c r="G18" s="528"/>
      <c r="H18" s="20" t="s">
        <v>12</v>
      </c>
      <c r="I18" s="21"/>
      <c r="J18" s="21"/>
      <c r="K18" s="22"/>
      <c r="L18" s="23">
        <f t="shared" ref="L18:N18" ca="1" si="11">L19+L20</f>
        <v>3438865</v>
      </c>
      <c r="M18" s="23">
        <f t="shared" ca="1" si="11"/>
        <v>2261795</v>
      </c>
      <c r="N18" s="23">
        <f t="shared" ca="1" si="11"/>
        <v>1952693</v>
      </c>
      <c r="O18" s="22">
        <f t="shared" ref="O18:O20" ca="1" si="12">IF(L18&gt;0,N18*100/L18,0)</f>
        <v>56.783066505954729</v>
      </c>
      <c r="P18" s="22">
        <f t="shared" ref="P18:P26" ca="1" si="13">IF(M18&gt;0,N18*100/M18,0)</f>
        <v>86.333774723173406</v>
      </c>
    </row>
    <row r="19" spans="1:16" ht="21.75" customHeight="1" x14ac:dyDescent="0.45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45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3438865</v>
      </c>
      <c r="M20" s="30">
        <f t="shared" ca="1" si="15"/>
        <v>2261795</v>
      </c>
      <c r="N20" s="30">
        <f t="shared" ca="1" si="15"/>
        <v>1952693</v>
      </c>
      <c r="O20" s="29">
        <f t="shared" ca="1" si="12"/>
        <v>56.783066505954729</v>
      </c>
      <c r="P20" s="29">
        <f t="shared" ca="1" si="13"/>
        <v>86.333774723173406</v>
      </c>
    </row>
    <row r="21" spans="1:16" ht="21.75" customHeight="1" x14ac:dyDescent="0.45">
      <c r="A21" s="31"/>
      <c r="B21" s="32"/>
      <c r="C21" s="33" t="s">
        <v>16</v>
      </c>
      <c r="D21" s="529" t="s">
        <v>20</v>
      </c>
      <c r="E21" s="530"/>
      <c r="F21" s="530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45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2548465</v>
      </c>
      <c r="M22" s="41">
        <f t="shared" ca="1" si="18"/>
        <v>1371395</v>
      </c>
      <c r="N22" s="38">
        <f t="shared" ca="1" si="18"/>
        <v>1107263</v>
      </c>
      <c r="O22" s="38">
        <f t="shared" ca="1" si="17"/>
        <v>43.448232563523533</v>
      </c>
      <c r="P22" s="38">
        <f t="shared" ca="1" si="13"/>
        <v>80.739903528888462</v>
      </c>
    </row>
    <row r="23" spans="1:16" ht="21.75" customHeight="1" x14ac:dyDescent="0.45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1880100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45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668365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45">
      <c r="A25" s="31"/>
      <c r="B25" s="32"/>
      <c r="C25" s="33" t="s">
        <v>16</v>
      </c>
      <c r="D25" s="529" t="s">
        <v>23</v>
      </c>
      <c r="E25" s="530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45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890400</v>
      </c>
      <c r="M26" s="49">
        <f t="shared" ca="1" si="22"/>
        <v>890400</v>
      </c>
      <c r="N26" s="49">
        <f t="shared" ca="1" si="22"/>
        <v>845430</v>
      </c>
      <c r="O26" s="49">
        <f t="shared" ca="1" si="17"/>
        <v>94.94946091644205</v>
      </c>
      <c r="P26" s="49">
        <f t="shared" ca="1" si="13"/>
        <v>94.94946091644205</v>
      </c>
    </row>
    <row r="27" spans="1:16" ht="21.75" customHeight="1" x14ac:dyDescent="0.45">
      <c r="A27" s="526" t="s">
        <v>25</v>
      </c>
      <c r="B27" s="516"/>
      <c r="C27" s="516"/>
      <c r="D27" s="516"/>
      <c r="E27" s="516"/>
      <c r="F27" s="516"/>
      <c r="G27" s="517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45">
      <c r="A28" s="17"/>
      <c r="B28" s="18"/>
      <c r="C28" s="19" t="s">
        <v>16</v>
      </c>
      <c r="D28" s="527" t="s">
        <v>17</v>
      </c>
      <c r="E28" s="528"/>
      <c r="F28" s="528"/>
      <c r="G28" s="528"/>
      <c r="H28" s="20" t="s">
        <v>12</v>
      </c>
      <c r="I28" s="21"/>
      <c r="J28" s="21"/>
      <c r="K28" s="22"/>
      <c r="L28" s="23">
        <f t="shared" ref="L28:N28" ca="1" si="23">L29+L30</f>
        <v>2200927</v>
      </c>
      <c r="M28" s="23">
        <f t="shared" si="23"/>
        <v>0</v>
      </c>
      <c r="N28" s="23">
        <f t="shared" ca="1" si="23"/>
        <v>335382.40000000002</v>
      </c>
      <c r="O28" s="22">
        <f t="shared" ref="O28:O30" ca="1" si="24">IF(L28&gt;0,N28*100/L28,0)</f>
        <v>15.238233707887632</v>
      </c>
      <c r="P28" s="22">
        <f t="shared" ref="P28:P37" si="25">IF(M28&gt;0,N28*100/M28,0)</f>
        <v>0</v>
      </c>
    </row>
    <row r="29" spans="1:16" ht="21.75" customHeight="1" x14ac:dyDescent="0.45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45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2200927</v>
      </c>
      <c r="M30" s="30">
        <f t="shared" si="27"/>
        <v>0</v>
      </c>
      <c r="N30" s="30">
        <f t="shared" ca="1" si="27"/>
        <v>335382.40000000002</v>
      </c>
      <c r="O30" s="29">
        <f t="shared" ca="1" si="24"/>
        <v>15.238233707887632</v>
      </c>
      <c r="P30" s="29">
        <f t="shared" si="25"/>
        <v>0</v>
      </c>
    </row>
    <row r="31" spans="1:16" ht="21.75" customHeight="1" x14ac:dyDescent="0.45">
      <c r="A31" s="31"/>
      <c r="B31" s="32"/>
      <c r="C31" s="33" t="s">
        <v>16</v>
      </c>
      <c r="D31" s="529" t="s">
        <v>20</v>
      </c>
      <c r="E31" s="530"/>
      <c r="F31" s="530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45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2200927</v>
      </c>
      <c r="M32" s="38">
        <f t="shared" si="30"/>
        <v>0</v>
      </c>
      <c r="N32" s="38">
        <f t="shared" ca="1" si="30"/>
        <v>335382.40000000002</v>
      </c>
      <c r="O32" s="38">
        <f t="shared" ca="1" si="29"/>
        <v>15.238233707887632</v>
      </c>
      <c r="P32" s="38">
        <f t="shared" si="25"/>
        <v>0</v>
      </c>
    </row>
    <row r="33" spans="1:16" ht="21.75" customHeight="1" x14ac:dyDescent="0.45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45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2200927</v>
      </c>
      <c r="M34" s="38">
        <f t="shared" si="32"/>
        <v>0</v>
      </c>
      <c r="N34" s="38">
        <f t="shared" ca="1" si="32"/>
        <v>335382.40000000002</v>
      </c>
      <c r="O34" s="38">
        <f t="shared" ca="1" si="29"/>
        <v>15.238233707887632</v>
      </c>
      <c r="P34" s="38">
        <f t="shared" si="25"/>
        <v>0</v>
      </c>
    </row>
    <row r="35" spans="1:16" ht="21.75" customHeight="1" x14ac:dyDescent="0.45">
      <c r="A35" s="31"/>
      <c r="B35" s="32"/>
      <c r="C35" s="33" t="s">
        <v>16</v>
      </c>
      <c r="D35" s="529" t="s">
        <v>23</v>
      </c>
      <c r="E35" s="530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45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3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3438865</v>
      </c>
      <c r="M37" s="54">
        <f t="shared" ca="1" si="33"/>
        <v>2261795</v>
      </c>
      <c r="N37" s="54">
        <f t="shared" ca="1" si="33"/>
        <v>1952693</v>
      </c>
      <c r="O37" s="55">
        <f t="shared" ca="1" si="29"/>
        <v>56.783066505954729</v>
      </c>
      <c r="P37" s="55">
        <f t="shared" ca="1" si="25"/>
        <v>86.333774723173406</v>
      </c>
    </row>
    <row r="38" spans="1:16" ht="21.75" customHeight="1" x14ac:dyDescent="0.45">
      <c r="A38" s="531" t="s">
        <v>27</v>
      </c>
      <c r="B38" s="516"/>
      <c r="C38" s="516"/>
      <c r="D38" s="516"/>
      <c r="E38" s="516"/>
      <c r="F38" s="516"/>
      <c r="G38" s="517"/>
      <c r="H38" s="56"/>
      <c r="I38" s="57"/>
      <c r="J38" s="57"/>
      <c r="K38" s="58"/>
      <c r="L38" s="59"/>
      <c r="M38" s="59"/>
      <c r="N38" s="59"/>
      <c r="O38" s="59"/>
      <c r="P38" s="59"/>
    </row>
    <row r="39" spans="1:16" ht="21.75" customHeight="1" x14ac:dyDescent="0.45">
      <c r="A39" s="60"/>
      <c r="B39" s="532" t="s">
        <v>28</v>
      </c>
      <c r="C39" s="528"/>
      <c r="D39" s="528"/>
      <c r="E39" s="528"/>
      <c r="F39" s="528"/>
      <c r="G39" s="528"/>
      <c r="H39" s="61"/>
      <c r="I39" s="62"/>
      <c r="J39" s="62"/>
      <c r="K39" s="63"/>
      <c r="L39" s="64"/>
      <c r="M39" s="64"/>
      <c r="N39" s="64"/>
      <c r="O39" s="63"/>
      <c r="P39" s="63"/>
    </row>
    <row r="40" spans="1:16" ht="21.75" customHeight="1" x14ac:dyDescent="0.45">
      <c r="A40" s="65"/>
      <c r="B40" s="66" t="s">
        <v>29</v>
      </c>
      <c r="C40" s="67"/>
      <c r="D40" s="67"/>
      <c r="E40" s="67"/>
      <c r="F40" s="67"/>
      <c r="G40" s="67"/>
      <c r="H40" s="68"/>
      <c r="I40" s="69"/>
      <c r="J40" s="69"/>
      <c r="K40" s="70"/>
      <c r="L40" s="71"/>
      <c r="M40" s="71"/>
      <c r="N40" s="71"/>
      <c r="O40" s="70"/>
      <c r="P40" s="70"/>
    </row>
    <row r="41" spans="1:16" ht="21.75" customHeight="1" x14ac:dyDescent="0.45">
      <c r="A41" s="72"/>
      <c r="B41" s="73"/>
      <c r="C41" s="74" t="s">
        <v>16</v>
      </c>
      <c r="D41" s="533" t="s">
        <v>17</v>
      </c>
      <c r="E41" s="530"/>
      <c r="F41" s="530"/>
      <c r="G41" s="530"/>
      <c r="H41" s="75" t="s">
        <v>12</v>
      </c>
      <c r="I41" s="76"/>
      <c r="J41" s="76"/>
      <c r="K41" s="77"/>
      <c r="L41" s="78">
        <f t="shared" ref="L41:N41" ca="1" si="34">L42+L43</f>
        <v>1532100</v>
      </c>
      <c r="M41" s="78">
        <f t="shared" ca="1" si="34"/>
        <v>1165100</v>
      </c>
      <c r="N41" s="78">
        <f t="shared" ca="1" si="34"/>
        <v>1047992</v>
      </c>
      <c r="O41" s="77">
        <f t="shared" ref="O41:O43" ca="1" si="35">IF(L41&gt;0,N41*100/L41,0)</f>
        <v>68.402323608119573</v>
      </c>
      <c r="P41" s="77">
        <f t="shared" ref="P41:P43" ca="1" si="36">IF(M41&gt;0,N41*100/M41,0)</f>
        <v>89.948673933567932</v>
      </c>
    </row>
    <row r="42" spans="1:16" ht="21.75" customHeight="1" x14ac:dyDescent="0.45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45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1532100</v>
      </c>
      <c r="M43" s="78">
        <f t="shared" ca="1" si="38"/>
        <v>1165100</v>
      </c>
      <c r="N43" s="78">
        <f t="shared" ca="1" si="38"/>
        <v>1047992</v>
      </c>
      <c r="O43" s="77">
        <f t="shared" ca="1" si="35"/>
        <v>68.402323608119573</v>
      </c>
      <c r="P43" s="77">
        <f t="shared" ca="1" si="36"/>
        <v>89.948673933567932</v>
      </c>
    </row>
    <row r="44" spans="1:16" ht="21.75" customHeight="1" x14ac:dyDescent="0.45">
      <c r="A44" s="79"/>
      <c r="B44" s="80"/>
      <c r="C44" s="81" t="s">
        <v>16</v>
      </c>
      <c r="D44" s="534" t="s">
        <v>20</v>
      </c>
      <c r="E44" s="530"/>
      <c r="F44" s="530"/>
      <c r="G44" s="82" t="s">
        <v>18</v>
      </c>
      <c r="H44" s="83" t="s">
        <v>12</v>
      </c>
      <c r="I44" s="84"/>
      <c r="J44" s="84"/>
      <c r="K44" s="85"/>
      <c r="L44" s="86">
        <v>0</v>
      </c>
      <c r="M44" s="510"/>
      <c r="N44" s="511"/>
      <c r="O44" s="511"/>
      <c r="P44" s="511"/>
    </row>
    <row r="45" spans="1:16" ht="21.75" customHeight="1" x14ac:dyDescent="0.45">
      <c r="A45" s="79"/>
      <c r="B45" s="80"/>
      <c r="C45" s="80"/>
      <c r="D45" s="80"/>
      <c r="E45" s="88"/>
      <c r="F45" s="89"/>
      <c r="G45" s="82" t="s">
        <v>19</v>
      </c>
      <c r="H45" s="83" t="s">
        <v>12</v>
      </c>
      <c r="I45" s="84"/>
      <c r="J45" s="84"/>
      <c r="K45" s="85"/>
      <c r="L45" s="38">
        <f ca="1">L46+L47</f>
        <v>734100</v>
      </c>
      <c r="M45" s="49">
        <f ca="1">IFERROR(__xludf.DUMMYFUNCTION("IMPORTRANGE(""https://docs.google.com/spreadsheets/d/1Yj_ptqi66GCucihVvJfMjLAmec39IyEx_6qawtMGysU/edit?usp=sharing"",""สบก!Q35"")"),367100)</f>
        <v>367100</v>
      </c>
      <c r="N45" s="49">
        <f ca="1">IFERROR(__xludf.DUMMYFUNCTION("IMPORTRANGE(""https://docs.google.com/spreadsheets/d/1Yj_ptqi66GCucihVvJfMjLAmec39IyEx_6qawtMGysU/edit?usp=sharing"",""สบก!R35"")"),294962)</f>
        <v>294962</v>
      </c>
      <c r="O45" s="38">
        <f ca="1">IF(L45&gt;0,N45*100/L45,0)</f>
        <v>40.180084457158422</v>
      </c>
      <c r="P45" s="38">
        <f ca="1">IF(M45&gt;0,N45*100/M45,0)</f>
        <v>80.349223644783436</v>
      </c>
    </row>
    <row r="46" spans="1:16" ht="21.75" customHeight="1" x14ac:dyDescent="0.45">
      <c r="A46" s="79"/>
      <c r="B46" s="80"/>
      <c r="C46" s="80"/>
      <c r="D46" s="80"/>
      <c r="E46" s="88"/>
      <c r="F46" s="88"/>
      <c r="G46" s="82" t="s">
        <v>21</v>
      </c>
      <c r="H46" s="83" t="s">
        <v>12</v>
      </c>
      <c r="I46" s="84"/>
      <c r="J46" s="84"/>
      <c r="K46" s="85"/>
      <c r="L46" s="49">
        <f ca="1">IFERROR(__xludf.DUMMYFUNCTION("IMPORTRANGE(""https://docs.google.com/spreadsheets/d/1Yj_ptqi66GCucihVvJfMjLAmec39IyEx_6qawtMGysU/edit?usp=sharing"",""สบก!M35"")"),734100)</f>
        <v>734100</v>
      </c>
      <c r="M46" s="41"/>
      <c r="N46" s="38"/>
      <c r="O46" s="38"/>
      <c r="P46" s="38"/>
    </row>
    <row r="47" spans="1:16" ht="21.75" customHeight="1" x14ac:dyDescent="0.45">
      <c r="A47" s="79"/>
      <c r="B47" s="80"/>
      <c r="C47" s="80"/>
      <c r="D47" s="80"/>
      <c r="E47" s="88"/>
      <c r="F47" s="88"/>
      <c r="G47" s="82" t="s">
        <v>22</v>
      </c>
      <c r="H47" s="83" t="s">
        <v>12</v>
      </c>
      <c r="I47" s="84"/>
      <c r="J47" s="84"/>
      <c r="K47" s="85"/>
      <c r="L47" s="49">
        <f ca="1">IFERROR(__xludf.DUMMYFUNCTION("IMPORTRANGE(""https://docs.google.com/spreadsheets/d/1Yj_ptqi66GCucihVvJfMjLAmec39IyEx_6qawtMGysU/edit?usp=sharing"",""สบก!N35"")"),0)</f>
        <v>0</v>
      </c>
      <c r="M47" s="41"/>
      <c r="N47" s="38"/>
      <c r="O47" s="38"/>
      <c r="P47" s="38"/>
    </row>
    <row r="48" spans="1:16" ht="21.75" customHeight="1" x14ac:dyDescent="0.45">
      <c r="A48" s="79"/>
      <c r="B48" s="80"/>
      <c r="C48" s="81" t="s">
        <v>16</v>
      </c>
      <c r="D48" s="534" t="s">
        <v>23</v>
      </c>
      <c r="E48" s="530"/>
      <c r="F48" s="88"/>
      <c r="G48" s="82" t="s">
        <v>18</v>
      </c>
      <c r="H48" s="83" t="s">
        <v>12</v>
      </c>
      <c r="I48" s="84"/>
      <c r="J48" s="84"/>
      <c r="K48" s="85"/>
      <c r="L48" s="50">
        <v>0</v>
      </c>
      <c r="M48" s="41"/>
      <c r="N48" s="41"/>
      <c r="O48" s="41"/>
      <c r="P48" s="41"/>
    </row>
    <row r="49" spans="1:16" ht="21.75" customHeight="1" x14ac:dyDescent="0.45">
      <c r="A49" s="90"/>
      <c r="B49" s="91"/>
      <c r="C49" s="91"/>
      <c r="D49" s="91"/>
      <c r="E49" s="92"/>
      <c r="F49" s="92"/>
      <c r="G49" s="93" t="s">
        <v>19</v>
      </c>
      <c r="H49" s="94" t="s">
        <v>12</v>
      </c>
      <c r="I49" s="95"/>
      <c r="J49" s="95"/>
      <c r="K49" s="96"/>
      <c r="L49" s="49">
        <f ca="1">IFERROR(__xludf.DUMMYFUNCTION("IMPORTRANGE(""https://docs.google.com/spreadsheets/d/1Yj_ptqi66GCucihVvJfMjLAmec39IyEx_6qawtMGysU/edit?usp=sharing"",""สบก!O35"")"),798000)</f>
        <v>798000</v>
      </c>
      <c r="M49" s="49">
        <f ca="1">L49</f>
        <v>798000</v>
      </c>
      <c r="N49" s="49">
        <f ca="1">IFERROR(__xludf.DUMMYFUNCTION("IMPORTRANGE(""https://docs.google.com/spreadsheets/d/1Yj_ptqi66GCucihVvJfMjLAmec39IyEx_6qawtMGysU/edit?usp=sharing"",""สบก!S35"")"),753030)</f>
        <v>753030</v>
      </c>
      <c r="O49" s="49">
        <f ca="1">IF(L49&gt;0,N49*100/L49,0)</f>
        <v>94.364661654135332</v>
      </c>
      <c r="P49" s="49">
        <f ca="1">IF(M49&gt;0,N49*100/M49,0)</f>
        <v>94.364661654135332</v>
      </c>
    </row>
    <row r="50" spans="1:16" ht="21.75" customHeight="1" x14ac:dyDescent="0.45">
      <c r="A50" s="97" t="s">
        <v>30</v>
      </c>
      <c r="B50" s="98"/>
      <c r="C50" s="98"/>
      <c r="D50" s="98"/>
      <c r="E50" s="98"/>
      <c r="F50" s="98"/>
      <c r="G50" s="98"/>
      <c r="H50" s="99"/>
      <c r="I50" s="100"/>
      <c r="J50" s="100"/>
      <c r="K50" s="101"/>
      <c r="L50" s="102"/>
      <c r="M50" s="102"/>
      <c r="N50" s="102"/>
      <c r="O50" s="101"/>
      <c r="P50" s="101"/>
    </row>
    <row r="51" spans="1:16" ht="21.75" customHeight="1" x14ac:dyDescent="0.45">
      <c r="A51" s="103"/>
      <c r="B51" s="104" t="s">
        <v>31</v>
      </c>
      <c r="C51" s="104"/>
      <c r="D51" s="104"/>
      <c r="E51" s="104"/>
      <c r="F51" s="104"/>
      <c r="G51" s="104"/>
      <c r="H51" s="105"/>
      <c r="I51" s="106"/>
      <c r="J51" s="106"/>
      <c r="K51" s="107"/>
      <c r="L51" s="108"/>
      <c r="M51" s="108"/>
      <c r="N51" s="108"/>
      <c r="O51" s="107"/>
      <c r="P51" s="107"/>
    </row>
    <row r="52" spans="1:16" ht="21.75" customHeight="1" x14ac:dyDescent="0.45">
      <c r="A52" s="109"/>
      <c r="B52" s="535" t="s">
        <v>32</v>
      </c>
      <c r="C52" s="530"/>
      <c r="D52" s="530"/>
      <c r="E52" s="530"/>
      <c r="F52" s="530"/>
      <c r="G52" s="530"/>
      <c r="H52" s="110"/>
      <c r="I52" s="111"/>
      <c r="J52" s="111"/>
      <c r="K52" s="112"/>
      <c r="L52" s="113"/>
      <c r="M52" s="113"/>
      <c r="N52" s="113"/>
      <c r="O52" s="112"/>
      <c r="P52" s="112"/>
    </row>
    <row r="53" spans="1:16" ht="21.75" customHeight="1" x14ac:dyDescent="0.45">
      <c r="A53" s="114"/>
      <c r="B53" s="115"/>
      <c r="C53" s="116" t="s">
        <v>16</v>
      </c>
      <c r="D53" s="536" t="s">
        <v>17</v>
      </c>
      <c r="E53" s="530"/>
      <c r="F53" s="530"/>
      <c r="G53" s="530"/>
      <c r="H53" s="117" t="s">
        <v>12</v>
      </c>
      <c r="I53" s="118"/>
      <c r="J53" s="118"/>
      <c r="K53" s="119"/>
      <c r="L53" s="120">
        <f t="shared" ref="L53:N53" ca="1" si="39">L54+L55</f>
        <v>400000</v>
      </c>
      <c r="M53" s="120">
        <f t="shared" ca="1" si="39"/>
        <v>213500</v>
      </c>
      <c r="N53" s="120">
        <f t="shared" ca="1" si="39"/>
        <v>207951</v>
      </c>
      <c r="O53" s="119">
        <f t="shared" ref="O53:O55" ca="1" si="40">IF(L53&gt;0,N53*100/L53,0)</f>
        <v>51.987749999999998</v>
      </c>
      <c r="P53" s="119">
        <f t="shared" ref="P53:P55" ca="1" si="41">IF(M53&gt;0,N53*100/M53,0)</f>
        <v>97.400936768149876</v>
      </c>
    </row>
    <row r="54" spans="1:16" ht="21.75" customHeight="1" x14ac:dyDescent="0.45">
      <c r="A54" s="114"/>
      <c r="B54" s="115"/>
      <c r="C54" s="115"/>
      <c r="D54" s="115"/>
      <c r="E54" s="115"/>
      <c r="F54" s="115"/>
      <c r="G54" s="116" t="s">
        <v>18</v>
      </c>
      <c r="H54" s="117" t="s">
        <v>12</v>
      </c>
      <c r="I54" s="118"/>
      <c r="J54" s="118"/>
      <c r="K54" s="119"/>
      <c r="L54" s="120">
        <f t="shared" ref="L54:N54" si="42">L56+L60</f>
        <v>0</v>
      </c>
      <c r="M54" s="120">
        <f t="shared" si="42"/>
        <v>0</v>
      </c>
      <c r="N54" s="120">
        <f t="shared" si="42"/>
        <v>0</v>
      </c>
      <c r="O54" s="119">
        <f t="shared" si="40"/>
        <v>0</v>
      </c>
      <c r="P54" s="119">
        <f t="shared" si="41"/>
        <v>0</v>
      </c>
    </row>
    <row r="55" spans="1:16" ht="21.75" customHeight="1" x14ac:dyDescent="0.45">
      <c r="A55" s="114"/>
      <c r="B55" s="115"/>
      <c r="C55" s="115"/>
      <c r="D55" s="115"/>
      <c r="E55" s="115"/>
      <c r="F55" s="115"/>
      <c r="G55" s="116" t="s">
        <v>19</v>
      </c>
      <c r="H55" s="117" t="s">
        <v>12</v>
      </c>
      <c r="I55" s="118"/>
      <c r="J55" s="118"/>
      <c r="K55" s="119"/>
      <c r="L55" s="120">
        <f t="shared" ref="L55:N55" ca="1" si="43">L57+L61</f>
        <v>400000</v>
      </c>
      <c r="M55" s="120">
        <f t="shared" ca="1" si="43"/>
        <v>213500</v>
      </c>
      <c r="N55" s="120">
        <f t="shared" ca="1" si="43"/>
        <v>207951</v>
      </c>
      <c r="O55" s="119">
        <f t="shared" ca="1" si="40"/>
        <v>51.987749999999998</v>
      </c>
      <c r="P55" s="119">
        <f t="shared" ca="1" si="41"/>
        <v>97.400936768149876</v>
      </c>
    </row>
    <row r="56" spans="1:16" ht="21.75" customHeight="1" x14ac:dyDescent="0.45">
      <c r="A56" s="79"/>
      <c r="B56" s="80"/>
      <c r="C56" s="81" t="s">
        <v>16</v>
      </c>
      <c r="D56" s="534" t="s">
        <v>20</v>
      </c>
      <c r="E56" s="530"/>
      <c r="F56" s="530"/>
      <c r="G56" s="82" t="s">
        <v>18</v>
      </c>
      <c r="H56" s="83" t="s">
        <v>12</v>
      </c>
      <c r="I56" s="84"/>
      <c r="J56" s="84"/>
      <c r="K56" s="85"/>
      <c r="L56" s="511">
        <v>0</v>
      </c>
      <c r="M56" s="510"/>
      <c r="N56" s="511"/>
      <c r="O56" s="511"/>
      <c r="P56" s="511"/>
    </row>
    <row r="57" spans="1:16" ht="21.75" customHeight="1" x14ac:dyDescent="0.45">
      <c r="A57" s="79"/>
      <c r="B57" s="80"/>
      <c r="C57" s="80"/>
      <c r="D57" s="80"/>
      <c r="E57" s="88"/>
      <c r="F57" s="89"/>
      <c r="G57" s="82" t="s">
        <v>19</v>
      </c>
      <c r="H57" s="83" t="s">
        <v>12</v>
      </c>
      <c r="I57" s="84"/>
      <c r="J57" s="84"/>
      <c r="K57" s="85"/>
      <c r="L57" s="38">
        <f ca="1">L58+L59</f>
        <v>400000</v>
      </c>
      <c r="M57" s="49">
        <f ca="1">IFERROR(__xludf.DUMMYFUNCTION("IMPORTRANGE(""https://docs.google.com/spreadsheets/d/1Yj_ptqi66GCucihVvJfMjLAmec39IyEx_6qawtMGysU/edit?usp=sharing"",""สบก!Z35"")"),213500)</f>
        <v>213500</v>
      </c>
      <c r="N57" s="49">
        <f ca="1">IFERROR(__xludf.DUMMYFUNCTION("IMPORTRANGE(""https://docs.google.com/spreadsheets/d/1Yj_ptqi66GCucihVvJfMjLAmec39IyEx_6qawtMGysU/edit?usp=sharing"",""สบก!AA35"")"),207951)</f>
        <v>207951</v>
      </c>
      <c r="O57" s="38">
        <f ca="1">IF(L57&gt;0,N57*100/L57,0)</f>
        <v>51.987749999999998</v>
      </c>
      <c r="P57" s="38">
        <f ca="1">IF(M57&gt;0,N57*100/M57,0)</f>
        <v>97.400936768149876</v>
      </c>
    </row>
    <row r="58" spans="1:16" ht="21.75" customHeight="1" x14ac:dyDescent="0.45">
      <c r="A58" s="79"/>
      <c r="B58" s="80"/>
      <c r="C58" s="80"/>
      <c r="D58" s="80"/>
      <c r="E58" s="88"/>
      <c r="F58" s="88"/>
      <c r="G58" s="82" t="s">
        <v>21</v>
      </c>
      <c r="H58" s="83" t="s">
        <v>12</v>
      </c>
      <c r="I58" s="84"/>
      <c r="J58" s="84"/>
      <c r="K58" s="85"/>
      <c r="L58" s="49">
        <f ca="1">IFERROR(__xludf.DUMMYFUNCTION("IMPORTRANGE(""https://docs.google.com/spreadsheets/d/1Yj_ptqi66GCucihVvJfMjLAmec39IyEx_6qawtMGysU/edit?usp=sharing"",""สบก!V35"")"),400000)</f>
        <v>400000</v>
      </c>
      <c r="M58" s="41"/>
      <c r="N58" s="38"/>
      <c r="O58" s="38"/>
      <c r="P58" s="38"/>
    </row>
    <row r="59" spans="1:16" ht="21.75" customHeight="1" x14ac:dyDescent="0.45">
      <c r="A59" s="79"/>
      <c r="B59" s="80"/>
      <c r="C59" s="80"/>
      <c r="D59" s="80"/>
      <c r="E59" s="88"/>
      <c r="F59" s="88"/>
      <c r="G59" s="82" t="s">
        <v>22</v>
      </c>
      <c r="H59" s="83" t="s">
        <v>12</v>
      </c>
      <c r="I59" s="84"/>
      <c r="J59" s="84"/>
      <c r="K59" s="85"/>
      <c r="L59" s="49">
        <f ca="1">IFERROR(__xludf.DUMMYFUNCTION("IMPORTRANGE(""https://docs.google.com/spreadsheets/d/1Yj_ptqi66GCucihVvJfMjLAmec39IyEx_6qawtMGysU/edit?usp=sharing"",""สบก!W35"")"),0)</f>
        <v>0</v>
      </c>
      <c r="M59" s="41"/>
      <c r="N59" s="38"/>
      <c r="O59" s="38"/>
      <c r="P59" s="38"/>
    </row>
    <row r="60" spans="1:16" ht="21.75" customHeight="1" x14ac:dyDescent="0.45">
      <c r="A60" s="79"/>
      <c r="B60" s="80"/>
      <c r="C60" s="81" t="s">
        <v>16</v>
      </c>
      <c r="D60" s="534" t="s">
        <v>23</v>
      </c>
      <c r="E60" s="530"/>
      <c r="F60" s="88"/>
      <c r="G60" s="82" t="s">
        <v>18</v>
      </c>
      <c r="H60" s="83" t="s">
        <v>12</v>
      </c>
      <c r="I60" s="84"/>
      <c r="J60" s="84"/>
      <c r="K60" s="85"/>
      <c r="L60" s="50">
        <v>0</v>
      </c>
      <c r="M60" s="41"/>
      <c r="N60" s="41"/>
      <c r="O60" s="41"/>
      <c r="P60" s="41"/>
    </row>
    <row r="61" spans="1:16" ht="21.75" customHeight="1" x14ac:dyDescent="0.45">
      <c r="A61" s="90"/>
      <c r="B61" s="91"/>
      <c r="C61" s="91"/>
      <c r="D61" s="91"/>
      <c r="E61" s="92"/>
      <c r="F61" s="92"/>
      <c r="G61" s="93" t="s">
        <v>19</v>
      </c>
      <c r="H61" s="94" t="s">
        <v>12</v>
      </c>
      <c r="I61" s="95"/>
      <c r="J61" s="95"/>
      <c r="K61" s="96"/>
      <c r="L61" s="49">
        <f ca="1">IFERROR(__xludf.DUMMYFUNCTION("IMPORTRANGE(""https://docs.google.com/spreadsheets/d/1Yj_ptqi66GCucihVvJfMjLAmec39IyEx_6qawtMGysU/edit?usp=sharing"",""สบก!X35"")"),0)</f>
        <v>0</v>
      </c>
      <c r="M61" s="49"/>
      <c r="N61" s="49">
        <f ca="1">IFERROR(__xludf.DUMMYFUNCTION("IMPORTRANGE(""https://docs.google.com/spreadsheets/d/1Yj_ptqi66GCucihVvJfMjLAmec39IyEx_6qawtMGysU/edit?usp=sharing"",""สบก!AB35"")"),0)</f>
        <v>0</v>
      </c>
      <c r="O61" s="49">
        <f ca="1">IF(L61&gt;0,N61*100/L61,0)</f>
        <v>0</v>
      </c>
      <c r="P61" s="49"/>
    </row>
    <row r="62" spans="1:16" ht="21.75" customHeight="1" x14ac:dyDescent="0.3">
      <c r="A62" s="121" t="s">
        <v>33</v>
      </c>
      <c r="B62" s="122"/>
      <c r="C62" s="122"/>
      <c r="D62" s="122"/>
      <c r="E62" s="123"/>
      <c r="F62" s="123"/>
      <c r="G62" s="123"/>
      <c r="H62" s="124"/>
      <c r="I62" s="125"/>
      <c r="J62" s="125"/>
      <c r="K62" s="126"/>
      <c r="L62" s="127"/>
      <c r="M62" s="127"/>
      <c r="N62" s="127"/>
      <c r="O62" s="127"/>
      <c r="P62" s="127"/>
    </row>
    <row r="63" spans="1:16" ht="21.75" customHeight="1" x14ac:dyDescent="0.3">
      <c r="A63" s="128" t="s">
        <v>34</v>
      </c>
      <c r="B63" s="129"/>
      <c r="C63" s="130"/>
      <c r="D63" s="129"/>
      <c r="E63" s="131"/>
      <c r="F63" s="131"/>
      <c r="G63" s="131"/>
      <c r="H63" s="132"/>
      <c r="I63" s="133"/>
      <c r="J63" s="133"/>
      <c r="K63" s="134"/>
      <c r="L63" s="135"/>
      <c r="M63" s="135"/>
      <c r="N63" s="135"/>
      <c r="O63" s="136"/>
      <c r="P63" s="136"/>
    </row>
    <row r="64" spans="1:16" ht="21.75" customHeight="1" x14ac:dyDescent="0.3">
      <c r="A64" s="137"/>
      <c r="B64" s="138" t="s">
        <v>35</v>
      </c>
      <c r="C64" s="138"/>
      <c r="D64" s="139"/>
      <c r="E64" s="138"/>
      <c r="F64" s="138"/>
      <c r="G64" s="138"/>
      <c r="H64" s="140" t="s">
        <v>36</v>
      </c>
      <c r="I64" s="141">
        <f ca="1">IFERROR(__xludf.DUMMYFUNCTION("IMPORTRANGE(""https://docs.google.com/spreadsheets/d/11923uPwbBZFjjGgGUA6NLw09EwE0CqkOc4q9oUmW1yo/edit?usp=sharing"",""อุตรดิตถ์!I9"")"),0)</f>
        <v>0</v>
      </c>
      <c r="J64" s="141">
        <f ca="1">IFERROR(__xludf.DUMMYFUNCTION("IMPORTRANGE(""https://docs.google.com/spreadsheets/d/11923uPwbBZFjjGgGUA6NLw09EwE0CqkOc4q9oUmW1yo/edit?usp=sharing"",""อุตรดิตถ์!J9"")"),0)</f>
        <v>0</v>
      </c>
      <c r="K64" s="142">
        <f t="shared" ref="K64:K65" ca="1" si="44">IF(I64&gt;0,J64*100/I64,0)</f>
        <v>0</v>
      </c>
      <c r="L64" s="143"/>
      <c r="M64" s="143"/>
      <c r="N64" s="144"/>
      <c r="O64" s="142"/>
      <c r="P64" s="142"/>
    </row>
    <row r="65" spans="1:16" ht="21.75" customHeight="1" x14ac:dyDescent="0.3">
      <c r="A65" s="137"/>
      <c r="B65" s="138"/>
      <c r="C65" s="138"/>
      <c r="D65" s="139"/>
      <c r="E65" s="138"/>
      <c r="F65" s="138"/>
      <c r="G65" s="138"/>
      <c r="H65" s="140" t="s">
        <v>37</v>
      </c>
      <c r="I65" s="141">
        <f ca="1">IFERROR(__xludf.DUMMYFUNCTION("IMPORTRANGE(""https://docs.google.com/spreadsheets/d/11923uPwbBZFjjGgGUA6NLw09EwE0CqkOc4q9oUmW1yo/edit?usp=sharing"",""อุตรดิตถ์!I10"")"),0)</f>
        <v>0</v>
      </c>
      <c r="J65" s="141">
        <f ca="1">IFERROR(__xludf.DUMMYFUNCTION("IMPORTRANGE(""https://docs.google.com/spreadsheets/d/11923uPwbBZFjjGgGUA6NLw09EwE0CqkOc4q9oUmW1yo/edit?usp=sharing"",""อุตรดิตถ์!J10"")"),0)</f>
        <v>0</v>
      </c>
      <c r="K65" s="142">
        <f t="shared" ca="1" si="44"/>
        <v>0</v>
      </c>
      <c r="L65" s="144"/>
      <c r="M65" s="144"/>
      <c r="N65" s="144"/>
      <c r="O65" s="142"/>
      <c r="P65" s="142"/>
    </row>
    <row r="66" spans="1:16" ht="21.75" customHeight="1" x14ac:dyDescent="0.45">
      <c r="A66" s="145"/>
      <c r="B66" s="146"/>
      <c r="C66" s="147" t="s">
        <v>16</v>
      </c>
      <c r="D66" s="537" t="s">
        <v>17</v>
      </c>
      <c r="E66" s="528"/>
      <c r="F66" s="528"/>
      <c r="G66" s="528"/>
      <c r="H66" s="148" t="s">
        <v>12</v>
      </c>
      <c r="I66" s="149"/>
      <c r="J66" s="149"/>
      <c r="K66" s="150"/>
      <c r="L66" s="151">
        <f t="shared" ref="L66:N66" ca="1" si="45">L67+L68</f>
        <v>0</v>
      </c>
      <c r="M66" s="151">
        <f t="shared" ca="1" si="45"/>
        <v>0</v>
      </c>
      <c r="N66" s="151">
        <f t="shared" ca="1" si="45"/>
        <v>0</v>
      </c>
      <c r="O66" s="150">
        <f t="shared" ref="O66:O68" ca="1" si="46">IF(L66&gt;0,N66*100/L66,0)</f>
        <v>0</v>
      </c>
      <c r="P66" s="150">
        <f t="shared" ref="P66:P68" ca="1" si="47">IF(M66&gt;0,N66*100/M66,0)</f>
        <v>0</v>
      </c>
    </row>
    <row r="67" spans="1:16" ht="21.75" customHeight="1" x14ac:dyDescent="0.45">
      <c r="A67" s="152"/>
      <c r="B67" s="32"/>
      <c r="C67" s="32"/>
      <c r="D67" s="32"/>
      <c r="E67" s="32"/>
      <c r="F67" s="32"/>
      <c r="G67" s="33" t="s">
        <v>18</v>
      </c>
      <c r="H67" s="153" t="s">
        <v>12</v>
      </c>
      <c r="I67" s="154"/>
      <c r="J67" s="154"/>
      <c r="K67" s="155"/>
      <c r="L67" s="87">
        <f t="shared" ref="L67:N67" si="48">L69+L73</f>
        <v>0</v>
      </c>
      <c r="M67" s="87">
        <f t="shared" si="48"/>
        <v>0</v>
      </c>
      <c r="N67" s="87">
        <f t="shared" si="48"/>
        <v>0</v>
      </c>
      <c r="O67" s="155">
        <f t="shared" si="46"/>
        <v>0</v>
      </c>
      <c r="P67" s="155">
        <f t="shared" si="47"/>
        <v>0</v>
      </c>
    </row>
    <row r="68" spans="1:16" ht="21.75" customHeight="1" x14ac:dyDescent="0.45">
      <c r="A68" s="152"/>
      <c r="B68" s="32"/>
      <c r="C68" s="32"/>
      <c r="D68" s="32"/>
      <c r="E68" s="32"/>
      <c r="F68" s="32"/>
      <c r="G68" s="33" t="s">
        <v>19</v>
      </c>
      <c r="H68" s="153" t="s">
        <v>12</v>
      </c>
      <c r="I68" s="154"/>
      <c r="J68" s="154"/>
      <c r="K68" s="155"/>
      <c r="L68" s="87">
        <f t="shared" ref="L68:N68" ca="1" si="49">L70+L74</f>
        <v>0</v>
      </c>
      <c r="M68" s="87">
        <f t="shared" ca="1" si="49"/>
        <v>0</v>
      </c>
      <c r="N68" s="87">
        <f t="shared" ca="1" si="49"/>
        <v>0</v>
      </c>
      <c r="O68" s="155">
        <f t="shared" ca="1" si="46"/>
        <v>0</v>
      </c>
      <c r="P68" s="155">
        <f t="shared" ca="1" si="47"/>
        <v>0</v>
      </c>
    </row>
    <row r="69" spans="1:16" ht="21.75" customHeight="1" x14ac:dyDescent="0.3">
      <c r="A69" s="156"/>
      <c r="B69" s="157"/>
      <c r="C69" s="157" t="s">
        <v>16</v>
      </c>
      <c r="D69" s="158" t="s">
        <v>38</v>
      </c>
      <c r="E69" s="159"/>
      <c r="F69" s="159"/>
      <c r="G69" s="160" t="s">
        <v>39</v>
      </c>
      <c r="H69" s="161" t="s">
        <v>12</v>
      </c>
      <c r="I69" s="162" t="s">
        <v>40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3">
      <c r="A70" s="156"/>
      <c r="B70" s="157"/>
      <c r="C70" s="157"/>
      <c r="D70" s="166"/>
      <c r="E70" s="159"/>
      <c r="F70" s="159" t="s">
        <v>40</v>
      </c>
      <c r="G70" s="160" t="s">
        <v>41</v>
      </c>
      <c r="H70" s="161" t="s">
        <v>12</v>
      </c>
      <c r="I70" s="162"/>
      <c r="J70" s="162"/>
      <c r="K70" s="163"/>
      <c r="L70" s="167">
        <f ca="1">L71+L72</f>
        <v>0</v>
      </c>
      <c r="M70" s="167">
        <f ca="1">IFERROR(__xludf.DUMMYFUNCTION("IMPORTRANGE(""https://docs.google.com/spreadsheets/d/1Yj_ptqi66GCucihVvJfMjLAmec39IyEx_6qawtMGysU/edit?usp=sharing"",""สบก!AI35"")"),0)</f>
        <v>0</v>
      </c>
      <c r="N70" s="168">
        <f ca="1">IFERROR(__xludf.DUMMYFUNCTION("IMPORTRANGE(""https://docs.google.com/spreadsheets/d/1Yj_ptqi66GCucihVvJfMjLAmec39IyEx_6qawtMGysU/edit?usp=sharing"",""สบก!AJ35"")"),0)</f>
        <v>0</v>
      </c>
      <c r="O70" s="168">
        <f ca="1">IF(L70&gt;0,N70*100/L70,0)</f>
        <v>0</v>
      </c>
      <c r="P70" s="168">
        <f ca="1">IF(M70&gt;0,N70*100/M70,0)</f>
        <v>0</v>
      </c>
    </row>
    <row r="71" spans="1:16" ht="21.75" customHeight="1" x14ac:dyDescent="0.3">
      <c r="A71" s="156"/>
      <c r="B71" s="157"/>
      <c r="C71" s="157"/>
      <c r="D71" s="166"/>
      <c r="E71" s="159"/>
      <c r="F71" s="159"/>
      <c r="G71" s="169" t="s">
        <v>42</v>
      </c>
      <c r="H71" s="161" t="s">
        <v>12</v>
      </c>
      <c r="I71" s="162"/>
      <c r="J71" s="162"/>
      <c r="K71" s="163"/>
      <c r="L71" s="167">
        <f ca="1">IFERROR(__xludf.DUMMYFUNCTION("IMPORTRANGE(""https://docs.google.com/spreadsheets/d/1Yj_ptqi66GCucihVvJfMjLAmec39IyEx_6qawtMGysU/edit?usp=sharing"",""สบก!AE35"")"),0)</f>
        <v>0</v>
      </c>
      <c r="M71" s="167"/>
      <c r="N71" s="167"/>
      <c r="O71" s="168"/>
      <c r="P71" s="168"/>
    </row>
    <row r="72" spans="1:16" ht="21.75" customHeight="1" x14ac:dyDescent="0.3">
      <c r="A72" s="156"/>
      <c r="B72" s="157"/>
      <c r="C72" s="157"/>
      <c r="D72" s="166"/>
      <c r="E72" s="159"/>
      <c r="F72" s="159"/>
      <c r="G72" s="169" t="s">
        <v>43</v>
      </c>
      <c r="H72" s="161" t="s">
        <v>12</v>
      </c>
      <c r="I72" s="162"/>
      <c r="J72" s="162"/>
      <c r="K72" s="163"/>
      <c r="L72" s="167">
        <f ca="1">IFERROR(__xludf.DUMMYFUNCTION("IMPORTRANGE(""https://docs.google.com/spreadsheets/d/1Yj_ptqi66GCucihVvJfMjLAmec39IyEx_6qawtMGysU/edit?usp=sharing"",""สบก!AF35"")"),0)</f>
        <v>0</v>
      </c>
      <c r="M72" s="167"/>
      <c r="N72" s="167"/>
      <c r="O72" s="168"/>
      <c r="P72" s="168"/>
    </row>
    <row r="73" spans="1:16" ht="21.75" customHeight="1" x14ac:dyDescent="0.45">
      <c r="A73" s="170"/>
      <c r="B73" s="80"/>
      <c r="C73" s="81" t="s">
        <v>16</v>
      </c>
      <c r="D73" s="534" t="s">
        <v>23</v>
      </c>
      <c r="E73" s="530"/>
      <c r="F73" s="88"/>
      <c r="G73" s="82" t="s">
        <v>18</v>
      </c>
      <c r="H73" s="171" t="s">
        <v>12</v>
      </c>
      <c r="I73" s="84"/>
      <c r="J73" s="84"/>
      <c r="K73" s="85"/>
      <c r="L73" s="41">
        <v>0</v>
      </c>
      <c r="M73" s="41"/>
      <c r="N73" s="41"/>
      <c r="O73" s="41"/>
      <c r="P73" s="41"/>
    </row>
    <row r="74" spans="1:16" ht="21.75" customHeight="1" x14ac:dyDescent="0.45">
      <c r="A74" s="172"/>
      <c r="B74" s="91"/>
      <c r="C74" s="91"/>
      <c r="D74" s="173"/>
      <c r="E74" s="92"/>
      <c r="F74" s="92"/>
      <c r="G74" s="93" t="s">
        <v>19</v>
      </c>
      <c r="H74" s="174" t="s">
        <v>12</v>
      </c>
      <c r="I74" s="95"/>
      <c r="J74" s="95"/>
      <c r="K74" s="96"/>
      <c r="L74" s="49">
        <f ca="1">IFERROR(__xludf.DUMMYFUNCTION("IMPORTRANGE(""https://docs.google.com/spreadsheets/d/1Yj_ptqi66GCucihVvJfMjLAmec39IyEx_6qawtMGysU/edit?usp=sharing"",""สบก!AG35"")"),0)</f>
        <v>0</v>
      </c>
      <c r="M74" s="49"/>
      <c r="N74" s="49">
        <f ca="1">IFERROR(__xludf.DUMMYFUNCTION("IMPORTRANGE(""https://docs.google.com/spreadsheets/d/1Yj_ptqi66GCucihVvJfMjLAmec39IyEx_6qawtMGysU/edit?usp=sharing"",""สบก!AK35"")"),0)</f>
        <v>0</v>
      </c>
      <c r="O74" s="49">
        <f ca="1">IF(L74&gt;0,N74*100/L74,0)</f>
        <v>0</v>
      </c>
      <c r="P74" s="49"/>
    </row>
    <row r="75" spans="1:16" ht="21.75" customHeight="1" x14ac:dyDescent="0.3">
      <c r="A75" s="175"/>
      <c r="B75" s="176"/>
      <c r="C75" s="157" t="s">
        <v>16</v>
      </c>
      <c r="D75" s="177" t="s">
        <v>44</v>
      </c>
      <c r="E75" s="178"/>
      <c r="F75" s="178"/>
      <c r="G75" s="179"/>
      <c r="H75" s="180"/>
      <c r="I75" s="162"/>
      <c r="J75" s="162"/>
      <c r="K75" s="163"/>
      <c r="L75" s="181"/>
      <c r="M75" s="181"/>
      <c r="N75" s="181"/>
      <c r="O75" s="181"/>
      <c r="P75" s="181"/>
    </row>
    <row r="76" spans="1:16" ht="21.75" customHeight="1" x14ac:dyDescent="0.3">
      <c r="A76" s="175"/>
      <c r="B76" s="176"/>
      <c r="C76" s="176"/>
      <c r="D76" s="182">
        <v>1</v>
      </c>
      <c r="E76" s="183" t="s">
        <v>45</v>
      </c>
      <c r="F76" s="184"/>
      <c r="G76" s="185"/>
      <c r="H76" s="186"/>
      <c r="I76" s="187"/>
      <c r="J76" s="188">
        <f ca="1">IFERROR(__xludf.DUMMYFUNCTION("IMPORTRANGE(""https://docs.google.com/spreadsheets/d/11923uPwbBZFjjGgGUA6NLw09EwE0CqkOc4q9oUmW1yo/edit?usp=sharing"",""อุตรดิตถ์!J16"")"),0)</f>
        <v>0</v>
      </c>
      <c r="K76" s="163"/>
      <c r="L76" s="181"/>
      <c r="M76" s="181"/>
      <c r="N76" s="181"/>
      <c r="O76" s="181"/>
      <c r="P76" s="181"/>
    </row>
    <row r="77" spans="1:16" ht="21.75" customHeight="1" x14ac:dyDescent="0.3">
      <c r="A77" s="175"/>
      <c r="B77" s="176"/>
      <c r="C77" s="176"/>
      <c r="D77" s="189">
        <v>2</v>
      </c>
      <c r="E77" s="190" t="s">
        <v>46</v>
      </c>
      <c r="F77" s="191"/>
      <c r="G77" s="192"/>
      <c r="H77" s="186"/>
      <c r="I77" s="187"/>
      <c r="J77" s="188">
        <f ca="1">IFERROR(__xludf.DUMMYFUNCTION("IMPORTRANGE(""https://docs.google.com/spreadsheets/d/11923uPwbBZFjjGgGUA6NLw09EwE0CqkOc4q9oUmW1yo/edit?usp=sharing"",""อุตรดิตถ์!J17"")"),0)</f>
        <v>0</v>
      </c>
      <c r="K77" s="163"/>
      <c r="L77" s="181" t="s">
        <v>40</v>
      </c>
      <c r="M77" s="181"/>
      <c r="N77" s="181" t="s">
        <v>40</v>
      </c>
      <c r="O77" s="181"/>
      <c r="P77" s="181"/>
    </row>
    <row r="78" spans="1:16" ht="21.75" customHeight="1" x14ac:dyDescent="0.3">
      <c r="A78" s="175"/>
      <c r="B78" s="176"/>
      <c r="C78" s="176"/>
      <c r="D78" s="193"/>
      <c r="E78" s="194" t="s">
        <v>47</v>
      </c>
      <c r="F78" s="195"/>
      <c r="G78" s="196"/>
      <c r="H78" s="186"/>
      <c r="I78" s="187"/>
      <c r="J78" s="188">
        <f ca="1">IFERROR(__xludf.DUMMYFUNCTION("IMPORTRANGE(""https://docs.google.com/spreadsheets/d/11923uPwbBZFjjGgGUA6NLw09EwE0CqkOc4q9oUmW1yo/edit?usp=sharing"",""อุตรดิตถ์!J18"")"),0)</f>
        <v>0</v>
      </c>
      <c r="K78" s="163"/>
      <c r="L78" s="181"/>
      <c r="M78" s="181"/>
      <c r="N78" s="181"/>
      <c r="O78" s="181"/>
      <c r="P78" s="181"/>
    </row>
    <row r="79" spans="1:16" ht="21.75" customHeight="1" x14ac:dyDescent="0.3">
      <c r="A79" s="175"/>
      <c r="B79" s="176"/>
      <c r="C79" s="176"/>
      <c r="D79" s="193"/>
      <c r="E79" s="194" t="s">
        <v>48</v>
      </c>
      <c r="F79" s="195"/>
      <c r="G79" s="196"/>
      <c r="H79" s="186"/>
      <c r="I79" s="187"/>
      <c r="J79" s="197">
        <f ca="1">IFERROR(__xludf.DUMMYFUNCTION("IMPORTRANGE(""https://docs.google.com/spreadsheets/d/11923uPwbBZFjjGgGUA6NLw09EwE0CqkOc4q9oUmW1yo/edit?usp=sharing"",""อุตรดิตถ์!J19"")"),0)</f>
        <v>0</v>
      </c>
      <c r="K79" s="163"/>
      <c r="L79" s="181"/>
      <c r="M79" s="181"/>
      <c r="N79" s="181"/>
      <c r="O79" s="181"/>
      <c r="P79" s="181"/>
    </row>
    <row r="80" spans="1:16" ht="21.75" customHeight="1" x14ac:dyDescent="0.3">
      <c r="A80" s="175"/>
      <c r="B80" s="176"/>
      <c r="C80" s="176"/>
      <c r="D80" s="193"/>
      <c r="E80" s="198"/>
      <c r="F80" s="194" t="s">
        <v>49</v>
      </c>
      <c r="G80" s="195"/>
      <c r="H80" s="199" t="s">
        <v>36</v>
      </c>
      <c r="I80" s="200">
        <f ca="1">IFERROR(__xludf.DUMMYFUNCTION("IMPORTRANGE(""https://docs.google.com/spreadsheets/d/11923uPwbBZFjjGgGUA6NLw09EwE0CqkOc4q9oUmW1yo/edit?usp=sharing"",""อุตรดิตถ์!I20"")"),0)</f>
        <v>0</v>
      </c>
      <c r="J80" s="200">
        <f ca="1">IFERROR(__xludf.DUMMYFUNCTION("IMPORTRANGE(""https://docs.google.com/spreadsheets/d/11923uPwbBZFjjGgGUA6NLw09EwE0CqkOc4q9oUmW1yo/edit?usp=sharing"",""อุตรดิตถ์!J20"")"),0)</f>
        <v>0</v>
      </c>
      <c r="K80" s="201">
        <f t="shared" ref="K80:K88" ca="1" si="50">IF(I80&gt;0,J80*100/I80,0)</f>
        <v>0</v>
      </c>
      <c r="L80" s="181"/>
      <c r="M80" s="181"/>
      <c r="N80" s="181"/>
      <c r="O80" s="181"/>
      <c r="P80" s="181"/>
    </row>
    <row r="81" spans="1:16" ht="21.75" customHeight="1" x14ac:dyDescent="0.3">
      <c r="A81" s="175"/>
      <c r="B81" s="176"/>
      <c r="C81" s="176"/>
      <c r="D81" s="193"/>
      <c r="E81" s="198"/>
      <c r="F81" s="195"/>
      <c r="G81" s="196"/>
      <c r="H81" s="199" t="s">
        <v>37</v>
      </c>
      <c r="I81" s="200">
        <f ca="1">IFERROR(__xludf.DUMMYFUNCTION("IMPORTRANGE(""https://docs.google.com/spreadsheets/d/11923uPwbBZFjjGgGUA6NLw09EwE0CqkOc4q9oUmW1yo/edit?usp=sharing"",""อุตรดิตถ์!I21"")"),0)</f>
        <v>0</v>
      </c>
      <c r="J81" s="200">
        <f ca="1">IFERROR(__xludf.DUMMYFUNCTION("IMPORTRANGE(""https://docs.google.com/spreadsheets/d/11923uPwbBZFjjGgGUA6NLw09EwE0CqkOc4q9oUmW1yo/edit?usp=sharing"",""อุตรดิตถ์!J21"")"),0)</f>
        <v>0</v>
      </c>
      <c r="K81" s="201">
        <f t="shared" ca="1" si="50"/>
        <v>0</v>
      </c>
      <c r="L81" s="181"/>
      <c r="M81" s="181"/>
      <c r="N81" s="181"/>
      <c r="O81" s="181"/>
      <c r="P81" s="181"/>
    </row>
    <row r="82" spans="1:16" ht="21.75" customHeight="1" x14ac:dyDescent="0.3">
      <c r="A82" s="175"/>
      <c r="B82" s="176"/>
      <c r="C82" s="176"/>
      <c r="D82" s="193"/>
      <c r="E82" s="198"/>
      <c r="F82" s="195"/>
      <c r="G82" s="195" t="s">
        <v>50</v>
      </c>
      <c r="H82" s="180" t="s">
        <v>36</v>
      </c>
      <c r="I82" s="202">
        <f ca="1">IFERROR(__xludf.DUMMYFUNCTION("IMPORTRANGE(""https://docs.google.com/spreadsheets/d/11923uPwbBZFjjGgGUA6NLw09EwE0CqkOc4q9oUmW1yo/edit?usp=sharing"",""อุตรดิตถ์!I22"")"),0)</f>
        <v>0</v>
      </c>
      <c r="J82" s="203">
        <f ca="1">IFERROR(__xludf.DUMMYFUNCTION("IMPORTRANGE(""https://docs.google.com/spreadsheets/d/11923uPwbBZFjjGgGUA6NLw09EwE0CqkOc4q9oUmW1yo/edit?usp=sharing"",""อุตรดิตถ์!J22"")"),0)</f>
        <v>0</v>
      </c>
      <c r="K82" s="163">
        <f t="shared" ca="1" si="50"/>
        <v>0</v>
      </c>
      <c r="L82" s="181"/>
      <c r="M82" s="181"/>
      <c r="N82" s="181"/>
      <c r="O82" s="181"/>
      <c r="P82" s="181"/>
    </row>
    <row r="83" spans="1:16" ht="21.75" customHeight="1" x14ac:dyDescent="0.3">
      <c r="A83" s="175"/>
      <c r="B83" s="176"/>
      <c r="C83" s="176"/>
      <c r="D83" s="193"/>
      <c r="E83" s="198"/>
      <c r="F83" s="195"/>
      <c r="G83" s="196"/>
      <c r="H83" s="180" t="s">
        <v>37</v>
      </c>
      <c r="I83" s="202">
        <f ca="1">IFERROR(__xludf.DUMMYFUNCTION("IMPORTRANGE(""https://docs.google.com/spreadsheets/d/11923uPwbBZFjjGgGUA6NLw09EwE0CqkOc4q9oUmW1yo/edit?usp=sharing"",""อุตรดิตถ์!I23"")"),0)</f>
        <v>0</v>
      </c>
      <c r="J83" s="203">
        <f ca="1">IFERROR(__xludf.DUMMYFUNCTION("IMPORTRANGE(""https://docs.google.com/spreadsheets/d/11923uPwbBZFjjGgGUA6NLw09EwE0CqkOc4q9oUmW1yo/edit?usp=sharing"",""อุตรดิตถ์!J23"")"),0)</f>
        <v>0</v>
      </c>
      <c r="K83" s="163">
        <f t="shared" ca="1" si="50"/>
        <v>0</v>
      </c>
      <c r="L83" s="181"/>
      <c r="M83" s="181"/>
      <c r="N83" s="181"/>
      <c r="O83" s="181"/>
      <c r="P83" s="181"/>
    </row>
    <row r="84" spans="1:16" ht="21.75" customHeight="1" x14ac:dyDescent="0.3">
      <c r="A84" s="175"/>
      <c r="B84" s="176"/>
      <c r="C84" s="176"/>
      <c r="D84" s="193"/>
      <c r="E84" s="198"/>
      <c r="F84" s="195"/>
      <c r="G84" s="195" t="s">
        <v>51</v>
      </c>
      <c r="H84" s="180" t="s">
        <v>36</v>
      </c>
      <c r="I84" s="202">
        <f ca="1">IFERROR(__xludf.DUMMYFUNCTION("IMPORTRANGE(""https://docs.google.com/spreadsheets/d/11923uPwbBZFjjGgGUA6NLw09EwE0CqkOc4q9oUmW1yo/edit?usp=sharing"",""อุตรดิตถ์!I24"")"),0)</f>
        <v>0</v>
      </c>
      <c r="J84" s="188">
        <f ca="1">IFERROR(__xludf.DUMMYFUNCTION("IMPORTRANGE(""https://docs.google.com/spreadsheets/d/11923uPwbBZFjjGgGUA6NLw09EwE0CqkOc4q9oUmW1yo/edit?usp=sharing"",""อุตรดิตถ์!J24"")"),0)</f>
        <v>0</v>
      </c>
      <c r="K84" s="163">
        <f t="shared" ca="1" si="50"/>
        <v>0</v>
      </c>
      <c r="L84" s="181"/>
      <c r="M84" s="181"/>
      <c r="N84" s="181"/>
      <c r="O84" s="181"/>
      <c r="P84" s="181"/>
    </row>
    <row r="85" spans="1:16" ht="21.75" customHeight="1" x14ac:dyDescent="0.3">
      <c r="A85" s="175"/>
      <c r="B85" s="176"/>
      <c r="C85" s="176"/>
      <c r="D85" s="193"/>
      <c r="E85" s="198"/>
      <c r="F85" s="195"/>
      <c r="G85" s="196"/>
      <c r="H85" s="180" t="s">
        <v>37</v>
      </c>
      <c r="I85" s="202">
        <f ca="1">IFERROR(__xludf.DUMMYFUNCTION("IMPORTRANGE(""https://docs.google.com/spreadsheets/d/11923uPwbBZFjjGgGUA6NLw09EwE0CqkOc4q9oUmW1yo/edit?usp=sharing"",""อุตรดิตถ์!I25"")"),0)</f>
        <v>0</v>
      </c>
      <c r="J85" s="188">
        <f ca="1">IFERROR(__xludf.DUMMYFUNCTION("IMPORTRANGE(""https://docs.google.com/spreadsheets/d/11923uPwbBZFjjGgGUA6NLw09EwE0CqkOc4q9oUmW1yo/edit?usp=sharing"",""อุตรดิตถ์!J25"")"),0)</f>
        <v>0</v>
      </c>
      <c r="K85" s="163">
        <f t="shared" ca="1" si="50"/>
        <v>0</v>
      </c>
      <c r="L85" s="181"/>
      <c r="M85" s="181"/>
      <c r="N85" s="181"/>
      <c r="O85" s="181"/>
      <c r="P85" s="181"/>
    </row>
    <row r="86" spans="1:16" ht="21.75" customHeight="1" x14ac:dyDescent="0.3">
      <c r="A86" s="175"/>
      <c r="B86" s="176"/>
      <c r="C86" s="176"/>
      <c r="D86" s="193"/>
      <c r="E86" s="198"/>
      <c r="F86" s="195"/>
      <c r="G86" s="195" t="s">
        <v>52</v>
      </c>
      <c r="H86" s="180" t="s">
        <v>36</v>
      </c>
      <c r="I86" s="202">
        <f ca="1">IFERROR(__xludf.DUMMYFUNCTION("IMPORTRANGE(""https://docs.google.com/spreadsheets/d/11923uPwbBZFjjGgGUA6NLw09EwE0CqkOc4q9oUmW1yo/edit?usp=sharing"",""อุตรดิตถ์!I26"")"),0)</f>
        <v>0</v>
      </c>
      <c r="J86" s="203">
        <f ca="1">IFERROR(__xludf.DUMMYFUNCTION("IMPORTRANGE(""https://docs.google.com/spreadsheets/d/11923uPwbBZFjjGgGUA6NLw09EwE0CqkOc4q9oUmW1yo/edit?usp=sharing"",""อุตรดิตถ์!J26"")"),0)</f>
        <v>0</v>
      </c>
      <c r="K86" s="163">
        <f t="shared" ca="1" si="50"/>
        <v>0</v>
      </c>
      <c r="L86" s="181"/>
      <c r="M86" s="181"/>
      <c r="N86" s="181"/>
      <c r="O86" s="181"/>
      <c r="P86" s="181"/>
    </row>
    <row r="87" spans="1:16" ht="21.75" customHeight="1" x14ac:dyDescent="0.3">
      <c r="A87" s="175"/>
      <c r="B87" s="176"/>
      <c r="C87" s="176"/>
      <c r="D87" s="193"/>
      <c r="E87" s="198"/>
      <c r="F87" s="195"/>
      <c r="G87" s="196"/>
      <c r="H87" s="180" t="s">
        <v>37</v>
      </c>
      <c r="I87" s="202">
        <f ca="1">IFERROR(__xludf.DUMMYFUNCTION("IMPORTRANGE(""https://docs.google.com/spreadsheets/d/11923uPwbBZFjjGgGUA6NLw09EwE0CqkOc4q9oUmW1yo/edit?usp=sharing"",""อุตรดิตถ์!I27"")"),0)</f>
        <v>0</v>
      </c>
      <c r="J87" s="203">
        <f ca="1">IFERROR(__xludf.DUMMYFUNCTION("IMPORTRANGE(""https://docs.google.com/spreadsheets/d/11923uPwbBZFjjGgGUA6NLw09EwE0CqkOc4q9oUmW1yo/edit?usp=sharing"",""อุตรดิตถ์!J27"")"),0)</f>
        <v>0</v>
      </c>
      <c r="K87" s="163">
        <f t="shared" ca="1" si="50"/>
        <v>0</v>
      </c>
      <c r="L87" s="181"/>
      <c r="M87" s="181"/>
      <c r="N87" s="181"/>
      <c r="O87" s="181"/>
      <c r="P87" s="181"/>
    </row>
    <row r="88" spans="1:16" ht="21.75" customHeight="1" x14ac:dyDescent="0.3">
      <c r="A88" s="175"/>
      <c r="B88" s="176"/>
      <c r="C88" s="176"/>
      <c r="D88" s="193"/>
      <c r="E88" s="198"/>
      <c r="F88" s="204" t="s">
        <v>53</v>
      </c>
      <c r="G88" s="195"/>
      <c r="H88" s="180" t="s">
        <v>37</v>
      </c>
      <c r="I88" s="202">
        <f ca="1">IFERROR(__xludf.DUMMYFUNCTION("IMPORTRANGE(""https://docs.google.com/spreadsheets/d/11923uPwbBZFjjGgGUA6NLw09EwE0CqkOc4q9oUmW1yo/edit?usp=sharing"",""อุตรดิตถ์!I28"")"),0)</f>
        <v>0</v>
      </c>
      <c r="J88" s="203">
        <f ca="1">IFERROR(__xludf.DUMMYFUNCTION("IMPORTRANGE(""https://docs.google.com/spreadsheets/d/11923uPwbBZFjjGgGUA6NLw09EwE0CqkOc4q9oUmW1yo/edit?usp=sharing"",""อุตรดิตถ์!J28"")"),0)</f>
        <v>0</v>
      </c>
      <c r="K88" s="163">
        <f t="shared" ca="1" si="50"/>
        <v>0</v>
      </c>
      <c r="L88" s="181"/>
      <c r="M88" s="181"/>
      <c r="N88" s="181"/>
      <c r="O88" s="181"/>
      <c r="P88" s="181"/>
    </row>
    <row r="89" spans="1:16" ht="21.75" customHeight="1" x14ac:dyDescent="0.3">
      <c r="A89" s="175"/>
      <c r="B89" s="176"/>
      <c r="C89" s="176"/>
      <c r="D89" s="193"/>
      <c r="E89" s="194" t="s">
        <v>54</v>
      </c>
      <c r="F89" s="195"/>
      <c r="G89" s="196"/>
      <c r="H89" s="186"/>
      <c r="I89" s="187"/>
      <c r="J89" s="197">
        <f ca="1">IFERROR(__xludf.DUMMYFUNCTION("IMPORTRANGE(""https://docs.google.com/spreadsheets/d/11923uPwbBZFjjGgGUA6NLw09EwE0CqkOc4q9oUmW1yo/edit?usp=sharing"",""อุตรดิตถ์!J29"")"),0)</f>
        <v>0</v>
      </c>
      <c r="K89" s="163"/>
      <c r="L89" s="181"/>
      <c r="M89" s="181"/>
      <c r="N89" s="181"/>
      <c r="O89" s="181"/>
      <c r="P89" s="181"/>
    </row>
    <row r="90" spans="1:16" ht="21.75" customHeight="1" x14ac:dyDescent="0.3">
      <c r="A90" s="175"/>
      <c r="B90" s="176"/>
      <c r="C90" s="176"/>
      <c r="D90" s="205">
        <v>3</v>
      </c>
      <c r="E90" s="206" t="s">
        <v>55</v>
      </c>
      <c r="F90" s="207"/>
      <c r="G90" s="208"/>
      <c r="H90" s="186"/>
      <c r="I90" s="187"/>
      <c r="J90" s="209">
        <f ca="1">IFERROR(__xludf.DUMMYFUNCTION("IMPORTRANGE(""https://docs.google.com/spreadsheets/d/11923uPwbBZFjjGgGUA6NLw09EwE0CqkOc4q9oUmW1yo/edit?usp=sharing"",""อุตรดิตถ์!J30"")"),0)</f>
        <v>0</v>
      </c>
      <c r="K90" s="163"/>
      <c r="L90" s="181"/>
      <c r="M90" s="181"/>
      <c r="N90" s="181"/>
      <c r="O90" s="181"/>
      <c r="P90" s="181"/>
    </row>
    <row r="91" spans="1:16" ht="21.75" customHeight="1" x14ac:dyDescent="0.3">
      <c r="A91" s="210" t="s">
        <v>56</v>
      </c>
      <c r="B91" s="211"/>
      <c r="C91" s="212"/>
      <c r="D91" s="211"/>
      <c r="E91" s="213"/>
      <c r="F91" s="213"/>
      <c r="G91" s="214"/>
      <c r="H91" s="215"/>
      <c r="I91" s="216"/>
      <c r="J91" s="216"/>
      <c r="K91" s="217"/>
      <c r="L91" s="218"/>
      <c r="M91" s="218"/>
      <c r="N91" s="218"/>
      <c r="O91" s="219"/>
      <c r="P91" s="219"/>
    </row>
    <row r="92" spans="1:16" ht="21.75" customHeight="1" x14ac:dyDescent="0.3">
      <c r="A92" s="137"/>
      <c r="B92" s="138" t="s">
        <v>57</v>
      </c>
      <c r="C92" s="138"/>
      <c r="D92" s="139"/>
      <c r="E92" s="138"/>
      <c r="F92" s="138"/>
      <c r="G92" s="220"/>
      <c r="H92" s="140" t="s">
        <v>37</v>
      </c>
      <c r="I92" s="141">
        <f ca="1">IFERROR(__xludf.DUMMYFUNCTION("IMPORTRANGE(""https://docs.google.com/spreadsheets/d/11923uPwbBZFjjGgGUA6NLw09EwE0CqkOc4q9oUmW1yo/edit?usp=sharing"",""อุตรดิตถ์!I32"")"),4)</f>
        <v>4</v>
      </c>
      <c r="J92" s="141">
        <f ca="1">IFERROR(__xludf.DUMMYFUNCTION("IMPORTRANGE(""https://docs.google.com/spreadsheets/d/11923uPwbBZFjjGgGUA6NLw09EwE0CqkOc4q9oUmW1yo/edit?usp=sharing"",""อุตรดิตถ์!J32"")"),4)</f>
        <v>4</v>
      </c>
      <c r="K92" s="142">
        <f t="shared" ref="K92:K93" ca="1" si="51">IF(I92&gt;0,J92*100/I92,0)</f>
        <v>100</v>
      </c>
      <c r="L92" s="221"/>
      <c r="M92" s="221"/>
      <c r="N92" s="222"/>
      <c r="O92" s="142"/>
      <c r="P92" s="142"/>
    </row>
    <row r="93" spans="1:16" ht="21.75" customHeight="1" x14ac:dyDescent="0.3">
      <c r="A93" s="137"/>
      <c r="B93" s="138"/>
      <c r="C93" s="138"/>
      <c r="D93" s="139" t="s">
        <v>58</v>
      </c>
      <c r="E93" s="138"/>
      <c r="F93" s="138"/>
      <c r="G93" s="220"/>
      <c r="H93" s="140" t="s">
        <v>59</v>
      </c>
      <c r="I93" s="141">
        <f ca="1">IFERROR(__xludf.DUMMYFUNCTION("IMPORTRANGE(""https://docs.google.com/spreadsheets/d/11923uPwbBZFjjGgGUA6NLw09EwE0CqkOc4q9oUmW1yo/edit?usp=sharing"",""อุตรดิตถ์!I33"")"),1)</f>
        <v>1</v>
      </c>
      <c r="J93" s="141">
        <f ca="1">IFERROR(__xludf.DUMMYFUNCTION("IMPORTRANGE(""https://docs.google.com/spreadsheets/d/11923uPwbBZFjjGgGUA6NLw09EwE0CqkOc4q9oUmW1yo/edit?usp=sharing"",""อุตรดิตถ์!J33"")"),1)</f>
        <v>1</v>
      </c>
      <c r="K93" s="142">
        <f t="shared" ca="1" si="51"/>
        <v>100</v>
      </c>
      <c r="L93" s="222"/>
      <c r="M93" s="222"/>
      <c r="N93" s="222"/>
      <c r="O93" s="142"/>
      <c r="P93" s="142"/>
    </row>
    <row r="94" spans="1:16" ht="21.75" customHeight="1" x14ac:dyDescent="0.45">
      <c r="A94" s="145"/>
      <c r="B94" s="146"/>
      <c r="C94" s="147" t="s">
        <v>16</v>
      </c>
      <c r="D94" s="537" t="s">
        <v>17</v>
      </c>
      <c r="E94" s="528"/>
      <c r="F94" s="528"/>
      <c r="G94" s="528"/>
      <c r="H94" s="148" t="s">
        <v>12</v>
      </c>
      <c r="I94" s="162"/>
      <c r="J94" s="162"/>
      <c r="K94" s="163"/>
      <c r="L94" s="151">
        <f t="shared" ref="L94:N94" ca="1" si="52">L95+L96</f>
        <v>214500</v>
      </c>
      <c r="M94" s="151">
        <f t="shared" ca="1" si="52"/>
        <v>161130</v>
      </c>
      <c r="N94" s="151">
        <f t="shared" ca="1" si="52"/>
        <v>118869</v>
      </c>
      <c r="O94" s="150">
        <f t="shared" ref="O94:O96" ca="1" si="53">IF(L94&gt;0,N94*100/L94,0)</f>
        <v>55.416783216783216</v>
      </c>
      <c r="P94" s="150">
        <f t="shared" ref="P94:P96" ca="1" si="54">IF(M94&gt;0,N94*100/M94,0)</f>
        <v>73.772109476819963</v>
      </c>
    </row>
    <row r="95" spans="1:16" ht="21.75" customHeight="1" x14ac:dyDescent="0.45">
      <c r="A95" s="152"/>
      <c r="B95" s="32"/>
      <c r="C95" s="32"/>
      <c r="D95" s="32"/>
      <c r="E95" s="32"/>
      <c r="F95" s="32"/>
      <c r="G95" s="33" t="s">
        <v>18</v>
      </c>
      <c r="H95" s="153" t="s">
        <v>12</v>
      </c>
      <c r="I95" s="162"/>
      <c r="J95" s="162"/>
      <c r="K95" s="163"/>
      <c r="L95" s="87">
        <f t="shared" ref="L95:N95" si="55">L97+L101</f>
        <v>0</v>
      </c>
      <c r="M95" s="87">
        <f t="shared" si="55"/>
        <v>0</v>
      </c>
      <c r="N95" s="87">
        <f t="shared" si="55"/>
        <v>0</v>
      </c>
      <c r="O95" s="155">
        <f t="shared" si="53"/>
        <v>0</v>
      </c>
      <c r="P95" s="155">
        <f t="shared" si="54"/>
        <v>0</v>
      </c>
    </row>
    <row r="96" spans="1:16" ht="21.75" customHeight="1" x14ac:dyDescent="0.45">
      <c r="A96" s="152"/>
      <c r="B96" s="32"/>
      <c r="C96" s="32"/>
      <c r="D96" s="32"/>
      <c r="E96" s="32"/>
      <c r="F96" s="32"/>
      <c r="G96" s="33" t="s">
        <v>19</v>
      </c>
      <c r="H96" s="153" t="s">
        <v>12</v>
      </c>
      <c r="I96" s="162"/>
      <c r="J96" s="162"/>
      <c r="K96" s="163"/>
      <c r="L96" s="87">
        <f t="shared" ref="L96:N96" ca="1" si="56">L98+L102</f>
        <v>214500</v>
      </c>
      <c r="M96" s="87">
        <f t="shared" ca="1" si="56"/>
        <v>161130</v>
      </c>
      <c r="N96" s="87">
        <f t="shared" ca="1" si="56"/>
        <v>118869</v>
      </c>
      <c r="O96" s="155">
        <f t="shared" ca="1" si="53"/>
        <v>55.416783216783216</v>
      </c>
      <c r="P96" s="155">
        <f t="shared" ca="1" si="54"/>
        <v>73.772109476819963</v>
      </c>
    </row>
    <row r="97" spans="1:16" ht="21.75" customHeight="1" x14ac:dyDescent="0.3">
      <c r="A97" s="156"/>
      <c r="B97" s="157"/>
      <c r="C97" s="157" t="s">
        <v>16</v>
      </c>
      <c r="D97" s="158" t="s">
        <v>38</v>
      </c>
      <c r="E97" s="159"/>
      <c r="F97" s="159"/>
      <c r="G97" s="160" t="s">
        <v>39</v>
      </c>
      <c r="H97" s="161" t="s">
        <v>12</v>
      </c>
      <c r="I97" s="162" t="s">
        <v>40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3">
      <c r="A98" s="156"/>
      <c r="B98" s="157"/>
      <c r="C98" s="157"/>
      <c r="D98" s="166"/>
      <c r="E98" s="159"/>
      <c r="F98" s="159" t="s">
        <v>40</v>
      </c>
      <c r="G98" s="160" t="s">
        <v>41</v>
      </c>
      <c r="H98" s="161" t="s">
        <v>12</v>
      </c>
      <c r="I98" s="162"/>
      <c r="J98" s="162"/>
      <c r="K98" s="163"/>
      <c r="L98" s="167">
        <f ca="1">L99+L100</f>
        <v>122100</v>
      </c>
      <c r="M98" s="167">
        <f ca="1">IFERROR(__xludf.DUMMYFUNCTION("IMPORTRANGE(""https://docs.google.com/spreadsheets/d/1Yj_ptqi66GCucihVvJfMjLAmec39IyEx_6qawtMGysU/edit?usp=sharing"",""สบก!AR35"")"),68730)</f>
        <v>68730</v>
      </c>
      <c r="N98" s="168">
        <f ca="1">IFERROR(__xludf.DUMMYFUNCTION("IMPORTRANGE(""https://docs.google.com/spreadsheets/d/1Yj_ptqi66GCucihVvJfMjLAmec39IyEx_6qawtMGysU/edit?usp=sharing"",""สบก!AS35"")"),26469)</f>
        <v>26469</v>
      </c>
      <c r="O98" s="168">
        <f ca="1">IF(L98&gt;0,N98*100/L98,0)</f>
        <v>21.678132678132677</v>
      </c>
      <c r="P98" s="168">
        <f ca="1">IF(M98&gt;0,N98*100/M98,0)</f>
        <v>38.511567001309473</v>
      </c>
    </row>
    <row r="99" spans="1:16" ht="21.75" customHeight="1" x14ac:dyDescent="0.3">
      <c r="A99" s="156"/>
      <c r="B99" s="157"/>
      <c r="C99" s="157"/>
      <c r="D99" s="166"/>
      <c r="E99" s="159"/>
      <c r="F99" s="159"/>
      <c r="G99" s="169" t="s">
        <v>42</v>
      </c>
      <c r="H99" s="161" t="s">
        <v>12</v>
      </c>
      <c r="I99" s="162"/>
      <c r="J99" s="162"/>
      <c r="K99" s="163"/>
      <c r="L99" s="167">
        <f ca="1">IFERROR(__xludf.DUMMYFUNCTION("IMPORTRANGE(""https://docs.google.com/spreadsheets/d/1Yj_ptqi66GCucihVvJfMjLAmec39IyEx_6qawtMGysU/edit?usp=sharing"",""สบก!AN35"")"),0)</f>
        <v>0</v>
      </c>
      <c r="M99" s="167"/>
      <c r="N99" s="167"/>
      <c r="O99" s="168"/>
      <c r="P99" s="168"/>
    </row>
    <row r="100" spans="1:16" ht="21.75" customHeight="1" x14ac:dyDescent="0.3">
      <c r="A100" s="156"/>
      <c r="B100" s="157"/>
      <c r="C100" s="157"/>
      <c r="D100" s="166"/>
      <c r="E100" s="159"/>
      <c r="F100" s="159"/>
      <c r="G100" s="169" t="s">
        <v>43</v>
      </c>
      <c r="H100" s="161" t="s">
        <v>12</v>
      </c>
      <c r="I100" s="162"/>
      <c r="J100" s="187"/>
      <c r="K100" s="223"/>
      <c r="L100" s="167">
        <f ca="1">IFERROR(__xludf.DUMMYFUNCTION("IMPORTRANGE(""https://docs.google.com/spreadsheets/d/1Yj_ptqi66GCucihVvJfMjLAmec39IyEx_6qawtMGysU/edit?usp=sharing"",""สบก!AO35"")"),122100)</f>
        <v>122100</v>
      </c>
      <c r="M100" s="167"/>
      <c r="N100" s="167"/>
      <c r="O100" s="168"/>
      <c r="P100" s="168"/>
    </row>
    <row r="101" spans="1:16" ht="21.75" customHeight="1" x14ac:dyDescent="0.45">
      <c r="A101" s="170"/>
      <c r="B101" s="80"/>
      <c r="C101" s="81" t="s">
        <v>16</v>
      </c>
      <c r="D101" s="534" t="s">
        <v>23</v>
      </c>
      <c r="E101" s="530"/>
      <c r="F101" s="88"/>
      <c r="G101" s="82" t="s">
        <v>18</v>
      </c>
      <c r="H101" s="171" t="s">
        <v>12</v>
      </c>
      <c r="I101" s="187"/>
      <c r="J101" s="187"/>
      <c r="K101" s="223"/>
      <c r="L101" s="41">
        <v>0</v>
      </c>
      <c r="M101" s="41"/>
      <c r="N101" s="41"/>
      <c r="O101" s="41"/>
      <c r="P101" s="41"/>
    </row>
    <row r="102" spans="1:16" ht="21.75" customHeight="1" x14ac:dyDescent="0.45">
      <c r="A102" s="172"/>
      <c r="B102" s="91"/>
      <c r="C102" s="91"/>
      <c r="D102" s="173"/>
      <c r="E102" s="92"/>
      <c r="F102" s="92"/>
      <c r="G102" s="93" t="s">
        <v>19</v>
      </c>
      <c r="H102" s="174" t="s">
        <v>12</v>
      </c>
      <c r="I102" s="187"/>
      <c r="J102" s="187"/>
      <c r="K102" s="223"/>
      <c r="L102" s="49">
        <f ca="1">IFERROR(__xludf.DUMMYFUNCTION("IMPORTRANGE(""https://docs.google.com/spreadsheets/d/1Yj_ptqi66GCucihVvJfMjLAmec39IyEx_6qawtMGysU/edit?usp=sharing"",""สบก!AP35"")"),92400)</f>
        <v>92400</v>
      </c>
      <c r="M102" s="49">
        <f ca="1">L102</f>
        <v>92400</v>
      </c>
      <c r="N102" s="49">
        <f ca="1">IFERROR(__xludf.DUMMYFUNCTION("IMPORTRANGE(""https://docs.google.com/spreadsheets/d/1Yj_ptqi66GCucihVvJfMjLAmec39IyEx_6qawtMGysU/edit?usp=sharing"",""สบก!AT35"")"),92400)</f>
        <v>92400</v>
      </c>
      <c r="O102" s="49">
        <f ca="1">IF(L102&gt;0,N102*100/L102,0)</f>
        <v>100</v>
      </c>
      <c r="P102" s="49">
        <f ca="1">IF(M102&gt;0,N102*100/M102,0)</f>
        <v>100</v>
      </c>
    </row>
    <row r="103" spans="1:16" ht="21.75" customHeight="1" x14ac:dyDescent="0.3">
      <c r="A103" s="175"/>
      <c r="B103" s="176"/>
      <c r="C103" s="157" t="s">
        <v>16</v>
      </c>
      <c r="D103" s="177" t="s">
        <v>44</v>
      </c>
      <c r="E103" s="178"/>
      <c r="F103" s="178"/>
      <c r="G103" s="179"/>
      <c r="H103" s="180"/>
      <c r="I103" s="162"/>
      <c r="J103" s="187"/>
      <c r="K103" s="223"/>
      <c r="L103" s="168"/>
      <c r="M103" s="168"/>
      <c r="N103" s="168"/>
      <c r="O103" s="181"/>
      <c r="P103" s="181"/>
    </row>
    <row r="104" spans="1:16" ht="21.75" customHeight="1" x14ac:dyDescent="0.3">
      <c r="A104" s="175"/>
      <c r="B104" s="176"/>
      <c r="C104" s="176"/>
      <c r="D104" s="182">
        <v>1</v>
      </c>
      <c r="E104" s="183" t="s">
        <v>45</v>
      </c>
      <c r="F104" s="184"/>
      <c r="G104" s="185"/>
      <c r="H104" s="186"/>
      <c r="I104" s="187"/>
      <c r="J104" s="187">
        <f ca="1">IFERROR(__xludf.DUMMYFUNCTION("IMPORTRANGE(""https://docs.google.com/spreadsheets/d/11923uPwbBZFjjGgGUA6NLw09EwE0CqkOc4q9oUmW1yo/edit?usp=sharing"",""อุตรดิตถ์!J39"")"),0)</f>
        <v>0</v>
      </c>
      <c r="K104" s="223"/>
      <c r="L104" s="168"/>
      <c r="M104" s="168"/>
      <c r="N104" s="168"/>
      <c r="O104" s="181"/>
      <c r="P104" s="181"/>
    </row>
    <row r="105" spans="1:16" ht="21.75" customHeight="1" x14ac:dyDescent="0.3">
      <c r="A105" s="175"/>
      <c r="B105" s="176"/>
      <c r="C105" s="176"/>
      <c r="D105" s="189">
        <v>2</v>
      </c>
      <c r="E105" s="190" t="s">
        <v>46</v>
      </c>
      <c r="F105" s="191"/>
      <c r="G105" s="192"/>
      <c r="H105" s="186"/>
      <c r="I105" s="187"/>
      <c r="J105" s="187">
        <f ca="1">IFERROR(__xludf.DUMMYFUNCTION("IMPORTRANGE(""https://docs.google.com/spreadsheets/d/11923uPwbBZFjjGgGUA6NLw09EwE0CqkOc4q9oUmW1yo/edit?usp=sharing"",""อุตรดิตถ์!J40"")"),1)</f>
        <v>1</v>
      </c>
      <c r="K105" s="223"/>
      <c r="L105" s="168" t="s">
        <v>40</v>
      </c>
      <c r="M105" s="168"/>
      <c r="N105" s="168" t="s">
        <v>40</v>
      </c>
      <c r="O105" s="181"/>
      <c r="P105" s="181"/>
    </row>
    <row r="106" spans="1:16" ht="21.75" customHeight="1" x14ac:dyDescent="0.3">
      <c r="A106" s="175"/>
      <c r="B106" s="176"/>
      <c r="C106" s="176"/>
      <c r="D106" s="193"/>
      <c r="E106" s="194" t="s">
        <v>47</v>
      </c>
      <c r="F106" s="195"/>
      <c r="G106" s="196"/>
      <c r="H106" s="186"/>
      <c r="I106" s="187"/>
      <c r="J106" s="187">
        <f ca="1">IFERROR(__xludf.DUMMYFUNCTION("IMPORTRANGE(""https://docs.google.com/spreadsheets/d/11923uPwbBZFjjGgGUA6NLw09EwE0CqkOc4q9oUmW1yo/edit?usp=sharing"",""อุตรดิตถ์!J41"")"),1)</f>
        <v>1</v>
      </c>
      <c r="K106" s="223"/>
      <c r="L106" s="168"/>
      <c r="M106" s="168"/>
      <c r="N106" s="168"/>
      <c r="O106" s="181"/>
      <c r="P106" s="181"/>
    </row>
    <row r="107" spans="1:16" ht="21.75" customHeight="1" x14ac:dyDescent="0.3">
      <c r="A107" s="175"/>
      <c r="B107" s="176"/>
      <c r="C107" s="176"/>
      <c r="D107" s="193"/>
      <c r="E107" s="194" t="s">
        <v>48</v>
      </c>
      <c r="F107" s="195"/>
      <c r="G107" s="196"/>
      <c r="H107" s="186"/>
      <c r="I107" s="187"/>
      <c r="J107" s="187">
        <f ca="1">IFERROR(__xludf.DUMMYFUNCTION("IMPORTRANGE(""https://docs.google.com/spreadsheets/d/11923uPwbBZFjjGgGUA6NLw09EwE0CqkOc4q9oUmW1yo/edit?usp=sharing"",""อุตรดิตถ์!J42"")"),1)</f>
        <v>1</v>
      </c>
      <c r="K107" s="223"/>
      <c r="L107" s="168"/>
      <c r="M107" s="168"/>
      <c r="N107" s="168"/>
      <c r="O107" s="181"/>
      <c r="P107" s="181"/>
    </row>
    <row r="108" spans="1:16" ht="21.75" customHeight="1" x14ac:dyDescent="0.3">
      <c r="A108" s="175"/>
      <c r="B108" s="176"/>
      <c r="C108" s="176"/>
      <c r="D108" s="193"/>
      <c r="E108" s="195"/>
      <c r="F108" s="195" t="s">
        <v>60</v>
      </c>
      <c r="G108" s="195"/>
      <c r="H108" s="180" t="s">
        <v>61</v>
      </c>
      <c r="I108" s="202">
        <f ca="1">IFERROR(__xludf.DUMMYFUNCTION("IMPORTRANGE(""https://docs.google.com/spreadsheets/d/11923uPwbBZFjjGgGUA6NLw09EwE0CqkOc4q9oUmW1yo/edit?usp=sharing"",""อุตรดิตถ์!I43"")"),1)</f>
        <v>1</v>
      </c>
      <c r="J108" s="203">
        <f ca="1">IFERROR(__xludf.DUMMYFUNCTION("IMPORTRANGE(""https://docs.google.com/spreadsheets/d/11923uPwbBZFjjGgGUA6NLw09EwE0CqkOc4q9oUmW1yo/edit?usp=sharing"",""อุตรดิตถ์!J43"")"),1)</f>
        <v>1</v>
      </c>
      <c r="K108" s="223">
        <f t="shared" ref="K108:K113" ca="1" si="57">IF(I108&gt;0,J108*100/I108,0)</f>
        <v>100</v>
      </c>
      <c r="L108" s="168"/>
      <c r="M108" s="168"/>
      <c r="N108" s="168"/>
      <c r="O108" s="181"/>
      <c r="P108" s="181"/>
    </row>
    <row r="109" spans="1:16" ht="21.75" customHeight="1" x14ac:dyDescent="0.3">
      <c r="A109" s="175"/>
      <c r="B109" s="176"/>
      <c r="C109" s="176"/>
      <c r="D109" s="193"/>
      <c r="E109" s="198"/>
      <c r="F109" s="194" t="s">
        <v>62</v>
      </c>
      <c r="G109" s="195"/>
      <c r="H109" s="180" t="s">
        <v>37</v>
      </c>
      <c r="I109" s="202">
        <f ca="1">IFERROR(__xludf.DUMMYFUNCTION("IMPORTRANGE(""https://docs.google.com/spreadsheets/d/11923uPwbBZFjjGgGUA6NLw09EwE0CqkOc4q9oUmW1yo/edit?usp=sharing"",""อุตรดิตถ์!I44"")"),4)</f>
        <v>4</v>
      </c>
      <c r="J109" s="203">
        <f ca="1">IFERROR(__xludf.DUMMYFUNCTION("IMPORTRANGE(""https://docs.google.com/spreadsheets/d/11923uPwbBZFjjGgGUA6NLw09EwE0CqkOc4q9oUmW1yo/edit?usp=sharing"",""อุตรดิตถ์!J44"")"),4)</f>
        <v>4</v>
      </c>
      <c r="K109" s="223">
        <f t="shared" ca="1" si="57"/>
        <v>100</v>
      </c>
      <c r="L109" s="168"/>
      <c r="M109" s="168"/>
      <c r="N109" s="168"/>
      <c r="O109" s="181"/>
      <c r="P109" s="181"/>
    </row>
    <row r="110" spans="1:16" ht="21.75" customHeight="1" x14ac:dyDescent="0.3">
      <c r="A110" s="175"/>
      <c r="B110" s="176"/>
      <c r="C110" s="176"/>
      <c r="D110" s="193"/>
      <c r="E110" s="198"/>
      <c r="F110" s="195"/>
      <c r="G110" s="224" t="s">
        <v>63</v>
      </c>
      <c r="H110" s="180" t="s">
        <v>37</v>
      </c>
      <c r="I110" s="202">
        <f ca="1">IFERROR(__xludf.DUMMYFUNCTION("IMPORTRANGE(""https://docs.google.com/spreadsheets/d/11923uPwbBZFjjGgGUA6NLw09EwE0CqkOc4q9oUmW1yo/edit?usp=sharing"",""อุตรดิตถ์!I45"")"),4)</f>
        <v>4</v>
      </c>
      <c r="J110" s="203">
        <f ca="1">IFERROR(__xludf.DUMMYFUNCTION("IMPORTRANGE(""https://docs.google.com/spreadsheets/d/11923uPwbBZFjjGgGUA6NLw09EwE0CqkOc4q9oUmW1yo/edit?usp=sharing"",""อุตรดิตถ์!J45"")"),4)</f>
        <v>4</v>
      </c>
      <c r="K110" s="223">
        <f t="shared" ca="1" si="57"/>
        <v>100</v>
      </c>
      <c r="L110" s="168"/>
      <c r="M110" s="168"/>
      <c r="N110" s="168"/>
      <c r="O110" s="181"/>
      <c r="P110" s="181"/>
    </row>
    <row r="111" spans="1:16" ht="21.75" customHeight="1" x14ac:dyDescent="0.3">
      <c r="A111" s="175"/>
      <c r="B111" s="176"/>
      <c r="C111" s="176"/>
      <c r="D111" s="193"/>
      <c r="E111" s="198"/>
      <c r="F111" s="195"/>
      <c r="G111" s="224" t="s">
        <v>64</v>
      </c>
      <c r="H111" s="180" t="s">
        <v>37</v>
      </c>
      <c r="I111" s="202">
        <f ca="1">IFERROR(__xludf.DUMMYFUNCTION("IMPORTRANGE(""https://docs.google.com/spreadsheets/d/11923uPwbBZFjjGgGUA6NLw09EwE0CqkOc4q9oUmW1yo/edit?usp=sharing"",""อุตรดิตถ์!I46"")"),4)</f>
        <v>4</v>
      </c>
      <c r="J111" s="203">
        <f ca="1">IFERROR(__xludf.DUMMYFUNCTION("IMPORTRANGE(""https://docs.google.com/spreadsheets/d/11923uPwbBZFjjGgGUA6NLw09EwE0CqkOc4q9oUmW1yo/edit?usp=sharing"",""อุตรดิตถ์!J46"")"),4)</f>
        <v>4</v>
      </c>
      <c r="K111" s="223">
        <f t="shared" ca="1" si="57"/>
        <v>100</v>
      </c>
      <c r="L111" s="168"/>
      <c r="M111" s="168"/>
      <c r="N111" s="168"/>
      <c r="O111" s="181"/>
      <c r="P111" s="181"/>
    </row>
    <row r="112" spans="1:16" ht="21.75" customHeight="1" x14ac:dyDescent="0.3">
      <c r="A112" s="175"/>
      <c r="B112" s="176"/>
      <c r="C112" s="176"/>
      <c r="D112" s="193"/>
      <c r="E112" s="198"/>
      <c r="F112" s="195"/>
      <c r="G112" s="225" t="s">
        <v>65</v>
      </c>
      <c r="H112" s="180" t="s">
        <v>37</v>
      </c>
      <c r="I112" s="202">
        <f ca="1">IFERROR(__xludf.DUMMYFUNCTION("IMPORTRANGE(""https://docs.google.com/spreadsheets/d/11923uPwbBZFjjGgGUA6NLw09EwE0CqkOc4q9oUmW1yo/edit?usp=sharing"",""อุตรดิตถ์!I47"")"),4)</f>
        <v>4</v>
      </c>
      <c r="J112" s="203">
        <f ca="1">IFERROR(__xludf.DUMMYFUNCTION("IMPORTRANGE(""https://docs.google.com/spreadsheets/d/11923uPwbBZFjjGgGUA6NLw09EwE0CqkOc4q9oUmW1yo/edit?usp=sharing"",""อุตรดิตถ์!J47"")"),0)</f>
        <v>0</v>
      </c>
      <c r="K112" s="223">
        <f t="shared" ca="1" si="57"/>
        <v>0</v>
      </c>
      <c r="L112" s="168"/>
      <c r="M112" s="168"/>
      <c r="N112" s="168"/>
      <c r="O112" s="181"/>
      <c r="P112" s="181"/>
    </row>
    <row r="113" spans="1:16" ht="21.75" customHeight="1" x14ac:dyDescent="0.3">
      <c r="A113" s="175"/>
      <c r="B113" s="176"/>
      <c r="C113" s="176"/>
      <c r="D113" s="193"/>
      <c r="E113" s="198"/>
      <c r="F113" s="195" t="s">
        <v>66</v>
      </c>
      <c r="G113" s="195"/>
      <c r="H113" s="180" t="s">
        <v>59</v>
      </c>
      <c r="I113" s="202">
        <f ca="1">IFERROR(__xludf.DUMMYFUNCTION("IMPORTRANGE(""https://docs.google.com/spreadsheets/d/11923uPwbBZFjjGgGUA6NLw09EwE0CqkOc4q9oUmW1yo/edit?usp=sharing"",""อุตรดิตถ์!I48"")"),1)</f>
        <v>1</v>
      </c>
      <c r="J113" s="203">
        <f ca="1">IFERROR(__xludf.DUMMYFUNCTION("IMPORTRANGE(""https://docs.google.com/spreadsheets/d/11923uPwbBZFjjGgGUA6NLw09EwE0CqkOc4q9oUmW1yo/edit?usp=sharing"",""อุตรดิตถ์!J48"")"),1)</f>
        <v>1</v>
      </c>
      <c r="K113" s="223">
        <f t="shared" ca="1" si="57"/>
        <v>100</v>
      </c>
      <c r="L113" s="168"/>
      <c r="M113" s="168"/>
      <c r="N113" s="168"/>
      <c r="O113" s="181"/>
      <c r="P113" s="181"/>
    </row>
    <row r="114" spans="1:16" ht="21.75" customHeight="1" x14ac:dyDescent="0.3">
      <c r="A114" s="175"/>
      <c r="B114" s="176"/>
      <c r="C114" s="176"/>
      <c r="D114" s="193"/>
      <c r="E114" s="194" t="s">
        <v>54</v>
      </c>
      <c r="F114" s="195"/>
      <c r="G114" s="196"/>
      <c r="H114" s="186"/>
      <c r="I114" s="187"/>
      <c r="J114" s="187">
        <f ca="1">IFERROR(__xludf.DUMMYFUNCTION("IMPORTRANGE(""https://docs.google.com/spreadsheets/d/11923uPwbBZFjjGgGUA6NLw09EwE0CqkOc4q9oUmW1yo/edit?usp=sharing"",""อุตรดิตถ์!J49"")"),0)</f>
        <v>0</v>
      </c>
      <c r="K114" s="223"/>
      <c r="L114" s="168"/>
      <c r="M114" s="168"/>
      <c r="N114" s="168"/>
      <c r="O114" s="181"/>
      <c r="P114" s="181"/>
    </row>
    <row r="115" spans="1:16" ht="21.75" customHeight="1" x14ac:dyDescent="0.3">
      <c r="A115" s="175"/>
      <c r="B115" s="176"/>
      <c r="C115" s="176"/>
      <c r="D115" s="205">
        <v>3</v>
      </c>
      <c r="E115" s="206" t="s">
        <v>55</v>
      </c>
      <c r="F115" s="207"/>
      <c r="G115" s="208"/>
      <c r="H115" s="186"/>
      <c r="I115" s="187"/>
      <c r="J115" s="226">
        <f ca="1">IFERROR(__xludf.DUMMYFUNCTION("IMPORTRANGE(""https://docs.google.com/spreadsheets/d/11923uPwbBZFjjGgGUA6NLw09EwE0CqkOc4q9oUmW1yo/edit?usp=sharing"",""อุตรดิตถ์!J50"")"),0)</f>
        <v>0</v>
      </c>
      <c r="K115" s="223"/>
      <c r="L115" s="168"/>
      <c r="M115" s="168"/>
      <c r="N115" s="168"/>
      <c r="O115" s="181"/>
      <c r="P115" s="181"/>
    </row>
    <row r="116" spans="1:16" ht="21.75" customHeight="1" x14ac:dyDescent="0.3">
      <c r="A116" s="210" t="s">
        <v>67</v>
      </c>
      <c r="B116" s="227"/>
      <c r="C116" s="228"/>
      <c r="D116" s="227"/>
      <c r="E116" s="229"/>
      <c r="F116" s="229"/>
      <c r="G116" s="230"/>
      <c r="H116" s="215"/>
      <c r="I116" s="216"/>
      <c r="J116" s="216"/>
      <c r="K116" s="217"/>
      <c r="L116" s="218"/>
      <c r="M116" s="218"/>
      <c r="N116" s="218"/>
      <c r="O116" s="219"/>
      <c r="P116" s="219"/>
    </row>
    <row r="117" spans="1:16" ht="21.75" customHeight="1" x14ac:dyDescent="0.3">
      <c r="A117" s="137"/>
      <c r="B117" s="138" t="s">
        <v>68</v>
      </c>
      <c r="C117" s="231"/>
      <c r="D117" s="139"/>
      <c r="E117" s="138"/>
      <c r="F117" s="138"/>
      <c r="G117" s="220"/>
      <c r="H117" s="140" t="s">
        <v>37</v>
      </c>
      <c r="I117" s="141">
        <f ca="1">IFERROR(__xludf.DUMMYFUNCTION("IMPORTRANGE(""https://docs.google.com/spreadsheets/d/11923uPwbBZFjjGgGUA6NLw09EwE0CqkOc4q9oUmW1yo/edit?usp=sharing"",""อุตรดิตถ์!I52"")"),20)</f>
        <v>20</v>
      </c>
      <c r="J117" s="141">
        <f ca="1">IFERROR(__xludf.DUMMYFUNCTION("IMPORTRANGE(""https://docs.google.com/spreadsheets/d/11923uPwbBZFjjGgGUA6NLw09EwE0CqkOc4q9oUmW1yo/edit?usp=sharing"",""อุตรดิตถ์!J52"")"),20)</f>
        <v>20</v>
      </c>
      <c r="K117" s="142">
        <f ca="1">IF(I117&gt;0,J117*100/I117,0)</f>
        <v>100</v>
      </c>
      <c r="L117" s="143"/>
      <c r="M117" s="143"/>
      <c r="N117" s="144"/>
      <c r="O117" s="142"/>
      <c r="P117" s="142"/>
    </row>
    <row r="118" spans="1:16" ht="21.75" customHeight="1" x14ac:dyDescent="0.45">
      <c r="A118" s="145"/>
      <c r="B118" s="146"/>
      <c r="C118" s="147" t="s">
        <v>16</v>
      </c>
      <c r="D118" s="537" t="s">
        <v>17</v>
      </c>
      <c r="E118" s="528"/>
      <c r="F118" s="528"/>
      <c r="G118" s="528"/>
      <c r="H118" s="148" t="s">
        <v>12</v>
      </c>
      <c r="I118" s="162"/>
      <c r="J118" s="162"/>
      <c r="K118" s="163"/>
      <c r="L118" s="151">
        <f t="shared" ref="L118:N118" ca="1" si="58">L119+L120</f>
        <v>82440</v>
      </c>
      <c r="M118" s="151">
        <f t="shared" ca="1" si="58"/>
        <v>66440</v>
      </c>
      <c r="N118" s="151">
        <f t="shared" ca="1" si="58"/>
        <v>56713</v>
      </c>
      <c r="O118" s="150">
        <f t="shared" ref="O118:O120" ca="1" si="59">IF(L118&gt;0,N118*100/L118,0)</f>
        <v>68.793061620572544</v>
      </c>
      <c r="P118" s="150">
        <f t="shared" ref="P118:P120" ca="1" si="60">IF(M118&gt;0,N118*100/M118,0)</f>
        <v>85.359723058398558</v>
      </c>
    </row>
    <row r="119" spans="1:16" ht="21.75" customHeight="1" x14ac:dyDescent="0.45">
      <c r="A119" s="152"/>
      <c r="B119" s="32"/>
      <c r="C119" s="32"/>
      <c r="D119" s="32"/>
      <c r="E119" s="32"/>
      <c r="F119" s="32"/>
      <c r="G119" s="33" t="s">
        <v>18</v>
      </c>
      <c r="H119" s="153" t="s">
        <v>12</v>
      </c>
      <c r="I119" s="162"/>
      <c r="J119" s="162"/>
      <c r="K119" s="163"/>
      <c r="L119" s="87">
        <f t="shared" ref="L119:N119" si="61">L121+L125</f>
        <v>0</v>
      </c>
      <c r="M119" s="87">
        <f t="shared" si="61"/>
        <v>0</v>
      </c>
      <c r="N119" s="87">
        <f t="shared" si="61"/>
        <v>0</v>
      </c>
      <c r="O119" s="155">
        <f t="shared" si="59"/>
        <v>0</v>
      </c>
      <c r="P119" s="155">
        <f t="shared" si="60"/>
        <v>0</v>
      </c>
    </row>
    <row r="120" spans="1:16" ht="21.75" customHeight="1" x14ac:dyDescent="0.45">
      <c r="A120" s="152"/>
      <c r="B120" s="32"/>
      <c r="C120" s="32"/>
      <c r="D120" s="32"/>
      <c r="E120" s="32"/>
      <c r="F120" s="32"/>
      <c r="G120" s="33" t="s">
        <v>19</v>
      </c>
      <c r="H120" s="153" t="s">
        <v>12</v>
      </c>
      <c r="I120" s="162"/>
      <c r="J120" s="162"/>
      <c r="K120" s="163"/>
      <c r="L120" s="87">
        <f t="shared" ref="L120:N120" ca="1" si="62">L122+L126</f>
        <v>82440</v>
      </c>
      <c r="M120" s="87">
        <f t="shared" ca="1" si="62"/>
        <v>66440</v>
      </c>
      <c r="N120" s="87">
        <f t="shared" ca="1" si="62"/>
        <v>56713</v>
      </c>
      <c r="O120" s="155">
        <f t="shared" ca="1" si="59"/>
        <v>68.793061620572544</v>
      </c>
      <c r="P120" s="155">
        <f t="shared" ca="1" si="60"/>
        <v>85.359723058398558</v>
      </c>
    </row>
    <row r="121" spans="1:16" ht="21.75" customHeight="1" x14ac:dyDescent="0.3">
      <c r="A121" s="156"/>
      <c r="B121" s="157"/>
      <c r="C121" s="157" t="s">
        <v>16</v>
      </c>
      <c r="D121" s="158" t="s">
        <v>38</v>
      </c>
      <c r="E121" s="159"/>
      <c r="F121" s="159"/>
      <c r="G121" s="160" t="s">
        <v>39</v>
      </c>
      <c r="H121" s="161" t="s">
        <v>12</v>
      </c>
      <c r="I121" s="162" t="s">
        <v>40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3">
      <c r="A122" s="156"/>
      <c r="B122" s="157"/>
      <c r="C122" s="157"/>
      <c r="D122" s="166"/>
      <c r="E122" s="159"/>
      <c r="F122" s="159" t="s">
        <v>40</v>
      </c>
      <c r="G122" s="160" t="s">
        <v>41</v>
      </c>
      <c r="H122" s="161" t="s">
        <v>12</v>
      </c>
      <c r="I122" s="162"/>
      <c r="J122" s="162"/>
      <c r="K122" s="163"/>
      <c r="L122" s="167">
        <f ca="1">L123+L124</f>
        <v>82440</v>
      </c>
      <c r="M122" s="167">
        <f ca="1">IFERROR(__xludf.DUMMYFUNCTION("IMPORTRANGE(""https://docs.google.com/spreadsheets/d/1Yj_ptqi66GCucihVvJfMjLAmec39IyEx_6qawtMGysU/edit?usp=sharing"",""สบก!BA35"")"),66440)</f>
        <v>66440</v>
      </c>
      <c r="N122" s="168">
        <f ca="1">IFERROR(__xludf.DUMMYFUNCTION("IMPORTRANGE(""https://docs.google.com/spreadsheets/d/1Yj_ptqi66GCucihVvJfMjLAmec39IyEx_6qawtMGysU/edit?usp=sharing"",""สบก!BB35"")"),56713)</f>
        <v>56713</v>
      </c>
      <c r="O122" s="168">
        <f ca="1">IF(L122&gt;0,N122*100/L122,0)</f>
        <v>68.793061620572544</v>
      </c>
      <c r="P122" s="168">
        <f ca="1">IF(M122&gt;0,N122*100/M122,0)</f>
        <v>85.359723058398558</v>
      </c>
    </row>
    <row r="123" spans="1:16" ht="21.75" customHeight="1" x14ac:dyDescent="0.3">
      <c r="A123" s="156"/>
      <c r="B123" s="157"/>
      <c r="C123" s="157"/>
      <c r="D123" s="166"/>
      <c r="E123" s="159"/>
      <c r="F123" s="159"/>
      <c r="G123" s="169" t="s">
        <v>42</v>
      </c>
      <c r="H123" s="161" t="s">
        <v>12</v>
      </c>
      <c r="I123" s="162"/>
      <c r="J123" s="162"/>
      <c r="K123" s="163"/>
      <c r="L123" s="167">
        <f ca="1">IFERROR(__xludf.DUMMYFUNCTION("IMPORTRANGE(""https://docs.google.com/spreadsheets/d/1Yj_ptqi66GCucihVvJfMjLAmec39IyEx_6qawtMGysU/edit?usp=sharing"",""สบก!AW35"")"),0)</f>
        <v>0</v>
      </c>
      <c r="M123" s="167"/>
      <c r="N123" s="167"/>
      <c r="O123" s="168"/>
      <c r="P123" s="168"/>
    </row>
    <row r="124" spans="1:16" ht="21.75" customHeight="1" x14ac:dyDescent="0.3">
      <c r="A124" s="156"/>
      <c r="B124" s="157"/>
      <c r="C124" s="157"/>
      <c r="D124" s="166"/>
      <c r="E124" s="159"/>
      <c r="F124" s="159"/>
      <c r="G124" s="169" t="s">
        <v>43</v>
      </c>
      <c r="H124" s="161" t="s">
        <v>12</v>
      </c>
      <c r="I124" s="162"/>
      <c r="J124" s="187"/>
      <c r="K124" s="223"/>
      <c r="L124" s="167">
        <f ca="1">IFERROR(__xludf.DUMMYFUNCTION("IMPORTRANGE(""https://docs.google.com/spreadsheets/d/1Yj_ptqi66GCucihVvJfMjLAmec39IyEx_6qawtMGysU/edit?usp=sharing"",""สบก!AX35"")"),82440)</f>
        <v>82440</v>
      </c>
      <c r="M124" s="167"/>
      <c r="N124" s="167"/>
      <c r="O124" s="168"/>
      <c r="P124" s="168"/>
    </row>
    <row r="125" spans="1:16" ht="21.75" customHeight="1" x14ac:dyDescent="0.45">
      <c r="A125" s="170"/>
      <c r="B125" s="80"/>
      <c r="C125" s="81" t="s">
        <v>16</v>
      </c>
      <c r="D125" s="534" t="s">
        <v>23</v>
      </c>
      <c r="E125" s="530"/>
      <c r="F125" s="88"/>
      <c r="G125" s="82" t="s">
        <v>18</v>
      </c>
      <c r="H125" s="171" t="s">
        <v>12</v>
      </c>
      <c r="I125" s="187"/>
      <c r="J125" s="187"/>
      <c r="K125" s="223"/>
      <c r="L125" s="41">
        <v>0</v>
      </c>
      <c r="M125" s="41"/>
      <c r="N125" s="41"/>
      <c r="O125" s="41"/>
      <c r="P125" s="41"/>
    </row>
    <row r="126" spans="1:16" ht="21.75" customHeight="1" x14ac:dyDescent="0.45">
      <c r="A126" s="172"/>
      <c r="B126" s="91"/>
      <c r="C126" s="91"/>
      <c r="D126" s="173"/>
      <c r="E126" s="92"/>
      <c r="F126" s="92"/>
      <c r="G126" s="93" t="s">
        <v>19</v>
      </c>
      <c r="H126" s="174" t="s">
        <v>12</v>
      </c>
      <c r="I126" s="187"/>
      <c r="J126" s="187"/>
      <c r="K126" s="223"/>
      <c r="L126" s="49">
        <f ca="1">IFERROR(__xludf.DUMMYFUNCTION("IMPORTRANGE(""https://docs.google.com/spreadsheets/d/1Yj_ptqi66GCucihVvJfMjLAmec39IyEx_6qawtMGysU/edit?usp=sharing"",""สบก!AY35"")"),0)</f>
        <v>0</v>
      </c>
      <c r="M126" s="49"/>
      <c r="N126" s="49">
        <f ca="1">IFERROR(__xludf.DUMMYFUNCTION("IMPORTRANGE(""https://docs.google.com/spreadsheets/d/1Yj_ptqi66GCucihVvJfMjLAmec39IyEx_6qawtMGysU/edit?usp=sharing"",""สบก!BC35"")"),0)</f>
        <v>0</v>
      </c>
      <c r="O126" s="49">
        <f ca="1">IF(L126&gt;0,N126*100/L126,0)</f>
        <v>0</v>
      </c>
      <c r="P126" s="49"/>
    </row>
    <row r="127" spans="1:16" ht="21.75" customHeight="1" x14ac:dyDescent="0.3">
      <c r="A127" s="175"/>
      <c r="B127" s="176"/>
      <c r="C127" s="157" t="s">
        <v>16</v>
      </c>
      <c r="D127" s="232" t="s">
        <v>269</v>
      </c>
      <c r="E127" s="178"/>
      <c r="F127" s="178"/>
      <c r="G127" s="179"/>
      <c r="H127" s="180"/>
      <c r="I127" s="162"/>
      <c r="J127" s="187"/>
      <c r="K127" s="223"/>
      <c r="L127" s="168"/>
      <c r="M127" s="168"/>
      <c r="N127" s="168"/>
      <c r="O127" s="181"/>
      <c r="P127" s="181"/>
    </row>
    <row r="128" spans="1:16" ht="21.75" customHeight="1" x14ac:dyDescent="0.3">
      <c r="A128" s="175"/>
      <c r="B128" s="176"/>
      <c r="C128" s="176"/>
      <c r="D128" s="182">
        <v>1</v>
      </c>
      <c r="E128" s="183" t="s">
        <v>45</v>
      </c>
      <c r="F128" s="184"/>
      <c r="G128" s="185"/>
      <c r="H128" s="186"/>
      <c r="I128" s="187"/>
      <c r="J128" s="203">
        <f ca="1">IFERROR(__xludf.DUMMYFUNCTION("IMPORTRANGE(""https://docs.google.com/spreadsheets/d/11923uPwbBZFjjGgGUA6NLw09EwE0CqkOc4q9oUmW1yo/edit?usp=sharing"",""อุตรดิตถ์!J58"")"),0)</f>
        <v>0</v>
      </c>
      <c r="K128" s="223"/>
      <c r="L128" s="168"/>
      <c r="M128" s="168"/>
      <c r="N128" s="168"/>
      <c r="O128" s="181"/>
      <c r="P128" s="181"/>
    </row>
    <row r="129" spans="1:16" ht="21.75" customHeight="1" x14ac:dyDescent="0.3">
      <c r="A129" s="175"/>
      <c r="B129" s="176"/>
      <c r="C129" s="176"/>
      <c r="D129" s="189">
        <v>2</v>
      </c>
      <c r="E129" s="190" t="s">
        <v>46</v>
      </c>
      <c r="F129" s="191"/>
      <c r="G129" s="192"/>
      <c r="H129" s="186"/>
      <c r="I129" s="187"/>
      <c r="J129" s="187">
        <f ca="1">IFERROR(__xludf.DUMMYFUNCTION("IMPORTRANGE(""https://docs.google.com/spreadsheets/d/11923uPwbBZFjjGgGUA6NLw09EwE0CqkOc4q9oUmW1yo/edit?usp=sharing"",""อุตรดิตถ์!J59"")"),1)</f>
        <v>1</v>
      </c>
      <c r="K129" s="223"/>
      <c r="L129" s="168" t="s">
        <v>40</v>
      </c>
      <c r="M129" s="168"/>
      <c r="N129" s="168" t="s">
        <v>40</v>
      </c>
      <c r="O129" s="181"/>
      <c r="P129" s="181"/>
    </row>
    <row r="130" spans="1:16" ht="21.75" customHeight="1" x14ac:dyDescent="0.3">
      <c r="A130" s="175"/>
      <c r="B130" s="176"/>
      <c r="C130" s="176"/>
      <c r="D130" s="193"/>
      <c r="E130" s="194" t="s">
        <v>47</v>
      </c>
      <c r="F130" s="195"/>
      <c r="G130" s="196"/>
      <c r="H130" s="186"/>
      <c r="I130" s="187"/>
      <c r="J130" s="187">
        <f ca="1">IFERROR(__xludf.DUMMYFUNCTION("IMPORTRANGE(""https://docs.google.com/spreadsheets/d/11923uPwbBZFjjGgGUA6NLw09EwE0CqkOc4q9oUmW1yo/edit?usp=sharing"",""อุตรดิตถ์!J60"")"),1)</f>
        <v>1</v>
      </c>
      <c r="K130" s="223"/>
      <c r="L130" s="168"/>
      <c r="M130" s="168"/>
      <c r="N130" s="168"/>
      <c r="O130" s="181"/>
      <c r="P130" s="181"/>
    </row>
    <row r="131" spans="1:16" ht="21.75" customHeight="1" x14ac:dyDescent="0.3">
      <c r="A131" s="175"/>
      <c r="B131" s="176"/>
      <c r="C131" s="176"/>
      <c r="D131" s="193"/>
      <c r="E131" s="194" t="s">
        <v>48</v>
      </c>
      <c r="F131" s="195"/>
      <c r="G131" s="196"/>
      <c r="H131" s="186"/>
      <c r="I131" s="187"/>
      <c r="J131" s="187">
        <f ca="1">IFERROR(__xludf.DUMMYFUNCTION("IMPORTRANGE(""https://docs.google.com/spreadsheets/d/11923uPwbBZFjjGgGUA6NLw09EwE0CqkOc4q9oUmW1yo/edit?usp=sharing"",""อุตรดิตถ์!J61"")"),1)</f>
        <v>1</v>
      </c>
      <c r="K131" s="223"/>
      <c r="L131" s="168"/>
      <c r="M131" s="168"/>
      <c r="N131" s="168"/>
      <c r="O131" s="181"/>
      <c r="P131" s="181"/>
    </row>
    <row r="132" spans="1:16" ht="21.75" customHeight="1" x14ac:dyDescent="0.3">
      <c r="A132" s="175"/>
      <c r="B132" s="176"/>
      <c r="C132" s="176"/>
      <c r="D132" s="193"/>
      <c r="E132" s="198"/>
      <c r="F132" s="194" t="s">
        <v>70</v>
      </c>
      <c r="G132" s="196"/>
      <c r="H132" s="180" t="s">
        <v>37</v>
      </c>
      <c r="I132" s="187">
        <f ca="1">IFERROR(__xludf.DUMMYFUNCTION("IMPORTRANGE(""https://docs.google.com/spreadsheets/d/11923uPwbBZFjjGgGUA6NLw09EwE0CqkOc4q9oUmW1yo/edit?usp=sharing"",""อุตรดิตถ์!I62"")"),20)</f>
        <v>20</v>
      </c>
      <c r="J132" s="203">
        <f ca="1">IFERROR(__xludf.DUMMYFUNCTION("IMPORTRANGE(""https://docs.google.com/spreadsheets/d/11923uPwbBZFjjGgGUA6NLw09EwE0CqkOc4q9oUmW1yo/edit?usp=sharing"",""อุตรดิตถ์!J62"")"),20)</f>
        <v>20</v>
      </c>
      <c r="K132" s="223">
        <f t="shared" ref="K132:K133" ca="1" si="63">IF(I132&gt;0,J132*100/I132,0)</f>
        <v>100</v>
      </c>
      <c r="L132" s="168"/>
      <c r="M132" s="168"/>
      <c r="N132" s="168"/>
      <c r="O132" s="181"/>
      <c r="P132" s="181"/>
    </row>
    <row r="133" spans="1:16" ht="21.75" customHeight="1" x14ac:dyDescent="0.3">
      <c r="A133" s="175"/>
      <c r="B133" s="176"/>
      <c r="C133" s="176"/>
      <c r="D133" s="193"/>
      <c r="E133" s="198"/>
      <c r="F133" s="194" t="s">
        <v>71</v>
      </c>
      <c r="G133" s="196"/>
      <c r="H133" s="180" t="s">
        <v>37</v>
      </c>
      <c r="I133" s="187">
        <f ca="1">IFERROR(__xludf.DUMMYFUNCTION("IMPORTRANGE(""https://docs.google.com/spreadsheets/d/11923uPwbBZFjjGgGUA6NLw09EwE0CqkOc4q9oUmW1yo/edit?usp=sharing"",""อุตรดิตถ์!I63"")"),20)</f>
        <v>20</v>
      </c>
      <c r="J133" s="203">
        <f ca="1">IFERROR(__xludf.DUMMYFUNCTION("IMPORTRANGE(""https://docs.google.com/spreadsheets/d/11923uPwbBZFjjGgGUA6NLw09EwE0CqkOc4q9oUmW1yo/edit?usp=sharing"",""อุตรดิตถ์!J63"")"),20)</f>
        <v>20</v>
      </c>
      <c r="K133" s="223">
        <f t="shared" ca="1" si="63"/>
        <v>100</v>
      </c>
      <c r="L133" s="168"/>
      <c r="M133" s="168"/>
      <c r="N133" s="168"/>
      <c r="O133" s="181"/>
      <c r="P133" s="181"/>
    </row>
    <row r="134" spans="1:16" ht="21.75" customHeight="1" x14ac:dyDescent="0.3">
      <c r="A134" s="175"/>
      <c r="B134" s="176"/>
      <c r="C134" s="176"/>
      <c r="D134" s="193"/>
      <c r="E134" s="194" t="s">
        <v>54</v>
      </c>
      <c r="F134" s="195"/>
      <c r="G134" s="196"/>
      <c r="H134" s="186"/>
      <c r="I134" s="187"/>
      <c r="J134" s="187">
        <f ca="1">IFERROR(__xludf.DUMMYFUNCTION("IMPORTRANGE(""https://docs.google.com/spreadsheets/d/11923uPwbBZFjjGgGUA6NLw09EwE0CqkOc4q9oUmW1yo/edit?usp=sharing"",""อุตรดิตถ์!J64"")"),0)</f>
        <v>0</v>
      </c>
      <c r="K134" s="223"/>
      <c r="L134" s="168"/>
      <c r="M134" s="168"/>
      <c r="N134" s="168"/>
      <c r="O134" s="181"/>
      <c r="P134" s="181"/>
    </row>
    <row r="135" spans="1:16" ht="21.75" customHeight="1" x14ac:dyDescent="0.3">
      <c r="A135" s="233"/>
      <c r="B135" s="234"/>
      <c r="C135" s="234"/>
      <c r="D135" s="235">
        <v>3</v>
      </c>
      <c r="E135" s="236" t="s">
        <v>55</v>
      </c>
      <c r="F135" s="237"/>
      <c r="G135" s="238"/>
      <c r="H135" s="239"/>
      <c r="I135" s="240"/>
      <c r="J135" s="241">
        <f ca="1">IFERROR(__xludf.DUMMYFUNCTION("IMPORTRANGE(""https://docs.google.com/spreadsheets/d/11923uPwbBZFjjGgGUA6NLw09EwE0CqkOc4q9oUmW1yo/edit?usp=sharing"",""อุตรดิตถ์!J65"")"),0)</f>
        <v>0</v>
      </c>
      <c r="K135" s="242"/>
      <c r="L135" s="243"/>
      <c r="M135" s="243"/>
      <c r="N135" s="243"/>
      <c r="O135" s="244"/>
      <c r="P135" s="244"/>
    </row>
    <row r="136" spans="1:16" ht="21.75" customHeight="1" x14ac:dyDescent="0.3">
      <c r="A136" s="245" t="s">
        <v>72</v>
      </c>
      <c r="B136" s="246"/>
      <c r="C136" s="246"/>
      <c r="D136" s="246"/>
      <c r="E136" s="247"/>
      <c r="F136" s="247"/>
      <c r="G136" s="248"/>
      <c r="H136" s="249"/>
      <c r="I136" s="250"/>
      <c r="J136" s="250"/>
      <c r="K136" s="251"/>
      <c r="L136" s="252"/>
      <c r="M136" s="252"/>
      <c r="N136" s="252"/>
      <c r="O136" s="252"/>
      <c r="P136" s="252"/>
    </row>
    <row r="137" spans="1:16" ht="21.75" customHeight="1" x14ac:dyDescent="0.3">
      <c r="A137" s="253" t="s">
        <v>73</v>
      </c>
      <c r="B137" s="254"/>
      <c r="C137" s="254"/>
      <c r="D137" s="255"/>
      <c r="E137" s="255"/>
      <c r="F137" s="255"/>
      <c r="G137" s="256"/>
      <c r="H137" s="257"/>
      <c r="I137" s="258"/>
      <c r="J137" s="258"/>
      <c r="K137" s="259"/>
      <c r="L137" s="259"/>
      <c r="M137" s="259"/>
      <c r="N137" s="259"/>
      <c r="O137" s="260"/>
      <c r="P137" s="260"/>
    </row>
    <row r="138" spans="1:16" ht="21.75" customHeight="1" x14ac:dyDescent="0.3">
      <c r="A138" s="261"/>
      <c r="B138" s="262" t="s">
        <v>74</v>
      </c>
      <c r="C138" s="263"/>
      <c r="D138" s="262"/>
      <c r="E138" s="262"/>
      <c r="F138" s="262"/>
      <c r="G138" s="264"/>
      <c r="H138" s="265" t="s">
        <v>37</v>
      </c>
      <c r="I138" s="266">
        <f ca="1">IFERROR(__xludf.DUMMYFUNCTION("IMPORTRANGE(""https://docs.google.com/spreadsheets/d/11923uPwbBZFjjGgGUA6NLw09EwE0CqkOc4q9oUmW1yo/edit?usp=sharing"",""อุตรดิตถ์!I68"")"),0)</f>
        <v>0</v>
      </c>
      <c r="J138" s="266">
        <f ca="1">IFERROR(__xludf.DUMMYFUNCTION("IMPORTRANGE(""https://docs.google.com/spreadsheets/d/11923uPwbBZFjjGgGUA6NLw09EwE0CqkOc4q9oUmW1yo/edit?usp=sharing"",""อุตรดิตถ์!J68"")"),0)</f>
        <v>0</v>
      </c>
      <c r="K138" s="267">
        <f ca="1">IF(I138&gt;0,J138*100/I138,0)</f>
        <v>0</v>
      </c>
      <c r="L138" s="268"/>
      <c r="M138" s="268"/>
      <c r="N138" s="268"/>
      <c r="O138" s="267"/>
      <c r="P138" s="267"/>
    </row>
    <row r="139" spans="1:16" ht="21.75" customHeight="1" x14ac:dyDescent="0.3">
      <c r="A139" s="261"/>
      <c r="B139" s="262" t="s">
        <v>75</v>
      </c>
      <c r="C139" s="263"/>
      <c r="D139" s="262"/>
      <c r="E139" s="262"/>
      <c r="F139" s="262"/>
      <c r="G139" s="264"/>
      <c r="H139" s="265"/>
      <c r="I139" s="266"/>
      <c r="J139" s="266"/>
      <c r="K139" s="267"/>
      <c r="L139" s="268"/>
      <c r="M139" s="268"/>
      <c r="N139" s="268"/>
      <c r="O139" s="267"/>
      <c r="P139" s="267"/>
    </row>
    <row r="140" spans="1:16" ht="21.75" customHeight="1" x14ac:dyDescent="0.45">
      <c r="A140" s="145"/>
      <c r="B140" s="146"/>
      <c r="C140" s="147" t="s">
        <v>16</v>
      </c>
      <c r="D140" s="537" t="s">
        <v>17</v>
      </c>
      <c r="E140" s="528"/>
      <c r="F140" s="528"/>
      <c r="G140" s="528"/>
      <c r="H140" s="148" t="s">
        <v>12</v>
      </c>
      <c r="I140" s="162"/>
      <c r="J140" s="162"/>
      <c r="K140" s="163"/>
      <c r="L140" s="151">
        <f t="shared" ref="L140:N140" ca="1" si="64">L141+L142</f>
        <v>79000</v>
      </c>
      <c r="M140" s="151">
        <f t="shared" ca="1" si="64"/>
        <v>63750</v>
      </c>
      <c r="N140" s="151">
        <f t="shared" ca="1" si="64"/>
        <v>47996</v>
      </c>
      <c r="O140" s="150">
        <f t="shared" ref="O140:O142" ca="1" si="65">IF(L140&gt;0,N140*100/L140,0)</f>
        <v>60.754430379746836</v>
      </c>
      <c r="P140" s="150">
        <f t="shared" ref="P140:P142" ca="1" si="66">IF(M140&gt;0,N140*100/M140,0)</f>
        <v>75.287843137254896</v>
      </c>
    </row>
    <row r="141" spans="1:16" ht="21.75" customHeight="1" x14ac:dyDescent="0.45">
      <c r="A141" s="152"/>
      <c r="B141" s="32"/>
      <c r="C141" s="32"/>
      <c r="D141" s="32"/>
      <c r="E141" s="32"/>
      <c r="F141" s="32"/>
      <c r="G141" s="33" t="s">
        <v>18</v>
      </c>
      <c r="H141" s="153" t="s">
        <v>12</v>
      </c>
      <c r="I141" s="162"/>
      <c r="J141" s="162"/>
      <c r="K141" s="163"/>
      <c r="L141" s="87">
        <f t="shared" ref="L141:N141" si="67">L143+L147</f>
        <v>0</v>
      </c>
      <c r="M141" s="87">
        <f t="shared" si="67"/>
        <v>0</v>
      </c>
      <c r="N141" s="87">
        <f t="shared" si="67"/>
        <v>0</v>
      </c>
      <c r="O141" s="155">
        <f t="shared" si="65"/>
        <v>0</v>
      </c>
      <c r="P141" s="155">
        <f t="shared" si="66"/>
        <v>0</v>
      </c>
    </row>
    <row r="142" spans="1:16" ht="21.75" customHeight="1" x14ac:dyDescent="0.45">
      <c r="A142" s="152"/>
      <c r="B142" s="32"/>
      <c r="C142" s="32"/>
      <c r="D142" s="32"/>
      <c r="E142" s="32"/>
      <c r="F142" s="32"/>
      <c r="G142" s="33" t="s">
        <v>19</v>
      </c>
      <c r="H142" s="153" t="s">
        <v>12</v>
      </c>
      <c r="I142" s="162"/>
      <c r="J142" s="162"/>
      <c r="K142" s="163"/>
      <c r="L142" s="87">
        <f t="shared" ref="L142:N142" ca="1" si="68">L144+L148</f>
        <v>79000</v>
      </c>
      <c r="M142" s="87">
        <f t="shared" ca="1" si="68"/>
        <v>63750</v>
      </c>
      <c r="N142" s="87">
        <f t="shared" ca="1" si="68"/>
        <v>47996</v>
      </c>
      <c r="O142" s="155">
        <f t="shared" ca="1" si="65"/>
        <v>60.754430379746836</v>
      </c>
      <c r="P142" s="155">
        <f t="shared" ca="1" si="66"/>
        <v>75.287843137254896</v>
      </c>
    </row>
    <row r="143" spans="1:16" ht="21.75" customHeight="1" x14ac:dyDescent="0.3">
      <c r="A143" s="156"/>
      <c r="B143" s="157"/>
      <c r="C143" s="157" t="s">
        <v>16</v>
      </c>
      <c r="D143" s="158" t="s">
        <v>38</v>
      </c>
      <c r="E143" s="159"/>
      <c r="F143" s="159"/>
      <c r="G143" s="160" t="s">
        <v>39</v>
      </c>
      <c r="H143" s="161" t="s">
        <v>12</v>
      </c>
      <c r="I143" s="162" t="s">
        <v>40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3">
      <c r="A144" s="156"/>
      <c r="B144" s="157"/>
      <c r="C144" s="157"/>
      <c r="D144" s="166"/>
      <c r="E144" s="159"/>
      <c r="F144" s="159" t="s">
        <v>40</v>
      </c>
      <c r="G144" s="160" t="s">
        <v>41</v>
      </c>
      <c r="H144" s="161" t="s">
        <v>12</v>
      </c>
      <c r="I144" s="162"/>
      <c r="J144" s="162"/>
      <c r="K144" s="163"/>
      <c r="L144" s="167">
        <f ca="1">L145+L146</f>
        <v>79000</v>
      </c>
      <c r="M144" s="167">
        <f ca="1">IFERROR(__xludf.DUMMYFUNCTION("IMPORTRANGE(""https://docs.google.com/spreadsheets/d/1Yj_ptqi66GCucihVvJfMjLAmec39IyEx_6qawtMGysU/edit?usp=sharing"",""สบก!BJ35"")"),63750)</f>
        <v>63750</v>
      </c>
      <c r="N144" s="168">
        <f ca="1">IFERROR(__xludf.DUMMYFUNCTION("IMPORTRANGE(""https://docs.google.com/spreadsheets/d/1Yj_ptqi66GCucihVvJfMjLAmec39IyEx_6qawtMGysU/edit?usp=sharing"",""สบก!BK35"")"),47996)</f>
        <v>47996</v>
      </c>
      <c r="O144" s="168">
        <f ca="1">IF(L144&gt;0,N144*100/L144,0)</f>
        <v>60.754430379746836</v>
      </c>
      <c r="P144" s="168">
        <f ca="1">IF(M144&gt;0,N144*100/M144,0)</f>
        <v>75.287843137254896</v>
      </c>
    </row>
    <row r="145" spans="1:16" ht="21.75" customHeight="1" x14ac:dyDescent="0.3">
      <c r="A145" s="156"/>
      <c r="B145" s="157"/>
      <c r="C145" s="157"/>
      <c r="D145" s="166"/>
      <c r="E145" s="159"/>
      <c r="F145" s="159"/>
      <c r="G145" s="169" t="s">
        <v>42</v>
      </c>
      <c r="H145" s="161" t="s">
        <v>12</v>
      </c>
      <c r="I145" s="162"/>
      <c r="J145" s="162"/>
      <c r="K145" s="163"/>
      <c r="L145" s="167">
        <f ca="1">IFERROR(__xludf.DUMMYFUNCTION("IMPORTRANGE(""https://docs.google.com/spreadsheets/d/1Yj_ptqi66GCucihVvJfMjLAmec39IyEx_6qawtMGysU/edit?usp=sharing"",""สบก!BF35"")"),0)</f>
        <v>0</v>
      </c>
      <c r="M145" s="167"/>
      <c r="N145" s="167"/>
      <c r="O145" s="168"/>
      <c r="P145" s="168"/>
    </row>
    <row r="146" spans="1:16" ht="21.75" customHeight="1" x14ac:dyDescent="0.3">
      <c r="A146" s="156"/>
      <c r="B146" s="157"/>
      <c r="C146" s="157"/>
      <c r="D146" s="166"/>
      <c r="E146" s="159"/>
      <c r="F146" s="159"/>
      <c r="G146" s="169" t="s">
        <v>43</v>
      </c>
      <c r="H146" s="161" t="s">
        <v>12</v>
      </c>
      <c r="I146" s="162"/>
      <c r="J146" s="162"/>
      <c r="K146" s="163"/>
      <c r="L146" s="167">
        <f ca="1">IFERROR(__xludf.DUMMYFUNCTION("IMPORTRANGE(""https://docs.google.com/spreadsheets/d/1Yj_ptqi66GCucihVvJfMjLAmec39IyEx_6qawtMGysU/edit?usp=sharing"",""สบก!BG35"")"),79000)</f>
        <v>79000</v>
      </c>
      <c r="M146" s="167"/>
      <c r="N146" s="167"/>
      <c r="O146" s="168"/>
      <c r="P146" s="168"/>
    </row>
    <row r="147" spans="1:16" ht="21.75" customHeight="1" x14ac:dyDescent="0.45">
      <c r="A147" s="170"/>
      <c r="B147" s="80"/>
      <c r="C147" s="81" t="s">
        <v>16</v>
      </c>
      <c r="D147" s="534" t="s">
        <v>23</v>
      </c>
      <c r="E147" s="530"/>
      <c r="F147" s="88"/>
      <c r="G147" s="82" t="s">
        <v>18</v>
      </c>
      <c r="H147" s="171" t="s">
        <v>12</v>
      </c>
      <c r="I147" s="187"/>
      <c r="J147" s="187"/>
      <c r="K147" s="223"/>
      <c r="L147" s="41">
        <v>0</v>
      </c>
      <c r="M147" s="41"/>
      <c r="N147" s="41"/>
      <c r="O147" s="41"/>
      <c r="P147" s="41"/>
    </row>
    <row r="148" spans="1:16" ht="21.75" customHeight="1" x14ac:dyDescent="0.45">
      <c r="A148" s="172"/>
      <c r="B148" s="91"/>
      <c r="C148" s="91"/>
      <c r="D148" s="173"/>
      <c r="E148" s="92"/>
      <c r="F148" s="92"/>
      <c r="G148" s="93" t="s">
        <v>19</v>
      </c>
      <c r="H148" s="174" t="s">
        <v>12</v>
      </c>
      <c r="I148" s="187"/>
      <c r="J148" s="187"/>
      <c r="K148" s="223"/>
      <c r="L148" s="49">
        <f ca="1">IFERROR(__xludf.DUMMYFUNCTION("IMPORTRANGE(""https://docs.google.com/spreadsheets/d/1Yj_ptqi66GCucihVvJfMjLAmec39IyEx_6qawtMGysU/edit?usp=sharing"",""สบก!BH35"")"),0)</f>
        <v>0</v>
      </c>
      <c r="M148" s="49"/>
      <c r="N148" s="49">
        <f ca="1">IFERROR(__xludf.DUMMYFUNCTION("IMPORTRANGE(""https://docs.google.com/spreadsheets/d/1Yj_ptqi66GCucihVvJfMjLAmec39IyEx_6qawtMGysU/edit?usp=sharing"",""สบก!BL35"")"),0)</f>
        <v>0</v>
      </c>
      <c r="O148" s="49">
        <f ca="1">IF(L148&gt;0,N148*100/L148,0)</f>
        <v>0</v>
      </c>
      <c r="P148" s="49"/>
    </row>
    <row r="149" spans="1:16" ht="21.75" customHeight="1" x14ac:dyDescent="0.3">
      <c r="A149" s="269"/>
      <c r="B149" s="270"/>
      <c r="C149" s="271" t="s">
        <v>76</v>
      </c>
      <c r="D149" s="271"/>
      <c r="E149" s="271"/>
      <c r="F149" s="271"/>
      <c r="G149" s="272"/>
      <c r="H149" s="273" t="s">
        <v>77</v>
      </c>
      <c r="I149" s="274">
        <f ca="1">IFERROR(__xludf.DUMMYFUNCTION("IMPORTRANGE(""https://docs.google.com/spreadsheets/d/11923uPwbBZFjjGgGUA6NLw09EwE0CqkOc4q9oUmW1yo/edit?usp=sharing"",""อุตรดิตถ์!I74"")"),4)</f>
        <v>4</v>
      </c>
      <c r="J149" s="274">
        <f ca="1">IFERROR(__xludf.DUMMYFUNCTION("IMPORTRANGE(""https://docs.google.com/spreadsheets/d/11923uPwbBZFjjGgGUA6NLw09EwE0CqkOc4q9oUmW1yo/edit?usp=sharing"",""อุตรดิตถ์!J74"")"),2)</f>
        <v>2</v>
      </c>
      <c r="K149" s="275">
        <f ca="1">IF(I149&gt;0,J149*100/I149,0)</f>
        <v>50</v>
      </c>
      <c r="L149" s="276"/>
      <c r="M149" s="276"/>
      <c r="N149" s="276"/>
      <c r="O149" s="276"/>
      <c r="P149" s="276"/>
    </row>
    <row r="150" spans="1:16" ht="21.75" customHeight="1" x14ac:dyDescent="0.3">
      <c r="A150" s="156"/>
      <c r="B150" s="157"/>
      <c r="C150" s="157" t="s">
        <v>16</v>
      </c>
      <c r="D150" s="158" t="s">
        <v>38</v>
      </c>
      <c r="E150" s="159"/>
      <c r="F150" s="159"/>
      <c r="G150" s="160" t="s">
        <v>39</v>
      </c>
      <c r="H150" s="161" t="s">
        <v>12</v>
      </c>
      <c r="I150" s="162" t="s">
        <v>40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3">
      <c r="A151" s="156"/>
      <c r="B151" s="157"/>
      <c r="C151" s="157"/>
      <c r="D151" s="166"/>
      <c r="E151" s="159"/>
      <c r="F151" s="159" t="s">
        <v>40</v>
      </c>
      <c r="G151" s="160" t="s">
        <v>41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3">
      <c r="A152" s="156"/>
      <c r="B152" s="157"/>
      <c r="C152" s="157"/>
      <c r="D152" s="166"/>
      <c r="E152" s="159"/>
      <c r="F152" s="159"/>
      <c r="G152" s="169" t="s">
        <v>43</v>
      </c>
      <c r="H152" s="161" t="s">
        <v>12</v>
      </c>
      <c r="I152" s="162"/>
      <c r="J152" s="162"/>
      <c r="K152" s="163"/>
      <c r="L152" s="168"/>
      <c r="M152" s="168"/>
      <c r="N152" s="167"/>
      <c r="O152" s="168"/>
      <c r="P152" s="168"/>
    </row>
    <row r="153" spans="1:16" ht="21.75" customHeight="1" x14ac:dyDescent="0.3">
      <c r="A153" s="175"/>
      <c r="B153" s="176"/>
      <c r="C153" s="157" t="s">
        <v>16</v>
      </c>
      <c r="D153" s="177" t="s">
        <v>44</v>
      </c>
      <c r="E153" s="178"/>
      <c r="F153" s="178"/>
      <c r="G153" s="179"/>
      <c r="H153" s="180"/>
      <c r="I153" s="162"/>
      <c r="J153" s="162"/>
      <c r="K153" s="163"/>
      <c r="L153" s="181"/>
      <c r="M153" s="181"/>
      <c r="N153" s="181"/>
      <c r="O153" s="181"/>
      <c r="P153" s="181"/>
    </row>
    <row r="154" spans="1:16" ht="21.75" customHeight="1" x14ac:dyDescent="0.3">
      <c r="A154" s="175"/>
      <c r="B154" s="176"/>
      <c r="C154" s="176"/>
      <c r="D154" s="182">
        <v>1</v>
      </c>
      <c r="E154" s="183" t="s">
        <v>45</v>
      </c>
      <c r="F154" s="184"/>
      <c r="G154" s="185"/>
      <c r="H154" s="186"/>
      <c r="I154" s="187"/>
      <c r="J154" s="188">
        <f ca="1">IFERROR(__xludf.DUMMYFUNCTION("IMPORTRANGE(""https://docs.google.com/spreadsheets/d/11923uPwbBZFjjGgGUA6NLw09EwE0CqkOc4q9oUmW1yo/edit?usp=sharing"",""อุตรดิตถ์!J79"")"),0)</f>
        <v>0</v>
      </c>
      <c r="K154" s="163"/>
      <c r="L154" s="181"/>
      <c r="M154" s="181"/>
      <c r="N154" s="181"/>
      <c r="O154" s="181"/>
      <c r="P154" s="181"/>
    </row>
    <row r="155" spans="1:16" ht="21.75" customHeight="1" x14ac:dyDescent="0.3">
      <c r="A155" s="175"/>
      <c r="B155" s="176"/>
      <c r="C155" s="176"/>
      <c r="D155" s="189">
        <v>2</v>
      </c>
      <c r="E155" s="190" t="s">
        <v>46</v>
      </c>
      <c r="F155" s="191"/>
      <c r="G155" s="192"/>
      <c r="H155" s="186"/>
      <c r="I155" s="187"/>
      <c r="J155" s="197">
        <f ca="1">IFERROR(__xludf.DUMMYFUNCTION("IMPORTRANGE(""https://docs.google.com/spreadsheets/d/11923uPwbBZFjjGgGUA6NLw09EwE0CqkOc4q9oUmW1yo/edit?usp=sharing"",""อุตรดิตถ์!J80"")"),1)</f>
        <v>1</v>
      </c>
      <c r="K155" s="163"/>
      <c r="L155" s="181"/>
      <c r="M155" s="181"/>
      <c r="N155" s="181"/>
      <c r="O155" s="181"/>
      <c r="P155" s="181"/>
    </row>
    <row r="156" spans="1:16" ht="21.75" customHeight="1" x14ac:dyDescent="0.3">
      <c r="A156" s="175"/>
      <c r="B156" s="176"/>
      <c r="C156" s="176"/>
      <c r="D156" s="193"/>
      <c r="E156" s="194" t="s">
        <v>47</v>
      </c>
      <c r="F156" s="195"/>
      <c r="G156" s="196"/>
      <c r="H156" s="186"/>
      <c r="I156" s="187"/>
      <c r="J156" s="197">
        <f ca="1">IFERROR(__xludf.DUMMYFUNCTION("IMPORTRANGE(""https://docs.google.com/spreadsheets/d/11923uPwbBZFjjGgGUA6NLw09EwE0CqkOc4q9oUmW1yo/edit?usp=sharing"",""อุตรดิตถ์!J81"")"),1)</f>
        <v>1</v>
      </c>
      <c r="K156" s="163"/>
      <c r="L156" s="181"/>
      <c r="M156" s="181"/>
      <c r="N156" s="181"/>
      <c r="O156" s="181"/>
      <c r="P156" s="181"/>
    </row>
    <row r="157" spans="1:16" ht="21.75" customHeight="1" x14ac:dyDescent="0.3">
      <c r="A157" s="175"/>
      <c r="B157" s="176"/>
      <c r="C157" s="176"/>
      <c r="D157" s="193"/>
      <c r="E157" s="194" t="s">
        <v>48</v>
      </c>
      <c r="F157" s="195"/>
      <c r="G157" s="196"/>
      <c r="H157" s="186"/>
      <c r="I157" s="187"/>
      <c r="J157" s="197">
        <f ca="1">IFERROR(__xludf.DUMMYFUNCTION("IMPORTRANGE(""https://docs.google.com/spreadsheets/d/11923uPwbBZFjjGgGUA6NLw09EwE0CqkOc4q9oUmW1yo/edit?usp=sharing"",""อุตรดิตถ์!J82"")"),1)</f>
        <v>1</v>
      </c>
      <c r="K157" s="163"/>
      <c r="L157" s="181"/>
      <c r="M157" s="181"/>
      <c r="N157" s="181"/>
      <c r="O157" s="181"/>
      <c r="P157" s="181"/>
    </row>
    <row r="158" spans="1:16" ht="21.75" customHeight="1" x14ac:dyDescent="0.3">
      <c r="A158" s="175"/>
      <c r="B158" s="176"/>
      <c r="C158" s="176"/>
      <c r="D158" s="193"/>
      <c r="E158" s="198"/>
      <c r="F158" s="194" t="s">
        <v>78</v>
      </c>
      <c r="G158" s="196"/>
      <c r="H158" s="180" t="s">
        <v>77</v>
      </c>
      <c r="I158" s="187">
        <f ca="1">IFERROR(__xludf.DUMMYFUNCTION("IMPORTRANGE(""https://docs.google.com/spreadsheets/d/11923uPwbBZFjjGgGUA6NLw09EwE0CqkOc4q9oUmW1yo/edit?usp=sharing"",""อุตรดิตถ์!I83"")"),4)</f>
        <v>4</v>
      </c>
      <c r="J158" s="188">
        <f ca="1">IFERROR(__xludf.DUMMYFUNCTION("IMPORTRANGE(""https://docs.google.com/spreadsheets/d/11923uPwbBZFjjGgGUA6NLw09EwE0CqkOc4q9oUmW1yo/edit?usp=sharing"",""อุตรดิตถ์!J83"")"),2)</f>
        <v>2</v>
      </c>
      <c r="K158" s="163">
        <f ca="1">IF(I158&gt;0,J158*100/I158,0)</f>
        <v>50</v>
      </c>
      <c r="L158" s="181"/>
      <c r="M158" s="181"/>
      <c r="N158" s="181"/>
      <c r="O158" s="181"/>
      <c r="P158" s="181"/>
    </row>
    <row r="159" spans="1:16" ht="21.75" customHeight="1" x14ac:dyDescent="0.3">
      <c r="A159" s="175"/>
      <c r="B159" s="176"/>
      <c r="C159" s="176"/>
      <c r="D159" s="193"/>
      <c r="E159" s="195"/>
      <c r="F159" s="277" t="s">
        <v>79</v>
      </c>
      <c r="G159" s="196"/>
      <c r="H159" s="278" t="s">
        <v>37</v>
      </c>
      <c r="I159" s="187"/>
      <c r="J159" s="203">
        <f ca="1">IFERROR(__xludf.DUMMYFUNCTION("IMPORTRANGE(""https://docs.google.com/spreadsheets/d/11923uPwbBZFjjGgGUA6NLw09EwE0CqkOc4q9oUmW1yo/edit?usp=sharing"",""อุตรดิตถ์!J84"")"),102)</f>
        <v>102</v>
      </c>
      <c r="K159" s="163"/>
      <c r="L159" s="181"/>
      <c r="M159" s="181"/>
      <c r="N159" s="181"/>
      <c r="O159" s="181"/>
      <c r="P159" s="181"/>
    </row>
    <row r="160" spans="1:16" ht="21.75" customHeight="1" x14ac:dyDescent="0.45">
      <c r="A160" s="175"/>
      <c r="B160" s="176"/>
      <c r="C160" s="176"/>
      <c r="D160" s="193"/>
      <c r="E160" s="195"/>
      <c r="F160" s="195"/>
      <c r="G160" s="279" t="s">
        <v>80</v>
      </c>
      <c r="H160" s="278" t="s">
        <v>37</v>
      </c>
      <c r="I160" s="187"/>
      <c r="J160" s="280">
        <f ca="1">IFERROR(__xludf.DUMMYFUNCTION("IMPORTRANGE(""https://docs.google.com/spreadsheets/d/11923uPwbBZFjjGgGUA6NLw09EwE0CqkOc4q9oUmW1yo/edit?usp=sharing"",""อุตรดิตถ์!J85"")"),102)</f>
        <v>102</v>
      </c>
      <c r="K160" s="163"/>
      <c r="L160" s="181"/>
      <c r="M160" s="181"/>
      <c r="N160" s="181"/>
      <c r="O160" s="181"/>
      <c r="P160" s="181"/>
    </row>
    <row r="161" spans="1:16" ht="21.75" customHeight="1" x14ac:dyDescent="0.45">
      <c r="A161" s="175"/>
      <c r="B161" s="176"/>
      <c r="C161" s="176"/>
      <c r="D161" s="193"/>
      <c r="E161" s="195"/>
      <c r="F161" s="195"/>
      <c r="G161" s="279" t="s">
        <v>81</v>
      </c>
      <c r="H161" s="278" t="s">
        <v>37</v>
      </c>
      <c r="I161" s="187"/>
      <c r="J161" s="280">
        <f ca="1">IFERROR(__xludf.DUMMYFUNCTION("IMPORTRANGE(""https://docs.google.com/spreadsheets/d/11923uPwbBZFjjGgGUA6NLw09EwE0CqkOc4q9oUmW1yo/edit?usp=sharing"",""อุตรดิตถ์!J86"")"),0)</f>
        <v>0</v>
      </c>
      <c r="K161" s="163"/>
      <c r="L161" s="181"/>
      <c r="M161" s="181"/>
      <c r="N161" s="181"/>
      <c r="O161" s="181"/>
      <c r="P161" s="181"/>
    </row>
    <row r="162" spans="1:16" ht="21.75" customHeight="1" x14ac:dyDescent="0.3">
      <c r="A162" s="175"/>
      <c r="B162" s="176"/>
      <c r="C162" s="176"/>
      <c r="D162" s="193"/>
      <c r="E162" s="194" t="s">
        <v>54</v>
      </c>
      <c r="F162" s="195"/>
      <c r="G162" s="196"/>
      <c r="H162" s="186"/>
      <c r="I162" s="187"/>
      <c r="J162" s="197">
        <f ca="1">IFERROR(__xludf.DUMMYFUNCTION("IMPORTRANGE(""https://docs.google.com/spreadsheets/d/11923uPwbBZFjjGgGUA6NLw09EwE0CqkOc4q9oUmW1yo/edit?usp=sharing"",""อุตรดิตถ์!J87"")"),0)</f>
        <v>0</v>
      </c>
      <c r="K162" s="163"/>
      <c r="L162" s="181"/>
      <c r="M162" s="181"/>
      <c r="N162" s="181"/>
      <c r="O162" s="181"/>
      <c r="P162" s="181"/>
    </row>
    <row r="163" spans="1:16" ht="21.75" customHeight="1" x14ac:dyDescent="0.3">
      <c r="A163" s="175"/>
      <c r="B163" s="176"/>
      <c r="C163" s="176"/>
      <c r="D163" s="205">
        <v>3</v>
      </c>
      <c r="E163" s="206" t="s">
        <v>55</v>
      </c>
      <c r="F163" s="207"/>
      <c r="G163" s="208"/>
      <c r="H163" s="186"/>
      <c r="I163" s="187"/>
      <c r="J163" s="209">
        <f ca="1">IFERROR(__xludf.DUMMYFUNCTION("IMPORTRANGE(""https://docs.google.com/spreadsheets/d/11923uPwbBZFjjGgGUA6NLw09EwE0CqkOc4q9oUmW1yo/edit?usp=sharing"",""อุตรดิตถ์!J88"")"),0)</f>
        <v>0</v>
      </c>
      <c r="K163" s="163"/>
      <c r="L163" s="181"/>
      <c r="M163" s="181"/>
      <c r="N163" s="181"/>
      <c r="O163" s="181"/>
      <c r="P163" s="181"/>
    </row>
    <row r="164" spans="1:16" ht="21.75" customHeight="1" x14ac:dyDescent="0.3">
      <c r="A164" s="269"/>
      <c r="B164" s="270"/>
      <c r="C164" s="271" t="s">
        <v>82</v>
      </c>
      <c r="D164" s="271"/>
      <c r="E164" s="271"/>
      <c r="F164" s="271"/>
      <c r="G164" s="272"/>
      <c r="H164" s="281" t="s">
        <v>83</v>
      </c>
      <c r="I164" s="282">
        <f ca="1">IFERROR(__xludf.DUMMYFUNCTION("IMPORTRANGE(""https://docs.google.com/spreadsheets/d/11923uPwbBZFjjGgGUA6NLw09EwE0CqkOc4q9oUmW1yo/edit?usp=sharing"",""อุตรดิตถ์!I89"")"),3)</f>
        <v>3</v>
      </c>
      <c r="J164" s="282">
        <f ca="1">IFERROR(__xludf.DUMMYFUNCTION("IMPORTRANGE(""https://docs.google.com/spreadsheets/d/11923uPwbBZFjjGgGUA6NLw09EwE0CqkOc4q9oUmW1yo/edit?usp=sharing"",""อุตรดิตถ์!J89"")"),2)</f>
        <v>2</v>
      </c>
      <c r="K164" s="283">
        <f ca="1">IF(I164&gt;0,J164*100/I164,0)</f>
        <v>66.666666666666671</v>
      </c>
      <c r="L164" s="276"/>
      <c r="M164" s="276"/>
      <c r="N164" s="276"/>
      <c r="O164" s="276"/>
      <c r="P164" s="276"/>
    </row>
    <row r="165" spans="1:16" ht="21.75" customHeight="1" x14ac:dyDescent="0.3">
      <c r="A165" s="156"/>
      <c r="B165" s="157"/>
      <c r="C165" s="157" t="s">
        <v>16</v>
      </c>
      <c r="D165" s="158" t="s">
        <v>38</v>
      </c>
      <c r="E165" s="159"/>
      <c r="F165" s="159"/>
      <c r="G165" s="160" t="s">
        <v>39</v>
      </c>
      <c r="H165" s="161" t="s">
        <v>12</v>
      </c>
      <c r="I165" s="162" t="s">
        <v>40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3">
      <c r="A166" s="156"/>
      <c r="B166" s="157"/>
      <c r="C166" s="157"/>
      <c r="D166" s="166"/>
      <c r="E166" s="159"/>
      <c r="F166" s="159" t="s">
        <v>40</v>
      </c>
      <c r="G166" s="160" t="s">
        <v>41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3">
      <c r="A167" s="156"/>
      <c r="B167" s="157"/>
      <c r="C167" s="157"/>
      <c r="D167" s="166"/>
      <c r="E167" s="159"/>
      <c r="F167" s="159"/>
      <c r="G167" s="169" t="s">
        <v>43</v>
      </c>
      <c r="H167" s="161" t="s">
        <v>12</v>
      </c>
      <c r="I167" s="162"/>
      <c r="J167" s="162"/>
      <c r="K167" s="163"/>
      <c r="L167" s="168"/>
      <c r="M167" s="168"/>
      <c r="N167" s="167"/>
      <c r="O167" s="168"/>
      <c r="P167" s="168"/>
    </row>
    <row r="168" spans="1:16" ht="21.75" customHeight="1" x14ac:dyDescent="0.3">
      <c r="A168" s="175"/>
      <c r="B168" s="176"/>
      <c r="C168" s="157" t="s">
        <v>16</v>
      </c>
      <c r="D168" s="177" t="s">
        <v>44</v>
      </c>
      <c r="E168" s="178"/>
      <c r="F168" s="178"/>
      <c r="G168" s="179"/>
      <c r="H168" s="180"/>
      <c r="I168" s="162"/>
      <c r="J168" s="162"/>
      <c r="K168" s="163"/>
      <c r="L168" s="181"/>
      <c r="M168" s="181"/>
      <c r="N168" s="181"/>
      <c r="O168" s="181"/>
      <c r="P168" s="181"/>
    </row>
    <row r="169" spans="1:16" ht="21.75" customHeight="1" x14ac:dyDescent="0.3">
      <c r="A169" s="175"/>
      <c r="B169" s="176"/>
      <c r="C169" s="176"/>
      <c r="D169" s="182">
        <v>1</v>
      </c>
      <c r="E169" s="183" t="s">
        <v>45</v>
      </c>
      <c r="F169" s="184"/>
      <c r="G169" s="185"/>
      <c r="H169" s="186"/>
      <c r="I169" s="187"/>
      <c r="J169" s="188">
        <f ca="1">IFERROR(__xludf.DUMMYFUNCTION("IMPORTRANGE(""https://docs.google.com/spreadsheets/d/11923uPwbBZFjjGgGUA6NLw09EwE0CqkOc4q9oUmW1yo/edit?usp=sharing"",""อุตรดิตถ์!J94"")"),0)</f>
        <v>0</v>
      </c>
      <c r="K169" s="163"/>
      <c r="L169" s="181"/>
      <c r="M169" s="181"/>
      <c r="N169" s="181"/>
      <c r="O169" s="181"/>
      <c r="P169" s="181"/>
    </row>
    <row r="170" spans="1:16" ht="21.75" customHeight="1" x14ac:dyDescent="0.3">
      <c r="A170" s="175"/>
      <c r="B170" s="176"/>
      <c r="C170" s="176"/>
      <c r="D170" s="189">
        <v>2</v>
      </c>
      <c r="E170" s="190" t="s">
        <v>46</v>
      </c>
      <c r="F170" s="191"/>
      <c r="G170" s="192"/>
      <c r="H170" s="186"/>
      <c r="I170" s="187"/>
      <c r="J170" s="197">
        <f ca="1">IFERROR(__xludf.DUMMYFUNCTION("IMPORTRANGE(""https://docs.google.com/spreadsheets/d/11923uPwbBZFjjGgGUA6NLw09EwE0CqkOc4q9oUmW1yo/edit?usp=sharing"",""อุตรดิตถ์!J95"")"),1)</f>
        <v>1</v>
      </c>
      <c r="K170" s="163"/>
      <c r="L170" s="181"/>
      <c r="M170" s="181"/>
      <c r="N170" s="181"/>
      <c r="O170" s="181"/>
      <c r="P170" s="181"/>
    </row>
    <row r="171" spans="1:16" ht="21.75" customHeight="1" x14ac:dyDescent="0.3">
      <c r="A171" s="175"/>
      <c r="B171" s="176"/>
      <c r="C171" s="176"/>
      <c r="D171" s="193"/>
      <c r="E171" s="194" t="s">
        <v>47</v>
      </c>
      <c r="F171" s="195"/>
      <c r="G171" s="196"/>
      <c r="H171" s="186"/>
      <c r="I171" s="187"/>
      <c r="J171" s="197">
        <f ca="1">IFERROR(__xludf.DUMMYFUNCTION("IMPORTRANGE(""https://docs.google.com/spreadsheets/d/11923uPwbBZFjjGgGUA6NLw09EwE0CqkOc4q9oUmW1yo/edit?usp=sharing"",""อุตรดิตถ์!J96"")"),1)</f>
        <v>1</v>
      </c>
      <c r="K171" s="163"/>
      <c r="L171" s="181"/>
      <c r="M171" s="181"/>
      <c r="N171" s="181"/>
      <c r="O171" s="181"/>
      <c r="P171" s="181"/>
    </row>
    <row r="172" spans="1:16" ht="21.75" customHeight="1" x14ac:dyDescent="0.3">
      <c r="A172" s="175"/>
      <c r="B172" s="176"/>
      <c r="C172" s="176"/>
      <c r="D172" s="193"/>
      <c r="E172" s="194" t="s">
        <v>48</v>
      </c>
      <c r="F172" s="195"/>
      <c r="G172" s="196"/>
      <c r="H172" s="186"/>
      <c r="I172" s="187"/>
      <c r="J172" s="197">
        <f ca="1">IFERROR(__xludf.DUMMYFUNCTION("IMPORTRANGE(""https://docs.google.com/spreadsheets/d/11923uPwbBZFjjGgGUA6NLw09EwE0CqkOc4q9oUmW1yo/edit?usp=sharing"",""อุตรดิตถ์!J97"")"),1)</f>
        <v>1</v>
      </c>
      <c r="K172" s="163"/>
      <c r="L172" s="181"/>
      <c r="M172" s="181"/>
      <c r="N172" s="181"/>
      <c r="O172" s="181"/>
      <c r="P172" s="181"/>
    </row>
    <row r="173" spans="1:16" ht="21.75" customHeight="1" x14ac:dyDescent="0.3">
      <c r="A173" s="175"/>
      <c r="B173" s="176"/>
      <c r="C173" s="176"/>
      <c r="D173" s="193"/>
      <c r="E173" s="198"/>
      <c r="F173" s="204" t="s">
        <v>84</v>
      </c>
      <c r="G173" s="196"/>
      <c r="H173" s="180" t="s">
        <v>83</v>
      </c>
      <c r="I173" s="187">
        <f ca="1">IFERROR(__xludf.DUMMYFUNCTION("IMPORTRANGE(""https://docs.google.com/spreadsheets/d/11923uPwbBZFjjGgGUA6NLw09EwE0CqkOc4q9oUmW1yo/edit?usp=sharing"",""อุตรดิตถ์!I98"")"),3)</f>
        <v>3</v>
      </c>
      <c r="J173" s="188">
        <f ca="1">IFERROR(__xludf.DUMMYFUNCTION("IMPORTRANGE(""https://docs.google.com/spreadsheets/d/11923uPwbBZFjjGgGUA6NLw09EwE0CqkOc4q9oUmW1yo/edit?usp=sharing"",""อุตรดิตถ์!J98"")"),2)</f>
        <v>2</v>
      </c>
      <c r="K173" s="163">
        <f ca="1">IF(I173&gt;0,J173*100/I173,0)</f>
        <v>66.666666666666671</v>
      </c>
      <c r="L173" s="168"/>
      <c r="M173" s="168"/>
      <c r="N173" s="167"/>
      <c r="O173" s="168"/>
      <c r="P173" s="168"/>
    </row>
    <row r="174" spans="1:16" ht="21.75" customHeight="1" x14ac:dyDescent="0.3">
      <c r="A174" s="175"/>
      <c r="B174" s="176"/>
      <c r="C174" s="176"/>
      <c r="D174" s="193"/>
      <c r="E174" s="194" t="s">
        <v>54</v>
      </c>
      <c r="F174" s="195"/>
      <c r="G174" s="196"/>
      <c r="H174" s="186"/>
      <c r="I174" s="187"/>
      <c r="J174" s="197">
        <f ca="1">IFERROR(__xludf.DUMMYFUNCTION("IMPORTRANGE(""https://docs.google.com/spreadsheets/d/11923uPwbBZFjjGgGUA6NLw09EwE0CqkOc4q9oUmW1yo/edit?usp=sharing"",""อุตรดิตถ์!J99"")"),0)</f>
        <v>0</v>
      </c>
      <c r="K174" s="163"/>
      <c r="L174" s="181"/>
      <c r="M174" s="181"/>
      <c r="N174" s="181"/>
      <c r="O174" s="181"/>
      <c r="P174" s="181"/>
    </row>
    <row r="175" spans="1:16" ht="21.75" customHeight="1" x14ac:dyDescent="0.3">
      <c r="A175" s="175"/>
      <c r="B175" s="176"/>
      <c r="C175" s="176"/>
      <c r="D175" s="205">
        <v>3</v>
      </c>
      <c r="E175" s="206" t="s">
        <v>55</v>
      </c>
      <c r="F175" s="207"/>
      <c r="G175" s="208"/>
      <c r="H175" s="186"/>
      <c r="I175" s="187"/>
      <c r="J175" s="209">
        <f ca="1">IFERROR(__xludf.DUMMYFUNCTION("IMPORTRANGE(""https://docs.google.com/spreadsheets/d/11923uPwbBZFjjGgGUA6NLw09EwE0CqkOc4q9oUmW1yo/edit?usp=sharing"",""อุตรดิตถ์!J100"")"),0)</f>
        <v>0</v>
      </c>
      <c r="K175" s="163"/>
      <c r="L175" s="181"/>
      <c r="M175" s="181"/>
      <c r="N175" s="181"/>
      <c r="O175" s="181"/>
      <c r="P175" s="181"/>
    </row>
    <row r="176" spans="1:16" ht="21.75" customHeight="1" x14ac:dyDescent="0.3">
      <c r="A176" s="269"/>
      <c r="B176" s="270"/>
      <c r="C176" s="271" t="s">
        <v>85</v>
      </c>
      <c r="D176" s="271"/>
      <c r="E176" s="271"/>
      <c r="F176" s="271"/>
      <c r="G176" s="272"/>
      <c r="H176" s="281" t="s">
        <v>83</v>
      </c>
      <c r="I176" s="282">
        <f ca="1">IFERROR(__xludf.DUMMYFUNCTION("IMPORTRANGE(""https://docs.google.com/spreadsheets/d/11923uPwbBZFjjGgGUA6NLw09EwE0CqkOc4q9oUmW1yo/edit?usp=sharing"",""อุตรดิตถ์!I101"")"),1)</f>
        <v>1</v>
      </c>
      <c r="J176" s="282">
        <f ca="1">IFERROR(__xludf.DUMMYFUNCTION("IMPORTRANGE(""https://docs.google.com/spreadsheets/d/11923uPwbBZFjjGgGUA6NLw09EwE0CqkOc4q9oUmW1yo/edit?usp=sharing"",""อุตรดิตถ์!J101"")"),1)</f>
        <v>1</v>
      </c>
      <c r="K176" s="283">
        <f ca="1">IF(I176&gt;0,J176*100/I176,0)</f>
        <v>100</v>
      </c>
      <c r="L176" s="276"/>
      <c r="M176" s="276"/>
      <c r="N176" s="276"/>
      <c r="O176" s="276"/>
      <c r="P176" s="276"/>
    </row>
    <row r="177" spans="1:16" ht="21.75" customHeight="1" x14ac:dyDescent="0.3">
      <c r="A177" s="156"/>
      <c r="B177" s="157"/>
      <c r="C177" s="157" t="s">
        <v>16</v>
      </c>
      <c r="D177" s="158" t="s">
        <v>38</v>
      </c>
      <c r="E177" s="159"/>
      <c r="F177" s="159"/>
      <c r="G177" s="160" t="s">
        <v>39</v>
      </c>
      <c r="H177" s="161" t="s">
        <v>12</v>
      </c>
      <c r="I177" s="162" t="s">
        <v>40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3">
      <c r="A178" s="156"/>
      <c r="B178" s="157"/>
      <c r="C178" s="157"/>
      <c r="D178" s="166"/>
      <c r="E178" s="159"/>
      <c r="F178" s="159" t="s">
        <v>40</v>
      </c>
      <c r="G178" s="160" t="s">
        <v>41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3">
      <c r="A179" s="156"/>
      <c r="B179" s="157"/>
      <c r="C179" s="157"/>
      <c r="D179" s="166"/>
      <c r="E179" s="159"/>
      <c r="F179" s="159"/>
      <c r="G179" s="169" t="s">
        <v>43</v>
      </c>
      <c r="H179" s="161" t="s">
        <v>12</v>
      </c>
      <c r="I179" s="162"/>
      <c r="J179" s="187"/>
      <c r="K179" s="223"/>
      <c r="L179" s="168"/>
      <c r="M179" s="168"/>
      <c r="N179" s="167"/>
      <c r="O179" s="168"/>
      <c r="P179" s="168"/>
    </row>
    <row r="180" spans="1:16" ht="21.75" customHeight="1" x14ac:dyDescent="0.3">
      <c r="A180" s="175"/>
      <c r="B180" s="176"/>
      <c r="C180" s="157" t="s">
        <v>16</v>
      </c>
      <c r="D180" s="177" t="s">
        <v>44</v>
      </c>
      <c r="E180" s="178"/>
      <c r="F180" s="178"/>
      <c r="G180" s="179"/>
      <c r="H180" s="180"/>
      <c r="I180" s="162"/>
      <c r="J180" s="187"/>
      <c r="K180" s="223"/>
      <c r="L180" s="168"/>
      <c r="M180" s="168"/>
      <c r="N180" s="168"/>
      <c r="O180" s="181"/>
      <c r="P180" s="181"/>
    </row>
    <row r="181" spans="1:16" ht="21.75" customHeight="1" x14ac:dyDescent="0.3">
      <c r="A181" s="175"/>
      <c r="B181" s="176"/>
      <c r="C181" s="176"/>
      <c r="D181" s="182">
        <v>1</v>
      </c>
      <c r="E181" s="183" t="s">
        <v>45</v>
      </c>
      <c r="F181" s="184"/>
      <c r="G181" s="185"/>
      <c r="H181" s="186"/>
      <c r="I181" s="187"/>
      <c r="J181" s="187">
        <f ca="1">IFERROR(__xludf.DUMMYFUNCTION("IMPORTRANGE(""https://docs.google.com/spreadsheets/d/11923uPwbBZFjjGgGUA6NLw09EwE0CqkOc4q9oUmW1yo/edit?usp=sharing"",""อุตรดิตถ์!J106"")"),0)</f>
        <v>0</v>
      </c>
      <c r="K181" s="223"/>
      <c r="L181" s="168"/>
      <c r="M181" s="168"/>
      <c r="N181" s="168"/>
      <c r="O181" s="181"/>
      <c r="P181" s="181"/>
    </row>
    <row r="182" spans="1:16" ht="21.75" customHeight="1" x14ac:dyDescent="0.3">
      <c r="A182" s="175"/>
      <c r="B182" s="176"/>
      <c r="C182" s="176"/>
      <c r="D182" s="189">
        <v>2</v>
      </c>
      <c r="E182" s="190" t="s">
        <v>46</v>
      </c>
      <c r="F182" s="191"/>
      <c r="G182" s="192"/>
      <c r="H182" s="186"/>
      <c r="I182" s="187"/>
      <c r="J182" s="187">
        <f ca="1">IFERROR(__xludf.DUMMYFUNCTION("IMPORTRANGE(""https://docs.google.com/spreadsheets/d/11923uPwbBZFjjGgGUA6NLw09EwE0CqkOc4q9oUmW1yo/edit?usp=sharing"",""อุตรดิตถ์!J107"")"),1)</f>
        <v>1</v>
      </c>
      <c r="K182" s="223"/>
      <c r="L182" s="168"/>
      <c r="M182" s="168"/>
      <c r="N182" s="168"/>
      <c r="O182" s="181"/>
      <c r="P182" s="181"/>
    </row>
    <row r="183" spans="1:16" ht="21.75" customHeight="1" x14ac:dyDescent="0.3">
      <c r="A183" s="175"/>
      <c r="B183" s="176"/>
      <c r="C183" s="176"/>
      <c r="D183" s="193"/>
      <c r="E183" s="194" t="s">
        <v>47</v>
      </c>
      <c r="F183" s="195"/>
      <c r="G183" s="196"/>
      <c r="H183" s="186"/>
      <c r="I183" s="187"/>
      <c r="J183" s="187">
        <f ca="1">IFERROR(__xludf.DUMMYFUNCTION("IMPORTRANGE(""https://docs.google.com/spreadsheets/d/11923uPwbBZFjjGgGUA6NLw09EwE0CqkOc4q9oUmW1yo/edit?usp=sharing"",""อุตรดิตถ์!J108"")"),1)</f>
        <v>1</v>
      </c>
      <c r="K183" s="223"/>
      <c r="L183" s="168"/>
      <c r="M183" s="168"/>
      <c r="N183" s="168"/>
      <c r="O183" s="181"/>
      <c r="P183" s="181"/>
    </row>
    <row r="184" spans="1:16" ht="21.75" customHeight="1" x14ac:dyDescent="0.3">
      <c r="A184" s="175"/>
      <c r="B184" s="176"/>
      <c r="C184" s="176"/>
      <c r="D184" s="193"/>
      <c r="E184" s="194" t="s">
        <v>48</v>
      </c>
      <c r="F184" s="195"/>
      <c r="G184" s="196"/>
      <c r="H184" s="186"/>
      <c r="I184" s="187"/>
      <c r="J184" s="187">
        <f ca="1">IFERROR(__xludf.DUMMYFUNCTION("IMPORTRANGE(""https://docs.google.com/spreadsheets/d/11923uPwbBZFjjGgGUA6NLw09EwE0CqkOc4q9oUmW1yo/edit?usp=sharing"",""อุตรดิตถ์!J109"")"),1)</f>
        <v>1</v>
      </c>
      <c r="K184" s="223"/>
      <c r="L184" s="168"/>
      <c r="M184" s="168"/>
      <c r="N184" s="168"/>
      <c r="O184" s="181"/>
      <c r="P184" s="181"/>
    </row>
    <row r="185" spans="1:16" ht="21.75" customHeight="1" x14ac:dyDescent="0.3">
      <c r="A185" s="175"/>
      <c r="B185" s="176"/>
      <c r="C185" s="176"/>
      <c r="D185" s="193"/>
      <c r="E185" s="198"/>
      <c r="F185" s="194" t="s">
        <v>86</v>
      </c>
      <c r="G185" s="196"/>
      <c r="H185" s="180" t="s">
        <v>83</v>
      </c>
      <c r="I185" s="187">
        <f ca="1">IFERROR(__xludf.DUMMYFUNCTION("IMPORTRANGE(""https://docs.google.com/spreadsheets/d/11923uPwbBZFjjGgGUA6NLw09EwE0CqkOc4q9oUmW1yo/edit?usp=sharing"",""อุตรดิตถ์!I110"")"),1)</f>
        <v>1</v>
      </c>
      <c r="J185" s="203">
        <f ca="1">IFERROR(__xludf.DUMMYFUNCTION("IMPORTRANGE(""https://docs.google.com/spreadsheets/d/11923uPwbBZFjjGgGUA6NLw09EwE0CqkOc4q9oUmW1yo/edit?usp=sharing"",""อุตรดิตถ์!J110"")"),1)</f>
        <v>1</v>
      </c>
      <c r="K185" s="223">
        <f t="shared" ref="K185:K186" ca="1" si="69">IF(I185&gt;0,J185*100/I185,0)</f>
        <v>100</v>
      </c>
      <c r="L185" s="168"/>
      <c r="M185" s="168"/>
      <c r="N185" s="167"/>
      <c r="O185" s="168"/>
      <c r="P185" s="168"/>
    </row>
    <row r="186" spans="1:16" ht="21.75" customHeight="1" x14ac:dyDescent="0.3">
      <c r="A186" s="175"/>
      <c r="B186" s="176"/>
      <c r="C186" s="176"/>
      <c r="D186" s="193"/>
      <c r="E186" s="198"/>
      <c r="F186" s="194" t="s">
        <v>87</v>
      </c>
      <c r="G186" s="196"/>
      <c r="H186" s="180" t="s">
        <v>83</v>
      </c>
      <c r="I186" s="187">
        <f ca="1">IFERROR(__xludf.DUMMYFUNCTION("IMPORTRANGE(""https://docs.google.com/spreadsheets/d/11923uPwbBZFjjGgGUA6NLw09EwE0CqkOc4q9oUmW1yo/edit?usp=sharing"",""อุตรดิตถ์!I111"")"),1)</f>
        <v>1</v>
      </c>
      <c r="J186" s="203">
        <f ca="1">IFERROR(__xludf.DUMMYFUNCTION("IMPORTRANGE(""https://docs.google.com/spreadsheets/d/11923uPwbBZFjjGgGUA6NLw09EwE0CqkOc4q9oUmW1yo/edit?usp=sharing"",""อุตรดิตถ์!J111"")"),1)</f>
        <v>1</v>
      </c>
      <c r="K186" s="223">
        <f t="shared" ca="1" si="69"/>
        <v>100</v>
      </c>
      <c r="L186" s="168"/>
      <c r="M186" s="168"/>
      <c r="N186" s="167"/>
      <c r="O186" s="168"/>
      <c r="P186" s="168"/>
    </row>
    <row r="187" spans="1:16" ht="21.75" customHeight="1" x14ac:dyDescent="0.3">
      <c r="A187" s="175"/>
      <c r="B187" s="176"/>
      <c r="C187" s="176"/>
      <c r="D187" s="193"/>
      <c r="E187" s="194" t="s">
        <v>54</v>
      </c>
      <c r="F187" s="195"/>
      <c r="G187" s="196"/>
      <c r="H187" s="186"/>
      <c r="I187" s="187"/>
      <c r="J187" s="187">
        <f ca="1">IFERROR(__xludf.DUMMYFUNCTION("IMPORTRANGE(""https://docs.google.com/spreadsheets/d/11923uPwbBZFjjGgGUA6NLw09EwE0CqkOc4q9oUmW1yo/edit?usp=sharing"",""อุตรดิตถ์!J112"")"),0)</f>
        <v>0</v>
      </c>
      <c r="K187" s="223"/>
      <c r="L187" s="168"/>
      <c r="M187" s="168"/>
      <c r="N187" s="168"/>
      <c r="O187" s="181"/>
      <c r="P187" s="181"/>
    </row>
    <row r="188" spans="1:16" ht="21.75" customHeight="1" x14ac:dyDescent="0.3">
      <c r="A188" s="175"/>
      <c r="B188" s="176"/>
      <c r="C188" s="176"/>
      <c r="D188" s="205">
        <v>3</v>
      </c>
      <c r="E188" s="206" t="s">
        <v>55</v>
      </c>
      <c r="F188" s="207"/>
      <c r="G188" s="208"/>
      <c r="H188" s="186"/>
      <c r="I188" s="187"/>
      <c r="J188" s="226">
        <f ca="1">IFERROR(__xludf.DUMMYFUNCTION("IMPORTRANGE(""https://docs.google.com/spreadsheets/d/11923uPwbBZFjjGgGUA6NLw09EwE0CqkOc4q9oUmW1yo/edit?usp=sharing"",""อุตรดิตถ์!J113"")"),0)</f>
        <v>0</v>
      </c>
      <c r="K188" s="223"/>
      <c r="L188" s="168"/>
      <c r="M188" s="168"/>
      <c r="N188" s="168"/>
      <c r="O188" s="181"/>
      <c r="P188" s="181"/>
    </row>
    <row r="189" spans="1:16" ht="21.75" customHeight="1" x14ac:dyDescent="0.3">
      <c r="A189" s="269"/>
      <c r="B189" s="270"/>
      <c r="C189" s="271" t="s">
        <v>88</v>
      </c>
      <c r="D189" s="271"/>
      <c r="E189" s="271"/>
      <c r="F189" s="271"/>
      <c r="G189" s="272"/>
      <c r="H189" s="284" t="s">
        <v>89</v>
      </c>
      <c r="I189" s="282">
        <f ca="1">IFERROR(__xludf.DUMMYFUNCTION("IMPORTRANGE(""https://docs.google.com/spreadsheets/d/11923uPwbBZFjjGgGUA6NLw09EwE0CqkOc4q9oUmW1yo/edit?usp=sharing"",""อุตรดิตถ์!I114"")"),30000)</f>
        <v>30000</v>
      </c>
      <c r="J189" s="282">
        <f ca="1">IFERROR(__xludf.DUMMYFUNCTION("IMPORTRANGE(""https://docs.google.com/spreadsheets/d/11923uPwbBZFjjGgGUA6NLw09EwE0CqkOc4q9oUmW1yo/edit?usp=sharing"",""อุตรดิตถ์!J114"")"),0)</f>
        <v>0</v>
      </c>
      <c r="K189" s="283">
        <f ca="1">IF(I189&gt;0,J189*100/I189,0)</f>
        <v>0</v>
      </c>
      <c r="L189" s="276"/>
      <c r="M189" s="276"/>
      <c r="N189" s="276"/>
      <c r="O189" s="276"/>
      <c r="P189" s="276"/>
    </row>
    <row r="190" spans="1:16" ht="21.75" customHeight="1" x14ac:dyDescent="0.3">
      <c r="A190" s="156"/>
      <c r="B190" s="157"/>
      <c r="C190" s="157" t="s">
        <v>16</v>
      </c>
      <c r="D190" s="158" t="s">
        <v>38</v>
      </c>
      <c r="E190" s="159"/>
      <c r="F190" s="159"/>
      <c r="G190" s="160" t="s">
        <v>39</v>
      </c>
      <c r="H190" s="161" t="s">
        <v>12</v>
      </c>
      <c r="I190" s="162" t="s">
        <v>40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3">
      <c r="A191" s="156"/>
      <c r="B191" s="157"/>
      <c r="C191" s="157"/>
      <c r="D191" s="166"/>
      <c r="E191" s="159"/>
      <c r="F191" s="159" t="s">
        <v>40</v>
      </c>
      <c r="G191" s="160" t="s">
        <v>41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3">
      <c r="A192" s="156"/>
      <c r="B192" s="157"/>
      <c r="C192" s="157"/>
      <c r="D192" s="166"/>
      <c r="E192" s="159"/>
      <c r="F192" s="159"/>
      <c r="G192" s="169" t="s">
        <v>43</v>
      </c>
      <c r="H192" s="161" t="s">
        <v>12</v>
      </c>
      <c r="I192" s="162"/>
      <c r="J192" s="162"/>
      <c r="K192" s="163"/>
      <c r="L192" s="168"/>
      <c r="M192" s="168"/>
      <c r="N192" s="167"/>
      <c r="O192" s="168"/>
      <c r="P192" s="168"/>
    </row>
    <row r="193" spans="1:16" ht="21.75" customHeight="1" x14ac:dyDescent="0.3">
      <c r="A193" s="175"/>
      <c r="B193" s="176"/>
      <c r="C193" s="157" t="s">
        <v>16</v>
      </c>
      <c r="D193" s="177" t="s">
        <v>44</v>
      </c>
      <c r="E193" s="178"/>
      <c r="F193" s="178"/>
      <c r="G193" s="179"/>
      <c r="H193" s="180"/>
      <c r="I193" s="162"/>
      <c r="J193" s="162"/>
      <c r="K193" s="163"/>
      <c r="L193" s="181"/>
      <c r="M193" s="181"/>
      <c r="N193" s="181"/>
      <c r="O193" s="181"/>
      <c r="P193" s="181"/>
    </row>
    <row r="194" spans="1:16" ht="21.75" customHeight="1" x14ac:dyDescent="0.3">
      <c r="A194" s="175"/>
      <c r="B194" s="176"/>
      <c r="C194" s="176"/>
      <c r="D194" s="182">
        <v>1</v>
      </c>
      <c r="E194" s="183" t="s">
        <v>45</v>
      </c>
      <c r="F194" s="184"/>
      <c r="G194" s="185"/>
      <c r="H194" s="186"/>
      <c r="I194" s="187"/>
      <c r="J194" s="197">
        <f ca="1">IFERROR(__xludf.DUMMYFUNCTION("IMPORTRANGE(""https://docs.google.com/spreadsheets/d/11923uPwbBZFjjGgGUA6NLw09EwE0CqkOc4q9oUmW1yo/edit?usp=sharing"",""อุตรดิตถ์!J119"")"),0)</f>
        <v>0</v>
      </c>
      <c r="K194" s="163"/>
      <c r="L194" s="181"/>
      <c r="M194" s="181"/>
      <c r="N194" s="181"/>
      <c r="O194" s="181"/>
      <c r="P194" s="181"/>
    </row>
    <row r="195" spans="1:16" ht="21.75" customHeight="1" x14ac:dyDescent="0.3">
      <c r="A195" s="175"/>
      <c r="B195" s="176"/>
      <c r="C195" s="176"/>
      <c r="D195" s="189">
        <v>2</v>
      </c>
      <c r="E195" s="190" t="s">
        <v>46</v>
      </c>
      <c r="F195" s="191"/>
      <c r="G195" s="192"/>
      <c r="H195" s="186"/>
      <c r="I195" s="187"/>
      <c r="J195" s="188">
        <f ca="1">IFERROR(__xludf.DUMMYFUNCTION("IMPORTRANGE(""https://docs.google.com/spreadsheets/d/11923uPwbBZFjjGgGUA6NLw09EwE0CqkOc4q9oUmW1yo/edit?usp=sharing"",""อุตรดิตถ์!J120"")"),1)</f>
        <v>1</v>
      </c>
      <c r="K195" s="163"/>
      <c r="L195" s="181"/>
      <c r="M195" s="181"/>
      <c r="N195" s="181"/>
      <c r="O195" s="181"/>
      <c r="P195" s="181"/>
    </row>
    <row r="196" spans="1:16" ht="21.75" customHeight="1" x14ac:dyDescent="0.3">
      <c r="A196" s="175"/>
      <c r="B196" s="176"/>
      <c r="C196" s="176"/>
      <c r="D196" s="193"/>
      <c r="E196" s="194" t="s">
        <v>47</v>
      </c>
      <c r="F196" s="195"/>
      <c r="G196" s="196"/>
      <c r="H196" s="186"/>
      <c r="I196" s="187"/>
      <c r="J196" s="188">
        <f ca="1">IFERROR(__xludf.DUMMYFUNCTION("IMPORTRANGE(""https://docs.google.com/spreadsheets/d/11923uPwbBZFjjGgGUA6NLw09EwE0CqkOc4q9oUmW1yo/edit?usp=sharing"",""อุตรดิตถ์!J121"")"),1)</f>
        <v>1</v>
      </c>
      <c r="K196" s="163"/>
      <c r="L196" s="181"/>
      <c r="M196" s="181"/>
      <c r="N196" s="181"/>
      <c r="O196" s="181"/>
      <c r="P196" s="181"/>
    </row>
    <row r="197" spans="1:16" ht="21.75" customHeight="1" x14ac:dyDescent="0.3">
      <c r="A197" s="175"/>
      <c r="B197" s="176"/>
      <c r="C197" s="176"/>
      <c r="D197" s="193"/>
      <c r="E197" s="194" t="s">
        <v>48</v>
      </c>
      <c r="F197" s="195"/>
      <c r="G197" s="196"/>
      <c r="H197" s="186"/>
      <c r="I197" s="187"/>
      <c r="J197" s="197">
        <f ca="1">IFERROR(__xludf.DUMMYFUNCTION("IMPORTRANGE(""https://docs.google.com/spreadsheets/d/11923uPwbBZFjjGgGUA6NLw09EwE0CqkOc4q9oUmW1yo/edit?usp=sharing"",""อุตรดิตถ์!J122"")"),1)</f>
        <v>1</v>
      </c>
      <c r="K197" s="163"/>
      <c r="L197" s="181"/>
      <c r="M197" s="181"/>
      <c r="N197" s="181"/>
      <c r="O197" s="181"/>
      <c r="P197" s="181"/>
    </row>
    <row r="198" spans="1:16" ht="21.75" customHeight="1" x14ac:dyDescent="0.3">
      <c r="A198" s="175"/>
      <c r="B198" s="176"/>
      <c r="C198" s="176"/>
      <c r="D198" s="193"/>
      <c r="E198" s="195"/>
      <c r="F198" s="195" t="s">
        <v>90</v>
      </c>
      <c r="G198" s="196"/>
      <c r="H198" s="180"/>
      <c r="I198" s="187"/>
      <c r="J198" s="187"/>
      <c r="K198" s="163"/>
      <c r="L198" s="181"/>
      <c r="M198" s="181"/>
      <c r="N198" s="181"/>
      <c r="O198" s="181"/>
      <c r="P198" s="181"/>
    </row>
    <row r="199" spans="1:16" ht="21.75" customHeight="1" x14ac:dyDescent="0.3">
      <c r="A199" s="175"/>
      <c r="B199" s="176"/>
      <c r="C199" s="176"/>
      <c r="D199" s="193"/>
      <c r="E199" s="198"/>
      <c r="F199" s="195"/>
      <c r="G199" s="194" t="s">
        <v>91</v>
      </c>
      <c r="H199" s="180" t="s">
        <v>89</v>
      </c>
      <c r="I199" s="187">
        <f ca="1">IFERROR(__xludf.DUMMYFUNCTION("IMPORTRANGE(""https://docs.google.com/spreadsheets/d/11923uPwbBZFjjGgGUA6NLw09EwE0CqkOc4q9oUmW1yo/edit?usp=sharing"",""อุตรดิตถ์!I124"")"),30000)</f>
        <v>30000</v>
      </c>
      <c r="J199" s="188">
        <f ca="1">IFERROR(__xludf.DUMMYFUNCTION("IMPORTRANGE(""https://docs.google.com/spreadsheets/d/11923uPwbBZFjjGgGUA6NLw09EwE0CqkOc4q9oUmW1yo/edit?usp=sharing"",""อุตรดิตถ์!J124"")"),0)</f>
        <v>0</v>
      </c>
      <c r="K199" s="163">
        <f t="shared" ref="K199:K201" ca="1" si="70">IF(I199&gt;0,J199*100/I199,0)</f>
        <v>0</v>
      </c>
      <c r="L199" s="181"/>
      <c r="M199" s="181"/>
      <c r="N199" s="181"/>
      <c r="O199" s="181"/>
      <c r="P199" s="181"/>
    </row>
    <row r="200" spans="1:16" ht="21.75" customHeight="1" x14ac:dyDescent="0.3">
      <c r="A200" s="175"/>
      <c r="B200" s="176"/>
      <c r="C200" s="176"/>
      <c r="D200" s="193"/>
      <c r="E200" s="198"/>
      <c r="F200" s="195"/>
      <c r="G200" s="194" t="s">
        <v>92</v>
      </c>
      <c r="H200" s="180" t="s">
        <v>89</v>
      </c>
      <c r="I200" s="187">
        <f ca="1">IFERROR(__xludf.DUMMYFUNCTION("IMPORTRANGE(""https://docs.google.com/spreadsheets/d/11923uPwbBZFjjGgGUA6NLw09EwE0CqkOc4q9oUmW1yo/edit?usp=sharing"",""อุตรดิตถ์!I125"")"),30000)</f>
        <v>30000</v>
      </c>
      <c r="J200" s="188">
        <f ca="1">IFERROR(__xludf.DUMMYFUNCTION("IMPORTRANGE(""https://docs.google.com/spreadsheets/d/11923uPwbBZFjjGgGUA6NLw09EwE0CqkOc4q9oUmW1yo/edit?usp=sharing"",""อุตรดิตถ์!J125"")"),0)</f>
        <v>0</v>
      </c>
      <c r="K200" s="163">
        <f t="shared" ca="1" si="70"/>
        <v>0</v>
      </c>
      <c r="L200" s="168"/>
      <c r="M200" s="168"/>
      <c r="N200" s="167"/>
      <c r="O200" s="168"/>
      <c r="P200" s="168"/>
    </row>
    <row r="201" spans="1:16" ht="21.75" customHeight="1" x14ac:dyDescent="0.3">
      <c r="A201" s="175"/>
      <c r="B201" s="176"/>
      <c r="C201" s="176"/>
      <c r="D201" s="193"/>
      <c r="E201" s="198"/>
      <c r="F201" s="195" t="s">
        <v>93</v>
      </c>
      <c r="G201" s="196"/>
      <c r="H201" s="180" t="s">
        <v>37</v>
      </c>
      <c r="I201" s="187">
        <f ca="1">IFERROR(__xludf.DUMMYFUNCTION("IMPORTRANGE(""https://docs.google.com/spreadsheets/d/11923uPwbBZFjjGgGUA6NLw09EwE0CqkOc4q9oUmW1yo/edit?usp=sharing"",""อุตรดิตถ์!I126"")"),0)</f>
        <v>0</v>
      </c>
      <c r="J201" s="188">
        <f ca="1">IFERROR(__xludf.DUMMYFUNCTION("IMPORTRANGE(""https://docs.google.com/spreadsheets/d/11923uPwbBZFjjGgGUA6NLw09EwE0CqkOc4q9oUmW1yo/edit?usp=sharing"",""อุตรดิตถ์!J126"")"),0)</f>
        <v>0</v>
      </c>
      <c r="K201" s="163">
        <f t="shared" ca="1" si="70"/>
        <v>0</v>
      </c>
      <c r="L201" s="168"/>
      <c r="M201" s="168"/>
      <c r="N201" s="167"/>
      <c r="O201" s="168"/>
      <c r="P201" s="168"/>
    </row>
    <row r="202" spans="1:16" ht="21.75" customHeight="1" x14ac:dyDescent="0.3">
      <c r="A202" s="175"/>
      <c r="B202" s="176"/>
      <c r="C202" s="176"/>
      <c r="D202" s="193"/>
      <c r="E202" s="194" t="s">
        <v>54</v>
      </c>
      <c r="F202" s="195"/>
      <c r="G202" s="196"/>
      <c r="H202" s="186"/>
      <c r="I202" s="187"/>
      <c r="J202" s="197">
        <f ca="1">IFERROR(__xludf.DUMMYFUNCTION("IMPORTRANGE(""https://docs.google.com/spreadsheets/d/11923uPwbBZFjjGgGUA6NLw09EwE0CqkOc4q9oUmW1yo/edit?usp=sharing"",""อุตรดิตถ์!J127"")"),0)</f>
        <v>0</v>
      </c>
      <c r="K202" s="163"/>
      <c r="L202" s="181"/>
      <c r="M202" s="181"/>
      <c r="N202" s="181"/>
      <c r="O202" s="181"/>
      <c r="P202" s="181"/>
    </row>
    <row r="203" spans="1:16" ht="21.75" customHeight="1" x14ac:dyDescent="0.3">
      <c r="A203" s="233"/>
      <c r="B203" s="234"/>
      <c r="C203" s="234"/>
      <c r="D203" s="235">
        <v>3</v>
      </c>
      <c r="E203" s="236" t="s">
        <v>55</v>
      </c>
      <c r="F203" s="237"/>
      <c r="G203" s="238"/>
      <c r="H203" s="239"/>
      <c r="I203" s="240"/>
      <c r="J203" s="285">
        <f ca="1">IFERROR(__xludf.DUMMYFUNCTION("IMPORTRANGE(""https://docs.google.com/spreadsheets/d/11923uPwbBZFjjGgGUA6NLw09EwE0CqkOc4q9oUmW1yo/edit?usp=sharing"",""อุตรดิตถ์!J128"")"),0)</f>
        <v>0</v>
      </c>
      <c r="K203" s="286"/>
      <c r="L203" s="244"/>
      <c r="M203" s="244"/>
      <c r="N203" s="244"/>
      <c r="O203" s="244"/>
      <c r="P203" s="244"/>
    </row>
    <row r="204" spans="1:16" ht="21.75" customHeight="1" x14ac:dyDescent="0.3">
      <c r="A204" s="269"/>
      <c r="B204" s="270"/>
      <c r="C204" s="287" t="s">
        <v>94</v>
      </c>
      <c r="D204" s="271"/>
      <c r="E204" s="271"/>
      <c r="F204" s="271"/>
      <c r="G204" s="272"/>
      <c r="H204" s="284" t="s">
        <v>37</v>
      </c>
      <c r="I204" s="282">
        <f ca="1">IFERROR(__xludf.DUMMYFUNCTION("IMPORTRANGE(""https://docs.google.com/spreadsheets/d/11923uPwbBZFjjGgGUA6NLw09EwE0CqkOc4q9oUmW1yo/edit?usp=sharing"",""อุตรดิตถ์!I129"")"),0)</f>
        <v>0</v>
      </c>
      <c r="J204" s="282">
        <f ca="1">IFERROR(__xludf.DUMMYFUNCTION("IMPORTRANGE(""https://docs.google.com/spreadsheets/d/11923uPwbBZFjjGgGUA6NLw09EwE0CqkOc4q9oUmW1yo/edit?usp=sharing"",""อุตรดิตถ์!J129"")"),0)</f>
        <v>0</v>
      </c>
      <c r="K204" s="283">
        <f ca="1">IF(I204&gt;0,J204*100/I204,0)</f>
        <v>0</v>
      </c>
      <c r="L204" s="276"/>
      <c r="M204" s="276"/>
      <c r="N204" s="276"/>
      <c r="O204" s="276"/>
      <c r="P204" s="276"/>
    </row>
    <row r="205" spans="1:16" ht="21.75" customHeight="1" x14ac:dyDescent="0.3">
      <c r="A205" s="156"/>
      <c r="B205" s="157"/>
      <c r="C205" s="157" t="s">
        <v>16</v>
      </c>
      <c r="D205" s="158" t="s">
        <v>38</v>
      </c>
      <c r="E205" s="159"/>
      <c r="F205" s="159"/>
      <c r="G205" s="160" t="s">
        <v>39</v>
      </c>
      <c r="H205" s="161" t="s">
        <v>12</v>
      </c>
      <c r="I205" s="162" t="s">
        <v>40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3">
      <c r="A206" s="156"/>
      <c r="B206" s="157"/>
      <c r="C206" s="157"/>
      <c r="D206" s="166"/>
      <c r="E206" s="159"/>
      <c r="F206" s="159" t="s">
        <v>40</v>
      </c>
      <c r="G206" s="160" t="s">
        <v>41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3">
      <c r="A207" s="156"/>
      <c r="B207" s="157"/>
      <c r="C207" s="157"/>
      <c r="D207" s="166"/>
      <c r="E207" s="159"/>
      <c r="F207" s="159"/>
      <c r="G207" s="169" t="s">
        <v>43</v>
      </c>
      <c r="H207" s="161" t="s">
        <v>12</v>
      </c>
      <c r="I207" s="162"/>
      <c r="J207" s="187"/>
      <c r="K207" s="223"/>
      <c r="L207" s="168"/>
      <c r="M207" s="168"/>
      <c r="N207" s="167"/>
      <c r="O207" s="168"/>
      <c r="P207" s="168"/>
    </row>
    <row r="208" spans="1:16" ht="21.75" customHeight="1" x14ac:dyDescent="0.3">
      <c r="A208" s="175"/>
      <c r="B208" s="176"/>
      <c r="C208" s="157" t="s">
        <v>16</v>
      </c>
      <c r="D208" s="177" t="s">
        <v>44</v>
      </c>
      <c r="E208" s="178"/>
      <c r="F208" s="178"/>
      <c r="G208" s="179"/>
      <c r="H208" s="180"/>
      <c r="I208" s="162"/>
      <c r="J208" s="187"/>
      <c r="K208" s="223"/>
      <c r="L208" s="168"/>
      <c r="M208" s="168"/>
      <c r="N208" s="168"/>
      <c r="O208" s="181"/>
      <c r="P208" s="181"/>
    </row>
    <row r="209" spans="1:16" ht="21.75" customHeight="1" x14ac:dyDescent="0.3">
      <c r="A209" s="175"/>
      <c r="B209" s="176"/>
      <c r="C209" s="176"/>
      <c r="D209" s="182">
        <v>1</v>
      </c>
      <c r="E209" s="183" t="s">
        <v>45</v>
      </c>
      <c r="F209" s="184"/>
      <c r="G209" s="185"/>
      <c r="H209" s="186"/>
      <c r="I209" s="187"/>
      <c r="J209" s="187">
        <f ca="1">IFERROR(__xludf.DUMMYFUNCTION("IMPORTRANGE(""https://docs.google.com/spreadsheets/d/11923uPwbBZFjjGgGUA6NLw09EwE0CqkOc4q9oUmW1yo/edit?usp=sharing"",""อุตรดิตถ์!J134"")"),0)</f>
        <v>0</v>
      </c>
      <c r="K209" s="223"/>
      <c r="L209" s="168"/>
      <c r="M209" s="168"/>
      <c r="N209" s="168"/>
      <c r="O209" s="181"/>
      <c r="P209" s="181"/>
    </row>
    <row r="210" spans="1:16" ht="21.75" customHeight="1" x14ac:dyDescent="0.3">
      <c r="A210" s="175"/>
      <c r="B210" s="176"/>
      <c r="C210" s="176"/>
      <c r="D210" s="189">
        <v>2</v>
      </c>
      <c r="E210" s="190" t="s">
        <v>46</v>
      </c>
      <c r="F210" s="191"/>
      <c r="G210" s="192"/>
      <c r="H210" s="186"/>
      <c r="I210" s="187"/>
      <c r="J210" s="187">
        <f ca="1">IFERROR(__xludf.DUMMYFUNCTION("IMPORTRANGE(""https://docs.google.com/spreadsheets/d/11923uPwbBZFjjGgGUA6NLw09EwE0CqkOc4q9oUmW1yo/edit?usp=sharing"",""อุตรดิตถ์!J135"")"),0)</f>
        <v>0</v>
      </c>
      <c r="K210" s="223"/>
      <c r="L210" s="168"/>
      <c r="M210" s="168"/>
      <c r="N210" s="168"/>
      <c r="O210" s="181"/>
      <c r="P210" s="181"/>
    </row>
    <row r="211" spans="1:16" ht="21.75" customHeight="1" x14ac:dyDescent="0.3">
      <c r="A211" s="175"/>
      <c r="B211" s="176"/>
      <c r="C211" s="176"/>
      <c r="D211" s="193"/>
      <c r="E211" s="194" t="s">
        <v>47</v>
      </c>
      <c r="F211" s="195"/>
      <c r="G211" s="196"/>
      <c r="H211" s="186"/>
      <c r="I211" s="187"/>
      <c r="J211" s="187">
        <f ca="1">IFERROR(__xludf.DUMMYFUNCTION("IMPORTRANGE(""https://docs.google.com/spreadsheets/d/11923uPwbBZFjjGgGUA6NLw09EwE0CqkOc4q9oUmW1yo/edit?usp=sharing"",""อุตรดิตถ์!J136"")"),0)</f>
        <v>0</v>
      </c>
      <c r="K211" s="223"/>
      <c r="L211" s="168"/>
      <c r="M211" s="168"/>
      <c r="N211" s="168"/>
      <c r="O211" s="181"/>
      <c r="P211" s="181"/>
    </row>
    <row r="212" spans="1:16" ht="21.75" customHeight="1" x14ac:dyDescent="0.3">
      <c r="A212" s="175"/>
      <c r="B212" s="176"/>
      <c r="C212" s="176"/>
      <c r="D212" s="193"/>
      <c r="E212" s="194" t="s">
        <v>48</v>
      </c>
      <c r="F212" s="195"/>
      <c r="G212" s="196"/>
      <c r="H212" s="186"/>
      <c r="I212" s="187"/>
      <c r="J212" s="187">
        <f ca="1">IFERROR(__xludf.DUMMYFUNCTION("IMPORTRANGE(""https://docs.google.com/spreadsheets/d/11923uPwbBZFjjGgGUA6NLw09EwE0CqkOc4q9oUmW1yo/edit?usp=sharing"",""อุตรดิตถ์!J137"")"),0)</f>
        <v>0</v>
      </c>
      <c r="K212" s="223"/>
      <c r="L212" s="168"/>
      <c r="M212" s="168"/>
      <c r="N212" s="168"/>
      <c r="O212" s="181"/>
      <c r="P212" s="181"/>
    </row>
    <row r="213" spans="1:16" ht="21.75" customHeight="1" x14ac:dyDescent="0.3">
      <c r="A213" s="175"/>
      <c r="B213" s="176"/>
      <c r="C213" s="176"/>
      <c r="D213" s="193"/>
      <c r="E213" s="198"/>
      <c r="F213" s="195" t="s">
        <v>95</v>
      </c>
      <c r="G213" s="196"/>
      <c r="H213" s="180" t="s">
        <v>37</v>
      </c>
      <c r="I213" s="187">
        <f ca="1">IFERROR(__xludf.DUMMYFUNCTION("IMPORTRANGE(""https://docs.google.com/spreadsheets/d/11923uPwbBZFjjGgGUA6NLw09EwE0CqkOc4q9oUmW1yo/edit?usp=sharing"",""อุตรดิตถ์!I138"")"),0)</f>
        <v>0</v>
      </c>
      <c r="J213" s="203">
        <f ca="1">IFERROR(__xludf.DUMMYFUNCTION("IMPORTRANGE(""https://docs.google.com/spreadsheets/d/11923uPwbBZFjjGgGUA6NLw09EwE0CqkOc4q9oUmW1yo/edit?usp=sharing"",""อุตรดิตถ์!J138"")"),0)</f>
        <v>0</v>
      </c>
      <c r="K213" s="223">
        <f ca="1">IF(I213&gt;0,J213*100/I213,0)</f>
        <v>0</v>
      </c>
      <c r="L213" s="168"/>
      <c r="M213" s="168"/>
      <c r="N213" s="167"/>
      <c r="O213" s="168"/>
      <c r="P213" s="168"/>
    </row>
    <row r="214" spans="1:16" ht="21.75" customHeight="1" x14ac:dyDescent="0.3">
      <c r="A214" s="175"/>
      <c r="B214" s="176"/>
      <c r="C214" s="176"/>
      <c r="D214" s="193"/>
      <c r="E214" s="198"/>
      <c r="F214" s="194" t="s">
        <v>53</v>
      </c>
      <c r="G214" s="196"/>
      <c r="H214" s="180"/>
      <c r="I214" s="187"/>
      <c r="J214" s="187"/>
      <c r="K214" s="223"/>
      <c r="L214" s="168"/>
      <c r="M214" s="168"/>
      <c r="N214" s="168"/>
      <c r="O214" s="181"/>
      <c r="P214" s="181"/>
    </row>
    <row r="215" spans="1:16" ht="21.75" customHeight="1" x14ac:dyDescent="0.3">
      <c r="A215" s="175"/>
      <c r="B215" s="176"/>
      <c r="C215" s="176"/>
      <c r="D215" s="193"/>
      <c r="E215" s="198"/>
      <c r="F215" s="195"/>
      <c r="G215" s="225" t="s">
        <v>96</v>
      </c>
      <c r="H215" s="180" t="s">
        <v>37</v>
      </c>
      <c r="I215" s="187">
        <f ca="1">IFERROR(__xludf.DUMMYFUNCTION("IMPORTRANGE(""https://docs.google.com/spreadsheets/d/11923uPwbBZFjjGgGUA6NLw09EwE0CqkOc4q9oUmW1yo/edit?usp=sharing"",""อุตรดิตถ์!I140"")"),0)</f>
        <v>0</v>
      </c>
      <c r="J215" s="203">
        <f ca="1">IFERROR(__xludf.DUMMYFUNCTION("IMPORTRANGE(""https://docs.google.com/spreadsheets/d/11923uPwbBZFjjGgGUA6NLw09EwE0CqkOc4q9oUmW1yo/edit?usp=sharing"",""อุตรดิตถ์!J140"")"),0)</f>
        <v>0</v>
      </c>
      <c r="K215" s="223">
        <f t="shared" ref="K215:K216" ca="1" si="71">IF(I215&gt;0,J215*100/I215,0)</f>
        <v>0</v>
      </c>
      <c r="L215" s="168"/>
      <c r="M215" s="168"/>
      <c r="N215" s="167"/>
      <c r="O215" s="168"/>
      <c r="P215" s="168"/>
    </row>
    <row r="216" spans="1:16" ht="21.75" customHeight="1" x14ac:dyDescent="0.3">
      <c r="A216" s="175"/>
      <c r="B216" s="176"/>
      <c r="C216" s="176"/>
      <c r="D216" s="193"/>
      <c r="E216" s="198"/>
      <c r="F216" s="195"/>
      <c r="G216" s="225" t="s">
        <v>97</v>
      </c>
      <c r="H216" s="180" t="s">
        <v>59</v>
      </c>
      <c r="I216" s="187">
        <f ca="1">IFERROR(__xludf.DUMMYFUNCTION("IMPORTRANGE(""https://docs.google.com/spreadsheets/d/11923uPwbBZFjjGgGUA6NLw09EwE0CqkOc4q9oUmW1yo/edit?usp=sharing"",""อุตรดิตถ์!I141"")"),0)</f>
        <v>0</v>
      </c>
      <c r="J216" s="203">
        <f ca="1">IFERROR(__xludf.DUMMYFUNCTION("IMPORTRANGE(""https://docs.google.com/spreadsheets/d/11923uPwbBZFjjGgGUA6NLw09EwE0CqkOc4q9oUmW1yo/edit?usp=sharing"",""อุตรดิตถ์!J141"")"),0)</f>
        <v>0</v>
      </c>
      <c r="K216" s="223">
        <f t="shared" ca="1" si="71"/>
        <v>0</v>
      </c>
      <c r="L216" s="168"/>
      <c r="M216" s="168"/>
      <c r="N216" s="167"/>
      <c r="O216" s="168"/>
      <c r="P216" s="168"/>
    </row>
    <row r="217" spans="1:16" ht="21.75" customHeight="1" x14ac:dyDescent="0.3">
      <c r="A217" s="175"/>
      <c r="B217" s="176"/>
      <c r="C217" s="176"/>
      <c r="D217" s="193"/>
      <c r="E217" s="194" t="s">
        <v>54</v>
      </c>
      <c r="F217" s="195"/>
      <c r="G217" s="196"/>
      <c r="H217" s="186"/>
      <c r="I217" s="187"/>
      <c r="J217" s="187">
        <f ca="1">IFERROR(__xludf.DUMMYFUNCTION("IMPORTRANGE(""https://docs.google.com/spreadsheets/d/11923uPwbBZFjjGgGUA6NLw09EwE0CqkOc4q9oUmW1yo/edit?usp=sharing"",""อุตรดิตถ์!J142"")"),0)</f>
        <v>0</v>
      </c>
      <c r="K217" s="223"/>
      <c r="L217" s="168"/>
      <c r="M217" s="168"/>
      <c r="N217" s="168"/>
      <c r="O217" s="181"/>
      <c r="P217" s="181"/>
    </row>
    <row r="218" spans="1:16" ht="21.75" customHeight="1" x14ac:dyDescent="0.3">
      <c r="A218" s="233"/>
      <c r="B218" s="234"/>
      <c r="C218" s="234"/>
      <c r="D218" s="235">
        <v>3</v>
      </c>
      <c r="E218" s="236" t="s">
        <v>55</v>
      </c>
      <c r="F218" s="237"/>
      <c r="G218" s="238"/>
      <c r="H218" s="239"/>
      <c r="I218" s="240"/>
      <c r="J218" s="241">
        <f ca="1">IFERROR(__xludf.DUMMYFUNCTION("IMPORTRANGE(""https://docs.google.com/spreadsheets/d/11923uPwbBZFjjGgGUA6NLw09EwE0CqkOc4q9oUmW1yo/edit?usp=sharing"",""อุตรดิตถ์!J143"")"),0)</f>
        <v>0</v>
      </c>
      <c r="K218" s="242"/>
      <c r="L218" s="243"/>
      <c r="M218" s="243"/>
      <c r="N218" s="243"/>
      <c r="O218" s="244"/>
      <c r="P218" s="244"/>
    </row>
    <row r="219" spans="1:16" ht="21.75" customHeight="1" x14ac:dyDescent="0.3">
      <c r="A219" s="261"/>
      <c r="B219" s="262" t="s">
        <v>98</v>
      </c>
      <c r="C219" s="263"/>
      <c r="D219" s="262"/>
      <c r="E219" s="262"/>
      <c r="F219" s="262"/>
      <c r="G219" s="264"/>
      <c r="H219" s="265" t="s">
        <v>37</v>
      </c>
      <c r="I219" s="266">
        <f ca="1">IFERROR(__xludf.DUMMYFUNCTION("IMPORTRANGE(""https://docs.google.com/spreadsheets/d/11923uPwbBZFjjGgGUA6NLw09EwE0CqkOc4q9oUmW1yo/edit?usp=sharing"",""อุตรดิตถ์!I144"")"),15)</f>
        <v>15</v>
      </c>
      <c r="J219" s="266">
        <f ca="1">IFERROR(__xludf.DUMMYFUNCTION("IMPORTRANGE(""https://docs.google.com/spreadsheets/d/11923uPwbBZFjjGgGUA6NLw09EwE0CqkOc4q9oUmW1yo/edit?usp=sharing"",""อุตรดิตถ์!J144"")"),15)</f>
        <v>15</v>
      </c>
      <c r="K219" s="267">
        <f ca="1">IF(I219&gt;0,J219*100/I219,0)</f>
        <v>100</v>
      </c>
      <c r="L219" s="268"/>
      <c r="M219" s="268"/>
      <c r="N219" s="268"/>
      <c r="O219" s="267"/>
      <c r="P219" s="267"/>
    </row>
    <row r="220" spans="1:16" ht="21.75" customHeight="1" x14ac:dyDescent="0.45">
      <c r="A220" s="145"/>
      <c r="B220" s="146"/>
      <c r="C220" s="147" t="s">
        <v>16</v>
      </c>
      <c r="D220" s="537" t="s">
        <v>17</v>
      </c>
      <c r="E220" s="528"/>
      <c r="F220" s="528"/>
      <c r="G220" s="528"/>
      <c r="H220" s="148" t="s">
        <v>12</v>
      </c>
      <c r="I220" s="162"/>
      <c r="J220" s="162"/>
      <c r="K220" s="163"/>
      <c r="L220" s="151">
        <f t="shared" ref="L220:N220" ca="1" si="72">L221+L222</f>
        <v>21125</v>
      </c>
      <c r="M220" s="151">
        <f t="shared" ca="1" si="72"/>
        <v>21125</v>
      </c>
      <c r="N220" s="151">
        <f t="shared" ca="1" si="72"/>
        <v>21125</v>
      </c>
      <c r="O220" s="150">
        <f t="shared" ref="O220:O222" ca="1" si="73">IF(L220&gt;0,N220*100/L220,0)</f>
        <v>100</v>
      </c>
      <c r="P220" s="150">
        <f t="shared" ref="P220:P222" ca="1" si="74">IF(M220&gt;0,N220*100/M220,0)</f>
        <v>100</v>
      </c>
    </row>
    <row r="221" spans="1:16" ht="21.75" customHeight="1" x14ac:dyDescent="0.45">
      <c r="A221" s="152"/>
      <c r="B221" s="32"/>
      <c r="C221" s="32"/>
      <c r="D221" s="32"/>
      <c r="E221" s="32"/>
      <c r="F221" s="32"/>
      <c r="G221" s="33" t="s">
        <v>18</v>
      </c>
      <c r="H221" s="153" t="s">
        <v>12</v>
      </c>
      <c r="I221" s="162"/>
      <c r="J221" s="162"/>
      <c r="K221" s="163"/>
      <c r="L221" s="87">
        <f t="shared" ref="L221:N221" si="75">L223+L227</f>
        <v>0</v>
      </c>
      <c r="M221" s="87">
        <f t="shared" si="75"/>
        <v>0</v>
      </c>
      <c r="N221" s="87">
        <f t="shared" si="75"/>
        <v>0</v>
      </c>
      <c r="O221" s="155">
        <f t="shared" si="73"/>
        <v>0</v>
      </c>
      <c r="P221" s="155">
        <f t="shared" si="74"/>
        <v>0</v>
      </c>
    </row>
    <row r="222" spans="1:16" ht="21.75" customHeight="1" x14ac:dyDescent="0.45">
      <c r="A222" s="152"/>
      <c r="B222" s="32"/>
      <c r="C222" s="32"/>
      <c r="D222" s="32"/>
      <c r="E222" s="32"/>
      <c r="F222" s="32"/>
      <c r="G222" s="33" t="s">
        <v>19</v>
      </c>
      <c r="H222" s="153" t="s">
        <v>12</v>
      </c>
      <c r="I222" s="162"/>
      <c r="J222" s="162"/>
      <c r="K222" s="163"/>
      <c r="L222" s="87">
        <f t="shared" ref="L222:N222" ca="1" si="76">L224+L228</f>
        <v>21125</v>
      </c>
      <c r="M222" s="87">
        <f t="shared" ca="1" si="76"/>
        <v>21125</v>
      </c>
      <c r="N222" s="87">
        <f t="shared" ca="1" si="76"/>
        <v>21125</v>
      </c>
      <c r="O222" s="155">
        <f t="shared" ca="1" si="73"/>
        <v>100</v>
      </c>
      <c r="P222" s="155">
        <f t="shared" ca="1" si="74"/>
        <v>100</v>
      </c>
    </row>
    <row r="223" spans="1:16" ht="21.75" customHeight="1" x14ac:dyDescent="0.3">
      <c r="A223" s="156"/>
      <c r="B223" s="157"/>
      <c r="C223" s="157" t="s">
        <v>16</v>
      </c>
      <c r="D223" s="158" t="s">
        <v>38</v>
      </c>
      <c r="E223" s="159"/>
      <c r="F223" s="159"/>
      <c r="G223" s="160" t="s">
        <v>39</v>
      </c>
      <c r="H223" s="161" t="s">
        <v>12</v>
      </c>
      <c r="I223" s="162" t="s">
        <v>40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3">
      <c r="A224" s="156"/>
      <c r="B224" s="157"/>
      <c r="C224" s="157"/>
      <c r="D224" s="166"/>
      <c r="E224" s="159"/>
      <c r="F224" s="159" t="s">
        <v>40</v>
      </c>
      <c r="G224" s="160" t="s">
        <v>41</v>
      </c>
      <c r="H224" s="161" t="s">
        <v>12</v>
      </c>
      <c r="I224" s="162"/>
      <c r="J224" s="162"/>
      <c r="K224" s="163"/>
      <c r="L224" s="167">
        <f ca="1">L225+L226</f>
        <v>21125</v>
      </c>
      <c r="M224" s="167">
        <f ca="1">IFERROR(__xludf.DUMMYFUNCTION("IMPORTRANGE(""https://docs.google.com/spreadsheets/d/1Yj_ptqi66GCucihVvJfMjLAmec39IyEx_6qawtMGysU/edit?usp=sharing"",""สบก!BS35"")"),21125)</f>
        <v>21125</v>
      </c>
      <c r="N224" s="168">
        <f ca="1">IFERROR(__xludf.DUMMYFUNCTION("IMPORTRANGE(""https://docs.google.com/spreadsheets/d/1Yj_ptqi66GCucihVvJfMjLAmec39IyEx_6qawtMGysU/edit?usp=sharing"",""สบก!BT35"")"),21125)</f>
        <v>21125</v>
      </c>
      <c r="O224" s="168">
        <f ca="1">IF(L224&gt;0,N224*100/L224,0)</f>
        <v>100</v>
      </c>
      <c r="P224" s="168">
        <f ca="1">IF(M224&gt;0,N224*100/M224,0)</f>
        <v>100</v>
      </c>
    </row>
    <row r="225" spans="1:16" ht="21.75" customHeight="1" x14ac:dyDescent="0.3">
      <c r="A225" s="156"/>
      <c r="B225" s="157"/>
      <c r="C225" s="157"/>
      <c r="D225" s="166"/>
      <c r="E225" s="159"/>
      <c r="F225" s="159"/>
      <c r="G225" s="169" t="s">
        <v>42</v>
      </c>
      <c r="H225" s="161" t="s">
        <v>12</v>
      </c>
      <c r="I225" s="162"/>
      <c r="J225" s="162"/>
      <c r="K225" s="163"/>
      <c r="L225" s="167">
        <f ca="1">IFERROR(__xludf.DUMMYFUNCTION("IMPORTRANGE(""https://docs.google.com/spreadsheets/d/1Yj_ptqi66GCucihVvJfMjLAmec39IyEx_6qawtMGysU/edit?usp=sharing"",""สบก!BO35"")"),0)</f>
        <v>0</v>
      </c>
      <c r="M225" s="167"/>
      <c r="N225" s="167"/>
      <c r="O225" s="168"/>
      <c r="P225" s="168"/>
    </row>
    <row r="226" spans="1:16" ht="21.75" customHeight="1" x14ac:dyDescent="0.3">
      <c r="A226" s="156"/>
      <c r="B226" s="157"/>
      <c r="C226" s="157"/>
      <c r="D226" s="166"/>
      <c r="E226" s="159"/>
      <c r="F226" s="159"/>
      <c r="G226" s="169" t="s">
        <v>43</v>
      </c>
      <c r="H226" s="161" t="s">
        <v>12</v>
      </c>
      <c r="I226" s="162"/>
      <c r="J226" s="162"/>
      <c r="K226" s="163"/>
      <c r="L226" s="167">
        <f ca="1">IFERROR(__xludf.DUMMYFUNCTION("IMPORTRANGE(""https://docs.google.com/spreadsheets/d/1Yj_ptqi66GCucihVvJfMjLAmec39IyEx_6qawtMGysU/edit?usp=sharing"",""สบก!BP35"")"),21125)</f>
        <v>21125</v>
      </c>
      <c r="M226" s="167"/>
      <c r="N226" s="167"/>
      <c r="O226" s="168"/>
      <c r="P226" s="168"/>
    </row>
    <row r="227" spans="1:16" ht="21.75" customHeight="1" x14ac:dyDescent="0.45">
      <c r="A227" s="170"/>
      <c r="B227" s="80"/>
      <c r="C227" s="81" t="s">
        <v>16</v>
      </c>
      <c r="D227" s="534" t="s">
        <v>23</v>
      </c>
      <c r="E227" s="530"/>
      <c r="F227" s="88"/>
      <c r="G227" s="82" t="s">
        <v>18</v>
      </c>
      <c r="H227" s="171" t="s">
        <v>12</v>
      </c>
      <c r="I227" s="200"/>
      <c r="J227" s="200"/>
      <c r="K227" s="288"/>
      <c r="L227" s="41">
        <v>0</v>
      </c>
      <c r="M227" s="41"/>
      <c r="N227" s="41"/>
      <c r="O227" s="41"/>
      <c r="P227" s="41"/>
    </row>
    <row r="228" spans="1:16" ht="21.75" customHeight="1" x14ac:dyDescent="0.45">
      <c r="A228" s="172"/>
      <c r="B228" s="91"/>
      <c r="C228" s="91"/>
      <c r="D228" s="173"/>
      <c r="E228" s="92"/>
      <c r="F228" s="92"/>
      <c r="G228" s="93" t="s">
        <v>19</v>
      </c>
      <c r="H228" s="174" t="s">
        <v>12</v>
      </c>
      <c r="I228" s="200"/>
      <c r="J228" s="200"/>
      <c r="K228" s="288"/>
      <c r="L228" s="49">
        <f ca="1">IFERROR(__xludf.DUMMYFUNCTION("IMPORTRANGE(""https://docs.google.com/spreadsheets/d/1Yj_ptqi66GCucihVvJfMjLAmec39IyEx_6qawtMGysU/edit?usp=sharing"",""สบก!BQ35"")"),0)</f>
        <v>0</v>
      </c>
      <c r="M228" s="49"/>
      <c r="N228" s="49">
        <f ca="1">IFERROR(__xludf.DUMMYFUNCTION("IMPORTRANGE(""https://docs.google.com/spreadsheets/d/1Yj_ptqi66GCucihVvJfMjLAmec39IyEx_6qawtMGysU/edit?usp=sharing"",""สบก!BU35"")"),0)</f>
        <v>0</v>
      </c>
      <c r="O228" s="49">
        <f ca="1">IF(L228&gt;0,N228*100/L228,0)</f>
        <v>0</v>
      </c>
      <c r="P228" s="49"/>
    </row>
    <row r="229" spans="1:16" ht="21.75" customHeight="1" x14ac:dyDescent="0.3">
      <c r="A229" s="175"/>
      <c r="B229" s="289"/>
      <c r="C229" s="263" t="s">
        <v>99</v>
      </c>
      <c r="D229" s="262"/>
      <c r="E229" s="262"/>
      <c r="F229" s="262"/>
      <c r="G229" s="264"/>
      <c r="H229" s="265" t="s">
        <v>37</v>
      </c>
      <c r="I229" s="266">
        <f ca="1">IFERROR(__xludf.DUMMYFUNCTION("IMPORTRANGE(""https://docs.google.com/spreadsheets/d/11923uPwbBZFjjGgGUA6NLw09EwE0CqkOc4q9oUmW1yo/edit?usp=sharing"",""อุตรดิตถ์!I149"")"),15)</f>
        <v>15</v>
      </c>
      <c r="J229" s="266">
        <f ca="1">IFERROR(__xludf.DUMMYFUNCTION("IMPORTRANGE(""https://docs.google.com/spreadsheets/d/11923uPwbBZFjjGgGUA6NLw09EwE0CqkOc4q9oUmW1yo/edit?usp=sharing"",""อุตรดิตถ์!J149"")"),15)</f>
        <v>15</v>
      </c>
      <c r="K229" s="267">
        <f ca="1">IF(I229&gt;0,J229*100/I229,0)</f>
        <v>100</v>
      </c>
      <c r="L229" s="290"/>
      <c r="M229" s="290"/>
      <c r="N229" s="290"/>
      <c r="O229" s="290"/>
      <c r="P229" s="290"/>
    </row>
    <row r="230" spans="1:16" ht="21.75" customHeight="1" x14ac:dyDescent="0.3">
      <c r="A230" s="175"/>
      <c r="B230" s="176"/>
      <c r="C230" s="157" t="s">
        <v>16</v>
      </c>
      <c r="D230" s="177" t="s">
        <v>44</v>
      </c>
      <c r="E230" s="178"/>
      <c r="F230" s="178"/>
      <c r="G230" s="179"/>
      <c r="H230" s="180"/>
      <c r="I230" s="162"/>
      <c r="J230" s="162"/>
      <c r="K230" s="163"/>
      <c r="L230" s="181"/>
      <c r="M230" s="181"/>
      <c r="N230" s="181"/>
      <c r="O230" s="181"/>
      <c r="P230" s="181"/>
    </row>
    <row r="231" spans="1:16" ht="21.75" customHeight="1" x14ac:dyDescent="0.3">
      <c r="A231" s="175"/>
      <c r="B231" s="176"/>
      <c r="C231" s="176"/>
      <c r="D231" s="182">
        <v>1</v>
      </c>
      <c r="E231" s="183" t="s">
        <v>45</v>
      </c>
      <c r="F231" s="184"/>
      <c r="G231" s="185"/>
      <c r="H231" s="186"/>
      <c r="I231" s="187"/>
      <c r="J231" s="197">
        <f ca="1">IFERROR(__xludf.DUMMYFUNCTION("IMPORTRANGE(""https://docs.google.com/spreadsheets/d/11923uPwbBZFjjGgGUA6NLw09EwE0CqkOc4q9oUmW1yo/edit?usp=sharing"",""อุตรดิตถ์!J151"")"),0)</f>
        <v>0</v>
      </c>
      <c r="K231" s="163"/>
      <c r="L231" s="181"/>
      <c r="M231" s="181"/>
      <c r="N231" s="181"/>
      <c r="O231" s="181"/>
      <c r="P231" s="181"/>
    </row>
    <row r="232" spans="1:16" ht="21.75" customHeight="1" x14ac:dyDescent="0.3">
      <c r="A232" s="175"/>
      <c r="B232" s="176"/>
      <c r="C232" s="176"/>
      <c r="D232" s="189">
        <v>2</v>
      </c>
      <c r="E232" s="190" t="s">
        <v>46</v>
      </c>
      <c r="F232" s="191"/>
      <c r="G232" s="192"/>
      <c r="H232" s="186"/>
      <c r="I232" s="187"/>
      <c r="J232" s="188">
        <f ca="1">IFERROR(__xludf.DUMMYFUNCTION("IMPORTRANGE(""https://docs.google.com/spreadsheets/d/11923uPwbBZFjjGgGUA6NLw09EwE0CqkOc4q9oUmW1yo/edit?usp=sharing"",""อุตรดิตถ์!J152"")"),0)</f>
        <v>0</v>
      </c>
      <c r="K232" s="163"/>
      <c r="L232" s="181" t="s">
        <v>40</v>
      </c>
      <c r="M232" s="181"/>
      <c r="N232" s="181" t="s">
        <v>40</v>
      </c>
      <c r="O232" s="181"/>
      <c r="P232" s="181"/>
    </row>
    <row r="233" spans="1:16" ht="21.75" customHeight="1" x14ac:dyDescent="0.3">
      <c r="A233" s="175"/>
      <c r="B233" s="176"/>
      <c r="C233" s="176"/>
      <c r="D233" s="193"/>
      <c r="E233" s="194" t="s">
        <v>47</v>
      </c>
      <c r="F233" s="195"/>
      <c r="G233" s="196"/>
      <c r="H233" s="186"/>
      <c r="I233" s="187"/>
      <c r="J233" s="188">
        <f ca="1">IFERROR(__xludf.DUMMYFUNCTION("IMPORTRANGE(""https://docs.google.com/spreadsheets/d/11923uPwbBZFjjGgGUA6NLw09EwE0CqkOc4q9oUmW1yo/edit?usp=sharing"",""อุตรดิตถ์!J153"")"),1)</f>
        <v>1</v>
      </c>
      <c r="K233" s="163"/>
      <c r="L233" s="181"/>
      <c r="M233" s="181"/>
      <c r="N233" s="181"/>
      <c r="O233" s="181"/>
      <c r="P233" s="181"/>
    </row>
    <row r="234" spans="1:16" ht="21.75" customHeight="1" x14ac:dyDescent="0.3">
      <c r="A234" s="175"/>
      <c r="B234" s="176"/>
      <c r="C234" s="176"/>
      <c r="D234" s="193"/>
      <c r="E234" s="194" t="s">
        <v>48</v>
      </c>
      <c r="F234" s="195"/>
      <c r="G234" s="196"/>
      <c r="H234" s="186"/>
      <c r="I234" s="187"/>
      <c r="J234" s="197">
        <f ca="1">IFERROR(__xludf.DUMMYFUNCTION("IMPORTRANGE(""https://docs.google.com/spreadsheets/d/11923uPwbBZFjjGgGUA6NLw09EwE0CqkOc4q9oUmW1yo/edit?usp=sharing"",""อุตรดิตถ์!J154"")"),1)</f>
        <v>1</v>
      </c>
      <c r="K234" s="163"/>
      <c r="L234" s="181"/>
      <c r="M234" s="181"/>
      <c r="N234" s="181"/>
      <c r="O234" s="181"/>
      <c r="P234" s="181"/>
    </row>
    <row r="235" spans="1:16" ht="21.75" customHeight="1" x14ac:dyDescent="0.3">
      <c r="A235" s="175"/>
      <c r="B235" s="176"/>
      <c r="C235" s="176"/>
      <c r="D235" s="193"/>
      <c r="E235" s="198"/>
      <c r="F235" s="195"/>
      <c r="G235" s="291" t="s">
        <v>70</v>
      </c>
      <c r="H235" s="186" t="s">
        <v>37</v>
      </c>
      <c r="I235" s="187">
        <f ca="1">IFERROR(__xludf.DUMMYFUNCTION("IMPORTRANGE(""https://docs.google.com/spreadsheets/d/11923uPwbBZFjjGgGUA6NLw09EwE0CqkOc4q9oUmW1yo/edit?usp=sharing"",""อุตรดิตถ์!I155"")"),15)</f>
        <v>15</v>
      </c>
      <c r="J235" s="188">
        <f ca="1">IFERROR(__xludf.DUMMYFUNCTION("IMPORTRANGE(""https://docs.google.com/spreadsheets/d/11923uPwbBZFjjGgGUA6NLw09EwE0CqkOc4q9oUmW1yo/edit?usp=sharing"",""อุตรดิตถ์!J155"")"),15)</f>
        <v>15</v>
      </c>
      <c r="K235" s="163">
        <f ca="1">IF(I235&gt;0,J235*100/I235,0)</f>
        <v>100</v>
      </c>
      <c r="L235" s="181"/>
      <c r="M235" s="181"/>
      <c r="N235" s="181"/>
      <c r="O235" s="181"/>
      <c r="P235" s="181"/>
    </row>
    <row r="236" spans="1:16" ht="21.75" customHeight="1" x14ac:dyDescent="0.3">
      <c r="A236" s="175"/>
      <c r="B236" s="176"/>
      <c r="C236" s="176"/>
      <c r="D236" s="193"/>
      <c r="E236" s="194" t="s">
        <v>54</v>
      </c>
      <c r="F236" s="195"/>
      <c r="G236" s="196"/>
      <c r="H236" s="186"/>
      <c r="I236" s="187"/>
      <c r="J236" s="197">
        <f ca="1">IFERROR(__xludf.DUMMYFUNCTION("IMPORTRANGE(""https://docs.google.com/spreadsheets/d/11923uPwbBZFjjGgGUA6NLw09EwE0CqkOc4q9oUmW1yo/edit?usp=sharing"",""อุตรดิตถ์!J156"")"),1)</f>
        <v>1</v>
      </c>
      <c r="K236" s="163"/>
      <c r="L236" s="181"/>
      <c r="M236" s="181"/>
      <c r="N236" s="181"/>
      <c r="O236" s="181"/>
      <c r="P236" s="181"/>
    </row>
    <row r="237" spans="1:16" ht="21.75" customHeight="1" x14ac:dyDescent="0.3">
      <c r="A237" s="175"/>
      <c r="B237" s="176"/>
      <c r="C237" s="176"/>
      <c r="D237" s="205">
        <v>3</v>
      </c>
      <c r="E237" s="206" t="s">
        <v>55</v>
      </c>
      <c r="F237" s="207"/>
      <c r="G237" s="208"/>
      <c r="H237" s="186"/>
      <c r="I237" s="187"/>
      <c r="J237" s="209">
        <f ca="1">IFERROR(__xludf.DUMMYFUNCTION("IMPORTRANGE(""https://docs.google.com/spreadsheets/d/11923uPwbBZFjjGgGUA6NLw09EwE0CqkOc4q9oUmW1yo/edit?usp=sharing"",""อุตรดิตถ์!J157"")"),1)</f>
        <v>1</v>
      </c>
      <c r="K237" s="163"/>
      <c r="L237" s="181"/>
      <c r="M237" s="181"/>
      <c r="N237" s="181"/>
      <c r="O237" s="181"/>
      <c r="P237" s="181"/>
    </row>
    <row r="238" spans="1:16" ht="21.75" customHeight="1" x14ac:dyDescent="0.3">
      <c r="A238" s="175"/>
      <c r="B238" s="176"/>
      <c r="C238" s="263" t="s">
        <v>100</v>
      </c>
      <c r="D238" s="292"/>
      <c r="E238" s="262"/>
      <c r="F238" s="262"/>
      <c r="G238" s="264"/>
      <c r="H238" s="265" t="s">
        <v>37</v>
      </c>
      <c r="I238" s="266">
        <f ca="1">IFERROR(__xludf.DUMMYFUNCTION("IMPORTRANGE(""https://docs.google.com/spreadsheets/d/11923uPwbBZFjjGgGUA6NLw09EwE0CqkOc4q9oUmW1yo/edit?usp=sharing"",""อุตรดิตถ์!I158"")"),0)</f>
        <v>0</v>
      </c>
      <c r="J238" s="266">
        <f ca="1">IFERROR(__xludf.DUMMYFUNCTION("IMPORTRANGE(""https://docs.google.com/spreadsheets/d/11923uPwbBZFjjGgGUA6NLw09EwE0CqkOc4q9oUmW1yo/edit?usp=sharing"",""อุตรดิตถ์!J158"")"),0)</f>
        <v>0</v>
      </c>
      <c r="K238" s="267">
        <f ca="1">IF(I238&gt;0,J238*100/I238,0)</f>
        <v>0</v>
      </c>
      <c r="L238" s="181"/>
      <c r="M238" s="181"/>
      <c r="N238" s="181"/>
      <c r="O238" s="181"/>
      <c r="P238" s="181"/>
    </row>
    <row r="239" spans="1:16" ht="21.75" customHeight="1" x14ac:dyDescent="0.3">
      <c r="A239" s="175"/>
      <c r="B239" s="176"/>
      <c r="C239" s="157" t="s">
        <v>16</v>
      </c>
      <c r="D239" s="177" t="s">
        <v>44</v>
      </c>
      <c r="E239" s="178"/>
      <c r="F239" s="178"/>
      <c r="G239" s="179"/>
      <c r="H239" s="180"/>
      <c r="I239" s="162"/>
      <c r="J239" s="162"/>
      <c r="K239" s="163"/>
      <c r="L239" s="181"/>
      <c r="M239" s="181"/>
      <c r="N239" s="181"/>
      <c r="O239" s="181"/>
      <c r="P239" s="181"/>
    </row>
    <row r="240" spans="1:16" ht="21.75" customHeight="1" x14ac:dyDescent="0.3">
      <c r="A240" s="175"/>
      <c r="B240" s="176"/>
      <c r="C240" s="176"/>
      <c r="D240" s="182">
        <v>1</v>
      </c>
      <c r="E240" s="183" t="s">
        <v>45</v>
      </c>
      <c r="F240" s="184"/>
      <c r="G240" s="185"/>
      <c r="H240" s="186"/>
      <c r="I240" s="187"/>
      <c r="J240" s="187" t="str">
        <f ca="1">IFERROR(__xludf.DUMMYFUNCTION("IMPORTRANGE(""https://docs.google.com/spreadsheets/d/11923uPwbBZFjjGgGUA6NLw09EwE0CqkOc4q9oUmW1yo/edit?usp=sharing"",""อุตรดิตถ์!J159"")"),"")</f>
        <v/>
      </c>
      <c r="K240" s="163"/>
      <c r="L240" s="181"/>
      <c r="M240" s="181"/>
      <c r="N240" s="181"/>
      <c r="O240" s="181"/>
      <c r="P240" s="181"/>
    </row>
    <row r="241" spans="1:16" ht="21.75" customHeight="1" x14ac:dyDescent="0.3">
      <c r="A241" s="175"/>
      <c r="B241" s="176"/>
      <c r="C241" s="176"/>
      <c r="D241" s="189">
        <v>2</v>
      </c>
      <c r="E241" s="190" t="s">
        <v>46</v>
      </c>
      <c r="F241" s="191"/>
      <c r="G241" s="192"/>
      <c r="H241" s="186"/>
      <c r="I241" s="187"/>
      <c r="J241" s="187">
        <f ca="1">IFERROR(__xludf.DUMMYFUNCTION("IMPORTRANGE(""https://docs.google.com/spreadsheets/d/11923uPwbBZFjjGgGUA6NLw09EwE0CqkOc4q9oUmW1yo/edit?usp=sharing"",""อุตรดิตถ์!J161"")"),0)</f>
        <v>0</v>
      </c>
      <c r="K241" s="163"/>
      <c r="L241" s="181" t="s">
        <v>40</v>
      </c>
      <c r="M241" s="181"/>
      <c r="N241" s="181" t="s">
        <v>40</v>
      </c>
      <c r="O241" s="181"/>
      <c r="P241" s="181"/>
    </row>
    <row r="242" spans="1:16" ht="21.75" customHeight="1" x14ac:dyDescent="0.3">
      <c r="A242" s="175"/>
      <c r="B242" s="176"/>
      <c r="C242" s="176"/>
      <c r="D242" s="193"/>
      <c r="E242" s="194" t="s">
        <v>47</v>
      </c>
      <c r="F242" s="195"/>
      <c r="G242" s="196"/>
      <c r="H242" s="186"/>
      <c r="I242" s="187"/>
      <c r="J242" s="187">
        <f ca="1">IFERROR(__xludf.DUMMYFUNCTION("IMPORTRANGE(""https://docs.google.com/spreadsheets/d/11923uPwbBZFjjGgGUA6NLw09EwE0CqkOc4q9oUmW1yo/edit?usp=sharing"",""อุตรดิตถ์!J162"")"),0)</f>
        <v>0</v>
      </c>
      <c r="K242" s="163"/>
      <c r="L242" s="181"/>
      <c r="M242" s="181"/>
      <c r="N242" s="181"/>
      <c r="O242" s="181"/>
      <c r="P242" s="181"/>
    </row>
    <row r="243" spans="1:16" ht="21.75" customHeight="1" x14ac:dyDescent="0.3">
      <c r="A243" s="175"/>
      <c r="B243" s="176"/>
      <c r="C243" s="176"/>
      <c r="D243" s="193"/>
      <c r="E243" s="194" t="s">
        <v>48</v>
      </c>
      <c r="F243" s="195"/>
      <c r="G243" s="196"/>
      <c r="H243" s="186"/>
      <c r="I243" s="187"/>
      <c r="J243" s="187">
        <f ca="1">IFERROR(__xludf.DUMMYFUNCTION("IMPORTRANGE(""https://docs.google.com/spreadsheets/d/11923uPwbBZFjjGgGUA6NLw09EwE0CqkOc4q9oUmW1yo/edit?usp=sharing"",""อุตรดิตถ์!J163"")"),0)</f>
        <v>0</v>
      </c>
      <c r="K243" s="163"/>
      <c r="L243" s="181"/>
      <c r="M243" s="181"/>
      <c r="N243" s="181"/>
      <c r="O243" s="181"/>
      <c r="P243" s="181"/>
    </row>
    <row r="244" spans="1:16" ht="21.75" customHeight="1" x14ac:dyDescent="0.3">
      <c r="A244" s="175"/>
      <c r="B244" s="176"/>
      <c r="C244" s="176"/>
      <c r="D244" s="193"/>
      <c r="E244" s="195"/>
      <c r="F244" s="194" t="s">
        <v>101</v>
      </c>
      <c r="G244" s="195"/>
      <c r="H244" s="186" t="s">
        <v>37</v>
      </c>
      <c r="I244" s="203">
        <f ca="1">IFERROR(__xludf.DUMMYFUNCTION("IMPORTRANGE(""https://docs.google.com/spreadsheets/d/11923uPwbBZFjjGgGUA6NLw09EwE0CqkOc4q9oUmW1yo/edit?usp=sharing"",""อุตรดิตถ์!I164"")"),0)</f>
        <v>0</v>
      </c>
      <c r="J244" s="187">
        <f ca="1">IFERROR(__xludf.DUMMYFUNCTION("IMPORTRANGE(""https://docs.google.com/spreadsheets/d/11923uPwbBZFjjGgGUA6NLw09EwE0CqkOc4q9oUmW1yo/edit?usp=sharing"",""อุตรดิตถ์!J164"")"),0)</f>
        <v>0</v>
      </c>
      <c r="K244" s="163">
        <f ca="1">IF(I244&gt;0,J244*100/I244,0)</f>
        <v>0</v>
      </c>
      <c r="L244" s="181"/>
      <c r="M244" s="181"/>
      <c r="N244" s="181"/>
      <c r="O244" s="181"/>
      <c r="P244" s="181"/>
    </row>
    <row r="245" spans="1:16" ht="21.75" customHeight="1" x14ac:dyDescent="0.3">
      <c r="A245" s="175"/>
      <c r="B245" s="176"/>
      <c r="C245" s="176"/>
      <c r="D245" s="193"/>
      <c r="E245" s="194" t="s">
        <v>54</v>
      </c>
      <c r="F245" s="195"/>
      <c r="G245" s="196"/>
      <c r="H245" s="186"/>
      <c r="I245" s="187"/>
      <c r="J245" s="187">
        <f ca="1">IFERROR(__xludf.DUMMYFUNCTION("IMPORTRANGE(""https://docs.google.com/spreadsheets/d/11923uPwbBZFjjGgGUA6NLw09EwE0CqkOc4q9oUmW1yo/edit?usp=sharing"",""อุตรดิตถ์!J165"")"),0)</f>
        <v>0</v>
      </c>
      <c r="K245" s="163"/>
      <c r="L245" s="181"/>
      <c r="M245" s="181"/>
      <c r="N245" s="181"/>
      <c r="O245" s="181"/>
      <c r="P245" s="181"/>
    </row>
    <row r="246" spans="1:16" ht="21.75" customHeight="1" x14ac:dyDescent="0.3">
      <c r="A246" s="233"/>
      <c r="B246" s="234"/>
      <c r="C246" s="234"/>
      <c r="D246" s="235">
        <v>3</v>
      </c>
      <c r="E246" s="236" t="s">
        <v>55</v>
      </c>
      <c r="F246" s="237"/>
      <c r="G246" s="238"/>
      <c r="H246" s="239"/>
      <c r="I246" s="240"/>
      <c r="J246" s="241">
        <f ca="1">IFERROR(__xludf.DUMMYFUNCTION("IMPORTRANGE(""https://docs.google.com/spreadsheets/d/11923uPwbBZFjjGgGUA6NLw09EwE0CqkOc4q9oUmW1yo/edit?usp=sharing"",""อุตรดิตถ์!J166"")"),0)</f>
        <v>0</v>
      </c>
      <c r="K246" s="286"/>
      <c r="L246" s="244"/>
      <c r="M246" s="244"/>
      <c r="N246" s="244"/>
      <c r="O246" s="244"/>
      <c r="P246" s="244"/>
    </row>
    <row r="247" spans="1:16" ht="21.75" customHeight="1" x14ac:dyDescent="0.3">
      <c r="A247" s="293" t="s">
        <v>102</v>
      </c>
      <c r="B247" s="294"/>
      <c r="C247" s="294"/>
      <c r="D247" s="294"/>
      <c r="E247" s="295"/>
      <c r="F247" s="295"/>
      <c r="G247" s="296"/>
      <c r="H247" s="297"/>
      <c r="I247" s="298"/>
      <c r="J247" s="298"/>
      <c r="K247" s="299"/>
      <c r="L247" s="300"/>
      <c r="M247" s="300"/>
      <c r="N247" s="300"/>
      <c r="O247" s="301"/>
      <c r="P247" s="301"/>
    </row>
    <row r="248" spans="1:16" ht="21.75" customHeight="1" x14ac:dyDescent="0.3">
      <c r="A248" s="302" t="s">
        <v>103</v>
      </c>
      <c r="B248" s="303"/>
      <c r="C248" s="303"/>
      <c r="D248" s="304"/>
      <c r="E248" s="304"/>
      <c r="F248" s="304"/>
      <c r="G248" s="305"/>
      <c r="H248" s="306"/>
      <c r="I248" s="307"/>
      <c r="J248" s="307"/>
      <c r="K248" s="308"/>
      <c r="L248" s="308"/>
      <c r="M248" s="308"/>
      <c r="N248" s="308"/>
      <c r="O248" s="309"/>
      <c r="P248" s="309"/>
    </row>
    <row r="249" spans="1:16" ht="21.75" customHeight="1" x14ac:dyDescent="0.3">
      <c r="A249" s="310"/>
      <c r="B249" s="311" t="s">
        <v>104</v>
      </c>
      <c r="C249" s="311"/>
      <c r="D249" s="311"/>
      <c r="E249" s="311"/>
      <c r="F249" s="311"/>
      <c r="G249" s="312"/>
      <c r="H249" s="313" t="s">
        <v>37</v>
      </c>
      <c r="I249" s="314">
        <f ca="1">IFERROR(__xludf.DUMMYFUNCTION("IMPORTRANGE(""https://docs.google.com/spreadsheets/d/11923uPwbBZFjjGgGUA6NLw09EwE0CqkOc4q9oUmW1yo/edit?usp=sharing"",""อุตรดิตถ์!I169"")"),20)</f>
        <v>20</v>
      </c>
      <c r="J249" s="314">
        <f ca="1">IFERROR(__xludf.DUMMYFUNCTION("IMPORTRANGE(""https://docs.google.com/spreadsheets/d/11923uPwbBZFjjGgGUA6NLw09EwE0CqkOc4q9oUmW1yo/edit?usp=sharing"",""อุตรดิตถ์!J169"")"),10)</f>
        <v>10</v>
      </c>
      <c r="K249" s="315">
        <f ca="1">IF(I249&gt;0,J249*100/I249,0)</f>
        <v>50</v>
      </c>
      <c r="L249" s="316"/>
      <c r="M249" s="316"/>
      <c r="N249" s="316"/>
      <c r="O249" s="315"/>
      <c r="P249" s="315"/>
    </row>
    <row r="250" spans="1:16" ht="21.75" customHeight="1" x14ac:dyDescent="0.45">
      <c r="A250" s="145"/>
      <c r="B250" s="146"/>
      <c r="C250" s="147" t="s">
        <v>16</v>
      </c>
      <c r="D250" s="537" t="s">
        <v>17</v>
      </c>
      <c r="E250" s="528"/>
      <c r="F250" s="528"/>
      <c r="G250" s="528"/>
      <c r="H250" s="148" t="s">
        <v>12</v>
      </c>
      <c r="I250" s="162"/>
      <c r="J250" s="162"/>
      <c r="K250" s="163"/>
      <c r="L250" s="151">
        <f t="shared" ref="L250:N250" ca="1" si="77">L251+L252</f>
        <v>203400</v>
      </c>
      <c r="M250" s="151">
        <f t="shared" ca="1" si="77"/>
        <v>103000</v>
      </c>
      <c r="N250" s="151">
        <f t="shared" ca="1" si="77"/>
        <v>63872</v>
      </c>
      <c r="O250" s="150">
        <f t="shared" ref="O250:O252" ca="1" si="78">IF(L250&gt;0,N250*100/L250,0)</f>
        <v>31.402163225172075</v>
      </c>
      <c r="P250" s="150">
        <f t="shared" ref="P250:P252" ca="1" si="79">IF(M250&gt;0,N250*100/M250,0)</f>
        <v>62.011650485436896</v>
      </c>
    </row>
    <row r="251" spans="1:16" ht="21.75" customHeight="1" x14ac:dyDescent="0.45">
      <c r="A251" s="152"/>
      <c r="B251" s="32"/>
      <c r="C251" s="32"/>
      <c r="D251" s="32"/>
      <c r="E251" s="32"/>
      <c r="F251" s="32"/>
      <c r="G251" s="33" t="s">
        <v>18</v>
      </c>
      <c r="H251" s="153" t="s">
        <v>12</v>
      </c>
      <c r="I251" s="162"/>
      <c r="J251" s="162"/>
      <c r="K251" s="163"/>
      <c r="L251" s="87">
        <f t="shared" ref="L251:N251" si="80">L253+L257</f>
        <v>0</v>
      </c>
      <c r="M251" s="87">
        <f t="shared" si="80"/>
        <v>0</v>
      </c>
      <c r="N251" s="87">
        <f t="shared" si="80"/>
        <v>0</v>
      </c>
      <c r="O251" s="155">
        <f t="shared" si="78"/>
        <v>0</v>
      </c>
      <c r="P251" s="155">
        <f t="shared" si="79"/>
        <v>0</v>
      </c>
    </row>
    <row r="252" spans="1:16" ht="21.75" customHeight="1" x14ac:dyDescent="0.45">
      <c r="A252" s="152"/>
      <c r="B252" s="32"/>
      <c r="C252" s="32"/>
      <c r="D252" s="32"/>
      <c r="E252" s="32"/>
      <c r="F252" s="32"/>
      <c r="G252" s="33" t="s">
        <v>19</v>
      </c>
      <c r="H252" s="153" t="s">
        <v>12</v>
      </c>
      <c r="I252" s="162"/>
      <c r="J252" s="162"/>
      <c r="K252" s="163"/>
      <c r="L252" s="87">
        <f t="shared" ref="L252:N252" ca="1" si="81">L254+L258</f>
        <v>203400</v>
      </c>
      <c r="M252" s="87">
        <f t="shared" ca="1" si="81"/>
        <v>103000</v>
      </c>
      <c r="N252" s="87">
        <f t="shared" ca="1" si="81"/>
        <v>63872</v>
      </c>
      <c r="O252" s="155">
        <f t="shared" ca="1" si="78"/>
        <v>31.402163225172075</v>
      </c>
      <c r="P252" s="155">
        <f t="shared" ca="1" si="79"/>
        <v>62.011650485436896</v>
      </c>
    </row>
    <row r="253" spans="1:16" ht="21.75" customHeight="1" x14ac:dyDescent="0.3">
      <c r="A253" s="156"/>
      <c r="B253" s="157"/>
      <c r="C253" s="157" t="s">
        <v>16</v>
      </c>
      <c r="D253" s="158" t="s">
        <v>38</v>
      </c>
      <c r="E253" s="159"/>
      <c r="F253" s="159"/>
      <c r="G253" s="160" t="s">
        <v>39</v>
      </c>
      <c r="H253" s="161" t="s">
        <v>12</v>
      </c>
      <c r="I253" s="162" t="s">
        <v>40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3">
      <c r="A254" s="156"/>
      <c r="B254" s="157"/>
      <c r="C254" s="157"/>
      <c r="D254" s="166"/>
      <c r="E254" s="159"/>
      <c r="F254" s="159" t="s">
        <v>40</v>
      </c>
      <c r="G254" s="160" t="s">
        <v>41</v>
      </c>
      <c r="H254" s="161" t="s">
        <v>12</v>
      </c>
      <c r="I254" s="162"/>
      <c r="J254" s="162"/>
      <c r="K254" s="163"/>
      <c r="L254" s="167">
        <f ca="1">L255+L256</f>
        <v>203400</v>
      </c>
      <c r="M254" s="167">
        <f ca="1">IFERROR(__xludf.DUMMYFUNCTION("IMPORTRANGE(""https://docs.google.com/spreadsheets/d/1Yj_ptqi66GCucihVvJfMjLAmec39IyEx_6qawtMGysU/edit?usp=sharing"",""สบก!CB35"")"),103000)</f>
        <v>103000</v>
      </c>
      <c r="N254" s="168">
        <f ca="1">IFERROR(__xludf.DUMMYFUNCTION("IMPORTRANGE(""https://docs.google.com/spreadsheets/d/1Yj_ptqi66GCucihVvJfMjLAmec39IyEx_6qawtMGysU/edit?usp=sharing"",""สบก!CC35"")"),63872)</f>
        <v>63872</v>
      </c>
      <c r="O254" s="168">
        <f ca="1">IF(L254&gt;0,N254*100/L254,0)</f>
        <v>31.402163225172075</v>
      </c>
      <c r="P254" s="168">
        <f ca="1">IF(M254&gt;0,N254*100/M254,0)</f>
        <v>62.011650485436896</v>
      </c>
    </row>
    <row r="255" spans="1:16" ht="21.75" customHeight="1" x14ac:dyDescent="0.3">
      <c r="A255" s="156"/>
      <c r="B255" s="157"/>
      <c r="C255" s="157"/>
      <c r="D255" s="166"/>
      <c r="E255" s="159"/>
      <c r="F255" s="159"/>
      <c r="G255" s="169" t="s">
        <v>42</v>
      </c>
      <c r="H255" s="161" t="s">
        <v>12</v>
      </c>
      <c r="I255" s="162"/>
      <c r="J255" s="162"/>
      <c r="K255" s="163"/>
      <c r="L255" s="167">
        <f ca="1">IFERROR(__xludf.DUMMYFUNCTION("IMPORTRANGE(""https://docs.google.com/spreadsheets/d/1Yj_ptqi66GCucihVvJfMjLAmec39IyEx_6qawtMGysU/edit?usp=sharing"",""สบก!BX35"")"),132000)</f>
        <v>132000</v>
      </c>
      <c r="M255" s="167"/>
      <c r="N255" s="167"/>
      <c r="O255" s="168"/>
      <c r="P255" s="168"/>
    </row>
    <row r="256" spans="1:16" ht="21.75" customHeight="1" x14ac:dyDescent="0.3">
      <c r="A256" s="156"/>
      <c r="B256" s="157"/>
      <c r="C256" s="157"/>
      <c r="D256" s="166"/>
      <c r="E256" s="159"/>
      <c r="F256" s="159"/>
      <c r="G256" s="169" t="s">
        <v>43</v>
      </c>
      <c r="H256" s="161" t="s">
        <v>12</v>
      </c>
      <c r="I256" s="162"/>
      <c r="J256" s="162"/>
      <c r="K256" s="163"/>
      <c r="L256" s="167">
        <f ca="1">IFERROR(__xludf.DUMMYFUNCTION("IMPORTRANGE(""https://docs.google.com/spreadsheets/d/1Yj_ptqi66GCucihVvJfMjLAmec39IyEx_6qawtMGysU/edit?usp=sharing"",""สบก!BY35"")"),71400)</f>
        <v>71400</v>
      </c>
      <c r="M256" s="167"/>
      <c r="N256" s="167"/>
      <c r="O256" s="168"/>
      <c r="P256" s="168"/>
    </row>
    <row r="257" spans="1:16" ht="21.75" customHeight="1" x14ac:dyDescent="0.45">
      <c r="A257" s="170"/>
      <c r="B257" s="80"/>
      <c r="C257" s="81" t="s">
        <v>16</v>
      </c>
      <c r="D257" s="534" t="s">
        <v>23</v>
      </c>
      <c r="E257" s="530"/>
      <c r="F257" s="88"/>
      <c r="G257" s="82" t="s">
        <v>18</v>
      </c>
      <c r="H257" s="171" t="s">
        <v>12</v>
      </c>
      <c r="I257" s="162"/>
      <c r="J257" s="162"/>
      <c r="K257" s="163"/>
      <c r="L257" s="41">
        <v>0</v>
      </c>
      <c r="M257" s="41"/>
      <c r="N257" s="41"/>
      <c r="O257" s="41"/>
      <c r="P257" s="41"/>
    </row>
    <row r="258" spans="1:16" ht="21.75" customHeight="1" x14ac:dyDescent="0.45">
      <c r="A258" s="172"/>
      <c r="B258" s="91"/>
      <c r="C258" s="91"/>
      <c r="D258" s="173"/>
      <c r="E258" s="92"/>
      <c r="F258" s="92"/>
      <c r="G258" s="93" t="s">
        <v>19</v>
      </c>
      <c r="H258" s="174" t="s">
        <v>12</v>
      </c>
      <c r="I258" s="162"/>
      <c r="J258" s="162"/>
      <c r="K258" s="163"/>
      <c r="L258" s="49">
        <f ca="1">IFERROR(__xludf.DUMMYFUNCTION("IMPORTRANGE(""https://docs.google.com/spreadsheets/d/1Yj_ptqi66GCucihVvJfMjLAmec39IyEx_6qawtMGysU/edit?usp=sharing"",""สบก!BZ35"")"),0)</f>
        <v>0</v>
      </c>
      <c r="M258" s="49"/>
      <c r="N258" s="49">
        <f ca="1">IFERROR(__xludf.DUMMYFUNCTION("IMPORTRANGE(""https://docs.google.com/spreadsheets/d/1Yj_ptqi66GCucihVvJfMjLAmec39IyEx_6qawtMGysU/edit?usp=sharing"",""สบก!CD35"")"),0)</f>
        <v>0</v>
      </c>
      <c r="O258" s="49">
        <f ca="1">IF(L258&gt;0,N258*100/L258,0)</f>
        <v>0</v>
      </c>
      <c r="P258" s="49"/>
    </row>
    <row r="259" spans="1:16" ht="21.75" customHeight="1" x14ac:dyDescent="0.3">
      <c r="A259" s="175"/>
      <c r="B259" s="176"/>
      <c r="C259" s="157" t="s">
        <v>16</v>
      </c>
      <c r="D259" s="177" t="s">
        <v>44</v>
      </c>
      <c r="E259" s="178"/>
      <c r="F259" s="178"/>
      <c r="G259" s="179"/>
      <c r="H259" s="180"/>
      <c r="I259" s="162"/>
      <c r="J259" s="162"/>
      <c r="K259" s="163"/>
      <c r="L259" s="181"/>
      <c r="M259" s="181"/>
      <c r="N259" s="181"/>
      <c r="O259" s="181"/>
      <c r="P259" s="181"/>
    </row>
    <row r="260" spans="1:16" ht="21.75" customHeight="1" x14ac:dyDescent="0.3">
      <c r="A260" s="175"/>
      <c r="B260" s="176"/>
      <c r="C260" s="176"/>
      <c r="D260" s="182">
        <v>1</v>
      </c>
      <c r="E260" s="183" t="s">
        <v>45</v>
      </c>
      <c r="F260" s="184"/>
      <c r="G260" s="185"/>
      <c r="H260" s="186"/>
      <c r="I260" s="187"/>
      <c r="J260" s="188">
        <f ca="1">IFERROR(__xludf.DUMMYFUNCTION("IMPORTRANGE(""https://docs.google.com/spreadsheets/d/11923uPwbBZFjjGgGUA6NLw09EwE0CqkOc4q9oUmW1yo/edit?usp=sharing"",""อุตรดิตถ์!J175"")"),0)</f>
        <v>0</v>
      </c>
      <c r="K260" s="163"/>
      <c r="L260" s="181"/>
      <c r="M260" s="181"/>
      <c r="N260" s="181"/>
      <c r="O260" s="181"/>
      <c r="P260" s="181"/>
    </row>
    <row r="261" spans="1:16" ht="21.75" customHeight="1" x14ac:dyDescent="0.3">
      <c r="A261" s="175"/>
      <c r="B261" s="176"/>
      <c r="C261" s="176"/>
      <c r="D261" s="189">
        <v>2</v>
      </c>
      <c r="E261" s="190" t="s">
        <v>46</v>
      </c>
      <c r="F261" s="191"/>
      <c r="G261" s="192"/>
      <c r="H261" s="186"/>
      <c r="I261" s="187"/>
      <c r="J261" s="197">
        <f ca="1">IFERROR(__xludf.DUMMYFUNCTION("IMPORTRANGE(""https://docs.google.com/spreadsheets/d/11923uPwbBZFjjGgGUA6NLw09EwE0CqkOc4q9oUmW1yo/edit?usp=sharing"",""อุตรดิตถ์!J176"")"),1)</f>
        <v>1</v>
      </c>
      <c r="K261" s="163"/>
      <c r="L261" s="181" t="s">
        <v>40</v>
      </c>
      <c r="M261" s="181"/>
      <c r="N261" s="181" t="s">
        <v>40</v>
      </c>
      <c r="O261" s="181"/>
      <c r="P261" s="181"/>
    </row>
    <row r="262" spans="1:16" ht="21.75" customHeight="1" x14ac:dyDescent="0.3">
      <c r="A262" s="175"/>
      <c r="B262" s="176"/>
      <c r="C262" s="176"/>
      <c r="D262" s="193"/>
      <c r="E262" s="194" t="s">
        <v>47</v>
      </c>
      <c r="F262" s="195"/>
      <c r="G262" s="196"/>
      <c r="H262" s="186"/>
      <c r="I262" s="187"/>
      <c r="J262" s="197">
        <f ca="1">IFERROR(__xludf.DUMMYFUNCTION("IMPORTRANGE(""https://docs.google.com/spreadsheets/d/11923uPwbBZFjjGgGUA6NLw09EwE0CqkOc4q9oUmW1yo/edit?usp=sharing"",""อุตรดิตถ์!J177"")"),1)</f>
        <v>1</v>
      </c>
      <c r="K262" s="163"/>
      <c r="L262" s="181"/>
      <c r="M262" s="181"/>
      <c r="N262" s="181"/>
      <c r="O262" s="181"/>
      <c r="P262" s="181"/>
    </row>
    <row r="263" spans="1:16" ht="21.75" customHeight="1" x14ac:dyDescent="0.3">
      <c r="A263" s="175"/>
      <c r="B263" s="176"/>
      <c r="C263" s="176"/>
      <c r="D263" s="193"/>
      <c r="E263" s="194" t="s">
        <v>48</v>
      </c>
      <c r="F263" s="195"/>
      <c r="G263" s="196"/>
      <c r="H263" s="186"/>
      <c r="I263" s="187"/>
      <c r="J263" s="197">
        <f ca="1">IFERROR(__xludf.DUMMYFUNCTION("IMPORTRANGE(""https://docs.google.com/spreadsheets/d/11923uPwbBZFjjGgGUA6NLw09EwE0CqkOc4q9oUmW1yo/edit?usp=sharing"",""อุตรดิตถ์!J178"")"),1)</f>
        <v>1</v>
      </c>
      <c r="K263" s="163"/>
      <c r="L263" s="181"/>
      <c r="M263" s="181"/>
      <c r="N263" s="181"/>
      <c r="O263" s="181"/>
      <c r="P263" s="181"/>
    </row>
    <row r="264" spans="1:16" ht="21.75" customHeight="1" x14ac:dyDescent="0.3">
      <c r="A264" s="175"/>
      <c r="B264" s="176"/>
      <c r="C264" s="176"/>
      <c r="D264" s="193"/>
      <c r="E264" s="198"/>
      <c r="F264" s="194" t="s">
        <v>105</v>
      </c>
      <c r="G264" s="196"/>
      <c r="H264" s="180" t="s">
        <v>59</v>
      </c>
      <c r="I264" s="187">
        <f ca="1">IFERROR(__xludf.DUMMYFUNCTION("IMPORTRANGE(""https://docs.google.com/spreadsheets/d/11923uPwbBZFjjGgGUA6NLw09EwE0CqkOc4q9oUmW1yo/edit?usp=sharing"",""อุตรดิตถ์!I179"")"),1)</f>
        <v>1</v>
      </c>
      <c r="J264" s="188">
        <f ca="1">IFERROR(__xludf.DUMMYFUNCTION("IMPORTRANGE(""https://docs.google.com/spreadsheets/d/11923uPwbBZFjjGgGUA6NLw09EwE0CqkOc4q9oUmW1yo/edit?usp=sharing"",""อุตรดิตถ์!J179"")"),1)</f>
        <v>1</v>
      </c>
      <c r="K264" s="163">
        <f t="shared" ref="K264:K267" ca="1" si="82">IF(I264&gt;0,J264*100/I264,0)</f>
        <v>100</v>
      </c>
      <c r="L264" s="181"/>
      <c r="M264" s="181"/>
      <c r="N264" s="181"/>
      <c r="O264" s="181"/>
      <c r="P264" s="181"/>
    </row>
    <row r="265" spans="1:16" ht="21.75" customHeight="1" x14ac:dyDescent="0.3">
      <c r="A265" s="175"/>
      <c r="B265" s="176"/>
      <c r="C265" s="176"/>
      <c r="D265" s="193"/>
      <c r="E265" s="198"/>
      <c r="F265" s="194" t="s">
        <v>106</v>
      </c>
      <c r="G265" s="196"/>
      <c r="H265" s="180" t="s">
        <v>37</v>
      </c>
      <c r="I265" s="187">
        <f ca="1">IFERROR(__xludf.DUMMYFUNCTION("IMPORTRANGE(""https://docs.google.com/spreadsheets/d/11923uPwbBZFjjGgGUA6NLw09EwE0CqkOc4q9oUmW1yo/edit?usp=sharing"",""อุตรดิตถ์!I180"")"),20)</f>
        <v>20</v>
      </c>
      <c r="J265" s="188">
        <f ca="1">IFERROR(__xludf.DUMMYFUNCTION("IMPORTRANGE(""https://docs.google.com/spreadsheets/d/11923uPwbBZFjjGgGUA6NLw09EwE0CqkOc4q9oUmW1yo/edit?usp=sharing"",""อุตรดิตถ์!J180"")"),10)</f>
        <v>10</v>
      </c>
      <c r="K265" s="163">
        <f t="shared" ca="1" si="82"/>
        <v>50</v>
      </c>
      <c r="L265" s="181"/>
      <c r="M265" s="181"/>
      <c r="N265" s="181"/>
      <c r="O265" s="181"/>
      <c r="P265" s="181"/>
    </row>
    <row r="266" spans="1:16" ht="21.75" customHeight="1" x14ac:dyDescent="0.3">
      <c r="A266" s="175"/>
      <c r="B266" s="176"/>
      <c r="C266" s="176"/>
      <c r="D266" s="193"/>
      <c r="E266" s="198"/>
      <c r="F266" s="194" t="s">
        <v>107</v>
      </c>
      <c r="G266" s="196"/>
      <c r="H266" s="180" t="s">
        <v>37</v>
      </c>
      <c r="I266" s="187">
        <f ca="1">IFERROR(__xludf.DUMMYFUNCTION("IMPORTRANGE(""https://docs.google.com/spreadsheets/d/11923uPwbBZFjjGgGUA6NLw09EwE0CqkOc4q9oUmW1yo/edit?usp=sharing"",""อุตรดิตถ์!I181"")"),20)</f>
        <v>20</v>
      </c>
      <c r="J266" s="188">
        <f ca="1">IFERROR(__xludf.DUMMYFUNCTION("IMPORTRANGE(""https://docs.google.com/spreadsheets/d/11923uPwbBZFjjGgGUA6NLw09EwE0CqkOc4q9oUmW1yo/edit?usp=sharing"",""อุตรดิตถ์!J181"")"),0)</f>
        <v>0</v>
      </c>
      <c r="K266" s="163">
        <f t="shared" ca="1" si="82"/>
        <v>0</v>
      </c>
      <c r="L266" s="181"/>
      <c r="M266" s="181"/>
      <c r="N266" s="181"/>
      <c r="O266" s="181"/>
      <c r="P266" s="181"/>
    </row>
    <row r="267" spans="1:16" ht="21.75" customHeight="1" x14ac:dyDescent="0.3">
      <c r="A267" s="175"/>
      <c r="B267" s="176"/>
      <c r="C267" s="176"/>
      <c r="D267" s="193"/>
      <c r="E267" s="198"/>
      <c r="F267" s="194" t="s">
        <v>108</v>
      </c>
      <c r="G267" s="196"/>
      <c r="H267" s="180" t="s">
        <v>37</v>
      </c>
      <c r="I267" s="187">
        <f ca="1">IFERROR(__xludf.DUMMYFUNCTION("IMPORTRANGE(""https://docs.google.com/spreadsheets/d/11923uPwbBZFjjGgGUA6NLw09EwE0CqkOc4q9oUmW1yo/edit?usp=sharing"",""อุตรดิตถ์!I182"")"),1)</f>
        <v>1</v>
      </c>
      <c r="J267" s="188">
        <f ca="1">IFERROR(__xludf.DUMMYFUNCTION("IMPORTRANGE(""https://docs.google.com/spreadsheets/d/11923uPwbBZFjjGgGUA6NLw09EwE0CqkOc4q9oUmW1yo/edit?usp=sharing"",""อุตรดิตถ์!J182"")"),1)</f>
        <v>1</v>
      </c>
      <c r="K267" s="163">
        <f t="shared" ca="1" si="82"/>
        <v>100</v>
      </c>
      <c r="L267" s="181"/>
      <c r="M267" s="181"/>
      <c r="N267" s="181"/>
      <c r="O267" s="181"/>
      <c r="P267" s="181"/>
    </row>
    <row r="268" spans="1:16" ht="21.75" customHeight="1" x14ac:dyDescent="0.3">
      <c r="A268" s="175"/>
      <c r="B268" s="176"/>
      <c r="C268" s="176"/>
      <c r="D268" s="193"/>
      <c r="E268" s="194" t="s">
        <v>54</v>
      </c>
      <c r="F268" s="195"/>
      <c r="G268" s="196"/>
      <c r="H268" s="186"/>
      <c r="I268" s="187"/>
      <c r="J268" s="197">
        <f ca="1">IFERROR(__xludf.DUMMYFUNCTION("IMPORTRANGE(""https://docs.google.com/spreadsheets/d/11923uPwbBZFjjGgGUA6NLw09EwE0CqkOc4q9oUmW1yo/edit?usp=sharing"",""อุตรดิตถ์!J183"")"),0)</f>
        <v>0</v>
      </c>
      <c r="K268" s="163"/>
      <c r="L268" s="181"/>
      <c r="M268" s="181"/>
      <c r="N268" s="181"/>
      <c r="O268" s="181"/>
      <c r="P268" s="181"/>
    </row>
    <row r="269" spans="1:16" ht="21.75" customHeight="1" x14ac:dyDescent="0.3">
      <c r="A269" s="233"/>
      <c r="B269" s="234"/>
      <c r="C269" s="234"/>
      <c r="D269" s="235">
        <v>3</v>
      </c>
      <c r="E269" s="236" t="s">
        <v>55</v>
      </c>
      <c r="F269" s="237"/>
      <c r="G269" s="238"/>
      <c r="H269" s="239"/>
      <c r="I269" s="240"/>
      <c r="J269" s="285">
        <f ca="1">IFERROR(__xludf.DUMMYFUNCTION("IMPORTRANGE(""https://docs.google.com/spreadsheets/d/11923uPwbBZFjjGgGUA6NLw09EwE0CqkOc4q9oUmW1yo/edit?usp=sharing"",""อุตรดิตถ์!J184"")"),0)</f>
        <v>0</v>
      </c>
      <c r="K269" s="286"/>
      <c r="L269" s="244"/>
      <c r="M269" s="244"/>
      <c r="N269" s="244"/>
      <c r="O269" s="244"/>
      <c r="P269" s="244"/>
    </row>
    <row r="270" spans="1:16" ht="21.75" customHeight="1" x14ac:dyDescent="0.3">
      <c r="A270" s="310"/>
      <c r="B270" s="311" t="s">
        <v>109</v>
      </c>
      <c r="C270" s="311"/>
      <c r="D270" s="311"/>
      <c r="E270" s="311"/>
      <c r="F270" s="311"/>
      <c r="G270" s="312"/>
      <c r="H270" s="313" t="s">
        <v>37</v>
      </c>
      <c r="I270" s="314">
        <f ca="1">IFERROR(__xludf.DUMMYFUNCTION("IMPORTRANGE(""https://docs.google.com/spreadsheets/d/11923uPwbBZFjjGgGUA6NLw09EwE0CqkOc4q9oUmW1yo/edit?usp=sharing"",""อุตรดิตถ์!I185"")"),0)</f>
        <v>0</v>
      </c>
      <c r="J270" s="314">
        <f ca="1">IFERROR(__xludf.DUMMYFUNCTION("IMPORTRANGE(""https://docs.google.com/spreadsheets/d/11923uPwbBZFjjGgGUA6NLw09EwE0CqkOc4q9oUmW1yo/edit?usp=sharing"",""อุตรดิตถ์!J185"")"),0)</f>
        <v>0</v>
      </c>
      <c r="K270" s="315">
        <f ca="1">IF(I270&gt;0,J270*100/I270,0)</f>
        <v>0</v>
      </c>
      <c r="L270" s="316"/>
      <c r="M270" s="316"/>
      <c r="N270" s="316"/>
      <c r="O270" s="315"/>
      <c r="P270" s="315"/>
    </row>
    <row r="271" spans="1:16" ht="21.75" customHeight="1" x14ac:dyDescent="0.45">
      <c r="A271" s="145"/>
      <c r="B271" s="146"/>
      <c r="C271" s="147" t="s">
        <v>16</v>
      </c>
      <c r="D271" s="537" t="s">
        <v>17</v>
      </c>
      <c r="E271" s="528"/>
      <c r="F271" s="528"/>
      <c r="G271" s="528"/>
      <c r="H271" s="148" t="s">
        <v>12</v>
      </c>
      <c r="I271" s="162"/>
      <c r="J271" s="162"/>
      <c r="K271" s="163"/>
      <c r="L271" s="151">
        <f t="shared" ref="L271:N271" ca="1" si="83">L272+L273</f>
        <v>0</v>
      </c>
      <c r="M271" s="151">
        <f t="shared" ca="1" si="83"/>
        <v>0</v>
      </c>
      <c r="N271" s="151">
        <f t="shared" ca="1" si="83"/>
        <v>0</v>
      </c>
      <c r="O271" s="150">
        <f t="shared" ref="O271:O273" ca="1" si="84">IF(L271&gt;0,N271*100/L271,0)</f>
        <v>0</v>
      </c>
      <c r="P271" s="150">
        <f t="shared" ref="P271:P273" ca="1" si="85">IF(M271&gt;0,N271*100/M271,0)</f>
        <v>0</v>
      </c>
    </row>
    <row r="272" spans="1:16" ht="21.75" customHeight="1" x14ac:dyDescent="0.45">
      <c r="A272" s="152"/>
      <c r="B272" s="32"/>
      <c r="C272" s="32"/>
      <c r="D272" s="32"/>
      <c r="E272" s="32"/>
      <c r="F272" s="32"/>
      <c r="G272" s="33" t="s">
        <v>18</v>
      </c>
      <c r="H272" s="153" t="s">
        <v>12</v>
      </c>
      <c r="I272" s="162"/>
      <c r="J272" s="162"/>
      <c r="K272" s="163"/>
      <c r="L272" s="87">
        <f t="shared" ref="L272:N272" si="86">L274+L278</f>
        <v>0</v>
      </c>
      <c r="M272" s="87">
        <f t="shared" si="86"/>
        <v>0</v>
      </c>
      <c r="N272" s="87">
        <f t="shared" si="86"/>
        <v>0</v>
      </c>
      <c r="O272" s="155">
        <f t="shared" si="84"/>
        <v>0</v>
      </c>
      <c r="P272" s="155">
        <f t="shared" si="85"/>
        <v>0</v>
      </c>
    </row>
    <row r="273" spans="1:16" ht="21.75" customHeight="1" x14ac:dyDescent="0.45">
      <c r="A273" s="152"/>
      <c r="B273" s="32"/>
      <c r="C273" s="32"/>
      <c r="D273" s="32"/>
      <c r="E273" s="32"/>
      <c r="F273" s="32"/>
      <c r="G273" s="33" t="s">
        <v>19</v>
      </c>
      <c r="H273" s="153" t="s">
        <v>12</v>
      </c>
      <c r="I273" s="162"/>
      <c r="J273" s="162"/>
      <c r="K273" s="163"/>
      <c r="L273" s="87">
        <f t="shared" ref="L273:N273" ca="1" si="87">L275+L279</f>
        <v>0</v>
      </c>
      <c r="M273" s="87">
        <f t="shared" ca="1" si="87"/>
        <v>0</v>
      </c>
      <c r="N273" s="87">
        <f t="shared" ca="1" si="87"/>
        <v>0</v>
      </c>
      <c r="O273" s="155">
        <f t="shared" ca="1" si="84"/>
        <v>0</v>
      </c>
      <c r="P273" s="155">
        <f t="shared" ca="1" si="85"/>
        <v>0</v>
      </c>
    </row>
    <row r="274" spans="1:16" ht="21.75" customHeight="1" x14ac:dyDescent="0.3">
      <c r="A274" s="156"/>
      <c r="B274" s="157"/>
      <c r="C274" s="157" t="s">
        <v>16</v>
      </c>
      <c r="D274" s="158" t="s">
        <v>38</v>
      </c>
      <c r="E274" s="159"/>
      <c r="F274" s="159"/>
      <c r="G274" s="160" t="s">
        <v>39</v>
      </c>
      <c r="H274" s="161" t="s">
        <v>12</v>
      </c>
      <c r="I274" s="162" t="s">
        <v>40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3">
      <c r="A275" s="156"/>
      <c r="B275" s="157"/>
      <c r="C275" s="157"/>
      <c r="D275" s="166"/>
      <c r="E275" s="159"/>
      <c r="F275" s="159" t="s">
        <v>40</v>
      </c>
      <c r="G275" s="160" t="s">
        <v>41</v>
      </c>
      <c r="H275" s="161" t="s">
        <v>12</v>
      </c>
      <c r="I275" s="162"/>
      <c r="J275" s="162"/>
      <c r="K275" s="163"/>
      <c r="L275" s="167">
        <f ca="1">L276+L277</f>
        <v>0</v>
      </c>
      <c r="M275" s="167">
        <f ca="1">IFERROR(__xludf.DUMMYFUNCTION("IMPORTRANGE(""https://docs.google.com/spreadsheets/d/1Yj_ptqi66GCucihVvJfMjLAmec39IyEx_6qawtMGysU/edit?usp=sharing"",""สบก!CK35"")"),0)</f>
        <v>0</v>
      </c>
      <c r="N275" s="168">
        <f ca="1">IFERROR(__xludf.DUMMYFUNCTION("IMPORTRANGE(""https://docs.google.com/spreadsheets/d/1Yj_ptqi66GCucihVvJfMjLAmec39IyEx_6qawtMGysU/edit?usp=sharing"",""สบก!CL35"")"),0)</f>
        <v>0</v>
      </c>
      <c r="O275" s="168">
        <f ca="1">IF(L275&gt;0,N275*100/L275,0)</f>
        <v>0</v>
      </c>
      <c r="P275" s="168">
        <f ca="1">IF(M275&gt;0,N275*100/M275,0)</f>
        <v>0</v>
      </c>
    </row>
    <row r="276" spans="1:16" ht="21.75" customHeight="1" x14ac:dyDescent="0.3">
      <c r="A276" s="156"/>
      <c r="B276" s="157"/>
      <c r="C276" s="157"/>
      <c r="D276" s="166"/>
      <c r="E276" s="159"/>
      <c r="F276" s="159"/>
      <c r="G276" s="169" t="s">
        <v>42</v>
      </c>
      <c r="H276" s="161" t="s">
        <v>12</v>
      </c>
      <c r="I276" s="162"/>
      <c r="J276" s="162"/>
      <c r="K276" s="163"/>
      <c r="L276" s="167">
        <f ca="1">IFERROR(__xludf.DUMMYFUNCTION("IMPORTRANGE(""https://docs.google.com/spreadsheets/d/1Yj_ptqi66GCucihVvJfMjLAmec39IyEx_6qawtMGysU/edit?usp=sharing"",""สบก!CG35"")"),0)</f>
        <v>0</v>
      </c>
      <c r="M276" s="167"/>
      <c r="N276" s="167"/>
      <c r="O276" s="168"/>
      <c r="P276" s="168"/>
    </row>
    <row r="277" spans="1:16" ht="21.75" customHeight="1" x14ac:dyDescent="0.3">
      <c r="A277" s="156"/>
      <c r="B277" s="157"/>
      <c r="C277" s="157"/>
      <c r="D277" s="166"/>
      <c r="E277" s="159"/>
      <c r="F277" s="159"/>
      <c r="G277" s="169" t="s">
        <v>43</v>
      </c>
      <c r="H277" s="161" t="s">
        <v>12</v>
      </c>
      <c r="I277" s="162"/>
      <c r="J277" s="162"/>
      <c r="K277" s="163"/>
      <c r="L277" s="167">
        <f ca="1">IFERROR(__xludf.DUMMYFUNCTION("IMPORTRANGE(""https://docs.google.com/spreadsheets/d/1Yj_ptqi66GCucihVvJfMjLAmec39IyEx_6qawtMGysU/edit?usp=sharing"",""สบก!CH35"")"),0)</f>
        <v>0</v>
      </c>
      <c r="M277" s="167"/>
      <c r="N277" s="167"/>
      <c r="O277" s="168"/>
      <c r="P277" s="168"/>
    </row>
    <row r="278" spans="1:16" ht="21.75" customHeight="1" x14ac:dyDescent="0.45">
      <c r="A278" s="170"/>
      <c r="B278" s="80"/>
      <c r="C278" s="81" t="s">
        <v>16</v>
      </c>
      <c r="D278" s="534" t="s">
        <v>23</v>
      </c>
      <c r="E278" s="530"/>
      <c r="F278" s="88"/>
      <c r="G278" s="82" t="s">
        <v>18</v>
      </c>
      <c r="H278" s="171" t="s">
        <v>12</v>
      </c>
      <c r="I278" s="162"/>
      <c r="J278" s="162"/>
      <c r="K278" s="163"/>
      <c r="L278" s="41">
        <v>0</v>
      </c>
      <c r="M278" s="41"/>
      <c r="N278" s="41"/>
      <c r="O278" s="41"/>
      <c r="P278" s="41"/>
    </row>
    <row r="279" spans="1:16" ht="21.75" customHeight="1" x14ac:dyDescent="0.45">
      <c r="A279" s="172"/>
      <c r="B279" s="91"/>
      <c r="C279" s="91"/>
      <c r="D279" s="173"/>
      <c r="E279" s="92"/>
      <c r="F279" s="92"/>
      <c r="G279" s="93" t="s">
        <v>19</v>
      </c>
      <c r="H279" s="174" t="s">
        <v>12</v>
      </c>
      <c r="I279" s="162"/>
      <c r="J279" s="162"/>
      <c r="K279" s="163"/>
      <c r="L279" s="49">
        <f ca="1">IFERROR(__xludf.DUMMYFUNCTION("IMPORTRANGE(""https://docs.google.com/spreadsheets/d/1Yj_ptqi66GCucihVvJfMjLAmec39IyEx_6qawtMGysU/edit?usp=sharing"",""สบก!CI35"")"),0)</f>
        <v>0</v>
      </c>
      <c r="M279" s="49"/>
      <c r="N279" s="49">
        <f ca="1">IFERROR(__xludf.DUMMYFUNCTION("IMPORTRANGE(""https://docs.google.com/spreadsheets/d/1Yj_ptqi66GCucihVvJfMjLAmec39IyEx_6qawtMGysU/edit?usp=sharing"",""สบก!CM35"")"),0)</f>
        <v>0</v>
      </c>
      <c r="O279" s="49">
        <f ca="1">IF(L279&gt;0,N279*100/L279,0)</f>
        <v>0</v>
      </c>
      <c r="P279" s="49"/>
    </row>
    <row r="280" spans="1:16" ht="21.75" customHeight="1" x14ac:dyDescent="0.3">
      <c r="A280" s="175"/>
      <c r="B280" s="176"/>
      <c r="C280" s="157" t="s">
        <v>16</v>
      </c>
      <c r="D280" s="177" t="s">
        <v>44</v>
      </c>
      <c r="E280" s="178"/>
      <c r="F280" s="178"/>
      <c r="G280" s="179"/>
      <c r="H280" s="180"/>
      <c r="I280" s="162"/>
      <c r="J280" s="162"/>
      <c r="K280" s="163"/>
      <c r="L280" s="181"/>
      <c r="M280" s="181"/>
      <c r="N280" s="181"/>
      <c r="O280" s="181"/>
      <c r="P280" s="181"/>
    </row>
    <row r="281" spans="1:16" ht="21.75" customHeight="1" x14ac:dyDescent="0.3">
      <c r="A281" s="175"/>
      <c r="B281" s="176"/>
      <c r="C281" s="176"/>
      <c r="D281" s="182">
        <v>1</v>
      </c>
      <c r="E281" s="183" t="s">
        <v>45</v>
      </c>
      <c r="F281" s="184"/>
      <c r="G281" s="185"/>
      <c r="H281" s="186"/>
      <c r="I281" s="187"/>
      <c r="J281" s="188">
        <f ca="1">IFERROR(__xludf.DUMMYFUNCTION("IMPORTRANGE(""https://docs.google.com/spreadsheets/d/11923uPwbBZFjjGgGUA6NLw09EwE0CqkOc4q9oUmW1yo/edit?usp=sharing"",""อุตรดิตถ์!J191"")"),0)</f>
        <v>0</v>
      </c>
      <c r="K281" s="163"/>
      <c r="L281" s="181"/>
      <c r="M281" s="181"/>
      <c r="N281" s="181"/>
      <c r="O281" s="181"/>
      <c r="P281" s="181"/>
    </row>
    <row r="282" spans="1:16" ht="21.75" customHeight="1" x14ac:dyDescent="0.3">
      <c r="A282" s="175"/>
      <c r="B282" s="176"/>
      <c r="C282" s="176"/>
      <c r="D282" s="189">
        <v>2</v>
      </c>
      <c r="E282" s="190" t="s">
        <v>46</v>
      </c>
      <c r="F282" s="191"/>
      <c r="G282" s="192"/>
      <c r="H282" s="186"/>
      <c r="I282" s="187"/>
      <c r="J282" s="197">
        <f ca="1">IFERROR(__xludf.DUMMYFUNCTION("IMPORTRANGE(""https://docs.google.com/spreadsheets/d/11923uPwbBZFjjGgGUA6NLw09EwE0CqkOc4q9oUmW1yo/edit?usp=sharing"",""อุตรดิตถ์!J192"")"),0)</f>
        <v>0</v>
      </c>
      <c r="K282" s="163"/>
      <c r="L282" s="181"/>
      <c r="M282" s="181"/>
      <c r="N282" s="181"/>
      <c r="O282" s="181"/>
      <c r="P282" s="181"/>
    </row>
    <row r="283" spans="1:16" ht="21.75" customHeight="1" x14ac:dyDescent="0.3">
      <c r="A283" s="175"/>
      <c r="B283" s="176"/>
      <c r="C283" s="176"/>
      <c r="D283" s="193"/>
      <c r="E283" s="194" t="s">
        <v>47</v>
      </c>
      <c r="F283" s="195"/>
      <c r="G283" s="196"/>
      <c r="H283" s="186"/>
      <c r="I283" s="187"/>
      <c r="J283" s="197">
        <f ca="1">IFERROR(__xludf.DUMMYFUNCTION("IMPORTRANGE(""https://docs.google.com/spreadsheets/d/11923uPwbBZFjjGgGUA6NLw09EwE0CqkOc4q9oUmW1yo/edit?usp=sharing"",""อุตรดิตถ์!J193"")"),0)</f>
        <v>0</v>
      </c>
      <c r="K283" s="163"/>
      <c r="L283" s="181"/>
      <c r="M283" s="181"/>
      <c r="N283" s="181"/>
      <c r="O283" s="181"/>
      <c r="P283" s="181"/>
    </row>
    <row r="284" spans="1:16" ht="21.75" customHeight="1" x14ac:dyDescent="0.3">
      <c r="A284" s="175"/>
      <c r="B284" s="176"/>
      <c r="C284" s="176"/>
      <c r="D284" s="193"/>
      <c r="E284" s="194" t="s">
        <v>48</v>
      </c>
      <c r="F284" s="195"/>
      <c r="G284" s="196"/>
      <c r="H284" s="186"/>
      <c r="I284" s="187"/>
      <c r="J284" s="197">
        <f ca="1">IFERROR(__xludf.DUMMYFUNCTION("IMPORTRANGE(""https://docs.google.com/spreadsheets/d/11923uPwbBZFjjGgGUA6NLw09EwE0CqkOc4q9oUmW1yo/edit?usp=sharing"",""อุตรดิตถ์!J194"")"),0)</f>
        <v>0</v>
      </c>
      <c r="K284" s="163"/>
      <c r="L284" s="181"/>
      <c r="M284" s="181"/>
      <c r="N284" s="181"/>
      <c r="O284" s="181"/>
      <c r="P284" s="181"/>
    </row>
    <row r="285" spans="1:16" ht="21.75" customHeight="1" x14ac:dyDescent="0.3">
      <c r="A285" s="175"/>
      <c r="B285" s="176"/>
      <c r="C285" s="176"/>
      <c r="D285" s="193"/>
      <c r="E285" s="195"/>
      <c r="F285" s="194" t="s">
        <v>110</v>
      </c>
      <c r="G285" s="196"/>
      <c r="H285" s="186" t="s">
        <v>37</v>
      </c>
      <c r="I285" s="187">
        <f ca="1">IFERROR(__xludf.DUMMYFUNCTION("IMPORTRANGE(""https://docs.google.com/spreadsheets/d/11923uPwbBZFjjGgGUA6NLw09EwE0CqkOc4q9oUmW1yo/edit?usp=sharing"",""อุตรดิตถ์!I195"")"),0)</f>
        <v>0</v>
      </c>
      <c r="J285" s="188">
        <f ca="1">IFERROR(__xludf.DUMMYFUNCTION("IMPORTRANGE(""https://docs.google.com/spreadsheets/d/11923uPwbBZFjjGgGUA6NLw09EwE0CqkOc4q9oUmW1yo/edit?usp=sharing"",""อุตรดิตถ์!J195"")"),0)</f>
        <v>0</v>
      </c>
      <c r="K285" s="163">
        <f ca="1">IF(I285&gt;0,J285*100/I285,0)</f>
        <v>0</v>
      </c>
      <c r="L285" s="181"/>
      <c r="M285" s="181"/>
      <c r="N285" s="181"/>
      <c r="O285" s="181"/>
      <c r="P285" s="181"/>
    </row>
    <row r="286" spans="1:16" ht="21.75" customHeight="1" x14ac:dyDescent="0.3">
      <c r="A286" s="175"/>
      <c r="B286" s="176"/>
      <c r="C286" s="176"/>
      <c r="D286" s="193"/>
      <c r="E286" s="194" t="s">
        <v>54</v>
      </c>
      <c r="F286" s="195"/>
      <c r="G286" s="196"/>
      <c r="H286" s="186"/>
      <c r="I286" s="187"/>
      <c r="J286" s="197">
        <f ca="1">IFERROR(__xludf.DUMMYFUNCTION("IMPORTRANGE(""https://docs.google.com/spreadsheets/d/11923uPwbBZFjjGgGUA6NLw09EwE0CqkOc4q9oUmW1yo/edit?usp=sharing"",""อุตรดิตถ์!J196"")"),0)</f>
        <v>0</v>
      </c>
      <c r="K286" s="163"/>
      <c r="L286" s="181"/>
      <c r="M286" s="181"/>
      <c r="N286" s="181"/>
      <c r="O286" s="181"/>
      <c r="P286" s="181"/>
    </row>
    <row r="287" spans="1:16" ht="21.75" customHeight="1" x14ac:dyDescent="0.3">
      <c r="A287" s="175"/>
      <c r="B287" s="176"/>
      <c r="C287" s="176"/>
      <c r="D287" s="205">
        <v>3</v>
      </c>
      <c r="E287" s="206" t="s">
        <v>55</v>
      </c>
      <c r="F287" s="207"/>
      <c r="G287" s="208"/>
      <c r="H287" s="186"/>
      <c r="I287" s="187"/>
      <c r="J287" s="209">
        <f ca="1">IFERROR(__xludf.DUMMYFUNCTION("IMPORTRANGE(""https://docs.google.com/spreadsheets/d/11923uPwbBZFjjGgGUA6NLw09EwE0CqkOc4q9oUmW1yo/edit?usp=sharing"",""อุตรดิตถ์!J197"")"),0)</f>
        <v>0</v>
      </c>
      <c r="K287" s="163"/>
      <c r="L287" s="181"/>
      <c r="M287" s="181"/>
      <c r="N287" s="181"/>
      <c r="O287" s="181"/>
      <c r="P287" s="181"/>
    </row>
    <row r="288" spans="1:16" ht="21.75" customHeight="1" x14ac:dyDescent="0.3">
      <c r="A288" s="302" t="s">
        <v>111</v>
      </c>
      <c r="B288" s="303"/>
      <c r="C288" s="303"/>
      <c r="D288" s="304"/>
      <c r="E288" s="303"/>
      <c r="F288" s="303"/>
      <c r="G288" s="317"/>
      <c r="H288" s="318"/>
      <c r="I288" s="319"/>
      <c r="J288" s="319"/>
      <c r="K288" s="320"/>
      <c r="L288" s="320"/>
      <c r="M288" s="320"/>
      <c r="N288" s="320"/>
      <c r="O288" s="309"/>
      <c r="P288" s="309"/>
    </row>
    <row r="289" spans="1:16" ht="21.75" customHeight="1" x14ac:dyDescent="0.3">
      <c r="A289" s="321"/>
      <c r="B289" s="311" t="s">
        <v>112</v>
      </c>
      <c r="C289" s="322"/>
      <c r="D289" s="323"/>
      <c r="E289" s="311"/>
      <c r="F289" s="311"/>
      <c r="G289" s="312"/>
      <c r="H289" s="313" t="s">
        <v>37</v>
      </c>
      <c r="I289" s="314">
        <f ca="1">IFERROR(__xludf.DUMMYFUNCTION("IMPORTRANGE(""https://docs.google.com/spreadsheets/d/11923uPwbBZFjjGgGUA6NLw09EwE0CqkOc4q9oUmW1yo/edit?usp=sharing"",""อุตรดิตถ์!I199"")"),0)</f>
        <v>0</v>
      </c>
      <c r="J289" s="314">
        <f ca="1">IFERROR(__xludf.DUMMYFUNCTION("IMPORTRANGE(""https://docs.google.com/spreadsheets/d/11923uPwbBZFjjGgGUA6NLw09EwE0CqkOc4q9oUmW1yo/edit?usp=sharing"",""อุตรดิตถ์!J199"")"),0)</f>
        <v>0</v>
      </c>
      <c r="K289" s="315">
        <f ca="1">IF(I289&gt;0,J289*100/I289,0)</f>
        <v>0</v>
      </c>
      <c r="L289" s="316"/>
      <c r="M289" s="316"/>
      <c r="N289" s="316"/>
      <c r="O289" s="315"/>
      <c r="P289" s="315"/>
    </row>
    <row r="290" spans="1:16" ht="21.75" customHeight="1" x14ac:dyDescent="0.45">
      <c r="A290" s="145"/>
      <c r="B290" s="146"/>
      <c r="C290" s="147" t="s">
        <v>16</v>
      </c>
      <c r="D290" s="537" t="s">
        <v>17</v>
      </c>
      <c r="E290" s="528"/>
      <c r="F290" s="528"/>
      <c r="G290" s="528"/>
      <c r="H290" s="148" t="s">
        <v>12</v>
      </c>
      <c r="I290" s="187"/>
      <c r="J290" s="187"/>
      <c r="K290" s="223"/>
      <c r="L290" s="151">
        <f t="shared" ref="L290:N290" ca="1" si="88">L291+L292</f>
        <v>0</v>
      </c>
      <c r="M290" s="151">
        <f t="shared" ca="1" si="88"/>
        <v>0</v>
      </c>
      <c r="N290" s="151">
        <f t="shared" ca="1" si="88"/>
        <v>0</v>
      </c>
      <c r="O290" s="150">
        <f t="shared" ref="O290:O292" ca="1" si="89">IF(L290&gt;0,N290*100/L290,0)</f>
        <v>0</v>
      </c>
      <c r="P290" s="150">
        <f t="shared" ref="P290:P292" ca="1" si="90">IF(M290&gt;0,N290*100/M290,0)</f>
        <v>0</v>
      </c>
    </row>
    <row r="291" spans="1:16" ht="21.75" customHeight="1" x14ac:dyDescent="0.45">
      <c r="A291" s="152"/>
      <c r="B291" s="32"/>
      <c r="C291" s="32"/>
      <c r="D291" s="32"/>
      <c r="E291" s="32"/>
      <c r="F291" s="32"/>
      <c r="G291" s="33" t="s">
        <v>18</v>
      </c>
      <c r="H291" s="153" t="s">
        <v>12</v>
      </c>
      <c r="I291" s="187"/>
      <c r="J291" s="187"/>
      <c r="K291" s="223"/>
      <c r="L291" s="87">
        <f t="shared" ref="L291:N291" si="91">L293+L297</f>
        <v>0</v>
      </c>
      <c r="M291" s="87">
        <f t="shared" si="91"/>
        <v>0</v>
      </c>
      <c r="N291" s="87">
        <f t="shared" si="91"/>
        <v>0</v>
      </c>
      <c r="O291" s="155">
        <f t="shared" si="89"/>
        <v>0</v>
      </c>
      <c r="P291" s="155">
        <f t="shared" si="90"/>
        <v>0</v>
      </c>
    </row>
    <row r="292" spans="1:16" ht="21.75" customHeight="1" x14ac:dyDescent="0.45">
      <c r="A292" s="152"/>
      <c r="B292" s="32"/>
      <c r="C292" s="32"/>
      <c r="D292" s="32"/>
      <c r="E292" s="32"/>
      <c r="F292" s="32"/>
      <c r="G292" s="33" t="s">
        <v>19</v>
      </c>
      <c r="H292" s="153" t="s">
        <v>12</v>
      </c>
      <c r="I292" s="187"/>
      <c r="J292" s="187"/>
      <c r="K292" s="223"/>
      <c r="L292" s="87">
        <f t="shared" ref="L292:N292" ca="1" si="92">L294+L298</f>
        <v>0</v>
      </c>
      <c r="M292" s="87">
        <f t="shared" ca="1" si="92"/>
        <v>0</v>
      </c>
      <c r="N292" s="87">
        <f t="shared" ca="1" si="92"/>
        <v>0</v>
      </c>
      <c r="O292" s="155">
        <f t="shared" ca="1" si="89"/>
        <v>0</v>
      </c>
      <c r="P292" s="155">
        <f t="shared" ca="1" si="90"/>
        <v>0</v>
      </c>
    </row>
    <row r="293" spans="1:16" ht="21.75" customHeight="1" x14ac:dyDescent="0.3">
      <c r="A293" s="156"/>
      <c r="B293" s="157"/>
      <c r="C293" s="157" t="s">
        <v>16</v>
      </c>
      <c r="D293" s="158" t="s">
        <v>38</v>
      </c>
      <c r="E293" s="159"/>
      <c r="F293" s="159"/>
      <c r="G293" s="160" t="s">
        <v>39</v>
      </c>
      <c r="H293" s="161" t="s">
        <v>12</v>
      </c>
      <c r="I293" s="187" t="s">
        <v>40</v>
      </c>
      <c r="J293" s="187"/>
      <c r="K293" s="223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3">
      <c r="A294" s="156"/>
      <c r="B294" s="157"/>
      <c r="C294" s="157"/>
      <c r="D294" s="166"/>
      <c r="E294" s="159"/>
      <c r="F294" s="159" t="s">
        <v>40</v>
      </c>
      <c r="G294" s="160" t="s">
        <v>41</v>
      </c>
      <c r="H294" s="161" t="s">
        <v>12</v>
      </c>
      <c r="I294" s="187"/>
      <c r="J294" s="187"/>
      <c r="K294" s="223"/>
      <c r="L294" s="167">
        <f ca="1">L295+L296</f>
        <v>0</v>
      </c>
      <c r="M294" s="167">
        <f ca="1">IFERROR(__xludf.DUMMYFUNCTION("IMPORTRANGE(""https://docs.google.com/spreadsheets/d/1Yj_ptqi66GCucihVvJfMjLAmec39IyEx_6qawtMGysU/edit?usp=sharing"",""สบก!CT35"")"),0)</f>
        <v>0</v>
      </c>
      <c r="N294" s="168">
        <f ca="1">IFERROR(__xludf.DUMMYFUNCTION("IMPORTRANGE(""https://docs.google.com/spreadsheets/d/1Yj_ptqi66GCucihVvJfMjLAmec39IyEx_6qawtMGysU/edit?usp=sharing"",""สบก!CU35"")"),0)</f>
        <v>0</v>
      </c>
      <c r="O294" s="168">
        <f ca="1">IF(L294&gt;0,N294*100/L294,0)</f>
        <v>0</v>
      </c>
      <c r="P294" s="168">
        <f ca="1">IF(M294&gt;0,N294*100/M294,0)</f>
        <v>0</v>
      </c>
    </row>
    <row r="295" spans="1:16" ht="21.75" customHeight="1" x14ac:dyDescent="0.3">
      <c r="A295" s="156"/>
      <c r="B295" s="157"/>
      <c r="C295" s="157"/>
      <c r="D295" s="166"/>
      <c r="E295" s="159"/>
      <c r="F295" s="159"/>
      <c r="G295" s="169" t="s">
        <v>42</v>
      </c>
      <c r="H295" s="161" t="s">
        <v>12</v>
      </c>
      <c r="I295" s="187"/>
      <c r="J295" s="187"/>
      <c r="K295" s="223"/>
      <c r="L295" s="167">
        <f ca="1">IFERROR(__xludf.DUMMYFUNCTION("IMPORTRANGE(""https://docs.google.com/spreadsheets/d/1Yj_ptqi66GCucihVvJfMjLAmec39IyEx_6qawtMGysU/edit?usp=sharing"",""สบก!CP35"")"),0)</f>
        <v>0</v>
      </c>
      <c r="M295" s="167"/>
      <c r="N295" s="167"/>
      <c r="O295" s="168"/>
      <c r="P295" s="168"/>
    </row>
    <row r="296" spans="1:16" ht="21.75" customHeight="1" x14ac:dyDescent="0.3">
      <c r="A296" s="156"/>
      <c r="B296" s="157"/>
      <c r="C296" s="157"/>
      <c r="D296" s="166"/>
      <c r="E296" s="159"/>
      <c r="F296" s="159"/>
      <c r="G296" s="169" t="s">
        <v>43</v>
      </c>
      <c r="H296" s="161" t="s">
        <v>12</v>
      </c>
      <c r="I296" s="187"/>
      <c r="J296" s="187"/>
      <c r="K296" s="223"/>
      <c r="L296" s="167">
        <f ca="1">IFERROR(__xludf.DUMMYFUNCTION("IMPORTRANGE(""https://docs.google.com/spreadsheets/d/1Yj_ptqi66GCucihVvJfMjLAmec39IyEx_6qawtMGysU/edit?usp=sharing"",""สบก!CQ35"")"),0)</f>
        <v>0</v>
      </c>
      <c r="M296" s="167"/>
      <c r="N296" s="167"/>
      <c r="O296" s="168"/>
      <c r="P296" s="168"/>
    </row>
    <row r="297" spans="1:16" ht="21.75" customHeight="1" x14ac:dyDescent="0.45">
      <c r="A297" s="170"/>
      <c r="B297" s="80"/>
      <c r="C297" s="81" t="s">
        <v>16</v>
      </c>
      <c r="D297" s="534" t="s">
        <v>23</v>
      </c>
      <c r="E297" s="530"/>
      <c r="F297" s="88"/>
      <c r="G297" s="82" t="s">
        <v>18</v>
      </c>
      <c r="H297" s="171" t="s">
        <v>12</v>
      </c>
      <c r="I297" s="187"/>
      <c r="J297" s="187"/>
      <c r="K297" s="223"/>
      <c r="L297" s="41">
        <v>0</v>
      </c>
      <c r="M297" s="41"/>
      <c r="N297" s="41"/>
      <c r="O297" s="41"/>
      <c r="P297" s="41"/>
    </row>
    <row r="298" spans="1:16" ht="21.75" customHeight="1" x14ac:dyDescent="0.45">
      <c r="A298" s="172"/>
      <c r="B298" s="91"/>
      <c r="C298" s="91"/>
      <c r="D298" s="173"/>
      <c r="E298" s="92"/>
      <c r="F298" s="92"/>
      <c r="G298" s="93" t="s">
        <v>19</v>
      </c>
      <c r="H298" s="174" t="s">
        <v>12</v>
      </c>
      <c r="I298" s="187"/>
      <c r="J298" s="187"/>
      <c r="K298" s="223"/>
      <c r="L298" s="49">
        <f ca="1">IFERROR(__xludf.DUMMYFUNCTION("IMPORTRANGE(""https://docs.google.com/spreadsheets/d/1Yj_ptqi66GCucihVvJfMjLAmec39IyEx_6qawtMGysU/edit?usp=sharing"",""สบก!CR35"")"),0)</f>
        <v>0</v>
      </c>
      <c r="M298" s="49"/>
      <c r="N298" s="49">
        <f ca="1">IFERROR(__xludf.DUMMYFUNCTION("IMPORTRANGE(""https://docs.google.com/spreadsheets/d/1Yj_ptqi66GCucihVvJfMjLAmec39IyEx_6qawtMGysU/edit?usp=sharing"",""สบก!CV35"")"),0)</f>
        <v>0</v>
      </c>
      <c r="O298" s="49">
        <f ca="1">IF(L298&gt;0,N298*100/L298,0)</f>
        <v>0</v>
      </c>
      <c r="P298" s="49"/>
    </row>
    <row r="299" spans="1:16" ht="21.75" customHeight="1" x14ac:dyDescent="0.3">
      <c r="A299" s="175"/>
      <c r="B299" s="176"/>
      <c r="C299" s="157" t="s">
        <v>16</v>
      </c>
      <c r="D299" s="177" t="s">
        <v>44</v>
      </c>
      <c r="E299" s="178"/>
      <c r="F299" s="178"/>
      <c r="G299" s="179"/>
      <c r="H299" s="180"/>
      <c r="I299" s="187"/>
      <c r="J299" s="187"/>
      <c r="K299" s="223"/>
      <c r="L299" s="168"/>
      <c r="M299" s="168"/>
      <c r="N299" s="168"/>
      <c r="O299" s="181"/>
      <c r="P299" s="181"/>
    </row>
    <row r="300" spans="1:16" ht="21.75" customHeight="1" x14ac:dyDescent="0.3">
      <c r="A300" s="175"/>
      <c r="B300" s="176"/>
      <c r="C300" s="176"/>
      <c r="D300" s="182">
        <v>1</v>
      </c>
      <c r="E300" s="183" t="s">
        <v>45</v>
      </c>
      <c r="F300" s="184"/>
      <c r="G300" s="185"/>
      <c r="H300" s="186"/>
      <c r="I300" s="187"/>
      <c r="J300" s="187">
        <f ca="1">IFERROR(__xludf.DUMMYFUNCTION("IMPORTRANGE(""https://docs.google.com/spreadsheets/d/11923uPwbBZFjjGgGUA6NLw09EwE0CqkOc4q9oUmW1yo/edit?usp=sharing"",""อุตรดิตถ์!J205"")"),0)</f>
        <v>0</v>
      </c>
      <c r="K300" s="223"/>
      <c r="L300" s="168"/>
      <c r="M300" s="168"/>
      <c r="N300" s="168"/>
      <c r="O300" s="181"/>
      <c r="P300" s="181"/>
    </row>
    <row r="301" spans="1:16" ht="21.75" customHeight="1" x14ac:dyDescent="0.3">
      <c r="A301" s="175"/>
      <c r="B301" s="176"/>
      <c r="C301" s="176"/>
      <c r="D301" s="189">
        <v>2</v>
      </c>
      <c r="E301" s="190" t="s">
        <v>46</v>
      </c>
      <c r="F301" s="191"/>
      <c r="G301" s="192"/>
      <c r="H301" s="186"/>
      <c r="I301" s="187"/>
      <c r="J301" s="187">
        <f ca="1">IFERROR(__xludf.DUMMYFUNCTION("IMPORTRANGE(""https://docs.google.com/spreadsheets/d/11923uPwbBZFjjGgGUA6NLw09EwE0CqkOc4q9oUmW1yo/edit?usp=sharing"",""อุตรดิตถ์!J206"")"),0)</f>
        <v>0</v>
      </c>
      <c r="K301" s="223"/>
      <c r="L301" s="168" t="s">
        <v>40</v>
      </c>
      <c r="M301" s="168"/>
      <c r="N301" s="168" t="s">
        <v>40</v>
      </c>
      <c r="O301" s="181"/>
      <c r="P301" s="181"/>
    </row>
    <row r="302" spans="1:16" ht="21.75" customHeight="1" x14ac:dyDescent="0.3">
      <c r="A302" s="175"/>
      <c r="B302" s="176"/>
      <c r="C302" s="176"/>
      <c r="D302" s="193"/>
      <c r="E302" s="194" t="s">
        <v>47</v>
      </c>
      <c r="F302" s="195"/>
      <c r="G302" s="196"/>
      <c r="H302" s="186"/>
      <c r="I302" s="187"/>
      <c r="J302" s="187">
        <f ca="1">IFERROR(__xludf.DUMMYFUNCTION("IMPORTRANGE(""https://docs.google.com/spreadsheets/d/11923uPwbBZFjjGgGUA6NLw09EwE0CqkOc4q9oUmW1yo/edit?usp=sharing"",""อุตรดิตถ์!J207"")"),0)</f>
        <v>0</v>
      </c>
      <c r="K302" s="223"/>
      <c r="L302" s="168"/>
      <c r="M302" s="168"/>
      <c r="N302" s="168"/>
      <c r="O302" s="181"/>
      <c r="P302" s="181"/>
    </row>
    <row r="303" spans="1:16" ht="21.75" customHeight="1" x14ac:dyDescent="0.3">
      <c r="A303" s="175"/>
      <c r="B303" s="176"/>
      <c r="C303" s="176"/>
      <c r="D303" s="193"/>
      <c r="E303" s="194" t="s">
        <v>48</v>
      </c>
      <c r="F303" s="195"/>
      <c r="G303" s="196"/>
      <c r="H303" s="186"/>
      <c r="I303" s="187"/>
      <c r="J303" s="187">
        <f ca="1">IFERROR(__xludf.DUMMYFUNCTION("IMPORTRANGE(""https://docs.google.com/spreadsheets/d/11923uPwbBZFjjGgGUA6NLw09EwE0CqkOc4q9oUmW1yo/edit?usp=sharing"",""อุตรดิตถ์!J208"")"),0)</f>
        <v>0</v>
      </c>
      <c r="K303" s="223"/>
      <c r="L303" s="168"/>
      <c r="M303" s="168"/>
      <c r="N303" s="168"/>
      <c r="O303" s="181"/>
      <c r="P303" s="181"/>
    </row>
    <row r="304" spans="1:16" ht="21.75" customHeight="1" x14ac:dyDescent="0.3">
      <c r="A304" s="175"/>
      <c r="B304" s="176"/>
      <c r="C304" s="176"/>
      <c r="D304" s="193"/>
      <c r="E304" s="198"/>
      <c r="F304" s="194" t="s">
        <v>113</v>
      </c>
      <c r="G304" s="196"/>
      <c r="H304" s="180" t="s">
        <v>37</v>
      </c>
      <c r="I304" s="187">
        <f ca="1">IFERROR(__xludf.DUMMYFUNCTION("IMPORTRANGE(""https://docs.google.com/spreadsheets/d/11923uPwbBZFjjGgGUA6NLw09EwE0CqkOc4q9oUmW1yo/edit?usp=sharing"",""อุตรดิตถ์!I209"")"),0)</f>
        <v>0</v>
      </c>
      <c r="J304" s="203">
        <f ca="1">IFERROR(__xludf.DUMMYFUNCTION("IMPORTRANGE(""https://docs.google.com/spreadsheets/d/11923uPwbBZFjjGgGUA6NLw09EwE0CqkOc4q9oUmW1yo/edit?usp=sharing"",""อุตรดิตถ์!J209"")"),0)</f>
        <v>0</v>
      </c>
      <c r="K304" s="223">
        <f ca="1">IF(I304&gt;0,J304*100/I304,0)</f>
        <v>0</v>
      </c>
      <c r="L304" s="168"/>
      <c r="M304" s="168"/>
      <c r="N304" s="168"/>
      <c r="O304" s="181"/>
      <c r="P304" s="181"/>
    </row>
    <row r="305" spans="1:16" ht="21.75" customHeight="1" x14ac:dyDescent="0.3">
      <c r="A305" s="175"/>
      <c r="B305" s="176"/>
      <c r="C305" s="176"/>
      <c r="D305" s="193"/>
      <c r="E305" s="198"/>
      <c r="F305" s="194" t="s">
        <v>114</v>
      </c>
      <c r="G305" s="196"/>
      <c r="H305" s="180"/>
      <c r="I305" s="187"/>
      <c r="J305" s="187"/>
      <c r="K305" s="223"/>
      <c r="L305" s="168"/>
      <c r="M305" s="168"/>
      <c r="N305" s="168"/>
      <c r="O305" s="181"/>
      <c r="P305" s="181"/>
    </row>
    <row r="306" spans="1:16" ht="21.75" customHeight="1" x14ac:dyDescent="0.3">
      <c r="A306" s="175"/>
      <c r="B306" s="176"/>
      <c r="C306" s="176"/>
      <c r="D306" s="193"/>
      <c r="E306" s="198"/>
      <c r="F306" s="195" t="s">
        <v>53</v>
      </c>
      <c r="G306" s="196"/>
      <c r="H306" s="180" t="s">
        <v>37</v>
      </c>
      <c r="I306" s="187">
        <f ca="1">IFERROR(__xludf.DUMMYFUNCTION("IMPORTRANGE(""https://docs.google.com/spreadsheets/d/11923uPwbBZFjjGgGUA6NLw09EwE0CqkOc4q9oUmW1yo/edit?usp=sharing"",""อุตรดิตถ์!I211"")"),0)</f>
        <v>0</v>
      </c>
      <c r="J306" s="203">
        <f ca="1">IFERROR(__xludf.DUMMYFUNCTION("IMPORTRANGE(""https://docs.google.com/spreadsheets/d/11923uPwbBZFjjGgGUA6NLw09EwE0CqkOc4q9oUmW1yo/edit?usp=sharing"",""อุตรดิตถ์!J211"")"),0)</f>
        <v>0</v>
      </c>
      <c r="K306" s="223">
        <f ca="1">IF(I306&gt;0,J306*100/I306,0)</f>
        <v>0</v>
      </c>
      <c r="L306" s="168"/>
      <c r="M306" s="168"/>
      <c r="N306" s="168"/>
      <c r="O306" s="181"/>
      <c r="P306" s="181"/>
    </row>
    <row r="307" spans="1:16" ht="21.75" customHeight="1" x14ac:dyDescent="0.3">
      <c r="A307" s="175"/>
      <c r="B307" s="176"/>
      <c r="C307" s="176"/>
      <c r="D307" s="193"/>
      <c r="E307" s="194" t="s">
        <v>54</v>
      </c>
      <c r="F307" s="195"/>
      <c r="G307" s="196"/>
      <c r="H307" s="186"/>
      <c r="I307" s="187"/>
      <c r="J307" s="187">
        <f ca="1">IFERROR(__xludf.DUMMYFUNCTION("IMPORTRANGE(""https://docs.google.com/spreadsheets/d/11923uPwbBZFjjGgGUA6NLw09EwE0CqkOc4q9oUmW1yo/edit?usp=sharing"",""อุตรดิตถ์!J212"")"),0)</f>
        <v>0</v>
      </c>
      <c r="K307" s="223"/>
      <c r="L307" s="168"/>
      <c r="M307" s="168"/>
      <c r="N307" s="168"/>
      <c r="O307" s="181"/>
      <c r="P307" s="181"/>
    </row>
    <row r="308" spans="1:16" ht="21.75" customHeight="1" x14ac:dyDescent="0.3">
      <c r="A308" s="175"/>
      <c r="B308" s="176"/>
      <c r="C308" s="176"/>
      <c r="D308" s="205">
        <v>3</v>
      </c>
      <c r="E308" s="206" t="s">
        <v>55</v>
      </c>
      <c r="F308" s="207"/>
      <c r="G308" s="208"/>
      <c r="H308" s="186"/>
      <c r="I308" s="187"/>
      <c r="J308" s="324">
        <f ca="1">IFERROR(__xludf.DUMMYFUNCTION("IMPORTRANGE(""https://docs.google.com/spreadsheets/d/11923uPwbBZFjjGgGUA6NLw09EwE0CqkOc4q9oUmW1yo/edit?usp=sharing"",""อุตรดิตถ์!J213"")"),0)</f>
        <v>0</v>
      </c>
      <c r="K308" s="223"/>
      <c r="L308" s="168"/>
      <c r="M308" s="168"/>
      <c r="N308" s="168"/>
      <c r="O308" s="181"/>
      <c r="P308" s="181"/>
    </row>
    <row r="309" spans="1:16" ht="21.75" customHeight="1" x14ac:dyDescent="0.3">
      <c r="A309" s="325"/>
      <c r="B309" s="326" t="s">
        <v>115</v>
      </c>
      <c r="C309" s="327"/>
      <c r="D309" s="328"/>
      <c r="E309" s="326"/>
      <c r="F309" s="326"/>
      <c r="G309" s="329"/>
      <c r="H309" s="330" t="s">
        <v>116</v>
      </c>
      <c r="I309" s="331">
        <f ca="1">IFERROR(__xludf.DUMMYFUNCTION("IMPORTRANGE(""https://docs.google.com/spreadsheets/d/11923uPwbBZFjjGgGUA6NLw09EwE0CqkOc4q9oUmW1yo/edit?usp=sharing"",""อุตรดิตถ์!I214"")"),0)</f>
        <v>0</v>
      </c>
      <c r="J309" s="331">
        <f ca="1">IFERROR(__xludf.DUMMYFUNCTION("IMPORTRANGE(""https://docs.google.com/spreadsheets/d/11923uPwbBZFjjGgGUA6NLw09EwE0CqkOc4q9oUmW1yo/edit?usp=sharing"",""อุตรดิตถ์!J214"")"),0)</f>
        <v>0</v>
      </c>
      <c r="K309" s="332">
        <f ca="1">IF(I309&gt;0,J309*100/I309,0)</f>
        <v>0</v>
      </c>
      <c r="L309" s="333"/>
      <c r="M309" s="333"/>
      <c r="N309" s="333"/>
      <c r="O309" s="332"/>
      <c r="P309" s="332"/>
    </row>
    <row r="310" spans="1:16" ht="21.75" customHeight="1" x14ac:dyDescent="0.45">
      <c r="A310" s="145"/>
      <c r="B310" s="146"/>
      <c r="C310" s="147" t="s">
        <v>16</v>
      </c>
      <c r="D310" s="537" t="s">
        <v>17</v>
      </c>
      <c r="E310" s="528"/>
      <c r="F310" s="528"/>
      <c r="G310" s="528"/>
      <c r="H310" s="148" t="s">
        <v>12</v>
      </c>
      <c r="I310" s="334"/>
      <c r="J310" s="334"/>
      <c r="K310" s="335"/>
      <c r="L310" s="151">
        <f t="shared" ref="L310:N310" ca="1" si="93">L311+L312</f>
        <v>0</v>
      </c>
      <c r="M310" s="151">
        <f t="shared" ca="1" si="93"/>
        <v>0</v>
      </c>
      <c r="N310" s="151">
        <f t="shared" ca="1" si="93"/>
        <v>0</v>
      </c>
      <c r="O310" s="150">
        <f t="shared" ref="O310:O312" ca="1" si="94">IF(L310&gt;0,N310*100/L310,0)</f>
        <v>0</v>
      </c>
      <c r="P310" s="150">
        <f t="shared" ref="P310:P312" ca="1" si="95">IF(M310&gt;0,N310*100/M310,0)</f>
        <v>0</v>
      </c>
    </row>
    <row r="311" spans="1:16" ht="21.75" customHeight="1" x14ac:dyDescent="0.45">
      <c r="A311" s="152"/>
      <c r="B311" s="32"/>
      <c r="C311" s="32"/>
      <c r="D311" s="32"/>
      <c r="E311" s="32"/>
      <c r="F311" s="32"/>
      <c r="G311" s="33" t="s">
        <v>18</v>
      </c>
      <c r="H311" s="153" t="s">
        <v>12</v>
      </c>
      <c r="I311" s="334"/>
      <c r="J311" s="334"/>
      <c r="K311" s="335"/>
      <c r="L311" s="87">
        <f t="shared" ref="L311:N311" si="96">L313+L317</f>
        <v>0</v>
      </c>
      <c r="M311" s="87">
        <f t="shared" si="96"/>
        <v>0</v>
      </c>
      <c r="N311" s="87">
        <f t="shared" si="96"/>
        <v>0</v>
      </c>
      <c r="O311" s="155">
        <f t="shared" si="94"/>
        <v>0</v>
      </c>
      <c r="P311" s="155">
        <f t="shared" si="95"/>
        <v>0</v>
      </c>
    </row>
    <row r="312" spans="1:16" ht="21.75" customHeight="1" x14ac:dyDescent="0.45">
      <c r="A312" s="152"/>
      <c r="B312" s="32"/>
      <c r="C312" s="32"/>
      <c r="D312" s="32"/>
      <c r="E312" s="32"/>
      <c r="F312" s="32"/>
      <c r="G312" s="33" t="s">
        <v>19</v>
      </c>
      <c r="H312" s="153" t="s">
        <v>12</v>
      </c>
      <c r="I312" s="334"/>
      <c r="J312" s="334"/>
      <c r="K312" s="335"/>
      <c r="L312" s="87">
        <f t="shared" ref="L312:N312" ca="1" si="97">L314+L318</f>
        <v>0</v>
      </c>
      <c r="M312" s="87">
        <f t="shared" ca="1" si="97"/>
        <v>0</v>
      </c>
      <c r="N312" s="87">
        <f t="shared" ca="1" si="97"/>
        <v>0</v>
      </c>
      <c r="O312" s="155">
        <f t="shared" ca="1" si="94"/>
        <v>0</v>
      </c>
      <c r="P312" s="155">
        <f t="shared" ca="1" si="95"/>
        <v>0</v>
      </c>
    </row>
    <row r="313" spans="1:16" ht="21.75" customHeight="1" x14ac:dyDescent="0.3">
      <c r="A313" s="156"/>
      <c r="B313" s="157"/>
      <c r="C313" s="157" t="s">
        <v>16</v>
      </c>
      <c r="D313" s="158" t="s">
        <v>38</v>
      </c>
      <c r="E313" s="159"/>
      <c r="F313" s="159"/>
      <c r="G313" s="160" t="s">
        <v>39</v>
      </c>
      <c r="H313" s="161" t="s">
        <v>12</v>
      </c>
      <c r="I313" s="162" t="s">
        <v>40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3">
      <c r="A314" s="156"/>
      <c r="B314" s="157"/>
      <c r="C314" s="157"/>
      <c r="D314" s="166"/>
      <c r="E314" s="159"/>
      <c r="F314" s="159" t="s">
        <v>40</v>
      </c>
      <c r="G314" s="160" t="s">
        <v>41</v>
      </c>
      <c r="H314" s="161" t="s">
        <v>12</v>
      </c>
      <c r="I314" s="162"/>
      <c r="J314" s="162"/>
      <c r="K314" s="163"/>
      <c r="L314" s="167">
        <f ca="1">L315+L316</f>
        <v>0</v>
      </c>
      <c r="M314" s="167">
        <f ca="1">IFERROR(__xludf.DUMMYFUNCTION("IMPORTRANGE(""https://docs.google.com/spreadsheets/d/1Yj_ptqi66GCucihVvJfMjLAmec39IyEx_6qawtMGysU/edit?usp=sharing"",""สบก!DC35"")"),0)</f>
        <v>0</v>
      </c>
      <c r="N314" s="168">
        <f ca="1">IFERROR(__xludf.DUMMYFUNCTION("IMPORTRANGE(""https://docs.google.com/spreadsheets/d/1Yj_ptqi66GCucihVvJfMjLAmec39IyEx_6qawtMGysU/edit?usp=sharing"",""สบก!DD35"")"),0)</f>
        <v>0</v>
      </c>
      <c r="O314" s="168">
        <f ca="1">IF(L314&gt;0,N314*100/L314,0)</f>
        <v>0</v>
      </c>
      <c r="P314" s="168">
        <f ca="1">IF(M314&gt;0,N314*100/M314,0)</f>
        <v>0</v>
      </c>
    </row>
    <row r="315" spans="1:16" ht="21.75" customHeight="1" x14ac:dyDescent="0.3">
      <c r="A315" s="156"/>
      <c r="B315" s="157"/>
      <c r="C315" s="157"/>
      <c r="D315" s="166"/>
      <c r="E315" s="159"/>
      <c r="F315" s="159"/>
      <c r="G315" s="169" t="s">
        <v>42</v>
      </c>
      <c r="H315" s="161" t="s">
        <v>12</v>
      </c>
      <c r="I315" s="162"/>
      <c r="J315" s="162"/>
      <c r="K315" s="163"/>
      <c r="L315" s="167">
        <f ca="1">IFERROR(__xludf.DUMMYFUNCTION("IMPORTRANGE(""https://docs.google.com/spreadsheets/d/1Yj_ptqi66GCucihVvJfMjLAmec39IyEx_6qawtMGysU/edit?usp=sharing"",""สบก!CY35"")"),0)</f>
        <v>0</v>
      </c>
      <c r="M315" s="167"/>
      <c r="N315" s="167"/>
      <c r="O315" s="168"/>
      <c r="P315" s="168"/>
    </row>
    <row r="316" spans="1:16" ht="21.75" customHeight="1" x14ac:dyDescent="0.3">
      <c r="A316" s="156"/>
      <c r="B316" s="157"/>
      <c r="C316" s="157"/>
      <c r="D316" s="166"/>
      <c r="E316" s="159"/>
      <c r="F316" s="159"/>
      <c r="G316" s="169" t="s">
        <v>43</v>
      </c>
      <c r="H316" s="161" t="s">
        <v>12</v>
      </c>
      <c r="I316" s="162"/>
      <c r="J316" s="187"/>
      <c r="K316" s="223"/>
      <c r="L316" s="167">
        <f ca="1">IFERROR(__xludf.DUMMYFUNCTION("IMPORTRANGE(""https://docs.google.com/spreadsheets/d/1Yj_ptqi66GCucihVvJfMjLAmec39IyEx_6qawtMGysU/edit?usp=sharing"",""สบก!CZ35"")"),0)</f>
        <v>0</v>
      </c>
      <c r="M316" s="167"/>
      <c r="N316" s="167"/>
      <c r="O316" s="168"/>
      <c r="P316" s="168"/>
    </row>
    <row r="317" spans="1:16" ht="21.75" customHeight="1" x14ac:dyDescent="0.45">
      <c r="A317" s="170"/>
      <c r="B317" s="80"/>
      <c r="C317" s="81" t="s">
        <v>16</v>
      </c>
      <c r="D317" s="534" t="s">
        <v>23</v>
      </c>
      <c r="E317" s="530"/>
      <c r="F317" s="88"/>
      <c r="G317" s="82" t="s">
        <v>18</v>
      </c>
      <c r="H317" s="171" t="s">
        <v>12</v>
      </c>
      <c r="I317" s="162"/>
      <c r="J317" s="187"/>
      <c r="K317" s="223"/>
      <c r="L317" s="41">
        <v>0</v>
      </c>
      <c r="M317" s="41"/>
      <c r="N317" s="41"/>
      <c r="O317" s="41"/>
      <c r="P317" s="41"/>
    </row>
    <row r="318" spans="1:16" ht="21.75" customHeight="1" x14ac:dyDescent="0.45">
      <c r="A318" s="172"/>
      <c r="B318" s="91"/>
      <c r="C318" s="91"/>
      <c r="D318" s="173"/>
      <c r="E318" s="92"/>
      <c r="F318" s="92"/>
      <c r="G318" s="93" t="s">
        <v>19</v>
      </c>
      <c r="H318" s="174" t="s">
        <v>12</v>
      </c>
      <c r="I318" s="162"/>
      <c r="J318" s="187"/>
      <c r="K318" s="223"/>
      <c r="L318" s="49">
        <f ca="1">IFERROR(__xludf.DUMMYFUNCTION("IMPORTRANGE(""https://docs.google.com/spreadsheets/d/1Yj_ptqi66GCucihVvJfMjLAmec39IyEx_6qawtMGysU/edit?usp=sharing"",""สบก!DA35"")"),0)</f>
        <v>0</v>
      </c>
      <c r="M318" s="49"/>
      <c r="N318" s="49">
        <f ca="1">IFERROR(__xludf.DUMMYFUNCTION("IMPORTRANGE(""https://docs.google.com/spreadsheets/d/1Yj_ptqi66GCucihVvJfMjLAmec39IyEx_6qawtMGysU/edit?usp=sharing"",""สบก!DE35"")"),0)</f>
        <v>0</v>
      </c>
      <c r="O318" s="49">
        <f ca="1">IF(L318&gt;0,N318*100/L318,0)</f>
        <v>0</v>
      </c>
      <c r="P318" s="49"/>
    </row>
    <row r="319" spans="1:16" ht="21.75" customHeight="1" x14ac:dyDescent="0.3">
      <c r="A319" s="175"/>
      <c r="B319" s="176"/>
      <c r="C319" s="157" t="s">
        <v>16</v>
      </c>
      <c r="D319" s="177" t="s">
        <v>44</v>
      </c>
      <c r="E319" s="178"/>
      <c r="F319" s="178"/>
      <c r="G319" s="179"/>
      <c r="H319" s="180"/>
      <c r="I319" s="162"/>
      <c r="J319" s="187"/>
      <c r="K319" s="223"/>
      <c r="L319" s="168"/>
      <c r="M319" s="168"/>
      <c r="N319" s="168"/>
      <c r="O319" s="181"/>
      <c r="P319" s="181"/>
    </row>
    <row r="320" spans="1:16" ht="21.75" customHeight="1" x14ac:dyDescent="0.3">
      <c r="A320" s="175"/>
      <c r="B320" s="176"/>
      <c r="C320" s="176"/>
      <c r="D320" s="182">
        <v>1</v>
      </c>
      <c r="E320" s="183" t="s">
        <v>45</v>
      </c>
      <c r="F320" s="184"/>
      <c r="G320" s="185"/>
      <c r="H320" s="186"/>
      <c r="I320" s="187"/>
      <c r="J320" s="187">
        <f ca="1">IFERROR(__xludf.DUMMYFUNCTION("IMPORTRANGE(""https://docs.google.com/spreadsheets/d/11923uPwbBZFjjGgGUA6NLw09EwE0CqkOc4q9oUmW1yo/edit?usp=sharing"",""อุตรดิตถ์!J220"")"),0)</f>
        <v>0</v>
      </c>
      <c r="K320" s="223"/>
      <c r="L320" s="168"/>
      <c r="M320" s="168"/>
      <c r="N320" s="168"/>
      <c r="O320" s="181"/>
      <c r="P320" s="181"/>
    </row>
    <row r="321" spans="1:16" ht="21.75" customHeight="1" x14ac:dyDescent="0.3">
      <c r="A321" s="175"/>
      <c r="B321" s="176"/>
      <c r="C321" s="176"/>
      <c r="D321" s="189">
        <v>2</v>
      </c>
      <c r="E321" s="190" t="s">
        <v>46</v>
      </c>
      <c r="F321" s="191"/>
      <c r="G321" s="192"/>
      <c r="H321" s="186"/>
      <c r="I321" s="187"/>
      <c r="J321" s="187">
        <f ca="1">IFERROR(__xludf.DUMMYFUNCTION("IMPORTRANGE(""https://docs.google.com/spreadsheets/d/11923uPwbBZFjjGgGUA6NLw09EwE0CqkOc4q9oUmW1yo/edit?usp=sharing"",""อุตรดิตถ์!J221"")"),0)</f>
        <v>0</v>
      </c>
      <c r="K321" s="223"/>
      <c r="L321" s="168" t="s">
        <v>40</v>
      </c>
      <c r="M321" s="168"/>
      <c r="N321" s="168" t="s">
        <v>40</v>
      </c>
      <c r="O321" s="181"/>
      <c r="P321" s="181"/>
    </row>
    <row r="322" spans="1:16" ht="21.75" customHeight="1" x14ac:dyDescent="0.3">
      <c r="A322" s="175"/>
      <c r="B322" s="176"/>
      <c r="C322" s="176"/>
      <c r="D322" s="193"/>
      <c r="E322" s="194" t="s">
        <v>47</v>
      </c>
      <c r="F322" s="195"/>
      <c r="G322" s="196"/>
      <c r="H322" s="186"/>
      <c r="I322" s="187"/>
      <c r="J322" s="187">
        <f ca="1">IFERROR(__xludf.DUMMYFUNCTION("IMPORTRANGE(""https://docs.google.com/spreadsheets/d/11923uPwbBZFjjGgGUA6NLw09EwE0CqkOc4q9oUmW1yo/edit?usp=sharing"",""อุตรดิตถ์!J222"")"),0)</f>
        <v>0</v>
      </c>
      <c r="K322" s="223"/>
      <c r="L322" s="168"/>
      <c r="M322" s="168"/>
      <c r="N322" s="168"/>
      <c r="O322" s="181"/>
      <c r="P322" s="181"/>
    </row>
    <row r="323" spans="1:16" ht="21.75" customHeight="1" x14ac:dyDescent="0.3">
      <c r="A323" s="175"/>
      <c r="B323" s="176"/>
      <c r="C323" s="176"/>
      <c r="D323" s="193"/>
      <c r="E323" s="194" t="s">
        <v>48</v>
      </c>
      <c r="F323" s="195"/>
      <c r="G323" s="196"/>
      <c r="H323" s="186"/>
      <c r="I323" s="187"/>
      <c r="J323" s="187">
        <f ca="1">IFERROR(__xludf.DUMMYFUNCTION("IMPORTRANGE(""https://docs.google.com/spreadsheets/d/11923uPwbBZFjjGgGUA6NLw09EwE0CqkOc4q9oUmW1yo/edit?usp=sharing"",""อุตรดิตถ์!J223"")"),0)</f>
        <v>0</v>
      </c>
      <c r="K323" s="223"/>
      <c r="L323" s="168"/>
      <c r="M323" s="168"/>
      <c r="N323" s="168"/>
      <c r="O323" s="181"/>
      <c r="P323" s="181"/>
    </row>
    <row r="324" spans="1:16" ht="21.75" customHeight="1" x14ac:dyDescent="0.3">
      <c r="A324" s="175"/>
      <c r="B324" s="176"/>
      <c r="C324" s="176"/>
      <c r="D324" s="193"/>
      <c r="E324" s="198"/>
      <c r="F324" s="194" t="s">
        <v>117</v>
      </c>
      <c r="G324" s="196"/>
      <c r="H324" s="186" t="s">
        <v>116</v>
      </c>
      <c r="I324" s="187">
        <f ca="1">IFERROR(__xludf.DUMMYFUNCTION("IMPORTRANGE(""https://docs.google.com/spreadsheets/d/11923uPwbBZFjjGgGUA6NLw09EwE0CqkOc4q9oUmW1yo/edit?usp=sharing"",""อุตรดิตถ์!I224"")"),0)</f>
        <v>0</v>
      </c>
      <c r="J324" s="203">
        <f ca="1">IFERROR(__xludf.DUMMYFUNCTION("IMPORTRANGE(""https://docs.google.com/spreadsheets/d/11923uPwbBZFjjGgGUA6NLw09EwE0CqkOc4q9oUmW1yo/edit?usp=sharing"",""อุตรดิตถ์!J224"")"),0)</f>
        <v>0</v>
      </c>
      <c r="K324" s="223">
        <f ca="1">IF(I324&gt;0,J324*100/I324,0)</f>
        <v>0</v>
      </c>
      <c r="L324" s="168"/>
      <c r="M324" s="168"/>
      <c r="N324" s="168"/>
      <c r="O324" s="181"/>
      <c r="P324" s="181"/>
    </row>
    <row r="325" spans="1:16" ht="21.75" customHeight="1" x14ac:dyDescent="0.3">
      <c r="A325" s="175"/>
      <c r="B325" s="176"/>
      <c r="C325" s="176"/>
      <c r="D325" s="193"/>
      <c r="E325" s="194" t="s">
        <v>54</v>
      </c>
      <c r="F325" s="195"/>
      <c r="G325" s="196"/>
      <c r="H325" s="186"/>
      <c r="I325" s="187"/>
      <c r="J325" s="187">
        <f ca="1">IFERROR(__xludf.DUMMYFUNCTION("IMPORTRANGE(""https://docs.google.com/spreadsheets/d/11923uPwbBZFjjGgGUA6NLw09EwE0CqkOc4q9oUmW1yo/edit?usp=sharing"",""อุตรดิตถ์!J225"")"),0)</f>
        <v>0</v>
      </c>
      <c r="K325" s="223"/>
      <c r="L325" s="168"/>
      <c r="M325" s="168"/>
      <c r="N325" s="168"/>
      <c r="O325" s="181"/>
      <c r="P325" s="181"/>
    </row>
    <row r="326" spans="1:16" ht="21.75" customHeight="1" x14ac:dyDescent="0.3">
      <c r="A326" s="175"/>
      <c r="B326" s="176"/>
      <c r="C326" s="176"/>
      <c r="D326" s="205">
        <v>3</v>
      </c>
      <c r="E326" s="206" t="s">
        <v>55</v>
      </c>
      <c r="F326" s="207"/>
      <c r="G326" s="208"/>
      <c r="H326" s="186"/>
      <c r="I326" s="187"/>
      <c r="J326" s="226">
        <f ca="1">IFERROR(__xludf.DUMMYFUNCTION("IMPORTRANGE(""https://docs.google.com/spreadsheets/d/11923uPwbBZFjjGgGUA6NLw09EwE0CqkOc4q9oUmW1yo/edit?usp=sharing"",""อุตรดิตถ์!J226"")"),0)</f>
        <v>0</v>
      </c>
      <c r="K326" s="223"/>
      <c r="L326" s="168"/>
      <c r="M326" s="168"/>
      <c r="N326" s="168"/>
      <c r="O326" s="181"/>
      <c r="P326" s="181"/>
    </row>
    <row r="327" spans="1:16" ht="21.75" customHeight="1" x14ac:dyDescent="0.3">
      <c r="A327" s="302" t="s">
        <v>118</v>
      </c>
      <c r="B327" s="303"/>
      <c r="C327" s="303"/>
      <c r="D327" s="304"/>
      <c r="E327" s="303"/>
      <c r="F327" s="303"/>
      <c r="G327" s="317"/>
      <c r="H327" s="306"/>
      <c r="I327" s="307"/>
      <c r="J327" s="307"/>
      <c r="K327" s="308"/>
      <c r="L327" s="308"/>
      <c r="M327" s="308"/>
      <c r="N327" s="308"/>
      <c r="O327" s="309"/>
      <c r="P327" s="309"/>
    </row>
    <row r="328" spans="1:16" ht="21.75" customHeight="1" x14ac:dyDescent="0.3">
      <c r="A328" s="310"/>
      <c r="B328" s="336" t="s">
        <v>119</v>
      </c>
      <c r="C328" s="323"/>
      <c r="D328" s="311"/>
      <c r="E328" s="311"/>
      <c r="F328" s="311"/>
      <c r="G328" s="312"/>
      <c r="H328" s="313" t="s">
        <v>37</v>
      </c>
      <c r="I328" s="337">
        <f ca="1">IFERROR(__xludf.DUMMYFUNCTION("IMPORTRANGE(""https://docs.google.com/spreadsheets/d/11923uPwbBZFjjGgGUA6NLw09EwE0CqkOc4q9oUmW1yo/edit?usp=sharing"",""อุตรดิตถ์!I228"")"),170)</f>
        <v>170</v>
      </c>
      <c r="J328" s="337">
        <f ca="1">IFERROR(__xludf.DUMMYFUNCTION("IMPORTRANGE(""https://docs.google.com/spreadsheets/d/11923uPwbBZFjjGgGUA6NLw09EwE0CqkOc4q9oUmW1yo/edit?usp=sharing"",""อุตรดิตถ์!J228"")"),66)</f>
        <v>66</v>
      </c>
      <c r="K328" s="315">
        <f ca="1">IF(I328&gt;0,J328*100/I328,0)</f>
        <v>38.823529411764703</v>
      </c>
      <c r="L328" s="316"/>
      <c r="M328" s="316"/>
      <c r="N328" s="316"/>
      <c r="O328" s="315"/>
      <c r="P328" s="315"/>
    </row>
    <row r="329" spans="1:16" ht="21.75" customHeight="1" x14ac:dyDescent="0.45">
      <c r="A329" s="145"/>
      <c r="B329" s="146"/>
      <c r="C329" s="147" t="s">
        <v>16</v>
      </c>
      <c r="D329" s="537" t="s">
        <v>17</v>
      </c>
      <c r="E329" s="528"/>
      <c r="F329" s="528"/>
      <c r="G329" s="528"/>
      <c r="H329" s="148" t="s">
        <v>12</v>
      </c>
      <c r="I329" s="162"/>
      <c r="J329" s="162"/>
      <c r="K329" s="163"/>
      <c r="L329" s="151">
        <f t="shared" ref="L329:N329" ca="1" si="98">L330+L331</f>
        <v>906300</v>
      </c>
      <c r="M329" s="151">
        <f t="shared" ca="1" si="98"/>
        <v>467750</v>
      </c>
      <c r="N329" s="151">
        <f t="shared" ca="1" si="98"/>
        <v>388175</v>
      </c>
      <c r="O329" s="150">
        <f t="shared" ref="O329:O331" ca="1" si="99">IF(L329&gt;0,N329*100/L329,0)</f>
        <v>42.830740372944938</v>
      </c>
      <c r="P329" s="150">
        <f t="shared" ref="P329:P331" ca="1" si="100">IF(M329&gt;0,N329*100/M329,0)</f>
        <v>82.987707108498128</v>
      </c>
    </row>
    <row r="330" spans="1:16" ht="21.75" customHeight="1" x14ac:dyDescent="0.45">
      <c r="A330" s="152"/>
      <c r="B330" s="32"/>
      <c r="C330" s="32"/>
      <c r="D330" s="32"/>
      <c r="E330" s="32"/>
      <c r="F330" s="32"/>
      <c r="G330" s="33" t="s">
        <v>18</v>
      </c>
      <c r="H330" s="153" t="s">
        <v>12</v>
      </c>
      <c r="I330" s="162"/>
      <c r="J330" s="162"/>
      <c r="K330" s="163"/>
      <c r="L330" s="87">
        <f t="shared" ref="L330:N330" si="101">L332+L336</f>
        <v>0</v>
      </c>
      <c r="M330" s="87">
        <f t="shared" si="101"/>
        <v>0</v>
      </c>
      <c r="N330" s="87">
        <f t="shared" si="101"/>
        <v>0</v>
      </c>
      <c r="O330" s="155">
        <f t="shared" si="99"/>
        <v>0</v>
      </c>
      <c r="P330" s="155">
        <f t="shared" si="100"/>
        <v>0</v>
      </c>
    </row>
    <row r="331" spans="1:16" ht="21.75" customHeight="1" x14ac:dyDescent="0.45">
      <c r="A331" s="152"/>
      <c r="B331" s="32"/>
      <c r="C331" s="32"/>
      <c r="D331" s="32"/>
      <c r="E331" s="32"/>
      <c r="F331" s="32"/>
      <c r="G331" s="33" t="s">
        <v>19</v>
      </c>
      <c r="H331" s="153" t="s">
        <v>12</v>
      </c>
      <c r="I331" s="162"/>
      <c r="J331" s="162"/>
      <c r="K331" s="163"/>
      <c r="L331" s="87">
        <f t="shared" ref="L331:N331" ca="1" si="102">L333+L337</f>
        <v>906300</v>
      </c>
      <c r="M331" s="87">
        <f t="shared" ca="1" si="102"/>
        <v>467750</v>
      </c>
      <c r="N331" s="87">
        <f t="shared" ca="1" si="102"/>
        <v>388175</v>
      </c>
      <c r="O331" s="155">
        <f t="shared" ca="1" si="99"/>
        <v>42.830740372944938</v>
      </c>
      <c r="P331" s="155">
        <f t="shared" ca="1" si="100"/>
        <v>82.987707108498128</v>
      </c>
    </row>
    <row r="332" spans="1:16" ht="21.75" customHeight="1" x14ac:dyDescent="0.3">
      <c r="A332" s="156"/>
      <c r="B332" s="157"/>
      <c r="C332" s="157" t="s">
        <v>16</v>
      </c>
      <c r="D332" s="158" t="s">
        <v>38</v>
      </c>
      <c r="E332" s="159"/>
      <c r="F332" s="159"/>
      <c r="G332" s="160" t="s">
        <v>39</v>
      </c>
      <c r="H332" s="161" t="s">
        <v>12</v>
      </c>
      <c r="I332" s="162" t="s">
        <v>40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3">
      <c r="A333" s="156"/>
      <c r="B333" s="157"/>
      <c r="C333" s="157"/>
      <c r="D333" s="166"/>
      <c r="E333" s="159"/>
      <c r="F333" s="159" t="s">
        <v>40</v>
      </c>
      <c r="G333" s="160" t="s">
        <v>41</v>
      </c>
      <c r="H333" s="161" t="s">
        <v>12</v>
      </c>
      <c r="I333" s="162"/>
      <c r="J333" s="162"/>
      <c r="K333" s="163"/>
      <c r="L333" s="167">
        <f ca="1">L334+L335</f>
        <v>906300</v>
      </c>
      <c r="M333" s="167">
        <f ca="1">IFERROR(__xludf.DUMMYFUNCTION("IMPORTRANGE(""https://docs.google.com/spreadsheets/d/1Yj_ptqi66GCucihVvJfMjLAmec39IyEx_6qawtMGysU/edit?usp=sharing"",""สบก!DL35"")"),467750)</f>
        <v>467750</v>
      </c>
      <c r="N333" s="168">
        <f ca="1">IFERROR(__xludf.DUMMYFUNCTION("IMPORTRANGE(""https://docs.google.com/spreadsheets/d/1Yj_ptqi66GCucihVvJfMjLAmec39IyEx_6qawtMGysU/edit?usp=sharing"",""สบก!DM35"")"),388175)</f>
        <v>388175</v>
      </c>
      <c r="O333" s="168">
        <f ca="1">IF(L333&gt;0,N333*100/L333,0)</f>
        <v>42.830740372944938</v>
      </c>
      <c r="P333" s="168">
        <f ca="1">IF(M333&gt;0,N333*100/M333,0)</f>
        <v>82.987707108498128</v>
      </c>
    </row>
    <row r="334" spans="1:16" ht="21.75" customHeight="1" x14ac:dyDescent="0.3">
      <c r="A334" s="156"/>
      <c r="B334" s="157"/>
      <c r="C334" s="157"/>
      <c r="D334" s="166"/>
      <c r="E334" s="159"/>
      <c r="F334" s="159"/>
      <c r="G334" s="169" t="s">
        <v>42</v>
      </c>
      <c r="H334" s="161" t="s">
        <v>12</v>
      </c>
      <c r="I334" s="162"/>
      <c r="J334" s="162"/>
      <c r="K334" s="163"/>
      <c r="L334" s="167">
        <f ca="1">IFERROR(__xludf.DUMMYFUNCTION("IMPORTRANGE(""https://docs.google.com/spreadsheets/d/1Yj_ptqi66GCucihVvJfMjLAmec39IyEx_6qawtMGysU/edit?usp=sharing"",""สบก!DH35"")"),614000)</f>
        <v>614000</v>
      </c>
      <c r="M334" s="167"/>
      <c r="N334" s="167"/>
      <c r="O334" s="168"/>
      <c r="P334" s="168"/>
    </row>
    <row r="335" spans="1:16" ht="21.75" customHeight="1" x14ac:dyDescent="0.3">
      <c r="A335" s="156"/>
      <c r="B335" s="157"/>
      <c r="C335" s="157"/>
      <c r="D335" s="166"/>
      <c r="E335" s="159"/>
      <c r="F335" s="159"/>
      <c r="G335" s="169" t="s">
        <v>43</v>
      </c>
      <c r="H335" s="161" t="s">
        <v>12</v>
      </c>
      <c r="I335" s="162"/>
      <c r="J335" s="162"/>
      <c r="K335" s="163"/>
      <c r="L335" s="167">
        <f ca="1">IFERROR(__xludf.DUMMYFUNCTION("IMPORTRANGE(""https://docs.google.com/spreadsheets/d/1Yj_ptqi66GCucihVvJfMjLAmec39IyEx_6qawtMGysU/edit?usp=sharing"",""สบก!DI35"")"),292300)</f>
        <v>292300</v>
      </c>
      <c r="M335" s="167"/>
      <c r="N335" s="167"/>
      <c r="O335" s="168"/>
      <c r="P335" s="168"/>
    </row>
    <row r="336" spans="1:16" ht="21.75" customHeight="1" x14ac:dyDescent="0.45">
      <c r="A336" s="170"/>
      <c r="B336" s="80"/>
      <c r="C336" s="81" t="s">
        <v>16</v>
      </c>
      <c r="D336" s="534" t="s">
        <v>23</v>
      </c>
      <c r="E336" s="530"/>
      <c r="F336" s="88"/>
      <c r="G336" s="82" t="s">
        <v>18</v>
      </c>
      <c r="H336" s="171" t="s">
        <v>12</v>
      </c>
      <c r="I336" s="162"/>
      <c r="J336" s="162"/>
      <c r="K336" s="163"/>
      <c r="L336" s="41">
        <v>0</v>
      </c>
      <c r="M336" s="41"/>
      <c r="N336" s="41"/>
      <c r="O336" s="41"/>
      <c r="P336" s="41"/>
    </row>
    <row r="337" spans="1:16" ht="21.75" customHeight="1" x14ac:dyDescent="0.45">
      <c r="A337" s="172"/>
      <c r="B337" s="91"/>
      <c r="C337" s="91"/>
      <c r="D337" s="173"/>
      <c r="E337" s="92"/>
      <c r="F337" s="92"/>
      <c r="G337" s="93" t="s">
        <v>19</v>
      </c>
      <c r="H337" s="174" t="s">
        <v>12</v>
      </c>
      <c r="I337" s="162"/>
      <c r="J337" s="162"/>
      <c r="K337" s="163"/>
      <c r="L337" s="49">
        <f ca="1">IFERROR(__xludf.DUMMYFUNCTION("IMPORTRANGE(""https://docs.google.com/spreadsheets/d/1Yj_ptqi66GCucihVvJfMjLAmec39IyEx_6qawtMGysU/edit?usp=sharing"",""สบก!DJ35"")"),0)</f>
        <v>0</v>
      </c>
      <c r="M337" s="49"/>
      <c r="N337" s="49">
        <f ca="1">IFERROR(__xludf.DUMMYFUNCTION("IMPORTRANGE(""https://docs.google.com/spreadsheets/d/1Yj_ptqi66GCucihVvJfMjLAmec39IyEx_6qawtMGysU/edit?usp=sharing"",""สบก!DN35"")"),0)</f>
        <v>0</v>
      </c>
      <c r="O337" s="49">
        <f ca="1">IF(L337&gt;0,N337*100/L337,0)</f>
        <v>0</v>
      </c>
      <c r="P337" s="49"/>
    </row>
    <row r="338" spans="1:16" ht="21.75" customHeight="1" x14ac:dyDescent="0.3">
      <c r="A338" s="175"/>
      <c r="B338" s="289"/>
      <c r="C338" s="338" t="s">
        <v>120</v>
      </c>
      <c r="D338" s="195"/>
      <c r="E338" s="195"/>
      <c r="F338" s="195"/>
      <c r="G338" s="196"/>
      <c r="H338" s="180"/>
      <c r="I338" s="339"/>
      <c r="J338" s="339"/>
      <c r="K338" s="340"/>
      <c r="L338" s="181"/>
      <c r="M338" s="181"/>
      <c r="N338" s="181"/>
      <c r="O338" s="341"/>
      <c r="P338" s="341"/>
    </row>
    <row r="339" spans="1:16" ht="21.75" customHeight="1" x14ac:dyDescent="0.3">
      <c r="A339" s="175"/>
      <c r="B339" s="289"/>
      <c r="C339" s="176"/>
      <c r="D339" s="195"/>
      <c r="E339" s="194" t="s">
        <v>121</v>
      </c>
      <c r="F339" s="195"/>
      <c r="G339" s="196"/>
      <c r="H339" s="342" t="s">
        <v>37</v>
      </c>
      <c r="I339" s="203">
        <f ca="1">IFERROR(__xludf.DUMMYFUNCTION("IMPORTRANGE(""https://docs.google.com/spreadsheets/d/11923uPwbBZFjjGgGUA6NLw09EwE0CqkOc4q9oUmW1yo/edit?usp=sharing"",""อุตรดิตถ์!I234"")"),0)</f>
        <v>0</v>
      </c>
      <c r="J339" s="187">
        <f ca="1">IFERROR(__xludf.DUMMYFUNCTION("IMPORTRANGE(""https://docs.google.com/spreadsheets/d/11923uPwbBZFjjGgGUA6NLw09EwE0CqkOc4q9oUmW1yo/edit?usp=sharing"",""อุตรดิตถ์!J234"")"),34)</f>
        <v>34</v>
      </c>
      <c r="K339" s="340">
        <f t="shared" ref="K339:K346" ca="1" si="103">IF(I339&gt;0,J339*100/I339,0)</f>
        <v>0</v>
      </c>
      <c r="L339" s="181"/>
      <c r="M339" s="181"/>
      <c r="N339" s="181"/>
      <c r="O339" s="341"/>
      <c r="P339" s="341"/>
    </row>
    <row r="340" spans="1:16" ht="21.75" customHeight="1" x14ac:dyDescent="0.3">
      <c r="A340" s="175"/>
      <c r="B340" s="289"/>
      <c r="C340" s="176"/>
      <c r="D340" s="195"/>
      <c r="E340" s="195"/>
      <c r="F340" s="195"/>
      <c r="G340" s="196"/>
      <c r="H340" s="342" t="s">
        <v>122</v>
      </c>
      <c r="I340" s="187">
        <f ca="1">IFERROR(__xludf.DUMMYFUNCTION("IMPORTRANGE(""https://docs.google.com/spreadsheets/d/11923uPwbBZFjjGgGUA6NLw09EwE0CqkOc4q9oUmW1yo/edit?usp=sharing"",""อุตรดิตถ์!I235"")"),800)</f>
        <v>800</v>
      </c>
      <c r="J340" s="187">
        <f ca="1">IFERROR(__xludf.DUMMYFUNCTION("IMPORTRANGE(""https://docs.google.com/spreadsheets/d/11923uPwbBZFjjGgGUA6NLw09EwE0CqkOc4q9oUmW1yo/edit?usp=sharing"",""อุตรดิตถ์!J235"")"),163.01)</f>
        <v>163.01</v>
      </c>
      <c r="K340" s="340">
        <f t="shared" ca="1" si="103"/>
        <v>20.376249999999999</v>
      </c>
      <c r="L340" s="181"/>
      <c r="M340" s="181"/>
      <c r="N340" s="181"/>
      <c r="O340" s="341"/>
      <c r="P340" s="341"/>
    </row>
    <row r="341" spans="1:16" ht="21.75" customHeight="1" x14ac:dyDescent="0.3">
      <c r="A341" s="175"/>
      <c r="B341" s="289"/>
      <c r="C341" s="176"/>
      <c r="D341" s="195"/>
      <c r="E341" s="194" t="s">
        <v>123</v>
      </c>
      <c r="F341" s="195"/>
      <c r="G341" s="196"/>
      <c r="H341" s="180" t="s">
        <v>37</v>
      </c>
      <c r="I341" s="187">
        <f ca="1">IFERROR(__xludf.DUMMYFUNCTION("IMPORTRANGE(""https://docs.google.com/spreadsheets/d/11923uPwbBZFjjGgGUA6NLw09EwE0CqkOc4q9oUmW1yo/edit?usp=sharing"",""อุตรดิตถ์!I236"")"),170)</f>
        <v>170</v>
      </c>
      <c r="J341" s="187">
        <f ca="1">IFERROR(__xludf.DUMMYFUNCTION("IMPORTRANGE(""https://docs.google.com/spreadsheets/d/11923uPwbBZFjjGgGUA6NLw09EwE0CqkOc4q9oUmW1yo/edit?usp=sharing"",""อุตรดิตถ์!J236"")"),91)</f>
        <v>91</v>
      </c>
      <c r="K341" s="340">
        <f t="shared" ca="1" si="103"/>
        <v>53.529411764705884</v>
      </c>
      <c r="L341" s="181"/>
      <c r="M341" s="181"/>
      <c r="N341" s="181"/>
      <c r="O341" s="341"/>
      <c r="P341" s="341"/>
    </row>
    <row r="342" spans="1:16" ht="21.75" customHeight="1" x14ac:dyDescent="0.3">
      <c r="A342" s="175"/>
      <c r="B342" s="289"/>
      <c r="C342" s="176"/>
      <c r="D342" s="195"/>
      <c r="E342" s="195"/>
      <c r="F342" s="195"/>
      <c r="G342" s="196"/>
      <c r="H342" s="180" t="s">
        <v>122</v>
      </c>
      <c r="I342" s="343">
        <f ca="1">IFERROR(__xludf.DUMMYFUNCTION("IMPORTRANGE(""https://docs.google.com/spreadsheets/d/11923uPwbBZFjjGgGUA6NLw09EwE0CqkOc4q9oUmW1yo/edit?usp=sharing"",""อุตรดิตถ์!I237"")"),0)</f>
        <v>0</v>
      </c>
      <c r="J342" s="187">
        <f ca="1">IFERROR(__xludf.DUMMYFUNCTION("IMPORTRANGE(""https://docs.google.com/spreadsheets/d/11923uPwbBZFjjGgGUA6NLw09EwE0CqkOc4q9oUmW1yo/edit?usp=sharing"",""อุตรดิตถ์!J237"")"),955.849999999999)</f>
        <v>955.849999999999</v>
      </c>
      <c r="K342" s="340">
        <f t="shared" ca="1" si="103"/>
        <v>0</v>
      </c>
      <c r="L342" s="181"/>
      <c r="M342" s="181"/>
      <c r="N342" s="181"/>
      <c r="O342" s="341"/>
      <c r="P342" s="341"/>
    </row>
    <row r="343" spans="1:16" ht="21.75" customHeight="1" x14ac:dyDescent="0.3">
      <c r="A343" s="175"/>
      <c r="B343" s="289"/>
      <c r="C343" s="176"/>
      <c r="D343" s="195"/>
      <c r="E343" s="194" t="s">
        <v>124</v>
      </c>
      <c r="F343" s="195"/>
      <c r="G343" s="196"/>
      <c r="H343" s="180" t="s">
        <v>37</v>
      </c>
      <c r="I343" s="187">
        <f ca="1">IFERROR(__xludf.DUMMYFUNCTION("IMPORTRANGE(""https://docs.google.com/spreadsheets/d/11923uPwbBZFjjGgGUA6NLw09EwE0CqkOc4q9oUmW1yo/edit?usp=sharing"",""อุตรดิตถ์!I238"")"),170)</f>
        <v>170</v>
      </c>
      <c r="J343" s="187">
        <f ca="1">IFERROR(__xludf.DUMMYFUNCTION("IMPORTRANGE(""https://docs.google.com/spreadsheets/d/11923uPwbBZFjjGgGUA6NLw09EwE0CqkOc4q9oUmW1yo/edit?usp=sharing"",""อุตรดิตถ์!J238"")"),0)</f>
        <v>0</v>
      </c>
      <c r="K343" s="340">
        <f t="shared" ca="1" si="103"/>
        <v>0</v>
      </c>
      <c r="L343" s="181"/>
      <c r="M343" s="181"/>
      <c r="N343" s="181"/>
      <c r="O343" s="341"/>
      <c r="P343" s="341"/>
    </row>
    <row r="344" spans="1:16" ht="21.75" customHeight="1" x14ac:dyDescent="0.3">
      <c r="A344" s="175"/>
      <c r="B344" s="289"/>
      <c r="C344" s="176"/>
      <c r="D344" s="195"/>
      <c r="E344" s="195"/>
      <c r="F344" s="195"/>
      <c r="G344" s="196"/>
      <c r="H344" s="180" t="s">
        <v>122</v>
      </c>
      <c r="I344" s="343">
        <f ca="1">IFERROR(__xludf.DUMMYFUNCTION("IMPORTRANGE(""https://docs.google.com/spreadsheets/d/11923uPwbBZFjjGgGUA6NLw09EwE0CqkOc4q9oUmW1yo/edit?usp=sharing"",""อุตรดิตถ์!I239"")"),0)</f>
        <v>0</v>
      </c>
      <c r="J344" s="187">
        <f ca="1">IFERROR(__xludf.DUMMYFUNCTION("IMPORTRANGE(""https://docs.google.com/spreadsheets/d/11923uPwbBZFjjGgGUA6NLw09EwE0CqkOc4q9oUmW1yo/edit?usp=sharing"",""อุตรดิตถ์!J239"")"),0)</f>
        <v>0</v>
      </c>
      <c r="K344" s="340">
        <f t="shared" ca="1" si="103"/>
        <v>0</v>
      </c>
      <c r="L344" s="181"/>
      <c r="M344" s="181"/>
      <c r="N344" s="181"/>
      <c r="O344" s="341"/>
      <c r="P344" s="341"/>
    </row>
    <row r="345" spans="1:16" ht="21.75" customHeight="1" x14ac:dyDescent="0.3">
      <c r="A345" s="175"/>
      <c r="B345" s="289"/>
      <c r="C345" s="176"/>
      <c r="D345" s="195"/>
      <c r="E345" s="194" t="s">
        <v>125</v>
      </c>
      <c r="F345" s="195"/>
      <c r="G345" s="196"/>
      <c r="H345" s="180" t="s">
        <v>37</v>
      </c>
      <c r="I345" s="187">
        <f ca="1">IFERROR(__xludf.DUMMYFUNCTION("IMPORTRANGE(""https://docs.google.com/spreadsheets/d/11923uPwbBZFjjGgGUA6NLw09EwE0CqkOc4q9oUmW1yo/edit?usp=sharing"",""อุตรดิตถ์!I240"")"),170)</f>
        <v>170</v>
      </c>
      <c r="J345" s="187">
        <f ca="1">IFERROR(__xludf.DUMMYFUNCTION("IMPORTRANGE(""https://docs.google.com/spreadsheets/d/11923uPwbBZFjjGgGUA6NLw09EwE0CqkOc4q9oUmW1yo/edit?usp=sharing"",""อุตรดิตถ์!J240"")"),66)</f>
        <v>66</v>
      </c>
      <c r="K345" s="340">
        <f t="shared" ca="1" si="103"/>
        <v>38.823529411764703</v>
      </c>
      <c r="L345" s="181"/>
      <c r="M345" s="181"/>
      <c r="N345" s="181"/>
      <c r="O345" s="341"/>
      <c r="P345" s="341"/>
    </row>
    <row r="346" spans="1:16" ht="21.75" customHeight="1" x14ac:dyDescent="0.3">
      <c r="A346" s="233"/>
      <c r="B346" s="344"/>
      <c r="C346" s="234"/>
      <c r="D346" s="344"/>
      <c r="E346" s="345"/>
      <c r="F346" s="345"/>
      <c r="G346" s="346"/>
      <c r="H346" s="347" t="s">
        <v>122</v>
      </c>
      <c r="I346" s="348">
        <f ca="1">IFERROR(__xludf.DUMMYFUNCTION("IMPORTRANGE(""https://docs.google.com/spreadsheets/d/11923uPwbBZFjjGgGUA6NLw09EwE0CqkOc4q9oUmW1yo/edit?usp=sharing"",""อุตรดิตถ์!I241"")"),0)</f>
        <v>0</v>
      </c>
      <c r="J346" s="187">
        <f ca="1">IFERROR(__xludf.DUMMYFUNCTION("IMPORTRANGE(""https://docs.google.com/spreadsheets/d/11923uPwbBZFjjGgGUA6NLw09EwE0CqkOc4q9oUmW1yo/edit?usp=sharing"",""อุตรดิตถ์!J241"")"),774.53)</f>
        <v>774.53</v>
      </c>
      <c r="K346" s="349">
        <f t="shared" ca="1" si="103"/>
        <v>0</v>
      </c>
      <c r="L346" s="244"/>
      <c r="M346" s="244"/>
      <c r="N346" s="244"/>
      <c r="O346" s="350"/>
      <c r="P346" s="350"/>
    </row>
    <row r="347" spans="1:16" ht="21.75" customHeight="1" x14ac:dyDescent="0.3">
      <c r="A347" s="351" t="s">
        <v>126</v>
      </c>
      <c r="B347" s="352"/>
      <c r="C347" s="352"/>
      <c r="D347" s="352"/>
      <c r="E347" s="352"/>
      <c r="F347" s="352"/>
      <c r="G347" s="353"/>
      <c r="H347" s="354"/>
      <c r="I347" s="355"/>
      <c r="J347" s="355"/>
      <c r="K347" s="356"/>
      <c r="L347" s="356">
        <f ca="1">IFERROR(__xludf.DUMMYFUNCTION("IMPORTRANGE(""https://docs.google.com/spreadsheets/d/11923uPwbBZFjjGgGUA6NLw09EwE0CqkOc4q9oUmW1yo/edit?usp=sharing"",""อุตรดิตถ์!L242"")"),2200927)</f>
        <v>2200927</v>
      </c>
      <c r="M347" s="356"/>
      <c r="N347" s="356">
        <f ca="1">IFERROR(__xludf.DUMMYFUNCTION("IMPORTRANGE(""https://docs.google.com/spreadsheets/d/11923uPwbBZFjjGgGUA6NLw09EwE0CqkOc4q9oUmW1yo/edit?usp=sharing"",""อุตรดิตถ์!M242"")"),335382.4)</f>
        <v>335382.40000000002</v>
      </c>
      <c r="O347" s="356">
        <f ca="1">+IF(L347&gt;0,N347*100/L347,0)</f>
        <v>15.238233707887632</v>
      </c>
      <c r="P347" s="356"/>
    </row>
    <row r="348" spans="1:16" ht="21.75" customHeight="1" x14ac:dyDescent="0.3">
      <c r="A348" s="357" t="s">
        <v>127</v>
      </c>
      <c r="B348" s="358"/>
      <c r="C348" s="358"/>
      <c r="D348" s="358"/>
      <c r="E348" s="358"/>
      <c r="F348" s="358"/>
      <c r="G348" s="359"/>
      <c r="H348" s="360"/>
      <c r="I348" s="361"/>
      <c r="J348" s="361"/>
      <c r="K348" s="362"/>
      <c r="L348" s="362"/>
      <c r="M348" s="362"/>
      <c r="N348" s="362"/>
      <c r="O348" s="363"/>
      <c r="P348" s="363"/>
    </row>
    <row r="349" spans="1:16" ht="21.75" customHeight="1" x14ac:dyDescent="0.3">
      <c r="A349" s="364"/>
      <c r="B349" s="365">
        <v>1</v>
      </c>
      <c r="C349" s="366" t="s">
        <v>128</v>
      </c>
      <c r="D349" s="366"/>
      <c r="E349" s="366"/>
      <c r="F349" s="366"/>
      <c r="G349" s="367"/>
      <c r="H349" s="368" t="s">
        <v>122</v>
      </c>
      <c r="I349" s="369">
        <f ca="1">IFERROR(__xludf.DUMMYFUNCTION("IMPORTRANGE(""https://docs.google.com/spreadsheets/d/11923uPwbBZFjjGgGUA6NLw09EwE0CqkOc4q9oUmW1yo/edit?usp=sharing"",""อุตรดิตถ์!I244"")"),30)</f>
        <v>30</v>
      </c>
      <c r="J349" s="369">
        <f ca="1">IFERROR(__xludf.DUMMYFUNCTION("IMPORTRANGE(""https://docs.google.com/spreadsheets/d/11923uPwbBZFjjGgGUA6NLw09EwE0CqkOc4q9oUmW1yo/edit?usp=sharing"",""อุตรดิตถ์!J244"")"),0)</f>
        <v>0</v>
      </c>
      <c r="K349" s="370">
        <f t="shared" ref="K349:K350" ca="1" si="104">IF(I349&gt;0,J349*100/I349,0)</f>
        <v>0</v>
      </c>
      <c r="L349" s="371">
        <f ca="1">IFERROR(__xludf.DUMMYFUNCTION("IMPORTRANGE(""https://docs.google.com/spreadsheets/d/11923uPwbBZFjjGgGUA6NLw09EwE0CqkOc4q9oUmW1yo/edit?usp=sharing"",""อุตรดิตถ์!L244"")"),257760)</f>
        <v>257760</v>
      </c>
      <c r="M349" s="371"/>
      <c r="N349" s="371">
        <f ca="1">IFERROR(__xludf.DUMMYFUNCTION("IMPORTRANGE(""https://docs.google.com/spreadsheets/d/11923uPwbBZFjjGgGUA6NLw09EwE0CqkOc4q9oUmW1yo/edit?usp=sharing"",""อุตรดิตถ์!M244"")"),51980)</f>
        <v>51980</v>
      </c>
      <c r="O349" s="371">
        <f ca="1">+IF(L349&gt;0,N349*100/L349,0)</f>
        <v>20.166045934202359</v>
      </c>
      <c r="P349" s="371"/>
    </row>
    <row r="350" spans="1:16" ht="21.75" customHeight="1" x14ac:dyDescent="0.3">
      <c r="A350" s="364"/>
      <c r="B350" s="365"/>
      <c r="C350" s="366"/>
      <c r="D350" s="366"/>
      <c r="E350" s="366"/>
      <c r="F350" s="366"/>
      <c r="G350" s="367"/>
      <c r="H350" s="368" t="s">
        <v>37</v>
      </c>
      <c r="I350" s="369">
        <f ca="1">IFERROR(__xludf.DUMMYFUNCTION("IMPORTRANGE(""https://docs.google.com/spreadsheets/d/11923uPwbBZFjjGgGUA6NLw09EwE0CqkOc4q9oUmW1yo/edit?usp=sharing"",""อุตรดิตถ์!I245"")"),30)</f>
        <v>30</v>
      </c>
      <c r="J350" s="369">
        <f ca="1">IFERROR(__xludf.DUMMYFUNCTION("IMPORTRANGE(""https://docs.google.com/spreadsheets/d/11923uPwbBZFjjGgGUA6NLw09EwE0CqkOc4q9oUmW1yo/edit?usp=sharing"",""อุตรดิตถ์!J245"")"),0)</f>
        <v>0</v>
      </c>
      <c r="K350" s="370">
        <f t="shared" ca="1" si="104"/>
        <v>0</v>
      </c>
      <c r="L350" s="371"/>
      <c r="M350" s="371"/>
      <c r="N350" s="371"/>
      <c r="O350" s="371"/>
      <c r="P350" s="371"/>
    </row>
    <row r="351" spans="1:16" ht="21.75" customHeight="1" x14ac:dyDescent="0.3">
      <c r="A351" s="156"/>
      <c r="B351" s="157"/>
      <c r="C351" s="157" t="s">
        <v>16</v>
      </c>
      <c r="D351" s="158" t="s">
        <v>38</v>
      </c>
      <c r="E351" s="159"/>
      <c r="F351" s="159"/>
      <c r="G351" s="160" t="s">
        <v>39</v>
      </c>
      <c r="H351" s="161" t="s">
        <v>12</v>
      </c>
      <c r="I351" s="162" t="s">
        <v>40</v>
      </c>
      <c r="J351" s="162"/>
      <c r="K351" s="163"/>
      <c r="L351" s="164">
        <f ca="1">IFERROR(__xludf.DUMMYFUNCTION("IMPORTRANGE(""https://docs.google.com/spreadsheets/d/11923uPwbBZFjjGgGUA6NLw09EwE0CqkOc4q9oUmW1yo/edit?usp=sharing"",""อุตรดิตถ์!L246"")"),0)</f>
        <v>0</v>
      </c>
      <c r="M351" s="164"/>
      <c r="N351" s="164">
        <f ca="1">IFERROR(__xludf.DUMMYFUNCTION("IMPORTRANGE(""https://docs.google.com/spreadsheets/d/11923uPwbBZFjjGgGUA6NLw09EwE0CqkOc4q9oUmW1yo/edit?usp=sharing"",""อุตรดิตถ์!M246"")"),0)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3">
      <c r="A352" s="156"/>
      <c r="B352" s="157"/>
      <c r="C352" s="157"/>
      <c r="D352" s="166"/>
      <c r="E352" s="159"/>
      <c r="F352" s="159" t="s">
        <v>40</v>
      </c>
      <c r="G352" s="160" t="s">
        <v>41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IFERROR(__xludf.DUMMYFUNCTION("IMPORTRANGE(""https://docs.google.com/spreadsheets/d/11923uPwbBZFjjGgGUA6NLw09EwE0CqkOc4q9oUmW1yo/edit?usp=sharing"",""อุตรดิตถ์!L247"")"),257760)</f>
        <v>257760</v>
      </c>
      <c r="M352" s="165"/>
      <c r="N352" s="164">
        <f ca="1">IFERROR(__xludf.DUMMYFUNCTION("IMPORTRANGE(""https://docs.google.com/spreadsheets/d/11923uPwbBZFjjGgGUA6NLw09EwE0CqkOc4q9oUmW1yo/edit?usp=sharing"",""อุตรดิตถ์!M247"")"),51980)</f>
        <v>51980</v>
      </c>
      <c r="O352" s="165">
        <f t="shared" ca="1" si="105"/>
        <v>20.166045934202359</v>
      </c>
      <c r="P352" s="165"/>
    </row>
    <row r="353" spans="1:16" ht="21.75" customHeight="1" x14ac:dyDescent="0.3">
      <c r="A353" s="156"/>
      <c r="B353" s="157"/>
      <c r="C353" s="157"/>
      <c r="D353" s="166"/>
      <c r="E353" s="159"/>
      <c r="F353" s="159"/>
      <c r="G353" s="372" t="s">
        <v>129</v>
      </c>
      <c r="H353" s="161" t="s">
        <v>12</v>
      </c>
      <c r="I353" s="162"/>
      <c r="J353" s="162"/>
      <c r="K353" s="163"/>
      <c r="L353" s="168">
        <f ca="1">IFERROR(__xludf.DUMMYFUNCTION("IMPORTRANGE(""https://docs.google.com/spreadsheets/d/11923uPwbBZFjjGgGUA6NLw09EwE0CqkOc4q9oUmW1yo/edit?usp=sharing"",""อุตรดิตถ์!L248"")"),0)</f>
        <v>0</v>
      </c>
      <c r="M353" s="168"/>
      <c r="N353" s="168">
        <f ca="1">IFERROR(__xludf.DUMMYFUNCTION("IMPORTRANGE(""https://docs.google.com/spreadsheets/d/11923uPwbBZFjjGgGUA6NLw09EwE0CqkOc4q9oUmW1yo/edit?usp=sharing"",""อุตรดิตถ์!M248"")"),0)</f>
        <v>0</v>
      </c>
      <c r="O353" s="168">
        <f t="shared" ca="1" si="105"/>
        <v>0</v>
      </c>
      <c r="P353" s="168"/>
    </row>
    <row r="354" spans="1:16" ht="21.75" customHeight="1" x14ac:dyDescent="0.3">
      <c r="A354" s="156"/>
      <c r="B354" s="157"/>
      <c r="C354" s="157"/>
      <c r="D354" s="166"/>
      <c r="E354" s="159"/>
      <c r="F354" s="159"/>
      <c r="G354" s="372" t="s">
        <v>130</v>
      </c>
      <c r="H354" s="161" t="s">
        <v>12</v>
      </c>
      <c r="I354" s="162"/>
      <c r="J354" s="162"/>
      <c r="K354" s="163"/>
      <c r="L354" s="168">
        <f ca="1">IFERROR(__xludf.DUMMYFUNCTION("IMPORTRANGE(""https://docs.google.com/spreadsheets/d/11923uPwbBZFjjGgGUA6NLw09EwE0CqkOc4q9oUmW1yo/edit?usp=sharing"",""อุตรดิตถ์!L249"")"),257760)</f>
        <v>257760</v>
      </c>
      <c r="M354" s="168"/>
      <c r="N354" s="167">
        <f ca="1">IFERROR(__xludf.DUMMYFUNCTION("IMPORTRANGE(""https://docs.google.com/spreadsheets/d/11923uPwbBZFjjGgGUA6NLw09EwE0CqkOc4q9oUmW1yo/edit?usp=sharing"",""อุตรดิตถ์!M249"")"),51980)</f>
        <v>51980</v>
      </c>
      <c r="O354" s="168">
        <f t="shared" ca="1" si="105"/>
        <v>20.166045934202359</v>
      </c>
      <c r="P354" s="168"/>
    </row>
    <row r="355" spans="1:16" ht="21.75" customHeight="1" x14ac:dyDescent="0.3">
      <c r="A355" s="373"/>
      <c r="B355" s="374"/>
      <c r="C355" s="157"/>
      <c r="D355" s="375"/>
      <c r="E355" s="159"/>
      <c r="F355" s="159"/>
      <c r="G355" s="376" t="s">
        <v>131</v>
      </c>
      <c r="H355" s="161" t="s">
        <v>12</v>
      </c>
      <c r="I355" s="187"/>
      <c r="J355" s="187"/>
      <c r="K355" s="223"/>
      <c r="L355" s="168"/>
      <c r="M355" s="168"/>
      <c r="N355" s="377">
        <f ca="1">IFERROR(__xludf.DUMMYFUNCTION("IMPORTRANGE(""https://docs.google.com/spreadsheets/d/11923uPwbBZFjjGgGUA6NLw09EwE0CqkOc4q9oUmW1yo/edit?usp=sharing"",""อุตรดิตถ์!M250"")"),19575)</f>
        <v>19575</v>
      </c>
      <c r="O355" s="168"/>
      <c r="P355" s="168"/>
    </row>
    <row r="356" spans="1:16" ht="21.75" customHeight="1" x14ac:dyDescent="0.3">
      <c r="A356" s="373"/>
      <c r="B356" s="374"/>
      <c r="C356" s="157"/>
      <c r="D356" s="375"/>
      <c r="E356" s="159"/>
      <c r="F356" s="159"/>
      <c r="G356" s="376" t="s">
        <v>132</v>
      </c>
      <c r="H356" s="161" t="s">
        <v>12</v>
      </c>
      <c r="I356" s="187"/>
      <c r="J356" s="187"/>
      <c r="K356" s="223"/>
      <c r="L356" s="168"/>
      <c r="M356" s="168"/>
      <c r="N356" s="377">
        <f ca="1">IFERROR(__xludf.DUMMYFUNCTION("IMPORTRANGE(""https://docs.google.com/spreadsheets/d/11923uPwbBZFjjGgGUA6NLw09EwE0CqkOc4q9oUmW1yo/edit?usp=sharing"",""อุตรดิตถ์!M251"")"),0)</f>
        <v>0</v>
      </c>
      <c r="O356" s="168"/>
      <c r="P356" s="168"/>
    </row>
    <row r="357" spans="1:16" ht="21.75" customHeight="1" x14ac:dyDescent="0.3">
      <c r="A357" s="373"/>
      <c r="B357" s="374"/>
      <c r="C357" s="157"/>
      <c r="D357" s="375"/>
      <c r="E357" s="159"/>
      <c r="F357" s="159"/>
      <c r="G357" s="376" t="s">
        <v>133</v>
      </c>
      <c r="H357" s="161" t="s">
        <v>12</v>
      </c>
      <c r="I357" s="187"/>
      <c r="J357" s="187"/>
      <c r="K357" s="223"/>
      <c r="L357" s="168"/>
      <c r="M357" s="168"/>
      <c r="N357" s="377">
        <f ca="1">IFERROR(__xludf.DUMMYFUNCTION("IMPORTRANGE(""https://docs.google.com/spreadsheets/d/11923uPwbBZFjjGgGUA6NLw09EwE0CqkOc4q9oUmW1yo/edit?usp=sharing"",""อุตรดิตถ์!M252"")"),31565)</f>
        <v>31565</v>
      </c>
      <c r="O357" s="168"/>
      <c r="P357" s="168"/>
    </row>
    <row r="358" spans="1:16" ht="21.75" customHeight="1" x14ac:dyDescent="0.3">
      <c r="A358" s="373"/>
      <c r="B358" s="374"/>
      <c r="C358" s="157"/>
      <c r="D358" s="375"/>
      <c r="E358" s="159"/>
      <c r="F358" s="159"/>
      <c r="G358" s="376" t="s">
        <v>134</v>
      </c>
      <c r="H358" s="161" t="s">
        <v>12</v>
      </c>
      <c r="I358" s="187"/>
      <c r="J358" s="187"/>
      <c r="K358" s="223"/>
      <c r="L358" s="168"/>
      <c r="M358" s="168"/>
      <c r="N358" s="377">
        <f ca="1">IFERROR(__xludf.DUMMYFUNCTION("IMPORTRANGE(""https://docs.google.com/spreadsheets/d/11923uPwbBZFjjGgGUA6NLw09EwE0CqkOc4q9oUmW1yo/edit?usp=sharing"",""อุตรดิตถ์!M253"")"),840)</f>
        <v>840</v>
      </c>
      <c r="O358" s="168"/>
      <c r="P358" s="168"/>
    </row>
    <row r="359" spans="1:16" ht="21.75" customHeight="1" x14ac:dyDescent="0.3">
      <c r="A359" s="175"/>
      <c r="B359" s="176"/>
      <c r="C359" s="157" t="s">
        <v>16</v>
      </c>
      <c r="D359" s="177" t="s">
        <v>44</v>
      </c>
      <c r="E359" s="178"/>
      <c r="F359" s="178"/>
      <c r="G359" s="179"/>
      <c r="H359" s="180"/>
      <c r="I359" s="162"/>
      <c r="J359" s="162"/>
      <c r="K359" s="163"/>
      <c r="L359" s="181"/>
      <c r="M359" s="181"/>
      <c r="N359" s="181"/>
      <c r="O359" s="181"/>
      <c r="P359" s="181"/>
    </row>
    <row r="360" spans="1:16" ht="21.75" customHeight="1" x14ac:dyDescent="0.3">
      <c r="A360" s="175"/>
      <c r="B360" s="176"/>
      <c r="C360" s="176"/>
      <c r="D360" s="182">
        <v>1</v>
      </c>
      <c r="E360" s="183" t="s">
        <v>45</v>
      </c>
      <c r="F360" s="184"/>
      <c r="G360" s="185"/>
      <c r="H360" s="186"/>
      <c r="I360" s="187"/>
      <c r="J360" s="197">
        <f ca="1">IFERROR(__xludf.DUMMYFUNCTION("IMPORTRANGE(""https://docs.google.com/spreadsheets/d/11923uPwbBZFjjGgGUA6NLw09EwE0CqkOc4q9oUmW1yo/edit?usp=sharing"",""อุตรดิตถ์!J255"")"),0)</f>
        <v>0</v>
      </c>
      <c r="K360" s="163"/>
      <c r="L360" s="181"/>
      <c r="M360" s="181"/>
      <c r="N360" s="181"/>
      <c r="O360" s="181"/>
      <c r="P360" s="181"/>
    </row>
    <row r="361" spans="1:16" ht="21.75" customHeight="1" x14ac:dyDescent="0.3">
      <c r="A361" s="175"/>
      <c r="B361" s="176"/>
      <c r="C361" s="176"/>
      <c r="D361" s="189">
        <v>2</v>
      </c>
      <c r="E361" s="190" t="s">
        <v>46</v>
      </c>
      <c r="F361" s="191"/>
      <c r="G361" s="192"/>
      <c r="H361" s="186"/>
      <c r="I361" s="187"/>
      <c r="J361" s="188">
        <f ca="1">IFERROR(__xludf.DUMMYFUNCTION("IMPORTRANGE(""https://docs.google.com/spreadsheets/d/11923uPwbBZFjjGgGUA6NLw09EwE0CqkOc4q9oUmW1yo/edit?usp=sharing"",""อุตรดิตถ์!J256"")"),1)</f>
        <v>1</v>
      </c>
      <c r="K361" s="163"/>
      <c r="L361" s="181" t="s">
        <v>40</v>
      </c>
      <c r="M361" s="181"/>
      <c r="N361" s="181" t="s">
        <v>40</v>
      </c>
      <c r="O361" s="181"/>
      <c r="P361" s="181"/>
    </row>
    <row r="362" spans="1:16" ht="21.75" customHeight="1" x14ac:dyDescent="0.3">
      <c r="A362" s="175"/>
      <c r="B362" s="176"/>
      <c r="C362" s="176"/>
      <c r="D362" s="193"/>
      <c r="E362" s="194" t="s">
        <v>47</v>
      </c>
      <c r="F362" s="195"/>
      <c r="G362" s="196"/>
      <c r="H362" s="186"/>
      <c r="I362" s="187"/>
      <c r="J362" s="188">
        <f ca="1">IFERROR(__xludf.DUMMYFUNCTION("IMPORTRANGE(""https://docs.google.com/spreadsheets/d/11923uPwbBZFjjGgGUA6NLw09EwE0CqkOc4q9oUmW1yo/edit?usp=sharing"",""อุตรดิตถ์!J257"")"),1)</f>
        <v>1</v>
      </c>
      <c r="K362" s="163"/>
      <c r="L362" s="181"/>
      <c r="M362" s="181"/>
      <c r="N362" s="181"/>
      <c r="O362" s="181"/>
      <c r="P362" s="181"/>
    </row>
    <row r="363" spans="1:16" ht="21.75" customHeight="1" x14ac:dyDescent="0.3">
      <c r="A363" s="175"/>
      <c r="B363" s="176"/>
      <c r="C363" s="176"/>
      <c r="D363" s="193"/>
      <c r="E363" s="194" t="s">
        <v>48</v>
      </c>
      <c r="F363" s="195"/>
      <c r="G363" s="196"/>
      <c r="H363" s="186"/>
      <c r="I363" s="187"/>
      <c r="J363" s="197">
        <f ca="1">IFERROR(__xludf.DUMMYFUNCTION("IMPORTRANGE(""https://docs.google.com/spreadsheets/d/11923uPwbBZFjjGgGUA6NLw09EwE0CqkOc4q9oUmW1yo/edit?usp=sharing"",""อุตรดิตถ์!J258"")"),1)</f>
        <v>1</v>
      </c>
      <c r="K363" s="163"/>
      <c r="L363" s="181"/>
      <c r="M363" s="181"/>
      <c r="N363" s="181"/>
      <c r="O363" s="181"/>
      <c r="P363" s="181"/>
    </row>
    <row r="364" spans="1:16" ht="21.75" hidden="1" customHeight="1" x14ac:dyDescent="0.3">
      <c r="A364" s="175"/>
      <c r="B364" s="176"/>
      <c r="C364" s="176"/>
      <c r="D364" s="193"/>
      <c r="E364" s="198"/>
      <c r="F364" s="194" t="s">
        <v>70</v>
      </c>
      <c r="G364" s="196"/>
      <c r="H364" s="180"/>
      <c r="I364" s="187"/>
      <c r="J364" s="187">
        <f ca="1">IFERROR(__xludf.DUMMYFUNCTION("IMPORTRANGE(""https://docs.google.com/spreadsheets/d/11923uPwbBZFjjGgGUA6NLw09EwE0CqkOc4q9oUmW1yo/edit?usp=sharing"",""อุตรดิตถ์!J166"")"),0)</f>
        <v>0</v>
      </c>
      <c r="K364" s="163"/>
      <c r="L364" s="181"/>
      <c r="M364" s="181"/>
      <c r="N364" s="181"/>
      <c r="O364" s="181"/>
      <c r="P364" s="181"/>
    </row>
    <row r="365" spans="1:16" ht="21.75" hidden="1" customHeight="1" x14ac:dyDescent="0.3">
      <c r="A365" s="175"/>
      <c r="B365" s="176"/>
      <c r="C365" s="176"/>
      <c r="D365" s="193"/>
      <c r="E365" s="198"/>
      <c r="F365" s="195"/>
      <c r="G365" s="225" t="s">
        <v>135</v>
      </c>
      <c r="H365" s="180" t="s">
        <v>37</v>
      </c>
      <c r="I365" s="187">
        <f ca="1">IFERROR(__xludf.DUMMYFUNCTION("IMPORTRANGE(""https://docs.google.com/spreadsheets/d/1C3CXT74ZlgGe6_JY_1olB1XN4rF0dxEuIIF-xsYjHgg/edit?usp=sharing"",""งบกองทุน!f63"")"),0)</f>
        <v>0</v>
      </c>
      <c r="J365" s="187">
        <f ca="1">IFERROR(__xludf.DUMMYFUNCTION("IMPORTRANGE(""https://docs.google.com/spreadsheets/d/11923uPwbBZFjjGgGUA6NLw09EwE0CqkOc4q9oUmW1yo/edit?usp=sharing"",""อุตรดิตถ์!J166"")"),0)</f>
        <v>0</v>
      </c>
      <c r="K365" s="163">
        <f ca="1">IF(I365&gt;0,J365*100/I365,0)</f>
        <v>0</v>
      </c>
      <c r="L365" s="181"/>
      <c r="M365" s="181"/>
      <c r="N365" s="181"/>
      <c r="O365" s="181"/>
      <c r="P365" s="181"/>
    </row>
    <row r="366" spans="1:16" ht="21.75" hidden="1" customHeight="1" x14ac:dyDescent="0.3">
      <c r="A366" s="175"/>
      <c r="B366" s="176"/>
      <c r="C366" s="176"/>
      <c r="D366" s="193"/>
      <c r="E366" s="198"/>
      <c r="F366" s="195"/>
      <c r="G366" s="196" t="s">
        <v>136</v>
      </c>
      <c r="H366" s="180"/>
      <c r="I366" s="162"/>
      <c r="J366" s="187">
        <f ca="1">IFERROR(__xludf.DUMMYFUNCTION("IMPORTRANGE(""https://docs.google.com/spreadsheets/d/11923uPwbBZFjjGgGUA6NLw09EwE0CqkOc4q9oUmW1yo/edit?usp=sharing"",""อุตรดิตถ์!J166"")"),0)</f>
        <v>0</v>
      </c>
      <c r="K366" s="163"/>
      <c r="L366" s="181"/>
      <c r="M366" s="181"/>
      <c r="N366" s="181"/>
      <c r="O366" s="181"/>
      <c r="P366" s="181"/>
    </row>
    <row r="367" spans="1:16" ht="21.75" hidden="1" customHeight="1" x14ac:dyDescent="0.3">
      <c r="A367" s="175"/>
      <c r="B367" s="176"/>
      <c r="C367" s="176"/>
      <c r="D367" s="193"/>
      <c r="E367" s="198"/>
      <c r="F367" s="195"/>
      <c r="G367" s="225" t="s">
        <v>137</v>
      </c>
      <c r="H367" s="186" t="s">
        <v>122</v>
      </c>
      <c r="I367" s="187">
        <f ca="1">SUM(I369,I371)</f>
        <v>0</v>
      </c>
      <c r="J367" s="187">
        <f ca="1">IFERROR(__xludf.DUMMYFUNCTION("IMPORTRANGE(""https://docs.google.com/spreadsheets/d/11923uPwbBZFjjGgGUA6NLw09EwE0CqkOc4q9oUmW1yo/edit?usp=sharing"",""อุตรดิตถ์!J166"")"),0)</f>
        <v>0</v>
      </c>
      <c r="K367" s="163">
        <f t="shared" ref="K367:K373" ca="1" si="106">IF(I367&gt;0,J367*100/I367,0)</f>
        <v>0</v>
      </c>
      <c r="L367" s="181"/>
      <c r="M367" s="181"/>
      <c r="N367" s="181"/>
      <c r="O367" s="181"/>
      <c r="P367" s="181"/>
    </row>
    <row r="368" spans="1:16" ht="21.75" customHeight="1" x14ac:dyDescent="0.3">
      <c r="A368" s="175"/>
      <c r="B368" s="176"/>
      <c r="C368" s="176"/>
      <c r="D368" s="193"/>
      <c r="E368" s="198"/>
      <c r="F368" s="378" t="s">
        <v>138</v>
      </c>
      <c r="G368" s="379"/>
      <c r="H368" s="186" t="s">
        <v>37</v>
      </c>
      <c r="I368" s="162">
        <f ca="1">IFERROR(__xludf.DUMMYFUNCTION("IMPORTRANGE(""https://docs.google.com/spreadsheets/d/11923uPwbBZFjjGgGUA6NLw09EwE0CqkOc4q9oUmW1yo/edit?usp=sharing"",""อุตรดิตถ์!I263"")"),30)</f>
        <v>30</v>
      </c>
      <c r="J368" s="187">
        <f ca="1">IFERROR(__xludf.DUMMYFUNCTION("IMPORTRANGE(""https://docs.google.com/spreadsheets/d/11923uPwbBZFjjGgGUA6NLw09EwE0CqkOc4q9oUmW1yo/edit?usp=sharing"",""อุตรดิตถ์!J263"")"),0)</f>
        <v>0</v>
      </c>
      <c r="K368" s="163">
        <f t="shared" ca="1" si="106"/>
        <v>0</v>
      </c>
      <c r="L368" s="181"/>
      <c r="M368" s="181"/>
      <c r="N368" s="181"/>
      <c r="O368" s="181"/>
      <c r="P368" s="181"/>
    </row>
    <row r="369" spans="1:16" ht="21.75" hidden="1" customHeight="1" x14ac:dyDescent="0.3">
      <c r="A369" s="175"/>
      <c r="B369" s="176"/>
      <c r="C369" s="176"/>
      <c r="D369" s="193"/>
      <c r="E369" s="198"/>
      <c r="F369" s="195"/>
      <c r="G369" s="379"/>
      <c r="H369" s="180" t="s">
        <v>122</v>
      </c>
      <c r="I369" s="162">
        <f ca="1">IFERROR(__xludf.DUMMYFUNCTION("IMPORTRANGE(""https://docs.google.com/spreadsheets/d/11923uPwbBZFjjGgGUA6NLw09EwE0CqkOc4q9oUmW1yo/edit?usp=sharing"",""อุตรดิตถ์!I164"")"),0)</f>
        <v>0</v>
      </c>
      <c r="J369" s="203">
        <f ca="1">IFERROR(__xludf.DUMMYFUNCTION("IMPORTRANGE(""https://docs.google.com/spreadsheets/d/11923uPwbBZFjjGgGUA6NLw09EwE0CqkOc4q9oUmW1yo/edit?usp=sharing"",""อุตรดิตถ์!J164"")"),0)</f>
        <v>0</v>
      </c>
      <c r="K369" s="163">
        <f t="shared" ca="1" si="106"/>
        <v>0</v>
      </c>
      <c r="L369" s="181"/>
      <c r="M369" s="181"/>
      <c r="N369" s="181"/>
      <c r="O369" s="181"/>
      <c r="P369" s="181"/>
    </row>
    <row r="370" spans="1:16" ht="21.75" customHeight="1" x14ac:dyDescent="0.3">
      <c r="A370" s="175"/>
      <c r="B370" s="176"/>
      <c r="C370" s="176"/>
      <c r="D370" s="193"/>
      <c r="E370" s="198"/>
      <c r="F370" s="195"/>
      <c r="G370" s="378" t="s">
        <v>139</v>
      </c>
      <c r="H370" s="180" t="s">
        <v>37</v>
      </c>
      <c r="I370" s="162">
        <f ca="1">IFERROR(__xludf.DUMMYFUNCTION("IMPORTRANGE(""https://docs.google.com/spreadsheets/d/11923uPwbBZFjjGgGUA6NLw09EwE0CqkOc4q9oUmW1yo/edit?usp=sharing"",""อุตรดิตถ์!I265"")"),30)</f>
        <v>30</v>
      </c>
      <c r="J370" s="203">
        <f ca="1">IFERROR(__xludf.DUMMYFUNCTION("IMPORTRANGE(""https://docs.google.com/spreadsheets/d/11923uPwbBZFjjGgGUA6NLw09EwE0CqkOc4q9oUmW1yo/edit?usp=sharing"",""อุตรดิตถ์!J265"")"),30)</f>
        <v>30</v>
      </c>
      <c r="K370" s="163">
        <f t="shared" ca="1" si="106"/>
        <v>100</v>
      </c>
      <c r="L370" s="181"/>
      <c r="M370" s="181"/>
      <c r="N370" s="181"/>
      <c r="O370" s="181"/>
      <c r="P370" s="181"/>
    </row>
    <row r="371" spans="1:16" ht="21.75" hidden="1" customHeight="1" x14ac:dyDescent="0.3">
      <c r="A371" s="175"/>
      <c r="B371" s="176"/>
      <c r="C371" s="176"/>
      <c r="D371" s="193"/>
      <c r="E371" s="198"/>
      <c r="F371" s="195"/>
      <c r="G371" s="379"/>
      <c r="H371" s="180" t="s">
        <v>122</v>
      </c>
      <c r="I371" s="162">
        <f ca="1">IFERROR(__xludf.DUMMYFUNCTION("IMPORTRANGE(""https://docs.google.com/spreadsheets/d/11923uPwbBZFjjGgGUA6NLw09EwE0CqkOc4q9oUmW1yo/edit?usp=sharing"",""อุตรดิตถ์!I164"")"),0)</f>
        <v>0</v>
      </c>
      <c r="J371" s="188">
        <f ca="1">IFERROR(__xludf.DUMMYFUNCTION("IMPORTRANGE(""https://docs.google.com/spreadsheets/d/11923uPwbBZFjjGgGUA6NLw09EwE0CqkOc4q9oUmW1yo/edit?usp=sharing"",""อุตรดิตถ์!J164"")"),0)</f>
        <v>0</v>
      </c>
      <c r="K371" s="163">
        <f t="shared" ca="1" si="106"/>
        <v>0</v>
      </c>
      <c r="L371" s="181"/>
      <c r="M371" s="181"/>
      <c r="N371" s="181"/>
      <c r="O371" s="181"/>
      <c r="P371" s="181"/>
    </row>
    <row r="372" spans="1:16" ht="21.75" customHeight="1" x14ac:dyDescent="0.3">
      <c r="A372" s="175"/>
      <c r="B372" s="176"/>
      <c r="C372" s="176"/>
      <c r="D372" s="193"/>
      <c r="E372" s="198"/>
      <c r="F372" s="195"/>
      <c r="G372" s="378" t="s">
        <v>140</v>
      </c>
      <c r="H372" s="180" t="s">
        <v>37</v>
      </c>
      <c r="I372" s="162">
        <f ca="1">IFERROR(__xludf.DUMMYFUNCTION("IMPORTRANGE(""https://docs.google.com/spreadsheets/d/11923uPwbBZFjjGgGUA6NLw09EwE0CqkOc4q9oUmW1yo/edit?usp=sharing"",""อุตรดิตถ์!I267"")"),30)</f>
        <v>30</v>
      </c>
      <c r="J372" s="188">
        <f ca="1">IFERROR(__xludf.DUMMYFUNCTION("IMPORTRANGE(""https://docs.google.com/spreadsheets/d/11923uPwbBZFjjGgGUA6NLw09EwE0CqkOc4q9oUmW1yo/edit?usp=sharing"",""อุตรดิตถ์!J267"")"),0)</f>
        <v>0</v>
      </c>
      <c r="K372" s="163">
        <f t="shared" ca="1" si="106"/>
        <v>0</v>
      </c>
      <c r="L372" s="181"/>
      <c r="M372" s="181"/>
      <c r="N372" s="181"/>
      <c r="O372" s="181"/>
      <c r="P372" s="181"/>
    </row>
    <row r="373" spans="1:16" ht="21.75" hidden="1" customHeight="1" x14ac:dyDescent="0.3">
      <c r="A373" s="175"/>
      <c r="B373" s="176"/>
      <c r="C373" s="176"/>
      <c r="D373" s="193"/>
      <c r="E373" s="198"/>
      <c r="F373" s="195"/>
      <c r="G373" s="225" t="s">
        <v>141</v>
      </c>
      <c r="H373" s="180" t="s">
        <v>37</v>
      </c>
      <c r="I373" s="187">
        <f ca="1">IFERROR(__xludf.DUMMYFUNCTION("IMPORTRANGE(""https://docs.google.com/spreadsheets/d/11923uPwbBZFjjGgGUA6NLw09EwE0CqkOc4q9oUmW1yo/edit?usp=sharing"",""อุตรดิตถ์!I164"")"),0)</f>
        <v>0</v>
      </c>
      <c r="J373" s="203">
        <f ca="1">IFERROR(__xludf.DUMMYFUNCTION("IMPORTRANGE(""https://docs.google.com/spreadsheets/d/11923uPwbBZFjjGgGUA6NLw09EwE0CqkOc4q9oUmW1yo/edit?usp=sharing"",""อุตรดิตถ์!J164"")"),0)</f>
        <v>0</v>
      </c>
      <c r="K373" s="163">
        <f t="shared" ca="1" si="106"/>
        <v>0</v>
      </c>
      <c r="L373" s="181"/>
      <c r="M373" s="181"/>
      <c r="N373" s="181"/>
      <c r="O373" s="181"/>
      <c r="P373" s="181"/>
    </row>
    <row r="374" spans="1:16" ht="21.75" hidden="1" customHeight="1" x14ac:dyDescent="0.3">
      <c r="A374" s="175"/>
      <c r="B374" s="176"/>
      <c r="C374" s="176"/>
      <c r="D374" s="193"/>
      <c r="E374" s="198"/>
      <c r="F374" s="195"/>
      <c r="G374" s="196" t="s">
        <v>142</v>
      </c>
      <c r="H374" s="180"/>
      <c r="I374" s="187">
        <f ca="1">IFERROR(__xludf.DUMMYFUNCTION("IMPORTRANGE(""https://docs.google.com/spreadsheets/d/11923uPwbBZFjjGgGUA6NLw09EwE0CqkOc4q9oUmW1yo/edit?usp=sharing"",""อุตรดิตถ์!I164"")"),0)</f>
        <v>0</v>
      </c>
      <c r="J374" s="187">
        <f ca="1">IFERROR(__xludf.DUMMYFUNCTION("IMPORTRANGE(""https://docs.google.com/spreadsheets/d/11923uPwbBZFjjGgGUA6NLw09EwE0CqkOc4q9oUmW1yo/edit?usp=sharing"",""อุตรดิตถ์!J164"")"),0)</f>
        <v>0</v>
      </c>
      <c r="K374" s="163"/>
      <c r="L374" s="181"/>
      <c r="M374" s="181"/>
      <c r="N374" s="181"/>
      <c r="O374" s="181"/>
      <c r="P374" s="181"/>
    </row>
    <row r="375" spans="1:16" ht="21.75" customHeight="1" x14ac:dyDescent="0.3">
      <c r="A375" s="175"/>
      <c r="B375" s="176"/>
      <c r="C375" s="176"/>
      <c r="D375" s="193"/>
      <c r="E375" s="195"/>
      <c r="F375" s="204" t="s">
        <v>53</v>
      </c>
      <c r="G375" s="196"/>
      <c r="H375" s="278" t="s">
        <v>122</v>
      </c>
      <c r="I375" s="187">
        <f ca="1">IFERROR(__xludf.DUMMYFUNCTION("IMPORTRANGE(""https://docs.google.com/spreadsheets/d/11923uPwbBZFjjGgGUA6NLw09EwE0CqkOc4q9oUmW1yo/edit?usp=sharing"",""อุตรดิตถ์!I270"")"),30)</f>
        <v>30</v>
      </c>
      <c r="J375" s="187">
        <f ca="1">IFERROR(__xludf.DUMMYFUNCTION("IMPORTRANGE(""https://docs.google.com/spreadsheets/d/11923uPwbBZFjjGgGUA6NLw09EwE0CqkOc4q9oUmW1yo/edit?usp=sharing"",""อุตรดิตถ์!J270"")"),0)</f>
        <v>0</v>
      </c>
      <c r="K375" s="163">
        <f t="shared" ref="K375:K377" ca="1" si="107">IF(I375&gt;0,J375*100/I375,0)</f>
        <v>0</v>
      </c>
      <c r="L375" s="181"/>
      <c r="M375" s="181"/>
      <c r="N375" s="181"/>
      <c r="O375" s="181"/>
      <c r="P375" s="181"/>
    </row>
    <row r="376" spans="1:16" ht="21.75" customHeight="1" x14ac:dyDescent="0.3">
      <c r="A376" s="175"/>
      <c r="B376" s="176"/>
      <c r="C376" s="176"/>
      <c r="D376" s="193"/>
      <c r="E376" s="195"/>
      <c r="F376" s="195"/>
      <c r="G376" s="279" t="s">
        <v>143</v>
      </c>
      <c r="H376" s="278" t="s">
        <v>122</v>
      </c>
      <c r="I376" s="187">
        <f ca="1">IFERROR(__xludf.DUMMYFUNCTION("IMPORTRANGE(""https://docs.google.com/spreadsheets/d/11923uPwbBZFjjGgGUA6NLw09EwE0CqkOc4q9oUmW1yo/edit?usp=sharing"",""อุตรดิตถ์!I271"")"),20)</f>
        <v>20</v>
      </c>
      <c r="J376" s="188">
        <f ca="1">IFERROR(__xludf.DUMMYFUNCTION("IMPORTRANGE(""https://docs.google.com/spreadsheets/d/11923uPwbBZFjjGgGUA6NLw09EwE0CqkOc4q9oUmW1yo/edit?usp=sharing"",""อุตรดิตถ์!J271"")"),0)</f>
        <v>0</v>
      </c>
      <c r="K376" s="163">
        <f t="shared" ca="1" si="107"/>
        <v>0</v>
      </c>
      <c r="L376" s="181"/>
      <c r="M376" s="181"/>
      <c r="N376" s="181"/>
      <c r="O376" s="181"/>
      <c r="P376" s="181"/>
    </row>
    <row r="377" spans="1:16" ht="21.75" customHeight="1" x14ac:dyDescent="0.3">
      <c r="A377" s="175"/>
      <c r="B377" s="176"/>
      <c r="C377" s="176"/>
      <c r="D377" s="193"/>
      <c r="E377" s="195"/>
      <c r="F377" s="195"/>
      <c r="G377" s="279" t="s">
        <v>144</v>
      </c>
      <c r="H377" s="278" t="s">
        <v>122</v>
      </c>
      <c r="I377" s="187">
        <f ca="1">IFERROR(__xludf.DUMMYFUNCTION("IMPORTRANGE(""https://docs.google.com/spreadsheets/d/11923uPwbBZFjjGgGUA6NLw09EwE0CqkOc4q9oUmW1yo/edit?usp=sharing"",""อุตรดิตถ์!I272"")"),10)</f>
        <v>10</v>
      </c>
      <c r="J377" s="203">
        <f ca="1">IFERROR(__xludf.DUMMYFUNCTION("IMPORTRANGE(""https://docs.google.com/spreadsheets/d/11923uPwbBZFjjGgGUA6NLw09EwE0CqkOc4q9oUmW1yo/edit?usp=sharing"",""อุตรดิตถ์!J272"")"),0)</f>
        <v>0</v>
      </c>
      <c r="K377" s="163">
        <f t="shared" ca="1" si="107"/>
        <v>0</v>
      </c>
      <c r="L377" s="181"/>
      <c r="M377" s="181"/>
      <c r="N377" s="181"/>
      <c r="O377" s="181"/>
      <c r="P377" s="181"/>
    </row>
    <row r="378" spans="1:16" ht="21.75" customHeight="1" x14ac:dyDescent="0.3">
      <c r="A378" s="175"/>
      <c r="B378" s="176"/>
      <c r="C378" s="176"/>
      <c r="D378" s="193"/>
      <c r="E378" s="194" t="s">
        <v>54</v>
      </c>
      <c r="F378" s="195"/>
      <c r="G378" s="196"/>
      <c r="H378" s="186"/>
      <c r="I378" s="187"/>
      <c r="J378" s="197">
        <f ca="1">IFERROR(__xludf.DUMMYFUNCTION("IMPORTRANGE(""https://docs.google.com/spreadsheets/d/11923uPwbBZFjjGgGUA6NLw09EwE0CqkOc4q9oUmW1yo/edit?usp=sharing"",""อุตรดิตถ์!J273"")"),0)</f>
        <v>0</v>
      </c>
      <c r="K378" s="163"/>
      <c r="L378" s="181"/>
      <c r="M378" s="181"/>
      <c r="N378" s="181"/>
      <c r="O378" s="181"/>
      <c r="P378" s="181"/>
    </row>
    <row r="379" spans="1:16" ht="21.75" customHeight="1" x14ac:dyDescent="0.3">
      <c r="A379" s="175"/>
      <c r="B379" s="176"/>
      <c r="C379" s="176"/>
      <c r="D379" s="205">
        <v>3</v>
      </c>
      <c r="E379" s="206" t="s">
        <v>55</v>
      </c>
      <c r="F379" s="207"/>
      <c r="G379" s="208"/>
      <c r="H379" s="186"/>
      <c r="I379" s="187"/>
      <c r="J379" s="209">
        <f ca="1">IFERROR(__xludf.DUMMYFUNCTION("IMPORTRANGE(""https://docs.google.com/spreadsheets/d/11923uPwbBZFjjGgGUA6NLw09EwE0CqkOc4q9oUmW1yo/edit?usp=sharing"",""อุตรดิตถ์!J274"")"),0)</f>
        <v>0</v>
      </c>
      <c r="K379" s="163"/>
      <c r="L379" s="181"/>
      <c r="M379" s="181"/>
      <c r="N379" s="181"/>
      <c r="O379" s="181"/>
      <c r="P379" s="181"/>
    </row>
    <row r="380" spans="1:16" ht="21.75" customHeight="1" x14ac:dyDescent="0.3">
      <c r="A380" s="364"/>
      <c r="B380" s="365">
        <v>2</v>
      </c>
      <c r="C380" s="366" t="s">
        <v>145</v>
      </c>
      <c r="D380" s="366"/>
      <c r="E380" s="380"/>
      <c r="F380" s="380"/>
      <c r="G380" s="381"/>
      <c r="H380" s="368" t="s">
        <v>122</v>
      </c>
      <c r="I380" s="369">
        <f ca="1">IFERROR(__xludf.DUMMYFUNCTION("IMPORTRANGE(""https://docs.google.com/spreadsheets/d/11923uPwbBZFjjGgGUA6NLw09EwE0CqkOc4q9oUmW1yo/edit?usp=sharing"",""อุตรดิตถ์!I275"")"),1000)</f>
        <v>1000</v>
      </c>
      <c r="J380" s="369">
        <f ca="1">IFERROR(__xludf.DUMMYFUNCTION("IMPORTRANGE(""https://docs.google.com/spreadsheets/d/11923uPwbBZFjjGgGUA6NLw09EwE0CqkOc4q9oUmW1yo/edit?usp=sharing"",""อุตรดิตถ์!J275"")"),0)</f>
        <v>0</v>
      </c>
      <c r="K380" s="370">
        <f t="shared" ref="K380:K381" ca="1" si="108">IF(I380&gt;0,J380*100/I380,0)</f>
        <v>0</v>
      </c>
      <c r="L380" s="371">
        <f ca="1">IFERROR(__xludf.DUMMYFUNCTION("IMPORTRANGE(""https://docs.google.com/spreadsheets/d/11923uPwbBZFjjGgGUA6NLw09EwE0CqkOc4q9oUmW1yo/edit?usp=sharing"",""อุตรดิตถ์!L275"")"),1028520)</f>
        <v>1028520</v>
      </c>
      <c r="M380" s="371"/>
      <c r="N380" s="371">
        <f ca="1">IFERROR(__xludf.DUMMYFUNCTION("IMPORTRANGE(""https://docs.google.com/spreadsheets/d/11923uPwbBZFjjGgGUA6NLw09EwE0CqkOc4q9oUmW1yo/edit?usp=sharing"",""อุตรดิตถ์!M275"")"),76589)</f>
        <v>76589</v>
      </c>
      <c r="O380" s="371">
        <f ca="1">+IF(L380&gt;0,N380*100/L380,0)</f>
        <v>7.4465251040329798</v>
      </c>
      <c r="P380" s="371"/>
    </row>
    <row r="381" spans="1:16" ht="21.75" customHeight="1" x14ac:dyDescent="0.3">
      <c r="A381" s="364"/>
      <c r="B381" s="365"/>
      <c r="C381" s="366"/>
      <c r="D381" s="382"/>
      <c r="E381" s="383"/>
      <c r="F381" s="383"/>
      <c r="G381" s="384"/>
      <c r="H381" s="368" t="s">
        <v>37</v>
      </c>
      <c r="I381" s="369">
        <f ca="1">IFERROR(__xludf.DUMMYFUNCTION("IMPORTRANGE(""https://docs.google.com/spreadsheets/d/11923uPwbBZFjjGgGUA6NLw09EwE0CqkOc4q9oUmW1yo/edit?usp=sharing"",""อุตรดิตถ์!I276"")"),100)</f>
        <v>100</v>
      </c>
      <c r="J381" s="369">
        <f ca="1">IFERROR(__xludf.DUMMYFUNCTION("IMPORTRANGE(""https://docs.google.com/spreadsheets/d/11923uPwbBZFjjGgGUA6NLw09EwE0CqkOc4q9oUmW1yo/edit?usp=sharing"",""อุตรดิตถ์!J276"")"),35)</f>
        <v>35</v>
      </c>
      <c r="K381" s="370">
        <f t="shared" ca="1" si="108"/>
        <v>35</v>
      </c>
      <c r="L381" s="371"/>
      <c r="M381" s="371"/>
      <c r="N381" s="371"/>
      <c r="O381" s="371"/>
      <c r="P381" s="371"/>
    </row>
    <row r="382" spans="1:16" ht="21.75" customHeight="1" x14ac:dyDescent="0.3">
      <c r="A382" s="156"/>
      <c r="B382" s="157"/>
      <c r="C382" s="157" t="s">
        <v>16</v>
      </c>
      <c r="D382" s="158" t="s">
        <v>38</v>
      </c>
      <c r="E382" s="159"/>
      <c r="F382" s="159"/>
      <c r="G382" s="160" t="s">
        <v>39</v>
      </c>
      <c r="H382" s="161" t="s">
        <v>12</v>
      </c>
      <c r="I382" s="162" t="s">
        <v>40</v>
      </c>
      <c r="J382" s="162"/>
      <c r="K382" s="163"/>
      <c r="L382" s="164">
        <f ca="1">IFERROR(__xludf.DUMMYFUNCTION("IMPORTRANGE(""https://docs.google.com/spreadsheets/d/11923uPwbBZFjjGgGUA6NLw09EwE0CqkOc4q9oUmW1yo/edit?usp=sharing"",""อุตรดิตถ์!L277"")"),0)</f>
        <v>0</v>
      </c>
      <c r="M382" s="164"/>
      <c r="N382" s="164">
        <f ca="1">IFERROR(__xludf.DUMMYFUNCTION("IMPORTRANGE(""https://docs.google.com/spreadsheets/d/11923uPwbBZFjjGgGUA6NLw09EwE0CqkOc4q9oUmW1yo/edit?usp=sharing"",""อุตรดิตถ์!M277"")"),0)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3">
      <c r="A383" s="156"/>
      <c r="B383" s="157"/>
      <c r="C383" s="157"/>
      <c r="D383" s="166"/>
      <c r="E383" s="159"/>
      <c r="F383" s="159" t="s">
        <v>40</v>
      </c>
      <c r="G383" s="160" t="s">
        <v>41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IFERROR(__xludf.DUMMYFUNCTION("IMPORTRANGE(""https://docs.google.com/spreadsheets/d/11923uPwbBZFjjGgGUA6NLw09EwE0CqkOc4q9oUmW1yo/edit?usp=sharing"",""อุตรดิตถ์!L278"")"),1028520)</f>
        <v>1028520</v>
      </c>
      <c r="M383" s="165"/>
      <c r="N383" s="165">
        <f ca="1">IFERROR(__xludf.DUMMYFUNCTION("IMPORTRANGE(""https://docs.google.com/spreadsheets/d/11923uPwbBZFjjGgGUA6NLw09EwE0CqkOc4q9oUmW1yo/edit?usp=sharing"",""อุตรดิตถ์!M278"")"),76589)</f>
        <v>76589</v>
      </c>
      <c r="O383" s="165">
        <f t="shared" ca="1" si="109"/>
        <v>7.4465251040329798</v>
      </c>
      <c r="P383" s="165"/>
    </row>
    <row r="384" spans="1:16" ht="21.75" customHeight="1" x14ac:dyDescent="0.3">
      <c r="A384" s="156"/>
      <c r="B384" s="157"/>
      <c r="C384" s="157"/>
      <c r="D384" s="166"/>
      <c r="E384" s="159"/>
      <c r="F384" s="159"/>
      <c r="G384" s="372" t="s">
        <v>129</v>
      </c>
      <c r="H384" s="161" t="s">
        <v>12</v>
      </c>
      <c r="I384" s="162"/>
      <c r="J384" s="162"/>
      <c r="K384" s="163"/>
      <c r="L384" s="168">
        <f ca="1">IFERROR(__xludf.DUMMYFUNCTION("IMPORTRANGE(""https://docs.google.com/spreadsheets/d/11923uPwbBZFjjGgGUA6NLw09EwE0CqkOc4q9oUmW1yo/edit?usp=sharing"",""อุตรดิตถ์!L279"")"),0)</f>
        <v>0</v>
      </c>
      <c r="M384" s="168"/>
      <c r="N384" s="168">
        <f ca="1">IFERROR(__xludf.DUMMYFUNCTION("IMPORTRANGE(""https://docs.google.com/spreadsheets/d/11923uPwbBZFjjGgGUA6NLw09EwE0CqkOc4q9oUmW1yo/edit?usp=sharing"",""อุตรดิตถ์!M279"")"),0)</f>
        <v>0</v>
      </c>
      <c r="O384" s="168">
        <f t="shared" ca="1" si="109"/>
        <v>0</v>
      </c>
      <c r="P384" s="168"/>
    </row>
    <row r="385" spans="1:16" ht="21.75" customHeight="1" x14ac:dyDescent="0.3">
      <c r="A385" s="156"/>
      <c r="B385" s="157"/>
      <c r="C385" s="157"/>
      <c r="D385" s="166"/>
      <c r="E385" s="159"/>
      <c r="F385" s="159"/>
      <c r="G385" s="372" t="s">
        <v>130</v>
      </c>
      <c r="H385" s="161" t="s">
        <v>12</v>
      </c>
      <c r="I385" s="162"/>
      <c r="J385" s="162"/>
      <c r="K385" s="163"/>
      <c r="L385" s="168">
        <f ca="1">IFERROR(__xludf.DUMMYFUNCTION("IMPORTRANGE(""https://docs.google.com/spreadsheets/d/11923uPwbBZFjjGgGUA6NLw09EwE0CqkOc4q9oUmW1yo/edit?usp=sharing"",""อุตรดิตถ์!L280"")"),1028520)</f>
        <v>1028520</v>
      </c>
      <c r="M385" s="168"/>
      <c r="N385" s="167">
        <f ca="1">IFERROR(__xludf.DUMMYFUNCTION("IMPORTRANGE(""https://docs.google.com/spreadsheets/d/11923uPwbBZFjjGgGUA6NLw09EwE0CqkOc4q9oUmW1yo/edit?usp=sharing"",""อุตรดิตถ์!M280"")"),76589)</f>
        <v>76589</v>
      </c>
      <c r="O385" s="168">
        <f t="shared" ca="1" si="109"/>
        <v>7.4465251040329798</v>
      </c>
      <c r="P385" s="168"/>
    </row>
    <row r="386" spans="1:16" ht="21.75" customHeight="1" x14ac:dyDescent="0.3">
      <c r="A386" s="373"/>
      <c r="B386" s="374"/>
      <c r="C386" s="157"/>
      <c r="D386" s="375"/>
      <c r="E386" s="159"/>
      <c r="F386" s="159"/>
      <c r="G386" s="376" t="s">
        <v>131</v>
      </c>
      <c r="H386" s="161" t="s">
        <v>12</v>
      </c>
      <c r="I386" s="187"/>
      <c r="J386" s="187"/>
      <c r="K386" s="223"/>
      <c r="L386" s="168"/>
      <c r="M386" s="168"/>
      <c r="N386" s="377">
        <f ca="1">IFERROR(__xludf.DUMMYFUNCTION("IMPORTRANGE(""https://docs.google.com/spreadsheets/d/11923uPwbBZFjjGgGUA6NLw09EwE0CqkOc4q9oUmW1yo/edit?usp=sharing"",""อุตรดิตถ์!M281"")"),11845)</f>
        <v>11845</v>
      </c>
      <c r="O386" s="168"/>
      <c r="P386" s="168"/>
    </row>
    <row r="387" spans="1:16" ht="21.75" customHeight="1" x14ac:dyDescent="0.3">
      <c r="A387" s="373"/>
      <c r="B387" s="374"/>
      <c r="C387" s="157"/>
      <c r="D387" s="375"/>
      <c r="E387" s="159"/>
      <c r="F387" s="159"/>
      <c r="G387" s="376" t="s">
        <v>132</v>
      </c>
      <c r="H387" s="161" t="s">
        <v>12</v>
      </c>
      <c r="I387" s="187"/>
      <c r="J387" s="187"/>
      <c r="K387" s="223"/>
      <c r="L387" s="168"/>
      <c r="M387" s="168"/>
      <c r="N387" s="377">
        <f ca="1">IFERROR(__xludf.DUMMYFUNCTION("IMPORTRANGE(""https://docs.google.com/spreadsheets/d/11923uPwbBZFjjGgGUA6NLw09EwE0CqkOc4q9oUmW1yo/edit?usp=sharing"",""อุตรดิตถ์!M282"")"),0)</f>
        <v>0</v>
      </c>
      <c r="O387" s="168"/>
      <c r="P387" s="168"/>
    </row>
    <row r="388" spans="1:16" ht="21.75" customHeight="1" x14ac:dyDescent="0.3">
      <c r="A388" s="373"/>
      <c r="B388" s="374"/>
      <c r="C388" s="157"/>
      <c r="D388" s="375"/>
      <c r="E388" s="159"/>
      <c r="F388" s="159"/>
      <c r="G388" s="376" t="s">
        <v>133</v>
      </c>
      <c r="H388" s="161" t="s">
        <v>12</v>
      </c>
      <c r="I388" s="187"/>
      <c r="J388" s="187"/>
      <c r="K388" s="223"/>
      <c r="L388" s="168"/>
      <c r="M388" s="168"/>
      <c r="N388" s="377">
        <f ca="1">IFERROR(__xludf.DUMMYFUNCTION("IMPORTRANGE(""https://docs.google.com/spreadsheets/d/11923uPwbBZFjjGgGUA6NLw09EwE0CqkOc4q9oUmW1yo/edit?usp=sharing"",""อุตรดิตถ์!M283"")"),52500)</f>
        <v>52500</v>
      </c>
      <c r="O388" s="168"/>
      <c r="P388" s="168"/>
    </row>
    <row r="389" spans="1:16" ht="21.75" customHeight="1" x14ac:dyDescent="0.3">
      <c r="A389" s="373"/>
      <c r="B389" s="374"/>
      <c r="C389" s="157"/>
      <c r="D389" s="375"/>
      <c r="E389" s="159"/>
      <c r="F389" s="159"/>
      <c r="G389" s="376" t="s">
        <v>134</v>
      </c>
      <c r="H389" s="161" t="s">
        <v>12</v>
      </c>
      <c r="I389" s="187"/>
      <c r="J389" s="187"/>
      <c r="K389" s="223"/>
      <c r="L389" s="168"/>
      <c r="M389" s="168"/>
      <c r="N389" s="377">
        <f ca="1">IFERROR(__xludf.DUMMYFUNCTION("IMPORTRANGE(""https://docs.google.com/spreadsheets/d/11923uPwbBZFjjGgGUA6NLw09EwE0CqkOc4q9oUmW1yo/edit?usp=sharing"",""อุตรดิตถ์!M284"")"),12244)</f>
        <v>12244</v>
      </c>
      <c r="O389" s="168"/>
      <c r="P389" s="168"/>
    </row>
    <row r="390" spans="1:16" ht="21.75" customHeight="1" x14ac:dyDescent="0.3">
      <c r="A390" s="175"/>
      <c r="B390" s="176"/>
      <c r="C390" s="157" t="s">
        <v>16</v>
      </c>
      <c r="D390" s="177" t="s">
        <v>44</v>
      </c>
      <c r="E390" s="178"/>
      <c r="F390" s="178"/>
      <c r="G390" s="179"/>
      <c r="H390" s="180"/>
      <c r="I390" s="162"/>
      <c r="J390" s="162"/>
      <c r="K390" s="163"/>
      <c r="L390" s="181"/>
      <c r="M390" s="181"/>
      <c r="N390" s="181"/>
      <c r="O390" s="181"/>
      <c r="P390" s="181"/>
    </row>
    <row r="391" spans="1:16" ht="21.75" customHeight="1" x14ac:dyDescent="0.3">
      <c r="A391" s="175"/>
      <c r="B391" s="176"/>
      <c r="C391" s="176"/>
      <c r="D391" s="182">
        <v>1</v>
      </c>
      <c r="E391" s="183" t="s">
        <v>45</v>
      </c>
      <c r="F391" s="184"/>
      <c r="G391" s="185"/>
      <c r="H391" s="186"/>
      <c r="I391" s="187"/>
      <c r="J391" s="197">
        <f ca="1">IFERROR(__xludf.DUMMYFUNCTION("IMPORTRANGE(""https://docs.google.com/spreadsheets/d/11923uPwbBZFjjGgGUA6NLw09EwE0CqkOc4q9oUmW1yo/edit?usp=sharing"",""อุตรดิตถ์!J286"")"),0)</f>
        <v>0</v>
      </c>
      <c r="K391" s="163"/>
      <c r="L391" s="181"/>
      <c r="M391" s="181"/>
      <c r="N391" s="181"/>
      <c r="O391" s="181"/>
      <c r="P391" s="181"/>
    </row>
    <row r="392" spans="1:16" ht="21.75" customHeight="1" x14ac:dyDescent="0.3">
      <c r="A392" s="175"/>
      <c r="B392" s="176"/>
      <c r="C392" s="176"/>
      <c r="D392" s="189">
        <v>2</v>
      </c>
      <c r="E392" s="190" t="s">
        <v>46</v>
      </c>
      <c r="F392" s="191"/>
      <c r="G392" s="192"/>
      <c r="H392" s="186"/>
      <c r="I392" s="187"/>
      <c r="J392" s="188">
        <f ca="1">IFERROR(__xludf.DUMMYFUNCTION("IMPORTRANGE(""https://docs.google.com/spreadsheets/d/11923uPwbBZFjjGgGUA6NLw09EwE0CqkOc4q9oUmW1yo/edit?usp=sharing"",""อุตรดิตถ์!J287"")"),1)</f>
        <v>1</v>
      </c>
      <c r="K392" s="163"/>
      <c r="L392" s="181" t="s">
        <v>40</v>
      </c>
      <c r="M392" s="181"/>
      <c r="N392" s="181" t="s">
        <v>40</v>
      </c>
      <c r="O392" s="181"/>
      <c r="P392" s="181"/>
    </row>
    <row r="393" spans="1:16" ht="21.75" customHeight="1" x14ac:dyDescent="0.3">
      <c r="A393" s="175"/>
      <c r="B393" s="176"/>
      <c r="C393" s="176"/>
      <c r="D393" s="193"/>
      <c r="E393" s="194" t="s">
        <v>47</v>
      </c>
      <c r="F393" s="195"/>
      <c r="G393" s="196"/>
      <c r="H393" s="186"/>
      <c r="I393" s="187"/>
      <c r="J393" s="188">
        <f ca="1">IFERROR(__xludf.DUMMYFUNCTION("IMPORTRANGE(""https://docs.google.com/spreadsheets/d/11923uPwbBZFjjGgGUA6NLw09EwE0CqkOc4q9oUmW1yo/edit?usp=sharing"",""อุตรดิตถ์!J288"")"),1)</f>
        <v>1</v>
      </c>
      <c r="K393" s="163"/>
      <c r="L393" s="181"/>
      <c r="M393" s="181"/>
      <c r="N393" s="181"/>
      <c r="O393" s="181"/>
      <c r="P393" s="181"/>
    </row>
    <row r="394" spans="1:16" ht="21.75" customHeight="1" x14ac:dyDescent="0.3">
      <c r="A394" s="175"/>
      <c r="B394" s="176"/>
      <c r="C394" s="176"/>
      <c r="D394" s="193"/>
      <c r="E394" s="194" t="s">
        <v>48</v>
      </c>
      <c r="F394" s="195"/>
      <c r="G394" s="196"/>
      <c r="H394" s="186"/>
      <c r="I394" s="187"/>
      <c r="J394" s="197">
        <f ca="1">IFERROR(__xludf.DUMMYFUNCTION("IMPORTRANGE(""https://docs.google.com/spreadsheets/d/11923uPwbBZFjjGgGUA6NLw09EwE0CqkOc4q9oUmW1yo/edit?usp=sharing"",""อุตรดิตถ์!J289"")"),1)</f>
        <v>1</v>
      </c>
      <c r="K394" s="163"/>
      <c r="L394" s="181"/>
      <c r="M394" s="181"/>
      <c r="N394" s="181"/>
      <c r="O394" s="181"/>
      <c r="P394" s="181"/>
    </row>
    <row r="395" spans="1:16" ht="21.75" customHeight="1" x14ac:dyDescent="0.3">
      <c r="A395" s="175"/>
      <c r="B395" s="176"/>
      <c r="C395" s="176"/>
      <c r="D395" s="193"/>
      <c r="E395" s="198"/>
      <c r="F395" s="194" t="s">
        <v>146</v>
      </c>
      <c r="G395" s="195"/>
      <c r="H395" s="186"/>
      <c r="I395" s="187"/>
      <c r="J395" s="187"/>
      <c r="K395" s="163"/>
      <c r="L395" s="181"/>
      <c r="M395" s="181"/>
      <c r="N395" s="181"/>
      <c r="O395" s="181"/>
      <c r="P395" s="181"/>
    </row>
    <row r="396" spans="1:16" ht="21.75" customHeight="1" x14ac:dyDescent="0.3">
      <c r="A396" s="175"/>
      <c r="B396" s="176"/>
      <c r="C396" s="176"/>
      <c r="D396" s="193"/>
      <c r="E396" s="198"/>
      <c r="F396" s="195"/>
      <c r="G396" s="291" t="s">
        <v>70</v>
      </c>
      <c r="H396" s="186" t="s">
        <v>37</v>
      </c>
      <c r="I396" s="187">
        <f ca="1">IFERROR(__xludf.DUMMYFUNCTION("IMPORTRANGE(""https://docs.google.com/spreadsheets/d/11923uPwbBZFjjGgGUA6NLw09EwE0CqkOc4q9oUmW1yo/edit?usp=sharing"",""อุตรดิตถ์!I291"")"),100)</f>
        <v>100</v>
      </c>
      <c r="J396" s="197">
        <f ca="1">IFERROR(__xludf.DUMMYFUNCTION("IMPORTRANGE(""https://docs.google.com/spreadsheets/d/11923uPwbBZFjjGgGUA6NLw09EwE0CqkOc4q9oUmW1yo/edit?usp=sharing"",""อุตรดิตถ์!J291"")"),35)</f>
        <v>35</v>
      </c>
      <c r="K396" s="163">
        <f t="shared" ref="K396:K398" ca="1" si="110">IF(I396&gt;0,J396*100/I396,0)</f>
        <v>35</v>
      </c>
      <c r="L396" s="181"/>
      <c r="M396" s="181"/>
      <c r="N396" s="181"/>
      <c r="O396" s="181"/>
      <c r="P396" s="181"/>
    </row>
    <row r="397" spans="1:16" ht="21.75" customHeight="1" x14ac:dyDescent="0.3">
      <c r="A397" s="175"/>
      <c r="B397" s="176"/>
      <c r="C397" s="176"/>
      <c r="D397" s="193"/>
      <c r="E397" s="198"/>
      <c r="F397" s="195"/>
      <c r="G397" s="196" t="s">
        <v>53</v>
      </c>
      <c r="H397" s="186" t="s">
        <v>122</v>
      </c>
      <c r="I397" s="187">
        <f ca="1">IFERROR(__xludf.DUMMYFUNCTION("IMPORTRANGE(""https://docs.google.com/spreadsheets/d/11923uPwbBZFjjGgGUA6NLw09EwE0CqkOc4q9oUmW1yo/edit?usp=sharing"",""อุตรดิตถ์!I292"")"),1000)</f>
        <v>1000</v>
      </c>
      <c r="J397" s="197">
        <f ca="1">IFERROR(__xludf.DUMMYFUNCTION("IMPORTRANGE(""https://docs.google.com/spreadsheets/d/11923uPwbBZFjjGgGUA6NLw09EwE0CqkOc4q9oUmW1yo/edit?usp=sharing"",""อุตรดิตถ์!J292"")"),0)</f>
        <v>0</v>
      </c>
      <c r="K397" s="163">
        <f t="shared" ca="1" si="110"/>
        <v>0</v>
      </c>
      <c r="L397" s="181"/>
      <c r="M397" s="181"/>
      <c r="N397" s="181"/>
      <c r="O397" s="181"/>
      <c r="P397" s="181"/>
    </row>
    <row r="398" spans="1:16" ht="21.75" customHeight="1" x14ac:dyDescent="0.3">
      <c r="A398" s="175"/>
      <c r="B398" s="176"/>
      <c r="C398" s="176"/>
      <c r="D398" s="193"/>
      <c r="E398" s="198"/>
      <c r="F398" s="195"/>
      <c r="G398" s="196"/>
      <c r="H398" s="186" t="s">
        <v>37</v>
      </c>
      <c r="I398" s="187">
        <f ca="1">IFERROR(__xludf.DUMMYFUNCTION("IMPORTRANGE(""https://docs.google.com/spreadsheets/d/11923uPwbBZFjjGgGUA6NLw09EwE0CqkOc4q9oUmW1yo/edit?usp=sharing"",""อุตรดิตถ์!I293"")"),100)</f>
        <v>100</v>
      </c>
      <c r="J398" s="197">
        <f ca="1">IFERROR(__xludf.DUMMYFUNCTION("IMPORTRANGE(""https://docs.google.com/spreadsheets/d/11923uPwbBZFjjGgGUA6NLw09EwE0CqkOc4q9oUmW1yo/edit?usp=sharing"",""อุตรดิตถ์!J293"")"),0)</f>
        <v>0</v>
      </c>
      <c r="K398" s="163">
        <f t="shared" ca="1" si="110"/>
        <v>0</v>
      </c>
      <c r="L398" s="181"/>
      <c r="M398" s="181"/>
      <c r="N398" s="181"/>
      <c r="O398" s="181"/>
      <c r="P398" s="181"/>
    </row>
    <row r="399" spans="1:16" ht="21.75" customHeight="1" x14ac:dyDescent="0.3">
      <c r="A399" s="175"/>
      <c r="B399" s="176"/>
      <c r="C399" s="176"/>
      <c r="D399" s="193"/>
      <c r="E399" s="194" t="s">
        <v>54</v>
      </c>
      <c r="F399" s="195"/>
      <c r="G399" s="196"/>
      <c r="H399" s="186"/>
      <c r="I399" s="187"/>
      <c r="J399" s="197">
        <f ca="1">IFERROR(__xludf.DUMMYFUNCTION("IMPORTRANGE(""https://docs.google.com/spreadsheets/d/11923uPwbBZFjjGgGUA6NLw09EwE0CqkOc4q9oUmW1yo/edit?usp=sharing"",""อุตรดิตถ์!J294"")"),0)</f>
        <v>0</v>
      </c>
      <c r="K399" s="163"/>
      <c r="L399" s="181"/>
      <c r="M399" s="181"/>
      <c r="N399" s="181"/>
      <c r="O399" s="181"/>
      <c r="P399" s="181"/>
    </row>
    <row r="400" spans="1:16" ht="21.75" customHeight="1" x14ac:dyDescent="0.3">
      <c r="A400" s="175"/>
      <c r="B400" s="176"/>
      <c r="C400" s="176"/>
      <c r="D400" s="205">
        <v>3</v>
      </c>
      <c r="E400" s="206" t="s">
        <v>55</v>
      </c>
      <c r="F400" s="207"/>
      <c r="G400" s="208"/>
      <c r="H400" s="186"/>
      <c r="I400" s="187"/>
      <c r="J400" s="209">
        <f ca="1">IFERROR(__xludf.DUMMYFUNCTION("IMPORTRANGE(""https://docs.google.com/spreadsheets/d/11923uPwbBZFjjGgGUA6NLw09EwE0CqkOc4q9oUmW1yo/edit?usp=sharing"",""อุตรดิตถ์!J295"")"),0)</f>
        <v>0</v>
      </c>
      <c r="K400" s="163"/>
      <c r="L400" s="181"/>
      <c r="M400" s="181"/>
      <c r="N400" s="181"/>
      <c r="O400" s="181"/>
      <c r="P400" s="181"/>
    </row>
    <row r="401" spans="1:16" ht="21.75" customHeight="1" x14ac:dyDescent="0.3">
      <c r="A401" s="364"/>
      <c r="B401" s="365">
        <v>3</v>
      </c>
      <c r="C401" s="365" t="s">
        <v>147</v>
      </c>
      <c r="D401" s="366"/>
      <c r="E401" s="366"/>
      <c r="F401" s="366"/>
      <c r="G401" s="367"/>
      <c r="H401" s="368" t="s">
        <v>122</v>
      </c>
      <c r="I401" s="369">
        <f ca="1">IFERROR(__xludf.DUMMYFUNCTION("IMPORTRANGE(""https://docs.google.com/spreadsheets/d/11923uPwbBZFjjGgGUA6NLw09EwE0CqkOc4q9oUmW1yo/edit?usp=sharing"",""อุตรดิตถ์!I296"")"),135)</f>
        <v>135</v>
      </c>
      <c r="J401" s="369">
        <f ca="1">IFERROR(__xludf.DUMMYFUNCTION("IMPORTRANGE(""https://docs.google.com/spreadsheets/d/11923uPwbBZFjjGgGUA6NLw09EwE0CqkOc4q9oUmW1yo/edit?usp=sharing"",""อุตรดิตถ์!J296"")"),105)</f>
        <v>105</v>
      </c>
      <c r="K401" s="370">
        <f t="shared" ref="K401:K402" ca="1" si="111">IF(I401&gt;0,J401*100/I401,0)</f>
        <v>77.777777777777771</v>
      </c>
      <c r="L401" s="371">
        <f ca="1">IFERROR(__xludf.DUMMYFUNCTION("IMPORTRANGE(""https://docs.google.com/spreadsheets/d/11923uPwbBZFjjGgGUA6NLw09EwE0CqkOc4q9oUmW1yo/edit?usp=sharing"",""อุตรดิตถ์!L296"")"),159950)</f>
        <v>159950</v>
      </c>
      <c r="M401" s="371"/>
      <c r="N401" s="371">
        <f ca="1">IFERROR(__xludf.DUMMYFUNCTION("IMPORTRANGE(""https://docs.google.com/spreadsheets/d/11923uPwbBZFjjGgGUA6NLw09EwE0CqkOc4q9oUmW1yo/edit?usp=sharing"",""อุตรดิตถ์!M296"")"),35881)</f>
        <v>35881</v>
      </c>
      <c r="O401" s="371">
        <f ca="1">+IF(L401&gt;0,N401*100/L401,0)</f>
        <v>22.432635198499533</v>
      </c>
      <c r="P401" s="371"/>
    </row>
    <row r="402" spans="1:16" ht="21.75" customHeight="1" x14ac:dyDescent="0.3">
      <c r="A402" s="364"/>
      <c r="B402" s="365"/>
      <c r="C402" s="365"/>
      <c r="D402" s="382"/>
      <c r="E402" s="382"/>
      <c r="F402" s="382"/>
      <c r="G402" s="385"/>
      <c r="H402" s="368" t="s">
        <v>37</v>
      </c>
      <c r="I402" s="369">
        <f ca="1">IFERROR(__xludf.DUMMYFUNCTION("IMPORTRANGE(""https://docs.google.com/spreadsheets/d/11923uPwbBZFjjGgGUA6NLw09EwE0CqkOc4q9oUmW1yo/edit?usp=sharing"",""อุตรดิตถ์!I297"")"),45)</f>
        <v>45</v>
      </c>
      <c r="J402" s="369">
        <f ca="1">IFERROR(__xludf.DUMMYFUNCTION("IMPORTRANGE(""https://docs.google.com/spreadsheets/d/11923uPwbBZFjjGgGUA6NLw09EwE0CqkOc4q9oUmW1yo/edit?usp=sharing"",""อุตรดิตถ์!J297"")"),35)</f>
        <v>35</v>
      </c>
      <c r="K402" s="370">
        <f t="shared" ca="1" si="111"/>
        <v>77.777777777777771</v>
      </c>
      <c r="L402" s="371"/>
      <c r="M402" s="371"/>
      <c r="N402" s="371"/>
      <c r="O402" s="371"/>
      <c r="P402" s="371"/>
    </row>
    <row r="403" spans="1:16" ht="21.75" customHeight="1" x14ac:dyDescent="0.3">
      <c r="A403" s="156"/>
      <c r="B403" s="157"/>
      <c r="C403" s="157" t="s">
        <v>16</v>
      </c>
      <c r="D403" s="158" t="s">
        <v>38</v>
      </c>
      <c r="E403" s="159"/>
      <c r="F403" s="159"/>
      <c r="G403" s="160" t="s">
        <v>39</v>
      </c>
      <c r="H403" s="161" t="s">
        <v>12</v>
      </c>
      <c r="I403" s="162" t="s">
        <v>40</v>
      </c>
      <c r="J403" s="162"/>
      <c r="K403" s="163"/>
      <c r="L403" s="164">
        <f ca="1">IFERROR(__xludf.DUMMYFUNCTION("IMPORTRANGE(""https://docs.google.com/spreadsheets/d/11923uPwbBZFjjGgGUA6NLw09EwE0CqkOc4q9oUmW1yo/edit?usp=sharing"",""อุตรดิตถ์!L298"")"),0)</f>
        <v>0</v>
      </c>
      <c r="M403" s="164"/>
      <c r="N403" s="168">
        <f ca="1">IFERROR(__xludf.DUMMYFUNCTION("IMPORTRANGE(""https://docs.google.com/spreadsheets/d/11923uPwbBZFjjGgGUA6NLw09EwE0CqkOc4q9oUmW1yo/edit?usp=sharing"",""อุตรดิตถ์!M298"")"),0)</f>
        <v>0</v>
      </c>
      <c r="O403" s="168">
        <f t="shared" ref="O403:O406" ca="1" si="112">+IF(L403&gt;0,N403*100/L403,0)</f>
        <v>0</v>
      </c>
      <c r="P403" s="168"/>
    </row>
    <row r="404" spans="1:16" ht="21.75" customHeight="1" x14ac:dyDescent="0.3">
      <c r="A404" s="156"/>
      <c r="B404" s="157"/>
      <c r="C404" s="157"/>
      <c r="D404" s="166"/>
      <c r="E404" s="159"/>
      <c r="F404" s="159" t="s">
        <v>40</v>
      </c>
      <c r="G404" s="160" t="s">
        <v>41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IFERROR(__xludf.DUMMYFUNCTION("IMPORTRANGE(""https://docs.google.com/spreadsheets/d/11923uPwbBZFjjGgGUA6NLw09EwE0CqkOc4q9oUmW1yo/edit?usp=sharing"",""อุตรดิตถ์!L299"")"),159950)</f>
        <v>159950</v>
      </c>
      <c r="M404" s="165"/>
      <c r="N404" s="168">
        <f ca="1">IFERROR(__xludf.DUMMYFUNCTION("IMPORTRANGE(""https://docs.google.com/spreadsheets/d/11923uPwbBZFjjGgGUA6NLw09EwE0CqkOc4q9oUmW1yo/edit?usp=sharing"",""อุตรดิตถ์!M299"")"),35881)</f>
        <v>35881</v>
      </c>
      <c r="O404" s="168">
        <f t="shared" ca="1" si="112"/>
        <v>22.432635198499533</v>
      </c>
      <c r="P404" s="168"/>
    </row>
    <row r="405" spans="1:16" ht="21.75" customHeight="1" x14ac:dyDescent="0.3">
      <c r="A405" s="156"/>
      <c r="B405" s="157"/>
      <c r="C405" s="157"/>
      <c r="D405" s="166"/>
      <c r="E405" s="159"/>
      <c r="F405" s="159"/>
      <c r="G405" s="372" t="s">
        <v>129</v>
      </c>
      <c r="H405" s="161" t="s">
        <v>12</v>
      </c>
      <c r="I405" s="162"/>
      <c r="J405" s="162"/>
      <c r="K405" s="163"/>
      <c r="L405" s="168">
        <f ca="1">IFERROR(__xludf.DUMMYFUNCTION("IMPORTRANGE(""https://docs.google.com/spreadsheets/d/11923uPwbBZFjjGgGUA6NLw09EwE0CqkOc4q9oUmW1yo/edit?usp=sharing"",""อุตรดิตถ์!L300"")"),0)</f>
        <v>0</v>
      </c>
      <c r="M405" s="168"/>
      <c r="N405" s="168">
        <f ca="1">IFERROR(__xludf.DUMMYFUNCTION("IMPORTRANGE(""https://docs.google.com/spreadsheets/d/11923uPwbBZFjjGgGUA6NLw09EwE0CqkOc4q9oUmW1yo/edit?usp=sharing"",""อุตรดิตถ์!M300"")"),0)</f>
        <v>0</v>
      </c>
      <c r="O405" s="168">
        <f t="shared" ca="1" si="112"/>
        <v>0</v>
      </c>
      <c r="P405" s="168"/>
    </row>
    <row r="406" spans="1:16" ht="21.75" customHeight="1" x14ac:dyDescent="0.3">
      <c r="A406" s="156"/>
      <c r="B406" s="157"/>
      <c r="C406" s="157"/>
      <c r="D406" s="166"/>
      <c r="E406" s="159"/>
      <c r="F406" s="159"/>
      <c r="G406" s="372" t="s">
        <v>130</v>
      </c>
      <c r="H406" s="161" t="s">
        <v>12</v>
      </c>
      <c r="I406" s="162"/>
      <c r="J406" s="162"/>
      <c r="K406" s="163"/>
      <c r="L406" s="168">
        <f ca="1">IFERROR(__xludf.DUMMYFUNCTION("IMPORTRANGE(""https://docs.google.com/spreadsheets/d/11923uPwbBZFjjGgGUA6NLw09EwE0CqkOc4q9oUmW1yo/edit?usp=sharing"",""อุตรดิตถ์!L301"")"),159950)</f>
        <v>159950</v>
      </c>
      <c r="M406" s="168"/>
      <c r="N406" s="168">
        <f ca="1">IFERROR(__xludf.DUMMYFUNCTION("IMPORTRANGE(""https://docs.google.com/spreadsheets/d/11923uPwbBZFjjGgGUA6NLw09EwE0CqkOc4q9oUmW1yo/edit?usp=sharing"",""อุตรดิตถ์!M301"")"),35881)</f>
        <v>35881</v>
      </c>
      <c r="O406" s="168">
        <f t="shared" ca="1" si="112"/>
        <v>22.432635198499533</v>
      </c>
      <c r="P406" s="168"/>
    </row>
    <row r="407" spans="1:16" ht="21.75" customHeight="1" x14ac:dyDescent="0.3">
      <c r="A407" s="373"/>
      <c r="B407" s="374"/>
      <c r="C407" s="157"/>
      <c r="D407" s="375"/>
      <c r="E407" s="159"/>
      <c r="F407" s="159"/>
      <c r="G407" s="376" t="s">
        <v>131</v>
      </c>
      <c r="H407" s="161" t="s">
        <v>12</v>
      </c>
      <c r="I407" s="187"/>
      <c r="J407" s="187"/>
      <c r="K407" s="223"/>
      <c r="L407" s="168"/>
      <c r="M407" s="168"/>
      <c r="N407" s="377">
        <f ca="1">IFERROR(__xludf.DUMMYFUNCTION("IMPORTRANGE(""https://docs.google.com/spreadsheets/d/11923uPwbBZFjjGgGUA6NLw09EwE0CqkOc4q9oUmW1yo/edit?usp=sharing"",""อุตรดิตถ์!M302"")"),26406)</f>
        <v>26406</v>
      </c>
      <c r="O407" s="168"/>
      <c r="P407" s="168"/>
    </row>
    <row r="408" spans="1:16" ht="21.75" customHeight="1" x14ac:dyDescent="0.3">
      <c r="A408" s="373"/>
      <c r="B408" s="374"/>
      <c r="C408" s="157"/>
      <c r="D408" s="375"/>
      <c r="E408" s="159"/>
      <c r="F408" s="159"/>
      <c r="G408" s="376" t="s">
        <v>132</v>
      </c>
      <c r="H408" s="161" t="s">
        <v>12</v>
      </c>
      <c r="I408" s="187"/>
      <c r="J408" s="187"/>
      <c r="K408" s="223"/>
      <c r="L408" s="168"/>
      <c r="M408" s="168"/>
      <c r="N408" s="377">
        <f ca="1">IFERROR(__xludf.DUMMYFUNCTION("IMPORTRANGE(""https://docs.google.com/spreadsheets/d/11923uPwbBZFjjGgGUA6NLw09EwE0CqkOc4q9oUmW1yo/edit?usp=sharing"",""อุตรดิตถ์!M303"")"),9475)</f>
        <v>9475</v>
      </c>
      <c r="O408" s="168"/>
      <c r="P408" s="168"/>
    </row>
    <row r="409" spans="1:16" ht="21.75" customHeight="1" x14ac:dyDescent="0.3">
      <c r="A409" s="373"/>
      <c r="B409" s="374"/>
      <c r="C409" s="157"/>
      <c r="D409" s="375"/>
      <c r="E409" s="159"/>
      <c r="F409" s="159"/>
      <c r="G409" s="376" t="s">
        <v>133</v>
      </c>
      <c r="H409" s="161" t="s">
        <v>12</v>
      </c>
      <c r="I409" s="187"/>
      <c r="J409" s="187"/>
      <c r="K409" s="223"/>
      <c r="L409" s="168"/>
      <c r="M409" s="168"/>
      <c r="N409" s="377">
        <f ca="1">IFERROR(__xludf.DUMMYFUNCTION("IMPORTRANGE(""https://docs.google.com/spreadsheets/d/11923uPwbBZFjjGgGUA6NLw09EwE0CqkOc4q9oUmW1yo/edit?usp=sharing"",""อุตรดิตถ์!M304"")"),0)</f>
        <v>0</v>
      </c>
      <c r="O409" s="168"/>
      <c r="P409" s="168"/>
    </row>
    <row r="410" spans="1:16" ht="21.75" customHeight="1" x14ac:dyDescent="0.3">
      <c r="A410" s="373"/>
      <c r="B410" s="374"/>
      <c r="C410" s="157"/>
      <c r="D410" s="375"/>
      <c r="E410" s="159"/>
      <c r="F410" s="159"/>
      <c r="G410" s="376" t="s">
        <v>134</v>
      </c>
      <c r="H410" s="161" t="s">
        <v>12</v>
      </c>
      <c r="I410" s="187"/>
      <c r="J410" s="187"/>
      <c r="K410" s="223"/>
      <c r="L410" s="168"/>
      <c r="M410" s="168"/>
      <c r="N410" s="377">
        <f ca="1">IFERROR(__xludf.DUMMYFUNCTION("IMPORTRANGE(""https://docs.google.com/spreadsheets/d/11923uPwbBZFjjGgGUA6NLw09EwE0CqkOc4q9oUmW1yo/edit?usp=sharing"",""อุตรดิตถ์!M305"")"),0)</f>
        <v>0</v>
      </c>
      <c r="O410" s="168"/>
      <c r="P410" s="168"/>
    </row>
    <row r="411" spans="1:16" ht="21.75" customHeight="1" x14ac:dyDescent="0.3">
      <c r="A411" s="175"/>
      <c r="B411" s="176"/>
      <c r="C411" s="157" t="s">
        <v>16</v>
      </c>
      <c r="D411" s="177" t="s">
        <v>44</v>
      </c>
      <c r="E411" s="178"/>
      <c r="F411" s="178"/>
      <c r="G411" s="179"/>
      <c r="H411" s="180"/>
      <c r="I411" s="162"/>
      <c r="J411" s="162"/>
      <c r="K411" s="163"/>
      <c r="L411" s="181"/>
      <c r="M411" s="181"/>
      <c r="N411" s="181"/>
      <c r="O411" s="181"/>
      <c r="P411" s="181"/>
    </row>
    <row r="412" spans="1:16" ht="21.75" customHeight="1" x14ac:dyDescent="0.3">
      <c r="A412" s="175"/>
      <c r="B412" s="176"/>
      <c r="C412" s="176"/>
      <c r="D412" s="182">
        <v>1</v>
      </c>
      <c r="E412" s="183" t="s">
        <v>45</v>
      </c>
      <c r="F412" s="184"/>
      <c r="G412" s="185"/>
      <c r="H412" s="186"/>
      <c r="I412" s="187"/>
      <c r="J412" s="197">
        <f ca="1">IFERROR(__xludf.DUMMYFUNCTION("IMPORTRANGE(""https://docs.google.com/spreadsheets/d/11923uPwbBZFjjGgGUA6NLw09EwE0CqkOc4q9oUmW1yo/edit?usp=sharing"",""อุตรดิตถ์!J307"")"),0)</f>
        <v>0</v>
      </c>
      <c r="K412" s="163"/>
      <c r="L412" s="181"/>
      <c r="M412" s="181"/>
      <c r="N412" s="181"/>
      <c r="O412" s="181"/>
      <c r="P412" s="181"/>
    </row>
    <row r="413" spans="1:16" ht="21.75" customHeight="1" x14ac:dyDescent="0.3">
      <c r="A413" s="175"/>
      <c r="B413" s="176"/>
      <c r="C413" s="176"/>
      <c r="D413" s="189">
        <v>2</v>
      </c>
      <c r="E413" s="190" t="s">
        <v>46</v>
      </c>
      <c r="F413" s="191"/>
      <c r="G413" s="192"/>
      <c r="H413" s="186"/>
      <c r="I413" s="187"/>
      <c r="J413" s="188">
        <f ca="1">IFERROR(__xludf.DUMMYFUNCTION("IMPORTRANGE(""https://docs.google.com/spreadsheets/d/11923uPwbBZFjjGgGUA6NLw09EwE0CqkOc4q9oUmW1yo/edit?usp=sharing"",""อุตรดิตถ์!J308"")"),1)</f>
        <v>1</v>
      </c>
      <c r="K413" s="163"/>
      <c r="L413" s="181" t="s">
        <v>40</v>
      </c>
      <c r="M413" s="181"/>
      <c r="N413" s="181" t="s">
        <v>40</v>
      </c>
      <c r="O413" s="181"/>
      <c r="P413" s="181"/>
    </row>
    <row r="414" spans="1:16" ht="21.75" customHeight="1" x14ac:dyDescent="0.3">
      <c r="A414" s="175"/>
      <c r="B414" s="176"/>
      <c r="C414" s="176"/>
      <c r="D414" s="193"/>
      <c r="E414" s="194" t="s">
        <v>47</v>
      </c>
      <c r="F414" s="195"/>
      <c r="G414" s="196"/>
      <c r="H414" s="186"/>
      <c r="I414" s="187"/>
      <c r="J414" s="188">
        <f ca="1">IFERROR(__xludf.DUMMYFUNCTION("IMPORTRANGE(""https://docs.google.com/spreadsheets/d/11923uPwbBZFjjGgGUA6NLw09EwE0CqkOc4q9oUmW1yo/edit?usp=sharing"",""อุตรดิตถ์!J309"")"),1)</f>
        <v>1</v>
      </c>
      <c r="K414" s="163"/>
      <c r="L414" s="181"/>
      <c r="M414" s="181"/>
      <c r="N414" s="181"/>
      <c r="O414" s="181"/>
      <c r="P414" s="181"/>
    </row>
    <row r="415" spans="1:16" ht="21.75" customHeight="1" x14ac:dyDescent="0.3">
      <c r="A415" s="175"/>
      <c r="B415" s="176"/>
      <c r="C415" s="176"/>
      <c r="D415" s="193"/>
      <c r="E415" s="194" t="s">
        <v>48</v>
      </c>
      <c r="F415" s="195"/>
      <c r="G415" s="196"/>
      <c r="H415" s="186"/>
      <c r="I415" s="187"/>
      <c r="J415" s="197">
        <f ca="1">IFERROR(__xludf.DUMMYFUNCTION("IMPORTRANGE(""https://docs.google.com/spreadsheets/d/11923uPwbBZFjjGgGUA6NLw09EwE0CqkOc4q9oUmW1yo/edit?usp=sharing"",""อุตรดิตถ์!J310"")"),1)</f>
        <v>1</v>
      </c>
      <c r="K415" s="163"/>
      <c r="L415" s="181"/>
      <c r="M415" s="181"/>
      <c r="N415" s="181"/>
      <c r="O415" s="181"/>
      <c r="P415" s="181"/>
    </row>
    <row r="416" spans="1:16" ht="21.75" customHeight="1" x14ac:dyDescent="0.3">
      <c r="A416" s="175"/>
      <c r="B416" s="176"/>
      <c r="C416" s="176"/>
      <c r="D416" s="193"/>
      <c r="E416" s="198"/>
      <c r="F416" s="194" t="s">
        <v>70</v>
      </c>
      <c r="G416" s="386"/>
      <c r="H416" s="387" t="s">
        <v>37</v>
      </c>
      <c r="I416" s="200">
        <f ca="1">IFERROR(__xludf.DUMMYFUNCTION("IMPORTRANGE(""https://docs.google.com/spreadsheets/d/11923uPwbBZFjjGgGUA6NLw09EwE0CqkOc4q9oUmW1yo/edit?usp=sharing"",""อุตรดิตถ์!I311"")"),45)</f>
        <v>45</v>
      </c>
      <c r="J416" s="200">
        <f ca="1">IFERROR(__xludf.DUMMYFUNCTION("IMPORTRANGE(""https://docs.google.com/spreadsheets/d/11923uPwbBZFjjGgGUA6NLw09EwE0CqkOc4q9oUmW1yo/edit?usp=sharing"",""อุตรดิตถ์!J311"")"),35)</f>
        <v>35</v>
      </c>
      <c r="K416" s="201">
        <f t="shared" ref="K416:K432" ca="1" si="113">IF(I416&gt;0,J416*100/I416,0)</f>
        <v>77.777777777777771</v>
      </c>
      <c r="L416" s="181"/>
      <c r="M416" s="181"/>
      <c r="N416" s="181"/>
      <c r="O416" s="181"/>
      <c r="P416" s="181"/>
    </row>
    <row r="417" spans="1:16" ht="21.75" customHeight="1" x14ac:dyDescent="0.45">
      <c r="A417" s="175"/>
      <c r="B417" s="176"/>
      <c r="C417" s="176"/>
      <c r="D417" s="193"/>
      <c r="E417" s="198"/>
      <c r="F417" s="388" t="s">
        <v>148</v>
      </c>
      <c r="G417" s="196"/>
      <c r="H417" s="199" t="s">
        <v>37</v>
      </c>
      <c r="I417" s="389">
        <f ca="1">IFERROR(__xludf.DUMMYFUNCTION("IMPORTRANGE(""https://docs.google.com/spreadsheets/d/11923uPwbBZFjjGgGUA6NLw09EwE0CqkOc4q9oUmW1yo/edit?usp=sharing"",""อุตรดิตถ์!I312"")"),10)</f>
        <v>10</v>
      </c>
      <c r="J417" s="390">
        <f ca="1">IFERROR(__xludf.DUMMYFUNCTION("IMPORTRANGE(""https://docs.google.com/spreadsheets/d/11923uPwbBZFjjGgGUA6NLw09EwE0CqkOc4q9oUmW1yo/edit?usp=sharing"",""อุตรดิตถ์!J312"")"),10)</f>
        <v>10</v>
      </c>
      <c r="K417" s="201">
        <f t="shared" ca="1" si="113"/>
        <v>100</v>
      </c>
      <c r="L417" s="181"/>
      <c r="M417" s="181"/>
      <c r="N417" s="181"/>
      <c r="O417" s="181"/>
      <c r="P417" s="181"/>
    </row>
    <row r="418" spans="1:16" ht="21.75" customHeight="1" x14ac:dyDescent="0.45">
      <c r="A418" s="175"/>
      <c r="B418" s="176"/>
      <c r="C418" s="176"/>
      <c r="D418" s="193"/>
      <c r="E418" s="198"/>
      <c r="F418" s="195"/>
      <c r="G418" s="196"/>
      <c r="H418" s="199" t="s">
        <v>122</v>
      </c>
      <c r="I418" s="389">
        <f ca="1">IFERROR(__xludf.DUMMYFUNCTION("IMPORTRANGE(""https://docs.google.com/spreadsheets/d/11923uPwbBZFjjGgGUA6NLw09EwE0CqkOc4q9oUmW1yo/edit?usp=sharing"",""อุตรดิตถ์!I313"")"),30)</f>
        <v>30</v>
      </c>
      <c r="J418" s="391">
        <f ca="1">IFERROR(__xludf.DUMMYFUNCTION("IMPORTRANGE(""https://docs.google.com/spreadsheets/d/11923uPwbBZFjjGgGUA6NLw09EwE0CqkOc4q9oUmW1yo/edit?usp=sharing"",""อุตรดิตถ์!J313"")"),30)</f>
        <v>30</v>
      </c>
      <c r="K418" s="201">
        <f t="shared" ca="1" si="113"/>
        <v>100</v>
      </c>
      <c r="L418" s="181"/>
      <c r="M418" s="181"/>
      <c r="N418" s="181"/>
      <c r="O418" s="181"/>
      <c r="P418" s="181"/>
    </row>
    <row r="419" spans="1:16" ht="21.75" customHeight="1" x14ac:dyDescent="0.45">
      <c r="A419" s="175"/>
      <c r="B419" s="176"/>
      <c r="C419" s="176"/>
      <c r="D419" s="193"/>
      <c r="E419" s="198"/>
      <c r="F419" s="195"/>
      <c r="G419" s="225" t="s">
        <v>149</v>
      </c>
      <c r="H419" s="180" t="s">
        <v>37</v>
      </c>
      <c r="I419" s="339">
        <f ca="1">IFERROR(__xludf.DUMMYFUNCTION("IMPORTRANGE(""https://docs.google.com/spreadsheets/d/11923uPwbBZFjjGgGUA6NLw09EwE0CqkOc4q9oUmW1yo/edit?usp=sharing"",""อุตรดิตถ์!I314"")"),10)</f>
        <v>10</v>
      </c>
      <c r="J419" s="392">
        <f ca="1">IFERROR(__xludf.DUMMYFUNCTION("IMPORTRANGE(""https://docs.google.com/spreadsheets/d/11923uPwbBZFjjGgGUA6NLw09EwE0CqkOc4q9oUmW1yo/edit?usp=sharing"",""อุตรดิตถ์!J314"")"),10)</f>
        <v>10</v>
      </c>
      <c r="K419" s="163">
        <f t="shared" ca="1" si="113"/>
        <v>100</v>
      </c>
      <c r="L419" s="181"/>
      <c r="M419" s="181"/>
      <c r="N419" s="181"/>
      <c r="O419" s="181"/>
      <c r="P419" s="181"/>
    </row>
    <row r="420" spans="1:16" ht="21.75" customHeight="1" x14ac:dyDescent="0.45">
      <c r="A420" s="233"/>
      <c r="B420" s="234"/>
      <c r="C420" s="234"/>
      <c r="D420" s="393"/>
      <c r="E420" s="394"/>
      <c r="F420" s="345"/>
      <c r="G420" s="395" t="s">
        <v>150</v>
      </c>
      <c r="H420" s="347" t="s">
        <v>37</v>
      </c>
      <c r="I420" s="396">
        <f ca="1">IFERROR(__xludf.DUMMYFUNCTION("IMPORTRANGE(""https://docs.google.com/spreadsheets/d/11923uPwbBZFjjGgGUA6NLw09EwE0CqkOc4q9oUmW1yo/edit?usp=sharing"",""อุตรดิตถ์!I315"")"),10)</f>
        <v>10</v>
      </c>
      <c r="J420" s="392">
        <f ca="1">IFERROR(__xludf.DUMMYFUNCTION("IMPORTRANGE(""https://docs.google.com/spreadsheets/d/11923uPwbBZFjjGgGUA6NLw09EwE0CqkOc4q9oUmW1yo/edit?usp=sharing"",""อุตรดิตถ์!J315"")"),10)</f>
        <v>10</v>
      </c>
      <c r="K420" s="286">
        <f t="shared" ca="1" si="113"/>
        <v>100</v>
      </c>
      <c r="L420" s="244"/>
      <c r="M420" s="244"/>
      <c r="N420" s="244"/>
      <c r="O420" s="244"/>
      <c r="P420" s="244"/>
    </row>
    <row r="421" spans="1:16" ht="21.75" customHeight="1" x14ac:dyDescent="0.45">
      <c r="A421" s="175"/>
      <c r="B421" s="176"/>
      <c r="C421" s="176"/>
      <c r="D421" s="193"/>
      <c r="E421" s="198"/>
      <c r="F421" s="388" t="s">
        <v>151</v>
      </c>
      <c r="G421" s="196"/>
      <c r="H421" s="199" t="s">
        <v>37</v>
      </c>
      <c r="I421" s="389">
        <f ca="1">IFERROR(__xludf.DUMMYFUNCTION("IMPORTRANGE(""https://docs.google.com/spreadsheets/d/11923uPwbBZFjjGgGUA6NLw09EwE0CqkOc4q9oUmW1yo/edit?usp=sharing"",""อุตรดิตถ์!I316"")"),25)</f>
        <v>25</v>
      </c>
      <c r="J421" s="390">
        <f ca="1">IFERROR(__xludf.DUMMYFUNCTION("IMPORTRANGE(""https://docs.google.com/spreadsheets/d/11923uPwbBZFjjGgGUA6NLw09EwE0CqkOc4q9oUmW1yo/edit?usp=sharing"",""อุตรดิตถ์!J316"")"),25)</f>
        <v>25</v>
      </c>
      <c r="K421" s="201">
        <f t="shared" ca="1" si="113"/>
        <v>100</v>
      </c>
      <c r="L421" s="181"/>
      <c r="M421" s="181"/>
      <c r="N421" s="181"/>
      <c r="O421" s="181"/>
      <c r="P421" s="181"/>
    </row>
    <row r="422" spans="1:16" ht="21.75" customHeight="1" x14ac:dyDescent="0.45">
      <c r="A422" s="175"/>
      <c r="B422" s="176"/>
      <c r="C422" s="176"/>
      <c r="D422" s="193"/>
      <c r="E422" s="198"/>
      <c r="F422" s="195"/>
      <c r="G422" s="196"/>
      <c r="H422" s="199" t="s">
        <v>122</v>
      </c>
      <c r="I422" s="389">
        <f ca="1">IFERROR(__xludf.DUMMYFUNCTION("IMPORTRANGE(""https://docs.google.com/spreadsheets/d/11923uPwbBZFjjGgGUA6NLw09EwE0CqkOc4q9oUmW1yo/edit?usp=sharing"",""อุตรดิตถ์!I317"")"),75)</f>
        <v>75</v>
      </c>
      <c r="J422" s="391">
        <f ca="1">IFERROR(__xludf.DUMMYFUNCTION("IMPORTRANGE(""https://docs.google.com/spreadsheets/d/11923uPwbBZFjjGgGUA6NLw09EwE0CqkOc4q9oUmW1yo/edit?usp=sharing"",""อุตรดิตถ์!J317"")"),75)</f>
        <v>75</v>
      </c>
      <c r="K422" s="201">
        <f t="shared" ca="1" si="113"/>
        <v>100</v>
      </c>
      <c r="L422" s="181"/>
      <c r="M422" s="181"/>
      <c r="N422" s="181"/>
      <c r="O422" s="181"/>
      <c r="P422" s="181"/>
    </row>
    <row r="423" spans="1:16" ht="21.75" customHeight="1" x14ac:dyDescent="0.45">
      <c r="A423" s="175"/>
      <c r="B423" s="176"/>
      <c r="C423" s="176"/>
      <c r="D423" s="193"/>
      <c r="E423" s="198"/>
      <c r="F423" s="195"/>
      <c r="G423" s="225" t="s">
        <v>152</v>
      </c>
      <c r="H423" s="180" t="s">
        <v>37</v>
      </c>
      <c r="I423" s="339">
        <f ca="1">IFERROR(__xludf.DUMMYFUNCTION("IMPORTRANGE(""https://docs.google.com/spreadsheets/d/11923uPwbBZFjjGgGUA6NLw09EwE0CqkOc4q9oUmW1yo/edit?usp=sharing"",""อุตรดิตถ์!I318"")"),25)</f>
        <v>25</v>
      </c>
      <c r="J423" s="392">
        <f ca="1">IFERROR(__xludf.DUMMYFUNCTION("IMPORTRANGE(""https://docs.google.com/spreadsheets/d/11923uPwbBZFjjGgGUA6NLw09EwE0CqkOc4q9oUmW1yo/edit?usp=sharing"",""อุตรดิตถ์!J318"")"),25)</f>
        <v>25</v>
      </c>
      <c r="K423" s="163">
        <f t="shared" ca="1" si="113"/>
        <v>100</v>
      </c>
      <c r="L423" s="181"/>
      <c r="M423" s="181"/>
      <c r="N423" s="181"/>
      <c r="O423" s="181"/>
      <c r="P423" s="181"/>
    </row>
    <row r="424" spans="1:16" ht="21.75" customHeight="1" x14ac:dyDescent="0.45">
      <c r="A424" s="175"/>
      <c r="B424" s="176"/>
      <c r="C424" s="176"/>
      <c r="D424" s="193"/>
      <c r="E424" s="198"/>
      <c r="F424" s="195"/>
      <c r="G424" s="225" t="s">
        <v>153</v>
      </c>
      <c r="H424" s="180" t="s">
        <v>37</v>
      </c>
      <c r="I424" s="339">
        <f ca="1">IFERROR(__xludf.DUMMYFUNCTION("IMPORTRANGE(""https://docs.google.com/spreadsheets/d/11923uPwbBZFjjGgGUA6NLw09EwE0CqkOc4q9oUmW1yo/edit?usp=sharing"",""อุตรดิตถ์!I319"")"),25)</f>
        <v>25</v>
      </c>
      <c r="J424" s="392">
        <f ca="1">IFERROR(__xludf.DUMMYFUNCTION("IMPORTRANGE(""https://docs.google.com/spreadsheets/d/11923uPwbBZFjjGgGUA6NLw09EwE0CqkOc4q9oUmW1yo/edit?usp=sharing"",""อุตรดิตถ์!J319"")"),25)</f>
        <v>25</v>
      </c>
      <c r="K424" s="163">
        <f t="shared" ca="1" si="113"/>
        <v>100</v>
      </c>
      <c r="L424" s="181"/>
      <c r="M424" s="181"/>
      <c r="N424" s="181"/>
      <c r="O424" s="181"/>
      <c r="P424" s="181"/>
    </row>
    <row r="425" spans="1:16" ht="21.75" customHeight="1" x14ac:dyDescent="0.45">
      <c r="A425" s="175"/>
      <c r="B425" s="176"/>
      <c r="C425" s="176"/>
      <c r="D425" s="193"/>
      <c r="E425" s="198"/>
      <c r="F425" s="195"/>
      <c r="G425" s="225" t="s">
        <v>154</v>
      </c>
      <c r="H425" s="180" t="s">
        <v>37</v>
      </c>
      <c r="I425" s="339">
        <f ca="1">IFERROR(__xludf.DUMMYFUNCTION("IMPORTRANGE(""https://docs.google.com/spreadsheets/d/11923uPwbBZFjjGgGUA6NLw09EwE0CqkOc4q9oUmW1yo/edit?usp=sharing"",""อุตรดิตถ์!I320"")"),25)</f>
        <v>25</v>
      </c>
      <c r="J425" s="392">
        <f ca="1">IFERROR(__xludf.DUMMYFUNCTION("IMPORTRANGE(""https://docs.google.com/spreadsheets/d/11923uPwbBZFjjGgGUA6NLw09EwE0CqkOc4q9oUmW1yo/edit?usp=sharing"",""อุตรดิตถ์!J320"")"),25)</f>
        <v>25</v>
      </c>
      <c r="K425" s="163">
        <f t="shared" ca="1" si="113"/>
        <v>100</v>
      </c>
      <c r="L425" s="181"/>
      <c r="M425" s="181"/>
      <c r="N425" s="181"/>
      <c r="O425" s="181"/>
      <c r="P425" s="181"/>
    </row>
    <row r="426" spans="1:16" ht="21.75" customHeight="1" x14ac:dyDescent="0.45">
      <c r="A426" s="175"/>
      <c r="B426" s="176"/>
      <c r="C426" s="176"/>
      <c r="D426" s="193"/>
      <c r="E426" s="198"/>
      <c r="F426" s="397" t="s">
        <v>155</v>
      </c>
      <c r="G426" s="196"/>
      <c r="H426" s="199" t="s">
        <v>37</v>
      </c>
      <c r="I426" s="389">
        <f ca="1">IFERROR(__xludf.DUMMYFUNCTION("IMPORTRANGE(""https://docs.google.com/spreadsheets/d/11923uPwbBZFjjGgGUA6NLw09EwE0CqkOc4q9oUmW1yo/edit?usp=sharing"",""อุตรดิตถ์!I321"")"),10)</f>
        <v>10</v>
      </c>
      <c r="J426" s="390">
        <f ca="1">IFERROR(__xludf.DUMMYFUNCTION("IMPORTRANGE(""https://docs.google.com/spreadsheets/d/11923uPwbBZFjjGgGUA6NLw09EwE0CqkOc4q9oUmW1yo/edit?usp=sharing"",""อุตรดิตถ์!J321"")"),0)</f>
        <v>0</v>
      </c>
      <c r="K426" s="201">
        <f t="shared" ca="1" si="113"/>
        <v>0</v>
      </c>
      <c r="L426" s="181"/>
      <c r="M426" s="181"/>
      <c r="N426" s="181"/>
      <c r="O426" s="181"/>
      <c r="P426" s="181"/>
    </row>
    <row r="427" spans="1:16" ht="21.75" customHeight="1" x14ac:dyDescent="0.45">
      <c r="A427" s="175"/>
      <c r="B427" s="176"/>
      <c r="C427" s="176"/>
      <c r="D427" s="193"/>
      <c r="E427" s="198"/>
      <c r="F427" s="195"/>
      <c r="G427" s="196"/>
      <c r="H427" s="199" t="s">
        <v>122</v>
      </c>
      <c r="I427" s="389">
        <f ca="1">IFERROR(__xludf.DUMMYFUNCTION("IMPORTRANGE(""https://docs.google.com/spreadsheets/d/11923uPwbBZFjjGgGUA6NLw09EwE0CqkOc4q9oUmW1yo/edit?usp=sharing"",""อุตรดิตถ์!I322"")"),30)</f>
        <v>30</v>
      </c>
      <c r="J427" s="391">
        <f ca="1">IFERROR(__xludf.DUMMYFUNCTION("IMPORTRANGE(""https://docs.google.com/spreadsheets/d/11923uPwbBZFjjGgGUA6NLw09EwE0CqkOc4q9oUmW1yo/edit?usp=sharing"",""อุตรดิตถ์!J322"")"),0)</f>
        <v>0</v>
      </c>
      <c r="K427" s="201">
        <f t="shared" ca="1" si="113"/>
        <v>0</v>
      </c>
      <c r="L427" s="181"/>
      <c r="M427" s="181"/>
      <c r="N427" s="181"/>
      <c r="O427" s="181"/>
      <c r="P427" s="181"/>
    </row>
    <row r="428" spans="1:16" ht="21.75" customHeight="1" x14ac:dyDescent="0.45">
      <c r="A428" s="175"/>
      <c r="B428" s="176"/>
      <c r="C428" s="176"/>
      <c r="D428" s="193"/>
      <c r="E428" s="198"/>
      <c r="F428" s="195"/>
      <c r="G428" s="225" t="s">
        <v>156</v>
      </c>
      <c r="H428" s="180" t="s">
        <v>37</v>
      </c>
      <c r="I428" s="398">
        <f ca="1">IFERROR(__xludf.DUMMYFUNCTION("IMPORTRANGE(""https://docs.google.com/spreadsheets/d/11923uPwbBZFjjGgGUA6NLw09EwE0CqkOc4q9oUmW1yo/edit?usp=sharing"",""อุตรดิตถ์!I323"")"),10)</f>
        <v>10</v>
      </c>
      <c r="J428" s="392">
        <f ca="1">IFERROR(__xludf.DUMMYFUNCTION("IMPORTRANGE(""https://docs.google.com/spreadsheets/d/11923uPwbBZFjjGgGUA6NLw09EwE0CqkOc4q9oUmW1yo/edit?usp=sharing"",""อุตรดิตถ์!J323"")"),0)</f>
        <v>0</v>
      </c>
      <c r="K428" s="163">
        <f t="shared" ca="1" si="113"/>
        <v>0</v>
      </c>
      <c r="L428" s="181"/>
      <c r="M428" s="181"/>
      <c r="N428" s="181"/>
      <c r="O428" s="181"/>
      <c r="P428" s="181"/>
    </row>
    <row r="429" spans="1:16" ht="21.75" customHeight="1" x14ac:dyDescent="0.45">
      <c r="A429" s="175"/>
      <c r="B429" s="176"/>
      <c r="C429" s="176"/>
      <c r="D429" s="193"/>
      <c r="E429" s="198"/>
      <c r="F429" s="195"/>
      <c r="G429" s="225" t="s">
        <v>157</v>
      </c>
      <c r="H429" s="180" t="s">
        <v>37</v>
      </c>
      <c r="I429" s="398">
        <f ca="1">IFERROR(__xludf.DUMMYFUNCTION("IMPORTRANGE(""https://docs.google.com/spreadsheets/d/11923uPwbBZFjjGgGUA6NLw09EwE0CqkOc4q9oUmW1yo/edit?usp=sharing"",""อุตรดิตถ์!I324"")"),10)</f>
        <v>10</v>
      </c>
      <c r="J429" s="392">
        <f ca="1">IFERROR(__xludf.DUMMYFUNCTION("IMPORTRANGE(""https://docs.google.com/spreadsheets/d/11923uPwbBZFjjGgGUA6NLw09EwE0CqkOc4q9oUmW1yo/edit?usp=sharing"",""อุตรดิตถ์!J324"")"),0)</f>
        <v>0</v>
      </c>
      <c r="K429" s="163">
        <f t="shared" ca="1" si="113"/>
        <v>0</v>
      </c>
      <c r="L429" s="181"/>
      <c r="M429" s="181"/>
      <c r="N429" s="181"/>
      <c r="O429" s="181"/>
      <c r="P429" s="181"/>
    </row>
    <row r="430" spans="1:16" ht="21.75" customHeight="1" x14ac:dyDescent="0.45">
      <c r="A430" s="175"/>
      <c r="B430" s="176"/>
      <c r="C430" s="176"/>
      <c r="D430" s="193"/>
      <c r="E430" s="198"/>
      <c r="F430" s="194" t="s">
        <v>53</v>
      </c>
      <c r="G430" s="386"/>
      <c r="H430" s="399" t="s">
        <v>37</v>
      </c>
      <c r="I430" s="200">
        <f ca="1">IFERROR(__xludf.DUMMYFUNCTION("IMPORTRANGE(""https://docs.google.com/spreadsheets/d/11923uPwbBZFjjGgGUA6NLw09EwE0CqkOc4q9oUmW1yo/edit?usp=sharing"",""อุตรดิตถ์!I325"")"),35)</f>
        <v>35</v>
      </c>
      <c r="J430" s="390">
        <f ca="1">IFERROR(__xludf.DUMMYFUNCTION("IMPORTRANGE(""https://docs.google.com/spreadsheets/d/11923uPwbBZFjjGgGUA6NLw09EwE0CqkOc4q9oUmW1yo/edit?usp=sharing"",""อุตรดิตถ์!J325"")"),0)</f>
        <v>0</v>
      </c>
      <c r="K430" s="201">
        <f t="shared" ca="1" si="113"/>
        <v>0</v>
      </c>
      <c r="L430" s="181"/>
      <c r="M430" s="181"/>
      <c r="N430" s="181"/>
      <c r="O430" s="181"/>
      <c r="P430" s="181"/>
    </row>
    <row r="431" spans="1:16" ht="21.75" customHeight="1" x14ac:dyDescent="0.45">
      <c r="A431" s="400"/>
      <c r="B431" s="401"/>
      <c r="C431" s="401"/>
      <c r="D431" s="402"/>
      <c r="E431" s="198"/>
      <c r="F431" s="195"/>
      <c r="G431" s="225" t="s">
        <v>158</v>
      </c>
      <c r="H431" s="180" t="s">
        <v>37</v>
      </c>
      <c r="I431" s="398">
        <f ca="1">IFERROR(__xludf.DUMMYFUNCTION("IMPORTRANGE(""https://docs.google.com/spreadsheets/d/11923uPwbBZFjjGgGUA6NLw09EwE0CqkOc4q9oUmW1yo/edit?usp=sharing"",""อุตรดิตถ์!I326"")"),10)</f>
        <v>10</v>
      </c>
      <c r="J431" s="392">
        <f ca="1">IFERROR(__xludf.DUMMYFUNCTION("IMPORTRANGE(""https://docs.google.com/spreadsheets/d/11923uPwbBZFjjGgGUA6NLw09EwE0CqkOc4q9oUmW1yo/edit?usp=sharing"",""อุตรดิตถ์!J326"")"),0)</f>
        <v>0</v>
      </c>
      <c r="K431" s="163">
        <f t="shared" ca="1" si="113"/>
        <v>0</v>
      </c>
      <c r="L431" s="181"/>
      <c r="M431" s="181"/>
      <c r="N431" s="181"/>
      <c r="O431" s="181"/>
      <c r="P431" s="181"/>
    </row>
    <row r="432" spans="1:16" ht="21.75" customHeight="1" x14ac:dyDescent="0.45">
      <c r="A432" s="400"/>
      <c r="B432" s="401"/>
      <c r="C432" s="401"/>
      <c r="D432" s="402"/>
      <c r="E432" s="198"/>
      <c r="F432" s="195"/>
      <c r="G432" s="225" t="s">
        <v>159</v>
      </c>
      <c r="H432" s="180" t="s">
        <v>37</v>
      </c>
      <c r="I432" s="398">
        <f ca="1">IFERROR(__xludf.DUMMYFUNCTION("IMPORTRANGE(""https://docs.google.com/spreadsheets/d/11923uPwbBZFjjGgGUA6NLw09EwE0CqkOc4q9oUmW1yo/edit?usp=sharing"",""อุตรดิตถ์!I327"")"),25)</f>
        <v>25</v>
      </c>
      <c r="J432" s="392">
        <f ca="1">IFERROR(__xludf.DUMMYFUNCTION("IMPORTRANGE(""https://docs.google.com/spreadsheets/d/11923uPwbBZFjjGgGUA6NLw09EwE0CqkOc4q9oUmW1yo/edit?usp=sharing"",""อุตรดิตถ์!J327"")"),0)</f>
        <v>0</v>
      </c>
      <c r="K432" s="163">
        <f t="shared" ca="1" si="113"/>
        <v>0</v>
      </c>
      <c r="L432" s="181"/>
      <c r="M432" s="181"/>
      <c r="N432" s="181"/>
      <c r="O432" s="181"/>
      <c r="P432" s="181"/>
    </row>
    <row r="433" spans="1:16" ht="21.75" customHeight="1" x14ac:dyDescent="0.3">
      <c r="A433" s="175"/>
      <c r="B433" s="176"/>
      <c r="C433" s="176"/>
      <c r="D433" s="193"/>
      <c r="E433" s="194" t="s">
        <v>54</v>
      </c>
      <c r="F433" s="195"/>
      <c r="G433" s="196"/>
      <c r="H433" s="186"/>
      <c r="I433" s="187"/>
      <c r="J433" s="197">
        <f ca="1">IFERROR(__xludf.DUMMYFUNCTION("IMPORTRANGE(""https://docs.google.com/spreadsheets/d/11923uPwbBZFjjGgGUA6NLw09EwE0CqkOc4q9oUmW1yo/edit?usp=sharing"",""อุตรดิตถ์!J328"")"),0)</f>
        <v>0</v>
      </c>
      <c r="K433" s="163"/>
      <c r="L433" s="181"/>
      <c r="M433" s="181"/>
      <c r="N433" s="181"/>
      <c r="O433" s="181"/>
      <c r="P433" s="181"/>
    </row>
    <row r="434" spans="1:16" ht="21.75" customHeight="1" x14ac:dyDescent="0.3">
      <c r="A434" s="175"/>
      <c r="B434" s="176"/>
      <c r="C434" s="176"/>
      <c r="D434" s="205">
        <v>3</v>
      </c>
      <c r="E434" s="206" t="s">
        <v>55</v>
      </c>
      <c r="F434" s="207"/>
      <c r="G434" s="208"/>
      <c r="H434" s="186"/>
      <c r="I434" s="187"/>
      <c r="J434" s="209">
        <f ca="1">IFERROR(__xludf.DUMMYFUNCTION("IMPORTRANGE(""https://docs.google.com/spreadsheets/d/11923uPwbBZFjjGgGUA6NLw09EwE0CqkOc4q9oUmW1yo/edit?usp=sharing"",""อุตรดิตถ์!J329"")"),0)</f>
        <v>0</v>
      </c>
      <c r="K434" s="163"/>
      <c r="L434" s="181"/>
      <c r="M434" s="181"/>
      <c r="N434" s="181"/>
      <c r="O434" s="181"/>
      <c r="P434" s="181"/>
    </row>
    <row r="435" spans="1:16" ht="21.75" customHeight="1" x14ac:dyDescent="0.3">
      <c r="A435" s="403"/>
      <c r="B435" s="404">
        <v>4</v>
      </c>
      <c r="C435" s="404" t="s">
        <v>160</v>
      </c>
      <c r="D435" s="405"/>
      <c r="E435" s="405"/>
      <c r="F435" s="405"/>
      <c r="G435" s="406"/>
      <c r="H435" s="407" t="s">
        <v>37</v>
      </c>
      <c r="I435" s="408">
        <f ca="1">IFERROR(__xludf.DUMMYFUNCTION("IMPORTRANGE(""https://docs.google.com/spreadsheets/d/11923uPwbBZFjjGgGUA6NLw09EwE0CqkOc4q9oUmW1yo/edit?usp=sharing"",""อุตรดิตถ์!I330"")"),20)</f>
        <v>20</v>
      </c>
      <c r="J435" s="408">
        <f ca="1">IFERROR(__xludf.DUMMYFUNCTION("IMPORTRANGE(""https://docs.google.com/spreadsheets/d/11923uPwbBZFjjGgGUA6NLw09EwE0CqkOc4q9oUmW1yo/edit?usp=sharing"",""อุตรดิตถ์!J330"")"),10)</f>
        <v>10</v>
      </c>
      <c r="K435" s="409">
        <f ca="1">IF(I435&gt;0,J435*100/I435,0)</f>
        <v>50</v>
      </c>
      <c r="L435" s="410">
        <f ca="1">IFERROR(__xludf.DUMMYFUNCTION("IMPORTRANGE(""https://docs.google.com/spreadsheets/d/11923uPwbBZFjjGgGUA6NLw09EwE0CqkOc4q9oUmW1yo/edit?usp=sharing"",""อุตรดิตถ์!L330"")"),95000)</f>
        <v>95000</v>
      </c>
      <c r="M435" s="410"/>
      <c r="N435" s="410">
        <f ca="1">IFERROR(__xludf.DUMMYFUNCTION("IMPORTRANGE(""https://docs.google.com/spreadsheets/d/11923uPwbBZFjjGgGUA6NLw09EwE0CqkOc4q9oUmW1yo/edit?usp=sharing"",""อุตรดิตถ์!M330"")"),20054.4)</f>
        <v>20054.400000000001</v>
      </c>
      <c r="O435" s="410">
        <f t="shared" ref="O435:O439" ca="1" si="114">+IF(L435&gt;0,N435*100/L435,0)</f>
        <v>21.109894736842108</v>
      </c>
      <c r="P435" s="410"/>
    </row>
    <row r="436" spans="1:16" ht="21.75" customHeight="1" x14ac:dyDescent="0.3">
      <c r="A436" s="156"/>
      <c r="B436" s="157"/>
      <c r="C436" s="157" t="s">
        <v>16</v>
      </c>
      <c r="D436" s="158" t="s">
        <v>38</v>
      </c>
      <c r="E436" s="159"/>
      <c r="F436" s="159"/>
      <c r="G436" s="160" t="s">
        <v>39</v>
      </c>
      <c r="H436" s="161" t="s">
        <v>12</v>
      </c>
      <c r="I436" s="162" t="s">
        <v>40</v>
      </c>
      <c r="J436" s="162"/>
      <c r="K436" s="163"/>
      <c r="L436" s="164">
        <f ca="1">IFERROR(__xludf.DUMMYFUNCTION("IMPORTRANGE(""https://docs.google.com/spreadsheets/d/11923uPwbBZFjjGgGUA6NLw09EwE0CqkOc4q9oUmW1yo/edit?usp=sharing"",""อุตรดิตถ์!L331"")"),0)</f>
        <v>0</v>
      </c>
      <c r="M436" s="164"/>
      <c r="N436" s="168">
        <f ca="1">IFERROR(__xludf.DUMMYFUNCTION("IMPORTRANGE(""https://docs.google.com/spreadsheets/d/11923uPwbBZFjjGgGUA6NLw09EwE0CqkOc4q9oUmW1yo/edit?usp=sharing"",""อุตรดิตถ์!M331"")"),0)</f>
        <v>0</v>
      </c>
      <c r="O436" s="168">
        <f t="shared" ca="1" si="114"/>
        <v>0</v>
      </c>
      <c r="P436" s="168"/>
    </row>
    <row r="437" spans="1:16" ht="21.75" customHeight="1" x14ac:dyDescent="0.3">
      <c r="A437" s="156"/>
      <c r="B437" s="157"/>
      <c r="C437" s="157"/>
      <c r="D437" s="166"/>
      <c r="E437" s="159"/>
      <c r="F437" s="159" t="s">
        <v>40</v>
      </c>
      <c r="G437" s="160" t="s">
        <v>41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IFERROR(__xludf.DUMMYFUNCTION("IMPORTRANGE(""https://docs.google.com/spreadsheets/d/11923uPwbBZFjjGgGUA6NLw09EwE0CqkOc4q9oUmW1yo/edit?usp=sharing"",""อุตรดิตถ์!L332"")"),95000)</f>
        <v>95000</v>
      </c>
      <c r="M437" s="165"/>
      <c r="N437" s="168">
        <f ca="1">IFERROR(__xludf.DUMMYFUNCTION("IMPORTRANGE(""https://docs.google.com/spreadsheets/d/11923uPwbBZFjjGgGUA6NLw09EwE0CqkOc4q9oUmW1yo/edit?usp=sharing"",""อุตรดิตถ์!M332"")"),20054.4)</f>
        <v>20054.400000000001</v>
      </c>
      <c r="O437" s="168">
        <f t="shared" ca="1" si="114"/>
        <v>21.109894736842108</v>
      </c>
      <c r="P437" s="168"/>
    </row>
    <row r="438" spans="1:16" ht="21.75" customHeight="1" x14ac:dyDescent="0.3">
      <c r="A438" s="156"/>
      <c r="B438" s="157"/>
      <c r="C438" s="157"/>
      <c r="D438" s="166"/>
      <c r="E438" s="159"/>
      <c r="F438" s="159"/>
      <c r="G438" s="372" t="s">
        <v>129</v>
      </c>
      <c r="H438" s="161" t="s">
        <v>12</v>
      </c>
      <c r="I438" s="162"/>
      <c r="J438" s="162"/>
      <c r="K438" s="163"/>
      <c r="L438" s="168">
        <f ca="1">IFERROR(__xludf.DUMMYFUNCTION("IMPORTRANGE(""https://docs.google.com/spreadsheets/d/11923uPwbBZFjjGgGUA6NLw09EwE0CqkOc4q9oUmW1yo/edit?usp=sharing"",""อุตรดิตถ์!L333"")"),0)</f>
        <v>0</v>
      </c>
      <c r="M438" s="168"/>
      <c r="N438" s="168">
        <f ca="1">IFERROR(__xludf.DUMMYFUNCTION("IMPORTRANGE(""https://docs.google.com/spreadsheets/d/11923uPwbBZFjjGgGUA6NLw09EwE0CqkOc4q9oUmW1yo/edit?usp=sharing"",""อุตรดิตถ์!M333"")"),0)</f>
        <v>0</v>
      </c>
      <c r="O438" s="168">
        <f t="shared" ca="1" si="114"/>
        <v>0</v>
      </c>
      <c r="P438" s="168"/>
    </row>
    <row r="439" spans="1:16" ht="21.75" customHeight="1" x14ac:dyDescent="0.3">
      <c r="A439" s="156"/>
      <c r="B439" s="157"/>
      <c r="C439" s="157"/>
      <c r="D439" s="166"/>
      <c r="E439" s="159"/>
      <c r="F439" s="159"/>
      <c r="G439" s="372" t="s">
        <v>130</v>
      </c>
      <c r="H439" s="161" t="s">
        <v>12</v>
      </c>
      <c r="I439" s="162"/>
      <c r="J439" s="162"/>
      <c r="K439" s="163"/>
      <c r="L439" s="168">
        <f ca="1">IFERROR(__xludf.DUMMYFUNCTION("IMPORTRANGE(""https://docs.google.com/spreadsheets/d/11923uPwbBZFjjGgGUA6NLw09EwE0CqkOc4q9oUmW1yo/edit?usp=sharing"",""อุตรดิตถ์!L334"")"),95000)</f>
        <v>95000</v>
      </c>
      <c r="M439" s="168"/>
      <c r="N439" s="168">
        <f ca="1">IFERROR(__xludf.DUMMYFUNCTION("IMPORTRANGE(""https://docs.google.com/spreadsheets/d/11923uPwbBZFjjGgGUA6NLw09EwE0CqkOc4q9oUmW1yo/edit?usp=sharing"",""อุตรดิตถ์!M334"")"),20054.4)</f>
        <v>20054.400000000001</v>
      </c>
      <c r="O439" s="168">
        <f t="shared" ca="1" si="114"/>
        <v>21.109894736842108</v>
      </c>
      <c r="P439" s="168"/>
    </row>
    <row r="440" spans="1:16" ht="21.75" customHeight="1" x14ac:dyDescent="0.3">
      <c r="A440" s="373"/>
      <c r="B440" s="374"/>
      <c r="C440" s="157"/>
      <c r="D440" s="375"/>
      <c r="E440" s="159"/>
      <c r="F440" s="159"/>
      <c r="G440" s="376" t="s">
        <v>131</v>
      </c>
      <c r="H440" s="161" t="s">
        <v>12</v>
      </c>
      <c r="I440" s="187"/>
      <c r="J440" s="187"/>
      <c r="K440" s="223"/>
      <c r="L440" s="168"/>
      <c r="M440" s="168"/>
      <c r="N440" s="377">
        <f ca="1">IFERROR(__xludf.DUMMYFUNCTION("IMPORTRANGE(""https://docs.google.com/spreadsheets/d/11923uPwbBZFjjGgGUA6NLw09EwE0CqkOc4q9oUmW1yo/edit?usp=sharing"",""อุตรดิตถ์!M335"")"),14176)</f>
        <v>14176</v>
      </c>
      <c r="O440" s="168"/>
      <c r="P440" s="168"/>
    </row>
    <row r="441" spans="1:16" ht="21.75" customHeight="1" x14ac:dyDescent="0.3">
      <c r="A441" s="373"/>
      <c r="B441" s="374"/>
      <c r="C441" s="157"/>
      <c r="D441" s="375"/>
      <c r="E441" s="159"/>
      <c r="F441" s="159"/>
      <c r="G441" s="376" t="s">
        <v>132</v>
      </c>
      <c r="H441" s="161" t="s">
        <v>12</v>
      </c>
      <c r="I441" s="187"/>
      <c r="J441" s="187"/>
      <c r="K441" s="223"/>
      <c r="L441" s="168"/>
      <c r="M441" s="168"/>
      <c r="N441" s="377">
        <f ca="1">IFERROR(__xludf.DUMMYFUNCTION("IMPORTRANGE(""https://docs.google.com/spreadsheets/d/11923uPwbBZFjjGgGUA6NLw09EwE0CqkOc4q9oUmW1yo/edit?usp=sharing"",""อุตรดิตถ์!M336"")"),0)</f>
        <v>0</v>
      </c>
      <c r="O441" s="168"/>
      <c r="P441" s="168"/>
    </row>
    <row r="442" spans="1:16" ht="21.75" customHeight="1" x14ac:dyDescent="0.3">
      <c r="A442" s="373"/>
      <c r="B442" s="374"/>
      <c r="C442" s="157"/>
      <c r="D442" s="375"/>
      <c r="E442" s="159"/>
      <c r="F442" s="159"/>
      <c r="G442" s="376" t="s">
        <v>133</v>
      </c>
      <c r="H442" s="161" t="s">
        <v>12</v>
      </c>
      <c r="I442" s="187"/>
      <c r="J442" s="187"/>
      <c r="K442" s="223"/>
      <c r="L442" s="168"/>
      <c r="M442" s="168"/>
      <c r="N442" s="377">
        <f ca="1">IFERROR(__xludf.DUMMYFUNCTION("IMPORTRANGE(""https://docs.google.com/spreadsheets/d/11923uPwbBZFjjGgGUA6NLw09EwE0CqkOc4q9oUmW1yo/edit?usp=sharing"",""อุตรดิตถ์!M337"")"),0)</f>
        <v>0</v>
      </c>
      <c r="O442" s="168"/>
      <c r="P442" s="168"/>
    </row>
    <row r="443" spans="1:16" ht="21.75" customHeight="1" x14ac:dyDescent="0.3">
      <c r="A443" s="373"/>
      <c r="B443" s="374"/>
      <c r="C443" s="157"/>
      <c r="D443" s="375"/>
      <c r="E443" s="159"/>
      <c r="F443" s="159"/>
      <c r="G443" s="376" t="s">
        <v>134</v>
      </c>
      <c r="H443" s="161" t="s">
        <v>12</v>
      </c>
      <c r="I443" s="187"/>
      <c r="J443" s="187"/>
      <c r="K443" s="223"/>
      <c r="L443" s="168"/>
      <c r="M443" s="168"/>
      <c r="N443" s="377">
        <f ca="1">IFERROR(__xludf.DUMMYFUNCTION("IMPORTRANGE(""https://docs.google.com/spreadsheets/d/11923uPwbBZFjjGgGUA6NLw09EwE0CqkOc4q9oUmW1yo/edit?usp=sharing"",""อุตรดิตถ์!M338"")"),5878.4)</f>
        <v>5878.4</v>
      </c>
      <c r="O443" s="168"/>
      <c r="P443" s="168"/>
    </row>
    <row r="444" spans="1:16" ht="21.75" customHeight="1" x14ac:dyDescent="0.3">
      <c r="A444" s="175"/>
      <c r="B444" s="176"/>
      <c r="C444" s="157" t="s">
        <v>16</v>
      </c>
      <c r="D444" s="177" t="s">
        <v>44</v>
      </c>
      <c r="E444" s="178"/>
      <c r="F444" s="178"/>
      <c r="G444" s="179"/>
      <c r="H444" s="180"/>
      <c r="I444" s="162"/>
      <c r="J444" s="162"/>
      <c r="K444" s="163"/>
      <c r="L444" s="181"/>
      <c r="M444" s="181"/>
      <c r="N444" s="181"/>
      <c r="O444" s="181"/>
      <c r="P444" s="181"/>
    </row>
    <row r="445" spans="1:16" ht="21.75" customHeight="1" x14ac:dyDescent="0.3">
      <c r="A445" s="175"/>
      <c r="B445" s="176"/>
      <c r="C445" s="176"/>
      <c r="D445" s="182">
        <v>1</v>
      </c>
      <c r="E445" s="183" t="s">
        <v>45</v>
      </c>
      <c r="F445" s="184"/>
      <c r="G445" s="185"/>
      <c r="H445" s="186"/>
      <c r="I445" s="187"/>
      <c r="J445" s="209">
        <f ca="1">IFERROR(__xludf.DUMMYFUNCTION("IMPORTRANGE(""https://docs.google.com/spreadsheets/d/11923uPwbBZFjjGgGUA6NLw09EwE0CqkOc4q9oUmW1yo/edit?usp=sharing"",""อุตรดิตถ์!J340"")"),0)</f>
        <v>0</v>
      </c>
      <c r="K445" s="163"/>
      <c r="L445" s="181"/>
      <c r="M445" s="181"/>
      <c r="N445" s="181"/>
      <c r="O445" s="181"/>
      <c r="P445" s="181"/>
    </row>
    <row r="446" spans="1:16" ht="21.75" customHeight="1" x14ac:dyDescent="0.3">
      <c r="A446" s="175"/>
      <c r="B446" s="176"/>
      <c r="C446" s="176"/>
      <c r="D446" s="189">
        <v>2</v>
      </c>
      <c r="E446" s="190" t="s">
        <v>46</v>
      </c>
      <c r="F446" s="191"/>
      <c r="G446" s="192"/>
      <c r="H446" s="186"/>
      <c r="I446" s="187"/>
      <c r="J446" s="411">
        <f ca="1">IFERROR(__xludf.DUMMYFUNCTION("IMPORTRANGE(""https://docs.google.com/spreadsheets/d/11923uPwbBZFjjGgGUA6NLw09EwE0CqkOc4q9oUmW1yo/edit?usp=sharing"",""อุตรดิตถ์!J341"")"),1)</f>
        <v>1</v>
      </c>
      <c r="K446" s="163"/>
      <c r="L446" s="181" t="s">
        <v>40</v>
      </c>
      <c r="M446" s="181"/>
      <c r="N446" s="181" t="s">
        <v>40</v>
      </c>
      <c r="O446" s="181"/>
      <c r="P446" s="181"/>
    </row>
    <row r="447" spans="1:16" ht="21.75" customHeight="1" x14ac:dyDescent="0.3">
      <c r="A447" s="175"/>
      <c r="B447" s="176"/>
      <c r="C447" s="176"/>
      <c r="D447" s="193"/>
      <c r="E447" s="194" t="s">
        <v>161</v>
      </c>
      <c r="F447" s="195"/>
      <c r="G447" s="196"/>
      <c r="H447" s="186"/>
      <c r="I447" s="187"/>
      <c r="J447" s="188">
        <f ca="1">IFERROR(__xludf.DUMMYFUNCTION("IMPORTRANGE(""https://docs.google.com/spreadsheets/d/11923uPwbBZFjjGgGUA6NLw09EwE0CqkOc4q9oUmW1yo/edit?usp=sharing"",""อุตรดิตถ์!J342"")"),1)</f>
        <v>1</v>
      </c>
      <c r="K447" s="163"/>
      <c r="L447" s="181"/>
      <c r="M447" s="181"/>
      <c r="N447" s="181"/>
      <c r="O447" s="181"/>
      <c r="P447" s="181"/>
    </row>
    <row r="448" spans="1:16" ht="21.75" customHeight="1" x14ac:dyDescent="0.3">
      <c r="A448" s="175"/>
      <c r="B448" s="176"/>
      <c r="C448" s="176"/>
      <c r="D448" s="193"/>
      <c r="E448" s="194" t="s">
        <v>48</v>
      </c>
      <c r="F448" s="195"/>
      <c r="G448" s="196"/>
      <c r="H448" s="186"/>
      <c r="I448" s="187"/>
      <c r="J448" s="188">
        <f ca="1">IFERROR(__xludf.DUMMYFUNCTION("IMPORTRANGE(""https://docs.google.com/spreadsheets/d/11923uPwbBZFjjGgGUA6NLw09EwE0CqkOc4q9oUmW1yo/edit?usp=sharing"",""อุตรดิตถ์!J343"")"),1)</f>
        <v>1</v>
      </c>
      <c r="K448" s="163"/>
      <c r="L448" s="181"/>
      <c r="M448" s="181"/>
      <c r="N448" s="181"/>
      <c r="O448" s="181"/>
      <c r="P448" s="181"/>
    </row>
    <row r="449" spans="1:16" ht="21.75" customHeight="1" x14ac:dyDescent="0.3">
      <c r="A449" s="175"/>
      <c r="B449" s="176"/>
      <c r="C449" s="176"/>
      <c r="D449" s="193"/>
      <c r="E449" s="198"/>
      <c r="F449" s="412" t="s">
        <v>101</v>
      </c>
      <c r="G449" s="196"/>
      <c r="H449" s="186" t="s">
        <v>37</v>
      </c>
      <c r="I449" s="389">
        <f ca="1">IFERROR(__xludf.DUMMYFUNCTION("IMPORTRANGE(""https://docs.google.com/spreadsheets/d/11923uPwbBZFjjGgGUA6NLw09EwE0CqkOc4q9oUmW1yo/edit?usp=sharing"",""อุตรดิตถ์!I344"")"),20)</f>
        <v>20</v>
      </c>
      <c r="J449" s="200">
        <f ca="1">IFERROR(__xludf.DUMMYFUNCTION("IMPORTRANGE(""https://docs.google.com/spreadsheets/d/11923uPwbBZFjjGgGUA6NLw09EwE0CqkOc4q9oUmW1yo/edit?usp=sharing"",""อุตรดิตถ์!J344"")"),10)</f>
        <v>10</v>
      </c>
      <c r="K449" s="163">
        <f t="shared" ref="K449:K452" ca="1" si="115">IF(I449&gt;0,J449*100/I449,0)</f>
        <v>50</v>
      </c>
      <c r="L449" s="181"/>
      <c r="M449" s="181"/>
      <c r="N449" s="181"/>
      <c r="O449" s="181"/>
      <c r="P449" s="181"/>
    </row>
    <row r="450" spans="1:16" ht="21.75" customHeight="1" x14ac:dyDescent="0.3">
      <c r="A450" s="175"/>
      <c r="B450" s="176"/>
      <c r="C450" s="176"/>
      <c r="D450" s="193"/>
      <c r="E450" s="198"/>
      <c r="F450" s="195"/>
      <c r="G450" s="225" t="s">
        <v>162</v>
      </c>
      <c r="H450" s="186" t="s">
        <v>37</v>
      </c>
      <c r="I450" s="339">
        <f ca="1">IFERROR(__xludf.DUMMYFUNCTION("IMPORTRANGE(""https://docs.google.com/spreadsheets/d/11923uPwbBZFjjGgGUA6NLw09EwE0CqkOc4q9oUmW1yo/edit?usp=sharing"",""อุตรดิตถ์!I345"")"),20)</f>
        <v>20</v>
      </c>
      <c r="J450" s="188">
        <f ca="1">IFERROR(__xludf.DUMMYFUNCTION("IMPORTRANGE(""https://docs.google.com/spreadsheets/d/11923uPwbBZFjjGgGUA6NLw09EwE0CqkOc4q9oUmW1yo/edit?usp=sharing"",""อุตรดิตถ์!J345"")"),10)</f>
        <v>10</v>
      </c>
      <c r="K450" s="163">
        <f t="shared" ca="1" si="115"/>
        <v>50</v>
      </c>
      <c r="L450" s="181"/>
      <c r="M450" s="181"/>
      <c r="N450" s="181"/>
      <c r="O450" s="181"/>
      <c r="P450" s="181"/>
    </row>
    <row r="451" spans="1:16" ht="21.75" customHeight="1" x14ac:dyDescent="0.3">
      <c r="A451" s="175"/>
      <c r="B451" s="176"/>
      <c r="C451" s="176"/>
      <c r="D451" s="193"/>
      <c r="E451" s="198"/>
      <c r="F451" s="195"/>
      <c r="G451" s="279" t="s">
        <v>163</v>
      </c>
      <c r="H451" s="186" t="s">
        <v>37</v>
      </c>
      <c r="I451" s="339">
        <f ca="1">IFERROR(__xludf.DUMMYFUNCTION("IMPORTRANGE(""https://docs.google.com/spreadsheets/d/11923uPwbBZFjjGgGUA6NLw09EwE0CqkOc4q9oUmW1yo/edit?usp=sharing"",""อุตรดิตถ์!I346"")"),0)</f>
        <v>0</v>
      </c>
      <c r="J451" s="187">
        <f ca="1">IFERROR(__xludf.DUMMYFUNCTION("IMPORTRANGE(""https://docs.google.com/spreadsheets/d/11923uPwbBZFjjGgGUA6NLw09EwE0CqkOc4q9oUmW1yo/edit?usp=sharing"",""อุตรดิตถ์!J346"")"),0)</f>
        <v>0</v>
      </c>
      <c r="K451" s="163">
        <f t="shared" ca="1" si="115"/>
        <v>0</v>
      </c>
      <c r="L451" s="181"/>
      <c r="M451" s="181"/>
      <c r="N451" s="181"/>
      <c r="O451" s="181"/>
      <c r="P451" s="181"/>
    </row>
    <row r="452" spans="1:16" ht="21.75" customHeight="1" x14ac:dyDescent="0.3">
      <c r="A452" s="175"/>
      <c r="B452" s="176"/>
      <c r="C452" s="176"/>
      <c r="D452" s="193"/>
      <c r="E452" s="198"/>
      <c r="F452" s="195"/>
      <c r="G452" s="196" t="s">
        <v>164</v>
      </c>
      <c r="H452" s="186" t="s">
        <v>37</v>
      </c>
      <c r="I452" s="187">
        <f ca="1">IFERROR(__xludf.DUMMYFUNCTION("IMPORTRANGE(""https://docs.google.com/spreadsheets/d/11923uPwbBZFjjGgGUA6NLw09EwE0CqkOc4q9oUmW1yo/edit?usp=sharing"",""อุตรดิตถ์!I347"")"),0)</f>
        <v>0</v>
      </c>
      <c r="J452" s="187">
        <f ca="1">IFERROR(__xludf.DUMMYFUNCTION("IMPORTRANGE(""https://docs.google.com/spreadsheets/d/11923uPwbBZFjjGgGUA6NLw09EwE0CqkOc4q9oUmW1yo/edit?usp=sharing"",""อุตรดิตถ์!J347"")"),0)</f>
        <v>0</v>
      </c>
      <c r="K452" s="163">
        <f t="shared" ca="1" si="115"/>
        <v>0</v>
      </c>
      <c r="L452" s="181"/>
      <c r="M452" s="181"/>
      <c r="N452" s="181"/>
      <c r="O452" s="181"/>
      <c r="P452" s="181"/>
    </row>
    <row r="453" spans="1:16" ht="21.75" customHeight="1" x14ac:dyDescent="0.3">
      <c r="A453" s="175"/>
      <c r="B453" s="176"/>
      <c r="C453" s="176"/>
      <c r="D453" s="193"/>
      <c r="E453" s="194" t="s">
        <v>54</v>
      </c>
      <c r="F453" s="195"/>
      <c r="G453" s="196"/>
      <c r="H453" s="186"/>
      <c r="I453" s="187"/>
      <c r="J453" s="197">
        <f ca="1">IFERROR(__xludf.DUMMYFUNCTION("IMPORTRANGE(""https://docs.google.com/spreadsheets/d/11923uPwbBZFjjGgGUA6NLw09EwE0CqkOc4q9oUmW1yo/edit?usp=sharing"",""อุตรดิตถ์!J348"")"),0)</f>
        <v>0</v>
      </c>
      <c r="K453" s="163"/>
      <c r="L453" s="181"/>
      <c r="M453" s="181"/>
      <c r="N453" s="181"/>
      <c r="O453" s="181"/>
      <c r="P453" s="181"/>
    </row>
    <row r="454" spans="1:16" ht="21.75" customHeight="1" x14ac:dyDescent="0.3">
      <c r="A454" s="175"/>
      <c r="B454" s="176"/>
      <c r="C454" s="176"/>
      <c r="D454" s="205">
        <v>3</v>
      </c>
      <c r="E454" s="206" t="s">
        <v>55</v>
      </c>
      <c r="F454" s="207"/>
      <c r="G454" s="208"/>
      <c r="H454" s="186"/>
      <c r="I454" s="187"/>
      <c r="J454" s="209">
        <f ca="1">IFERROR(__xludf.DUMMYFUNCTION("IMPORTRANGE(""https://docs.google.com/spreadsheets/d/11923uPwbBZFjjGgGUA6NLw09EwE0CqkOc4q9oUmW1yo/edit?usp=sharing"",""อุตรดิตถ์!J349"")"),0)</f>
        <v>0</v>
      </c>
      <c r="K454" s="163"/>
      <c r="L454" s="181"/>
      <c r="M454" s="181"/>
      <c r="N454" s="181"/>
      <c r="O454" s="181"/>
      <c r="P454" s="181"/>
    </row>
    <row r="455" spans="1:16" ht="21.75" customHeight="1" x14ac:dyDescent="0.3">
      <c r="A455" s="364"/>
      <c r="B455" s="365">
        <v>5</v>
      </c>
      <c r="C455" s="366" t="s">
        <v>165</v>
      </c>
      <c r="D455" s="366"/>
      <c r="E455" s="366"/>
      <c r="F455" s="366"/>
      <c r="G455" s="367"/>
      <c r="H455" s="368" t="s">
        <v>122</v>
      </c>
      <c r="I455" s="369">
        <f ca="1">IFERROR(__xludf.DUMMYFUNCTION("IMPORTRANGE(""https://docs.google.com/spreadsheets/d/11923uPwbBZFjjGgGUA6NLw09EwE0CqkOc4q9oUmW1yo/edit?usp=sharing"",""อุตรดิตถ์!I350"")"),27138)</f>
        <v>27138</v>
      </c>
      <c r="J455" s="369">
        <f ca="1">IFERROR(__xludf.DUMMYFUNCTION("IMPORTRANGE(""https://docs.google.com/spreadsheets/d/11923uPwbBZFjjGgGUA6NLw09EwE0CqkOc4q9oUmW1yo/edit?usp=sharing"",""อุตรดิตถ์!J350"")"),0)</f>
        <v>0</v>
      </c>
      <c r="K455" s="370">
        <f ca="1">IF(I455&gt;0,J455*100/I455,0)</f>
        <v>0</v>
      </c>
      <c r="L455" s="371">
        <f ca="1">IFERROR(__xludf.DUMMYFUNCTION("IMPORTRANGE(""https://docs.google.com/spreadsheets/d/11923uPwbBZFjjGgGUA6NLw09EwE0CqkOc4q9oUmW1yo/edit?usp=sharing"",""อุตรดิตถ์!L350"")"),191927)</f>
        <v>191927</v>
      </c>
      <c r="M455" s="371"/>
      <c r="N455" s="371">
        <f ca="1">IFERROR(__xludf.DUMMYFUNCTION("IMPORTRANGE(""https://docs.google.com/spreadsheets/d/11923uPwbBZFjjGgGUA6NLw09EwE0CqkOc4q9oUmW1yo/edit?usp=sharing"",""อุตรดิตถ์!M350"")"),9888)</f>
        <v>9888</v>
      </c>
      <c r="O455" s="371">
        <f t="shared" ref="O455:O459" ca="1" si="116">+IF(L455&gt;0,N455*100/L455,0)</f>
        <v>5.15195881767547</v>
      </c>
      <c r="P455" s="371"/>
    </row>
    <row r="456" spans="1:16" ht="21.75" customHeight="1" x14ac:dyDescent="0.3">
      <c r="A456" s="156"/>
      <c r="B456" s="157"/>
      <c r="C456" s="157" t="s">
        <v>16</v>
      </c>
      <c r="D456" s="158" t="s">
        <v>38</v>
      </c>
      <c r="E456" s="159"/>
      <c r="F456" s="159"/>
      <c r="G456" s="160" t="s">
        <v>39</v>
      </c>
      <c r="H456" s="161" t="s">
        <v>12</v>
      </c>
      <c r="I456" s="162" t="s">
        <v>40</v>
      </c>
      <c r="J456" s="162"/>
      <c r="K456" s="163"/>
      <c r="L456" s="164">
        <f ca="1">IFERROR(__xludf.DUMMYFUNCTION("IMPORTRANGE(""https://docs.google.com/spreadsheets/d/11923uPwbBZFjjGgGUA6NLw09EwE0CqkOc4q9oUmW1yo/edit?usp=sharing"",""อุตรดิตถ์!L351"")"),0)</f>
        <v>0</v>
      </c>
      <c r="M456" s="164"/>
      <c r="N456" s="168">
        <f ca="1">IFERROR(__xludf.DUMMYFUNCTION("IMPORTRANGE(""https://docs.google.com/spreadsheets/d/11923uPwbBZFjjGgGUA6NLw09EwE0CqkOc4q9oUmW1yo/edit?usp=sharing"",""อุตรดิตถ์!M351"")"),0)</f>
        <v>0</v>
      </c>
      <c r="O456" s="168">
        <f t="shared" ca="1" si="116"/>
        <v>0</v>
      </c>
      <c r="P456" s="168"/>
    </row>
    <row r="457" spans="1:16" ht="21.75" customHeight="1" x14ac:dyDescent="0.3">
      <c r="A457" s="156"/>
      <c r="B457" s="157"/>
      <c r="C457" s="157"/>
      <c r="D457" s="166"/>
      <c r="E457" s="159"/>
      <c r="F457" s="159" t="s">
        <v>40</v>
      </c>
      <c r="G457" s="160" t="s">
        <v>41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IFERROR(__xludf.DUMMYFUNCTION("IMPORTRANGE(""https://docs.google.com/spreadsheets/d/11923uPwbBZFjjGgGUA6NLw09EwE0CqkOc4q9oUmW1yo/edit?usp=sharing"",""อุตรดิตถ์!L352"")"),191927)</f>
        <v>191927</v>
      </c>
      <c r="M457" s="165"/>
      <c r="N457" s="168">
        <f ca="1">IFERROR(__xludf.DUMMYFUNCTION("IMPORTRANGE(""https://docs.google.com/spreadsheets/d/11923uPwbBZFjjGgGUA6NLw09EwE0CqkOc4q9oUmW1yo/edit?usp=sharing"",""อุตรดิตถ์!M352"")"),9888)</f>
        <v>9888</v>
      </c>
      <c r="O457" s="168">
        <f t="shared" ca="1" si="116"/>
        <v>5.15195881767547</v>
      </c>
      <c r="P457" s="168"/>
    </row>
    <row r="458" spans="1:16" ht="21.75" customHeight="1" x14ac:dyDescent="0.3">
      <c r="A458" s="156"/>
      <c r="B458" s="157"/>
      <c r="C458" s="157"/>
      <c r="D458" s="166"/>
      <c r="E458" s="159"/>
      <c r="F458" s="159"/>
      <c r="G458" s="372" t="s">
        <v>129</v>
      </c>
      <c r="H458" s="161" t="s">
        <v>12</v>
      </c>
      <c r="I458" s="162"/>
      <c r="J458" s="162"/>
      <c r="K458" s="163"/>
      <c r="L458" s="168">
        <f ca="1">IFERROR(__xludf.DUMMYFUNCTION("IMPORTRANGE(""https://docs.google.com/spreadsheets/d/11923uPwbBZFjjGgGUA6NLw09EwE0CqkOc4q9oUmW1yo/edit?usp=sharing"",""อุตรดิตถ์!L353"")"),0)</f>
        <v>0</v>
      </c>
      <c r="M458" s="168"/>
      <c r="N458" s="168">
        <f ca="1">IFERROR(__xludf.DUMMYFUNCTION("IMPORTRANGE(""https://docs.google.com/spreadsheets/d/11923uPwbBZFjjGgGUA6NLw09EwE0CqkOc4q9oUmW1yo/edit?usp=sharing"",""อุตรดิตถ์!M353"")"),0)</f>
        <v>0</v>
      </c>
      <c r="O458" s="168">
        <f t="shared" ca="1" si="116"/>
        <v>0</v>
      </c>
      <c r="P458" s="168"/>
    </row>
    <row r="459" spans="1:16" ht="21.75" customHeight="1" x14ac:dyDescent="0.3">
      <c r="A459" s="156"/>
      <c r="B459" s="157"/>
      <c r="C459" s="157"/>
      <c r="D459" s="166"/>
      <c r="E459" s="159"/>
      <c r="F459" s="159"/>
      <c r="G459" s="372" t="s">
        <v>130</v>
      </c>
      <c r="H459" s="161" t="s">
        <v>12</v>
      </c>
      <c r="I459" s="162"/>
      <c r="J459" s="162"/>
      <c r="K459" s="163"/>
      <c r="L459" s="168">
        <f ca="1">IFERROR(__xludf.DUMMYFUNCTION("IMPORTRANGE(""https://docs.google.com/spreadsheets/d/11923uPwbBZFjjGgGUA6NLw09EwE0CqkOc4q9oUmW1yo/edit?usp=sharing"",""อุตรดิตถ์!L354"")"),191927)</f>
        <v>191927</v>
      </c>
      <c r="M459" s="168"/>
      <c r="N459" s="168">
        <f ca="1">IFERROR(__xludf.DUMMYFUNCTION("IMPORTRANGE(""https://docs.google.com/spreadsheets/d/11923uPwbBZFjjGgGUA6NLw09EwE0CqkOc4q9oUmW1yo/edit?usp=sharing"",""อุตรดิตถ์!M354"")"),9888)</f>
        <v>9888</v>
      </c>
      <c r="O459" s="168">
        <f t="shared" ca="1" si="116"/>
        <v>5.15195881767547</v>
      </c>
      <c r="P459" s="168"/>
    </row>
    <row r="460" spans="1:16" ht="21.75" customHeight="1" x14ac:dyDescent="0.3">
      <c r="A460" s="373"/>
      <c r="B460" s="374"/>
      <c r="C460" s="157"/>
      <c r="D460" s="375"/>
      <c r="E460" s="159"/>
      <c r="F460" s="159"/>
      <c r="G460" s="376" t="s">
        <v>131</v>
      </c>
      <c r="H460" s="161" t="s">
        <v>12</v>
      </c>
      <c r="I460" s="187"/>
      <c r="J460" s="187"/>
      <c r="K460" s="223"/>
      <c r="L460" s="168"/>
      <c r="M460" s="168"/>
      <c r="N460" s="167">
        <f ca="1">IFERROR(__xludf.DUMMYFUNCTION("IMPORTRANGE(""https://docs.google.com/spreadsheets/d/11923uPwbBZFjjGgGUA6NLw09EwE0CqkOc4q9oUmW1yo/edit?usp=sharing"",""อุตรดิตถ์!M355"")"),0)</f>
        <v>0</v>
      </c>
      <c r="O460" s="168"/>
      <c r="P460" s="168"/>
    </row>
    <row r="461" spans="1:16" ht="21.75" customHeight="1" x14ac:dyDescent="0.3">
      <c r="A461" s="373"/>
      <c r="B461" s="374"/>
      <c r="C461" s="157"/>
      <c r="D461" s="375"/>
      <c r="E461" s="159"/>
      <c r="F461" s="159"/>
      <c r="G461" s="376" t="s">
        <v>132</v>
      </c>
      <c r="H461" s="161" t="s">
        <v>12</v>
      </c>
      <c r="I461" s="187"/>
      <c r="J461" s="187"/>
      <c r="K461" s="223"/>
      <c r="L461" s="168"/>
      <c r="M461" s="168"/>
      <c r="N461" s="167">
        <f ca="1">IFERROR(__xludf.DUMMYFUNCTION("IMPORTRANGE(""https://docs.google.com/spreadsheets/d/11923uPwbBZFjjGgGUA6NLw09EwE0CqkOc4q9oUmW1yo/edit?usp=sharing"",""อุตรดิตถ์!M356"")"),0)</f>
        <v>0</v>
      </c>
      <c r="O461" s="168"/>
      <c r="P461" s="168"/>
    </row>
    <row r="462" spans="1:16" ht="21.75" customHeight="1" x14ac:dyDescent="0.3">
      <c r="A462" s="373"/>
      <c r="B462" s="374"/>
      <c r="C462" s="157"/>
      <c r="D462" s="375"/>
      <c r="E462" s="159"/>
      <c r="F462" s="159"/>
      <c r="G462" s="376" t="s">
        <v>133</v>
      </c>
      <c r="H462" s="161" t="s">
        <v>12</v>
      </c>
      <c r="I462" s="187"/>
      <c r="J462" s="187"/>
      <c r="K462" s="223"/>
      <c r="L462" s="168"/>
      <c r="M462" s="168"/>
      <c r="N462" s="377">
        <f ca="1">IFERROR(__xludf.DUMMYFUNCTION("IMPORTRANGE(""https://docs.google.com/spreadsheets/d/11923uPwbBZFjjGgGUA6NLw09EwE0CqkOc4q9oUmW1yo/edit?usp=sharing"",""อุตรดิตถ์!M357"")"),0)</f>
        <v>0</v>
      </c>
      <c r="O462" s="168"/>
      <c r="P462" s="168"/>
    </row>
    <row r="463" spans="1:16" ht="21.75" customHeight="1" x14ac:dyDescent="0.3">
      <c r="A463" s="373"/>
      <c r="B463" s="374"/>
      <c r="C463" s="157"/>
      <c r="D463" s="375"/>
      <c r="E463" s="159"/>
      <c r="F463" s="159"/>
      <c r="G463" s="376" t="s">
        <v>134</v>
      </c>
      <c r="H463" s="161" t="s">
        <v>12</v>
      </c>
      <c r="I463" s="187"/>
      <c r="J463" s="187"/>
      <c r="K463" s="223"/>
      <c r="L463" s="168"/>
      <c r="M463" s="168"/>
      <c r="N463" s="377">
        <f ca="1">IFERROR(__xludf.DUMMYFUNCTION("IMPORTRANGE(""https://docs.google.com/spreadsheets/d/11923uPwbBZFjjGgGUA6NLw09EwE0CqkOc4q9oUmW1yo/edit?usp=sharing"",""อุตรดิตถ์!M358"")"),9888)</f>
        <v>9888</v>
      </c>
      <c r="O463" s="168"/>
      <c r="P463" s="168"/>
    </row>
    <row r="464" spans="1:16" ht="21.75" customHeight="1" x14ac:dyDescent="0.3">
      <c r="A464" s="175"/>
      <c r="B464" s="176"/>
      <c r="C464" s="413" t="s">
        <v>166</v>
      </c>
      <c r="D464" s="413"/>
      <c r="E464" s="414"/>
      <c r="F464" s="414"/>
      <c r="G464" s="415"/>
      <c r="H464" s="265" t="s">
        <v>122</v>
      </c>
      <c r="I464" s="266">
        <f ca="1">IFERROR(__xludf.DUMMYFUNCTION("IMPORTRANGE(""https://docs.google.com/spreadsheets/d/11923uPwbBZFjjGgGUA6NLw09EwE0CqkOc4q9oUmW1yo/edit?usp=sharing"",""อุตรดิตถ์!I359"")"),27138)</f>
        <v>27138</v>
      </c>
      <c r="J464" s="266">
        <f ca="1">IFERROR(__xludf.DUMMYFUNCTION("IMPORTRANGE(""https://docs.google.com/spreadsheets/d/11923uPwbBZFjjGgGUA6NLw09EwE0CqkOc4q9oUmW1yo/edit?usp=sharing"",""อุตรดิตถ์!J359"")"),0)</f>
        <v>0</v>
      </c>
      <c r="K464" s="267">
        <f t="shared" ref="K464:K515" ca="1" si="117">IF(I464&gt;0,J464*100/I464,0)</f>
        <v>0</v>
      </c>
      <c r="L464" s="290"/>
      <c r="M464" s="290"/>
      <c r="N464" s="290"/>
      <c r="O464" s="290"/>
      <c r="P464" s="290"/>
    </row>
    <row r="465" spans="1:16" ht="21.75" customHeight="1" x14ac:dyDescent="0.3">
      <c r="A465" s="400"/>
      <c r="B465" s="401"/>
      <c r="C465" s="401"/>
      <c r="D465" s="402"/>
      <c r="E465" s="193" t="s">
        <v>167</v>
      </c>
      <c r="F465" s="195"/>
      <c r="G465" s="196"/>
      <c r="H465" s="416" t="s">
        <v>122</v>
      </c>
      <c r="I465" s="417">
        <f ca="1">IFERROR(__xludf.DUMMYFUNCTION("IMPORTRANGE(""https://docs.google.com/spreadsheets/d/11923uPwbBZFjjGgGUA6NLw09EwE0CqkOc4q9oUmW1yo/edit?usp=sharing"",""อุตรดิตถ์!I360"")"),27138)</f>
        <v>27138</v>
      </c>
      <c r="J465" s="418">
        <f ca="1">IFERROR(__xludf.DUMMYFUNCTION("IMPORTRANGE(""https://docs.google.com/spreadsheets/d/11923uPwbBZFjjGgGUA6NLw09EwE0CqkOc4q9oUmW1yo/edit?usp=sharing"",""อุตรดิตถ์!J360"")"),0)</f>
        <v>0</v>
      </c>
      <c r="K465" s="201">
        <f t="shared" ca="1" si="117"/>
        <v>0</v>
      </c>
      <c r="L465" s="181"/>
      <c r="M465" s="181"/>
      <c r="N465" s="181"/>
      <c r="O465" s="181"/>
      <c r="P465" s="181"/>
    </row>
    <row r="466" spans="1:16" ht="21.75" customHeight="1" x14ac:dyDescent="0.3">
      <c r="A466" s="400"/>
      <c r="B466" s="401"/>
      <c r="C466" s="401"/>
      <c r="D466" s="402"/>
      <c r="E466" s="195"/>
      <c r="F466" s="195"/>
      <c r="G466" s="196"/>
      <c r="H466" s="416" t="s">
        <v>36</v>
      </c>
      <c r="I466" s="417">
        <f ca="1">IFERROR(__xludf.DUMMYFUNCTION("IMPORTRANGE(""https://docs.google.com/spreadsheets/d/11923uPwbBZFjjGgGUA6NLw09EwE0CqkOc4q9oUmW1yo/edit?usp=sharing"",""อุตรดิตถ์!I361"")"),2764)</f>
        <v>2764</v>
      </c>
      <c r="J466" s="418">
        <f ca="1">IFERROR(__xludf.DUMMYFUNCTION("IMPORTRANGE(""https://docs.google.com/spreadsheets/d/11923uPwbBZFjjGgGUA6NLw09EwE0CqkOc4q9oUmW1yo/edit?usp=sharing"",""อุตรดิตถ์!J361"")"),0)</f>
        <v>0</v>
      </c>
      <c r="K466" s="201">
        <f t="shared" ca="1" si="117"/>
        <v>0</v>
      </c>
      <c r="L466" s="181"/>
      <c r="M466" s="181"/>
      <c r="N466" s="181"/>
      <c r="O466" s="181"/>
      <c r="P466" s="181"/>
    </row>
    <row r="467" spans="1:16" ht="21.75" customHeight="1" x14ac:dyDescent="0.3">
      <c r="A467" s="400"/>
      <c r="B467" s="401"/>
      <c r="C467" s="401"/>
      <c r="D467" s="402"/>
      <c r="E467" s="195"/>
      <c r="F467" s="388" t="s">
        <v>168</v>
      </c>
      <c r="G467" s="419"/>
      <c r="H467" s="420" t="s">
        <v>122</v>
      </c>
      <c r="I467" s="202">
        <f ca="1">IFERROR(__xludf.DUMMYFUNCTION("IMPORTRANGE(""https://docs.google.com/spreadsheets/d/11923uPwbBZFjjGgGUA6NLw09EwE0CqkOc4q9oUmW1yo/edit?usp=sharing"",""อุตรดิตถ์!I362"")"),0)</f>
        <v>0</v>
      </c>
      <c r="J467" s="188">
        <f ca="1">IFERROR(__xludf.DUMMYFUNCTION("IMPORTRANGE(""https://docs.google.com/spreadsheets/d/11923uPwbBZFjjGgGUA6NLw09EwE0CqkOc4q9oUmW1yo/edit?usp=sharing"",""อุตรดิตถ์!J362"")"),0)</f>
        <v>0</v>
      </c>
      <c r="K467" s="163">
        <f t="shared" ca="1" si="117"/>
        <v>0</v>
      </c>
      <c r="L467" s="181"/>
      <c r="M467" s="181"/>
      <c r="N467" s="181"/>
      <c r="O467" s="181"/>
      <c r="P467" s="181"/>
    </row>
    <row r="468" spans="1:16" ht="21.75" customHeight="1" x14ac:dyDescent="0.3">
      <c r="A468" s="400"/>
      <c r="B468" s="401"/>
      <c r="C468" s="401"/>
      <c r="D468" s="402"/>
      <c r="E468" s="195"/>
      <c r="F468" s="195"/>
      <c r="G468" s="419"/>
      <c r="H468" s="420" t="s">
        <v>36</v>
      </c>
      <c r="I468" s="202">
        <f ca="1">IFERROR(__xludf.DUMMYFUNCTION("IMPORTRANGE(""https://docs.google.com/spreadsheets/d/11923uPwbBZFjjGgGUA6NLw09EwE0CqkOc4q9oUmW1yo/edit?usp=sharing"",""อุตรดิตถ์!I363"")"),0)</f>
        <v>0</v>
      </c>
      <c r="J468" s="188">
        <f ca="1">IFERROR(__xludf.DUMMYFUNCTION("IMPORTRANGE(""https://docs.google.com/spreadsheets/d/11923uPwbBZFjjGgGUA6NLw09EwE0CqkOc4q9oUmW1yo/edit?usp=sharing"",""อุตรดิตถ์!J363"")"),0)</f>
        <v>0</v>
      </c>
      <c r="K468" s="163">
        <f t="shared" ca="1" si="117"/>
        <v>0</v>
      </c>
      <c r="L468" s="181"/>
      <c r="M468" s="181"/>
      <c r="N468" s="181"/>
      <c r="O468" s="181"/>
      <c r="P468" s="181"/>
    </row>
    <row r="469" spans="1:16" ht="21.75" customHeight="1" x14ac:dyDescent="0.3">
      <c r="A469" s="400"/>
      <c r="B469" s="401"/>
      <c r="C469" s="401"/>
      <c r="D469" s="402"/>
      <c r="E469" s="195"/>
      <c r="F469" s="388" t="s">
        <v>169</v>
      </c>
      <c r="G469" s="419"/>
      <c r="H469" s="420" t="s">
        <v>122</v>
      </c>
      <c r="I469" s="202">
        <f ca="1">IFERROR(__xludf.DUMMYFUNCTION("IMPORTRANGE(""https://docs.google.com/spreadsheets/d/11923uPwbBZFjjGgGUA6NLw09EwE0CqkOc4q9oUmW1yo/edit?usp=sharing"",""อุตรดิตถ์!I364"")"),0)</f>
        <v>0</v>
      </c>
      <c r="J469" s="188">
        <f ca="1">IFERROR(__xludf.DUMMYFUNCTION("IMPORTRANGE(""https://docs.google.com/spreadsheets/d/11923uPwbBZFjjGgGUA6NLw09EwE0CqkOc4q9oUmW1yo/edit?usp=sharing"",""อุตรดิตถ์!J364"")"),0)</f>
        <v>0</v>
      </c>
      <c r="K469" s="163">
        <f t="shared" ca="1" si="117"/>
        <v>0</v>
      </c>
      <c r="L469" s="181"/>
      <c r="M469" s="181"/>
      <c r="N469" s="181"/>
      <c r="O469" s="181"/>
      <c r="P469" s="181"/>
    </row>
    <row r="470" spans="1:16" ht="21.75" customHeight="1" x14ac:dyDescent="0.3">
      <c r="A470" s="400"/>
      <c r="B470" s="401"/>
      <c r="C470" s="401"/>
      <c r="D470" s="402"/>
      <c r="E470" s="195"/>
      <c r="F470" s="195"/>
      <c r="G470" s="419"/>
      <c r="H470" s="420" t="s">
        <v>36</v>
      </c>
      <c r="I470" s="202">
        <f ca="1">IFERROR(__xludf.DUMMYFUNCTION("IMPORTRANGE(""https://docs.google.com/spreadsheets/d/11923uPwbBZFjjGgGUA6NLw09EwE0CqkOc4q9oUmW1yo/edit?usp=sharing"",""อุตรดิตถ์!I365"")"),0)</f>
        <v>0</v>
      </c>
      <c r="J470" s="188">
        <f ca="1">IFERROR(__xludf.DUMMYFUNCTION("IMPORTRANGE(""https://docs.google.com/spreadsheets/d/11923uPwbBZFjjGgGUA6NLw09EwE0CqkOc4q9oUmW1yo/edit?usp=sharing"",""อุตรดิตถ์!J365"")"),0)</f>
        <v>0</v>
      </c>
      <c r="K470" s="163">
        <f t="shared" ca="1" si="117"/>
        <v>0</v>
      </c>
      <c r="L470" s="181"/>
      <c r="M470" s="181"/>
      <c r="N470" s="181"/>
      <c r="O470" s="181"/>
      <c r="P470" s="181"/>
    </row>
    <row r="471" spans="1:16" ht="21.75" customHeight="1" x14ac:dyDescent="0.3">
      <c r="A471" s="400"/>
      <c r="B471" s="401"/>
      <c r="C471" s="401"/>
      <c r="D471" s="402"/>
      <c r="E471" s="195"/>
      <c r="F471" s="388" t="s">
        <v>170</v>
      </c>
      <c r="G471" s="419"/>
      <c r="H471" s="420" t="s">
        <v>122</v>
      </c>
      <c r="I471" s="202">
        <f ca="1">IFERROR(__xludf.DUMMYFUNCTION("IMPORTRANGE(""https://docs.google.com/spreadsheets/d/11923uPwbBZFjjGgGUA6NLw09EwE0CqkOc4q9oUmW1yo/edit?usp=sharing"",""อุตรดิตถ์!I366"")"),0)</f>
        <v>0</v>
      </c>
      <c r="J471" s="188">
        <f ca="1">IFERROR(__xludf.DUMMYFUNCTION("IMPORTRANGE(""https://docs.google.com/spreadsheets/d/11923uPwbBZFjjGgGUA6NLw09EwE0CqkOc4q9oUmW1yo/edit?usp=sharing"",""อุตรดิตถ์!J366"")"),0)</f>
        <v>0</v>
      </c>
      <c r="K471" s="163">
        <f t="shared" ca="1" si="117"/>
        <v>0</v>
      </c>
      <c r="L471" s="181"/>
      <c r="M471" s="181"/>
      <c r="N471" s="181"/>
      <c r="O471" s="181"/>
      <c r="P471" s="181"/>
    </row>
    <row r="472" spans="1:16" ht="21.75" customHeight="1" x14ac:dyDescent="0.3">
      <c r="A472" s="400"/>
      <c r="B472" s="401"/>
      <c r="C472" s="401"/>
      <c r="D472" s="402"/>
      <c r="E472" s="195"/>
      <c r="F472" s="195"/>
      <c r="G472" s="195"/>
      <c r="H472" s="420" t="s">
        <v>36</v>
      </c>
      <c r="I472" s="202">
        <f ca="1">IFERROR(__xludf.DUMMYFUNCTION("IMPORTRANGE(""https://docs.google.com/spreadsheets/d/11923uPwbBZFjjGgGUA6NLw09EwE0CqkOc4q9oUmW1yo/edit?usp=sharing"",""อุตรดิตถ์!I367"")"),0)</f>
        <v>0</v>
      </c>
      <c r="J472" s="188">
        <f ca="1">IFERROR(__xludf.DUMMYFUNCTION("IMPORTRANGE(""https://docs.google.com/spreadsheets/d/11923uPwbBZFjjGgGUA6NLw09EwE0CqkOc4q9oUmW1yo/edit?usp=sharing"",""อุตรดิตถ์!J367"")"),0)</f>
        <v>0</v>
      </c>
      <c r="K472" s="163">
        <f t="shared" ca="1" si="117"/>
        <v>0</v>
      </c>
      <c r="L472" s="181"/>
      <c r="M472" s="181"/>
      <c r="N472" s="181"/>
      <c r="O472" s="181"/>
      <c r="P472" s="181"/>
    </row>
    <row r="473" spans="1:16" ht="21.75" customHeight="1" x14ac:dyDescent="0.3">
      <c r="A473" s="400"/>
      <c r="B473" s="401"/>
      <c r="C473" s="401"/>
      <c r="D473" s="402"/>
      <c r="E473" s="289" t="s">
        <v>171</v>
      </c>
      <c r="F473" s="195"/>
      <c r="G473" s="196"/>
      <c r="H473" s="416" t="s">
        <v>122</v>
      </c>
      <c r="I473" s="418">
        <f ca="1">IFERROR(__xludf.DUMMYFUNCTION("IMPORTRANGE(""https://docs.google.com/spreadsheets/d/11923uPwbBZFjjGgGUA6NLw09EwE0CqkOc4q9oUmW1yo/edit?usp=sharing"",""อุตรดิตถ์!I368"")"),27138)</f>
        <v>27138</v>
      </c>
      <c r="J473" s="418">
        <f ca="1">IFERROR(__xludf.DUMMYFUNCTION("IMPORTRANGE(""https://docs.google.com/spreadsheets/d/11923uPwbBZFjjGgGUA6NLw09EwE0CqkOc4q9oUmW1yo/edit?usp=sharing"",""อุตรดิตถ์!J368"")"),0)</f>
        <v>0</v>
      </c>
      <c r="K473" s="201">
        <f t="shared" ca="1" si="117"/>
        <v>0</v>
      </c>
      <c r="L473" s="181"/>
      <c r="M473" s="181"/>
      <c r="N473" s="181"/>
      <c r="O473" s="181"/>
      <c r="P473" s="181"/>
    </row>
    <row r="474" spans="1:16" ht="21.75" customHeight="1" x14ac:dyDescent="0.3">
      <c r="A474" s="400"/>
      <c r="B474" s="401"/>
      <c r="C474" s="401"/>
      <c r="D474" s="402"/>
      <c r="E474" s="195"/>
      <c r="F474" s="195"/>
      <c r="G474" s="196"/>
      <c r="H474" s="416" t="s">
        <v>36</v>
      </c>
      <c r="I474" s="417">
        <f ca="1">IFERROR(__xludf.DUMMYFUNCTION("IMPORTRANGE(""https://docs.google.com/spreadsheets/d/11923uPwbBZFjjGgGUA6NLw09EwE0CqkOc4q9oUmW1yo/edit?usp=sharing"",""อุตรดิตถ์!I369"")"),2764)</f>
        <v>2764</v>
      </c>
      <c r="J474" s="418">
        <f ca="1">IFERROR(__xludf.DUMMYFUNCTION("IMPORTRANGE(""https://docs.google.com/spreadsheets/d/11923uPwbBZFjjGgGUA6NLw09EwE0CqkOc4q9oUmW1yo/edit?usp=sharing"",""อุตรดิตถ์!J369"")"),0)</f>
        <v>0</v>
      </c>
      <c r="K474" s="163">
        <f t="shared" ca="1" si="117"/>
        <v>0</v>
      </c>
      <c r="L474" s="181"/>
      <c r="M474" s="181"/>
      <c r="N474" s="181"/>
      <c r="O474" s="181"/>
      <c r="P474" s="181"/>
    </row>
    <row r="475" spans="1:16" ht="21.75" customHeight="1" x14ac:dyDescent="0.3">
      <c r="A475" s="400"/>
      <c r="B475" s="401"/>
      <c r="C475" s="401"/>
      <c r="D475" s="402"/>
      <c r="E475" s="195"/>
      <c r="F475" s="194" t="s">
        <v>172</v>
      </c>
      <c r="G475" s="419"/>
      <c r="H475" s="420" t="s">
        <v>122</v>
      </c>
      <c r="I475" s="202">
        <f ca="1">IFERROR(__xludf.DUMMYFUNCTION("IMPORTRANGE(""https://docs.google.com/spreadsheets/d/11923uPwbBZFjjGgGUA6NLw09EwE0CqkOc4q9oUmW1yo/edit?usp=sharing"",""อุตรดิตถ์!I370"")"),0)</f>
        <v>0</v>
      </c>
      <c r="J475" s="188">
        <f ca="1">IFERROR(__xludf.DUMMYFUNCTION("IMPORTRANGE(""https://docs.google.com/spreadsheets/d/11923uPwbBZFjjGgGUA6NLw09EwE0CqkOc4q9oUmW1yo/edit?usp=sharing"",""อุตรดิตถ์!J370"")"),0)</f>
        <v>0</v>
      </c>
      <c r="K475" s="163">
        <f t="shared" ca="1" si="117"/>
        <v>0</v>
      </c>
      <c r="L475" s="181"/>
      <c r="M475" s="181"/>
      <c r="N475" s="181"/>
      <c r="O475" s="181"/>
      <c r="P475" s="181"/>
    </row>
    <row r="476" spans="1:16" ht="21.75" customHeight="1" x14ac:dyDescent="0.3">
      <c r="A476" s="400"/>
      <c r="B476" s="401"/>
      <c r="C476" s="401"/>
      <c r="D476" s="402"/>
      <c r="E476" s="195"/>
      <c r="F476" s="195"/>
      <c r="G476" s="419"/>
      <c r="H476" s="420" t="s">
        <v>36</v>
      </c>
      <c r="I476" s="202">
        <f ca="1">IFERROR(__xludf.DUMMYFUNCTION("IMPORTRANGE(""https://docs.google.com/spreadsheets/d/11923uPwbBZFjjGgGUA6NLw09EwE0CqkOc4q9oUmW1yo/edit?usp=sharing"",""อุตรดิตถ์!I371"")"),0)</f>
        <v>0</v>
      </c>
      <c r="J476" s="188">
        <f ca="1">IFERROR(__xludf.DUMMYFUNCTION("IMPORTRANGE(""https://docs.google.com/spreadsheets/d/11923uPwbBZFjjGgGUA6NLw09EwE0CqkOc4q9oUmW1yo/edit?usp=sharing"",""อุตรดิตถ์!J371"")"),0)</f>
        <v>0</v>
      </c>
      <c r="K476" s="163">
        <f t="shared" ca="1" si="117"/>
        <v>0</v>
      </c>
      <c r="L476" s="181"/>
      <c r="M476" s="181"/>
      <c r="N476" s="181"/>
      <c r="O476" s="181"/>
      <c r="P476" s="181"/>
    </row>
    <row r="477" spans="1:16" ht="21.75" customHeight="1" x14ac:dyDescent="0.3">
      <c r="A477" s="400"/>
      <c r="B477" s="401"/>
      <c r="C477" s="401"/>
      <c r="D477" s="402"/>
      <c r="E477" s="195"/>
      <c r="F477" s="194" t="s">
        <v>173</v>
      </c>
      <c r="G477" s="419"/>
      <c r="H477" s="420" t="s">
        <v>122</v>
      </c>
      <c r="I477" s="202">
        <f ca="1">IFERROR(__xludf.DUMMYFUNCTION("IMPORTRANGE(""https://docs.google.com/spreadsheets/d/11923uPwbBZFjjGgGUA6NLw09EwE0CqkOc4q9oUmW1yo/edit?usp=sharing"",""อุตรดิตถ์!I372"")"),0)</f>
        <v>0</v>
      </c>
      <c r="J477" s="188">
        <f ca="1">IFERROR(__xludf.DUMMYFUNCTION("IMPORTRANGE(""https://docs.google.com/spreadsheets/d/11923uPwbBZFjjGgGUA6NLw09EwE0CqkOc4q9oUmW1yo/edit?usp=sharing"",""อุตรดิตถ์!J372"")"),0)</f>
        <v>0</v>
      </c>
      <c r="K477" s="163">
        <f t="shared" ca="1" si="117"/>
        <v>0</v>
      </c>
      <c r="L477" s="181"/>
      <c r="M477" s="181"/>
      <c r="N477" s="181"/>
      <c r="O477" s="181"/>
      <c r="P477" s="181"/>
    </row>
    <row r="478" spans="1:16" ht="21.75" customHeight="1" x14ac:dyDescent="0.3">
      <c r="A478" s="400"/>
      <c r="B478" s="401"/>
      <c r="C478" s="401"/>
      <c r="D478" s="402"/>
      <c r="E478" s="195"/>
      <c r="F478" s="195"/>
      <c r="G478" s="419"/>
      <c r="H478" s="420" t="s">
        <v>36</v>
      </c>
      <c r="I478" s="202">
        <f ca="1">IFERROR(__xludf.DUMMYFUNCTION("IMPORTRANGE(""https://docs.google.com/spreadsheets/d/11923uPwbBZFjjGgGUA6NLw09EwE0CqkOc4q9oUmW1yo/edit?usp=sharing"",""อุตรดิตถ์!I373"")"),0)</f>
        <v>0</v>
      </c>
      <c r="J478" s="188">
        <f ca="1">IFERROR(__xludf.DUMMYFUNCTION("IMPORTRANGE(""https://docs.google.com/spreadsheets/d/11923uPwbBZFjjGgGUA6NLw09EwE0CqkOc4q9oUmW1yo/edit?usp=sharing"",""อุตรดิตถ์!J373"")"),0)</f>
        <v>0</v>
      </c>
      <c r="K478" s="163">
        <f t="shared" ca="1" si="117"/>
        <v>0</v>
      </c>
      <c r="L478" s="181"/>
      <c r="M478" s="181"/>
      <c r="N478" s="181"/>
      <c r="O478" s="181"/>
      <c r="P478" s="181"/>
    </row>
    <row r="479" spans="1:16" ht="21.75" customHeight="1" x14ac:dyDescent="0.3">
      <c r="A479" s="400"/>
      <c r="B479" s="401"/>
      <c r="C479" s="401"/>
      <c r="D479" s="402"/>
      <c r="E479" s="195"/>
      <c r="F479" s="194" t="s">
        <v>174</v>
      </c>
      <c r="G479" s="419"/>
      <c r="H479" s="420" t="s">
        <v>122</v>
      </c>
      <c r="I479" s="202">
        <f ca="1">IFERROR(__xludf.DUMMYFUNCTION("IMPORTRANGE(""https://docs.google.com/spreadsheets/d/11923uPwbBZFjjGgGUA6NLw09EwE0CqkOc4q9oUmW1yo/edit?usp=sharing"",""อุตรดิตถ์!I374"")"),0)</f>
        <v>0</v>
      </c>
      <c r="J479" s="188">
        <f ca="1">IFERROR(__xludf.DUMMYFUNCTION("IMPORTRANGE(""https://docs.google.com/spreadsheets/d/11923uPwbBZFjjGgGUA6NLw09EwE0CqkOc4q9oUmW1yo/edit?usp=sharing"",""อุตรดิตถ์!J374"")"),0)</f>
        <v>0</v>
      </c>
      <c r="K479" s="163">
        <f t="shared" ca="1" si="117"/>
        <v>0</v>
      </c>
      <c r="L479" s="181"/>
      <c r="M479" s="181"/>
      <c r="N479" s="181"/>
      <c r="O479" s="181"/>
      <c r="P479" s="181"/>
    </row>
    <row r="480" spans="1:16" ht="21.75" customHeight="1" x14ac:dyDescent="0.3">
      <c r="A480" s="400"/>
      <c r="B480" s="401"/>
      <c r="C480" s="401"/>
      <c r="D480" s="402"/>
      <c r="E480" s="195"/>
      <c r="F480" s="195"/>
      <c r="G480" s="196"/>
      <c r="H480" s="420" t="s">
        <v>36</v>
      </c>
      <c r="I480" s="202">
        <f ca="1">IFERROR(__xludf.DUMMYFUNCTION("IMPORTRANGE(""https://docs.google.com/spreadsheets/d/11923uPwbBZFjjGgGUA6NLw09EwE0CqkOc4q9oUmW1yo/edit?usp=sharing"",""อุตรดิตถ์!I375"")"),0)</f>
        <v>0</v>
      </c>
      <c r="J480" s="188">
        <f ca="1">IFERROR(__xludf.DUMMYFUNCTION("IMPORTRANGE(""https://docs.google.com/spreadsheets/d/11923uPwbBZFjjGgGUA6NLw09EwE0CqkOc4q9oUmW1yo/edit?usp=sharing"",""อุตรดิตถ์!J375"")"),0)</f>
        <v>0</v>
      </c>
      <c r="K480" s="163">
        <f t="shared" ca="1" si="117"/>
        <v>0</v>
      </c>
      <c r="L480" s="181"/>
      <c r="M480" s="181"/>
      <c r="N480" s="181"/>
      <c r="O480" s="181"/>
      <c r="P480" s="181"/>
    </row>
    <row r="481" spans="1:16" ht="21.75" customHeight="1" x14ac:dyDescent="0.3">
      <c r="A481" s="421"/>
      <c r="B481" s="422"/>
      <c r="C481" s="422"/>
      <c r="D481" s="423"/>
      <c r="E481" s="424" t="s">
        <v>175</v>
      </c>
      <c r="F481" s="425"/>
      <c r="G481" s="426"/>
      <c r="H481" s="427" t="s">
        <v>122</v>
      </c>
      <c r="I481" s="418">
        <f ca="1">IFERROR(__xludf.DUMMYFUNCTION("IMPORTRANGE(""https://docs.google.com/spreadsheets/d/11923uPwbBZFjjGgGUA6NLw09EwE0CqkOc4q9oUmW1yo/edit?usp=sharing"",""อุตรดิตถ์!I376"")"),27138)</f>
        <v>27138</v>
      </c>
      <c r="J481" s="418">
        <f ca="1">IFERROR(__xludf.DUMMYFUNCTION("IMPORTRANGE(""https://docs.google.com/spreadsheets/d/11923uPwbBZFjjGgGUA6NLw09EwE0CqkOc4q9oUmW1yo/edit?usp=sharing"",""อุตรดิตถ์!J376"")"),0)</f>
        <v>0</v>
      </c>
      <c r="K481" s="201">
        <f t="shared" ca="1" si="117"/>
        <v>0</v>
      </c>
      <c r="L481" s="428"/>
      <c r="M481" s="428"/>
      <c r="N481" s="428"/>
      <c r="O481" s="428"/>
      <c r="P481" s="428"/>
    </row>
    <row r="482" spans="1:16" ht="21.75" customHeight="1" x14ac:dyDescent="0.3">
      <c r="A482" s="400"/>
      <c r="B482" s="401"/>
      <c r="C482" s="401"/>
      <c r="D482" s="402"/>
      <c r="E482" s="195"/>
      <c r="F482" s="195"/>
      <c r="G482" s="196"/>
      <c r="H482" s="416" t="s">
        <v>36</v>
      </c>
      <c r="I482" s="417">
        <f ca="1">IFERROR(__xludf.DUMMYFUNCTION("IMPORTRANGE(""https://docs.google.com/spreadsheets/d/11923uPwbBZFjjGgGUA6NLw09EwE0CqkOc4q9oUmW1yo/edit?usp=sharing"",""อุตรดิตถ์!I377"")"),2764)</f>
        <v>2764</v>
      </c>
      <c r="J482" s="418">
        <f ca="1">IFERROR(__xludf.DUMMYFUNCTION("IMPORTRANGE(""https://docs.google.com/spreadsheets/d/11923uPwbBZFjjGgGUA6NLw09EwE0CqkOc4q9oUmW1yo/edit?usp=sharing"",""อุตรดิตถ์!J377"")"),0)</f>
        <v>0</v>
      </c>
      <c r="K482" s="163">
        <f t="shared" ca="1" si="117"/>
        <v>0</v>
      </c>
      <c r="L482" s="181"/>
      <c r="M482" s="181"/>
      <c r="N482" s="181"/>
      <c r="O482" s="181"/>
      <c r="P482" s="181"/>
    </row>
    <row r="483" spans="1:16" ht="21.75" customHeight="1" x14ac:dyDescent="0.3">
      <c r="A483" s="400"/>
      <c r="B483" s="401"/>
      <c r="C483" s="401"/>
      <c r="D483" s="402"/>
      <c r="E483" s="195"/>
      <c r="F483" s="194" t="s">
        <v>176</v>
      </c>
      <c r="G483" s="419"/>
      <c r="H483" s="420" t="s">
        <v>122</v>
      </c>
      <c r="I483" s="202">
        <f ca="1">IFERROR(__xludf.DUMMYFUNCTION("IMPORTRANGE(""https://docs.google.com/spreadsheets/d/11923uPwbBZFjjGgGUA6NLw09EwE0CqkOc4q9oUmW1yo/edit?usp=sharing"",""อุตรดิตถ์!I378"")"),0)</f>
        <v>0</v>
      </c>
      <c r="J483" s="188">
        <f ca="1">IFERROR(__xludf.DUMMYFUNCTION("IMPORTRANGE(""https://docs.google.com/spreadsheets/d/11923uPwbBZFjjGgGUA6NLw09EwE0CqkOc4q9oUmW1yo/edit?usp=sharing"",""อุตรดิตถ์!J378"")"),0)</f>
        <v>0</v>
      </c>
      <c r="K483" s="163">
        <f t="shared" ca="1" si="117"/>
        <v>0</v>
      </c>
      <c r="L483" s="181"/>
      <c r="M483" s="181"/>
      <c r="N483" s="181"/>
      <c r="O483" s="181"/>
      <c r="P483" s="181"/>
    </row>
    <row r="484" spans="1:16" ht="21.75" customHeight="1" x14ac:dyDescent="0.3">
      <c r="A484" s="400"/>
      <c r="B484" s="401"/>
      <c r="C484" s="401"/>
      <c r="D484" s="402"/>
      <c r="E484" s="195"/>
      <c r="F484" s="195"/>
      <c r="G484" s="419"/>
      <c r="H484" s="420" t="s">
        <v>36</v>
      </c>
      <c r="I484" s="202">
        <f ca="1">IFERROR(__xludf.DUMMYFUNCTION("IMPORTRANGE(""https://docs.google.com/spreadsheets/d/11923uPwbBZFjjGgGUA6NLw09EwE0CqkOc4q9oUmW1yo/edit?usp=sharing"",""อุตรดิตถ์!I379"")"),0)</f>
        <v>0</v>
      </c>
      <c r="J484" s="188">
        <f ca="1">IFERROR(__xludf.DUMMYFUNCTION("IMPORTRANGE(""https://docs.google.com/spreadsheets/d/11923uPwbBZFjjGgGUA6NLw09EwE0CqkOc4q9oUmW1yo/edit?usp=sharing"",""อุตรดิตถ์!J379"")"),0)</f>
        <v>0</v>
      </c>
      <c r="K484" s="163">
        <f t="shared" ca="1" si="117"/>
        <v>0</v>
      </c>
      <c r="L484" s="181"/>
      <c r="M484" s="181"/>
      <c r="N484" s="181"/>
      <c r="O484" s="181"/>
      <c r="P484" s="181"/>
    </row>
    <row r="485" spans="1:16" ht="21.75" customHeight="1" x14ac:dyDescent="0.3">
      <c r="A485" s="400"/>
      <c r="B485" s="401"/>
      <c r="C485" s="401"/>
      <c r="D485" s="402"/>
      <c r="E485" s="195"/>
      <c r="F485" s="194" t="s">
        <v>177</v>
      </c>
      <c r="G485" s="419"/>
      <c r="H485" s="420" t="s">
        <v>122</v>
      </c>
      <c r="I485" s="202">
        <f ca="1">IFERROR(__xludf.DUMMYFUNCTION("IMPORTRANGE(""https://docs.google.com/spreadsheets/d/11923uPwbBZFjjGgGUA6NLw09EwE0CqkOc4q9oUmW1yo/edit?usp=sharing"",""อุตรดิตถ์!I380"")"),0)</f>
        <v>0</v>
      </c>
      <c r="J485" s="188">
        <f ca="1">IFERROR(__xludf.DUMMYFUNCTION("IMPORTRANGE(""https://docs.google.com/spreadsheets/d/11923uPwbBZFjjGgGUA6NLw09EwE0CqkOc4q9oUmW1yo/edit?usp=sharing"",""อุตรดิตถ์!J380"")"),0)</f>
        <v>0</v>
      </c>
      <c r="K485" s="163">
        <f t="shared" ca="1" si="117"/>
        <v>0</v>
      </c>
      <c r="L485" s="181"/>
      <c r="M485" s="181"/>
      <c r="N485" s="181"/>
      <c r="O485" s="181"/>
      <c r="P485" s="181"/>
    </row>
    <row r="486" spans="1:16" ht="21.75" customHeight="1" x14ac:dyDescent="0.3">
      <c r="A486" s="400"/>
      <c r="B486" s="401"/>
      <c r="C486" s="401"/>
      <c r="D486" s="402"/>
      <c r="E486" s="195"/>
      <c r="F486" s="195"/>
      <c r="G486" s="419"/>
      <c r="H486" s="420" t="s">
        <v>36</v>
      </c>
      <c r="I486" s="202">
        <f ca="1">IFERROR(__xludf.DUMMYFUNCTION("IMPORTRANGE(""https://docs.google.com/spreadsheets/d/11923uPwbBZFjjGgGUA6NLw09EwE0CqkOc4q9oUmW1yo/edit?usp=sharing"",""อุตรดิตถ์!I381"")"),0)</f>
        <v>0</v>
      </c>
      <c r="J486" s="188">
        <f ca="1">IFERROR(__xludf.DUMMYFUNCTION("IMPORTRANGE(""https://docs.google.com/spreadsheets/d/11923uPwbBZFjjGgGUA6NLw09EwE0CqkOc4q9oUmW1yo/edit?usp=sharing"",""อุตรดิตถ์!J381"")"),0)</f>
        <v>0</v>
      </c>
      <c r="K486" s="163">
        <f t="shared" ca="1" si="117"/>
        <v>0</v>
      </c>
      <c r="L486" s="181"/>
      <c r="M486" s="181"/>
      <c r="N486" s="181"/>
      <c r="O486" s="181"/>
      <c r="P486" s="181"/>
    </row>
    <row r="487" spans="1:16" ht="21.75" customHeight="1" x14ac:dyDescent="0.3">
      <c r="A487" s="400"/>
      <c r="B487" s="401"/>
      <c r="C487" s="401"/>
      <c r="D487" s="402"/>
      <c r="E487" s="195"/>
      <c r="F487" s="194" t="s">
        <v>178</v>
      </c>
      <c r="G487" s="419"/>
      <c r="H487" s="420" t="s">
        <v>122</v>
      </c>
      <c r="I487" s="202">
        <f ca="1">IFERROR(__xludf.DUMMYFUNCTION("IMPORTRANGE(""https://docs.google.com/spreadsheets/d/11923uPwbBZFjjGgGUA6NLw09EwE0CqkOc4q9oUmW1yo/edit?usp=sharing"",""อุตรดิตถ์!I382"")"),0)</f>
        <v>0</v>
      </c>
      <c r="J487" s="418">
        <f ca="1">IFERROR(__xludf.DUMMYFUNCTION("IMPORTRANGE(""https://docs.google.com/spreadsheets/d/11923uPwbBZFjjGgGUA6NLw09EwE0CqkOc4q9oUmW1yo/edit?usp=sharing"",""อุตรดิตถ์!J382"")"),0)</f>
        <v>0</v>
      </c>
      <c r="K487" s="163">
        <f t="shared" ca="1" si="117"/>
        <v>0</v>
      </c>
      <c r="L487" s="181"/>
      <c r="M487" s="181"/>
      <c r="N487" s="181"/>
      <c r="O487" s="181"/>
      <c r="P487" s="181"/>
    </row>
    <row r="488" spans="1:16" ht="21.75" customHeight="1" x14ac:dyDescent="0.3">
      <c r="A488" s="400"/>
      <c r="B488" s="401"/>
      <c r="C488" s="401"/>
      <c r="D488" s="402"/>
      <c r="E488" s="195"/>
      <c r="F488" s="195"/>
      <c r="G488" s="195"/>
      <c r="H488" s="420" t="s">
        <v>36</v>
      </c>
      <c r="I488" s="202">
        <f ca="1">IFERROR(__xludf.DUMMYFUNCTION("IMPORTRANGE(""https://docs.google.com/spreadsheets/d/11923uPwbBZFjjGgGUA6NLw09EwE0CqkOc4q9oUmW1yo/edit?usp=sharing"",""อุตรดิตถ์!I383"")"),0)</f>
        <v>0</v>
      </c>
      <c r="J488" s="418">
        <f ca="1">IFERROR(__xludf.DUMMYFUNCTION("IMPORTRANGE(""https://docs.google.com/spreadsheets/d/11923uPwbBZFjjGgGUA6NLw09EwE0CqkOc4q9oUmW1yo/edit?usp=sharing"",""อุตรดิตถ์!J383"")"),0)</f>
        <v>0</v>
      </c>
      <c r="K488" s="163">
        <f t="shared" ca="1" si="117"/>
        <v>0</v>
      </c>
      <c r="L488" s="181"/>
      <c r="M488" s="181"/>
      <c r="N488" s="181"/>
      <c r="O488" s="181"/>
      <c r="P488" s="181"/>
    </row>
    <row r="489" spans="1:16" ht="21.75" customHeight="1" x14ac:dyDescent="0.3">
      <c r="A489" s="400"/>
      <c r="B489" s="401"/>
      <c r="C489" s="401"/>
      <c r="D489" s="402"/>
      <c r="E489" s="195"/>
      <c r="F489" s="195"/>
      <c r="G489" s="194" t="s">
        <v>179</v>
      </c>
      <c r="H489" s="420" t="s">
        <v>122</v>
      </c>
      <c r="I489" s="202">
        <f ca="1">IFERROR(__xludf.DUMMYFUNCTION("IMPORTRANGE(""https://docs.google.com/spreadsheets/d/11923uPwbBZFjjGgGUA6NLw09EwE0CqkOc4q9oUmW1yo/edit?usp=sharing"",""อุตรดิตถ์!I384"")"),0)</f>
        <v>0</v>
      </c>
      <c r="J489" s="188">
        <f ca="1">IFERROR(__xludf.DUMMYFUNCTION("IMPORTRANGE(""https://docs.google.com/spreadsheets/d/11923uPwbBZFjjGgGUA6NLw09EwE0CqkOc4q9oUmW1yo/edit?usp=sharing"",""อุตรดิตถ์!J384"")"),0)</f>
        <v>0</v>
      </c>
      <c r="K489" s="163">
        <f t="shared" ca="1" si="117"/>
        <v>0</v>
      </c>
      <c r="L489" s="181"/>
      <c r="M489" s="181"/>
      <c r="N489" s="181"/>
      <c r="O489" s="181"/>
      <c r="P489" s="181"/>
    </row>
    <row r="490" spans="1:16" ht="21.75" customHeight="1" x14ac:dyDescent="0.3">
      <c r="A490" s="400"/>
      <c r="B490" s="401"/>
      <c r="C490" s="401"/>
      <c r="D490" s="402"/>
      <c r="E490" s="195"/>
      <c r="F490" s="195"/>
      <c r="G490" s="195"/>
      <c r="H490" s="420" t="s">
        <v>36</v>
      </c>
      <c r="I490" s="202">
        <f ca="1">IFERROR(__xludf.DUMMYFUNCTION("IMPORTRANGE(""https://docs.google.com/spreadsheets/d/11923uPwbBZFjjGgGUA6NLw09EwE0CqkOc4q9oUmW1yo/edit?usp=sharing"",""อุตรดิตถ์!I385"")"),0)</f>
        <v>0</v>
      </c>
      <c r="J490" s="188">
        <f ca="1">IFERROR(__xludf.DUMMYFUNCTION("IMPORTRANGE(""https://docs.google.com/spreadsheets/d/11923uPwbBZFjjGgGUA6NLw09EwE0CqkOc4q9oUmW1yo/edit?usp=sharing"",""อุตรดิตถ์!J385"")"),0)</f>
        <v>0</v>
      </c>
      <c r="K490" s="163">
        <f t="shared" ca="1" si="117"/>
        <v>0</v>
      </c>
      <c r="L490" s="181"/>
      <c r="M490" s="181"/>
      <c r="N490" s="181"/>
      <c r="O490" s="181"/>
      <c r="P490" s="181"/>
    </row>
    <row r="491" spans="1:16" ht="21.75" customHeight="1" x14ac:dyDescent="0.3">
      <c r="A491" s="400"/>
      <c r="B491" s="401"/>
      <c r="C491" s="401"/>
      <c r="D491" s="402"/>
      <c r="E491" s="195"/>
      <c r="F491" s="195"/>
      <c r="G491" s="194" t="s">
        <v>180</v>
      </c>
      <c r="H491" s="420" t="s">
        <v>122</v>
      </c>
      <c r="I491" s="202">
        <f ca="1">IFERROR(__xludf.DUMMYFUNCTION("IMPORTRANGE(""https://docs.google.com/spreadsheets/d/11923uPwbBZFjjGgGUA6NLw09EwE0CqkOc4q9oUmW1yo/edit?usp=sharing"",""อุตรดิตถ์!I386"")"),0)</f>
        <v>0</v>
      </c>
      <c r="J491" s="188">
        <f ca="1">IFERROR(__xludf.DUMMYFUNCTION("IMPORTRANGE(""https://docs.google.com/spreadsheets/d/11923uPwbBZFjjGgGUA6NLw09EwE0CqkOc4q9oUmW1yo/edit?usp=sharing"",""อุตรดิตถ์!J386"")"),0)</f>
        <v>0</v>
      </c>
      <c r="K491" s="163">
        <f t="shared" ca="1" si="117"/>
        <v>0</v>
      </c>
      <c r="L491" s="181"/>
      <c r="M491" s="181"/>
      <c r="N491" s="181"/>
      <c r="O491" s="181"/>
      <c r="P491" s="181"/>
    </row>
    <row r="492" spans="1:16" ht="21.75" customHeight="1" x14ac:dyDescent="0.3">
      <c r="A492" s="400"/>
      <c r="B492" s="401"/>
      <c r="C492" s="401"/>
      <c r="D492" s="402"/>
      <c r="E492" s="195"/>
      <c r="F492" s="195"/>
      <c r="G492" s="196"/>
      <c r="H492" s="420" t="s">
        <v>36</v>
      </c>
      <c r="I492" s="202">
        <f ca="1">IFERROR(__xludf.DUMMYFUNCTION("IMPORTRANGE(""https://docs.google.com/spreadsheets/d/11923uPwbBZFjjGgGUA6NLw09EwE0CqkOc4q9oUmW1yo/edit?usp=sharing"",""อุตรดิตถ์!I387"")"),0)</f>
        <v>0</v>
      </c>
      <c r="J492" s="188">
        <f ca="1">IFERROR(__xludf.DUMMYFUNCTION("IMPORTRANGE(""https://docs.google.com/spreadsheets/d/11923uPwbBZFjjGgGUA6NLw09EwE0CqkOc4q9oUmW1yo/edit?usp=sharing"",""อุตรดิตถ์!J387"")"),0)</f>
        <v>0</v>
      </c>
      <c r="K492" s="163">
        <f t="shared" ca="1" si="117"/>
        <v>0</v>
      </c>
      <c r="L492" s="181"/>
      <c r="M492" s="181"/>
      <c r="N492" s="181"/>
      <c r="O492" s="181"/>
      <c r="P492" s="181"/>
    </row>
    <row r="493" spans="1:16" ht="21.75" customHeight="1" x14ac:dyDescent="0.3">
      <c r="A493" s="400"/>
      <c r="B493" s="401"/>
      <c r="C493" s="401"/>
      <c r="D493" s="402"/>
      <c r="E493" s="195"/>
      <c r="F493" s="194" t="s">
        <v>181</v>
      </c>
      <c r="G493" s="419"/>
      <c r="H493" s="420" t="s">
        <v>122</v>
      </c>
      <c r="I493" s="202">
        <f ca="1">IFERROR(__xludf.DUMMYFUNCTION("IMPORTRANGE(""https://docs.google.com/spreadsheets/d/11923uPwbBZFjjGgGUA6NLw09EwE0CqkOc4q9oUmW1yo/edit?usp=sharing"",""อุตรดิตถ์!I388"")"),0)</f>
        <v>0</v>
      </c>
      <c r="J493" s="188">
        <f ca="1">IFERROR(__xludf.DUMMYFUNCTION("IMPORTRANGE(""https://docs.google.com/spreadsheets/d/11923uPwbBZFjjGgGUA6NLw09EwE0CqkOc4q9oUmW1yo/edit?usp=sharing"",""อุตรดิตถ์!J388"")"),0)</f>
        <v>0</v>
      </c>
      <c r="K493" s="163">
        <f t="shared" ca="1" si="117"/>
        <v>0</v>
      </c>
      <c r="L493" s="181"/>
      <c r="M493" s="181"/>
      <c r="N493" s="181"/>
      <c r="O493" s="181"/>
      <c r="P493" s="181"/>
    </row>
    <row r="494" spans="1:16" ht="21.75" customHeight="1" x14ac:dyDescent="0.3">
      <c r="A494" s="429"/>
      <c r="B494" s="430"/>
      <c r="C494" s="430"/>
      <c r="D494" s="431"/>
      <c r="E494" s="345"/>
      <c r="F494" s="345"/>
      <c r="G494" s="345"/>
      <c r="H494" s="432" t="s">
        <v>36</v>
      </c>
      <c r="I494" s="433">
        <f ca="1">IFERROR(__xludf.DUMMYFUNCTION("IMPORTRANGE(""https://docs.google.com/spreadsheets/d/11923uPwbBZFjjGgGUA6NLw09EwE0CqkOc4q9oUmW1yo/edit?usp=sharing"",""อุตรดิตถ์!I389"")"),0)</f>
        <v>0</v>
      </c>
      <c r="J494" s="434">
        <f ca="1">IFERROR(__xludf.DUMMYFUNCTION("IMPORTRANGE(""https://docs.google.com/spreadsheets/d/11923uPwbBZFjjGgGUA6NLw09EwE0CqkOc4q9oUmW1yo/edit?usp=sharing"",""อุตรดิตถ์!J389"")"),0)</f>
        <v>0</v>
      </c>
      <c r="K494" s="286">
        <f t="shared" ca="1" si="117"/>
        <v>0</v>
      </c>
      <c r="L494" s="244"/>
      <c r="M494" s="244"/>
      <c r="N494" s="244"/>
      <c r="O494" s="244"/>
      <c r="P494" s="244"/>
    </row>
    <row r="495" spans="1:16" ht="21.75" customHeight="1" x14ac:dyDescent="0.3">
      <c r="A495" s="400"/>
      <c r="B495" s="401"/>
      <c r="C495" s="401"/>
      <c r="D495" s="402"/>
      <c r="E495" s="195"/>
      <c r="F495" s="195">
        <v>3.5</v>
      </c>
      <c r="G495" s="419" t="s">
        <v>182</v>
      </c>
      <c r="H495" s="420" t="s">
        <v>122</v>
      </c>
      <c r="I495" s="433">
        <f ca="1">IFERROR(__xludf.DUMMYFUNCTION("IMPORTRANGE(""https://docs.google.com/spreadsheets/d/11923uPwbBZFjjGgGUA6NLw09EwE0CqkOc4q9oUmW1yo/edit?usp=sharing"",""อุตรดิตถ์!I390"")"),0)</f>
        <v>0</v>
      </c>
      <c r="J495" s="434">
        <f ca="1">IFERROR(__xludf.DUMMYFUNCTION("IMPORTRANGE(""https://docs.google.com/spreadsheets/d/11923uPwbBZFjjGgGUA6NLw09EwE0CqkOc4q9oUmW1yo/edit?usp=sharing"",""อุตรดิตถ์!J390"")"),0)</f>
        <v>0</v>
      </c>
      <c r="K495" s="163">
        <f t="shared" ca="1" si="117"/>
        <v>0</v>
      </c>
      <c r="L495" s="181"/>
      <c r="M495" s="181"/>
      <c r="N495" s="181"/>
      <c r="O495" s="181"/>
      <c r="P495" s="181"/>
    </row>
    <row r="496" spans="1:16" ht="21.75" customHeight="1" x14ac:dyDescent="0.3">
      <c r="A496" s="429"/>
      <c r="B496" s="430"/>
      <c r="C496" s="430"/>
      <c r="D496" s="431"/>
      <c r="E496" s="345"/>
      <c r="F496" s="345"/>
      <c r="G496" s="345"/>
      <c r="H496" s="432" t="s">
        <v>36</v>
      </c>
      <c r="I496" s="433">
        <f ca="1">IFERROR(__xludf.DUMMYFUNCTION("IMPORTRANGE(""https://docs.google.com/spreadsheets/d/11923uPwbBZFjjGgGUA6NLw09EwE0CqkOc4q9oUmW1yo/edit?usp=sharing"",""อุตรดิตถ์!I391"")"),0)</f>
        <v>0</v>
      </c>
      <c r="J496" s="434">
        <f ca="1">IFERROR(__xludf.DUMMYFUNCTION("IMPORTRANGE(""https://docs.google.com/spreadsheets/d/11923uPwbBZFjjGgGUA6NLw09EwE0CqkOc4q9oUmW1yo/edit?usp=sharing"",""อุตรดิตถ์!J391"")"),0)</f>
        <v>0</v>
      </c>
      <c r="K496" s="286">
        <f t="shared" ca="1" si="117"/>
        <v>0</v>
      </c>
      <c r="L496" s="244"/>
      <c r="M496" s="244"/>
      <c r="N496" s="244"/>
      <c r="O496" s="244"/>
      <c r="P496" s="244"/>
    </row>
    <row r="497" spans="1:16" ht="21.75" customHeight="1" x14ac:dyDescent="0.3">
      <c r="A497" s="435"/>
      <c r="B497" s="436"/>
      <c r="C497" s="437" t="s">
        <v>183</v>
      </c>
      <c r="D497" s="437"/>
      <c r="E497" s="438"/>
      <c r="F497" s="438"/>
      <c r="G497" s="439"/>
      <c r="H497" s="440" t="s">
        <v>122</v>
      </c>
      <c r="I497" s="441">
        <f ca="1">IFERROR(__xludf.DUMMYFUNCTION("IMPORTRANGE(""https://docs.google.com/spreadsheets/d/11923uPwbBZFjjGgGUA6NLw09EwE0CqkOc4q9oUmW1yo/edit?usp=sharing"",""อุตรดิตถ์!I392"")"),12)</f>
        <v>12</v>
      </c>
      <c r="J497" s="441">
        <f ca="1">IFERROR(__xludf.DUMMYFUNCTION("IMPORTRANGE(""https://docs.google.com/spreadsheets/d/11923uPwbBZFjjGgGUA6NLw09EwE0CqkOc4q9oUmW1yo/edit?usp=sharing"",""อุตรดิตถ์!J392"")"),0)</f>
        <v>0</v>
      </c>
      <c r="K497" s="442">
        <f t="shared" ca="1" si="117"/>
        <v>0</v>
      </c>
      <c r="L497" s="443"/>
      <c r="M497" s="443"/>
      <c r="N497" s="443"/>
      <c r="O497" s="443"/>
      <c r="P497" s="443"/>
    </row>
    <row r="498" spans="1:16" ht="21.75" customHeight="1" x14ac:dyDescent="0.3">
      <c r="A498" s="175"/>
      <c r="B498" s="176"/>
      <c r="C498" s="176"/>
      <c r="D498" s="402"/>
      <c r="E498" s="444" t="s">
        <v>184</v>
      </c>
      <c r="F498" s="445"/>
      <c r="G498" s="446"/>
      <c r="H498" s="447" t="s">
        <v>122</v>
      </c>
      <c r="I498" s="418">
        <f ca="1">IFERROR(__xludf.DUMMYFUNCTION("IMPORTRANGE(""https://docs.google.com/spreadsheets/d/11923uPwbBZFjjGgGUA6NLw09EwE0CqkOc4q9oUmW1yo/edit?usp=sharing"",""อุตรดิตถ์!I393"")"),12)</f>
        <v>12</v>
      </c>
      <c r="J498" s="418">
        <f ca="1">IFERROR(__xludf.DUMMYFUNCTION("IMPORTRANGE(""https://docs.google.com/spreadsheets/d/11923uPwbBZFjjGgGUA6NLw09EwE0CqkOc4q9oUmW1yo/edit?usp=sharing"",""อุตรดิตถ์!J393"")"),0)</f>
        <v>0</v>
      </c>
      <c r="K498" s="163">
        <f t="shared" ca="1" si="117"/>
        <v>0</v>
      </c>
      <c r="L498" s="181"/>
      <c r="M498" s="181"/>
      <c r="N498" s="181"/>
      <c r="O498" s="181"/>
      <c r="P498" s="181"/>
    </row>
    <row r="499" spans="1:16" ht="21.75" customHeight="1" x14ac:dyDescent="0.3">
      <c r="A499" s="175"/>
      <c r="B499" s="176"/>
      <c r="C499" s="176"/>
      <c r="D499" s="193"/>
      <c r="E499" s="445"/>
      <c r="F499" s="445"/>
      <c r="G499" s="446"/>
      <c r="H499" s="447" t="s">
        <v>36</v>
      </c>
      <c r="I499" s="418">
        <f ca="1">IFERROR(__xludf.DUMMYFUNCTION("IMPORTRANGE(""https://docs.google.com/spreadsheets/d/11923uPwbBZFjjGgGUA6NLw09EwE0CqkOc4q9oUmW1yo/edit?usp=sharing"",""อุตรดิตถ์!I394"")"),4)</f>
        <v>4</v>
      </c>
      <c r="J499" s="418">
        <f ca="1">IFERROR(__xludf.DUMMYFUNCTION("IMPORTRANGE(""https://docs.google.com/spreadsheets/d/11923uPwbBZFjjGgGUA6NLw09EwE0CqkOc4q9oUmW1yo/edit?usp=sharing"",""อุตรดิตถ์!J394"")"),0)</f>
        <v>0</v>
      </c>
      <c r="K499" s="201">
        <f t="shared" ca="1" si="117"/>
        <v>0</v>
      </c>
      <c r="L499" s="181"/>
      <c r="M499" s="181"/>
      <c r="N499" s="181"/>
      <c r="O499" s="181"/>
      <c r="P499" s="181"/>
    </row>
    <row r="500" spans="1:16" ht="21.75" customHeight="1" x14ac:dyDescent="0.3">
      <c r="A500" s="175"/>
      <c r="B500" s="176"/>
      <c r="C500" s="176"/>
      <c r="D500" s="402"/>
      <c r="E500" s="402" t="s">
        <v>185</v>
      </c>
      <c r="F500" s="195"/>
      <c r="G500" s="196"/>
      <c r="H500" s="420" t="s">
        <v>122</v>
      </c>
      <c r="I500" s="202">
        <f ca="1">IFERROR(__xludf.DUMMYFUNCTION("IMPORTRANGE(""https://docs.google.com/spreadsheets/d/11923uPwbBZFjjGgGUA6NLw09EwE0CqkOc4q9oUmW1yo/edit?usp=sharing"",""อุตรดิตถ์!I395"")"),0)</f>
        <v>0</v>
      </c>
      <c r="J500" s="162">
        <f ca="1">IFERROR(__xludf.DUMMYFUNCTION("IMPORTRANGE(""https://docs.google.com/spreadsheets/d/11923uPwbBZFjjGgGUA6NLw09EwE0CqkOc4q9oUmW1yo/edit?usp=sharing"",""อุตรดิตถ์!J395"")"),0)</f>
        <v>0</v>
      </c>
      <c r="K500" s="163">
        <f t="shared" ca="1" si="117"/>
        <v>0</v>
      </c>
      <c r="L500" s="181"/>
      <c r="M500" s="181"/>
      <c r="N500" s="181"/>
      <c r="O500" s="181"/>
      <c r="P500" s="181"/>
    </row>
    <row r="501" spans="1:16" ht="21.75" customHeight="1" x14ac:dyDescent="0.3">
      <c r="A501" s="175"/>
      <c r="B501" s="176"/>
      <c r="C501" s="176"/>
      <c r="D501" s="193"/>
      <c r="E501" s="195"/>
      <c r="F501" s="195"/>
      <c r="G501" s="196"/>
      <c r="H501" s="420" t="s">
        <v>36</v>
      </c>
      <c r="I501" s="202">
        <f ca="1">IFERROR(__xludf.DUMMYFUNCTION("IMPORTRANGE(""https://docs.google.com/spreadsheets/d/11923uPwbBZFjjGgGUA6NLw09EwE0CqkOc4q9oUmW1yo/edit?usp=sharing"",""อุตรดิตถ์!I396"")"),0)</f>
        <v>0</v>
      </c>
      <c r="J501" s="162">
        <f ca="1">IFERROR(__xludf.DUMMYFUNCTION("IMPORTRANGE(""https://docs.google.com/spreadsheets/d/11923uPwbBZFjjGgGUA6NLw09EwE0CqkOc4q9oUmW1yo/edit?usp=sharing"",""อุตรดิตถ์!J396"")"),0)</f>
        <v>0</v>
      </c>
      <c r="K501" s="163">
        <f t="shared" ca="1" si="117"/>
        <v>0</v>
      </c>
      <c r="L501" s="181"/>
      <c r="M501" s="181"/>
      <c r="N501" s="181"/>
      <c r="O501" s="181"/>
      <c r="P501" s="181"/>
    </row>
    <row r="502" spans="1:16" ht="21.75" customHeight="1" x14ac:dyDescent="0.3">
      <c r="A502" s="175"/>
      <c r="B502" s="176"/>
      <c r="C502" s="176"/>
      <c r="D502" s="193"/>
      <c r="E502" s="195"/>
      <c r="F502" s="397" t="s">
        <v>186</v>
      </c>
      <c r="G502" s="419"/>
      <c r="H502" s="420" t="s">
        <v>122</v>
      </c>
      <c r="I502" s="202">
        <f ca="1">IFERROR(__xludf.DUMMYFUNCTION("IMPORTRANGE(""https://docs.google.com/spreadsheets/d/11923uPwbBZFjjGgGUA6NLw09EwE0CqkOc4q9oUmW1yo/edit?usp=sharing"",""อุตรดิตถ์!I397"")"),0)</f>
        <v>0</v>
      </c>
      <c r="J502" s="188">
        <f ca="1">IFERROR(__xludf.DUMMYFUNCTION("IMPORTRANGE(""https://docs.google.com/spreadsheets/d/11923uPwbBZFjjGgGUA6NLw09EwE0CqkOc4q9oUmW1yo/edit?usp=sharing"",""อุตรดิตถ์!J397"")"),0)</f>
        <v>0</v>
      </c>
      <c r="K502" s="163">
        <f t="shared" ca="1" si="117"/>
        <v>0</v>
      </c>
      <c r="L502" s="181"/>
      <c r="M502" s="181"/>
      <c r="N502" s="181"/>
      <c r="O502" s="181"/>
      <c r="P502" s="181"/>
    </row>
    <row r="503" spans="1:16" ht="21.75" customHeight="1" x14ac:dyDescent="0.3">
      <c r="A503" s="175"/>
      <c r="B503" s="176"/>
      <c r="C503" s="176"/>
      <c r="D503" s="193"/>
      <c r="E503" s="195"/>
      <c r="F503" s="195"/>
      <c r="G503" s="419"/>
      <c r="H503" s="420" t="s">
        <v>36</v>
      </c>
      <c r="I503" s="187">
        <f ca="1">IFERROR(__xludf.DUMMYFUNCTION("IMPORTRANGE(""https://docs.google.com/spreadsheets/d/11923uPwbBZFjjGgGUA6NLw09EwE0CqkOc4q9oUmW1yo/edit?usp=sharing"",""อุตรดิตถ์!I398"")"),0)</f>
        <v>0</v>
      </c>
      <c r="J503" s="197">
        <f ca="1">IFERROR(__xludf.DUMMYFUNCTION("IMPORTRANGE(""https://docs.google.com/spreadsheets/d/11923uPwbBZFjjGgGUA6NLw09EwE0CqkOc4q9oUmW1yo/edit?usp=sharing"",""อุตรดิตถ์!J398"")"),0)</f>
        <v>0</v>
      </c>
      <c r="K503" s="163">
        <f t="shared" ca="1" si="117"/>
        <v>0</v>
      </c>
      <c r="L503" s="181"/>
      <c r="M503" s="181"/>
      <c r="N503" s="181"/>
      <c r="O503" s="181"/>
      <c r="P503" s="181"/>
    </row>
    <row r="504" spans="1:16" ht="21.75" customHeight="1" x14ac:dyDescent="0.3">
      <c r="A504" s="175"/>
      <c r="B504" s="176"/>
      <c r="C504" s="176"/>
      <c r="D504" s="193"/>
      <c r="E504" s="195"/>
      <c r="F504" s="388" t="s">
        <v>187</v>
      </c>
      <c r="G504" s="419"/>
      <c r="H504" s="420" t="s">
        <v>122</v>
      </c>
      <c r="I504" s="203">
        <f ca="1">IFERROR(__xludf.DUMMYFUNCTION("IMPORTRANGE(""https://docs.google.com/spreadsheets/d/11923uPwbBZFjjGgGUA6NLw09EwE0CqkOc4q9oUmW1yo/edit?usp=sharing"",""อุตรดิตถ์!I399"")"),0)</f>
        <v>0</v>
      </c>
      <c r="J504" s="188">
        <f ca="1">IFERROR(__xludf.DUMMYFUNCTION("IMPORTRANGE(""https://docs.google.com/spreadsheets/d/11923uPwbBZFjjGgGUA6NLw09EwE0CqkOc4q9oUmW1yo/edit?usp=sharing"",""อุตรดิตถ์!J399"")"),0)</f>
        <v>0</v>
      </c>
      <c r="K504" s="163">
        <f t="shared" ca="1" si="117"/>
        <v>0</v>
      </c>
      <c r="L504" s="181"/>
      <c r="M504" s="181"/>
      <c r="N504" s="181"/>
      <c r="O504" s="181"/>
      <c r="P504" s="181"/>
    </row>
    <row r="505" spans="1:16" ht="21.75" customHeight="1" x14ac:dyDescent="0.3">
      <c r="A505" s="175"/>
      <c r="B505" s="176"/>
      <c r="C505" s="176"/>
      <c r="D505" s="193"/>
      <c r="E505" s="195"/>
      <c r="F505" s="195"/>
      <c r="G505" s="419"/>
      <c r="H505" s="420" t="s">
        <v>36</v>
      </c>
      <c r="I505" s="187">
        <f ca="1">IFERROR(__xludf.DUMMYFUNCTION("IMPORTRANGE(""https://docs.google.com/spreadsheets/d/11923uPwbBZFjjGgGUA6NLw09EwE0CqkOc4q9oUmW1yo/edit?usp=sharing"",""อุตรดิตถ์!I400"")"),0)</f>
        <v>0</v>
      </c>
      <c r="J505" s="197">
        <f ca="1">IFERROR(__xludf.DUMMYFUNCTION("IMPORTRANGE(""https://docs.google.com/spreadsheets/d/11923uPwbBZFjjGgGUA6NLw09EwE0CqkOc4q9oUmW1yo/edit?usp=sharing"",""อุตรดิตถ์!J400"")"),0)</f>
        <v>0</v>
      </c>
      <c r="K505" s="163">
        <f t="shared" ca="1" si="117"/>
        <v>0</v>
      </c>
      <c r="L505" s="181"/>
      <c r="M505" s="181"/>
      <c r="N505" s="181"/>
      <c r="O505" s="181"/>
      <c r="P505" s="181"/>
    </row>
    <row r="506" spans="1:16" ht="21.75" customHeight="1" x14ac:dyDescent="0.3">
      <c r="A506" s="175"/>
      <c r="B506" s="176"/>
      <c r="C506" s="176"/>
      <c r="D506" s="193"/>
      <c r="E506" s="195"/>
      <c r="F506" s="397" t="s">
        <v>188</v>
      </c>
      <c r="G506" s="419"/>
      <c r="H506" s="420" t="s">
        <v>122</v>
      </c>
      <c r="I506" s="203">
        <f ca="1">IFERROR(__xludf.DUMMYFUNCTION("IMPORTRANGE(""https://docs.google.com/spreadsheets/d/11923uPwbBZFjjGgGUA6NLw09EwE0CqkOc4q9oUmW1yo/edit?usp=sharing"",""อุตรดิตถ์!I401"")"),0)</f>
        <v>0</v>
      </c>
      <c r="J506" s="188">
        <f ca="1">IFERROR(__xludf.DUMMYFUNCTION("IMPORTRANGE(""https://docs.google.com/spreadsheets/d/11923uPwbBZFjjGgGUA6NLw09EwE0CqkOc4q9oUmW1yo/edit?usp=sharing"",""อุตรดิตถ์!J401"")"),0)</f>
        <v>0</v>
      </c>
      <c r="K506" s="163">
        <f t="shared" ca="1" si="117"/>
        <v>0</v>
      </c>
      <c r="L506" s="181"/>
      <c r="M506" s="181"/>
      <c r="N506" s="181"/>
      <c r="O506" s="181"/>
      <c r="P506" s="181"/>
    </row>
    <row r="507" spans="1:16" ht="21.75" customHeight="1" x14ac:dyDescent="0.3">
      <c r="A507" s="175"/>
      <c r="B507" s="176"/>
      <c r="C507" s="176"/>
      <c r="D507" s="193"/>
      <c r="E507" s="195"/>
      <c r="F507" s="195"/>
      <c r="G507" s="195"/>
      <c r="H507" s="420" t="s">
        <v>36</v>
      </c>
      <c r="I507" s="187">
        <f ca="1">IFERROR(__xludf.DUMMYFUNCTION("IMPORTRANGE(""https://docs.google.com/spreadsheets/d/11923uPwbBZFjjGgGUA6NLw09EwE0CqkOc4q9oUmW1yo/edit?usp=sharing"",""อุตรดิตถ์!I402"")"),0)</f>
        <v>0</v>
      </c>
      <c r="J507" s="197">
        <f ca="1">IFERROR(__xludf.DUMMYFUNCTION("IMPORTRANGE(""https://docs.google.com/spreadsheets/d/11923uPwbBZFjjGgGUA6NLw09EwE0CqkOc4q9oUmW1yo/edit?usp=sharing"",""อุตรดิตถ์!J402"")"),0)</f>
        <v>0</v>
      </c>
      <c r="K507" s="163">
        <f t="shared" ca="1" si="117"/>
        <v>0</v>
      </c>
      <c r="L507" s="181"/>
      <c r="M507" s="181"/>
      <c r="N507" s="181"/>
      <c r="O507" s="181"/>
      <c r="P507" s="181"/>
    </row>
    <row r="508" spans="1:16" ht="21.75" customHeight="1" x14ac:dyDescent="0.3">
      <c r="A508" s="175"/>
      <c r="B508" s="176"/>
      <c r="C508" s="176"/>
      <c r="D508" s="193"/>
      <c r="E508" s="194" t="s">
        <v>189</v>
      </c>
      <c r="F508" s="195"/>
      <c r="G508" s="419"/>
      <c r="H508" s="420" t="s">
        <v>122</v>
      </c>
      <c r="I508" s="187">
        <f ca="1">IFERROR(__xludf.DUMMYFUNCTION("IMPORTRANGE(""https://docs.google.com/spreadsheets/d/11923uPwbBZFjjGgGUA6NLw09EwE0CqkOc4q9oUmW1yo/edit?usp=sharing"",""อุตรดิตถ์!I403"")"),0)</f>
        <v>0</v>
      </c>
      <c r="J508" s="162">
        <f ca="1">IFERROR(__xludf.DUMMYFUNCTION("IMPORTRANGE(""https://docs.google.com/spreadsheets/d/11923uPwbBZFjjGgGUA6NLw09EwE0CqkOc4q9oUmW1yo/edit?usp=sharing"",""อุตรดิตถ์!J403"")"),0)</f>
        <v>0</v>
      </c>
      <c r="K508" s="163">
        <f t="shared" ca="1" si="117"/>
        <v>0</v>
      </c>
      <c r="L508" s="181"/>
      <c r="M508" s="181"/>
      <c r="N508" s="181"/>
      <c r="O508" s="181"/>
      <c r="P508" s="181"/>
    </row>
    <row r="509" spans="1:16" ht="21.75" customHeight="1" x14ac:dyDescent="0.3">
      <c r="A509" s="175"/>
      <c r="B509" s="176"/>
      <c r="C509" s="176"/>
      <c r="D509" s="193"/>
      <c r="E509" s="195"/>
      <c r="F509" s="195"/>
      <c r="G509" s="195"/>
      <c r="H509" s="420" t="s">
        <v>36</v>
      </c>
      <c r="I509" s="187">
        <f ca="1">IFERROR(__xludf.DUMMYFUNCTION("IMPORTRANGE(""https://docs.google.com/spreadsheets/d/11923uPwbBZFjjGgGUA6NLw09EwE0CqkOc4q9oUmW1yo/edit?usp=sharing"",""อุตรดิตถ์!I404"")"),0)</f>
        <v>0</v>
      </c>
      <c r="J509" s="162">
        <f ca="1">IFERROR(__xludf.DUMMYFUNCTION("IMPORTRANGE(""https://docs.google.com/spreadsheets/d/11923uPwbBZFjjGgGUA6NLw09EwE0CqkOc4q9oUmW1yo/edit?usp=sharing"",""อุตรดิตถ์!J404"")"),0)</f>
        <v>0</v>
      </c>
      <c r="K509" s="163">
        <f t="shared" ca="1" si="117"/>
        <v>0</v>
      </c>
      <c r="L509" s="181"/>
      <c r="M509" s="181"/>
      <c r="N509" s="181"/>
      <c r="O509" s="181"/>
      <c r="P509" s="181"/>
    </row>
    <row r="510" spans="1:16" ht="21.75" customHeight="1" x14ac:dyDescent="0.3">
      <c r="A510" s="175"/>
      <c r="B510" s="176"/>
      <c r="C510" s="176"/>
      <c r="D510" s="193"/>
      <c r="E510" s="195"/>
      <c r="F510" s="194" t="s">
        <v>190</v>
      </c>
      <c r="G510" s="195"/>
      <c r="H510" s="420" t="s">
        <v>122</v>
      </c>
      <c r="I510" s="187">
        <f ca="1">IFERROR(__xludf.DUMMYFUNCTION("IMPORTRANGE(""https://docs.google.com/spreadsheets/d/11923uPwbBZFjjGgGUA6NLw09EwE0CqkOc4q9oUmW1yo/edit?usp=sharing"",""อุตรดิตถ์!I405"")"),0)</f>
        <v>0</v>
      </c>
      <c r="J510" s="197">
        <f ca="1">IFERROR(__xludf.DUMMYFUNCTION("IMPORTRANGE(""https://docs.google.com/spreadsheets/d/11923uPwbBZFjjGgGUA6NLw09EwE0CqkOc4q9oUmW1yo/edit?usp=sharing"",""อุตรดิตถ์!J405"")"),0)</f>
        <v>0</v>
      </c>
      <c r="K510" s="163">
        <f t="shared" ca="1" si="117"/>
        <v>0</v>
      </c>
      <c r="L510" s="181"/>
      <c r="M510" s="181"/>
      <c r="N510" s="181"/>
      <c r="O510" s="181"/>
      <c r="P510" s="181"/>
    </row>
    <row r="511" spans="1:16" ht="21.75" customHeight="1" x14ac:dyDescent="0.3">
      <c r="A511" s="175"/>
      <c r="B511" s="176"/>
      <c r="C511" s="176"/>
      <c r="D511" s="193"/>
      <c r="E511" s="195"/>
      <c r="F511" s="195"/>
      <c r="G511" s="195"/>
      <c r="H511" s="420" t="s">
        <v>36</v>
      </c>
      <c r="I511" s="187">
        <f ca="1">IFERROR(__xludf.DUMMYFUNCTION("IMPORTRANGE(""https://docs.google.com/spreadsheets/d/11923uPwbBZFjjGgGUA6NLw09EwE0CqkOc4q9oUmW1yo/edit?usp=sharing"",""อุตรดิตถ์!I406"")"),0)</f>
        <v>0</v>
      </c>
      <c r="J511" s="197">
        <f ca="1">IFERROR(__xludf.DUMMYFUNCTION("IMPORTRANGE(""https://docs.google.com/spreadsheets/d/11923uPwbBZFjjGgGUA6NLw09EwE0CqkOc4q9oUmW1yo/edit?usp=sharing"",""อุตรดิตถ์!J406"")"),0)</f>
        <v>0</v>
      </c>
      <c r="K511" s="163">
        <f t="shared" ca="1" si="117"/>
        <v>0</v>
      </c>
      <c r="L511" s="181"/>
      <c r="M511" s="181"/>
      <c r="N511" s="181"/>
      <c r="O511" s="181"/>
      <c r="P511" s="181"/>
    </row>
    <row r="512" spans="1:16" ht="21.75" customHeight="1" x14ac:dyDescent="0.3">
      <c r="A512" s="175"/>
      <c r="B512" s="176"/>
      <c r="C512" s="176"/>
      <c r="D512" s="193"/>
      <c r="E512" s="195"/>
      <c r="F512" s="194" t="s">
        <v>191</v>
      </c>
      <c r="G512" s="195"/>
      <c r="H512" s="420" t="s">
        <v>122</v>
      </c>
      <c r="I512" s="187">
        <f ca="1">IFERROR(__xludf.DUMMYFUNCTION("IMPORTRANGE(""https://docs.google.com/spreadsheets/d/11923uPwbBZFjjGgGUA6NLw09EwE0CqkOc4q9oUmW1yo/edit?usp=sharing"",""อุตรดิตถ์!I407"")"),0)</f>
        <v>0</v>
      </c>
      <c r="J512" s="197">
        <f ca="1">IFERROR(__xludf.DUMMYFUNCTION("IMPORTRANGE(""https://docs.google.com/spreadsheets/d/11923uPwbBZFjjGgGUA6NLw09EwE0CqkOc4q9oUmW1yo/edit?usp=sharing"",""อุตรดิตถ์!J407"")"),0)</f>
        <v>0</v>
      </c>
      <c r="K512" s="163">
        <f t="shared" ca="1" si="117"/>
        <v>0</v>
      </c>
      <c r="L512" s="181"/>
      <c r="M512" s="181"/>
      <c r="N512" s="181"/>
      <c r="O512" s="181"/>
      <c r="P512" s="181"/>
    </row>
    <row r="513" spans="1:16" ht="21.75" customHeight="1" x14ac:dyDescent="0.3">
      <c r="A513" s="175"/>
      <c r="B513" s="176"/>
      <c r="C513" s="176"/>
      <c r="D513" s="193"/>
      <c r="E513" s="195"/>
      <c r="F513" s="195"/>
      <c r="G513" s="196"/>
      <c r="H513" s="420" t="s">
        <v>36</v>
      </c>
      <c r="I513" s="187">
        <f ca="1">IFERROR(__xludf.DUMMYFUNCTION("IMPORTRANGE(""https://docs.google.com/spreadsheets/d/11923uPwbBZFjjGgGUA6NLw09EwE0CqkOc4q9oUmW1yo/edit?usp=sharing"",""อุตรดิตถ์!I408"")"),0)</f>
        <v>0</v>
      </c>
      <c r="J513" s="197">
        <f ca="1">IFERROR(__xludf.DUMMYFUNCTION("IMPORTRANGE(""https://docs.google.com/spreadsheets/d/11923uPwbBZFjjGgGUA6NLw09EwE0CqkOc4q9oUmW1yo/edit?usp=sharing"",""อุตรดิตถ์!J408"")"),0)</f>
        <v>0</v>
      </c>
      <c r="K513" s="163">
        <f t="shared" ca="1" si="117"/>
        <v>0</v>
      </c>
      <c r="L513" s="181"/>
      <c r="M513" s="181"/>
      <c r="N513" s="181"/>
      <c r="O513" s="181"/>
      <c r="P513" s="181"/>
    </row>
    <row r="514" spans="1:16" ht="21.75" customHeight="1" x14ac:dyDescent="0.3">
      <c r="A514" s="175"/>
      <c r="B514" s="176"/>
      <c r="C514" s="176"/>
      <c r="D514" s="402"/>
      <c r="E514" s="448" t="s">
        <v>192</v>
      </c>
      <c r="F514" s="195"/>
      <c r="G514" s="196"/>
      <c r="H514" s="420" t="s">
        <v>122</v>
      </c>
      <c r="I514" s="187">
        <f ca="1">IFERROR(__xludf.DUMMYFUNCTION("IMPORTRANGE(""https://docs.google.com/spreadsheets/d/11923uPwbBZFjjGgGUA6NLw09EwE0CqkOc4q9oUmW1yo/edit?usp=sharing"",""อุตรดิตถ์!I409"")"),0)</f>
        <v>0</v>
      </c>
      <c r="J514" s="197">
        <f ca="1">IFERROR(__xludf.DUMMYFUNCTION("IMPORTRANGE(""https://docs.google.com/spreadsheets/d/11923uPwbBZFjjGgGUA6NLw09EwE0CqkOc4q9oUmW1yo/edit?usp=sharing"",""อุตรดิตถ์!J409"")"),0)</f>
        <v>0</v>
      </c>
      <c r="K514" s="163">
        <f t="shared" ca="1" si="117"/>
        <v>0</v>
      </c>
      <c r="L514" s="181"/>
      <c r="M514" s="181"/>
      <c r="N514" s="181"/>
      <c r="O514" s="181"/>
      <c r="P514" s="181"/>
    </row>
    <row r="515" spans="1:16" ht="21.75" customHeight="1" x14ac:dyDescent="0.3">
      <c r="A515" s="175"/>
      <c r="B515" s="176"/>
      <c r="C515" s="176"/>
      <c r="D515" s="193"/>
      <c r="E515" s="195"/>
      <c r="F515" s="195"/>
      <c r="G515" s="196"/>
      <c r="H515" s="420" t="s">
        <v>36</v>
      </c>
      <c r="I515" s="187">
        <f ca="1">IFERROR(__xludf.DUMMYFUNCTION("IMPORTRANGE(""https://docs.google.com/spreadsheets/d/11923uPwbBZFjjGgGUA6NLw09EwE0CqkOc4q9oUmW1yo/edit?usp=sharing"",""อุตรดิตถ์!I410"")"),0)</f>
        <v>0</v>
      </c>
      <c r="J515" s="197">
        <f ca="1">IFERROR(__xludf.DUMMYFUNCTION("IMPORTRANGE(""https://docs.google.com/spreadsheets/d/11923uPwbBZFjjGgGUA6NLw09EwE0CqkOc4q9oUmW1yo/edit?usp=sharing"",""อุตรดิตถ์!J410"")"),0)</f>
        <v>0</v>
      </c>
      <c r="K515" s="163">
        <f t="shared" ca="1" si="117"/>
        <v>0</v>
      </c>
      <c r="L515" s="181"/>
      <c r="M515" s="181"/>
      <c r="N515" s="181"/>
      <c r="O515" s="181"/>
      <c r="P515" s="181"/>
    </row>
    <row r="516" spans="1:16" ht="21.75" customHeight="1" x14ac:dyDescent="0.3">
      <c r="A516" s="175"/>
      <c r="B516" s="176"/>
      <c r="C516" s="413" t="s">
        <v>193</v>
      </c>
      <c r="D516" s="413"/>
      <c r="E516" s="449"/>
      <c r="F516" s="449"/>
      <c r="G516" s="450"/>
      <c r="H516" s="451" t="s">
        <v>122</v>
      </c>
      <c r="I516" s="266">
        <f ca="1">IFERROR(__xludf.DUMMYFUNCTION("IMPORTRANGE(""https://docs.google.com/spreadsheets/d/11923uPwbBZFjjGgGUA6NLw09EwE0CqkOc4q9oUmW1yo/edit?usp=sharing"",""อุตรดิตถ์!I411"")"),0)</f>
        <v>0</v>
      </c>
      <c r="J516" s="266">
        <f ca="1">IFERROR(__xludf.DUMMYFUNCTION("IMPORTRANGE(""https://docs.google.com/spreadsheets/d/11923uPwbBZFjjGgGUA6NLw09EwE0CqkOc4q9oUmW1yo/edit?usp=sharing"",""อุตรดิตถ์!J411"")"),0)</f>
        <v>0</v>
      </c>
      <c r="K516" s="267">
        <v>0</v>
      </c>
      <c r="L516" s="181"/>
      <c r="M516" s="181"/>
      <c r="N516" s="181"/>
      <c r="O516" s="181"/>
      <c r="P516" s="181"/>
    </row>
    <row r="517" spans="1:16" ht="21.75" customHeight="1" x14ac:dyDescent="0.3">
      <c r="A517" s="175"/>
      <c r="B517" s="176"/>
      <c r="C517" s="452"/>
      <c r="D517" s="452"/>
      <c r="E517" s="452" t="s">
        <v>194</v>
      </c>
      <c r="F517" s="453"/>
      <c r="G517" s="454"/>
      <c r="H517" s="455" t="s">
        <v>122</v>
      </c>
      <c r="I517" s="282">
        <f ca="1">IFERROR(__xludf.DUMMYFUNCTION("IMPORTRANGE(""https://docs.google.com/spreadsheets/d/11923uPwbBZFjjGgGUA6NLw09EwE0CqkOc4q9oUmW1yo/edit?usp=sharing"",""อุตรดิตถ์!I412"")"),0)</f>
        <v>0</v>
      </c>
      <c r="J517" s="282">
        <f ca="1">IFERROR(__xludf.DUMMYFUNCTION("IMPORTRANGE(""https://docs.google.com/spreadsheets/d/11923uPwbBZFjjGgGUA6NLw09EwE0CqkOc4q9oUmW1yo/edit?usp=sharing"",""อุตรดิตถ์!J412"")"),0)</f>
        <v>0</v>
      </c>
      <c r="K517" s="283">
        <v>0</v>
      </c>
      <c r="L517" s="181"/>
      <c r="M517" s="181"/>
      <c r="N517" s="181"/>
      <c r="O517" s="181"/>
      <c r="P517" s="181"/>
    </row>
    <row r="518" spans="1:16" ht="21.75" customHeight="1" x14ac:dyDescent="0.3">
      <c r="A518" s="175"/>
      <c r="B518" s="176"/>
      <c r="C518" s="452"/>
      <c r="D518" s="452"/>
      <c r="E518" s="452" t="s">
        <v>195</v>
      </c>
      <c r="F518" s="453"/>
      <c r="G518" s="454"/>
      <c r="H518" s="455" t="s">
        <v>36</v>
      </c>
      <c r="I518" s="282">
        <f ca="1">IFERROR(__xludf.DUMMYFUNCTION("IMPORTRANGE(""https://docs.google.com/spreadsheets/d/11923uPwbBZFjjGgGUA6NLw09EwE0CqkOc4q9oUmW1yo/edit?usp=sharing"",""อุตรดิตถ์!I413"")"),0)</f>
        <v>0</v>
      </c>
      <c r="J518" s="282">
        <f ca="1">IFERROR(__xludf.DUMMYFUNCTION("IMPORTRANGE(""https://docs.google.com/spreadsheets/d/11923uPwbBZFjjGgGUA6NLw09EwE0CqkOc4q9oUmW1yo/edit?usp=sharing"",""อุตรดิตถ์!J413"")"),0)</f>
        <v>0</v>
      </c>
      <c r="K518" s="283">
        <v>0</v>
      </c>
      <c r="L518" s="181"/>
      <c r="M518" s="181"/>
      <c r="N518" s="181"/>
      <c r="O518" s="181"/>
      <c r="P518" s="181"/>
    </row>
    <row r="519" spans="1:16" ht="21.75" customHeight="1" x14ac:dyDescent="0.3">
      <c r="A519" s="175"/>
      <c r="B519" s="176"/>
      <c r="C519" s="176"/>
      <c r="D519" s="193"/>
      <c r="E519" s="195"/>
      <c r="F519" s="195"/>
      <c r="G519" s="225" t="s">
        <v>196</v>
      </c>
      <c r="H519" s="420" t="s">
        <v>122</v>
      </c>
      <c r="I519" s="187">
        <f ca="1">IFERROR(__xludf.DUMMYFUNCTION("IMPORTRANGE(""https://docs.google.com/spreadsheets/d/11923uPwbBZFjjGgGUA6NLw09EwE0CqkOc4q9oUmW1yo/edit?usp=sharing"",""อุตรดิตถ์!I414"")"),0)</f>
        <v>0</v>
      </c>
      <c r="J519" s="187">
        <f ca="1">IFERROR(__xludf.DUMMYFUNCTION("IMPORTRANGE(""https://docs.google.com/spreadsheets/d/11923uPwbBZFjjGgGUA6NLw09EwE0CqkOc4q9oUmW1yo/edit?usp=sharing"",""อุตรดิตถ์!J414"")"),0)</f>
        <v>0</v>
      </c>
      <c r="K519" s="163">
        <v>0</v>
      </c>
      <c r="L519" s="181"/>
      <c r="M519" s="181"/>
      <c r="N519" s="181"/>
      <c r="O519" s="181"/>
      <c r="P519" s="181"/>
    </row>
    <row r="520" spans="1:16" ht="21.75" customHeight="1" x14ac:dyDescent="0.3">
      <c r="A520" s="175"/>
      <c r="B520" s="176"/>
      <c r="C520" s="176"/>
      <c r="D520" s="193"/>
      <c r="E520" s="195"/>
      <c r="F520" s="195"/>
      <c r="G520" s="196"/>
      <c r="H520" s="420" t="s">
        <v>36</v>
      </c>
      <c r="I520" s="187">
        <f ca="1">IFERROR(__xludf.DUMMYFUNCTION("IMPORTRANGE(""https://docs.google.com/spreadsheets/d/11923uPwbBZFjjGgGUA6NLw09EwE0CqkOc4q9oUmW1yo/edit?usp=sharing"",""อุตรดิตถ์!I415"")"),0)</f>
        <v>0</v>
      </c>
      <c r="J520" s="187">
        <f ca="1">IFERROR(__xludf.DUMMYFUNCTION("IMPORTRANGE(""https://docs.google.com/spreadsheets/d/11923uPwbBZFjjGgGUA6NLw09EwE0CqkOc4q9oUmW1yo/edit?usp=sharing"",""อุตรดิตถ์!J415"")"),0)</f>
        <v>0</v>
      </c>
      <c r="K520" s="163">
        <v>0</v>
      </c>
      <c r="L520" s="181"/>
      <c r="M520" s="181"/>
      <c r="N520" s="181"/>
      <c r="O520" s="181"/>
      <c r="P520" s="181"/>
    </row>
    <row r="521" spans="1:16" ht="21.75" customHeight="1" x14ac:dyDescent="0.3">
      <c r="A521" s="175"/>
      <c r="B521" s="176"/>
      <c r="C521" s="176"/>
      <c r="D521" s="193"/>
      <c r="E521" s="195"/>
      <c r="F521" s="195"/>
      <c r="G521" s="225" t="s">
        <v>197</v>
      </c>
      <c r="H521" s="420" t="s">
        <v>122</v>
      </c>
      <c r="I521" s="187">
        <f ca="1">IFERROR(__xludf.DUMMYFUNCTION("IMPORTRANGE(""https://docs.google.com/spreadsheets/d/11923uPwbBZFjjGgGUA6NLw09EwE0CqkOc4q9oUmW1yo/edit?usp=sharing"",""อุตรดิตถ์!I416"")"),0)</f>
        <v>0</v>
      </c>
      <c r="J521" s="187">
        <f ca="1">IFERROR(__xludf.DUMMYFUNCTION("IMPORTRANGE(""https://docs.google.com/spreadsheets/d/11923uPwbBZFjjGgGUA6NLw09EwE0CqkOc4q9oUmW1yo/edit?usp=sharing"",""อุตรดิตถ์!J416"")"),0)</f>
        <v>0</v>
      </c>
      <c r="K521" s="163">
        <v>0</v>
      </c>
      <c r="L521" s="181"/>
      <c r="M521" s="181"/>
      <c r="N521" s="181"/>
      <c r="O521" s="181"/>
      <c r="P521" s="181"/>
    </row>
    <row r="522" spans="1:16" ht="21.75" customHeight="1" x14ac:dyDescent="0.3">
      <c r="A522" s="175"/>
      <c r="B522" s="176"/>
      <c r="C522" s="176"/>
      <c r="D522" s="193"/>
      <c r="E522" s="195"/>
      <c r="F522" s="195"/>
      <c r="G522" s="196"/>
      <c r="H522" s="420" t="s">
        <v>36</v>
      </c>
      <c r="I522" s="187">
        <f ca="1">IFERROR(__xludf.DUMMYFUNCTION("IMPORTRANGE(""https://docs.google.com/spreadsheets/d/11923uPwbBZFjjGgGUA6NLw09EwE0CqkOc4q9oUmW1yo/edit?usp=sharing"",""อุตรดิตถ์!I417"")"),0)</f>
        <v>0</v>
      </c>
      <c r="J522" s="187">
        <f ca="1">IFERROR(__xludf.DUMMYFUNCTION("IMPORTRANGE(""https://docs.google.com/spreadsheets/d/11923uPwbBZFjjGgGUA6NLw09EwE0CqkOc4q9oUmW1yo/edit?usp=sharing"",""อุตรดิตถ์!J417"")"),0)</f>
        <v>0</v>
      </c>
      <c r="K522" s="163">
        <v>0</v>
      </c>
      <c r="L522" s="181"/>
      <c r="M522" s="181"/>
      <c r="N522" s="181"/>
      <c r="O522" s="181"/>
      <c r="P522" s="181"/>
    </row>
    <row r="523" spans="1:16" ht="21.75" customHeight="1" x14ac:dyDescent="0.3">
      <c r="A523" s="175"/>
      <c r="B523" s="176"/>
      <c r="C523" s="176"/>
      <c r="D523" s="193"/>
      <c r="E523" s="195"/>
      <c r="F523" s="195"/>
      <c r="G523" s="456" t="s">
        <v>198</v>
      </c>
      <c r="H523" s="420" t="s">
        <v>122</v>
      </c>
      <c r="I523" s="187">
        <f ca="1">IFERROR(__xludf.DUMMYFUNCTION("IMPORTRANGE(""https://docs.google.com/spreadsheets/d/11923uPwbBZFjjGgGUA6NLw09EwE0CqkOc4q9oUmW1yo/edit?usp=sharing"",""อุตรดิตถ์!I418"")"),0)</f>
        <v>0</v>
      </c>
      <c r="J523" s="187">
        <f ca="1">IFERROR(__xludf.DUMMYFUNCTION("IMPORTRANGE(""https://docs.google.com/spreadsheets/d/11923uPwbBZFjjGgGUA6NLw09EwE0CqkOc4q9oUmW1yo/edit?usp=sharing"",""อุตรดิตถ์!J418"")"),0)</f>
        <v>0</v>
      </c>
      <c r="K523" s="163">
        <v>0</v>
      </c>
      <c r="L523" s="181"/>
      <c r="M523" s="181"/>
      <c r="N523" s="181"/>
      <c r="O523" s="181"/>
      <c r="P523" s="181"/>
    </row>
    <row r="524" spans="1:16" ht="21.75" customHeight="1" x14ac:dyDescent="0.3">
      <c r="A524" s="175"/>
      <c r="B524" s="176"/>
      <c r="C524" s="176"/>
      <c r="D524" s="193"/>
      <c r="E524" s="195"/>
      <c r="F524" s="195"/>
      <c r="G524" s="196"/>
      <c r="H524" s="420" t="s">
        <v>36</v>
      </c>
      <c r="I524" s="187">
        <f ca="1">IFERROR(__xludf.DUMMYFUNCTION("IMPORTRANGE(""https://docs.google.com/spreadsheets/d/11923uPwbBZFjjGgGUA6NLw09EwE0CqkOc4q9oUmW1yo/edit?usp=sharing"",""อุตรดิตถ์!I419"")"),0)</f>
        <v>0</v>
      </c>
      <c r="J524" s="187">
        <f ca="1">IFERROR(__xludf.DUMMYFUNCTION("IMPORTRANGE(""https://docs.google.com/spreadsheets/d/11923uPwbBZFjjGgGUA6NLw09EwE0CqkOc4q9oUmW1yo/edit?usp=sharing"",""อุตรดิตถ์!J419"")"),0)</f>
        <v>0</v>
      </c>
      <c r="K524" s="163">
        <v>0</v>
      </c>
      <c r="L524" s="181"/>
      <c r="M524" s="181"/>
      <c r="N524" s="181"/>
      <c r="O524" s="181"/>
      <c r="P524" s="181"/>
    </row>
    <row r="525" spans="1:16" ht="21.75" customHeight="1" x14ac:dyDescent="0.3">
      <c r="A525" s="175"/>
      <c r="B525" s="176"/>
      <c r="C525" s="452"/>
      <c r="D525" s="452"/>
      <c r="E525" s="452" t="s">
        <v>199</v>
      </c>
      <c r="F525" s="453"/>
      <c r="G525" s="454"/>
      <c r="H525" s="455" t="s">
        <v>122</v>
      </c>
      <c r="I525" s="282">
        <f ca="1">IFERROR(__xludf.DUMMYFUNCTION("IMPORTRANGE(""https://docs.google.com/spreadsheets/d/11923uPwbBZFjjGgGUA6NLw09EwE0CqkOc4q9oUmW1yo/edit?usp=sharing"",""อุตรดิตถ์!I420"")"),0)</f>
        <v>0</v>
      </c>
      <c r="J525" s="282">
        <f ca="1">IFERROR(__xludf.DUMMYFUNCTION("IMPORTRANGE(""https://docs.google.com/spreadsheets/d/11923uPwbBZFjjGgGUA6NLw09EwE0CqkOc4q9oUmW1yo/edit?usp=sharing"",""อุตรดิตถ์!J420"")"),0)</f>
        <v>0</v>
      </c>
      <c r="K525" s="283">
        <v>0</v>
      </c>
      <c r="L525" s="181"/>
      <c r="M525" s="181"/>
      <c r="N525" s="181"/>
      <c r="O525" s="181"/>
      <c r="P525" s="181"/>
    </row>
    <row r="526" spans="1:16" ht="21.75" customHeight="1" x14ac:dyDescent="0.3">
      <c r="A526" s="175"/>
      <c r="B526" s="176"/>
      <c r="C526" s="452"/>
      <c r="D526" s="452"/>
      <c r="E526" s="452" t="s">
        <v>200</v>
      </c>
      <c r="F526" s="453"/>
      <c r="G526" s="454"/>
      <c r="H526" s="455" t="s">
        <v>36</v>
      </c>
      <c r="I526" s="282">
        <f ca="1">IFERROR(__xludf.DUMMYFUNCTION("IMPORTRANGE(""https://docs.google.com/spreadsheets/d/11923uPwbBZFjjGgGUA6NLw09EwE0CqkOc4q9oUmW1yo/edit?usp=sharing"",""อุตรดิตถ์!I421"")"),0)</f>
        <v>0</v>
      </c>
      <c r="J526" s="282">
        <f ca="1">IFERROR(__xludf.DUMMYFUNCTION("IMPORTRANGE(""https://docs.google.com/spreadsheets/d/11923uPwbBZFjjGgGUA6NLw09EwE0CqkOc4q9oUmW1yo/edit?usp=sharing"",""อุตรดิตถ์!J421"")"),0)</f>
        <v>0</v>
      </c>
      <c r="K526" s="283">
        <v>0</v>
      </c>
      <c r="L526" s="181"/>
      <c r="M526" s="181"/>
      <c r="N526" s="181"/>
      <c r="O526" s="181"/>
      <c r="P526" s="181"/>
    </row>
    <row r="527" spans="1:16" ht="21.75" customHeight="1" x14ac:dyDescent="0.3">
      <c r="A527" s="175"/>
      <c r="B527" s="176"/>
      <c r="C527" s="176"/>
      <c r="D527" s="193"/>
      <c r="E527" s="195"/>
      <c r="F527" s="195"/>
      <c r="G527" s="225" t="s">
        <v>196</v>
      </c>
      <c r="H527" s="420" t="s">
        <v>122</v>
      </c>
      <c r="I527" s="187">
        <f ca="1">IFERROR(__xludf.DUMMYFUNCTION("IMPORTRANGE(""https://docs.google.com/spreadsheets/d/11923uPwbBZFjjGgGUA6NLw09EwE0CqkOc4q9oUmW1yo/edit?usp=sharing"",""อุตรดิตถ์!I422"")"),0)</f>
        <v>0</v>
      </c>
      <c r="J527" s="197">
        <f ca="1">IFERROR(__xludf.DUMMYFUNCTION("IMPORTRANGE(""https://docs.google.com/spreadsheets/d/11923uPwbBZFjjGgGUA6NLw09EwE0CqkOc4q9oUmW1yo/edit?usp=sharing"",""อุตรดิตถ์!J422"")"),0)</f>
        <v>0</v>
      </c>
      <c r="K527" s="163">
        <v>0</v>
      </c>
      <c r="L527" s="181"/>
      <c r="M527" s="181"/>
      <c r="N527" s="181"/>
      <c r="O527" s="181"/>
      <c r="P527" s="181"/>
    </row>
    <row r="528" spans="1:16" ht="21.75" customHeight="1" x14ac:dyDescent="0.3">
      <c r="A528" s="175"/>
      <c r="B528" s="176"/>
      <c r="C528" s="176"/>
      <c r="D528" s="193"/>
      <c r="E528" s="195"/>
      <c r="F528" s="195"/>
      <c r="G528" s="196"/>
      <c r="H528" s="420" t="s">
        <v>36</v>
      </c>
      <c r="I528" s="187">
        <f ca="1">IFERROR(__xludf.DUMMYFUNCTION("IMPORTRANGE(""https://docs.google.com/spreadsheets/d/11923uPwbBZFjjGgGUA6NLw09EwE0CqkOc4q9oUmW1yo/edit?usp=sharing"",""อุตรดิตถ์!I423"")"),0)</f>
        <v>0</v>
      </c>
      <c r="J528" s="197">
        <f ca="1">IFERROR(__xludf.DUMMYFUNCTION("IMPORTRANGE(""https://docs.google.com/spreadsheets/d/11923uPwbBZFjjGgGUA6NLw09EwE0CqkOc4q9oUmW1yo/edit?usp=sharing"",""อุตรดิตถ์!J423"")"),0)</f>
        <v>0</v>
      </c>
      <c r="K528" s="163">
        <v>0</v>
      </c>
      <c r="L528" s="181"/>
      <c r="M528" s="181"/>
      <c r="N528" s="181"/>
      <c r="O528" s="181"/>
      <c r="P528" s="181"/>
    </row>
    <row r="529" spans="1:16" ht="21.75" customHeight="1" x14ac:dyDescent="0.3">
      <c r="A529" s="175"/>
      <c r="B529" s="176"/>
      <c r="C529" s="176"/>
      <c r="D529" s="193"/>
      <c r="E529" s="195"/>
      <c r="F529" s="195"/>
      <c r="G529" s="225" t="s">
        <v>197</v>
      </c>
      <c r="H529" s="420" t="s">
        <v>122</v>
      </c>
      <c r="I529" s="187">
        <f ca="1">IFERROR(__xludf.DUMMYFUNCTION("IMPORTRANGE(""https://docs.google.com/spreadsheets/d/11923uPwbBZFjjGgGUA6NLw09EwE0CqkOc4q9oUmW1yo/edit?usp=sharing"",""อุตรดิตถ์!I424"")"),0)</f>
        <v>0</v>
      </c>
      <c r="J529" s="197">
        <f ca="1">IFERROR(__xludf.DUMMYFUNCTION("IMPORTRANGE(""https://docs.google.com/spreadsheets/d/11923uPwbBZFjjGgGUA6NLw09EwE0CqkOc4q9oUmW1yo/edit?usp=sharing"",""อุตรดิตถ์!J424"")"),0)</f>
        <v>0</v>
      </c>
      <c r="K529" s="163">
        <v>0</v>
      </c>
      <c r="L529" s="181"/>
      <c r="M529" s="181"/>
      <c r="N529" s="181"/>
      <c r="O529" s="181"/>
      <c r="P529" s="181"/>
    </row>
    <row r="530" spans="1:16" ht="21.75" customHeight="1" x14ac:dyDescent="0.3">
      <c r="A530" s="175"/>
      <c r="B530" s="176"/>
      <c r="C530" s="176"/>
      <c r="D530" s="193"/>
      <c r="E530" s="195"/>
      <c r="F530" s="195"/>
      <c r="G530" s="196"/>
      <c r="H530" s="420" t="s">
        <v>36</v>
      </c>
      <c r="I530" s="187">
        <f ca="1">IFERROR(__xludf.DUMMYFUNCTION("IMPORTRANGE(""https://docs.google.com/spreadsheets/d/11923uPwbBZFjjGgGUA6NLw09EwE0CqkOc4q9oUmW1yo/edit?usp=sharing"",""อุตรดิตถ์!I425"")"),0)</f>
        <v>0</v>
      </c>
      <c r="J530" s="197">
        <f ca="1">IFERROR(__xludf.DUMMYFUNCTION("IMPORTRANGE(""https://docs.google.com/spreadsheets/d/11923uPwbBZFjjGgGUA6NLw09EwE0CqkOc4q9oUmW1yo/edit?usp=sharing"",""อุตรดิตถ์!J425"")"),0)</f>
        <v>0</v>
      </c>
      <c r="K530" s="163">
        <v>0</v>
      </c>
      <c r="L530" s="181"/>
      <c r="M530" s="181"/>
      <c r="N530" s="181"/>
      <c r="O530" s="181"/>
      <c r="P530" s="181"/>
    </row>
    <row r="531" spans="1:16" ht="21.75" customHeight="1" x14ac:dyDescent="0.3">
      <c r="A531" s="175"/>
      <c r="B531" s="176"/>
      <c r="C531" s="176"/>
      <c r="D531" s="193"/>
      <c r="E531" s="195"/>
      <c r="F531" s="195"/>
      <c r="G531" s="225" t="s">
        <v>201</v>
      </c>
      <c r="H531" s="420" t="s">
        <v>122</v>
      </c>
      <c r="I531" s="187">
        <f ca="1">IFERROR(__xludf.DUMMYFUNCTION("IMPORTRANGE(""https://docs.google.com/spreadsheets/d/11923uPwbBZFjjGgGUA6NLw09EwE0CqkOc4q9oUmW1yo/edit?usp=sharing"",""อุตรดิตถ์!I426"")"),0)</f>
        <v>0</v>
      </c>
      <c r="J531" s="197">
        <f ca="1">IFERROR(__xludf.DUMMYFUNCTION("IMPORTRANGE(""https://docs.google.com/spreadsheets/d/11923uPwbBZFjjGgGUA6NLw09EwE0CqkOc4q9oUmW1yo/edit?usp=sharing"",""อุตรดิตถ์!J426"")"),0)</f>
        <v>0</v>
      </c>
      <c r="K531" s="163">
        <v>0</v>
      </c>
      <c r="L531" s="181"/>
      <c r="M531" s="181"/>
      <c r="N531" s="181"/>
      <c r="O531" s="181"/>
      <c r="P531" s="181"/>
    </row>
    <row r="532" spans="1:16" ht="21.75" customHeight="1" x14ac:dyDescent="0.3">
      <c r="A532" s="457"/>
      <c r="B532" s="458"/>
      <c r="C532" s="458"/>
      <c r="D532" s="459"/>
      <c r="E532" s="460"/>
      <c r="F532" s="460"/>
      <c r="G532" s="461"/>
      <c r="H532" s="462" t="s">
        <v>36</v>
      </c>
      <c r="I532" s="463">
        <f ca="1">IFERROR(__xludf.DUMMYFUNCTION("IMPORTRANGE(""https://docs.google.com/spreadsheets/d/11923uPwbBZFjjGgGUA6NLw09EwE0CqkOc4q9oUmW1yo/edit?usp=sharing"",""อุตรดิตถ์!I427"")"),0)</f>
        <v>0</v>
      </c>
      <c r="J532" s="464">
        <f ca="1">IFERROR(__xludf.DUMMYFUNCTION("IMPORTRANGE(""https://docs.google.com/spreadsheets/d/11923uPwbBZFjjGgGUA6NLw09EwE0CqkOc4q9oUmW1yo/edit?usp=sharing"",""อุตรดิตถ์!J427"")"),0)</f>
        <v>0</v>
      </c>
      <c r="K532" s="465">
        <v>0</v>
      </c>
      <c r="L532" s="466"/>
      <c r="M532" s="466"/>
      <c r="N532" s="466"/>
      <c r="O532" s="466"/>
      <c r="P532" s="466"/>
    </row>
    <row r="533" spans="1:16" ht="21.75" customHeight="1" x14ac:dyDescent="0.3">
      <c r="A533" s="403"/>
      <c r="B533" s="404">
        <v>6</v>
      </c>
      <c r="C533" s="405" t="s">
        <v>202</v>
      </c>
      <c r="D533" s="405"/>
      <c r="E533" s="405"/>
      <c r="F533" s="405"/>
      <c r="G533" s="406"/>
      <c r="H533" s="407" t="s">
        <v>37</v>
      </c>
      <c r="I533" s="408">
        <f ca="1">IFERROR(__xludf.DUMMYFUNCTION("IMPORTRANGE(""https://docs.google.com/spreadsheets/d/11923uPwbBZFjjGgGUA6NLw09EwE0CqkOc4q9oUmW1yo/edit?usp=sharing"",""อุตรดิตถ์!I428"")"),22)</f>
        <v>22</v>
      </c>
      <c r="J533" s="408">
        <f ca="1">IFERROR(__xludf.DUMMYFUNCTION("IMPORTRANGE(""https://docs.google.com/spreadsheets/d/11923uPwbBZFjjGgGUA6NLw09EwE0CqkOc4q9oUmW1yo/edit?usp=sharing"",""อุตรดิตถ์!J428"")"),22)</f>
        <v>22</v>
      </c>
      <c r="K533" s="409">
        <f ca="1">IF(I533&gt;0,J533*100/I533,0)</f>
        <v>100</v>
      </c>
      <c r="L533" s="410">
        <f ca="1">IFERROR(__xludf.DUMMYFUNCTION("IMPORTRANGE(""https://docs.google.com/spreadsheets/d/11923uPwbBZFjjGgGUA6NLw09EwE0CqkOc4q9oUmW1yo/edit?usp=sharing"",""อุตรดิตถ์!L428"")"),34340)</f>
        <v>34340</v>
      </c>
      <c r="M533" s="410"/>
      <c r="N533" s="410">
        <f ca="1">IFERROR(__xludf.DUMMYFUNCTION("IMPORTRANGE(""https://docs.google.com/spreadsheets/d/11923uPwbBZFjjGgGUA6NLw09EwE0CqkOc4q9oUmW1yo/edit?usp=sharing"",""อุตรดิตถ์!M428"")"),23281)</f>
        <v>23281</v>
      </c>
      <c r="O533" s="410">
        <f t="shared" ref="O533:O537" ca="1" si="118">+IF(L533&gt;0,N533*100/L533,0)</f>
        <v>67.795573675014566</v>
      </c>
      <c r="P533" s="410"/>
    </row>
    <row r="534" spans="1:16" ht="21.75" customHeight="1" x14ac:dyDescent="0.3">
      <c r="A534" s="156"/>
      <c r="B534" s="157"/>
      <c r="C534" s="157" t="s">
        <v>16</v>
      </c>
      <c r="D534" s="158" t="s">
        <v>38</v>
      </c>
      <c r="E534" s="159"/>
      <c r="F534" s="159"/>
      <c r="G534" s="160" t="s">
        <v>39</v>
      </c>
      <c r="H534" s="161" t="s">
        <v>12</v>
      </c>
      <c r="I534" s="162" t="s">
        <v>40</v>
      </c>
      <c r="J534" s="162"/>
      <c r="K534" s="163"/>
      <c r="L534" s="164">
        <f ca="1">IFERROR(__xludf.DUMMYFUNCTION("IMPORTRANGE(""https://docs.google.com/spreadsheets/d/11923uPwbBZFjjGgGUA6NLw09EwE0CqkOc4q9oUmW1yo/edit?usp=sharing"",""อุตรดิตถ์!L429"")"),0)</f>
        <v>0</v>
      </c>
      <c r="M534" s="164"/>
      <c r="N534" s="168">
        <f ca="1">IFERROR(__xludf.DUMMYFUNCTION("IMPORTRANGE(""https://docs.google.com/spreadsheets/d/11923uPwbBZFjjGgGUA6NLw09EwE0CqkOc4q9oUmW1yo/edit?usp=sharing"",""อุตรดิตถ์!M429"")"),0)</f>
        <v>0</v>
      </c>
      <c r="O534" s="168">
        <f t="shared" ca="1" si="118"/>
        <v>0</v>
      </c>
      <c r="P534" s="168"/>
    </row>
    <row r="535" spans="1:16" ht="21.75" customHeight="1" x14ac:dyDescent="0.3">
      <c r="A535" s="156"/>
      <c r="B535" s="157"/>
      <c r="C535" s="157"/>
      <c r="D535" s="166"/>
      <c r="E535" s="159"/>
      <c r="F535" s="159" t="s">
        <v>40</v>
      </c>
      <c r="G535" s="160" t="s">
        <v>41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IFERROR(__xludf.DUMMYFUNCTION("IMPORTRANGE(""https://docs.google.com/spreadsheets/d/11923uPwbBZFjjGgGUA6NLw09EwE0CqkOc4q9oUmW1yo/edit?usp=sharing"",""อุตรดิตถ์!L430"")"),34340)</f>
        <v>34340</v>
      </c>
      <c r="M535" s="165"/>
      <c r="N535" s="168">
        <f ca="1">IFERROR(__xludf.DUMMYFUNCTION("IMPORTRANGE(""https://docs.google.com/spreadsheets/d/11923uPwbBZFjjGgGUA6NLw09EwE0CqkOc4q9oUmW1yo/edit?usp=sharing"",""อุตรดิตถ์!M430"")"),23281)</f>
        <v>23281</v>
      </c>
      <c r="O535" s="168">
        <f t="shared" ca="1" si="118"/>
        <v>67.795573675014566</v>
      </c>
      <c r="P535" s="168"/>
    </row>
    <row r="536" spans="1:16" ht="21.75" customHeight="1" x14ac:dyDescent="0.3">
      <c r="A536" s="156"/>
      <c r="B536" s="157"/>
      <c r="C536" s="157"/>
      <c r="D536" s="166"/>
      <c r="E536" s="159"/>
      <c r="F536" s="159"/>
      <c r="G536" s="372" t="s">
        <v>129</v>
      </c>
      <c r="H536" s="161" t="s">
        <v>12</v>
      </c>
      <c r="I536" s="162"/>
      <c r="J536" s="162"/>
      <c r="K536" s="163"/>
      <c r="L536" s="168">
        <f ca="1">IFERROR(__xludf.DUMMYFUNCTION("IMPORTRANGE(""https://docs.google.com/spreadsheets/d/11923uPwbBZFjjGgGUA6NLw09EwE0CqkOc4q9oUmW1yo/edit?usp=sharing"",""อุตรดิตถ์!L431"")"),0)</f>
        <v>0</v>
      </c>
      <c r="M536" s="168"/>
      <c r="N536" s="168">
        <f ca="1">IFERROR(__xludf.DUMMYFUNCTION("IMPORTRANGE(""https://docs.google.com/spreadsheets/d/11923uPwbBZFjjGgGUA6NLw09EwE0CqkOc4q9oUmW1yo/edit?usp=sharing"",""อุตรดิตถ์!M431"")"),0)</f>
        <v>0</v>
      </c>
      <c r="O536" s="168">
        <f t="shared" ca="1" si="118"/>
        <v>0</v>
      </c>
      <c r="P536" s="168"/>
    </row>
    <row r="537" spans="1:16" ht="21.75" customHeight="1" x14ac:dyDescent="0.3">
      <c r="A537" s="156"/>
      <c r="B537" s="157"/>
      <c r="C537" s="157"/>
      <c r="D537" s="166"/>
      <c r="E537" s="159"/>
      <c r="F537" s="159"/>
      <c r="G537" s="372" t="s">
        <v>130</v>
      </c>
      <c r="H537" s="161" t="s">
        <v>12</v>
      </c>
      <c r="I537" s="162"/>
      <c r="J537" s="162"/>
      <c r="K537" s="163"/>
      <c r="L537" s="168">
        <f ca="1">IFERROR(__xludf.DUMMYFUNCTION("IMPORTRANGE(""https://docs.google.com/spreadsheets/d/11923uPwbBZFjjGgGUA6NLw09EwE0CqkOc4q9oUmW1yo/edit?usp=sharing"",""อุตรดิตถ์!L432"")"),34340)</f>
        <v>34340</v>
      </c>
      <c r="M537" s="168"/>
      <c r="N537" s="168">
        <f ca="1">IFERROR(__xludf.DUMMYFUNCTION("IMPORTRANGE(""https://docs.google.com/spreadsheets/d/11923uPwbBZFjjGgGUA6NLw09EwE0CqkOc4q9oUmW1yo/edit?usp=sharing"",""อุตรดิตถ์!M432"")"),23281)</f>
        <v>23281</v>
      </c>
      <c r="O537" s="168">
        <f t="shared" ca="1" si="118"/>
        <v>67.795573675014566</v>
      </c>
      <c r="P537" s="168"/>
    </row>
    <row r="538" spans="1:16" ht="21.75" customHeight="1" x14ac:dyDescent="0.3">
      <c r="A538" s="373"/>
      <c r="B538" s="374"/>
      <c r="C538" s="157"/>
      <c r="D538" s="375"/>
      <c r="E538" s="159"/>
      <c r="F538" s="159"/>
      <c r="G538" s="376" t="s">
        <v>131</v>
      </c>
      <c r="H538" s="161" t="s">
        <v>12</v>
      </c>
      <c r="I538" s="187"/>
      <c r="J538" s="187"/>
      <c r="K538" s="223"/>
      <c r="L538" s="168"/>
      <c r="M538" s="168"/>
      <c r="N538" s="377">
        <f ca="1">IFERROR(__xludf.DUMMYFUNCTION("IMPORTRANGE(""https://docs.google.com/spreadsheets/d/11923uPwbBZFjjGgGUA6NLw09EwE0CqkOc4q9oUmW1yo/edit?usp=sharing"",""อุตรดิตถ์!M433"")"),18740)</f>
        <v>18740</v>
      </c>
      <c r="O538" s="168"/>
      <c r="P538" s="168"/>
    </row>
    <row r="539" spans="1:16" ht="21.75" customHeight="1" x14ac:dyDescent="0.3">
      <c r="A539" s="373"/>
      <c r="B539" s="374"/>
      <c r="C539" s="157"/>
      <c r="D539" s="375"/>
      <c r="E539" s="159"/>
      <c r="F539" s="159"/>
      <c r="G539" s="376" t="s">
        <v>132</v>
      </c>
      <c r="H539" s="161" t="s">
        <v>12</v>
      </c>
      <c r="I539" s="187"/>
      <c r="J539" s="187"/>
      <c r="K539" s="223"/>
      <c r="L539" s="168"/>
      <c r="M539" s="168"/>
      <c r="N539" s="377">
        <f ca="1">IFERROR(__xludf.DUMMYFUNCTION("IMPORTRANGE(""https://docs.google.com/spreadsheets/d/11923uPwbBZFjjGgGUA6NLw09EwE0CqkOc4q9oUmW1yo/edit?usp=sharing"",""อุตรดิตถ์!M434"")"),0)</f>
        <v>0</v>
      </c>
      <c r="O539" s="168"/>
      <c r="P539" s="168"/>
    </row>
    <row r="540" spans="1:16" ht="21.75" customHeight="1" x14ac:dyDescent="0.3">
      <c r="A540" s="373"/>
      <c r="B540" s="374"/>
      <c r="C540" s="157"/>
      <c r="D540" s="375"/>
      <c r="E540" s="159"/>
      <c r="F540" s="159"/>
      <c r="G540" s="376" t="s">
        <v>133</v>
      </c>
      <c r="H540" s="161" t="s">
        <v>12</v>
      </c>
      <c r="I540" s="187"/>
      <c r="J540" s="187"/>
      <c r="K540" s="223"/>
      <c r="L540" s="168"/>
      <c r="M540" s="168"/>
      <c r="N540" s="377">
        <f ca="1">IFERROR(__xludf.DUMMYFUNCTION("IMPORTRANGE(""https://docs.google.com/spreadsheets/d/11923uPwbBZFjjGgGUA6NLw09EwE0CqkOc4q9oUmW1yo/edit?usp=sharing"",""อุตรดิตถ์!M435"")"),0)</f>
        <v>0</v>
      </c>
      <c r="O540" s="168"/>
      <c r="P540" s="168"/>
    </row>
    <row r="541" spans="1:16" ht="21.75" customHeight="1" x14ac:dyDescent="0.3">
      <c r="A541" s="373"/>
      <c r="B541" s="374"/>
      <c r="C541" s="157"/>
      <c r="D541" s="375"/>
      <c r="E541" s="159"/>
      <c r="F541" s="159"/>
      <c r="G541" s="376" t="s">
        <v>134</v>
      </c>
      <c r="H541" s="161" t="s">
        <v>12</v>
      </c>
      <c r="I541" s="187"/>
      <c r="J541" s="187"/>
      <c r="K541" s="223"/>
      <c r="L541" s="168"/>
      <c r="M541" s="168"/>
      <c r="N541" s="377">
        <f ca="1">IFERROR(__xludf.DUMMYFUNCTION("IMPORTRANGE(""https://docs.google.com/spreadsheets/d/11923uPwbBZFjjGgGUA6NLw09EwE0CqkOc4q9oUmW1yo/edit?usp=sharing"",""อุตรดิตถ์!M436"")"),4541)</f>
        <v>4541</v>
      </c>
      <c r="O541" s="168"/>
      <c r="P541" s="168"/>
    </row>
    <row r="542" spans="1:16" ht="21.75" customHeight="1" x14ac:dyDescent="0.3">
      <c r="A542" s="175"/>
      <c r="B542" s="176"/>
      <c r="C542" s="157" t="s">
        <v>16</v>
      </c>
      <c r="D542" s="177" t="s">
        <v>44</v>
      </c>
      <c r="E542" s="178"/>
      <c r="F542" s="178"/>
      <c r="G542" s="179"/>
      <c r="H542" s="180"/>
      <c r="I542" s="162"/>
      <c r="J542" s="162"/>
      <c r="K542" s="163"/>
      <c r="L542" s="181"/>
      <c r="M542" s="181"/>
      <c r="N542" s="181"/>
      <c r="O542" s="181"/>
      <c r="P542" s="181"/>
    </row>
    <row r="543" spans="1:16" ht="21.75" customHeight="1" x14ac:dyDescent="0.3">
      <c r="A543" s="175"/>
      <c r="B543" s="176"/>
      <c r="C543" s="176"/>
      <c r="D543" s="182">
        <v>1</v>
      </c>
      <c r="E543" s="183" t="s">
        <v>45</v>
      </c>
      <c r="F543" s="184"/>
      <c r="G543" s="185"/>
      <c r="H543" s="186"/>
      <c r="I543" s="187"/>
      <c r="J543" s="197">
        <f ca="1">IFERROR(__xludf.DUMMYFUNCTION("IMPORTRANGE(""https://docs.google.com/spreadsheets/d/11923uPwbBZFjjGgGUA6NLw09EwE0CqkOc4q9oUmW1yo/edit?usp=sharing"",""อุตรดิตถ์!J438"")"),0)</f>
        <v>0</v>
      </c>
      <c r="K543" s="163"/>
      <c r="L543" s="181"/>
      <c r="M543" s="181"/>
      <c r="N543" s="181"/>
      <c r="O543" s="181"/>
      <c r="P543" s="181"/>
    </row>
    <row r="544" spans="1:16" ht="21.75" customHeight="1" x14ac:dyDescent="0.3">
      <c r="A544" s="175"/>
      <c r="B544" s="176"/>
      <c r="C544" s="176"/>
      <c r="D544" s="189">
        <v>2</v>
      </c>
      <c r="E544" s="190" t="s">
        <v>46</v>
      </c>
      <c r="F544" s="191"/>
      <c r="G544" s="192"/>
      <c r="H544" s="186"/>
      <c r="I544" s="187"/>
      <c r="J544" s="188">
        <f ca="1">IFERROR(__xludf.DUMMYFUNCTION("IMPORTRANGE(""https://docs.google.com/spreadsheets/d/11923uPwbBZFjjGgGUA6NLw09EwE0CqkOc4q9oUmW1yo/edit?usp=sharing"",""อุตรดิตถ์!J439"")"),1)</f>
        <v>1</v>
      </c>
      <c r="K544" s="163"/>
      <c r="L544" s="181" t="s">
        <v>40</v>
      </c>
      <c r="M544" s="181"/>
      <c r="N544" s="181" t="s">
        <v>40</v>
      </c>
      <c r="O544" s="181"/>
      <c r="P544" s="181"/>
    </row>
    <row r="545" spans="1:16" ht="21.75" customHeight="1" x14ac:dyDescent="0.3">
      <c r="A545" s="175"/>
      <c r="B545" s="176"/>
      <c r="C545" s="176"/>
      <c r="D545" s="193"/>
      <c r="E545" s="194" t="s">
        <v>47</v>
      </c>
      <c r="F545" s="195"/>
      <c r="G545" s="196"/>
      <c r="H545" s="186"/>
      <c r="I545" s="187"/>
      <c r="J545" s="188">
        <f ca="1">IFERROR(__xludf.DUMMYFUNCTION("IMPORTRANGE(""https://docs.google.com/spreadsheets/d/11923uPwbBZFjjGgGUA6NLw09EwE0CqkOc4q9oUmW1yo/edit?usp=sharing"",""อุตรดิตถ์!J440"")"),1)</f>
        <v>1</v>
      </c>
      <c r="K545" s="163"/>
      <c r="L545" s="181"/>
      <c r="M545" s="181"/>
      <c r="N545" s="181"/>
      <c r="O545" s="181"/>
      <c r="P545" s="181"/>
    </row>
    <row r="546" spans="1:16" ht="21.75" customHeight="1" x14ac:dyDescent="0.3">
      <c r="A546" s="175"/>
      <c r="B546" s="176"/>
      <c r="C546" s="176"/>
      <c r="D546" s="193"/>
      <c r="E546" s="194" t="s">
        <v>48</v>
      </c>
      <c r="F546" s="195"/>
      <c r="G546" s="196"/>
      <c r="H546" s="186"/>
      <c r="I546" s="187"/>
      <c r="J546" s="197">
        <f ca="1">IFERROR(__xludf.DUMMYFUNCTION("IMPORTRANGE(""https://docs.google.com/spreadsheets/d/11923uPwbBZFjjGgGUA6NLw09EwE0CqkOc4q9oUmW1yo/edit?usp=sharing"",""อุตรดิตถ์!J441"")"),1)</f>
        <v>1</v>
      </c>
      <c r="K546" s="163"/>
      <c r="L546" s="181"/>
      <c r="M546" s="181"/>
      <c r="N546" s="181"/>
      <c r="O546" s="181"/>
      <c r="P546" s="181"/>
    </row>
    <row r="547" spans="1:16" ht="21.75" customHeight="1" x14ac:dyDescent="0.3">
      <c r="A547" s="175"/>
      <c r="B547" s="176"/>
      <c r="C547" s="176"/>
      <c r="D547" s="193"/>
      <c r="E547" s="198"/>
      <c r="F547" s="195"/>
      <c r="G547" s="225" t="s">
        <v>203</v>
      </c>
      <c r="H547" s="186" t="s">
        <v>37</v>
      </c>
      <c r="I547" s="203">
        <f ca="1">IFERROR(__xludf.DUMMYFUNCTION("IMPORTRANGE(""https://docs.google.com/spreadsheets/d/11923uPwbBZFjjGgGUA6NLw09EwE0CqkOc4q9oUmW1yo/edit?usp=sharing"",""อุตรดิตถ์!I442"")"),22)</f>
        <v>22</v>
      </c>
      <c r="J547" s="188">
        <f ca="1">IFERROR(__xludf.DUMMYFUNCTION("IMPORTRANGE(""https://docs.google.com/spreadsheets/d/11923uPwbBZFjjGgGUA6NLw09EwE0CqkOc4q9oUmW1yo/edit?usp=sharing"",""อุตรดิตถ์!J442"")"),22)</f>
        <v>22</v>
      </c>
      <c r="K547" s="163">
        <f t="shared" ref="K547:K548" ca="1" si="119">IF(I547&gt;0,J547*100/I547,0)</f>
        <v>100</v>
      </c>
      <c r="L547" s="181"/>
      <c r="M547" s="181"/>
      <c r="N547" s="181"/>
      <c r="O547" s="181"/>
      <c r="P547" s="181"/>
    </row>
    <row r="548" spans="1:16" ht="21.75" hidden="1" customHeight="1" x14ac:dyDescent="0.3">
      <c r="A548" s="175"/>
      <c r="B548" s="176"/>
      <c r="C548" s="176"/>
      <c r="D548" s="193"/>
      <c r="E548" s="198"/>
      <c r="F548" s="195"/>
      <c r="G548" s="225" t="s">
        <v>204</v>
      </c>
      <c r="H548" s="186" t="s">
        <v>37</v>
      </c>
      <c r="I548" s="339">
        <f ca="1">IFERROR(__xludf.DUMMYFUNCTION("IMPORTRANGE(""https://docs.google.com/spreadsheets/d/1C3CXT74ZlgGe6_JY_1olB1XN4rF0dxEuIIF-xsYjHgg/edit?usp=sharing"",""งบกองทุน!dr63"")"),0)</f>
        <v>0</v>
      </c>
      <c r="J548" s="197">
        <f ca="1">IFERROR(__xludf.DUMMYFUNCTION("IMPORTRANGE(""https://docs.google.com/spreadsheets/d/11923uPwbBZFjjGgGUA6NLw09EwE0CqkOc4q9oUmW1yo/edit?usp=sharing"",""อุตรดิตถ์!J166"")"),0)</f>
        <v>0</v>
      </c>
      <c r="K548" s="163">
        <f t="shared" ca="1" si="119"/>
        <v>0</v>
      </c>
      <c r="L548" s="181"/>
      <c r="M548" s="181"/>
      <c r="N548" s="181"/>
      <c r="O548" s="181"/>
      <c r="P548" s="181"/>
    </row>
    <row r="549" spans="1:16" ht="21.75" customHeight="1" x14ac:dyDescent="0.3">
      <c r="A549" s="175"/>
      <c r="B549" s="176"/>
      <c r="C549" s="176"/>
      <c r="D549" s="193"/>
      <c r="E549" s="194" t="s">
        <v>54</v>
      </c>
      <c r="F549" s="195"/>
      <c r="G549" s="196"/>
      <c r="H549" s="186"/>
      <c r="I549" s="187"/>
      <c r="J549" s="197">
        <f ca="1">IFERROR(__xludf.DUMMYFUNCTION("IMPORTRANGE(""https://docs.google.com/spreadsheets/d/11923uPwbBZFjjGgGUA6NLw09EwE0CqkOc4q9oUmW1yo/edit?usp=sharing"",""อุตรดิตถ์!J444"")"),0)</f>
        <v>0</v>
      </c>
      <c r="K549" s="163"/>
      <c r="L549" s="181"/>
      <c r="M549" s="181"/>
      <c r="N549" s="181"/>
      <c r="O549" s="181"/>
      <c r="P549" s="181"/>
    </row>
    <row r="550" spans="1:16" ht="21.75" customHeight="1" x14ac:dyDescent="0.3">
      <c r="A550" s="457"/>
      <c r="B550" s="458"/>
      <c r="C550" s="458"/>
      <c r="D550" s="467">
        <v>3</v>
      </c>
      <c r="E550" s="468" t="s">
        <v>55</v>
      </c>
      <c r="F550" s="469"/>
      <c r="G550" s="470"/>
      <c r="H550" s="471"/>
      <c r="I550" s="463"/>
      <c r="J550" s="472">
        <f ca="1">IFERROR(__xludf.DUMMYFUNCTION("IMPORTRANGE(""https://docs.google.com/spreadsheets/d/11923uPwbBZFjjGgGUA6NLw09EwE0CqkOc4q9oUmW1yo/edit?usp=sharing"",""อุตรดิตถ์!J445"")"),0)</f>
        <v>0</v>
      </c>
      <c r="K550" s="465"/>
      <c r="L550" s="466"/>
      <c r="M550" s="466"/>
      <c r="N550" s="466"/>
      <c r="O550" s="466"/>
      <c r="P550" s="466"/>
    </row>
    <row r="551" spans="1:16" ht="21.75" customHeight="1" x14ac:dyDescent="0.3">
      <c r="A551" s="403"/>
      <c r="B551" s="404">
        <v>7</v>
      </c>
      <c r="C551" s="405" t="s">
        <v>205</v>
      </c>
      <c r="D551" s="405"/>
      <c r="E551" s="405"/>
      <c r="F551" s="405"/>
      <c r="G551" s="406"/>
      <c r="H551" s="407" t="s">
        <v>122</v>
      </c>
      <c r="I551" s="408">
        <f ca="1">IFERROR(__xludf.DUMMYFUNCTION("IMPORTRANGE(""https://docs.google.com/spreadsheets/d/11923uPwbBZFjjGgGUA6NLw09EwE0CqkOc4q9oUmW1yo/edit?usp=sharing"",""อุตรดิตถ์!I446"")"),5000)</f>
        <v>5000</v>
      </c>
      <c r="J551" s="408">
        <f ca="1">IFERROR(__xludf.DUMMYFUNCTION("IMPORTRANGE(""https://docs.google.com/spreadsheets/d/11923uPwbBZFjjGgGUA6NLw09EwE0CqkOc4q9oUmW1yo/edit?usp=sharing"",""อุตรดิตถ์!J446"")"),1221)</f>
        <v>1221</v>
      </c>
      <c r="K551" s="409">
        <f ca="1">IF(I551&gt;0,J551*100/I551,0)</f>
        <v>24.42</v>
      </c>
      <c r="L551" s="410">
        <f ca="1">IFERROR(__xludf.DUMMYFUNCTION("IMPORTRANGE(""https://docs.google.com/spreadsheets/d/11923uPwbBZFjjGgGUA6NLw09EwE0CqkOc4q9oUmW1yo/edit?usp=sharing"",""อุตรดิตถ์!L446"")"),300000)</f>
        <v>300000</v>
      </c>
      <c r="M551" s="410"/>
      <c r="N551" s="410">
        <f ca="1">IFERROR(__xludf.DUMMYFUNCTION("IMPORTRANGE(""https://docs.google.com/spreadsheets/d/11923uPwbBZFjjGgGUA6NLw09EwE0CqkOc4q9oUmW1yo/edit?usp=sharing"",""อุตรดิตถ์!M446"")"),82251)</f>
        <v>82251</v>
      </c>
      <c r="O551" s="410">
        <f t="shared" ref="O551:O555" ca="1" si="120">+IF(L551&gt;0,N551*100/L551,0)</f>
        <v>27.417000000000002</v>
      </c>
      <c r="P551" s="410"/>
    </row>
    <row r="552" spans="1:16" ht="21.75" customHeight="1" x14ac:dyDescent="0.3">
      <c r="A552" s="156"/>
      <c r="B552" s="157"/>
      <c r="C552" s="157" t="s">
        <v>16</v>
      </c>
      <c r="D552" s="158" t="s">
        <v>38</v>
      </c>
      <c r="E552" s="159"/>
      <c r="F552" s="159"/>
      <c r="G552" s="160" t="s">
        <v>39</v>
      </c>
      <c r="H552" s="161" t="s">
        <v>12</v>
      </c>
      <c r="I552" s="162" t="s">
        <v>40</v>
      </c>
      <c r="J552" s="162"/>
      <c r="K552" s="163"/>
      <c r="L552" s="164">
        <f ca="1">IFERROR(__xludf.DUMMYFUNCTION("IMPORTRANGE(""https://docs.google.com/spreadsheets/d/11923uPwbBZFjjGgGUA6NLw09EwE0CqkOc4q9oUmW1yo/edit?usp=sharing"",""อุตรดิตถ์!L447"")"),0)</f>
        <v>0</v>
      </c>
      <c r="M552" s="164"/>
      <c r="N552" s="168">
        <f ca="1">IFERROR(__xludf.DUMMYFUNCTION("IMPORTRANGE(""https://docs.google.com/spreadsheets/d/11923uPwbBZFjjGgGUA6NLw09EwE0CqkOc4q9oUmW1yo/edit?usp=sharing"",""อุตรดิตถ์!M447"")"),0)</f>
        <v>0</v>
      </c>
      <c r="O552" s="168">
        <f t="shared" ca="1" si="120"/>
        <v>0</v>
      </c>
      <c r="P552" s="168"/>
    </row>
    <row r="553" spans="1:16" ht="21.75" customHeight="1" x14ac:dyDescent="0.3">
      <c r="A553" s="156"/>
      <c r="B553" s="157"/>
      <c r="C553" s="157"/>
      <c r="D553" s="166"/>
      <c r="E553" s="159"/>
      <c r="F553" s="159" t="s">
        <v>40</v>
      </c>
      <c r="G553" s="160" t="s">
        <v>41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IFERROR(__xludf.DUMMYFUNCTION("IMPORTRANGE(""https://docs.google.com/spreadsheets/d/11923uPwbBZFjjGgGUA6NLw09EwE0CqkOc4q9oUmW1yo/edit?usp=sharing"",""อุตรดิตถ์!L448"")"),300000)</f>
        <v>300000</v>
      </c>
      <c r="M553" s="165"/>
      <c r="N553" s="168">
        <f ca="1">IFERROR(__xludf.DUMMYFUNCTION("IMPORTRANGE(""https://docs.google.com/spreadsheets/d/11923uPwbBZFjjGgGUA6NLw09EwE0CqkOc4q9oUmW1yo/edit?usp=sharing"",""อุตรดิตถ์!M448"")"),82251)</f>
        <v>82251</v>
      </c>
      <c r="O553" s="168">
        <f t="shared" ca="1" si="120"/>
        <v>27.417000000000002</v>
      </c>
      <c r="P553" s="168"/>
    </row>
    <row r="554" spans="1:16" ht="21.75" customHeight="1" x14ac:dyDescent="0.3">
      <c r="A554" s="156"/>
      <c r="B554" s="157"/>
      <c r="C554" s="157"/>
      <c r="D554" s="166"/>
      <c r="E554" s="159"/>
      <c r="F554" s="159"/>
      <c r="G554" s="372" t="s">
        <v>129</v>
      </c>
      <c r="H554" s="161" t="s">
        <v>12</v>
      </c>
      <c r="I554" s="162"/>
      <c r="J554" s="162"/>
      <c r="K554" s="163"/>
      <c r="L554" s="168">
        <f ca="1">IFERROR(__xludf.DUMMYFUNCTION("IMPORTRANGE(""https://docs.google.com/spreadsheets/d/11923uPwbBZFjjGgGUA6NLw09EwE0CqkOc4q9oUmW1yo/edit?usp=sharing"",""อุตรดิตถ์!L449"")"),0)</f>
        <v>0</v>
      </c>
      <c r="M554" s="168"/>
      <c r="N554" s="168">
        <f ca="1">IFERROR(__xludf.DUMMYFUNCTION("IMPORTRANGE(""https://docs.google.com/spreadsheets/d/11923uPwbBZFjjGgGUA6NLw09EwE0CqkOc4q9oUmW1yo/edit?usp=sharing"",""อุตรดิตถ์!M449"")"),0)</f>
        <v>0</v>
      </c>
      <c r="O554" s="168">
        <f t="shared" ca="1" si="120"/>
        <v>0</v>
      </c>
      <c r="P554" s="168"/>
    </row>
    <row r="555" spans="1:16" ht="21.75" customHeight="1" x14ac:dyDescent="0.3">
      <c r="A555" s="156"/>
      <c r="B555" s="157"/>
      <c r="C555" s="157"/>
      <c r="D555" s="166"/>
      <c r="E555" s="159"/>
      <c r="F555" s="159"/>
      <c r="G555" s="372" t="s">
        <v>130</v>
      </c>
      <c r="H555" s="161" t="s">
        <v>12</v>
      </c>
      <c r="I555" s="162"/>
      <c r="J555" s="162"/>
      <c r="K555" s="163"/>
      <c r="L555" s="168">
        <f ca="1">IFERROR(__xludf.DUMMYFUNCTION("IMPORTRANGE(""https://docs.google.com/spreadsheets/d/11923uPwbBZFjjGgGUA6NLw09EwE0CqkOc4q9oUmW1yo/edit?usp=sharing"",""อุตรดิตถ์!L450"")"),300000)</f>
        <v>300000</v>
      </c>
      <c r="M555" s="168"/>
      <c r="N555" s="168">
        <f ca="1">IFERROR(__xludf.DUMMYFUNCTION("IMPORTRANGE(""https://docs.google.com/spreadsheets/d/11923uPwbBZFjjGgGUA6NLw09EwE0CqkOc4q9oUmW1yo/edit?usp=sharing"",""อุตรดิตถ์!M450"")"),82251)</f>
        <v>82251</v>
      </c>
      <c r="O555" s="168">
        <f t="shared" ca="1" si="120"/>
        <v>27.417000000000002</v>
      </c>
      <c r="P555" s="168"/>
    </row>
    <row r="556" spans="1:16" ht="21.75" customHeight="1" x14ac:dyDescent="0.3">
      <c r="A556" s="373"/>
      <c r="B556" s="374"/>
      <c r="C556" s="157"/>
      <c r="D556" s="375"/>
      <c r="E556" s="159"/>
      <c r="F556" s="159"/>
      <c r="G556" s="376" t="s">
        <v>131</v>
      </c>
      <c r="H556" s="161" t="s">
        <v>12</v>
      </c>
      <c r="I556" s="187"/>
      <c r="J556" s="187"/>
      <c r="K556" s="223"/>
      <c r="L556" s="168"/>
      <c r="M556" s="168"/>
      <c r="N556" s="167">
        <f ca="1">IFERROR(__xludf.DUMMYFUNCTION("IMPORTRANGE(""https://docs.google.com/spreadsheets/d/11923uPwbBZFjjGgGUA6NLw09EwE0CqkOc4q9oUmW1yo/edit?usp=sharing"",""อุตรดิตถ์!M451"")"),0)</f>
        <v>0</v>
      </c>
      <c r="O556" s="168"/>
      <c r="P556" s="168"/>
    </row>
    <row r="557" spans="1:16" ht="21.75" customHeight="1" x14ac:dyDescent="0.3">
      <c r="A557" s="373"/>
      <c r="B557" s="374"/>
      <c r="C557" s="157"/>
      <c r="D557" s="375"/>
      <c r="E557" s="159"/>
      <c r="F557" s="159"/>
      <c r="G557" s="376" t="s">
        <v>132</v>
      </c>
      <c r="H557" s="161" t="s">
        <v>12</v>
      </c>
      <c r="I557" s="187"/>
      <c r="J557" s="187"/>
      <c r="K557" s="223"/>
      <c r="L557" s="168"/>
      <c r="M557" s="168"/>
      <c r="N557" s="167">
        <f ca="1">IFERROR(__xludf.DUMMYFUNCTION("IMPORTRANGE(""https://docs.google.com/spreadsheets/d/11923uPwbBZFjjGgGUA6NLw09EwE0CqkOc4q9oUmW1yo/edit?usp=sharing"",""อุตรดิตถ์!M452"")"),0)</f>
        <v>0</v>
      </c>
      <c r="O557" s="168"/>
      <c r="P557" s="168"/>
    </row>
    <row r="558" spans="1:16" ht="21.75" customHeight="1" x14ac:dyDescent="0.3">
      <c r="A558" s="373"/>
      <c r="B558" s="374"/>
      <c r="C558" s="157"/>
      <c r="D558" s="375"/>
      <c r="E558" s="159"/>
      <c r="F558" s="159"/>
      <c r="G558" s="376" t="s">
        <v>133</v>
      </c>
      <c r="H558" s="161" t="s">
        <v>12</v>
      </c>
      <c r="I558" s="187"/>
      <c r="J558" s="187"/>
      <c r="K558" s="223"/>
      <c r="L558" s="168"/>
      <c r="M558" s="168"/>
      <c r="N558" s="167">
        <f ca="1">IFERROR(__xludf.DUMMYFUNCTION("IMPORTRANGE(""https://docs.google.com/spreadsheets/d/11923uPwbBZFjjGgGUA6NLw09EwE0CqkOc4q9oUmW1yo/edit?usp=sharing"",""อุตรดิตถ์!M453"")"),10800)</f>
        <v>10800</v>
      </c>
      <c r="O558" s="168"/>
      <c r="P558" s="168"/>
    </row>
    <row r="559" spans="1:16" ht="21.75" customHeight="1" x14ac:dyDescent="0.3">
      <c r="A559" s="373"/>
      <c r="B559" s="374"/>
      <c r="C559" s="157"/>
      <c r="D559" s="375"/>
      <c r="E559" s="159"/>
      <c r="F559" s="159"/>
      <c r="G559" s="376" t="s">
        <v>134</v>
      </c>
      <c r="H559" s="161" t="s">
        <v>12</v>
      </c>
      <c r="I559" s="187"/>
      <c r="J559" s="187"/>
      <c r="K559" s="223"/>
      <c r="L559" s="168"/>
      <c r="M559" s="168"/>
      <c r="N559" s="167">
        <f ca="1">IFERROR(__xludf.DUMMYFUNCTION("IMPORTRANGE(""https://docs.google.com/spreadsheets/d/11923uPwbBZFjjGgGUA6NLw09EwE0CqkOc4q9oUmW1yo/edit?usp=sharing"",""อุตรดิตถ์!M454"")"),71451)</f>
        <v>71451</v>
      </c>
      <c r="O559" s="168"/>
      <c r="P559" s="168"/>
    </row>
    <row r="560" spans="1:16" ht="21.75" customHeight="1" x14ac:dyDescent="0.3">
      <c r="A560" s="175"/>
      <c r="B560" s="176"/>
      <c r="C560" s="176"/>
      <c r="D560" s="193"/>
      <c r="E560" s="195"/>
      <c r="F560" s="277" t="s">
        <v>206</v>
      </c>
      <c r="G560" s="196"/>
      <c r="H560" s="473" t="s">
        <v>122</v>
      </c>
      <c r="I560" s="162">
        <f ca="1">IFERROR(__xludf.DUMMYFUNCTION("IMPORTRANGE(""https://docs.google.com/spreadsheets/d/11923uPwbBZFjjGgGUA6NLw09EwE0CqkOc4q9oUmW1yo/edit?usp=sharing"",""อุตรดิตถ์!I455"")"),5000)</f>
        <v>5000</v>
      </c>
      <c r="J560" s="162">
        <f ca="1">IFERROR(__xludf.DUMMYFUNCTION("IMPORTRANGE(""https://docs.google.com/spreadsheets/d/11923uPwbBZFjjGgGUA6NLw09EwE0CqkOc4q9oUmW1yo/edit?usp=sharing"",""อุตรดิตถ์!J455"")"),1221)</f>
        <v>1221</v>
      </c>
      <c r="K560" s="223">
        <f t="shared" ref="K560:K564" ca="1" si="121">IF(I560&gt;0,J560*100/I560,0)</f>
        <v>24.42</v>
      </c>
      <c r="L560" s="168"/>
      <c r="M560" s="168"/>
      <c r="N560" s="168"/>
      <c r="O560" s="181"/>
      <c r="P560" s="181"/>
    </row>
    <row r="561" spans="1:16" ht="21.75" customHeight="1" x14ac:dyDescent="0.3">
      <c r="A561" s="175"/>
      <c r="B561" s="176"/>
      <c r="C561" s="176"/>
      <c r="D561" s="193"/>
      <c r="E561" s="195"/>
      <c r="F561" s="195"/>
      <c r="G561" s="196"/>
      <c r="H561" s="473" t="s">
        <v>36</v>
      </c>
      <c r="I561" s="162">
        <f ca="1">IFERROR(__xludf.DUMMYFUNCTION("IMPORTRANGE(""https://docs.google.com/spreadsheets/d/11923uPwbBZFjjGgGUA6NLw09EwE0CqkOc4q9oUmW1yo/edit?usp=sharing"",""อุตรดิตถ์!I456"")"),0)</f>
        <v>0</v>
      </c>
      <c r="J561" s="203">
        <f ca="1">IFERROR(__xludf.DUMMYFUNCTION("IMPORTRANGE(""https://docs.google.com/spreadsheets/d/11923uPwbBZFjjGgGUA6NLw09EwE0CqkOc4q9oUmW1yo/edit?usp=sharing"",""อุตรดิตถ์!J456"")"),182)</f>
        <v>182</v>
      </c>
      <c r="K561" s="223">
        <f t="shared" ca="1" si="121"/>
        <v>0</v>
      </c>
      <c r="L561" s="168"/>
      <c r="M561" s="168"/>
      <c r="N561" s="168"/>
      <c r="O561" s="181"/>
      <c r="P561" s="181"/>
    </row>
    <row r="562" spans="1:16" ht="21.75" customHeight="1" x14ac:dyDescent="0.3">
      <c r="A562" s="175"/>
      <c r="B562" s="176"/>
      <c r="C562" s="176"/>
      <c r="D562" s="193"/>
      <c r="E562" s="195"/>
      <c r="F562" s="195" t="s">
        <v>207</v>
      </c>
      <c r="G562" s="196"/>
      <c r="H562" s="473" t="s">
        <v>122</v>
      </c>
      <c r="I562" s="162">
        <v>0</v>
      </c>
      <c r="J562" s="203" t="str">
        <f ca="1">IFERROR(__xludf.DUMMYFUNCTION("IMPORTRANGE(""https://docs.google.com/spreadsheets/d/11923uPwbBZFjjGgGUA6NLw09EwE0CqkOc4q9oUmW1yo/edit?usp=sharing"",""อุตรดิตถ์!J457"")"),"")</f>
        <v/>
      </c>
      <c r="K562" s="163">
        <f t="shared" si="121"/>
        <v>0</v>
      </c>
      <c r="L562" s="181"/>
      <c r="M562" s="181"/>
      <c r="N562" s="181"/>
      <c r="O562" s="181"/>
      <c r="P562" s="181"/>
    </row>
    <row r="563" spans="1:16" ht="21.75" customHeight="1" x14ac:dyDescent="0.3">
      <c r="A563" s="175"/>
      <c r="B563" s="176"/>
      <c r="C563" s="176"/>
      <c r="D563" s="193"/>
      <c r="E563" s="195"/>
      <c r="F563" s="195"/>
      <c r="G563" s="196"/>
      <c r="H563" s="473" t="s">
        <v>36</v>
      </c>
      <c r="I563" s="162">
        <v>0</v>
      </c>
      <c r="J563" s="187" t="str">
        <f ca="1">IFERROR(__xludf.DUMMYFUNCTION("IMPORTRANGE(""https://docs.google.com/spreadsheets/d/11923uPwbBZFjjGgGUA6NLw09EwE0CqkOc4q9oUmW1yo/edit?usp=sharing"",""อุตรดิตถ์!J458"")"),"")</f>
        <v/>
      </c>
      <c r="K563" s="163">
        <f t="shared" si="121"/>
        <v>0</v>
      </c>
      <c r="L563" s="181"/>
      <c r="M563" s="181"/>
      <c r="N563" s="181"/>
      <c r="O563" s="181"/>
      <c r="P563" s="181"/>
    </row>
    <row r="564" spans="1:16" ht="21.75" customHeight="1" x14ac:dyDescent="0.3">
      <c r="A564" s="364"/>
      <c r="B564" s="365">
        <v>8</v>
      </c>
      <c r="C564" s="366" t="s">
        <v>208</v>
      </c>
      <c r="D564" s="366"/>
      <c r="E564" s="366"/>
      <c r="F564" s="366"/>
      <c r="G564" s="367"/>
      <c r="H564" s="368" t="s">
        <v>37</v>
      </c>
      <c r="I564" s="369">
        <f ca="1">IFERROR(__xludf.DUMMYFUNCTION("IMPORTRANGE(""https://docs.google.com/spreadsheets/d/11923uPwbBZFjjGgGUA6NLw09EwE0CqkOc4q9oUmW1yo/edit?usp=sharing"",""อุตรดิตถ์!I459"")"),1100)</f>
        <v>1100</v>
      </c>
      <c r="J564" s="369">
        <f ca="1">IFERROR(__xludf.DUMMYFUNCTION("IMPORTRANGE(""https://docs.google.com/spreadsheets/d/11923uPwbBZFjjGgGUA6NLw09EwE0CqkOc4q9oUmW1yo/edit?usp=sharing"",""อุตรดิตถ์!J459"")"),1509)</f>
        <v>1509</v>
      </c>
      <c r="K564" s="370">
        <f t="shared" ca="1" si="121"/>
        <v>137.18181818181819</v>
      </c>
      <c r="L564" s="371">
        <f ca="1">IFERROR(__xludf.DUMMYFUNCTION("IMPORTRANGE(""https://docs.google.com/spreadsheets/d/11923uPwbBZFjjGgGUA6NLw09EwE0CqkOc4q9oUmW1yo/edit?usp=sharing"",""อุตรดิตถ์!L459"")"),127280)</f>
        <v>127280</v>
      </c>
      <c r="M564" s="371"/>
      <c r="N564" s="371">
        <f ca="1">IFERROR(__xludf.DUMMYFUNCTION("IMPORTRANGE(""https://docs.google.com/spreadsheets/d/11923uPwbBZFjjGgGUA6NLw09EwE0CqkOc4q9oUmW1yo/edit?usp=sharing"",""อุตรดิตถ์!M459"")"),33858)</f>
        <v>33858</v>
      </c>
      <c r="O564" s="371">
        <f t="shared" ref="O564:O568" ca="1" si="122">+IF(L564&gt;0,N564*100/L564,0)</f>
        <v>26.601194217473289</v>
      </c>
      <c r="P564" s="371"/>
    </row>
    <row r="565" spans="1:16" ht="21.75" customHeight="1" x14ac:dyDescent="0.3">
      <c r="A565" s="156"/>
      <c r="B565" s="157"/>
      <c r="C565" s="157" t="s">
        <v>16</v>
      </c>
      <c r="D565" s="158" t="s">
        <v>38</v>
      </c>
      <c r="E565" s="159"/>
      <c r="F565" s="159"/>
      <c r="G565" s="160" t="s">
        <v>39</v>
      </c>
      <c r="H565" s="161" t="s">
        <v>12</v>
      </c>
      <c r="I565" s="162" t="s">
        <v>40</v>
      </c>
      <c r="J565" s="162"/>
      <c r="K565" s="163"/>
      <c r="L565" s="164">
        <f ca="1">IFERROR(__xludf.DUMMYFUNCTION("IMPORTRANGE(""https://docs.google.com/spreadsheets/d/11923uPwbBZFjjGgGUA6NLw09EwE0CqkOc4q9oUmW1yo/edit?usp=sharing"",""อุตรดิตถ์!L460"")"),0)</f>
        <v>0</v>
      </c>
      <c r="M565" s="164"/>
      <c r="N565" s="168">
        <f ca="1">IFERROR(__xludf.DUMMYFUNCTION("IMPORTRANGE(""https://docs.google.com/spreadsheets/d/11923uPwbBZFjjGgGUA6NLw09EwE0CqkOc4q9oUmW1yo/edit?usp=sharing"",""อุตรดิตถ์!M460"")"),0)</f>
        <v>0</v>
      </c>
      <c r="O565" s="168">
        <f t="shared" ca="1" si="122"/>
        <v>0</v>
      </c>
      <c r="P565" s="168"/>
    </row>
    <row r="566" spans="1:16" ht="21.75" customHeight="1" x14ac:dyDescent="0.3">
      <c r="A566" s="156"/>
      <c r="B566" s="157"/>
      <c r="C566" s="157"/>
      <c r="D566" s="166"/>
      <c r="E566" s="159"/>
      <c r="F566" s="159" t="s">
        <v>40</v>
      </c>
      <c r="G566" s="160" t="s">
        <v>41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IFERROR(__xludf.DUMMYFUNCTION("IMPORTRANGE(""https://docs.google.com/spreadsheets/d/11923uPwbBZFjjGgGUA6NLw09EwE0CqkOc4q9oUmW1yo/edit?usp=sharing"",""อุตรดิตถ์!L461"")"),127280)</f>
        <v>127280</v>
      </c>
      <c r="M566" s="165"/>
      <c r="N566" s="168">
        <f ca="1">IFERROR(__xludf.DUMMYFUNCTION("IMPORTRANGE(""https://docs.google.com/spreadsheets/d/11923uPwbBZFjjGgGUA6NLw09EwE0CqkOc4q9oUmW1yo/edit?usp=sharing"",""อุตรดิตถ์!M461"")"),33858)</f>
        <v>33858</v>
      </c>
      <c r="O566" s="168">
        <f t="shared" ca="1" si="122"/>
        <v>26.601194217473289</v>
      </c>
      <c r="P566" s="168"/>
    </row>
    <row r="567" spans="1:16" ht="21.75" customHeight="1" x14ac:dyDescent="0.3">
      <c r="A567" s="156"/>
      <c r="B567" s="157"/>
      <c r="C567" s="157"/>
      <c r="D567" s="166"/>
      <c r="E567" s="159"/>
      <c r="F567" s="159"/>
      <c r="G567" s="372" t="s">
        <v>129</v>
      </c>
      <c r="H567" s="161" t="s">
        <v>12</v>
      </c>
      <c r="I567" s="162"/>
      <c r="J567" s="162"/>
      <c r="K567" s="163"/>
      <c r="L567" s="168">
        <f ca="1">IFERROR(__xludf.DUMMYFUNCTION("IMPORTRANGE(""https://docs.google.com/spreadsheets/d/11923uPwbBZFjjGgGUA6NLw09EwE0CqkOc4q9oUmW1yo/edit?usp=sharing"",""อุตรดิตถ์!L462"")"),0)</f>
        <v>0</v>
      </c>
      <c r="M567" s="168"/>
      <c r="N567" s="168">
        <f ca="1">IFERROR(__xludf.DUMMYFUNCTION("IMPORTRANGE(""https://docs.google.com/spreadsheets/d/11923uPwbBZFjjGgGUA6NLw09EwE0CqkOc4q9oUmW1yo/edit?usp=sharing"",""อุตรดิตถ์!M462"")"),0)</f>
        <v>0</v>
      </c>
      <c r="O567" s="168">
        <f t="shared" ca="1" si="122"/>
        <v>0</v>
      </c>
      <c r="P567" s="168"/>
    </row>
    <row r="568" spans="1:16" ht="21.75" customHeight="1" x14ac:dyDescent="0.3">
      <c r="A568" s="156"/>
      <c r="B568" s="157"/>
      <c r="C568" s="157"/>
      <c r="D568" s="166"/>
      <c r="E568" s="159"/>
      <c r="F568" s="159"/>
      <c r="G568" s="372" t="s">
        <v>130</v>
      </c>
      <c r="H568" s="161" t="s">
        <v>12</v>
      </c>
      <c r="I568" s="162"/>
      <c r="J568" s="162"/>
      <c r="K568" s="163"/>
      <c r="L568" s="168">
        <f ca="1">IFERROR(__xludf.DUMMYFUNCTION("IMPORTRANGE(""https://docs.google.com/spreadsheets/d/11923uPwbBZFjjGgGUA6NLw09EwE0CqkOc4q9oUmW1yo/edit?usp=sharing"",""อุตรดิตถ์!L463"")"),127280)</f>
        <v>127280</v>
      </c>
      <c r="M568" s="168"/>
      <c r="N568" s="168">
        <f ca="1">IFERROR(__xludf.DUMMYFUNCTION("IMPORTRANGE(""https://docs.google.com/spreadsheets/d/11923uPwbBZFjjGgGUA6NLw09EwE0CqkOc4q9oUmW1yo/edit?usp=sharing"",""อุตรดิตถ์!M463"")"),33858)</f>
        <v>33858</v>
      </c>
      <c r="O568" s="168">
        <f t="shared" ca="1" si="122"/>
        <v>26.601194217473289</v>
      </c>
      <c r="P568" s="168"/>
    </row>
    <row r="569" spans="1:16" ht="21.75" customHeight="1" x14ac:dyDescent="0.3">
      <c r="A569" s="373"/>
      <c r="B569" s="374"/>
      <c r="C569" s="157"/>
      <c r="D569" s="375"/>
      <c r="E569" s="159"/>
      <c r="F569" s="159"/>
      <c r="G569" s="376" t="s">
        <v>131</v>
      </c>
      <c r="H569" s="161" t="s">
        <v>12</v>
      </c>
      <c r="I569" s="187"/>
      <c r="J569" s="187"/>
      <c r="K569" s="223"/>
      <c r="L569" s="168"/>
      <c r="M569" s="168"/>
      <c r="N569" s="167">
        <f ca="1">IFERROR(__xludf.DUMMYFUNCTION("IMPORTRANGE(""https://docs.google.com/spreadsheets/d/11923uPwbBZFjjGgGUA6NLw09EwE0CqkOc4q9oUmW1yo/edit?usp=sharing"",""อุตรดิตถ์!M464"")"),0)</f>
        <v>0</v>
      </c>
      <c r="O569" s="168"/>
      <c r="P569" s="168"/>
    </row>
    <row r="570" spans="1:16" ht="21.75" customHeight="1" x14ac:dyDescent="0.3">
      <c r="A570" s="373"/>
      <c r="B570" s="374"/>
      <c r="C570" s="157"/>
      <c r="D570" s="375"/>
      <c r="E570" s="159"/>
      <c r="F570" s="159"/>
      <c r="G570" s="376" t="s">
        <v>132</v>
      </c>
      <c r="H570" s="161" t="s">
        <v>12</v>
      </c>
      <c r="I570" s="187"/>
      <c r="J570" s="187"/>
      <c r="K570" s="223"/>
      <c r="L570" s="168"/>
      <c r="M570" s="168"/>
      <c r="N570" s="167">
        <f ca="1">IFERROR(__xludf.DUMMYFUNCTION("IMPORTRANGE(""https://docs.google.com/spreadsheets/d/11923uPwbBZFjjGgGUA6NLw09EwE0CqkOc4q9oUmW1yo/edit?usp=sharing"",""อุตรดิตถ์!M465"")"),0)</f>
        <v>0</v>
      </c>
      <c r="O570" s="168"/>
      <c r="P570" s="168"/>
    </row>
    <row r="571" spans="1:16" ht="21.75" customHeight="1" x14ac:dyDescent="0.3">
      <c r="A571" s="373"/>
      <c r="B571" s="374"/>
      <c r="C571" s="157"/>
      <c r="D571" s="375"/>
      <c r="E571" s="159"/>
      <c r="F571" s="159"/>
      <c r="G571" s="376" t="s">
        <v>133</v>
      </c>
      <c r="H571" s="161" t="s">
        <v>12</v>
      </c>
      <c r="I571" s="187"/>
      <c r="J571" s="187"/>
      <c r="K571" s="223"/>
      <c r="L571" s="168"/>
      <c r="M571" s="168"/>
      <c r="N571" s="377">
        <f ca="1">IFERROR(__xludf.DUMMYFUNCTION("IMPORTRANGE(""https://docs.google.com/spreadsheets/d/11923uPwbBZFjjGgGUA6NLw09EwE0CqkOc4q9oUmW1yo/edit?usp=sharing"",""อุตรดิตถ์!M466"")"),31568)</f>
        <v>31568</v>
      </c>
      <c r="O571" s="168"/>
      <c r="P571" s="168"/>
    </row>
    <row r="572" spans="1:16" ht="21.75" customHeight="1" x14ac:dyDescent="0.3">
      <c r="A572" s="373"/>
      <c r="B572" s="374"/>
      <c r="C572" s="157"/>
      <c r="D572" s="375"/>
      <c r="E572" s="159"/>
      <c r="F572" s="159"/>
      <c r="G572" s="376" t="s">
        <v>134</v>
      </c>
      <c r="H572" s="161" t="s">
        <v>12</v>
      </c>
      <c r="I572" s="187"/>
      <c r="J572" s="187"/>
      <c r="K572" s="223"/>
      <c r="L572" s="168"/>
      <c r="M572" s="168"/>
      <c r="N572" s="377">
        <f ca="1">IFERROR(__xludf.DUMMYFUNCTION("IMPORTRANGE(""https://docs.google.com/spreadsheets/d/11923uPwbBZFjjGgGUA6NLw09EwE0CqkOc4q9oUmW1yo/edit?usp=sharing"",""อุตรดิตถ์!M467"")"),2290)</f>
        <v>2290</v>
      </c>
      <c r="O572" s="168"/>
      <c r="P572" s="168"/>
    </row>
    <row r="573" spans="1:16" ht="21.75" customHeight="1" x14ac:dyDescent="0.3">
      <c r="A573" s="175"/>
      <c r="B573" s="176"/>
      <c r="C573" s="176"/>
      <c r="D573" s="195"/>
      <c r="E573" s="194" t="s">
        <v>40</v>
      </c>
      <c r="F573" s="412" t="s">
        <v>209</v>
      </c>
      <c r="G573" s="386"/>
      <c r="H573" s="474" t="s">
        <v>37</v>
      </c>
      <c r="I573" s="418">
        <f ca="1">IFERROR(__xludf.DUMMYFUNCTION("IMPORTRANGE(""https://docs.google.com/spreadsheets/d/11923uPwbBZFjjGgGUA6NLw09EwE0CqkOc4q9oUmW1yo/edit?usp=sharing"",""อุตรดิตถ์!I468"")"),1100)</f>
        <v>1100</v>
      </c>
      <c r="J573" s="418">
        <f ca="1">IFERROR(__xludf.DUMMYFUNCTION("IMPORTRANGE(""https://docs.google.com/spreadsheets/d/11923uPwbBZFjjGgGUA6NLw09EwE0CqkOc4q9oUmW1yo/edit?usp=sharing"",""อุตรดิตถ์!J468"")"),1509)</f>
        <v>1509</v>
      </c>
      <c r="K573" s="201">
        <f ca="1">IF(I573&gt;0,J573*100/I573,0)</f>
        <v>137.18181818181819</v>
      </c>
      <c r="L573" s="181"/>
      <c r="M573" s="181"/>
      <c r="N573" s="181"/>
      <c r="O573" s="181"/>
      <c r="P573" s="181"/>
    </row>
    <row r="574" spans="1:16" ht="21.75" customHeight="1" x14ac:dyDescent="0.3">
      <c r="A574" s="175"/>
      <c r="B574" s="176"/>
      <c r="C574" s="176"/>
      <c r="D574" s="195"/>
      <c r="E574" s="195"/>
      <c r="F574" s="194" t="s">
        <v>210</v>
      </c>
      <c r="G574" s="196"/>
      <c r="H574" s="473"/>
      <c r="I574" s="162"/>
      <c r="J574" s="162"/>
      <c r="K574" s="163"/>
      <c r="L574" s="181"/>
      <c r="M574" s="181"/>
      <c r="N574" s="181"/>
      <c r="O574" s="181"/>
      <c r="P574" s="181"/>
    </row>
    <row r="575" spans="1:16" ht="21.75" customHeight="1" x14ac:dyDescent="0.3">
      <c r="A575" s="175"/>
      <c r="B575" s="176"/>
      <c r="C575" s="176"/>
      <c r="D575" s="195"/>
      <c r="E575" s="194" t="s">
        <v>40</v>
      </c>
      <c r="F575" s="194" t="s">
        <v>211</v>
      </c>
      <c r="G575" s="196"/>
      <c r="H575" s="473" t="s">
        <v>77</v>
      </c>
      <c r="I575" s="202">
        <f ca="1">IFERROR(__xludf.DUMMYFUNCTION("IMPORTRANGE(""https://docs.google.com/spreadsheets/d/11923uPwbBZFjjGgGUA6NLw09EwE0CqkOc4q9oUmW1yo/edit?usp=sharing"",""อุตรดิตถ์!I470"")"),0)</f>
        <v>0</v>
      </c>
      <c r="J575" s="197">
        <f ca="1">IFERROR(__xludf.DUMMYFUNCTION("IMPORTRANGE(""https://docs.google.com/spreadsheets/d/11923uPwbBZFjjGgGUA6NLw09EwE0CqkOc4q9oUmW1yo/edit?usp=sharing"",""อุตรดิตถ์!J470"")"),3)</f>
        <v>3</v>
      </c>
      <c r="K575" s="163">
        <f t="shared" ref="K575:K579" ca="1" si="123">IF(I575&gt;0,J575*100/I575,0)</f>
        <v>0</v>
      </c>
      <c r="L575" s="181"/>
      <c r="M575" s="181"/>
      <c r="N575" s="181"/>
      <c r="O575" s="181"/>
      <c r="P575" s="181"/>
    </row>
    <row r="576" spans="1:16" ht="21.75" customHeight="1" x14ac:dyDescent="0.3">
      <c r="A576" s="175"/>
      <c r="B576" s="176"/>
      <c r="C576" s="176"/>
      <c r="D576" s="195"/>
      <c r="E576" s="195"/>
      <c r="F576" s="194" t="s">
        <v>212</v>
      </c>
      <c r="G576" s="196"/>
      <c r="H576" s="473" t="s">
        <v>37</v>
      </c>
      <c r="I576" s="202">
        <f ca="1">IFERROR(__xludf.DUMMYFUNCTION("IMPORTRANGE(""https://docs.google.com/spreadsheets/d/11923uPwbBZFjjGgGUA6NLw09EwE0CqkOc4q9oUmW1yo/edit?usp=sharing"",""อุตรดิตถ์!I471"")"),0)</f>
        <v>0</v>
      </c>
      <c r="J576" s="197">
        <f ca="1">IFERROR(__xludf.DUMMYFUNCTION("IMPORTRANGE(""https://docs.google.com/spreadsheets/d/11923uPwbBZFjjGgGUA6NLw09EwE0CqkOc4q9oUmW1yo/edit?usp=sharing"",""อุตรดิตถ์!J471"")"),170)</f>
        <v>170</v>
      </c>
      <c r="K576" s="163">
        <f t="shared" ca="1" si="123"/>
        <v>0</v>
      </c>
      <c r="L576" s="181"/>
      <c r="M576" s="181"/>
      <c r="N576" s="181"/>
      <c r="O576" s="181"/>
      <c r="P576" s="181"/>
    </row>
    <row r="577" spans="1:16" ht="21.75" customHeight="1" x14ac:dyDescent="0.3">
      <c r="A577" s="175"/>
      <c r="B577" s="176"/>
      <c r="C577" s="176"/>
      <c r="D577" s="195"/>
      <c r="E577" s="195"/>
      <c r="F577" s="194" t="s">
        <v>213</v>
      </c>
      <c r="G577" s="196"/>
      <c r="H577" s="473" t="s">
        <v>37</v>
      </c>
      <c r="I577" s="202">
        <f ca="1">IFERROR(__xludf.DUMMYFUNCTION("IMPORTRANGE(""https://docs.google.com/spreadsheets/d/11923uPwbBZFjjGgGUA6NLw09EwE0CqkOc4q9oUmW1yo/edit?usp=sharing"",""อุตรดิตถ์!I472"")"),0)</f>
        <v>0</v>
      </c>
      <c r="J577" s="188">
        <f ca="1">IFERROR(__xludf.DUMMYFUNCTION("IMPORTRANGE(""https://docs.google.com/spreadsheets/d/11923uPwbBZFjjGgGUA6NLw09EwE0CqkOc4q9oUmW1yo/edit?usp=sharing"",""อุตรดิตถ์!J472"")"),898)</f>
        <v>898</v>
      </c>
      <c r="K577" s="163">
        <f t="shared" ca="1" si="123"/>
        <v>0</v>
      </c>
      <c r="L577" s="181"/>
      <c r="M577" s="181"/>
      <c r="N577" s="181"/>
      <c r="O577" s="181"/>
      <c r="P577" s="181"/>
    </row>
    <row r="578" spans="1:16" ht="21.75" customHeight="1" x14ac:dyDescent="0.3">
      <c r="A578" s="175"/>
      <c r="B578" s="176"/>
      <c r="C578" s="176"/>
      <c r="D578" s="195"/>
      <c r="E578" s="195"/>
      <c r="F578" s="194" t="s">
        <v>214</v>
      </c>
      <c r="G578" s="419"/>
      <c r="H578" s="473" t="s">
        <v>37</v>
      </c>
      <c r="I578" s="202">
        <f ca="1">IFERROR(__xludf.DUMMYFUNCTION("IMPORTRANGE(""https://docs.google.com/spreadsheets/d/11923uPwbBZFjjGgGUA6NLw09EwE0CqkOc4q9oUmW1yo/edit?usp=sharing"",""อุตรดิตถ์!I473"")"),0)</f>
        <v>0</v>
      </c>
      <c r="J578" s="197">
        <f ca="1">IFERROR(__xludf.DUMMYFUNCTION("IMPORTRANGE(""https://docs.google.com/spreadsheets/d/11923uPwbBZFjjGgGUA6NLw09EwE0CqkOc4q9oUmW1yo/edit?usp=sharing"",""อุตรดิตถ์!J473"")"),0)</f>
        <v>0</v>
      </c>
      <c r="K578" s="163">
        <f t="shared" ca="1" si="123"/>
        <v>0</v>
      </c>
      <c r="L578" s="181"/>
      <c r="M578" s="181"/>
      <c r="N578" s="181"/>
      <c r="O578" s="181"/>
      <c r="P578" s="181"/>
    </row>
    <row r="579" spans="1:16" ht="21.75" customHeight="1" x14ac:dyDescent="0.3">
      <c r="A579" s="175"/>
      <c r="B579" s="176"/>
      <c r="C579" s="176"/>
      <c r="D579" s="195"/>
      <c r="E579" s="195"/>
      <c r="F579" s="194" t="s">
        <v>215</v>
      </c>
      <c r="G579" s="419"/>
      <c r="H579" s="473" t="s">
        <v>37</v>
      </c>
      <c r="I579" s="202">
        <f ca="1">IFERROR(__xludf.DUMMYFUNCTION("IMPORTRANGE(""https://docs.google.com/spreadsheets/d/11923uPwbBZFjjGgGUA6NLw09EwE0CqkOc4q9oUmW1yo/edit?usp=sharing"",""อุตรดิตถ์!I474"")"),0)</f>
        <v>0</v>
      </c>
      <c r="J579" s="197">
        <f ca="1">IFERROR(__xludf.DUMMYFUNCTION("IMPORTRANGE(""https://docs.google.com/spreadsheets/d/11923uPwbBZFjjGgGUA6NLw09EwE0CqkOc4q9oUmW1yo/edit?usp=sharing"",""อุตรดิตถ์!J474"")"),441)</f>
        <v>441</v>
      </c>
      <c r="K579" s="163">
        <f t="shared" ca="1" si="123"/>
        <v>0</v>
      </c>
      <c r="L579" s="181"/>
      <c r="M579" s="181"/>
      <c r="N579" s="181"/>
      <c r="O579" s="181"/>
      <c r="P579" s="181"/>
    </row>
    <row r="580" spans="1:16" ht="21.75" customHeight="1" x14ac:dyDescent="0.3">
      <c r="A580" s="364"/>
      <c r="B580" s="365">
        <v>9</v>
      </c>
      <c r="C580" s="475" t="s">
        <v>216</v>
      </c>
      <c r="D580" s="366"/>
      <c r="E580" s="366"/>
      <c r="F580" s="366"/>
      <c r="G580" s="367"/>
      <c r="H580" s="368" t="s">
        <v>37</v>
      </c>
      <c r="I580" s="369">
        <f ca="1">IFERROR(__xludf.DUMMYFUNCTION("IMPORTRANGE(""https://docs.google.com/spreadsheets/d/11923uPwbBZFjjGgGUA6NLw09EwE0CqkOc4q9oUmW1yo/edit?usp=sharing"",""อุตรดิตถ์!I475"")"),0)</f>
        <v>0</v>
      </c>
      <c r="J580" s="369">
        <f ca="1">IFERROR(__xludf.DUMMYFUNCTION("IMPORTRANGE(""https://docs.google.com/spreadsheets/d/11923uPwbBZFjjGgGUA6NLw09EwE0CqkOc4q9oUmW1yo/edit?usp=sharing"",""อุตรดิตถ์!J475"")"),0)</f>
        <v>0</v>
      </c>
      <c r="K580" s="370">
        <f ca="1">IF(I580&gt;0,J580*100/I580,0)</f>
        <v>0</v>
      </c>
      <c r="L580" s="371">
        <f ca="1">IFERROR(__xludf.DUMMYFUNCTION("IMPORTRANGE(""https://docs.google.com/spreadsheets/d/11923uPwbBZFjjGgGUA6NLw09EwE0CqkOc4q9oUmW1yo/edit?usp=sharing"",""อุตรดิตถ์!L475"")"),0)</f>
        <v>0</v>
      </c>
      <c r="M580" s="371"/>
      <c r="N580" s="371">
        <f ca="1">IFERROR(__xludf.DUMMYFUNCTION("IMPORTRANGE(""https://docs.google.com/spreadsheets/d/11923uPwbBZFjjGgGUA6NLw09EwE0CqkOc4q9oUmW1yo/edit?usp=sharing"",""อุตรดิตถ์!M475"")"),0)</f>
        <v>0</v>
      </c>
      <c r="O580" s="371">
        <f t="shared" ref="O580:O584" ca="1" si="124">+IF(L580&gt;0,N580*100/L580,0)</f>
        <v>0</v>
      </c>
      <c r="P580" s="371"/>
    </row>
    <row r="581" spans="1:16" ht="21.75" customHeight="1" x14ac:dyDescent="0.3">
      <c r="A581" s="156"/>
      <c r="B581" s="157"/>
      <c r="C581" s="157" t="s">
        <v>16</v>
      </c>
      <c r="D581" s="158" t="s">
        <v>38</v>
      </c>
      <c r="E581" s="159"/>
      <c r="F581" s="159"/>
      <c r="G581" s="160" t="s">
        <v>39</v>
      </c>
      <c r="H581" s="161" t="s">
        <v>12</v>
      </c>
      <c r="I581" s="162" t="s">
        <v>40</v>
      </c>
      <c r="J581" s="162"/>
      <c r="K581" s="163"/>
      <c r="L581" s="164">
        <f ca="1">IFERROR(__xludf.DUMMYFUNCTION("IMPORTRANGE(""https://docs.google.com/spreadsheets/d/11923uPwbBZFjjGgGUA6NLw09EwE0CqkOc4q9oUmW1yo/edit?usp=sharing"",""อุตรดิตถ์!L476"")"),0)</f>
        <v>0</v>
      </c>
      <c r="M581" s="164"/>
      <c r="N581" s="168">
        <f ca="1">IFERROR(__xludf.DUMMYFUNCTION("IMPORTRANGE(""https://docs.google.com/spreadsheets/d/11923uPwbBZFjjGgGUA6NLw09EwE0CqkOc4q9oUmW1yo/edit?usp=sharing"",""อุตรดิตถ์!M476"")"),0)</f>
        <v>0</v>
      </c>
      <c r="O581" s="168">
        <f t="shared" ca="1" si="124"/>
        <v>0</v>
      </c>
      <c r="P581" s="168"/>
    </row>
    <row r="582" spans="1:16" ht="21.75" customHeight="1" x14ac:dyDescent="0.3">
      <c r="A582" s="156"/>
      <c r="B582" s="157"/>
      <c r="C582" s="157"/>
      <c r="D582" s="166"/>
      <c r="E582" s="159"/>
      <c r="F582" s="159" t="s">
        <v>40</v>
      </c>
      <c r="G582" s="160" t="s">
        <v>41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IFERROR(__xludf.DUMMYFUNCTION("IMPORTRANGE(""https://docs.google.com/spreadsheets/d/11923uPwbBZFjjGgGUA6NLw09EwE0CqkOc4q9oUmW1yo/edit?usp=sharing"",""อุตรดิตถ์!L477"")"),0)</f>
        <v>0</v>
      </c>
      <c r="M582" s="165"/>
      <c r="N582" s="168">
        <f ca="1">IFERROR(__xludf.DUMMYFUNCTION("IMPORTRANGE(""https://docs.google.com/spreadsheets/d/11923uPwbBZFjjGgGUA6NLw09EwE0CqkOc4q9oUmW1yo/edit?usp=sharing"",""อุตรดิตถ์!M477"")"),0)</f>
        <v>0</v>
      </c>
      <c r="O582" s="168">
        <f t="shared" ca="1" si="124"/>
        <v>0</v>
      </c>
      <c r="P582" s="168"/>
    </row>
    <row r="583" spans="1:16" ht="21.75" customHeight="1" x14ac:dyDescent="0.3">
      <c r="A583" s="156"/>
      <c r="B583" s="157"/>
      <c r="C583" s="157"/>
      <c r="D583" s="166"/>
      <c r="E583" s="159"/>
      <c r="F583" s="159"/>
      <c r="G583" s="372" t="s">
        <v>129</v>
      </c>
      <c r="H583" s="161" t="s">
        <v>12</v>
      </c>
      <c r="I583" s="162"/>
      <c r="J583" s="162"/>
      <c r="K583" s="163"/>
      <c r="L583" s="168">
        <f ca="1">IFERROR(__xludf.DUMMYFUNCTION("IMPORTRANGE(""https://docs.google.com/spreadsheets/d/11923uPwbBZFjjGgGUA6NLw09EwE0CqkOc4q9oUmW1yo/edit?usp=sharing"",""อุตรดิตถ์!L478"")"),0)</f>
        <v>0</v>
      </c>
      <c r="M583" s="168"/>
      <c r="N583" s="168">
        <f ca="1">IFERROR(__xludf.DUMMYFUNCTION("IMPORTRANGE(""https://docs.google.com/spreadsheets/d/11923uPwbBZFjjGgGUA6NLw09EwE0CqkOc4q9oUmW1yo/edit?usp=sharing"",""อุตรดิตถ์!M478"")"),0)</f>
        <v>0</v>
      </c>
      <c r="O583" s="168">
        <f t="shared" ca="1" si="124"/>
        <v>0</v>
      </c>
      <c r="P583" s="168"/>
    </row>
    <row r="584" spans="1:16" ht="21.75" customHeight="1" x14ac:dyDescent="0.3">
      <c r="A584" s="156"/>
      <c r="B584" s="157"/>
      <c r="C584" s="157"/>
      <c r="D584" s="166"/>
      <c r="E584" s="159"/>
      <c r="F584" s="159"/>
      <c r="G584" s="372" t="s">
        <v>130</v>
      </c>
      <c r="H584" s="161" t="s">
        <v>12</v>
      </c>
      <c r="I584" s="162"/>
      <c r="J584" s="162"/>
      <c r="K584" s="163"/>
      <c r="L584" s="168">
        <f ca="1">IFERROR(__xludf.DUMMYFUNCTION("IMPORTRANGE(""https://docs.google.com/spreadsheets/d/11923uPwbBZFjjGgGUA6NLw09EwE0CqkOc4q9oUmW1yo/edit?usp=sharing"",""อุตรดิตถ์!L479"")"),0)</f>
        <v>0</v>
      </c>
      <c r="M584" s="168"/>
      <c r="N584" s="168">
        <f ca="1">IFERROR(__xludf.DUMMYFUNCTION("IMPORTRANGE(""https://docs.google.com/spreadsheets/d/11923uPwbBZFjjGgGUA6NLw09EwE0CqkOc4q9oUmW1yo/edit?usp=sharing"",""อุตรดิตถ์!M479"")"),0)</f>
        <v>0</v>
      </c>
      <c r="O584" s="168">
        <f t="shared" ca="1" si="124"/>
        <v>0</v>
      </c>
      <c r="P584" s="168"/>
    </row>
    <row r="585" spans="1:16" ht="21.75" customHeight="1" x14ac:dyDescent="0.3">
      <c r="A585" s="373"/>
      <c r="B585" s="374"/>
      <c r="C585" s="157"/>
      <c r="D585" s="375"/>
      <c r="E585" s="159"/>
      <c r="F585" s="159"/>
      <c r="G585" s="376" t="s">
        <v>131</v>
      </c>
      <c r="H585" s="161" t="s">
        <v>12</v>
      </c>
      <c r="I585" s="187"/>
      <c r="J585" s="187"/>
      <c r="K585" s="223"/>
      <c r="L585" s="168"/>
      <c r="M585" s="168"/>
      <c r="N585" s="167">
        <f ca="1">IFERROR(__xludf.DUMMYFUNCTION("IMPORTRANGE(""https://docs.google.com/spreadsheets/d/11923uPwbBZFjjGgGUA6NLw09EwE0CqkOc4q9oUmW1yo/edit?usp=sharing"",""อุตรดิตถ์!M480"")"),0)</f>
        <v>0</v>
      </c>
      <c r="O585" s="168"/>
      <c r="P585" s="168"/>
    </row>
    <row r="586" spans="1:16" ht="21.75" customHeight="1" x14ac:dyDescent="0.3">
      <c r="A586" s="373"/>
      <c r="B586" s="374"/>
      <c r="C586" s="157"/>
      <c r="D586" s="375"/>
      <c r="E586" s="159"/>
      <c r="F586" s="159"/>
      <c r="G586" s="376" t="s">
        <v>132</v>
      </c>
      <c r="H586" s="161" t="s">
        <v>12</v>
      </c>
      <c r="I586" s="187"/>
      <c r="J586" s="187"/>
      <c r="K586" s="223"/>
      <c r="L586" s="168"/>
      <c r="M586" s="168"/>
      <c r="N586" s="167">
        <f ca="1">IFERROR(__xludf.DUMMYFUNCTION("IMPORTRANGE(""https://docs.google.com/spreadsheets/d/11923uPwbBZFjjGgGUA6NLw09EwE0CqkOc4q9oUmW1yo/edit?usp=sharing"",""อุตรดิตถ์!M481"")"),0)</f>
        <v>0</v>
      </c>
      <c r="O586" s="168"/>
      <c r="P586" s="168"/>
    </row>
    <row r="587" spans="1:16" ht="21.75" customHeight="1" x14ac:dyDescent="0.3">
      <c r="A587" s="373"/>
      <c r="B587" s="374"/>
      <c r="C587" s="157"/>
      <c r="D587" s="375"/>
      <c r="E587" s="159"/>
      <c r="F587" s="159"/>
      <c r="G587" s="376" t="s">
        <v>133</v>
      </c>
      <c r="H587" s="161" t="s">
        <v>12</v>
      </c>
      <c r="I587" s="187"/>
      <c r="J587" s="187"/>
      <c r="K587" s="223"/>
      <c r="L587" s="168"/>
      <c r="M587" s="168"/>
      <c r="N587" s="167">
        <f ca="1">IFERROR(__xludf.DUMMYFUNCTION("IMPORTRANGE(""https://docs.google.com/spreadsheets/d/11923uPwbBZFjjGgGUA6NLw09EwE0CqkOc4q9oUmW1yo/edit?usp=sharing"",""อุตรดิตถ์!M482"")"),0)</f>
        <v>0</v>
      </c>
      <c r="O587" s="168"/>
      <c r="P587" s="168"/>
    </row>
    <row r="588" spans="1:16" ht="21.75" customHeight="1" x14ac:dyDescent="0.3">
      <c r="A588" s="373"/>
      <c r="B588" s="374"/>
      <c r="C588" s="157"/>
      <c r="D588" s="375"/>
      <c r="E588" s="159"/>
      <c r="F588" s="159"/>
      <c r="G588" s="376" t="s">
        <v>134</v>
      </c>
      <c r="H588" s="161" t="s">
        <v>12</v>
      </c>
      <c r="I588" s="187"/>
      <c r="J588" s="187"/>
      <c r="K588" s="223"/>
      <c r="L588" s="168"/>
      <c r="M588" s="168"/>
      <c r="N588" s="167">
        <f ca="1">IFERROR(__xludf.DUMMYFUNCTION("IMPORTRANGE(""https://docs.google.com/spreadsheets/d/11923uPwbBZFjjGgGUA6NLw09EwE0CqkOc4q9oUmW1yo/edit?usp=sharing"",""อุตรดิตถ์!M483"")"),0)</f>
        <v>0</v>
      </c>
      <c r="O588" s="168"/>
      <c r="P588" s="168"/>
    </row>
    <row r="589" spans="1:16" ht="21.75" customHeight="1" x14ac:dyDescent="0.3">
      <c r="A589" s="476"/>
      <c r="B589" s="166"/>
      <c r="C589" s="157"/>
      <c r="D589" s="289"/>
      <c r="E589" s="194" t="s">
        <v>217</v>
      </c>
      <c r="F589" s="195"/>
      <c r="G589" s="196"/>
      <c r="H589" s="180" t="s">
        <v>36</v>
      </c>
      <c r="I589" s="339">
        <f ca="1">IFERROR(__xludf.DUMMYFUNCTION("IMPORTRANGE(""https://docs.google.com/spreadsheets/d/11923uPwbBZFjjGgGUA6NLw09EwE0CqkOc4q9oUmW1yo/edit?usp=sharing"",""อุตรดิตถ์!I484"")"),0)</f>
        <v>0</v>
      </c>
      <c r="J589" s="187">
        <f ca="1">IFERROR(__xludf.DUMMYFUNCTION("IMPORTRANGE(""https://docs.google.com/spreadsheets/d/11923uPwbBZFjjGgGUA6NLw09EwE0CqkOc4q9oUmW1yo/edit?usp=sharing"",""อุตรดิตถ์!J484"")"),2)</f>
        <v>2</v>
      </c>
      <c r="K589" s="163">
        <f t="shared" ref="K589:K596" ca="1" si="125">IF(I589&gt;0,J589*100/I589,0)</f>
        <v>0</v>
      </c>
      <c r="L589" s="181"/>
      <c r="M589" s="181"/>
      <c r="N589" s="168"/>
      <c r="O589" s="181"/>
      <c r="P589" s="181"/>
    </row>
    <row r="590" spans="1:16" ht="21.75" customHeight="1" x14ac:dyDescent="0.3">
      <c r="A590" s="476"/>
      <c r="B590" s="166"/>
      <c r="C590" s="157"/>
      <c r="D590" s="289"/>
      <c r="E590" s="195"/>
      <c r="F590" s="195"/>
      <c r="G590" s="196"/>
      <c r="H590" s="180" t="s">
        <v>122</v>
      </c>
      <c r="I590" s="343">
        <f ca="1">IFERROR(__xludf.DUMMYFUNCTION("IMPORTRANGE(""https://docs.google.com/spreadsheets/d/11923uPwbBZFjjGgGUA6NLw09EwE0CqkOc4q9oUmW1yo/edit?usp=sharing"",""อุตรดิตถ์!I485"")"),0)</f>
        <v>0</v>
      </c>
      <c r="J590" s="187">
        <f ca="1">IFERROR(__xludf.DUMMYFUNCTION("IMPORTRANGE(""https://docs.google.com/spreadsheets/d/11923uPwbBZFjjGgGUA6NLw09EwE0CqkOc4q9oUmW1yo/edit?usp=sharing"",""อุตรดิตถ์!J485"")"),1.11)</f>
        <v>1.1100000000000001</v>
      </c>
      <c r="K590" s="477">
        <f t="shared" ca="1" si="125"/>
        <v>0</v>
      </c>
      <c r="L590" s="181"/>
      <c r="M590" s="181"/>
      <c r="N590" s="168"/>
      <c r="O590" s="181"/>
      <c r="P590" s="181"/>
    </row>
    <row r="591" spans="1:16" ht="21.75" customHeight="1" x14ac:dyDescent="0.3">
      <c r="A591" s="476"/>
      <c r="B591" s="166"/>
      <c r="C591" s="157"/>
      <c r="D591" s="289"/>
      <c r="E591" s="194" t="s">
        <v>123</v>
      </c>
      <c r="F591" s="195"/>
      <c r="G591" s="196"/>
      <c r="H591" s="180" t="s">
        <v>37</v>
      </c>
      <c r="I591" s="339">
        <f ca="1">IFERROR(__xludf.DUMMYFUNCTION("IMPORTRANGE(""https://docs.google.com/spreadsheets/d/11923uPwbBZFjjGgGUA6NLw09EwE0CqkOc4q9oUmW1yo/edit?usp=sharing"",""อุตรดิตถ์!I486"")"),0)</f>
        <v>0</v>
      </c>
      <c r="J591" s="187">
        <f ca="1">IFERROR(__xludf.DUMMYFUNCTION("IMPORTRANGE(""https://docs.google.com/spreadsheets/d/11923uPwbBZFjjGgGUA6NLw09EwE0CqkOc4q9oUmW1yo/edit?usp=sharing"",""อุตรดิตถ์!J486"")"),2)</f>
        <v>2</v>
      </c>
      <c r="K591" s="163">
        <f t="shared" ca="1" si="125"/>
        <v>0</v>
      </c>
      <c r="L591" s="181"/>
      <c r="M591" s="181"/>
      <c r="N591" s="181"/>
      <c r="O591" s="181"/>
      <c r="P591" s="181"/>
    </row>
    <row r="592" spans="1:16" ht="21.75" customHeight="1" x14ac:dyDescent="0.3">
      <c r="A592" s="476"/>
      <c r="B592" s="166"/>
      <c r="C592" s="157"/>
      <c r="D592" s="289"/>
      <c r="E592" s="195"/>
      <c r="F592" s="195"/>
      <c r="G592" s="196"/>
      <c r="H592" s="180" t="s">
        <v>122</v>
      </c>
      <c r="I592" s="343">
        <f ca="1">IFERROR(__xludf.DUMMYFUNCTION("IMPORTRANGE(""https://docs.google.com/spreadsheets/d/11923uPwbBZFjjGgGUA6NLw09EwE0CqkOc4q9oUmW1yo/edit?usp=sharing"",""อุตรดิตถ์!I487"")"),0)</f>
        <v>0</v>
      </c>
      <c r="J592" s="187">
        <f ca="1">IFERROR(__xludf.DUMMYFUNCTION("IMPORTRANGE(""https://docs.google.com/spreadsheets/d/11923uPwbBZFjjGgGUA6NLw09EwE0CqkOc4q9oUmW1yo/edit?usp=sharing"",""อุตรดิตถ์!J487"")"),1.11)</f>
        <v>1.1100000000000001</v>
      </c>
      <c r="K592" s="340">
        <f t="shared" ca="1" si="125"/>
        <v>0</v>
      </c>
      <c r="L592" s="181"/>
      <c r="M592" s="181"/>
      <c r="N592" s="181"/>
      <c r="O592" s="181"/>
      <c r="P592" s="181"/>
    </row>
    <row r="593" spans="1:16" ht="21.75" customHeight="1" x14ac:dyDescent="0.3">
      <c r="A593" s="476"/>
      <c r="B593" s="166"/>
      <c r="C593" s="157"/>
      <c r="D593" s="289"/>
      <c r="E593" s="194" t="s">
        <v>124</v>
      </c>
      <c r="F593" s="195"/>
      <c r="G593" s="196"/>
      <c r="H593" s="180" t="s">
        <v>37</v>
      </c>
      <c r="I593" s="339">
        <f ca="1">IFERROR(__xludf.DUMMYFUNCTION("IMPORTRANGE(""https://docs.google.com/spreadsheets/d/11923uPwbBZFjjGgGUA6NLw09EwE0CqkOc4q9oUmW1yo/edit?usp=sharing"",""อุตรดิตถ์!I488"")"),0)</f>
        <v>0</v>
      </c>
      <c r="J593" s="187">
        <f ca="1">IFERROR(__xludf.DUMMYFUNCTION("IMPORTRANGE(""https://docs.google.com/spreadsheets/d/11923uPwbBZFjjGgGUA6NLw09EwE0CqkOc4q9oUmW1yo/edit?usp=sharing"",""อุตรดิตถ์!J488"")"),0)</f>
        <v>0</v>
      </c>
      <c r="K593" s="163">
        <f t="shared" ca="1" si="125"/>
        <v>0</v>
      </c>
      <c r="L593" s="181"/>
      <c r="M593" s="181"/>
      <c r="N593" s="181"/>
      <c r="O593" s="181"/>
      <c r="P593" s="181"/>
    </row>
    <row r="594" spans="1:16" ht="21.75" customHeight="1" x14ac:dyDescent="0.3">
      <c r="A594" s="476"/>
      <c r="B594" s="166"/>
      <c r="C594" s="157"/>
      <c r="D594" s="289"/>
      <c r="E594" s="195"/>
      <c r="F594" s="195"/>
      <c r="G594" s="196"/>
      <c r="H594" s="180" t="s">
        <v>122</v>
      </c>
      <c r="I594" s="343">
        <f ca="1">IFERROR(__xludf.DUMMYFUNCTION("IMPORTRANGE(""https://docs.google.com/spreadsheets/d/11923uPwbBZFjjGgGUA6NLw09EwE0CqkOc4q9oUmW1yo/edit?usp=sharing"",""อุตรดิตถ์!I489"")"),0)</f>
        <v>0</v>
      </c>
      <c r="J594" s="187">
        <f ca="1">IFERROR(__xludf.DUMMYFUNCTION("IMPORTRANGE(""https://docs.google.com/spreadsheets/d/11923uPwbBZFjjGgGUA6NLw09EwE0CqkOc4q9oUmW1yo/edit?usp=sharing"",""อุตรดิตถ์!J489"")"),0)</f>
        <v>0</v>
      </c>
      <c r="K594" s="340">
        <f t="shared" ca="1" si="125"/>
        <v>0</v>
      </c>
      <c r="L594" s="181"/>
      <c r="M594" s="181"/>
      <c r="N594" s="181"/>
      <c r="O594" s="181"/>
      <c r="P594" s="181"/>
    </row>
    <row r="595" spans="1:16" ht="21.75" customHeight="1" x14ac:dyDescent="0.3">
      <c r="A595" s="476"/>
      <c r="B595" s="166"/>
      <c r="C595" s="157"/>
      <c r="D595" s="289"/>
      <c r="E595" s="194" t="s">
        <v>125</v>
      </c>
      <c r="F595" s="195"/>
      <c r="G595" s="196"/>
      <c r="H595" s="180" t="s">
        <v>37</v>
      </c>
      <c r="I595" s="339">
        <f ca="1">IFERROR(__xludf.DUMMYFUNCTION("IMPORTRANGE(""https://docs.google.com/spreadsheets/d/11923uPwbBZFjjGgGUA6NLw09EwE0CqkOc4q9oUmW1yo/edit?usp=sharing"",""อุตรดิตถ์!I490"")"),0)</f>
        <v>0</v>
      </c>
      <c r="J595" s="187">
        <f ca="1">IFERROR(__xludf.DUMMYFUNCTION("IMPORTRANGE(""https://docs.google.com/spreadsheets/d/11923uPwbBZFjjGgGUA6NLw09EwE0CqkOc4q9oUmW1yo/edit?usp=sharing"",""อุตรดิตถ์!J490"")"),0)</f>
        <v>0</v>
      </c>
      <c r="K595" s="163">
        <f t="shared" ca="1" si="125"/>
        <v>0</v>
      </c>
      <c r="L595" s="181"/>
      <c r="M595" s="181"/>
      <c r="N595" s="181"/>
      <c r="O595" s="181"/>
      <c r="P595" s="181"/>
    </row>
    <row r="596" spans="1:16" ht="21.75" customHeight="1" x14ac:dyDescent="0.3">
      <c r="A596" s="478"/>
      <c r="B596" s="479"/>
      <c r="C596" s="480"/>
      <c r="D596" s="481"/>
      <c r="E596" s="460"/>
      <c r="F596" s="460"/>
      <c r="G596" s="461"/>
      <c r="H596" s="482" t="s">
        <v>122</v>
      </c>
      <c r="I596" s="483">
        <f ca="1">IFERROR(__xludf.DUMMYFUNCTION("IMPORTRANGE(""https://docs.google.com/spreadsheets/d/11923uPwbBZFjjGgGUA6NLw09EwE0CqkOc4q9oUmW1yo/edit?usp=sharing"",""อุตรดิตถ์!I491"")"),0)</f>
        <v>0</v>
      </c>
      <c r="J596" s="240">
        <f ca="1">IFERROR(__xludf.DUMMYFUNCTION("IMPORTRANGE(""https://docs.google.com/spreadsheets/d/11923uPwbBZFjjGgGUA6NLw09EwE0CqkOc4q9oUmW1yo/edit?usp=sharing"",""อุตรดิตถ์!J491"")"),0)</f>
        <v>0</v>
      </c>
      <c r="K596" s="484">
        <f t="shared" ca="1" si="125"/>
        <v>0</v>
      </c>
      <c r="L596" s="466"/>
      <c r="M596" s="466"/>
      <c r="N596" s="466"/>
      <c r="O596" s="466"/>
      <c r="P596" s="466"/>
    </row>
    <row r="597" spans="1:16" ht="21.75" customHeight="1" x14ac:dyDescent="0.3">
      <c r="A597" s="403"/>
      <c r="B597" s="404">
        <v>10</v>
      </c>
      <c r="C597" s="405" t="s">
        <v>218</v>
      </c>
      <c r="D597" s="405"/>
      <c r="E597" s="405"/>
      <c r="F597" s="405"/>
      <c r="G597" s="406"/>
      <c r="H597" s="407" t="s">
        <v>122</v>
      </c>
      <c r="I597" s="408">
        <f ca="1">IFERROR(__xludf.DUMMYFUNCTION("IMPORTRANGE(""https://docs.google.com/spreadsheets/d/11923uPwbBZFjjGgGUA6NLw09EwE0CqkOc4q9oUmW1yo/edit?usp=sharing"",""อุตรดิตถ์!I492"")"),50)</f>
        <v>50</v>
      </c>
      <c r="J597" s="485">
        <f ca="1">IFERROR(__xludf.DUMMYFUNCTION("IMPORTRANGE(""https://docs.google.com/spreadsheets/d/11923uPwbBZFjjGgGUA6NLw09EwE0CqkOc4q9oUmW1yo/edit?usp=sharing"",""อุตรดิตถ์!J492"")"),0)</f>
        <v>0</v>
      </c>
      <c r="K597" s="409">
        <f ca="1">IF(I597&gt;0,J597*100/I597,0)</f>
        <v>0</v>
      </c>
      <c r="L597" s="410">
        <f ca="1">IFERROR(__xludf.DUMMYFUNCTION("IMPORTRANGE(""https://docs.google.com/spreadsheets/d/11923uPwbBZFjjGgGUA6NLw09EwE0CqkOc4q9oUmW1yo/edit?usp=sharing"",""อุตรดิตถ์!L492"")"),6150)</f>
        <v>6150</v>
      </c>
      <c r="M597" s="410"/>
      <c r="N597" s="410">
        <f ca="1">IFERROR(__xludf.DUMMYFUNCTION("IMPORTRANGE(""https://docs.google.com/spreadsheets/d/11923uPwbBZFjjGgGUA6NLw09EwE0CqkOc4q9oUmW1yo/edit?usp=sharing"",""อุตรดิตถ์!M492"")"),1600)</f>
        <v>1600</v>
      </c>
      <c r="O597" s="410">
        <f t="shared" ref="O597:O601" ca="1" si="126">+IF(L597&gt;0,N597*100/L597,0)</f>
        <v>26.016260162601625</v>
      </c>
      <c r="P597" s="410"/>
    </row>
    <row r="598" spans="1:16" ht="21.75" customHeight="1" x14ac:dyDescent="0.3">
      <c r="A598" s="156"/>
      <c r="B598" s="157"/>
      <c r="C598" s="157" t="s">
        <v>16</v>
      </c>
      <c r="D598" s="158" t="s">
        <v>38</v>
      </c>
      <c r="E598" s="159"/>
      <c r="F598" s="159"/>
      <c r="G598" s="160" t="s">
        <v>39</v>
      </c>
      <c r="H598" s="161" t="s">
        <v>12</v>
      </c>
      <c r="I598" s="162" t="s">
        <v>40</v>
      </c>
      <c r="J598" s="162"/>
      <c r="K598" s="163"/>
      <c r="L598" s="164">
        <f ca="1">IFERROR(__xludf.DUMMYFUNCTION("IMPORTRANGE(""https://docs.google.com/spreadsheets/d/11923uPwbBZFjjGgGUA6NLw09EwE0CqkOc4q9oUmW1yo/edit?usp=sharing"",""อุตรดิตถ์!L493"")"),0)</f>
        <v>0</v>
      </c>
      <c r="M598" s="164"/>
      <c r="N598" s="168">
        <f ca="1">IFERROR(__xludf.DUMMYFUNCTION("IMPORTRANGE(""https://docs.google.com/spreadsheets/d/11923uPwbBZFjjGgGUA6NLw09EwE0CqkOc4q9oUmW1yo/edit?usp=sharing"",""อุตรดิตถ์!M493"")"),0)</f>
        <v>0</v>
      </c>
      <c r="O598" s="168">
        <f t="shared" ca="1" si="126"/>
        <v>0</v>
      </c>
      <c r="P598" s="168"/>
    </row>
    <row r="599" spans="1:16" ht="21.75" customHeight="1" x14ac:dyDescent="0.3">
      <c r="A599" s="156"/>
      <c r="B599" s="157"/>
      <c r="C599" s="157"/>
      <c r="D599" s="166"/>
      <c r="E599" s="159"/>
      <c r="F599" s="159" t="s">
        <v>40</v>
      </c>
      <c r="G599" s="160" t="s">
        <v>41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IFERROR(__xludf.DUMMYFUNCTION("IMPORTRANGE(""https://docs.google.com/spreadsheets/d/11923uPwbBZFjjGgGUA6NLw09EwE0CqkOc4q9oUmW1yo/edit?usp=sharing"",""อุตรดิตถ์!L494"")"),6150)</f>
        <v>6150</v>
      </c>
      <c r="M599" s="165"/>
      <c r="N599" s="168">
        <f ca="1">IFERROR(__xludf.DUMMYFUNCTION("IMPORTRANGE(""https://docs.google.com/spreadsheets/d/11923uPwbBZFjjGgGUA6NLw09EwE0CqkOc4q9oUmW1yo/edit?usp=sharing"",""อุตรดิตถ์!M494"")"),1600)</f>
        <v>1600</v>
      </c>
      <c r="O599" s="168">
        <f t="shared" ca="1" si="126"/>
        <v>26.016260162601625</v>
      </c>
      <c r="P599" s="168"/>
    </row>
    <row r="600" spans="1:16" ht="21.75" customHeight="1" x14ac:dyDescent="0.3">
      <c r="A600" s="156"/>
      <c r="B600" s="157"/>
      <c r="C600" s="157"/>
      <c r="D600" s="166"/>
      <c r="E600" s="159"/>
      <c r="F600" s="159"/>
      <c r="G600" s="372" t="s">
        <v>129</v>
      </c>
      <c r="H600" s="161" t="s">
        <v>12</v>
      </c>
      <c r="I600" s="162"/>
      <c r="J600" s="162"/>
      <c r="K600" s="163"/>
      <c r="L600" s="168">
        <f ca="1">IFERROR(__xludf.DUMMYFUNCTION("IMPORTRANGE(""https://docs.google.com/spreadsheets/d/11923uPwbBZFjjGgGUA6NLw09EwE0CqkOc4q9oUmW1yo/edit?usp=sharing"",""อุตรดิตถ์!L495"")"),0)</f>
        <v>0</v>
      </c>
      <c r="M600" s="168"/>
      <c r="N600" s="168">
        <f ca="1">IFERROR(__xludf.DUMMYFUNCTION("IMPORTRANGE(""https://docs.google.com/spreadsheets/d/11923uPwbBZFjjGgGUA6NLw09EwE0CqkOc4q9oUmW1yo/edit?usp=sharing"",""อุตรดิตถ์!M495"")"),0)</f>
        <v>0</v>
      </c>
      <c r="O600" s="168">
        <f t="shared" ca="1" si="126"/>
        <v>0</v>
      </c>
      <c r="P600" s="168"/>
    </row>
    <row r="601" spans="1:16" ht="21.75" customHeight="1" x14ac:dyDescent="0.3">
      <c r="A601" s="156"/>
      <c r="B601" s="157"/>
      <c r="C601" s="157"/>
      <c r="D601" s="166"/>
      <c r="E601" s="159"/>
      <c r="F601" s="159"/>
      <c r="G601" s="372" t="s">
        <v>130</v>
      </c>
      <c r="H601" s="161" t="s">
        <v>12</v>
      </c>
      <c r="I601" s="162"/>
      <c r="J601" s="162"/>
      <c r="K601" s="163"/>
      <c r="L601" s="168">
        <f ca="1">IFERROR(__xludf.DUMMYFUNCTION("IMPORTRANGE(""https://docs.google.com/spreadsheets/d/11923uPwbBZFjjGgGUA6NLw09EwE0CqkOc4q9oUmW1yo/edit?usp=sharing"",""อุตรดิตถ์!L496"")"),6150)</f>
        <v>6150</v>
      </c>
      <c r="M601" s="168"/>
      <c r="N601" s="168">
        <f ca="1">IFERROR(__xludf.DUMMYFUNCTION("IMPORTRANGE(""https://docs.google.com/spreadsheets/d/11923uPwbBZFjjGgGUA6NLw09EwE0CqkOc4q9oUmW1yo/edit?usp=sharing"",""อุตรดิตถ์!M496"")"),1600)</f>
        <v>1600</v>
      </c>
      <c r="O601" s="168">
        <f t="shared" ca="1" si="126"/>
        <v>26.016260162601625</v>
      </c>
      <c r="P601" s="168"/>
    </row>
    <row r="602" spans="1:16" ht="21.75" customHeight="1" x14ac:dyDescent="0.3">
      <c r="A602" s="373"/>
      <c r="B602" s="374"/>
      <c r="C602" s="157"/>
      <c r="D602" s="375"/>
      <c r="E602" s="159"/>
      <c r="F602" s="159"/>
      <c r="G602" s="376" t="s">
        <v>131</v>
      </c>
      <c r="H602" s="161" t="s">
        <v>12</v>
      </c>
      <c r="I602" s="187"/>
      <c r="J602" s="187"/>
      <c r="K602" s="223"/>
      <c r="L602" s="168"/>
      <c r="M602" s="168"/>
      <c r="N602" s="167">
        <f ca="1">IFERROR(__xludf.DUMMYFUNCTION("IMPORTRANGE(""https://docs.google.com/spreadsheets/d/11923uPwbBZFjjGgGUA6NLw09EwE0CqkOc4q9oUmW1yo/edit?usp=sharing"",""อุตรดิตถ์!M497"")"),0)</f>
        <v>0</v>
      </c>
      <c r="O602" s="168"/>
      <c r="P602" s="168"/>
    </row>
    <row r="603" spans="1:16" ht="21.75" customHeight="1" x14ac:dyDescent="0.3">
      <c r="A603" s="373"/>
      <c r="B603" s="374"/>
      <c r="C603" s="157"/>
      <c r="D603" s="375"/>
      <c r="E603" s="159"/>
      <c r="F603" s="159"/>
      <c r="G603" s="376" t="s">
        <v>132</v>
      </c>
      <c r="H603" s="161" t="s">
        <v>12</v>
      </c>
      <c r="I603" s="187"/>
      <c r="J603" s="187"/>
      <c r="K603" s="223"/>
      <c r="L603" s="168"/>
      <c r="M603" s="168"/>
      <c r="N603" s="167">
        <f ca="1">IFERROR(__xludf.DUMMYFUNCTION("IMPORTRANGE(""https://docs.google.com/spreadsheets/d/11923uPwbBZFjjGgGUA6NLw09EwE0CqkOc4q9oUmW1yo/edit?usp=sharing"",""อุตรดิตถ์!M498"")"),0)</f>
        <v>0</v>
      </c>
      <c r="O603" s="168"/>
      <c r="P603" s="168"/>
    </row>
    <row r="604" spans="1:16" ht="21.75" customHeight="1" x14ac:dyDescent="0.3">
      <c r="A604" s="373"/>
      <c r="B604" s="374"/>
      <c r="C604" s="157"/>
      <c r="D604" s="375"/>
      <c r="E604" s="159"/>
      <c r="F604" s="159"/>
      <c r="G604" s="376" t="s">
        <v>133</v>
      </c>
      <c r="H604" s="161" t="s">
        <v>12</v>
      </c>
      <c r="I604" s="187"/>
      <c r="J604" s="187"/>
      <c r="K604" s="223"/>
      <c r="L604" s="168"/>
      <c r="M604" s="168"/>
      <c r="N604" s="377">
        <f ca="1">IFERROR(__xludf.DUMMYFUNCTION("IMPORTRANGE(""https://docs.google.com/spreadsheets/d/11923uPwbBZFjjGgGUA6NLw09EwE0CqkOc4q9oUmW1yo/edit?usp=sharing"",""อุตรดิตถ์!M499"")"),0)</f>
        <v>0</v>
      </c>
      <c r="O604" s="168"/>
      <c r="P604" s="168"/>
    </row>
    <row r="605" spans="1:16" ht="21.75" customHeight="1" x14ac:dyDescent="0.3">
      <c r="A605" s="373"/>
      <c r="B605" s="374"/>
      <c r="C605" s="157"/>
      <c r="D605" s="375"/>
      <c r="E605" s="159"/>
      <c r="F605" s="159"/>
      <c r="G605" s="376" t="s">
        <v>134</v>
      </c>
      <c r="H605" s="161" t="s">
        <v>12</v>
      </c>
      <c r="I605" s="187"/>
      <c r="J605" s="187"/>
      <c r="K605" s="223"/>
      <c r="L605" s="168"/>
      <c r="M605" s="168"/>
      <c r="N605" s="377">
        <f ca="1">IFERROR(__xludf.DUMMYFUNCTION("IMPORTRANGE(""https://docs.google.com/spreadsheets/d/11923uPwbBZFjjGgGUA6NLw09EwE0CqkOc4q9oUmW1yo/edit?usp=sharing"",""อุตรดิตถ์!M500"")"),1600)</f>
        <v>1600</v>
      </c>
      <c r="O605" s="168"/>
      <c r="P605" s="168"/>
    </row>
    <row r="606" spans="1:16" ht="21.75" customHeight="1" x14ac:dyDescent="0.3">
      <c r="A606" s="175"/>
      <c r="B606" s="176"/>
      <c r="C606" s="157" t="s">
        <v>16</v>
      </c>
      <c r="D606" s="177" t="s">
        <v>44</v>
      </c>
      <c r="E606" s="178"/>
      <c r="F606" s="178"/>
      <c r="G606" s="179"/>
      <c r="H606" s="180"/>
      <c r="I606" s="162"/>
      <c r="J606" s="162"/>
      <c r="K606" s="163"/>
      <c r="L606" s="181"/>
      <c r="M606" s="181"/>
      <c r="N606" s="181"/>
      <c r="O606" s="181"/>
      <c r="P606" s="181"/>
    </row>
    <row r="607" spans="1:16" ht="21.75" customHeight="1" x14ac:dyDescent="0.3">
      <c r="A607" s="175"/>
      <c r="B607" s="176"/>
      <c r="C607" s="176"/>
      <c r="D607" s="182">
        <v>1</v>
      </c>
      <c r="E607" s="183" t="s">
        <v>45</v>
      </c>
      <c r="F607" s="184"/>
      <c r="G607" s="185"/>
      <c r="H607" s="186"/>
      <c r="I607" s="187"/>
      <c r="J607" s="197">
        <f ca="1">IFERROR(__xludf.DUMMYFUNCTION("IMPORTRANGE(""https://docs.google.com/spreadsheets/d/11923uPwbBZFjjGgGUA6NLw09EwE0CqkOc4q9oUmW1yo/edit?usp=sharing"",""อุตรดิตถ์!J502"")"),0)</f>
        <v>0</v>
      </c>
      <c r="K607" s="163"/>
      <c r="L607" s="181"/>
      <c r="M607" s="181"/>
      <c r="N607" s="181"/>
      <c r="O607" s="181"/>
      <c r="P607" s="181"/>
    </row>
    <row r="608" spans="1:16" ht="21.75" customHeight="1" x14ac:dyDescent="0.3">
      <c r="A608" s="175"/>
      <c r="B608" s="176"/>
      <c r="C608" s="176"/>
      <c r="D608" s="189">
        <v>2</v>
      </c>
      <c r="E608" s="190" t="s">
        <v>46</v>
      </c>
      <c r="F608" s="191"/>
      <c r="G608" s="192"/>
      <c r="H608" s="186"/>
      <c r="I608" s="187"/>
      <c r="J608" s="197">
        <f ca="1">IFERROR(__xludf.DUMMYFUNCTION("IMPORTRANGE(""https://docs.google.com/spreadsheets/d/11923uPwbBZFjjGgGUA6NLw09EwE0CqkOc4q9oUmW1yo/edit?usp=sharing"",""อุตรดิตถ์!J503"")"),1)</f>
        <v>1</v>
      </c>
      <c r="K608" s="163"/>
      <c r="L608" s="181" t="s">
        <v>40</v>
      </c>
      <c r="M608" s="181"/>
      <c r="N608" s="181" t="s">
        <v>40</v>
      </c>
      <c r="O608" s="181"/>
      <c r="P608" s="181"/>
    </row>
    <row r="609" spans="1:16" ht="21.75" hidden="1" customHeight="1" x14ac:dyDescent="0.3">
      <c r="A609" s="373"/>
      <c r="B609" s="374"/>
      <c r="C609" s="374"/>
      <c r="D609" s="486"/>
      <c r="E609" s="487" t="s">
        <v>47</v>
      </c>
      <c r="F609" s="488"/>
      <c r="G609" s="379"/>
      <c r="H609" s="186"/>
      <c r="I609" s="187"/>
      <c r="J609" s="187">
        <f ca="1">IFERROR(__xludf.DUMMYFUNCTION("IMPORTRANGE(""https://docs.google.com/spreadsheets/d/11923uPwbBZFjjGgGUA6NLw09EwE0CqkOc4q9oUmW1yo/edit?usp=sharing"",""อุตรดิตถ์!J166"")"),0)</f>
        <v>0</v>
      </c>
      <c r="K609" s="223"/>
      <c r="L609" s="168"/>
      <c r="M609" s="168"/>
      <c r="N609" s="168"/>
      <c r="O609" s="168"/>
      <c r="P609" s="168"/>
    </row>
    <row r="610" spans="1:16" ht="21.75" hidden="1" customHeight="1" x14ac:dyDescent="0.3">
      <c r="A610" s="373"/>
      <c r="B610" s="374"/>
      <c r="C610" s="374"/>
      <c r="D610" s="486"/>
      <c r="E610" s="487" t="s">
        <v>48</v>
      </c>
      <c r="F610" s="488"/>
      <c r="G610" s="379"/>
      <c r="H610" s="186"/>
      <c r="I610" s="187"/>
      <c r="J610" s="187">
        <f ca="1">IFERROR(__xludf.DUMMYFUNCTION("IMPORTRANGE(""https://docs.google.com/spreadsheets/d/11923uPwbBZFjjGgGUA6NLw09EwE0CqkOc4q9oUmW1yo/edit?usp=sharing"",""อุตรดิตถ์!J166"")"),0)</f>
        <v>0</v>
      </c>
      <c r="K610" s="223"/>
      <c r="L610" s="168"/>
      <c r="M610" s="168"/>
      <c r="N610" s="168"/>
      <c r="O610" s="168"/>
      <c r="P610" s="168"/>
    </row>
    <row r="611" spans="1:16" ht="21.75" customHeight="1" x14ac:dyDescent="0.3">
      <c r="A611" s="175"/>
      <c r="B611" s="176"/>
      <c r="C611" s="176"/>
      <c r="D611" s="193"/>
      <c r="E611" s="195"/>
      <c r="F611" s="195" t="s">
        <v>219</v>
      </c>
      <c r="G611" s="196"/>
      <c r="H611" s="180" t="s">
        <v>122</v>
      </c>
      <c r="I611" s="187">
        <f ca="1">IFERROR(__xludf.DUMMYFUNCTION("IMPORTRANGE(""https://docs.google.com/spreadsheets/d/11923uPwbBZFjjGgGUA6NLw09EwE0CqkOc4q9oUmW1yo/edit?usp=sharing"",""อุตรดิตถ์!I506"")"),50)</f>
        <v>50</v>
      </c>
      <c r="J611" s="162">
        <f ca="1">IFERROR(__xludf.DUMMYFUNCTION("IMPORTRANGE(""https://docs.google.com/spreadsheets/d/11923uPwbBZFjjGgGUA6NLw09EwE0CqkOc4q9oUmW1yo/edit?usp=sharing"",""อุตรดิตถ์!J506"")"),0)</f>
        <v>0</v>
      </c>
      <c r="K611" s="163">
        <f t="shared" ref="K611:K619" ca="1" si="127">IF(I$611&gt;0,J611*100/I$611,0)</f>
        <v>0</v>
      </c>
      <c r="L611" s="181"/>
      <c r="M611" s="181"/>
      <c r="N611" s="181"/>
      <c r="O611" s="181"/>
      <c r="P611" s="181"/>
    </row>
    <row r="612" spans="1:16" ht="21.75" customHeight="1" x14ac:dyDescent="0.3">
      <c r="A612" s="175"/>
      <c r="B612" s="176"/>
      <c r="C612" s="176"/>
      <c r="D612" s="193"/>
      <c r="E612" s="198"/>
      <c r="F612" s="195"/>
      <c r="G612" s="225" t="s">
        <v>220</v>
      </c>
      <c r="H612" s="180" t="s">
        <v>122</v>
      </c>
      <c r="I612" s="203">
        <f ca="1">IFERROR(__xludf.DUMMYFUNCTION("IMPORTRANGE(""https://docs.google.com/spreadsheets/d/11923uPwbBZFjjGgGUA6NLw09EwE0CqkOc4q9oUmW1yo/edit?usp=sharing"",""อุตรดิตถ์!I507"")"),0)</f>
        <v>0</v>
      </c>
      <c r="J612" s="197">
        <f ca="1">IFERROR(__xludf.DUMMYFUNCTION("IMPORTRANGE(""https://docs.google.com/spreadsheets/d/11923uPwbBZFjjGgGUA6NLw09EwE0CqkOc4q9oUmW1yo/edit?usp=sharing"",""อุตรดิตถ์!J507"")"),0)</f>
        <v>0</v>
      </c>
      <c r="K612" s="163">
        <f t="shared" ca="1" si="127"/>
        <v>0</v>
      </c>
      <c r="L612" s="181"/>
      <c r="M612" s="181"/>
      <c r="N612" s="181"/>
      <c r="O612" s="181"/>
      <c r="P612" s="181"/>
    </row>
    <row r="613" spans="1:16" ht="21.75" customHeight="1" x14ac:dyDescent="0.3">
      <c r="A613" s="175"/>
      <c r="B613" s="176"/>
      <c r="C613" s="176"/>
      <c r="D613" s="193"/>
      <c r="E613" s="198"/>
      <c r="F613" s="195"/>
      <c r="G613" s="225" t="s">
        <v>221</v>
      </c>
      <c r="H613" s="180" t="s">
        <v>122</v>
      </c>
      <c r="I613" s="203">
        <f ca="1">IFERROR(__xludf.DUMMYFUNCTION("IMPORTRANGE(""https://docs.google.com/spreadsheets/d/11923uPwbBZFjjGgGUA6NLw09EwE0CqkOc4q9oUmW1yo/edit?usp=sharing"",""อุตรดิตถ์!I508"")"),0)</f>
        <v>0</v>
      </c>
      <c r="J613" s="197">
        <f ca="1">IFERROR(__xludf.DUMMYFUNCTION("IMPORTRANGE(""https://docs.google.com/spreadsheets/d/11923uPwbBZFjjGgGUA6NLw09EwE0CqkOc4q9oUmW1yo/edit?usp=sharing"",""อุตรดิตถ์!J508"")"),0)</f>
        <v>0</v>
      </c>
      <c r="K613" s="163">
        <f t="shared" ca="1" si="127"/>
        <v>0</v>
      </c>
      <c r="L613" s="181"/>
      <c r="M613" s="181"/>
      <c r="N613" s="181"/>
      <c r="O613" s="181"/>
      <c r="P613" s="181"/>
    </row>
    <row r="614" spans="1:16" ht="21.75" customHeight="1" x14ac:dyDescent="0.3">
      <c r="A614" s="175"/>
      <c r="B614" s="176"/>
      <c r="C614" s="176"/>
      <c r="D614" s="193"/>
      <c r="E614" s="198"/>
      <c r="F614" s="195"/>
      <c r="G614" s="225" t="s">
        <v>222</v>
      </c>
      <c r="H614" s="180" t="s">
        <v>122</v>
      </c>
      <c r="I614" s="203">
        <f ca="1">IFERROR(__xludf.DUMMYFUNCTION("IMPORTRANGE(""https://docs.google.com/spreadsheets/d/11923uPwbBZFjjGgGUA6NLw09EwE0CqkOc4q9oUmW1yo/edit?usp=sharing"",""อุตรดิตถ์!I509"")"),0)</f>
        <v>0</v>
      </c>
      <c r="J614" s="197">
        <f ca="1">IFERROR(__xludf.DUMMYFUNCTION("IMPORTRANGE(""https://docs.google.com/spreadsheets/d/11923uPwbBZFjjGgGUA6NLw09EwE0CqkOc4q9oUmW1yo/edit?usp=sharing"",""อุตรดิตถ์!J509"")"),0)</f>
        <v>0</v>
      </c>
      <c r="K614" s="163">
        <f t="shared" ca="1" si="127"/>
        <v>0</v>
      </c>
      <c r="L614" s="181"/>
      <c r="M614" s="181"/>
      <c r="N614" s="181"/>
      <c r="O614" s="181"/>
      <c r="P614" s="181"/>
    </row>
    <row r="615" spans="1:16" ht="21.75" customHeight="1" x14ac:dyDescent="0.3">
      <c r="A615" s="175"/>
      <c r="B615" s="176"/>
      <c r="C615" s="176"/>
      <c r="D615" s="193"/>
      <c r="E615" s="198"/>
      <c r="F615" s="195"/>
      <c r="G615" s="225" t="s">
        <v>223</v>
      </c>
      <c r="H615" s="180" t="s">
        <v>122</v>
      </c>
      <c r="I615" s="203">
        <f ca="1">IFERROR(__xludf.DUMMYFUNCTION("IMPORTRANGE(""https://docs.google.com/spreadsheets/d/11923uPwbBZFjjGgGUA6NLw09EwE0CqkOc4q9oUmW1yo/edit?usp=sharing"",""อุตรดิตถ์!I510"")"),0)</f>
        <v>0</v>
      </c>
      <c r="J615" s="197">
        <f ca="1">IFERROR(__xludf.DUMMYFUNCTION("IMPORTRANGE(""https://docs.google.com/spreadsheets/d/11923uPwbBZFjjGgGUA6NLw09EwE0CqkOc4q9oUmW1yo/edit?usp=sharing"",""อุตรดิตถ์!J510"")"),0)</f>
        <v>0</v>
      </c>
      <c r="K615" s="163">
        <f t="shared" ca="1" si="127"/>
        <v>0</v>
      </c>
      <c r="L615" s="181"/>
      <c r="M615" s="181"/>
      <c r="N615" s="181"/>
      <c r="O615" s="181"/>
      <c r="P615" s="181"/>
    </row>
    <row r="616" spans="1:16" ht="21.75" customHeight="1" x14ac:dyDescent="0.3">
      <c r="A616" s="175"/>
      <c r="B616" s="176"/>
      <c r="C616" s="176"/>
      <c r="D616" s="193"/>
      <c r="E616" s="198"/>
      <c r="F616" s="195"/>
      <c r="G616" s="194" t="s">
        <v>224</v>
      </c>
      <c r="H616" s="180" t="s">
        <v>122</v>
      </c>
      <c r="I616" s="203">
        <f ca="1">IFERROR(__xludf.DUMMYFUNCTION("IMPORTRANGE(""https://docs.google.com/spreadsheets/d/11923uPwbBZFjjGgGUA6NLw09EwE0CqkOc4q9oUmW1yo/edit?usp=sharing"",""อุตรดิตถ์!I511"")"),0)</f>
        <v>0</v>
      </c>
      <c r="J616" s="197">
        <f ca="1">IFERROR(__xludf.DUMMYFUNCTION("IMPORTRANGE(""https://docs.google.com/spreadsheets/d/11923uPwbBZFjjGgGUA6NLw09EwE0CqkOc4q9oUmW1yo/edit?usp=sharing"",""อุตรดิตถ์!J511"")"),0)</f>
        <v>0</v>
      </c>
      <c r="K616" s="163">
        <f t="shared" ca="1" si="127"/>
        <v>0</v>
      </c>
      <c r="L616" s="181"/>
      <c r="M616" s="181"/>
      <c r="N616" s="181"/>
      <c r="O616" s="181"/>
      <c r="P616" s="181"/>
    </row>
    <row r="617" spans="1:16" ht="21.75" customHeight="1" x14ac:dyDescent="0.3">
      <c r="A617" s="175"/>
      <c r="B617" s="176"/>
      <c r="C617" s="176"/>
      <c r="D617" s="193"/>
      <c r="E617" s="198"/>
      <c r="F617" s="195"/>
      <c r="G617" s="194" t="s">
        <v>225</v>
      </c>
      <c r="H617" s="180" t="s">
        <v>122</v>
      </c>
      <c r="I617" s="187">
        <f ca="1">IFERROR(__xludf.DUMMYFUNCTION("IMPORTRANGE(""https://docs.google.com/spreadsheets/d/11923uPwbBZFjjGgGUA6NLw09EwE0CqkOc4q9oUmW1yo/edit?usp=sharing"",""อุตรดิตถ์!I512"")"),0)</f>
        <v>0</v>
      </c>
      <c r="J617" s="187">
        <f ca="1">IFERROR(__xludf.DUMMYFUNCTION("IMPORTRANGE(""https://docs.google.com/spreadsheets/d/11923uPwbBZFjjGgGUA6NLw09EwE0CqkOc4q9oUmW1yo/edit?usp=sharing"",""อุตรดิตถ์!J512"")"),0)</f>
        <v>0</v>
      </c>
      <c r="K617" s="163">
        <f t="shared" ca="1" si="127"/>
        <v>0</v>
      </c>
      <c r="L617" s="181"/>
      <c r="M617" s="181"/>
      <c r="N617" s="181"/>
      <c r="O617" s="181"/>
      <c r="P617" s="181"/>
    </row>
    <row r="618" spans="1:16" ht="21.75" customHeight="1" x14ac:dyDescent="0.3">
      <c r="A618" s="175"/>
      <c r="B618" s="176"/>
      <c r="C618" s="176"/>
      <c r="D618" s="193"/>
      <c r="E618" s="198"/>
      <c r="F618" s="195"/>
      <c r="G618" s="489" t="s">
        <v>226</v>
      </c>
      <c r="H618" s="180" t="s">
        <v>122</v>
      </c>
      <c r="I618" s="203">
        <f ca="1">IFERROR(__xludf.DUMMYFUNCTION("IMPORTRANGE(""https://docs.google.com/spreadsheets/d/11923uPwbBZFjjGgGUA6NLw09EwE0CqkOc4q9oUmW1yo/edit?usp=sharing"",""อุตรดิตถ์!I513"")"),0)</f>
        <v>0</v>
      </c>
      <c r="J618" s="188">
        <f ca="1">IFERROR(__xludf.DUMMYFUNCTION("IMPORTRANGE(""https://docs.google.com/spreadsheets/d/11923uPwbBZFjjGgGUA6NLw09EwE0CqkOc4q9oUmW1yo/edit?usp=sharing"",""อุตรดิตถ์!J513"")"),0)</f>
        <v>0</v>
      </c>
      <c r="K618" s="163">
        <f t="shared" ca="1" si="127"/>
        <v>0</v>
      </c>
      <c r="L618" s="181"/>
      <c r="M618" s="181"/>
      <c r="N618" s="181"/>
      <c r="O618" s="181"/>
      <c r="P618" s="181"/>
    </row>
    <row r="619" spans="1:16" ht="21.75" customHeight="1" x14ac:dyDescent="0.3">
      <c r="A619" s="175"/>
      <c r="B619" s="176"/>
      <c r="C619" s="176"/>
      <c r="D619" s="193"/>
      <c r="E619" s="198"/>
      <c r="F619" s="195"/>
      <c r="G619" s="489" t="s">
        <v>227</v>
      </c>
      <c r="H619" s="180" t="s">
        <v>122</v>
      </c>
      <c r="I619" s="203">
        <f ca="1">IFERROR(__xludf.DUMMYFUNCTION("IMPORTRANGE(""https://docs.google.com/spreadsheets/d/11923uPwbBZFjjGgGUA6NLw09EwE0CqkOc4q9oUmW1yo/edit?usp=sharing"",""อุตรดิตถ์!I514"")"),0)</f>
        <v>0</v>
      </c>
      <c r="J619" s="188">
        <f ca="1">IFERROR(__xludf.DUMMYFUNCTION("IMPORTRANGE(""https://docs.google.com/spreadsheets/d/11923uPwbBZFjjGgGUA6NLw09EwE0CqkOc4q9oUmW1yo/edit?usp=sharing"",""อุตรดิตถ์!J514"")"),0)</f>
        <v>0</v>
      </c>
      <c r="K619" s="163">
        <f t="shared" ca="1" si="127"/>
        <v>0</v>
      </c>
      <c r="L619" s="181"/>
      <c r="M619" s="181"/>
      <c r="N619" s="181"/>
      <c r="O619" s="181"/>
      <c r="P619" s="181"/>
    </row>
    <row r="620" spans="1:16" ht="21.75" customHeight="1" x14ac:dyDescent="0.3">
      <c r="A620" s="175"/>
      <c r="B620" s="176"/>
      <c r="C620" s="176"/>
      <c r="D620" s="193"/>
      <c r="E620" s="195"/>
      <c r="F620" s="194" t="s">
        <v>228</v>
      </c>
      <c r="G620" s="196"/>
      <c r="H620" s="180" t="s">
        <v>122</v>
      </c>
      <c r="I620" s="187">
        <f ca="1">IFERROR(__xludf.DUMMYFUNCTION("IMPORTRANGE(""https://docs.google.com/spreadsheets/d/11923uPwbBZFjjGgGUA6NLw09EwE0CqkOc4q9oUmW1yo/edit?usp=sharing"",""อุตรดิตถ์!I515"")"),1577)</f>
        <v>1577</v>
      </c>
      <c r="J620" s="202">
        <f ca="1">IFERROR(__xludf.DUMMYFUNCTION("IMPORTRANGE(""https://docs.google.com/spreadsheets/d/11923uPwbBZFjjGgGUA6NLw09EwE0CqkOc4q9oUmW1yo/edit?usp=sharing"",""อุตรดิตถ์!J515"")"),0)</f>
        <v>0</v>
      </c>
      <c r="K620" s="163">
        <f t="shared" ref="K620:K626" ca="1" si="128">IF(I$620&gt;0,J620*100/I$620,0)</f>
        <v>0</v>
      </c>
      <c r="L620" s="181"/>
      <c r="M620" s="181"/>
      <c r="N620" s="181"/>
      <c r="O620" s="181"/>
      <c r="P620" s="181"/>
    </row>
    <row r="621" spans="1:16" ht="21.75" customHeight="1" x14ac:dyDescent="0.3">
      <c r="A621" s="175"/>
      <c r="B621" s="176"/>
      <c r="C621" s="176"/>
      <c r="D621" s="193"/>
      <c r="E621" s="198"/>
      <c r="F621" s="195"/>
      <c r="G621" s="225" t="s">
        <v>225</v>
      </c>
      <c r="H621" s="180" t="s">
        <v>122</v>
      </c>
      <c r="I621" s="202">
        <f ca="1">IFERROR(__xludf.DUMMYFUNCTION("IMPORTRANGE(""https://docs.google.com/spreadsheets/d/11923uPwbBZFjjGgGUA6NLw09EwE0CqkOc4q9oUmW1yo/edit?usp=sharing"",""อุตรดิตถ์!I516"")"),0)</f>
        <v>0</v>
      </c>
      <c r="J621" s="202">
        <f ca="1">IFERROR(__xludf.DUMMYFUNCTION("IMPORTRANGE(""https://docs.google.com/spreadsheets/d/11923uPwbBZFjjGgGUA6NLw09EwE0CqkOc4q9oUmW1yo/edit?usp=sharing"",""อุตรดิตถ์!J516"")"),0)</f>
        <v>0</v>
      </c>
      <c r="K621" s="163">
        <f t="shared" ca="1" si="128"/>
        <v>0</v>
      </c>
      <c r="L621" s="181"/>
      <c r="M621" s="181"/>
      <c r="N621" s="181"/>
      <c r="O621" s="181"/>
      <c r="P621" s="181"/>
    </row>
    <row r="622" spans="1:16" ht="21.75" customHeight="1" x14ac:dyDescent="0.3">
      <c r="A622" s="175"/>
      <c r="B622" s="176"/>
      <c r="C622" s="176"/>
      <c r="D622" s="193"/>
      <c r="E622" s="198"/>
      <c r="F622" s="195"/>
      <c r="G622" s="489" t="s">
        <v>226</v>
      </c>
      <c r="H622" s="180" t="s">
        <v>122</v>
      </c>
      <c r="I622" s="203">
        <f ca="1">IFERROR(__xludf.DUMMYFUNCTION("IMPORTRANGE(""https://docs.google.com/spreadsheets/d/11923uPwbBZFjjGgGUA6NLw09EwE0CqkOc4q9oUmW1yo/edit?usp=sharing"",""อุตรดิตถ์!I517"")"),0)</f>
        <v>0</v>
      </c>
      <c r="J622" s="188">
        <f ca="1">IFERROR(__xludf.DUMMYFUNCTION("IMPORTRANGE(""https://docs.google.com/spreadsheets/d/11923uPwbBZFjjGgGUA6NLw09EwE0CqkOc4q9oUmW1yo/edit?usp=sharing"",""อุตรดิตถ์!J517"")"),0)</f>
        <v>0</v>
      </c>
      <c r="K622" s="163">
        <f t="shared" ca="1" si="128"/>
        <v>0</v>
      </c>
      <c r="L622" s="181"/>
      <c r="M622" s="181"/>
      <c r="N622" s="181"/>
      <c r="O622" s="181"/>
      <c r="P622" s="181"/>
    </row>
    <row r="623" spans="1:16" ht="21.75" customHeight="1" x14ac:dyDescent="0.3">
      <c r="A623" s="175"/>
      <c r="B623" s="176"/>
      <c r="C623" s="176"/>
      <c r="D623" s="193"/>
      <c r="E623" s="198"/>
      <c r="F623" s="195"/>
      <c r="G623" s="489" t="s">
        <v>227</v>
      </c>
      <c r="H623" s="180" t="s">
        <v>122</v>
      </c>
      <c r="I623" s="203">
        <f ca="1">IFERROR(__xludf.DUMMYFUNCTION("IMPORTRANGE(""https://docs.google.com/spreadsheets/d/11923uPwbBZFjjGgGUA6NLw09EwE0CqkOc4q9oUmW1yo/edit?usp=sharing"",""อุตรดิตถ์!I518"")"),0)</f>
        <v>0</v>
      </c>
      <c r="J623" s="188">
        <f ca="1">IFERROR(__xludf.DUMMYFUNCTION("IMPORTRANGE(""https://docs.google.com/spreadsheets/d/11923uPwbBZFjjGgGUA6NLw09EwE0CqkOc4q9oUmW1yo/edit?usp=sharing"",""อุตรดิตถ์!J518"")"),0)</f>
        <v>0</v>
      </c>
      <c r="K623" s="163">
        <f t="shared" ca="1" si="128"/>
        <v>0</v>
      </c>
      <c r="L623" s="181"/>
      <c r="M623" s="181"/>
      <c r="N623" s="181"/>
      <c r="O623" s="181"/>
      <c r="P623" s="181"/>
    </row>
    <row r="624" spans="1:16" ht="21.75" customHeight="1" x14ac:dyDescent="0.3">
      <c r="A624" s="175"/>
      <c r="B624" s="176"/>
      <c r="C624" s="176"/>
      <c r="D624" s="193"/>
      <c r="E624" s="198"/>
      <c r="F624" s="195"/>
      <c r="G624" s="225" t="s">
        <v>229</v>
      </c>
      <c r="H624" s="180" t="s">
        <v>122</v>
      </c>
      <c r="I624" s="187">
        <f ca="1">IFERROR(__xludf.DUMMYFUNCTION("IMPORTRANGE(""https://docs.google.com/spreadsheets/d/11923uPwbBZFjjGgGUA6NLw09EwE0CqkOc4q9oUmW1yo/edit?usp=sharing"",""อุตรดิตถ์!I519"")"),0)</f>
        <v>0</v>
      </c>
      <c r="J624" s="187">
        <f ca="1">IFERROR(__xludf.DUMMYFUNCTION("IMPORTRANGE(""https://docs.google.com/spreadsheets/d/11923uPwbBZFjjGgGUA6NLw09EwE0CqkOc4q9oUmW1yo/edit?usp=sharing"",""อุตรดิตถ์!J519"")"),0)</f>
        <v>0</v>
      </c>
      <c r="K624" s="163">
        <f t="shared" ca="1" si="128"/>
        <v>0</v>
      </c>
      <c r="L624" s="181"/>
      <c r="M624" s="181"/>
      <c r="N624" s="181"/>
      <c r="O624" s="181"/>
      <c r="P624" s="181"/>
    </row>
    <row r="625" spans="1:16" ht="21.75" customHeight="1" x14ac:dyDescent="0.3">
      <c r="A625" s="175"/>
      <c r="B625" s="176"/>
      <c r="C625" s="176"/>
      <c r="D625" s="193"/>
      <c r="E625" s="198"/>
      <c r="F625" s="195"/>
      <c r="G625" s="489" t="s">
        <v>230</v>
      </c>
      <c r="H625" s="180" t="s">
        <v>122</v>
      </c>
      <c r="I625" s="203">
        <f ca="1">IFERROR(__xludf.DUMMYFUNCTION("IMPORTRANGE(""https://docs.google.com/spreadsheets/d/11923uPwbBZFjjGgGUA6NLw09EwE0CqkOc4q9oUmW1yo/edit?usp=sharing"",""อุตรดิตถ์!I520"")"),0)</f>
        <v>0</v>
      </c>
      <c r="J625" s="188">
        <f ca="1">IFERROR(__xludf.DUMMYFUNCTION("IMPORTRANGE(""https://docs.google.com/spreadsheets/d/11923uPwbBZFjjGgGUA6NLw09EwE0CqkOc4q9oUmW1yo/edit?usp=sharing"",""อุตรดิตถ์!J520"")"),0)</f>
        <v>0</v>
      </c>
      <c r="K625" s="163">
        <f t="shared" ca="1" si="128"/>
        <v>0</v>
      </c>
      <c r="L625" s="181"/>
      <c r="M625" s="181"/>
      <c r="N625" s="181"/>
      <c r="O625" s="181"/>
      <c r="P625" s="181"/>
    </row>
    <row r="626" spans="1:16" ht="21.75" customHeight="1" x14ac:dyDescent="0.3">
      <c r="A626" s="175"/>
      <c r="B626" s="176"/>
      <c r="C626" s="176"/>
      <c r="D626" s="193"/>
      <c r="E626" s="198"/>
      <c r="F626" s="195"/>
      <c r="G626" s="489" t="s">
        <v>231</v>
      </c>
      <c r="H626" s="180" t="s">
        <v>122</v>
      </c>
      <c r="I626" s="203">
        <f ca="1">IFERROR(__xludf.DUMMYFUNCTION("IMPORTRANGE(""https://docs.google.com/spreadsheets/d/11923uPwbBZFjjGgGUA6NLw09EwE0CqkOc4q9oUmW1yo/edit?usp=sharing"",""อุตรดิตถ์!I521"")"),0)</f>
        <v>0</v>
      </c>
      <c r="J626" s="188">
        <f ca="1">IFERROR(__xludf.DUMMYFUNCTION("IMPORTRANGE(""https://docs.google.com/spreadsheets/d/11923uPwbBZFjjGgGUA6NLw09EwE0CqkOc4q9oUmW1yo/edit?usp=sharing"",""อุตรดิตถ์!J521"")"),0)</f>
        <v>0</v>
      </c>
      <c r="K626" s="163">
        <f t="shared" ca="1" si="128"/>
        <v>0</v>
      </c>
      <c r="L626" s="181"/>
      <c r="M626" s="181"/>
      <c r="N626" s="181"/>
      <c r="O626" s="181"/>
      <c r="P626" s="181"/>
    </row>
    <row r="627" spans="1:16" ht="21.75" customHeight="1" x14ac:dyDescent="0.3">
      <c r="A627" s="490" t="s">
        <v>232</v>
      </c>
      <c r="B627" s="491"/>
      <c r="C627" s="491"/>
      <c r="D627" s="491"/>
      <c r="E627" s="491"/>
      <c r="F627" s="491"/>
      <c r="G627" s="492"/>
      <c r="H627" s="493"/>
      <c r="I627" s="494"/>
      <c r="J627" s="494"/>
      <c r="K627" s="495"/>
      <c r="L627" s="495"/>
      <c r="M627" s="495"/>
      <c r="N627" s="495"/>
      <c r="O627" s="496"/>
      <c r="P627" s="496"/>
    </row>
    <row r="628" spans="1:16" ht="21.75" customHeight="1" x14ac:dyDescent="0.3">
      <c r="A628" s="476"/>
      <c r="B628" s="497" t="s">
        <v>233</v>
      </c>
      <c r="C628" s="157"/>
      <c r="D628" s="166"/>
      <c r="E628" s="159"/>
      <c r="F628" s="159"/>
      <c r="G628" s="160"/>
      <c r="H628" s="498" t="s">
        <v>12</v>
      </c>
      <c r="I628" s="339">
        <f ca="1">IFERROR(__xludf.DUMMYFUNCTION("IMPORTRANGE(""https://docs.google.com/spreadsheets/d/11923uPwbBZFjjGgGUA6NLw09EwE0CqkOc4q9oUmW1yo/edit?usp=sharing"",""อุตรดิตถ์!I523"")"),20731392.96)</f>
        <v>20731392.960000001</v>
      </c>
      <c r="J628" s="339">
        <f ca="1">IFERROR(__xludf.DUMMYFUNCTION("IMPORTRANGE(""https://docs.google.com/spreadsheets/d/11923uPwbBZFjjGgGUA6NLw09EwE0CqkOc4q9oUmW1yo/edit?usp=sharing"",""อุตรดิตถ์!J523"")"),7131414.22)</f>
        <v>7131414.2199999997</v>
      </c>
      <c r="K628" s="340">
        <f t="shared" ref="K628:K635" ca="1" si="129">IF(I628&gt;0,J628*100/I628,0)</f>
        <v>34.39910783496142</v>
      </c>
      <c r="L628" s="340"/>
      <c r="M628" s="340"/>
      <c r="N628" s="340"/>
      <c r="O628" s="168"/>
      <c r="P628" s="168"/>
    </row>
    <row r="629" spans="1:16" ht="21.75" customHeight="1" x14ac:dyDescent="0.3">
      <c r="A629" s="476"/>
      <c r="B629" s="157"/>
      <c r="C629" s="157"/>
      <c r="D629" s="166"/>
      <c r="E629" s="159"/>
      <c r="F629" s="159"/>
      <c r="G629" s="160"/>
      <c r="H629" s="498" t="s">
        <v>37</v>
      </c>
      <c r="I629" s="339">
        <f ca="1">IFERROR(__xludf.DUMMYFUNCTION("IMPORTRANGE(""https://docs.google.com/spreadsheets/d/11923uPwbBZFjjGgGUA6NLw09EwE0CqkOc4q9oUmW1yo/edit?usp=sharing"",""อุตรดิตถ์!I524"")"),842)</f>
        <v>842</v>
      </c>
      <c r="J629" s="339">
        <f ca="1">IFERROR(__xludf.DUMMYFUNCTION("IMPORTRANGE(""https://docs.google.com/spreadsheets/d/11923uPwbBZFjjGgGUA6NLw09EwE0CqkOc4q9oUmW1yo/edit?usp=sharing"",""อุตรดิตถ์!J524"")"),536)</f>
        <v>536</v>
      </c>
      <c r="K629" s="340">
        <f t="shared" ca="1" si="129"/>
        <v>63.657957244655584</v>
      </c>
      <c r="L629" s="340"/>
      <c r="M629" s="340"/>
      <c r="N629" s="340"/>
      <c r="O629" s="168"/>
      <c r="P629" s="168"/>
    </row>
    <row r="630" spans="1:16" ht="21.75" customHeight="1" x14ac:dyDescent="0.3">
      <c r="A630" s="476"/>
      <c r="B630" s="497" t="s">
        <v>234</v>
      </c>
      <c r="C630" s="157"/>
      <c r="D630" s="166"/>
      <c r="E630" s="159"/>
      <c r="F630" s="159"/>
      <c r="G630" s="160"/>
      <c r="H630" s="498" t="s">
        <v>12</v>
      </c>
      <c r="I630" s="339">
        <f ca="1">IFERROR(__xludf.DUMMYFUNCTION("IMPORTRANGE(""https://docs.google.com/spreadsheets/d/11923uPwbBZFjjGgGUA6NLw09EwE0CqkOc4q9oUmW1yo/edit?usp=sharing"",""อุตรดิตถ์!I525"")"),19324248.74)</f>
        <v>19324248.739999998</v>
      </c>
      <c r="J630" s="339">
        <f ca="1">IFERROR(__xludf.DUMMYFUNCTION("IMPORTRANGE(""https://docs.google.com/spreadsheets/d/11923uPwbBZFjjGgGUA6NLw09EwE0CqkOc4q9oUmW1yo/edit?usp=sharing"",""อุตรดิตถ์!J525"")"),1407298.69)</f>
        <v>1407298.69</v>
      </c>
      <c r="K630" s="340">
        <f t="shared" ca="1" si="129"/>
        <v>7.2825531741732288</v>
      </c>
      <c r="L630" s="340"/>
      <c r="M630" s="340"/>
      <c r="N630" s="340"/>
      <c r="O630" s="168"/>
      <c r="P630" s="168"/>
    </row>
    <row r="631" spans="1:16" ht="21.75" customHeight="1" x14ac:dyDescent="0.3">
      <c r="A631" s="476"/>
      <c r="B631" s="157"/>
      <c r="C631" s="157"/>
      <c r="D631" s="166"/>
      <c r="E631" s="159"/>
      <c r="F631" s="159"/>
      <c r="G631" s="160"/>
      <c r="H631" s="498" t="s">
        <v>37</v>
      </c>
      <c r="I631" s="339">
        <f ca="1">IFERROR(__xludf.DUMMYFUNCTION("IMPORTRANGE(""https://docs.google.com/spreadsheets/d/11923uPwbBZFjjGgGUA6NLw09EwE0CqkOc4q9oUmW1yo/edit?usp=sharing"",""อุตรดิตถ์!I526"")"),698)</f>
        <v>698</v>
      </c>
      <c r="J631" s="339">
        <f ca="1">IFERROR(__xludf.DUMMYFUNCTION("IMPORTRANGE(""https://docs.google.com/spreadsheets/d/11923uPwbBZFjjGgGUA6NLw09EwE0CqkOc4q9oUmW1yo/edit?usp=sharing"",""อุตรดิตถ์!J526"")"),242)</f>
        <v>242</v>
      </c>
      <c r="K631" s="340">
        <f t="shared" ca="1" si="129"/>
        <v>34.670487106017191</v>
      </c>
      <c r="L631" s="340"/>
      <c r="M631" s="340"/>
      <c r="N631" s="340"/>
      <c r="O631" s="168"/>
      <c r="P631" s="168"/>
    </row>
    <row r="632" spans="1:16" ht="21.75" customHeight="1" x14ac:dyDescent="0.3">
      <c r="A632" s="476"/>
      <c r="B632" s="497" t="s">
        <v>235</v>
      </c>
      <c r="C632" s="157"/>
      <c r="D632" s="166"/>
      <c r="E632" s="159"/>
      <c r="F632" s="159"/>
      <c r="G632" s="160"/>
      <c r="H632" s="498" t="s">
        <v>12</v>
      </c>
      <c r="I632" s="339">
        <f ca="1">IFERROR(__xludf.DUMMYFUNCTION("IMPORTRANGE(""https://docs.google.com/spreadsheets/d/11923uPwbBZFjjGgGUA6NLw09EwE0CqkOc4q9oUmW1yo/edit?usp=sharing"",""อุตรดิตถ์!I527"")"),2756022.66)</f>
        <v>2756022.66</v>
      </c>
      <c r="J632" s="339">
        <f ca="1">IFERROR(__xludf.DUMMYFUNCTION("IMPORTRANGE(""https://docs.google.com/spreadsheets/d/11923uPwbBZFjjGgGUA6NLw09EwE0CqkOc4q9oUmW1yo/edit?usp=sharing"",""อุตรดิตถ์!J527"")"),140334.57)</f>
        <v>140334.57</v>
      </c>
      <c r="K632" s="340">
        <f t="shared" ca="1" si="129"/>
        <v>5.0919236636465097</v>
      </c>
      <c r="L632" s="340"/>
      <c r="M632" s="340"/>
      <c r="N632" s="340"/>
      <c r="O632" s="168"/>
      <c r="P632" s="168"/>
    </row>
    <row r="633" spans="1:16" ht="21.75" customHeight="1" x14ac:dyDescent="0.3">
      <c r="A633" s="476"/>
      <c r="B633" s="497"/>
      <c r="C633" s="157"/>
      <c r="D633" s="166"/>
      <c r="E633" s="159"/>
      <c r="F633" s="159"/>
      <c r="G633" s="160"/>
      <c r="H633" s="498" t="s">
        <v>37</v>
      </c>
      <c r="I633" s="339">
        <f ca="1">IFERROR(__xludf.DUMMYFUNCTION("IMPORTRANGE(""https://docs.google.com/spreadsheets/d/11923uPwbBZFjjGgGUA6NLw09EwE0CqkOc4q9oUmW1yo/edit?usp=sharing"",""อุตรดิตถ์!I528"")"),79)</f>
        <v>79</v>
      </c>
      <c r="J633" s="339">
        <f ca="1">IFERROR(__xludf.DUMMYFUNCTION("IMPORTRANGE(""https://docs.google.com/spreadsheets/d/11923uPwbBZFjjGgGUA6NLw09EwE0CqkOc4q9oUmW1yo/edit?usp=sharing"",""อุตรดิตถ์!J528"")"),21)</f>
        <v>21</v>
      </c>
      <c r="K633" s="340">
        <f t="shared" ca="1" si="129"/>
        <v>26.582278481012658</v>
      </c>
      <c r="L633" s="340"/>
      <c r="M633" s="340"/>
      <c r="N633" s="340"/>
      <c r="O633" s="168"/>
      <c r="P633" s="168"/>
    </row>
    <row r="634" spans="1:16" ht="21.75" customHeight="1" x14ac:dyDescent="0.3">
      <c r="A634" s="476"/>
      <c r="B634" s="497" t="s">
        <v>236</v>
      </c>
      <c r="C634" s="157"/>
      <c r="D634" s="166"/>
      <c r="E634" s="159"/>
      <c r="F634" s="159"/>
      <c r="G634" s="160"/>
      <c r="H634" s="498" t="s">
        <v>12</v>
      </c>
      <c r="I634" s="339">
        <f ca="1">IFERROR(__xludf.DUMMYFUNCTION("IMPORTRANGE(""https://docs.google.com/spreadsheets/d/11923uPwbBZFjjGgGUA6NLw09EwE0CqkOc4q9oUmW1yo/edit?usp=sharing"",""อุตรดิตถ์!I529"")"),15000000)</f>
        <v>15000000</v>
      </c>
      <c r="J634" s="339">
        <f ca="1">IFERROR(__xludf.DUMMYFUNCTION("IMPORTRANGE(""https://docs.google.com/spreadsheets/d/11923uPwbBZFjjGgGUA6NLw09EwE0CqkOc4q9oUmW1yo/edit?usp=sharing"",""อุตรดิตถ์!J529"")"),3840000)</f>
        <v>3840000</v>
      </c>
      <c r="K634" s="340">
        <f t="shared" ca="1" si="129"/>
        <v>25.6</v>
      </c>
      <c r="L634" s="340"/>
      <c r="M634" s="340"/>
      <c r="N634" s="340"/>
      <c r="O634" s="168"/>
      <c r="P634" s="168"/>
    </row>
    <row r="635" spans="1:16" ht="21.75" customHeight="1" x14ac:dyDescent="0.3">
      <c r="A635" s="478"/>
      <c r="B635" s="480"/>
      <c r="C635" s="480"/>
      <c r="D635" s="479"/>
      <c r="E635" s="499"/>
      <c r="F635" s="499"/>
      <c r="G635" s="500"/>
      <c r="H635" s="501" t="s">
        <v>37</v>
      </c>
      <c r="I635" s="502">
        <f ca="1">IFERROR(__xludf.DUMMYFUNCTION("IMPORTRANGE(""https://docs.google.com/spreadsheets/d/11923uPwbBZFjjGgGUA6NLw09EwE0CqkOc4q9oUmW1yo/edit?usp=sharing"",""อุตรดิตถ์!I530"")"),400)</f>
        <v>400</v>
      </c>
      <c r="J635" s="502">
        <f ca="1">IFERROR(__xludf.DUMMYFUNCTION("IMPORTRANGE(""https://docs.google.com/spreadsheets/d/11923uPwbBZFjjGgGUA6NLw09EwE0CqkOc4q9oUmW1yo/edit?usp=sharing"",""อุตรดิตถ์!J530"")"),90)</f>
        <v>90</v>
      </c>
      <c r="K635" s="484">
        <f t="shared" ca="1" si="129"/>
        <v>22.5</v>
      </c>
      <c r="L635" s="484"/>
      <c r="M635" s="484"/>
      <c r="N635" s="484"/>
      <c r="O635" s="503"/>
      <c r="P635" s="503"/>
    </row>
    <row r="636" spans="1:16" ht="21.75" customHeight="1" x14ac:dyDescent="0.3">
      <c r="A636" s="504"/>
      <c r="B636" s="504"/>
      <c r="C636" s="504"/>
      <c r="D636" s="504"/>
      <c r="E636" s="505" t="s">
        <v>237</v>
      </c>
      <c r="F636" s="505"/>
      <c r="G636" s="505"/>
      <c r="H636" s="506"/>
      <c r="I636" s="506"/>
      <c r="J636" s="506"/>
      <c r="K636" s="507"/>
      <c r="L636" s="508"/>
      <c r="M636" s="508"/>
      <c r="N636" s="508"/>
      <c r="O636" s="509"/>
      <c r="P636" s="509"/>
    </row>
    <row r="637" spans="1:16" ht="21.75" customHeight="1" x14ac:dyDescent="0.3">
      <c r="A637" s="504"/>
      <c r="B637" s="504"/>
      <c r="C637" s="504"/>
      <c r="D637" s="504"/>
      <c r="E637" s="506"/>
      <c r="F637" s="506"/>
      <c r="G637" s="506"/>
      <c r="H637" s="506"/>
      <c r="I637" s="506"/>
      <c r="J637" s="506"/>
      <c r="K637" s="507"/>
      <c r="L637" s="508"/>
      <c r="M637" s="508"/>
      <c r="N637" s="508"/>
      <c r="O637" s="509"/>
      <c r="P637" s="509"/>
    </row>
    <row r="638" spans="1:16" ht="21.75" customHeight="1" x14ac:dyDescent="0.3">
      <c r="A638" s="504"/>
      <c r="B638" s="504"/>
      <c r="C638" s="504"/>
      <c r="D638" s="504"/>
      <c r="E638" s="506"/>
      <c r="F638" s="506"/>
      <c r="G638" s="506"/>
      <c r="H638" s="506"/>
      <c r="I638" s="506"/>
      <c r="J638" s="506"/>
      <c r="K638" s="507"/>
      <c r="L638" s="508"/>
      <c r="M638" s="508"/>
      <c r="N638" s="508"/>
      <c r="O638" s="509"/>
      <c r="P638" s="509"/>
    </row>
    <row r="639" spans="1:16" ht="21.75" customHeight="1" x14ac:dyDescent="0.3">
      <c r="A639" s="504"/>
      <c r="B639" s="504"/>
      <c r="C639" s="504"/>
      <c r="D639" s="504"/>
      <c r="E639" s="506"/>
      <c r="F639" s="506"/>
      <c r="G639" s="506"/>
      <c r="H639" s="506"/>
      <c r="I639" s="506"/>
      <c r="J639" s="506"/>
      <c r="K639" s="507"/>
      <c r="L639" s="508"/>
      <c r="M639" s="508"/>
      <c r="N639" s="508"/>
      <c r="O639" s="509"/>
      <c r="P639" s="509"/>
    </row>
    <row r="640" spans="1:16" ht="21.75" customHeight="1" x14ac:dyDescent="0.3">
      <c r="A640" s="504"/>
      <c r="B640" s="504"/>
      <c r="C640" s="504"/>
      <c r="D640" s="504"/>
      <c r="E640" s="506"/>
      <c r="F640" s="506"/>
      <c r="G640" s="506"/>
      <c r="H640" s="506"/>
      <c r="I640" s="506"/>
      <c r="J640" s="506"/>
      <c r="K640" s="507"/>
      <c r="L640" s="508"/>
      <c r="M640" s="508"/>
      <c r="N640" s="508"/>
      <c r="O640" s="509"/>
      <c r="P640" s="509"/>
    </row>
    <row r="641" spans="1:16" ht="21.75" customHeight="1" x14ac:dyDescent="0.3">
      <c r="A641" s="504"/>
      <c r="B641" s="504"/>
      <c r="C641" s="504"/>
      <c r="D641" s="504"/>
      <c r="E641" s="506"/>
      <c r="F641" s="506"/>
      <c r="G641" s="506"/>
      <c r="H641" s="506"/>
      <c r="I641" s="506"/>
      <c r="J641" s="506"/>
      <c r="K641" s="507"/>
      <c r="L641" s="508"/>
      <c r="M641" s="508"/>
      <c r="N641" s="508"/>
      <c r="O641" s="509"/>
      <c r="P641" s="509"/>
    </row>
    <row r="642" spans="1:16" ht="21.75" customHeight="1" x14ac:dyDescent="0.3">
      <c r="A642" s="504"/>
      <c r="B642" s="504"/>
      <c r="C642" s="504"/>
      <c r="D642" s="504"/>
      <c r="E642" s="506"/>
      <c r="F642" s="506"/>
      <c r="G642" s="506"/>
      <c r="H642" s="506"/>
      <c r="I642" s="506"/>
      <c r="J642" s="506"/>
      <c r="K642" s="507"/>
      <c r="L642" s="508"/>
      <c r="M642" s="508"/>
      <c r="N642" s="508"/>
      <c r="O642" s="509"/>
      <c r="P642" s="509"/>
    </row>
    <row r="643" spans="1:16" ht="21.75" customHeight="1" x14ac:dyDescent="0.3">
      <c r="A643" s="504"/>
      <c r="B643" s="504"/>
      <c r="C643" s="504"/>
      <c r="D643" s="504"/>
      <c r="E643" s="506"/>
      <c r="F643" s="506"/>
      <c r="G643" s="506"/>
      <c r="H643" s="506"/>
      <c r="I643" s="506"/>
      <c r="J643" s="506"/>
      <c r="K643" s="507"/>
      <c r="L643" s="508"/>
      <c r="M643" s="508"/>
      <c r="N643" s="508"/>
      <c r="O643" s="509"/>
      <c r="P643" s="509"/>
    </row>
    <row r="644" spans="1:16" ht="21.75" customHeight="1" x14ac:dyDescent="0.3">
      <c r="A644" s="504"/>
      <c r="B644" s="504"/>
      <c r="C644" s="504"/>
      <c r="D644" s="504"/>
      <c r="E644" s="506"/>
      <c r="F644" s="506"/>
      <c r="G644" s="506"/>
      <c r="H644" s="506"/>
      <c r="I644" s="506"/>
      <c r="J644" s="506"/>
      <c r="K644" s="507"/>
      <c r="L644" s="508"/>
      <c r="M644" s="508"/>
      <c r="N644" s="508"/>
      <c r="O644" s="509"/>
      <c r="P644" s="509"/>
    </row>
    <row r="645" spans="1:16" ht="21.75" customHeight="1" x14ac:dyDescent="0.3">
      <c r="A645" s="504"/>
      <c r="B645" s="504"/>
      <c r="C645" s="504"/>
      <c r="D645" s="504"/>
      <c r="E645" s="506"/>
      <c r="F645" s="506"/>
      <c r="G645" s="506"/>
      <c r="H645" s="506"/>
      <c r="I645" s="506"/>
      <c r="J645" s="506"/>
      <c r="K645" s="507"/>
      <c r="L645" s="508"/>
      <c r="M645" s="508"/>
      <c r="N645" s="508"/>
      <c r="O645" s="509"/>
      <c r="P645" s="509"/>
    </row>
    <row r="646" spans="1:16" ht="21.75" customHeight="1" x14ac:dyDescent="0.3">
      <c r="A646" s="504"/>
      <c r="B646" s="504"/>
      <c r="C646" s="504"/>
      <c r="D646" s="504"/>
      <c r="E646" s="506"/>
      <c r="F646" s="506"/>
      <c r="G646" s="506"/>
      <c r="H646" s="506"/>
      <c r="I646" s="506"/>
      <c r="J646" s="506"/>
      <c r="K646" s="507"/>
      <c r="L646" s="508"/>
      <c r="M646" s="508"/>
      <c r="N646" s="508"/>
      <c r="O646" s="509"/>
      <c r="P646" s="509"/>
    </row>
    <row r="647" spans="1:16" ht="21.75" customHeight="1" x14ac:dyDescent="0.3">
      <c r="A647" s="504"/>
      <c r="B647" s="504"/>
      <c r="C647" s="504"/>
      <c r="D647" s="504"/>
      <c r="E647" s="506"/>
      <c r="F647" s="506"/>
      <c r="G647" s="506"/>
      <c r="H647" s="506"/>
      <c r="I647" s="506"/>
      <c r="J647" s="506"/>
      <c r="K647" s="507"/>
      <c r="L647" s="508"/>
      <c r="M647" s="508"/>
      <c r="N647" s="508"/>
      <c r="O647" s="509"/>
      <c r="P647" s="509"/>
    </row>
    <row r="648" spans="1:16" ht="21.75" customHeight="1" x14ac:dyDescent="0.3">
      <c r="A648" s="504"/>
      <c r="B648" s="504"/>
      <c r="C648" s="504"/>
      <c r="D648" s="504"/>
      <c r="E648" s="506"/>
      <c r="F648" s="506"/>
      <c r="G648" s="506"/>
      <c r="H648" s="506"/>
      <c r="I648" s="506"/>
      <c r="J648" s="506"/>
      <c r="K648" s="507"/>
      <c r="L648" s="508"/>
      <c r="M648" s="508"/>
      <c r="N648" s="508"/>
      <c r="O648" s="509"/>
      <c r="P648" s="509"/>
    </row>
    <row r="649" spans="1:16" ht="21.75" customHeight="1" x14ac:dyDescent="0.3">
      <c r="A649" s="504"/>
      <c r="B649" s="504"/>
      <c r="C649" s="504"/>
      <c r="D649" s="504"/>
      <c r="E649" s="506"/>
      <c r="F649" s="506"/>
      <c r="G649" s="506"/>
      <c r="H649" s="506"/>
      <c r="I649" s="506"/>
      <c r="J649" s="506"/>
      <c r="K649" s="507"/>
      <c r="L649" s="508"/>
      <c r="M649" s="508"/>
      <c r="N649" s="508"/>
      <c r="O649" s="509"/>
      <c r="P649" s="509"/>
    </row>
    <row r="650" spans="1:16" ht="21.75" customHeight="1" x14ac:dyDescent="0.3">
      <c r="A650" s="504"/>
      <c r="B650" s="504"/>
      <c r="C650" s="504"/>
      <c r="D650" s="504"/>
      <c r="E650" s="506"/>
      <c r="F650" s="506"/>
      <c r="G650" s="506"/>
      <c r="H650" s="506"/>
      <c r="I650" s="506"/>
      <c r="J650" s="506"/>
      <c r="K650" s="507"/>
      <c r="L650" s="508"/>
      <c r="M650" s="508"/>
      <c r="N650" s="508"/>
      <c r="O650" s="509"/>
      <c r="P650" s="509"/>
    </row>
    <row r="651" spans="1:16" ht="21.75" customHeight="1" x14ac:dyDescent="0.3">
      <c r="A651" s="504"/>
      <c r="B651" s="504"/>
      <c r="C651" s="504"/>
      <c r="D651" s="504"/>
      <c r="E651" s="506"/>
      <c r="F651" s="506"/>
      <c r="G651" s="506"/>
      <c r="H651" s="506"/>
      <c r="I651" s="506"/>
      <c r="J651" s="506"/>
      <c r="K651" s="507"/>
      <c r="L651" s="508"/>
      <c r="M651" s="508"/>
      <c r="N651" s="508"/>
      <c r="O651" s="509"/>
      <c r="P651" s="509"/>
    </row>
    <row r="652" spans="1:16" ht="21.75" customHeight="1" x14ac:dyDescent="0.3">
      <c r="A652" s="504"/>
      <c r="B652" s="504"/>
      <c r="C652" s="504"/>
      <c r="D652" s="504"/>
      <c r="E652" s="506"/>
      <c r="F652" s="506"/>
      <c r="G652" s="506"/>
      <c r="H652" s="506"/>
      <c r="I652" s="506"/>
      <c r="J652" s="506"/>
      <c r="K652" s="507"/>
      <c r="L652" s="508"/>
      <c r="M652" s="508"/>
      <c r="N652" s="508"/>
      <c r="O652" s="509"/>
      <c r="P652" s="509"/>
    </row>
    <row r="653" spans="1:16" ht="21.75" customHeight="1" x14ac:dyDescent="0.3">
      <c r="A653" s="504"/>
      <c r="B653" s="504"/>
      <c r="C653" s="504"/>
      <c r="D653" s="504"/>
      <c r="E653" s="506"/>
      <c r="F653" s="506"/>
      <c r="G653" s="506"/>
      <c r="H653" s="506"/>
      <c r="I653" s="506"/>
      <c r="J653" s="506"/>
      <c r="K653" s="507"/>
      <c r="L653" s="508"/>
      <c r="M653" s="508"/>
      <c r="N653" s="508"/>
      <c r="O653" s="509"/>
      <c r="P653" s="509"/>
    </row>
    <row r="654" spans="1:16" ht="21.75" customHeight="1" x14ac:dyDescent="0.3">
      <c r="A654" s="504"/>
      <c r="B654" s="504"/>
      <c r="C654" s="504"/>
      <c r="D654" s="504"/>
      <c r="E654" s="506"/>
      <c r="F654" s="506"/>
      <c r="G654" s="506"/>
      <c r="H654" s="506"/>
      <c r="I654" s="506"/>
      <c r="J654" s="506"/>
      <c r="K654" s="507"/>
      <c r="L654" s="508"/>
      <c r="M654" s="508"/>
      <c r="N654" s="508"/>
      <c r="O654" s="509"/>
      <c r="P654" s="509"/>
    </row>
    <row r="655" spans="1:16" ht="21.75" customHeight="1" x14ac:dyDescent="0.3">
      <c r="A655" s="504"/>
      <c r="B655" s="504"/>
      <c r="C655" s="504"/>
      <c r="D655" s="504"/>
      <c r="E655" s="506"/>
      <c r="F655" s="506"/>
      <c r="G655" s="506"/>
      <c r="H655" s="506"/>
      <c r="I655" s="506"/>
      <c r="J655" s="506"/>
      <c r="K655" s="507"/>
      <c r="L655" s="508"/>
      <c r="M655" s="508"/>
      <c r="N655" s="508"/>
      <c r="O655" s="509"/>
      <c r="P655" s="509"/>
    </row>
    <row r="656" spans="1:16" ht="21.75" customHeight="1" x14ac:dyDescent="0.3">
      <c r="A656" s="504"/>
      <c r="B656" s="504"/>
      <c r="C656" s="504"/>
      <c r="D656" s="504"/>
      <c r="E656" s="506"/>
      <c r="F656" s="506"/>
      <c r="G656" s="506"/>
      <c r="H656" s="506"/>
      <c r="I656" s="506"/>
      <c r="J656" s="506"/>
      <c r="K656" s="507"/>
      <c r="L656" s="508"/>
      <c r="M656" s="508"/>
      <c r="N656" s="508"/>
      <c r="O656" s="509"/>
      <c r="P656" s="509"/>
    </row>
    <row r="657" spans="1:16" ht="21.75" customHeight="1" x14ac:dyDescent="0.3">
      <c r="A657" s="504"/>
      <c r="B657" s="504"/>
      <c r="C657" s="504"/>
      <c r="D657" s="504"/>
      <c r="E657" s="506"/>
      <c r="F657" s="506"/>
      <c r="G657" s="506"/>
      <c r="H657" s="506"/>
      <c r="I657" s="506"/>
      <c r="J657" s="506"/>
      <c r="K657" s="507"/>
      <c r="L657" s="508"/>
      <c r="M657" s="508"/>
      <c r="N657" s="508"/>
      <c r="O657" s="509"/>
      <c r="P657" s="509"/>
    </row>
    <row r="658" spans="1:16" ht="21.75" customHeight="1" x14ac:dyDescent="0.3">
      <c r="A658" s="504"/>
      <c r="B658" s="504"/>
      <c r="C658" s="504"/>
      <c r="D658" s="504"/>
      <c r="E658" s="506"/>
      <c r="F658" s="506"/>
      <c r="G658" s="506"/>
      <c r="H658" s="506"/>
      <c r="I658" s="506"/>
      <c r="J658" s="506"/>
      <c r="K658" s="507"/>
      <c r="L658" s="508"/>
      <c r="M658" s="508"/>
      <c r="N658" s="508"/>
      <c r="O658" s="509"/>
      <c r="P658" s="509"/>
    </row>
    <row r="659" spans="1:16" ht="21.75" customHeight="1" x14ac:dyDescent="0.3">
      <c r="A659" s="504"/>
      <c r="B659" s="504"/>
      <c r="C659" s="504"/>
      <c r="D659" s="504"/>
      <c r="E659" s="506"/>
      <c r="F659" s="506"/>
      <c r="G659" s="506"/>
      <c r="H659" s="506"/>
      <c r="I659" s="506"/>
      <c r="J659" s="506"/>
      <c r="K659" s="507"/>
      <c r="L659" s="508"/>
      <c r="M659" s="508"/>
      <c r="N659" s="508"/>
      <c r="O659" s="509"/>
      <c r="P659" s="509"/>
    </row>
    <row r="660" spans="1:16" ht="21.75" customHeight="1" x14ac:dyDescent="0.3">
      <c r="A660" s="504"/>
      <c r="B660" s="504"/>
      <c r="C660" s="504"/>
      <c r="D660" s="504"/>
      <c r="E660" s="506"/>
      <c r="F660" s="506"/>
      <c r="G660" s="506"/>
      <c r="H660" s="506"/>
      <c r="I660" s="506"/>
      <c r="J660" s="506"/>
      <c r="K660" s="507"/>
      <c r="L660" s="508"/>
      <c r="M660" s="508"/>
      <c r="N660" s="508"/>
      <c r="O660" s="509"/>
      <c r="P660" s="509"/>
    </row>
    <row r="661" spans="1:16" ht="21.75" customHeight="1" x14ac:dyDescent="0.3">
      <c r="A661" s="504"/>
      <c r="B661" s="504"/>
      <c r="C661" s="504"/>
      <c r="D661" s="504"/>
      <c r="E661" s="506"/>
      <c r="F661" s="506"/>
      <c r="G661" s="506"/>
      <c r="H661" s="506"/>
      <c r="I661" s="506"/>
      <c r="J661" s="506"/>
      <c r="K661" s="507"/>
      <c r="L661" s="508"/>
      <c r="M661" s="508"/>
      <c r="N661" s="508"/>
      <c r="O661" s="509"/>
      <c r="P661" s="509"/>
    </row>
    <row r="662" spans="1:16" ht="21.75" customHeight="1" x14ac:dyDescent="0.3">
      <c r="A662" s="504"/>
      <c r="B662" s="504"/>
      <c r="C662" s="504"/>
      <c r="D662" s="504"/>
      <c r="E662" s="506"/>
      <c r="F662" s="506"/>
      <c r="G662" s="506"/>
      <c r="H662" s="506"/>
      <c r="I662" s="506"/>
      <c r="J662" s="506"/>
      <c r="K662" s="507"/>
      <c r="L662" s="508"/>
      <c r="M662" s="508"/>
      <c r="N662" s="508"/>
      <c r="O662" s="509"/>
      <c r="P662" s="509"/>
    </row>
    <row r="663" spans="1:16" ht="21.75" customHeight="1" x14ac:dyDescent="0.3">
      <c r="A663" s="504"/>
      <c r="B663" s="504"/>
      <c r="C663" s="504"/>
      <c r="D663" s="504"/>
      <c r="E663" s="506"/>
      <c r="F663" s="506"/>
      <c r="G663" s="506"/>
      <c r="H663" s="506"/>
      <c r="I663" s="506"/>
      <c r="J663" s="506"/>
      <c r="K663" s="507"/>
      <c r="L663" s="508"/>
      <c r="M663" s="508"/>
      <c r="N663" s="508"/>
      <c r="O663" s="509"/>
      <c r="P663" s="509"/>
    </row>
    <row r="664" spans="1:16" ht="21.75" customHeight="1" x14ac:dyDescent="0.3">
      <c r="A664" s="504"/>
      <c r="B664" s="504"/>
      <c r="C664" s="504"/>
      <c r="D664" s="504"/>
      <c r="E664" s="506"/>
      <c r="F664" s="506"/>
      <c r="G664" s="506"/>
      <c r="H664" s="506"/>
      <c r="I664" s="506"/>
      <c r="J664" s="506"/>
      <c r="K664" s="507"/>
      <c r="L664" s="508"/>
      <c r="M664" s="508"/>
      <c r="N664" s="508"/>
      <c r="O664" s="509"/>
      <c r="P664" s="509"/>
    </row>
    <row r="665" spans="1:16" ht="21.75" customHeight="1" x14ac:dyDescent="0.3">
      <c r="A665" s="504"/>
      <c r="B665" s="504"/>
      <c r="C665" s="504"/>
      <c r="D665" s="504"/>
      <c r="E665" s="506"/>
      <c r="F665" s="506"/>
      <c r="G665" s="506"/>
      <c r="H665" s="506"/>
      <c r="I665" s="506"/>
      <c r="J665" s="506"/>
      <c r="K665" s="507"/>
      <c r="L665" s="508"/>
      <c r="M665" s="508"/>
      <c r="N665" s="508"/>
      <c r="O665" s="509"/>
      <c r="P665" s="509"/>
    </row>
    <row r="666" spans="1:16" ht="21.75" customHeight="1" x14ac:dyDescent="0.3">
      <c r="A666" s="504"/>
      <c r="B666" s="504"/>
      <c r="C666" s="504"/>
      <c r="D666" s="504"/>
      <c r="E666" s="506"/>
      <c r="F666" s="506"/>
      <c r="G666" s="506"/>
      <c r="H666" s="506"/>
      <c r="I666" s="506"/>
      <c r="J666" s="506"/>
      <c r="K666" s="507"/>
      <c r="L666" s="508"/>
      <c r="M666" s="508"/>
      <c r="N666" s="508"/>
      <c r="O666" s="509"/>
      <c r="P666" s="509"/>
    </row>
    <row r="667" spans="1:16" ht="21.75" customHeight="1" x14ac:dyDescent="0.3">
      <c r="A667" s="504"/>
      <c r="B667" s="504"/>
      <c r="C667" s="504"/>
      <c r="D667" s="504"/>
      <c r="E667" s="506"/>
      <c r="F667" s="506"/>
      <c r="G667" s="506"/>
      <c r="H667" s="506"/>
      <c r="I667" s="506"/>
      <c r="J667" s="506"/>
      <c r="K667" s="507"/>
      <c r="L667" s="508"/>
      <c r="M667" s="508"/>
      <c r="N667" s="508"/>
      <c r="O667" s="509"/>
      <c r="P667" s="509"/>
    </row>
    <row r="668" spans="1:16" ht="21.75" customHeight="1" x14ac:dyDescent="0.3">
      <c r="A668" s="504"/>
      <c r="B668" s="504"/>
      <c r="C668" s="504"/>
      <c r="D668" s="504"/>
      <c r="E668" s="506"/>
      <c r="F668" s="506"/>
      <c r="G668" s="506"/>
      <c r="H668" s="506"/>
      <c r="I668" s="506"/>
      <c r="J668" s="506"/>
      <c r="K668" s="507"/>
      <c r="L668" s="508"/>
      <c r="M668" s="508"/>
      <c r="N668" s="508"/>
      <c r="O668" s="509"/>
      <c r="P668" s="509"/>
    </row>
    <row r="669" spans="1:16" ht="21.75" customHeight="1" x14ac:dyDescent="0.3">
      <c r="A669" s="504"/>
      <c r="B669" s="504"/>
      <c r="C669" s="504"/>
      <c r="D669" s="504"/>
      <c r="E669" s="506"/>
      <c r="F669" s="506"/>
      <c r="G669" s="506"/>
      <c r="H669" s="506"/>
      <c r="I669" s="506"/>
      <c r="J669" s="506"/>
      <c r="K669" s="507"/>
      <c r="L669" s="508"/>
      <c r="M669" s="508"/>
      <c r="N669" s="508"/>
      <c r="O669" s="509"/>
      <c r="P669" s="509"/>
    </row>
    <row r="670" spans="1:16" ht="21.75" customHeight="1" x14ac:dyDescent="0.3">
      <c r="A670" s="504"/>
      <c r="B670" s="504"/>
      <c r="C670" s="504"/>
      <c r="D670" s="504"/>
      <c r="E670" s="506"/>
      <c r="F670" s="506"/>
      <c r="G670" s="506"/>
      <c r="H670" s="506"/>
      <c r="I670" s="506"/>
      <c r="J670" s="506"/>
      <c r="K670" s="507"/>
      <c r="L670" s="508"/>
      <c r="M670" s="508"/>
      <c r="N670" s="508"/>
      <c r="O670" s="509"/>
      <c r="P670" s="509"/>
    </row>
    <row r="671" spans="1:16" ht="21.75" customHeight="1" x14ac:dyDescent="0.3">
      <c r="A671" s="504"/>
      <c r="B671" s="504"/>
      <c r="C671" s="504"/>
      <c r="D671" s="504"/>
      <c r="E671" s="506"/>
      <c r="F671" s="506"/>
      <c r="G671" s="506"/>
      <c r="H671" s="506"/>
      <c r="I671" s="506"/>
      <c r="J671" s="506"/>
      <c r="K671" s="507"/>
      <c r="L671" s="508"/>
      <c r="M671" s="508"/>
      <c r="N671" s="508"/>
      <c r="O671" s="509"/>
      <c r="P671" s="509"/>
    </row>
    <row r="672" spans="1:16" ht="21.75" customHeight="1" x14ac:dyDescent="0.3">
      <c r="A672" s="504"/>
      <c r="B672" s="504"/>
      <c r="C672" s="504"/>
      <c r="D672" s="504"/>
      <c r="E672" s="506"/>
      <c r="F672" s="506"/>
      <c r="G672" s="506"/>
      <c r="H672" s="506"/>
      <c r="I672" s="506"/>
      <c r="J672" s="506"/>
      <c r="K672" s="507"/>
      <c r="L672" s="508"/>
      <c r="M672" s="508"/>
      <c r="N672" s="508"/>
      <c r="O672" s="509"/>
      <c r="P672" s="509"/>
    </row>
    <row r="673" spans="1:16" ht="21.75" customHeight="1" x14ac:dyDescent="0.3">
      <c r="A673" s="504"/>
      <c r="B673" s="504"/>
      <c r="C673" s="504"/>
      <c r="D673" s="504"/>
      <c r="E673" s="506"/>
      <c r="F673" s="506"/>
      <c r="G673" s="506"/>
      <c r="H673" s="506"/>
      <c r="I673" s="506"/>
      <c r="J673" s="506"/>
      <c r="K673" s="507"/>
      <c r="L673" s="508"/>
      <c r="M673" s="508"/>
      <c r="N673" s="508"/>
      <c r="O673" s="509"/>
      <c r="P673" s="509"/>
    </row>
    <row r="674" spans="1:16" ht="21.75" customHeight="1" x14ac:dyDescent="0.3">
      <c r="A674" s="504"/>
      <c r="B674" s="504"/>
      <c r="C674" s="504"/>
      <c r="D674" s="504"/>
      <c r="E674" s="506"/>
      <c r="F674" s="506"/>
      <c r="G674" s="506"/>
      <c r="H674" s="506"/>
      <c r="I674" s="506"/>
      <c r="J674" s="506"/>
      <c r="K674" s="507"/>
      <c r="L674" s="508"/>
      <c r="M674" s="508"/>
      <c r="N674" s="508"/>
      <c r="O674" s="509"/>
      <c r="P674" s="509"/>
    </row>
    <row r="675" spans="1:16" ht="21.75" customHeight="1" x14ac:dyDescent="0.3">
      <c r="A675" s="504"/>
      <c r="B675" s="504"/>
      <c r="C675" s="504"/>
      <c r="D675" s="504"/>
      <c r="E675" s="506"/>
      <c r="F675" s="506"/>
      <c r="G675" s="506"/>
      <c r="H675" s="506"/>
      <c r="I675" s="506"/>
      <c r="J675" s="506"/>
      <c r="K675" s="507"/>
      <c r="L675" s="508"/>
      <c r="M675" s="508"/>
      <c r="N675" s="508"/>
      <c r="O675" s="509"/>
      <c r="P675" s="509"/>
    </row>
    <row r="676" spans="1:16" ht="21.75" customHeight="1" x14ac:dyDescent="0.3">
      <c r="A676" s="504"/>
      <c r="B676" s="504"/>
      <c r="C676" s="504"/>
      <c r="D676" s="504"/>
      <c r="E676" s="506"/>
      <c r="F676" s="506"/>
      <c r="G676" s="506"/>
      <c r="H676" s="506"/>
      <c r="I676" s="506"/>
      <c r="J676" s="506"/>
      <c r="K676" s="507"/>
      <c r="L676" s="508"/>
      <c r="M676" s="508"/>
      <c r="N676" s="508"/>
      <c r="O676" s="509"/>
      <c r="P676" s="509"/>
    </row>
    <row r="677" spans="1:16" ht="21.75" customHeight="1" x14ac:dyDescent="0.3">
      <c r="A677" s="504"/>
      <c r="B677" s="504"/>
      <c r="C677" s="504"/>
      <c r="D677" s="504"/>
      <c r="E677" s="506"/>
      <c r="F677" s="506"/>
      <c r="G677" s="506"/>
      <c r="H677" s="506"/>
      <c r="I677" s="506"/>
      <c r="J677" s="506"/>
      <c r="K677" s="507"/>
      <c r="L677" s="508"/>
      <c r="M677" s="508"/>
      <c r="N677" s="508"/>
      <c r="O677" s="509"/>
      <c r="P677" s="509"/>
    </row>
    <row r="678" spans="1:16" ht="21.75" customHeight="1" x14ac:dyDescent="0.3">
      <c r="A678" s="504"/>
      <c r="B678" s="504"/>
      <c r="C678" s="504"/>
      <c r="D678" s="504"/>
      <c r="E678" s="506"/>
      <c r="F678" s="506"/>
      <c r="G678" s="506"/>
      <c r="H678" s="506"/>
      <c r="I678" s="506"/>
      <c r="J678" s="506"/>
      <c r="K678" s="507"/>
      <c r="L678" s="508"/>
      <c r="M678" s="508"/>
      <c r="N678" s="508"/>
      <c r="O678" s="509"/>
      <c r="P678" s="509"/>
    </row>
    <row r="679" spans="1:16" ht="21.75" customHeight="1" x14ac:dyDescent="0.3">
      <c r="A679" s="504"/>
      <c r="B679" s="504"/>
      <c r="C679" s="504"/>
      <c r="D679" s="504"/>
      <c r="E679" s="506"/>
      <c r="F679" s="506"/>
      <c r="G679" s="506"/>
      <c r="H679" s="506"/>
      <c r="I679" s="506"/>
      <c r="J679" s="506"/>
      <c r="K679" s="507"/>
      <c r="L679" s="508"/>
      <c r="M679" s="508"/>
      <c r="N679" s="508"/>
      <c r="O679" s="509"/>
      <c r="P679" s="509"/>
    </row>
    <row r="680" spans="1:16" ht="21.75" customHeight="1" x14ac:dyDescent="0.3">
      <c r="A680" s="504"/>
      <c r="B680" s="504"/>
      <c r="C680" s="504"/>
      <c r="D680" s="504"/>
      <c r="E680" s="506"/>
      <c r="F680" s="506"/>
      <c r="G680" s="506"/>
      <c r="H680" s="506"/>
      <c r="I680" s="506"/>
      <c r="J680" s="506"/>
      <c r="K680" s="507"/>
      <c r="L680" s="508"/>
      <c r="M680" s="508"/>
      <c r="N680" s="508"/>
      <c r="O680" s="509"/>
      <c r="P680" s="509"/>
    </row>
    <row r="681" spans="1:16" ht="21.75" customHeight="1" x14ac:dyDescent="0.3">
      <c r="A681" s="504"/>
      <c r="B681" s="504"/>
      <c r="C681" s="504"/>
      <c r="D681" s="504"/>
      <c r="E681" s="506"/>
      <c r="F681" s="506"/>
      <c r="G681" s="506"/>
      <c r="H681" s="506"/>
      <c r="I681" s="506"/>
      <c r="J681" s="506"/>
      <c r="K681" s="507"/>
      <c r="L681" s="508"/>
      <c r="M681" s="508"/>
      <c r="N681" s="508"/>
      <c r="O681" s="509"/>
      <c r="P681" s="509"/>
    </row>
    <row r="682" spans="1:16" ht="21.75" customHeight="1" x14ac:dyDescent="0.3">
      <c r="A682" s="504"/>
      <c r="B682" s="504"/>
      <c r="C682" s="504"/>
      <c r="D682" s="504"/>
      <c r="E682" s="506"/>
      <c r="F682" s="506"/>
      <c r="G682" s="506"/>
      <c r="H682" s="506"/>
      <c r="I682" s="506"/>
      <c r="J682" s="506"/>
      <c r="K682" s="507"/>
      <c r="L682" s="508"/>
      <c r="M682" s="508"/>
      <c r="N682" s="508"/>
      <c r="O682" s="509"/>
      <c r="P682" s="509"/>
    </row>
    <row r="683" spans="1:16" ht="21.75" customHeight="1" x14ac:dyDescent="0.3">
      <c r="A683" s="504"/>
      <c r="B683" s="504"/>
      <c r="C683" s="504"/>
      <c r="D683" s="504"/>
      <c r="E683" s="506"/>
      <c r="F683" s="506"/>
      <c r="G683" s="506"/>
      <c r="H683" s="506"/>
      <c r="I683" s="506"/>
      <c r="J683" s="506"/>
      <c r="K683" s="507"/>
      <c r="L683" s="508"/>
      <c r="M683" s="508"/>
      <c r="N683" s="508"/>
      <c r="O683" s="509"/>
      <c r="P683" s="509"/>
    </row>
    <row r="684" spans="1:16" ht="21.75" customHeight="1" x14ac:dyDescent="0.3">
      <c r="A684" s="504"/>
      <c r="B684" s="504"/>
      <c r="C684" s="504"/>
      <c r="D684" s="504"/>
      <c r="E684" s="506"/>
      <c r="F684" s="506"/>
      <c r="G684" s="506"/>
      <c r="H684" s="506"/>
      <c r="I684" s="506"/>
      <c r="J684" s="506"/>
      <c r="K684" s="507"/>
      <c r="L684" s="508"/>
      <c r="M684" s="508"/>
      <c r="N684" s="508"/>
      <c r="O684" s="509"/>
      <c r="P684" s="509"/>
    </row>
    <row r="685" spans="1:16" ht="21.75" customHeight="1" x14ac:dyDescent="0.3">
      <c r="A685" s="504"/>
      <c r="B685" s="504"/>
      <c r="C685" s="504"/>
      <c r="D685" s="504"/>
      <c r="E685" s="506"/>
      <c r="F685" s="506"/>
      <c r="G685" s="506"/>
      <c r="H685" s="506"/>
      <c r="I685" s="506"/>
      <c r="J685" s="506"/>
      <c r="K685" s="507"/>
      <c r="L685" s="508"/>
      <c r="M685" s="508"/>
      <c r="N685" s="508"/>
      <c r="O685" s="509"/>
      <c r="P685" s="509"/>
    </row>
    <row r="686" spans="1:16" ht="21.75" customHeight="1" x14ac:dyDescent="0.3">
      <c r="A686" s="504"/>
      <c r="B686" s="504"/>
      <c r="C686" s="504"/>
      <c r="D686" s="504"/>
      <c r="E686" s="506"/>
      <c r="F686" s="506"/>
      <c r="G686" s="506"/>
      <c r="H686" s="506"/>
      <c r="I686" s="506"/>
      <c r="J686" s="506"/>
      <c r="K686" s="507"/>
      <c r="L686" s="508"/>
      <c r="M686" s="508"/>
      <c r="N686" s="508"/>
      <c r="O686" s="509"/>
      <c r="P686" s="509"/>
    </row>
    <row r="687" spans="1:16" ht="21.75" customHeight="1" x14ac:dyDescent="0.3">
      <c r="A687" s="504"/>
      <c r="B687" s="504"/>
      <c r="C687" s="504"/>
      <c r="D687" s="504"/>
      <c r="E687" s="506"/>
      <c r="F687" s="506"/>
      <c r="G687" s="506"/>
      <c r="H687" s="506"/>
      <c r="I687" s="506"/>
      <c r="J687" s="506"/>
      <c r="K687" s="507"/>
      <c r="L687" s="508"/>
      <c r="M687" s="508"/>
      <c r="N687" s="508"/>
      <c r="O687" s="509"/>
      <c r="P687" s="509"/>
    </row>
    <row r="688" spans="1:16" ht="21.75" customHeight="1" x14ac:dyDescent="0.3">
      <c r="A688" s="504"/>
      <c r="B688" s="504"/>
      <c r="C688" s="504"/>
      <c r="D688" s="504"/>
      <c r="E688" s="506"/>
      <c r="F688" s="506"/>
      <c r="G688" s="506"/>
      <c r="H688" s="506"/>
      <c r="I688" s="506"/>
      <c r="J688" s="506"/>
      <c r="K688" s="507"/>
      <c r="L688" s="508"/>
      <c r="M688" s="508"/>
      <c r="N688" s="508"/>
      <c r="O688" s="509"/>
      <c r="P688" s="509"/>
    </row>
    <row r="689" spans="1:16" ht="21.75" customHeight="1" x14ac:dyDescent="0.3">
      <c r="A689" s="504"/>
      <c r="B689" s="504"/>
      <c r="C689" s="504"/>
      <c r="D689" s="504"/>
      <c r="E689" s="506"/>
      <c r="F689" s="506"/>
      <c r="G689" s="506"/>
      <c r="H689" s="506"/>
      <c r="I689" s="506"/>
      <c r="J689" s="506"/>
      <c r="K689" s="507"/>
      <c r="L689" s="508"/>
      <c r="M689" s="508"/>
      <c r="N689" s="508"/>
      <c r="O689" s="509"/>
      <c r="P689" s="509"/>
    </row>
    <row r="690" spans="1:16" ht="21.75" customHeight="1" x14ac:dyDescent="0.3">
      <c r="A690" s="504"/>
      <c r="B690" s="504"/>
      <c r="C690" s="504"/>
      <c r="D690" s="504"/>
      <c r="E690" s="506"/>
      <c r="F690" s="506"/>
      <c r="G690" s="506"/>
      <c r="H690" s="506"/>
      <c r="I690" s="506"/>
      <c r="J690" s="506"/>
      <c r="K690" s="507"/>
      <c r="L690" s="508"/>
      <c r="M690" s="508"/>
      <c r="N690" s="508"/>
      <c r="O690" s="509"/>
      <c r="P690" s="509"/>
    </row>
    <row r="691" spans="1:16" ht="21.75" customHeight="1" x14ac:dyDescent="0.3">
      <c r="A691" s="504"/>
      <c r="B691" s="504"/>
      <c r="C691" s="504"/>
      <c r="D691" s="504"/>
      <c r="E691" s="506"/>
      <c r="F691" s="506"/>
      <c r="G691" s="506"/>
      <c r="H691" s="506"/>
      <c r="I691" s="506"/>
      <c r="J691" s="506"/>
      <c r="K691" s="507"/>
      <c r="L691" s="508"/>
      <c r="M691" s="508"/>
      <c r="N691" s="508"/>
      <c r="O691" s="509"/>
      <c r="P691" s="509"/>
    </row>
    <row r="692" spans="1:16" ht="21.75" customHeight="1" x14ac:dyDescent="0.3">
      <c r="A692" s="504"/>
      <c r="B692" s="504"/>
      <c r="C692" s="504"/>
      <c r="D692" s="504"/>
      <c r="E692" s="506"/>
      <c r="F692" s="506"/>
      <c r="G692" s="506"/>
      <c r="H692" s="506"/>
      <c r="I692" s="506"/>
      <c r="J692" s="506"/>
      <c r="K692" s="507"/>
      <c r="L692" s="508"/>
      <c r="M692" s="508"/>
      <c r="N692" s="508"/>
      <c r="O692" s="509"/>
      <c r="P692" s="509"/>
    </row>
    <row r="693" spans="1:16" ht="21.75" customHeight="1" x14ac:dyDescent="0.3">
      <c r="A693" s="504"/>
      <c r="B693" s="504"/>
      <c r="C693" s="504"/>
      <c r="D693" s="504"/>
      <c r="E693" s="506"/>
      <c r="F693" s="506"/>
      <c r="G693" s="506"/>
      <c r="H693" s="506"/>
      <c r="I693" s="506"/>
      <c r="J693" s="506"/>
      <c r="K693" s="507"/>
      <c r="L693" s="508"/>
      <c r="M693" s="508"/>
      <c r="N693" s="508"/>
      <c r="O693" s="509"/>
      <c r="P693" s="509"/>
    </row>
    <row r="694" spans="1:16" ht="21.75" customHeight="1" x14ac:dyDescent="0.3">
      <c r="A694" s="504"/>
      <c r="B694" s="504"/>
      <c r="C694" s="504"/>
      <c r="D694" s="504"/>
      <c r="E694" s="506"/>
      <c r="F694" s="506"/>
      <c r="G694" s="506"/>
      <c r="H694" s="506"/>
      <c r="I694" s="506"/>
      <c r="J694" s="506"/>
      <c r="K694" s="507"/>
      <c r="L694" s="508"/>
      <c r="M694" s="508"/>
      <c r="N694" s="508"/>
      <c r="O694" s="509"/>
      <c r="P694" s="509"/>
    </row>
    <row r="695" spans="1:16" ht="21.75" customHeight="1" x14ac:dyDescent="0.3">
      <c r="A695" s="504"/>
      <c r="B695" s="504"/>
      <c r="C695" s="504"/>
      <c r="D695" s="504"/>
      <c r="E695" s="506"/>
      <c r="F695" s="506"/>
      <c r="G695" s="506"/>
      <c r="H695" s="506"/>
      <c r="I695" s="506"/>
      <c r="J695" s="506"/>
      <c r="K695" s="507"/>
      <c r="L695" s="508"/>
      <c r="M695" s="508"/>
      <c r="N695" s="508"/>
      <c r="O695" s="509"/>
      <c r="P695" s="509"/>
    </row>
    <row r="696" spans="1:16" ht="21.75" customHeight="1" x14ac:dyDescent="0.3">
      <c r="A696" s="504"/>
      <c r="B696" s="504"/>
      <c r="C696" s="504"/>
      <c r="D696" s="504"/>
      <c r="E696" s="506"/>
      <c r="F696" s="506"/>
      <c r="G696" s="506"/>
      <c r="H696" s="506"/>
      <c r="I696" s="506"/>
      <c r="J696" s="506"/>
      <c r="K696" s="507"/>
      <c r="L696" s="508"/>
      <c r="M696" s="508"/>
      <c r="N696" s="508"/>
      <c r="O696" s="509"/>
      <c r="P696" s="509"/>
    </row>
    <row r="697" spans="1:16" ht="21.75" customHeight="1" x14ac:dyDescent="0.3">
      <c r="A697" s="504"/>
      <c r="B697" s="504"/>
      <c r="C697" s="504"/>
      <c r="D697" s="504"/>
      <c r="E697" s="506"/>
      <c r="F697" s="506"/>
      <c r="G697" s="506"/>
      <c r="H697" s="506"/>
      <c r="I697" s="506"/>
      <c r="J697" s="506"/>
      <c r="K697" s="507"/>
      <c r="L697" s="508"/>
      <c r="M697" s="508"/>
      <c r="N697" s="508"/>
      <c r="O697" s="509"/>
      <c r="P697" s="509"/>
    </row>
    <row r="698" spans="1:16" ht="21.75" customHeight="1" x14ac:dyDescent="0.3">
      <c r="A698" s="504"/>
      <c r="B698" s="504"/>
      <c r="C698" s="504"/>
      <c r="D698" s="504"/>
      <c r="E698" s="506"/>
      <c r="F698" s="506"/>
      <c r="G698" s="506"/>
      <c r="H698" s="506"/>
      <c r="I698" s="506"/>
      <c r="J698" s="506"/>
      <c r="K698" s="507"/>
      <c r="L698" s="508"/>
      <c r="M698" s="508"/>
      <c r="N698" s="508"/>
      <c r="O698" s="509"/>
      <c r="P698" s="509"/>
    </row>
    <row r="699" spans="1:16" ht="21.75" customHeight="1" x14ac:dyDescent="0.3">
      <c r="A699" s="504"/>
      <c r="B699" s="504"/>
      <c r="C699" s="504"/>
      <c r="D699" s="504"/>
      <c r="E699" s="506"/>
      <c r="F699" s="506"/>
      <c r="G699" s="506"/>
      <c r="H699" s="506"/>
      <c r="I699" s="506"/>
      <c r="J699" s="506"/>
      <c r="K699" s="507"/>
      <c r="L699" s="508"/>
      <c r="M699" s="508"/>
      <c r="N699" s="508"/>
      <c r="O699" s="509"/>
      <c r="P699" s="509"/>
    </row>
    <row r="700" spans="1:16" ht="21.75" customHeight="1" x14ac:dyDescent="0.3">
      <c r="A700" s="504"/>
      <c r="B700" s="504"/>
      <c r="C700" s="504"/>
      <c r="D700" s="504"/>
      <c r="E700" s="506"/>
      <c r="F700" s="506"/>
      <c r="G700" s="506"/>
      <c r="H700" s="506"/>
      <c r="I700" s="506"/>
      <c r="J700" s="506"/>
      <c r="K700" s="507"/>
      <c r="L700" s="508"/>
      <c r="M700" s="508"/>
      <c r="N700" s="508"/>
      <c r="O700" s="509"/>
      <c r="P700" s="509"/>
    </row>
    <row r="701" spans="1:16" ht="21.75" customHeight="1" x14ac:dyDescent="0.3">
      <c r="A701" s="504"/>
      <c r="B701" s="504"/>
      <c r="C701" s="504"/>
      <c r="D701" s="504"/>
      <c r="E701" s="506"/>
      <c r="F701" s="506"/>
      <c r="G701" s="506"/>
      <c r="H701" s="506"/>
      <c r="I701" s="506"/>
      <c r="J701" s="506"/>
      <c r="K701" s="507"/>
      <c r="L701" s="508"/>
      <c r="M701" s="508"/>
      <c r="N701" s="508"/>
      <c r="O701" s="509"/>
      <c r="P701" s="509"/>
    </row>
    <row r="702" spans="1:16" ht="21.75" customHeight="1" x14ac:dyDescent="0.3">
      <c r="A702" s="504"/>
      <c r="B702" s="504"/>
      <c r="C702" s="504"/>
      <c r="D702" s="504"/>
      <c r="E702" s="506"/>
      <c r="F702" s="506"/>
      <c r="G702" s="506"/>
      <c r="H702" s="506"/>
      <c r="I702" s="506"/>
      <c r="J702" s="506"/>
      <c r="K702" s="507"/>
      <c r="L702" s="508"/>
      <c r="M702" s="508"/>
      <c r="N702" s="508"/>
      <c r="O702" s="509"/>
      <c r="P702" s="509"/>
    </row>
    <row r="703" spans="1:16" ht="21.75" customHeight="1" x14ac:dyDescent="0.3">
      <c r="A703" s="504"/>
      <c r="B703" s="504"/>
      <c r="C703" s="504"/>
      <c r="D703" s="504"/>
      <c r="E703" s="506"/>
      <c r="F703" s="506"/>
      <c r="G703" s="506"/>
      <c r="H703" s="506"/>
      <c r="I703" s="506"/>
      <c r="J703" s="506"/>
      <c r="K703" s="507"/>
      <c r="L703" s="508"/>
      <c r="M703" s="508"/>
      <c r="N703" s="508"/>
      <c r="O703" s="509"/>
      <c r="P703" s="509"/>
    </row>
    <row r="704" spans="1:16" ht="21.75" customHeight="1" x14ac:dyDescent="0.3">
      <c r="A704" s="504"/>
      <c r="B704" s="504"/>
      <c r="C704" s="504"/>
      <c r="D704" s="504"/>
      <c r="E704" s="506"/>
      <c r="F704" s="506"/>
      <c r="G704" s="506"/>
      <c r="H704" s="506"/>
      <c r="I704" s="506"/>
      <c r="J704" s="506"/>
      <c r="K704" s="507"/>
      <c r="L704" s="508"/>
      <c r="M704" s="508"/>
      <c r="N704" s="508"/>
      <c r="O704" s="509"/>
      <c r="P704" s="509"/>
    </row>
    <row r="705" spans="1:16" ht="21.75" customHeight="1" x14ac:dyDescent="0.3">
      <c r="A705" s="504"/>
      <c r="B705" s="504"/>
      <c r="C705" s="504"/>
      <c r="D705" s="504"/>
      <c r="E705" s="506"/>
      <c r="F705" s="506"/>
      <c r="G705" s="506"/>
      <c r="H705" s="506"/>
      <c r="I705" s="506"/>
      <c r="J705" s="506"/>
      <c r="K705" s="507"/>
      <c r="L705" s="508"/>
      <c r="M705" s="508"/>
      <c r="N705" s="508"/>
      <c r="O705" s="509"/>
      <c r="P705" s="509"/>
    </row>
    <row r="706" spans="1:16" ht="21.75" customHeight="1" x14ac:dyDescent="0.3">
      <c r="A706" s="504"/>
      <c r="B706" s="504"/>
      <c r="C706" s="504"/>
      <c r="D706" s="504"/>
      <c r="E706" s="506"/>
      <c r="F706" s="506"/>
      <c r="G706" s="506"/>
      <c r="H706" s="506"/>
      <c r="I706" s="506"/>
      <c r="J706" s="506"/>
      <c r="K706" s="507"/>
      <c r="L706" s="508"/>
      <c r="M706" s="508"/>
      <c r="N706" s="508"/>
      <c r="O706" s="509"/>
      <c r="P706" s="509"/>
    </row>
    <row r="707" spans="1:16" ht="21.75" customHeight="1" x14ac:dyDescent="0.3">
      <c r="A707" s="504"/>
      <c r="B707" s="504"/>
      <c r="C707" s="504"/>
      <c r="D707" s="504"/>
      <c r="E707" s="506"/>
      <c r="F707" s="506"/>
      <c r="G707" s="506"/>
      <c r="H707" s="506"/>
      <c r="I707" s="506"/>
      <c r="J707" s="506"/>
      <c r="K707" s="507"/>
      <c r="L707" s="508"/>
      <c r="M707" s="508"/>
      <c r="N707" s="508"/>
      <c r="O707" s="509"/>
      <c r="P707" s="509"/>
    </row>
    <row r="708" spans="1:16" ht="21.75" customHeight="1" x14ac:dyDescent="0.3">
      <c r="A708" s="504"/>
      <c r="B708" s="504"/>
      <c r="C708" s="504"/>
      <c r="D708" s="504"/>
      <c r="E708" s="506"/>
      <c r="F708" s="506"/>
      <c r="G708" s="506"/>
      <c r="H708" s="506"/>
      <c r="I708" s="506"/>
      <c r="J708" s="506"/>
      <c r="K708" s="507"/>
      <c r="L708" s="508"/>
      <c r="M708" s="508"/>
      <c r="N708" s="508"/>
      <c r="O708" s="509"/>
      <c r="P708" s="509"/>
    </row>
    <row r="709" spans="1:16" ht="21.75" customHeight="1" x14ac:dyDescent="0.3">
      <c r="A709" s="504"/>
      <c r="B709" s="504"/>
      <c r="C709" s="504"/>
      <c r="D709" s="504"/>
      <c r="E709" s="506"/>
      <c r="F709" s="506"/>
      <c r="G709" s="506"/>
      <c r="H709" s="506"/>
      <c r="I709" s="506"/>
      <c r="J709" s="506"/>
      <c r="K709" s="507"/>
      <c r="L709" s="508"/>
      <c r="M709" s="508"/>
      <c r="N709" s="508"/>
      <c r="O709" s="509"/>
      <c r="P709" s="509"/>
    </row>
    <row r="710" spans="1:16" ht="21.75" customHeight="1" x14ac:dyDescent="0.3">
      <c r="A710" s="504"/>
      <c r="B710" s="504"/>
      <c r="C710" s="504"/>
      <c r="D710" s="504"/>
      <c r="E710" s="506"/>
      <c r="F710" s="506"/>
      <c r="G710" s="506"/>
      <c r="H710" s="506"/>
      <c r="I710" s="506"/>
      <c r="J710" s="506"/>
      <c r="K710" s="507"/>
      <c r="L710" s="508"/>
      <c r="M710" s="508"/>
      <c r="N710" s="508"/>
      <c r="O710" s="509"/>
      <c r="P710" s="509"/>
    </row>
    <row r="711" spans="1:16" ht="21.75" customHeight="1" x14ac:dyDescent="0.3">
      <c r="A711" s="504"/>
      <c r="B711" s="504"/>
      <c r="C711" s="504"/>
      <c r="D711" s="504"/>
      <c r="E711" s="506"/>
      <c r="F711" s="506"/>
      <c r="G711" s="506"/>
      <c r="H711" s="506"/>
      <c r="I711" s="506"/>
      <c r="J711" s="506"/>
      <c r="K711" s="507"/>
      <c r="L711" s="508"/>
      <c r="M711" s="508"/>
      <c r="N711" s="508"/>
      <c r="O711" s="509"/>
      <c r="P711" s="509"/>
    </row>
    <row r="712" spans="1:16" ht="21.75" customHeight="1" x14ac:dyDescent="0.3">
      <c r="A712" s="504"/>
      <c r="B712" s="504"/>
      <c r="C712" s="504"/>
      <c r="D712" s="504"/>
      <c r="E712" s="506"/>
      <c r="F712" s="506"/>
      <c r="G712" s="506"/>
      <c r="H712" s="506"/>
      <c r="I712" s="506"/>
      <c r="J712" s="506"/>
      <c r="K712" s="507"/>
      <c r="L712" s="508"/>
      <c r="M712" s="508"/>
      <c r="N712" s="508"/>
      <c r="O712" s="509"/>
      <c r="P712" s="509"/>
    </row>
    <row r="713" spans="1:16" ht="21.75" customHeight="1" x14ac:dyDescent="0.3">
      <c r="A713" s="504"/>
      <c r="B713" s="504"/>
      <c r="C713" s="504"/>
      <c r="D713" s="504"/>
      <c r="E713" s="506"/>
      <c r="F713" s="506"/>
      <c r="G713" s="506"/>
      <c r="H713" s="506"/>
      <c r="I713" s="506"/>
      <c r="J713" s="506"/>
      <c r="K713" s="507"/>
      <c r="L713" s="508"/>
      <c r="M713" s="508"/>
      <c r="N713" s="508"/>
      <c r="O713" s="509"/>
      <c r="P713" s="509"/>
    </row>
    <row r="714" spans="1:16" ht="21.75" customHeight="1" x14ac:dyDescent="0.3">
      <c r="A714" s="504"/>
      <c r="B714" s="504"/>
      <c r="C714" s="504"/>
      <c r="D714" s="504"/>
      <c r="E714" s="506"/>
      <c r="F714" s="506"/>
      <c r="G714" s="506"/>
      <c r="H714" s="506"/>
      <c r="I714" s="506"/>
      <c r="J714" s="506"/>
      <c r="K714" s="507"/>
      <c r="L714" s="508"/>
      <c r="M714" s="508"/>
      <c r="N714" s="508"/>
      <c r="O714" s="509"/>
      <c r="P714" s="509"/>
    </row>
    <row r="715" spans="1:16" ht="21.75" customHeight="1" x14ac:dyDescent="0.3">
      <c r="A715" s="504"/>
      <c r="B715" s="504"/>
      <c r="C715" s="504"/>
      <c r="D715" s="504"/>
      <c r="E715" s="506"/>
      <c r="F715" s="506"/>
      <c r="G715" s="506"/>
      <c r="H715" s="506"/>
      <c r="I715" s="506"/>
      <c r="J715" s="506"/>
      <c r="K715" s="507"/>
      <c r="L715" s="508"/>
      <c r="M715" s="508"/>
      <c r="N715" s="508"/>
      <c r="O715" s="509"/>
      <c r="P715" s="509"/>
    </row>
    <row r="716" spans="1:16" ht="21.75" customHeight="1" x14ac:dyDescent="0.3">
      <c r="A716" s="504"/>
      <c r="B716" s="504"/>
      <c r="C716" s="504"/>
      <c r="D716" s="504"/>
      <c r="E716" s="506"/>
      <c r="F716" s="506"/>
      <c r="G716" s="506"/>
      <c r="H716" s="506"/>
      <c r="I716" s="506"/>
      <c r="J716" s="506"/>
      <c r="K716" s="507"/>
      <c r="L716" s="508"/>
      <c r="M716" s="508"/>
      <c r="N716" s="508"/>
      <c r="O716" s="509"/>
      <c r="P716" s="509"/>
    </row>
    <row r="717" spans="1:16" ht="21.75" customHeight="1" x14ac:dyDescent="0.3">
      <c r="A717" s="504"/>
      <c r="B717" s="504"/>
      <c r="C717" s="504"/>
      <c r="D717" s="504"/>
      <c r="E717" s="506"/>
      <c r="F717" s="506"/>
      <c r="G717" s="506"/>
      <c r="H717" s="506"/>
      <c r="I717" s="506"/>
      <c r="J717" s="506"/>
      <c r="K717" s="507"/>
      <c r="L717" s="508"/>
      <c r="M717" s="508"/>
      <c r="N717" s="508"/>
      <c r="O717" s="509"/>
      <c r="P717" s="509"/>
    </row>
    <row r="718" spans="1:16" ht="21.75" customHeight="1" x14ac:dyDescent="0.3">
      <c r="A718" s="504"/>
      <c r="B718" s="504"/>
      <c r="C718" s="504"/>
      <c r="D718" s="504"/>
      <c r="E718" s="506"/>
      <c r="F718" s="506"/>
      <c r="G718" s="506"/>
      <c r="H718" s="506"/>
      <c r="I718" s="506"/>
      <c r="J718" s="506"/>
      <c r="K718" s="507"/>
      <c r="L718" s="508"/>
      <c r="M718" s="508"/>
      <c r="N718" s="508"/>
      <c r="O718" s="509"/>
      <c r="P718" s="509"/>
    </row>
    <row r="719" spans="1:16" ht="21.75" customHeight="1" x14ac:dyDescent="0.3">
      <c r="A719" s="504"/>
      <c r="B719" s="504"/>
      <c r="C719" s="504"/>
      <c r="D719" s="504"/>
      <c r="E719" s="506"/>
      <c r="F719" s="506"/>
      <c r="G719" s="506"/>
      <c r="H719" s="506"/>
      <c r="I719" s="506"/>
      <c r="J719" s="506"/>
      <c r="K719" s="507"/>
      <c r="L719" s="508"/>
      <c r="M719" s="508"/>
      <c r="N719" s="508"/>
      <c r="O719" s="509"/>
      <c r="P719" s="509"/>
    </row>
    <row r="720" spans="1:16" ht="21.75" customHeight="1" x14ac:dyDescent="0.3">
      <c r="A720" s="504"/>
      <c r="B720" s="504"/>
      <c r="C720" s="504"/>
      <c r="D720" s="504"/>
      <c r="E720" s="506"/>
      <c r="F720" s="506"/>
      <c r="G720" s="506"/>
      <c r="H720" s="506"/>
      <c r="I720" s="506"/>
      <c r="J720" s="506"/>
      <c r="K720" s="507"/>
      <c r="L720" s="508"/>
      <c r="M720" s="508"/>
      <c r="N720" s="508"/>
      <c r="O720" s="509"/>
      <c r="P720" s="509"/>
    </row>
    <row r="721" spans="1:16" ht="21.75" customHeight="1" x14ac:dyDescent="0.3">
      <c r="A721" s="504"/>
      <c r="B721" s="504"/>
      <c r="C721" s="504"/>
      <c r="D721" s="504"/>
      <c r="E721" s="506"/>
      <c r="F721" s="506"/>
      <c r="G721" s="506"/>
      <c r="H721" s="506"/>
      <c r="I721" s="506"/>
      <c r="J721" s="506"/>
      <c r="K721" s="507"/>
      <c r="L721" s="508"/>
      <c r="M721" s="508"/>
      <c r="N721" s="508"/>
      <c r="O721" s="509"/>
      <c r="P721" s="509"/>
    </row>
    <row r="722" spans="1:16" ht="21.75" customHeight="1" x14ac:dyDescent="0.3">
      <c r="A722" s="504"/>
      <c r="B722" s="504"/>
      <c r="C722" s="504"/>
      <c r="D722" s="504"/>
      <c r="E722" s="506"/>
      <c r="F722" s="506"/>
      <c r="G722" s="506"/>
      <c r="H722" s="506"/>
      <c r="I722" s="506"/>
      <c r="J722" s="506"/>
      <c r="K722" s="507"/>
      <c r="L722" s="508"/>
      <c r="M722" s="508"/>
      <c r="N722" s="508"/>
      <c r="O722" s="509"/>
      <c r="P722" s="509"/>
    </row>
    <row r="723" spans="1:16" ht="21.75" customHeight="1" x14ac:dyDescent="0.3">
      <c r="A723" s="504"/>
      <c r="B723" s="504"/>
      <c r="C723" s="504"/>
      <c r="D723" s="504"/>
      <c r="E723" s="506"/>
      <c r="F723" s="506"/>
      <c r="G723" s="506"/>
      <c r="H723" s="506"/>
      <c r="I723" s="506"/>
      <c r="J723" s="506"/>
      <c r="K723" s="507"/>
      <c r="L723" s="508"/>
      <c r="M723" s="508"/>
      <c r="N723" s="508"/>
      <c r="O723" s="509"/>
      <c r="P723" s="509"/>
    </row>
    <row r="724" spans="1:16" ht="21.75" customHeight="1" x14ac:dyDescent="0.3">
      <c r="A724" s="504"/>
      <c r="B724" s="504"/>
      <c r="C724" s="504"/>
      <c r="D724" s="504"/>
      <c r="E724" s="506"/>
      <c r="F724" s="506"/>
      <c r="G724" s="506"/>
      <c r="H724" s="506"/>
      <c r="I724" s="506"/>
      <c r="J724" s="506"/>
      <c r="K724" s="507"/>
      <c r="L724" s="508"/>
      <c r="M724" s="508"/>
      <c r="N724" s="508"/>
      <c r="O724" s="509"/>
      <c r="P724" s="509"/>
    </row>
    <row r="725" spans="1:16" ht="21.75" customHeight="1" x14ac:dyDescent="0.3">
      <c r="A725" s="504"/>
      <c r="B725" s="504"/>
      <c r="C725" s="504"/>
      <c r="D725" s="504"/>
      <c r="E725" s="506"/>
      <c r="F725" s="506"/>
      <c r="G725" s="506"/>
      <c r="H725" s="506"/>
      <c r="I725" s="506"/>
      <c r="J725" s="506"/>
      <c r="K725" s="507"/>
      <c r="L725" s="508"/>
      <c r="M725" s="508"/>
      <c r="N725" s="508"/>
      <c r="O725" s="509"/>
      <c r="P725" s="509"/>
    </row>
    <row r="726" spans="1:16" ht="21.75" customHeight="1" x14ac:dyDescent="0.3">
      <c r="A726" s="504"/>
      <c r="B726" s="504"/>
      <c r="C726" s="504"/>
      <c r="D726" s="504"/>
      <c r="E726" s="506"/>
      <c r="F726" s="506"/>
      <c r="G726" s="506"/>
      <c r="H726" s="506"/>
      <c r="I726" s="506"/>
      <c r="J726" s="506"/>
      <c r="K726" s="507"/>
      <c r="L726" s="508"/>
      <c r="M726" s="508"/>
      <c r="N726" s="508"/>
      <c r="O726" s="509"/>
      <c r="P726" s="509"/>
    </row>
    <row r="727" spans="1:16" ht="21.75" customHeight="1" x14ac:dyDescent="0.3">
      <c r="A727" s="504"/>
      <c r="B727" s="504"/>
      <c r="C727" s="504"/>
      <c r="D727" s="504"/>
      <c r="E727" s="506"/>
      <c r="F727" s="506"/>
      <c r="G727" s="506"/>
      <c r="H727" s="506"/>
      <c r="I727" s="506"/>
      <c r="J727" s="506"/>
      <c r="K727" s="507"/>
      <c r="L727" s="508"/>
      <c r="M727" s="508"/>
      <c r="N727" s="508"/>
      <c r="O727" s="509"/>
      <c r="P727" s="509"/>
    </row>
    <row r="728" spans="1:16" ht="21.75" customHeight="1" x14ac:dyDescent="0.3">
      <c r="A728" s="504"/>
      <c r="B728" s="504"/>
      <c r="C728" s="504"/>
      <c r="D728" s="504"/>
      <c r="E728" s="506"/>
      <c r="F728" s="506"/>
      <c r="G728" s="506"/>
      <c r="H728" s="506"/>
      <c r="I728" s="506"/>
      <c r="J728" s="506"/>
      <c r="K728" s="507"/>
      <c r="L728" s="508"/>
      <c r="M728" s="508"/>
      <c r="N728" s="508"/>
      <c r="O728" s="509"/>
      <c r="P728" s="509"/>
    </row>
    <row r="729" spans="1:16" ht="21.75" customHeight="1" x14ac:dyDescent="0.3">
      <c r="A729" s="504"/>
      <c r="B729" s="504"/>
      <c r="C729" s="504"/>
      <c r="D729" s="504"/>
      <c r="E729" s="506"/>
      <c r="F729" s="506"/>
      <c r="G729" s="506"/>
      <c r="H729" s="506"/>
      <c r="I729" s="506"/>
      <c r="J729" s="506"/>
      <c r="K729" s="507"/>
      <c r="L729" s="508"/>
      <c r="M729" s="508"/>
      <c r="N729" s="508"/>
      <c r="O729" s="509"/>
      <c r="P729" s="509"/>
    </row>
    <row r="730" spans="1:16" ht="21.75" customHeight="1" x14ac:dyDescent="0.3">
      <c r="A730" s="504"/>
      <c r="B730" s="504"/>
      <c r="C730" s="504"/>
      <c r="D730" s="504"/>
      <c r="E730" s="506"/>
      <c r="F730" s="506"/>
      <c r="G730" s="506"/>
      <c r="H730" s="506"/>
      <c r="I730" s="506"/>
      <c r="J730" s="506"/>
      <c r="K730" s="507"/>
      <c r="L730" s="508"/>
      <c r="M730" s="508"/>
      <c r="N730" s="508"/>
      <c r="O730" s="509"/>
      <c r="P730" s="509"/>
    </row>
    <row r="731" spans="1:16" ht="21.75" customHeight="1" x14ac:dyDescent="0.3">
      <c r="A731" s="504"/>
      <c r="B731" s="504"/>
      <c r="C731" s="504"/>
      <c r="D731" s="504"/>
      <c r="E731" s="506"/>
      <c r="F731" s="506"/>
      <c r="G731" s="506"/>
      <c r="H731" s="506"/>
      <c r="I731" s="506"/>
      <c r="J731" s="506"/>
      <c r="K731" s="507"/>
      <c r="L731" s="508"/>
      <c r="M731" s="508"/>
      <c r="N731" s="508"/>
      <c r="O731" s="509"/>
      <c r="P731" s="509"/>
    </row>
    <row r="732" spans="1:16" ht="21.75" customHeight="1" x14ac:dyDescent="0.3">
      <c r="A732" s="504"/>
      <c r="B732" s="504"/>
      <c r="C732" s="504"/>
      <c r="D732" s="504"/>
      <c r="E732" s="506"/>
      <c r="F732" s="506"/>
      <c r="G732" s="506"/>
      <c r="H732" s="506"/>
      <c r="I732" s="506"/>
      <c r="J732" s="506"/>
      <c r="K732" s="507"/>
      <c r="L732" s="508"/>
      <c r="M732" s="508"/>
      <c r="N732" s="508"/>
      <c r="O732" s="509"/>
      <c r="P732" s="509"/>
    </row>
    <row r="733" spans="1:16" ht="21.75" customHeight="1" x14ac:dyDescent="0.3">
      <c r="A733" s="504"/>
      <c r="B733" s="504"/>
      <c r="C733" s="504"/>
      <c r="D733" s="504"/>
      <c r="E733" s="506"/>
      <c r="F733" s="506"/>
      <c r="G733" s="506"/>
      <c r="H733" s="506"/>
      <c r="I733" s="506"/>
      <c r="J733" s="506"/>
      <c r="K733" s="507"/>
      <c r="L733" s="508"/>
      <c r="M733" s="508"/>
      <c r="N733" s="508"/>
      <c r="O733" s="509"/>
      <c r="P733" s="509"/>
    </row>
    <row r="734" spans="1:16" ht="21.75" customHeight="1" x14ac:dyDescent="0.3">
      <c r="A734" s="504"/>
      <c r="B734" s="504"/>
      <c r="C734" s="504"/>
      <c r="D734" s="504"/>
      <c r="E734" s="506"/>
      <c r="F734" s="506"/>
      <c r="G734" s="506"/>
      <c r="H734" s="506"/>
      <c r="I734" s="506"/>
      <c r="J734" s="506"/>
      <c r="K734" s="507"/>
      <c r="L734" s="508"/>
      <c r="M734" s="508"/>
      <c r="N734" s="508"/>
      <c r="O734" s="509"/>
      <c r="P734" s="509"/>
    </row>
    <row r="735" spans="1:16" ht="21.75" customHeight="1" x14ac:dyDescent="0.3">
      <c r="A735" s="504"/>
      <c r="B735" s="504"/>
      <c r="C735" s="504"/>
      <c r="D735" s="504"/>
      <c r="E735" s="506"/>
      <c r="F735" s="506"/>
      <c r="G735" s="506"/>
      <c r="H735" s="506"/>
      <c r="I735" s="506"/>
      <c r="J735" s="506"/>
      <c r="K735" s="507"/>
      <c r="L735" s="508"/>
      <c r="M735" s="508"/>
      <c r="N735" s="508"/>
      <c r="O735" s="509"/>
      <c r="P735" s="509"/>
    </row>
    <row r="736" spans="1:16" ht="21.75" customHeight="1" x14ac:dyDescent="0.3">
      <c r="A736" s="504"/>
      <c r="B736" s="504"/>
      <c r="C736" s="504"/>
      <c r="D736" s="504"/>
      <c r="E736" s="506"/>
      <c r="F736" s="506"/>
      <c r="G736" s="506"/>
      <c r="H736" s="506"/>
      <c r="I736" s="506"/>
      <c r="J736" s="506"/>
      <c r="K736" s="507"/>
      <c r="L736" s="508"/>
      <c r="M736" s="508"/>
      <c r="N736" s="508"/>
      <c r="O736" s="509"/>
      <c r="P736" s="509"/>
    </row>
    <row r="737" spans="1:16" ht="21.75" customHeight="1" x14ac:dyDescent="0.3">
      <c r="A737" s="504"/>
      <c r="B737" s="504"/>
      <c r="C737" s="504"/>
      <c r="D737" s="504"/>
      <c r="E737" s="506"/>
      <c r="F737" s="506"/>
      <c r="G737" s="506"/>
      <c r="H737" s="506"/>
      <c r="I737" s="506"/>
      <c r="J737" s="506"/>
      <c r="K737" s="507"/>
      <c r="L737" s="508"/>
      <c r="M737" s="508"/>
      <c r="N737" s="508"/>
      <c r="O737" s="509"/>
      <c r="P737" s="509"/>
    </row>
    <row r="738" spans="1:16" ht="21.75" customHeight="1" x14ac:dyDescent="0.3">
      <c r="A738" s="504"/>
      <c r="B738" s="504"/>
      <c r="C738" s="504"/>
      <c r="D738" s="504"/>
      <c r="E738" s="506"/>
      <c r="F738" s="506"/>
      <c r="G738" s="506"/>
      <c r="H738" s="506"/>
      <c r="I738" s="506"/>
      <c r="J738" s="506"/>
      <c r="K738" s="507"/>
      <c r="L738" s="508"/>
      <c r="M738" s="508"/>
      <c r="N738" s="508"/>
      <c r="O738" s="509"/>
      <c r="P738" s="509"/>
    </row>
    <row r="739" spans="1:16" ht="21.75" customHeight="1" x14ac:dyDescent="0.3">
      <c r="A739" s="504"/>
      <c r="B739" s="504"/>
      <c r="C739" s="504"/>
      <c r="D739" s="504"/>
      <c r="E739" s="506"/>
      <c r="F739" s="506"/>
      <c r="G739" s="506"/>
      <c r="H739" s="506"/>
      <c r="I739" s="506"/>
      <c r="J739" s="506"/>
      <c r="K739" s="507"/>
      <c r="L739" s="508"/>
      <c r="M739" s="508"/>
      <c r="N739" s="508"/>
      <c r="O739" s="509"/>
      <c r="P739" s="509"/>
    </row>
    <row r="740" spans="1:16" ht="21.75" customHeight="1" x14ac:dyDescent="0.3">
      <c r="A740" s="504"/>
      <c r="B740" s="504"/>
      <c r="C740" s="504"/>
      <c r="D740" s="504"/>
      <c r="E740" s="506"/>
      <c r="F740" s="506"/>
      <c r="G740" s="506"/>
      <c r="H740" s="506"/>
      <c r="I740" s="506"/>
      <c r="J740" s="506"/>
      <c r="K740" s="507"/>
      <c r="L740" s="508"/>
      <c r="M740" s="508"/>
      <c r="N740" s="508"/>
      <c r="O740" s="509"/>
      <c r="P740" s="509"/>
    </row>
    <row r="741" spans="1:16" ht="21.75" customHeight="1" x14ac:dyDescent="0.3">
      <c r="A741" s="504"/>
      <c r="B741" s="504"/>
      <c r="C741" s="504"/>
      <c r="D741" s="504"/>
      <c r="E741" s="506"/>
      <c r="F741" s="506"/>
      <c r="G741" s="506"/>
      <c r="H741" s="506"/>
      <c r="I741" s="506"/>
      <c r="J741" s="506"/>
      <c r="K741" s="507"/>
      <c r="L741" s="508"/>
      <c r="M741" s="508"/>
      <c r="N741" s="508"/>
      <c r="O741" s="509"/>
      <c r="P741" s="509"/>
    </row>
    <row r="742" spans="1:16" ht="21.75" customHeight="1" x14ac:dyDescent="0.3">
      <c r="A742" s="504"/>
      <c r="B742" s="504"/>
      <c r="C742" s="504"/>
      <c r="D742" s="504"/>
      <c r="E742" s="506"/>
      <c r="F742" s="506"/>
      <c r="G742" s="506"/>
      <c r="H742" s="506"/>
      <c r="I742" s="506"/>
      <c r="J742" s="506"/>
      <c r="K742" s="507"/>
      <c r="L742" s="508"/>
      <c r="M742" s="508"/>
      <c r="N742" s="508"/>
      <c r="O742" s="509"/>
      <c r="P742" s="509"/>
    </row>
    <row r="743" spans="1:16" ht="21.75" customHeight="1" x14ac:dyDescent="0.3">
      <c r="A743" s="504"/>
      <c r="B743" s="504"/>
      <c r="C743" s="504"/>
      <c r="D743" s="504"/>
      <c r="E743" s="506"/>
      <c r="F743" s="506"/>
      <c r="G743" s="506"/>
      <c r="H743" s="506"/>
      <c r="I743" s="506"/>
      <c r="J743" s="506"/>
      <c r="K743" s="507"/>
      <c r="L743" s="508"/>
      <c r="M743" s="508"/>
      <c r="N743" s="508"/>
      <c r="O743" s="509"/>
      <c r="P743" s="509"/>
    </row>
    <row r="744" spans="1:16" ht="21.75" customHeight="1" x14ac:dyDescent="0.3">
      <c r="A744" s="504"/>
      <c r="B744" s="504"/>
      <c r="C744" s="504"/>
      <c r="D744" s="504"/>
      <c r="E744" s="506"/>
      <c r="F744" s="506"/>
      <c r="G744" s="506"/>
      <c r="H744" s="506"/>
      <c r="I744" s="506"/>
      <c r="J744" s="506"/>
      <c r="K744" s="507"/>
      <c r="L744" s="508"/>
      <c r="M744" s="508"/>
      <c r="N744" s="508"/>
      <c r="O744" s="509"/>
      <c r="P744" s="509"/>
    </row>
    <row r="745" spans="1:16" ht="21.75" customHeight="1" x14ac:dyDescent="0.3">
      <c r="A745" s="504"/>
      <c r="B745" s="504"/>
      <c r="C745" s="504"/>
      <c r="D745" s="504"/>
      <c r="E745" s="506"/>
      <c r="F745" s="506"/>
      <c r="G745" s="506"/>
      <c r="H745" s="506"/>
      <c r="I745" s="506"/>
      <c r="J745" s="506"/>
      <c r="K745" s="507"/>
      <c r="L745" s="508"/>
      <c r="M745" s="508"/>
      <c r="N745" s="508"/>
      <c r="O745" s="509"/>
      <c r="P745" s="509"/>
    </row>
    <row r="746" spans="1:16" ht="21.75" customHeight="1" x14ac:dyDescent="0.3">
      <c r="A746" s="504"/>
      <c r="B746" s="504"/>
      <c r="C746" s="504"/>
      <c r="D746" s="504"/>
      <c r="E746" s="506"/>
      <c r="F746" s="506"/>
      <c r="G746" s="506"/>
      <c r="H746" s="506"/>
      <c r="I746" s="506"/>
      <c r="J746" s="506"/>
      <c r="K746" s="507"/>
      <c r="L746" s="508"/>
      <c r="M746" s="508"/>
      <c r="N746" s="508"/>
      <c r="O746" s="509"/>
      <c r="P746" s="509"/>
    </row>
    <row r="747" spans="1:16" ht="21.75" customHeight="1" x14ac:dyDescent="0.3">
      <c r="A747" s="504"/>
      <c r="B747" s="504"/>
      <c r="C747" s="504"/>
      <c r="D747" s="504"/>
      <c r="E747" s="506"/>
      <c r="F747" s="506"/>
      <c r="G747" s="506"/>
      <c r="H747" s="506"/>
      <c r="I747" s="506"/>
      <c r="J747" s="506"/>
      <c r="K747" s="507"/>
      <c r="L747" s="508"/>
      <c r="M747" s="508"/>
      <c r="N747" s="508"/>
      <c r="O747" s="509"/>
      <c r="P747" s="509"/>
    </row>
    <row r="748" spans="1:16" ht="21.75" customHeight="1" x14ac:dyDescent="0.3">
      <c r="A748" s="504"/>
      <c r="B748" s="504"/>
      <c r="C748" s="504"/>
      <c r="D748" s="504"/>
      <c r="E748" s="506"/>
      <c r="F748" s="506"/>
      <c r="G748" s="506"/>
      <c r="H748" s="506"/>
      <c r="I748" s="506"/>
      <c r="J748" s="506"/>
      <c r="K748" s="507"/>
      <c r="L748" s="508"/>
      <c r="M748" s="508"/>
      <c r="N748" s="508"/>
      <c r="O748" s="509"/>
      <c r="P748" s="509"/>
    </row>
    <row r="749" spans="1:16" ht="21.75" customHeight="1" x14ac:dyDescent="0.3">
      <c r="A749" s="504"/>
      <c r="B749" s="504"/>
      <c r="C749" s="504"/>
      <c r="D749" s="504"/>
      <c r="E749" s="506"/>
      <c r="F749" s="506"/>
      <c r="G749" s="506"/>
      <c r="H749" s="506"/>
      <c r="I749" s="506"/>
      <c r="J749" s="506"/>
      <c r="K749" s="507"/>
      <c r="L749" s="508"/>
      <c r="M749" s="508"/>
      <c r="N749" s="508"/>
      <c r="O749" s="509"/>
      <c r="P749" s="509"/>
    </row>
    <row r="750" spans="1:16" ht="21.75" customHeight="1" x14ac:dyDescent="0.3">
      <c r="A750" s="504"/>
      <c r="B750" s="504"/>
      <c r="C750" s="504"/>
      <c r="D750" s="504"/>
      <c r="E750" s="506"/>
      <c r="F750" s="506"/>
      <c r="G750" s="506"/>
      <c r="H750" s="506"/>
      <c r="I750" s="506"/>
      <c r="J750" s="506"/>
      <c r="K750" s="507"/>
      <c r="L750" s="508"/>
      <c r="M750" s="508"/>
      <c r="N750" s="508"/>
      <c r="O750" s="509"/>
      <c r="P750" s="509"/>
    </row>
    <row r="751" spans="1:16" ht="21.75" customHeight="1" x14ac:dyDescent="0.3">
      <c r="A751" s="504"/>
      <c r="B751" s="504"/>
      <c r="C751" s="504"/>
      <c r="D751" s="504"/>
      <c r="E751" s="506"/>
      <c r="F751" s="506"/>
      <c r="G751" s="506"/>
      <c r="H751" s="506"/>
      <c r="I751" s="506"/>
      <c r="J751" s="506"/>
      <c r="K751" s="507"/>
      <c r="L751" s="508"/>
      <c r="M751" s="508"/>
      <c r="N751" s="508"/>
      <c r="O751" s="509"/>
      <c r="P751" s="509"/>
    </row>
    <row r="752" spans="1:16" ht="21.75" customHeight="1" x14ac:dyDescent="0.3">
      <c r="A752" s="504"/>
      <c r="B752" s="504"/>
      <c r="C752" s="504"/>
      <c r="D752" s="504"/>
      <c r="E752" s="506"/>
      <c r="F752" s="506"/>
      <c r="G752" s="506"/>
      <c r="H752" s="506"/>
      <c r="I752" s="506"/>
      <c r="J752" s="506"/>
      <c r="K752" s="507"/>
      <c r="L752" s="508"/>
      <c r="M752" s="508"/>
      <c r="N752" s="508"/>
      <c r="O752" s="509"/>
      <c r="P752" s="509"/>
    </row>
    <row r="753" spans="1:16" ht="21.75" customHeight="1" x14ac:dyDescent="0.3">
      <c r="A753" s="504"/>
      <c r="B753" s="504"/>
      <c r="C753" s="504"/>
      <c r="D753" s="504"/>
      <c r="E753" s="506"/>
      <c r="F753" s="506"/>
      <c r="G753" s="506"/>
      <c r="H753" s="506"/>
      <c r="I753" s="506"/>
      <c r="J753" s="506"/>
      <c r="K753" s="507"/>
      <c r="L753" s="508"/>
      <c r="M753" s="508"/>
      <c r="N753" s="508"/>
      <c r="O753" s="509"/>
      <c r="P753" s="509"/>
    </row>
    <row r="754" spans="1:16" ht="21.75" customHeight="1" x14ac:dyDescent="0.3">
      <c r="A754" s="504"/>
      <c r="B754" s="504"/>
      <c r="C754" s="504"/>
      <c r="D754" s="504"/>
      <c r="E754" s="506"/>
      <c r="F754" s="506"/>
      <c r="G754" s="506"/>
      <c r="H754" s="506"/>
      <c r="I754" s="506"/>
      <c r="J754" s="506"/>
      <c r="K754" s="507"/>
      <c r="L754" s="508"/>
      <c r="M754" s="508"/>
      <c r="N754" s="508"/>
      <c r="O754" s="509"/>
      <c r="P754" s="509"/>
    </row>
    <row r="755" spans="1:16" ht="21.75" customHeight="1" x14ac:dyDescent="0.3">
      <c r="A755" s="504"/>
      <c r="B755" s="504"/>
      <c r="C755" s="504"/>
      <c r="D755" s="504"/>
      <c r="E755" s="506"/>
      <c r="F755" s="506"/>
      <c r="G755" s="506"/>
      <c r="H755" s="506"/>
      <c r="I755" s="506"/>
      <c r="J755" s="506"/>
      <c r="K755" s="507"/>
      <c r="L755" s="508"/>
      <c r="M755" s="508"/>
      <c r="N755" s="508"/>
      <c r="O755" s="509"/>
      <c r="P755" s="509"/>
    </row>
    <row r="756" spans="1:16" ht="21.75" customHeight="1" x14ac:dyDescent="0.3">
      <c r="A756" s="504"/>
      <c r="B756" s="504"/>
      <c r="C756" s="504"/>
      <c r="D756" s="504"/>
      <c r="E756" s="506"/>
      <c r="F756" s="506"/>
      <c r="G756" s="506"/>
      <c r="H756" s="506"/>
      <c r="I756" s="506"/>
      <c r="J756" s="506"/>
      <c r="K756" s="507"/>
      <c r="L756" s="508"/>
      <c r="M756" s="508"/>
      <c r="N756" s="508"/>
      <c r="O756" s="509"/>
      <c r="P756" s="509"/>
    </row>
    <row r="757" spans="1:16" ht="21.75" customHeight="1" x14ac:dyDescent="0.3">
      <c r="A757" s="504"/>
      <c r="B757" s="504"/>
      <c r="C757" s="504"/>
      <c r="D757" s="504"/>
      <c r="E757" s="506"/>
      <c r="F757" s="506"/>
      <c r="G757" s="506"/>
      <c r="H757" s="506"/>
      <c r="I757" s="506"/>
      <c r="J757" s="506"/>
      <c r="K757" s="507"/>
      <c r="L757" s="508"/>
      <c r="M757" s="508"/>
      <c r="N757" s="508"/>
      <c r="O757" s="509"/>
      <c r="P757" s="509"/>
    </row>
    <row r="758" spans="1:16" ht="21.75" customHeight="1" x14ac:dyDescent="0.3">
      <c r="A758" s="504"/>
      <c r="B758" s="504"/>
      <c r="C758" s="504"/>
      <c r="D758" s="504"/>
      <c r="E758" s="506"/>
      <c r="F758" s="506"/>
      <c r="G758" s="506"/>
      <c r="H758" s="506"/>
      <c r="I758" s="506"/>
      <c r="J758" s="506"/>
      <c r="K758" s="507"/>
      <c r="L758" s="508"/>
      <c r="M758" s="508"/>
      <c r="N758" s="508"/>
      <c r="O758" s="509"/>
      <c r="P758" s="509"/>
    </row>
    <row r="759" spans="1:16" ht="21.75" customHeight="1" x14ac:dyDescent="0.3">
      <c r="A759" s="504"/>
      <c r="B759" s="504"/>
      <c r="C759" s="504"/>
      <c r="D759" s="504"/>
      <c r="E759" s="506"/>
      <c r="F759" s="506"/>
      <c r="G759" s="506"/>
      <c r="H759" s="506"/>
      <c r="I759" s="506"/>
      <c r="J759" s="506"/>
      <c r="K759" s="507"/>
      <c r="L759" s="508"/>
      <c r="M759" s="508"/>
      <c r="N759" s="508"/>
      <c r="O759" s="509"/>
      <c r="P759" s="509"/>
    </row>
    <row r="760" spans="1:16" ht="21.75" customHeight="1" x14ac:dyDescent="0.3">
      <c r="A760" s="504"/>
      <c r="B760" s="504"/>
      <c r="C760" s="504"/>
      <c r="D760" s="504"/>
      <c r="E760" s="506"/>
      <c r="F760" s="506"/>
      <c r="G760" s="506"/>
      <c r="H760" s="506"/>
      <c r="I760" s="506"/>
      <c r="J760" s="506"/>
      <c r="K760" s="507"/>
      <c r="L760" s="508"/>
      <c r="M760" s="508"/>
      <c r="N760" s="508"/>
      <c r="O760" s="509"/>
      <c r="P760" s="509"/>
    </row>
    <row r="761" spans="1:16" ht="21.75" customHeight="1" x14ac:dyDescent="0.3">
      <c r="A761" s="504"/>
      <c r="B761" s="504"/>
      <c r="C761" s="504"/>
      <c r="D761" s="504"/>
      <c r="E761" s="506"/>
      <c r="F761" s="506"/>
      <c r="G761" s="506"/>
      <c r="H761" s="506"/>
      <c r="I761" s="506"/>
      <c r="J761" s="506"/>
      <c r="K761" s="507"/>
      <c r="L761" s="508"/>
      <c r="M761" s="508"/>
      <c r="N761" s="508"/>
      <c r="O761" s="509"/>
      <c r="P761" s="509"/>
    </row>
    <row r="762" spans="1:16" ht="21.75" customHeight="1" x14ac:dyDescent="0.3">
      <c r="A762" s="504"/>
      <c r="B762" s="504"/>
      <c r="C762" s="504"/>
      <c r="D762" s="504"/>
      <c r="E762" s="506"/>
      <c r="F762" s="506"/>
      <c r="G762" s="506"/>
      <c r="H762" s="506"/>
      <c r="I762" s="506"/>
      <c r="J762" s="506"/>
      <c r="K762" s="507"/>
      <c r="L762" s="508"/>
      <c r="M762" s="508"/>
      <c r="N762" s="508"/>
      <c r="O762" s="509"/>
      <c r="P762" s="509"/>
    </row>
    <row r="763" spans="1:16" ht="21.75" customHeight="1" x14ac:dyDescent="0.3">
      <c r="A763" s="504"/>
      <c r="B763" s="504"/>
      <c r="C763" s="504"/>
      <c r="D763" s="504"/>
      <c r="E763" s="506"/>
      <c r="F763" s="506"/>
      <c r="G763" s="506"/>
      <c r="H763" s="506"/>
      <c r="I763" s="506"/>
      <c r="J763" s="506"/>
      <c r="K763" s="507"/>
      <c r="L763" s="508"/>
      <c r="M763" s="508"/>
      <c r="N763" s="508"/>
      <c r="O763" s="509"/>
      <c r="P763" s="509"/>
    </row>
    <row r="764" spans="1:16" ht="21.75" customHeight="1" x14ac:dyDescent="0.3">
      <c r="A764" s="504"/>
      <c r="B764" s="504"/>
      <c r="C764" s="504"/>
      <c r="D764" s="504"/>
      <c r="E764" s="506"/>
      <c r="F764" s="506"/>
      <c r="G764" s="506"/>
      <c r="H764" s="506"/>
      <c r="I764" s="506"/>
      <c r="J764" s="506"/>
      <c r="K764" s="507"/>
      <c r="L764" s="508"/>
      <c r="M764" s="508"/>
      <c r="N764" s="508"/>
      <c r="O764" s="509"/>
      <c r="P764" s="509"/>
    </row>
    <row r="765" spans="1:16" ht="21.75" customHeight="1" x14ac:dyDescent="0.3">
      <c r="A765" s="504"/>
      <c r="B765" s="504"/>
      <c r="C765" s="504"/>
      <c r="D765" s="504"/>
      <c r="E765" s="506"/>
      <c r="F765" s="506"/>
      <c r="G765" s="506"/>
      <c r="H765" s="506"/>
      <c r="I765" s="506"/>
      <c r="J765" s="506"/>
      <c r="K765" s="507"/>
      <c r="L765" s="508"/>
      <c r="M765" s="508"/>
      <c r="N765" s="508"/>
      <c r="O765" s="509"/>
      <c r="P765" s="509"/>
    </row>
    <row r="766" spans="1:16" ht="21.75" customHeight="1" x14ac:dyDescent="0.3">
      <c r="A766" s="504"/>
      <c r="B766" s="504"/>
      <c r="C766" s="504"/>
      <c r="D766" s="504"/>
      <c r="E766" s="506"/>
      <c r="F766" s="506"/>
      <c r="G766" s="506"/>
      <c r="H766" s="506"/>
      <c r="I766" s="506"/>
      <c r="J766" s="506"/>
      <c r="K766" s="507"/>
      <c r="L766" s="508"/>
      <c r="M766" s="508"/>
      <c r="N766" s="508"/>
      <c r="O766" s="509"/>
      <c r="P766" s="509"/>
    </row>
    <row r="767" spans="1:16" ht="21.75" customHeight="1" x14ac:dyDescent="0.3">
      <c r="A767" s="504"/>
      <c r="B767" s="504"/>
      <c r="C767" s="504"/>
      <c r="D767" s="504"/>
      <c r="E767" s="506"/>
      <c r="F767" s="506"/>
      <c r="G767" s="506"/>
      <c r="H767" s="506"/>
      <c r="I767" s="506"/>
      <c r="J767" s="506"/>
      <c r="K767" s="507"/>
      <c r="L767" s="508"/>
      <c r="M767" s="508"/>
      <c r="N767" s="508"/>
      <c r="O767" s="509"/>
      <c r="P767" s="509"/>
    </row>
    <row r="768" spans="1:16" ht="21.75" customHeight="1" x14ac:dyDescent="0.3">
      <c r="A768" s="504"/>
      <c r="B768" s="504"/>
      <c r="C768" s="504"/>
      <c r="D768" s="504"/>
      <c r="E768" s="506"/>
      <c r="F768" s="506"/>
      <c r="G768" s="506"/>
      <c r="H768" s="506"/>
      <c r="I768" s="506"/>
      <c r="J768" s="506"/>
      <c r="K768" s="507"/>
      <c r="L768" s="508"/>
      <c r="M768" s="508"/>
      <c r="N768" s="508"/>
      <c r="O768" s="509"/>
      <c r="P768" s="509"/>
    </row>
    <row r="769" spans="1:16" ht="21.75" customHeight="1" x14ac:dyDescent="0.3">
      <c r="A769" s="504"/>
      <c r="B769" s="504"/>
      <c r="C769" s="504"/>
      <c r="D769" s="504"/>
      <c r="E769" s="506"/>
      <c r="F769" s="506"/>
      <c r="G769" s="506"/>
      <c r="H769" s="506"/>
      <c r="I769" s="506"/>
      <c r="J769" s="506"/>
      <c r="K769" s="507"/>
      <c r="L769" s="508"/>
      <c r="M769" s="508"/>
      <c r="N769" s="508"/>
      <c r="O769" s="509"/>
      <c r="P769" s="509"/>
    </row>
    <row r="770" spans="1:16" ht="21.75" customHeight="1" x14ac:dyDescent="0.3">
      <c r="A770" s="504"/>
      <c r="B770" s="504"/>
      <c r="C770" s="504"/>
      <c r="D770" s="504"/>
      <c r="E770" s="506"/>
      <c r="F770" s="506"/>
      <c r="G770" s="506"/>
      <c r="H770" s="506"/>
      <c r="I770" s="506"/>
      <c r="J770" s="506"/>
      <c r="K770" s="507"/>
      <c r="L770" s="508"/>
      <c r="M770" s="508"/>
      <c r="N770" s="508"/>
      <c r="O770" s="509"/>
      <c r="P770" s="509"/>
    </row>
    <row r="771" spans="1:16" ht="21.75" customHeight="1" x14ac:dyDescent="0.3">
      <c r="A771" s="504"/>
      <c r="B771" s="504"/>
      <c r="C771" s="504"/>
      <c r="D771" s="504"/>
      <c r="E771" s="506"/>
      <c r="F771" s="506"/>
      <c r="G771" s="506"/>
      <c r="H771" s="506"/>
      <c r="I771" s="506"/>
      <c r="J771" s="506"/>
      <c r="K771" s="507"/>
      <c r="L771" s="508"/>
      <c r="M771" s="508"/>
      <c r="N771" s="508"/>
      <c r="O771" s="509"/>
      <c r="P771" s="509"/>
    </row>
    <row r="772" spans="1:16" ht="21.75" customHeight="1" x14ac:dyDescent="0.3">
      <c r="A772" s="504"/>
      <c r="B772" s="504"/>
      <c r="C772" s="504"/>
      <c r="D772" s="504"/>
      <c r="E772" s="506"/>
      <c r="F772" s="506"/>
      <c r="G772" s="506"/>
      <c r="H772" s="506"/>
      <c r="I772" s="506"/>
      <c r="J772" s="506"/>
      <c r="K772" s="507"/>
      <c r="L772" s="508"/>
      <c r="M772" s="508"/>
      <c r="N772" s="508"/>
      <c r="O772" s="509"/>
      <c r="P772" s="509"/>
    </row>
    <row r="773" spans="1:16" ht="21.75" customHeight="1" x14ac:dyDescent="0.3">
      <c r="A773" s="504"/>
      <c r="B773" s="504"/>
      <c r="C773" s="504"/>
      <c r="D773" s="504"/>
      <c r="E773" s="506"/>
      <c r="F773" s="506"/>
      <c r="G773" s="506"/>
      <c r="H773" s="506"/>
      <c r="I773" s="506"/>
      <c r="J773" s="506"/>
      <c r="K773" s="507"/>
      <c r="L773" s="508"/>
      <c r="M773" s="508"/>
      <c r="N773" s="508"/>
      <c r="O773" s="509"/>
      <c r="P773" s="509"/>
    </row>
    <row r="774" spans="1:16" ht="21.75" customHeight="1" x14ac:dyDescent="0.3">
      <c r="A774" s="504"/>
      <c r="B774" s="504"/>
      <c r="C774" s="504"/>
      <c r="D774" s="504"/>
      <c r="E774" s="506"/>
      <c r="F774" s="506"/>
      <c r="G774" s="506"/>
      <c r="H774" s="506"/>
      <c r="I774" s="506"/>
      <c r="J774" s="506"/>
      <c r="K774" s="507"/>
      <c r="L774" s="508"/>
      <c r="M774" s="508"/>
      <c r="N774" s="508"/>
      <c r="O774" s="509"/>
      <c r="P774" s="509"/>
    </row>
    <row r="775" spans="1:16" ht="21.75" customHeight="1" x14ac:dyDescent="0.3">
      <c r="A775" s="504"/>
      <c r="B775" s="504"/>
      <c r="C775" s="504"/>
      <c r="D775" s="504"/>
      <c r="E775" s="506"/>
      <c r="F775" s="506"/>
      <c r="G775" s="506"/>
      <c r="H775" s="506"/>
      <c r="I775" s="506"/>
      <c r="J775" s="506"/>
      <c r="K775" s="507"/>
      <c r="L775" s="508"/>
      <c r="M775" s="508"/>
      <c r="N775" s="508"/>
      <c r="O775" s="509"/>
      <c r="P775" s="509"/>
    </row>
    <row r="776" spans="1:16" ht="21.75" customHeight="1" x14ac:dyDescent="0.3">
      <c r="A776" s="504"/>
      <c r="B776" s="504"/>
      <c r="C776" s="504"/>
      <c r="D776" s="504"/>
      <c r="E776" s="506"/>
      <c r="F776" s="506"/>
      <c r="G776" s="506"/>
      <c r="H776" s="506"/>
      <c r="I776" s="506"/>
      <c r="J776" s="506"/>
      <c r="K776" s="507"/>
      <c r="L776" s="508"/>
      <c r="M776" s="508"/>
      <c r="N776" s="508"/>
      <c r="O776" s="509"/>
      <c r="P776" s="509"/>
    </row>
    <row r="777" spans="1:16" ht="21.75" customHeight="1" x14ac:dyDescent="0.3">
      <c r="A777" s="504"/>
      <c r="B777" s="504"/>
      <c r="C777" s="504"/>
      <c r="D777" s="504"/>
      <c r="E777" s="506"/>
      <c r="F777" s="506"/>
      <c r="G777" s="506"/>
      <c r="H777" s="506"/>
      <c r="I777" s="506"/>
      <c r="J777" s="506"/>
      <c r="K777" s="507"/>
      <c r="L777" s="508"/>
      <c r="M777" s="508"/>
      <c r="N777" s="508"/>
      <c r="O777" s="509"/>
      <c r="P777" s="509"/>
    </row>
    <row r="778" spans="1:16" ht="21.75" customHeight="1" x14ac:dyDescent="0.3">
      <c r="A778" s="504"/>
      <c r="B778" s="504"/>
      <c r="C778" s="504"/>
      <c r="D778" s="504"/>
      <c r="E778" s="506"/>
      <c r="F778" s="506"/>
      <c r="G778" s="506"/>
      <c r="H778" s="506"/>
      <c r="I778" s="506"/>
      <c r="J778" s="506"/>
      <c r="K778" s="507"/>
      <c r="L778" s="508"/>
      <c r="M778" s="508"/>
      <c r="N778" s="508"/>
      <c r="O778" s="509"/>
      <c r="P778" s="509"/>
    </row>
    <row r="779" spans="1:16" ht="21.75" customHeight="1" x14ac:dyDescent="0.3">
      <c r="A779" s="504"/>
      <c r="B779" s="504"/>
      <c r="C779" s="504"/>
      <c r="D779" s="504"/>
      <c r="E779" s="506"/>
      <c r="F779" s="506"/>
      <c r="G779" s="506"/>
      <c r="H779" s="506"/>
      <c r="I779" s="506"/>
      <c r="J779" s="506"/>
      <c r="K779" s="507"/>
      <c r="L779" s="508"/>
      <c r="M779" s="508"/>
      <c r="N779" s="508"/>
      <c r="O779" s="509"/>
      <c r="P779" s="509"/>
    </row>
    <row r="780" spans="1:16" ht="21.75" customHeight="1" x14ac:dyDescent="0.3">
      <c r="A780" s="504"/>
      <c r="B780" s="504"/>
      <c r="C780" s="504"/>
      <c r="D780" s="504"/>
      <c r="E780" s="506"/>
      <c r="F780" s="506"/>
      <c r="G780" s="506"/>
      <c r="H780" s="506"/>
      <c r="I780" s="506"/>
      <c r="J780" s="506"/>
      <c r="K780" s="507"/>
      <c r="L780" s="508"/>
      <c r="M780" s="508"/>
      <c r="N780" s="508"/>
      <c r="O780" s="509"/>
      <c r="P780" s="509"/>
    </row>
    <row r="781" spans="1:16" ht="21.75" customHeight="1" x14ac:dyDescent="0.3">
      <c r="A781" s="504"/>
      <c r="B781" s="504"/>
      <c r="C781" s="504"/>
      <c r="D781" s="504"/>
      <c r="E781" s="506"/>
      <c r="F781" s="506"/>
      <c r="G781" s="506"/>
      <c r="H781" s="506"/>
      <c r="I781" s="506"/>
      <c r="J781" s="506"/>
      <c r="K781" s="507"/>
      <c r="L781" s="508"/>
      <c r="M781" s="508"/>
      <c r="N781" s="508"/>
      <c r="O781" s="509"/>
      <c r="P781" s="509"/>
    </row>
    <row r="782" spans="1:16" ht="21.75" customHeight="1" x14ac:dyDescent="0.3">
      <c r="A782" s="504"/>
      <c r="B782" s="504"/>
      <c r="C782" s="504"/>
      <c r="D782" s="504"/>
      <c r="E782" s="506"/>
      <c r="F782" s="506"/>
      <c r="G782" s="506"/>
      <c r="H782" s="506"/>
      <c r="I782" s="506"/>
      <c r="J782" s="506"/>
      <c r="K782" s="507"/>
      <c r="L782" s="508"/>
      <c r="M782" s="508"/>
      <c r="N782" s="508"/>
      <c r="O782" s="509"/>
      <c r="P782" s="509"/>
    </row>
    <row r="783" spans="1:16" ht="21.75" customHeight="1" x14ac:dyDescent="0.3">
      <c r="A783" s="504"/>
      <c r="B783" s="504"/>
      <c r="C783" s="504"/>
      <c r="D783" s="504"/>
      <c r="E783" s="506"/>
      <c r="F783" s="506"/>
      <c r="G783" s="506"/>
      <c r="H783" s="506"/>
      <c r="I783" s="506"/>
      <c r="J783" s="506"/>
      <c r="K783" s="507"/>
      <c r="L783" s="508"/>
      <c r="M783" s="508"/>
      <c r="N783" s="508"/>
      <c r="O783" s="509"/>
      <c r="P783" s="509"/>
    </row>
    <row r="784" spans="1:16" ht="21.75" customHeight="1" x14ac:dyDescent="0.3">
      <c r="A784" s="504"/>
      <c r="B784" s="504"/>
      <c r="C784" s="504"/>
      <c r="D784" s="504"/>
      <c r="E784" s="506"/>
      <c r="F784" s="506"/>
      <c r="G784" s="506"/>
      <c r="H784" s="506"/>
      <c r="I784" s="506"/>
      <c r="J784" s="506"/>
      <c r="K784" s="507"/>
      <c r="L784" s="508"/>
      <c r="M784" s="508"/>
      <c r="N784" s="508"/>
      <c r="O784" s="509"/>
      <c r="P784" s="509"/>
    </row>
    <row r="785" spans="1:16" ht="21.75" customHeight="1" x14ac:dyDescent="0.3">
      <c r="A785" s="504"/>
      <c r="B785" s="504"/>
      <c r="C785" s="504"/>
      <c r="D785" s="504"/>
      <c r="E785" s="506"/>
      <c r="F785" s="506"/>
      <c r="G785" s="506"/>
      <c r="H785" s="506"/>
      <c r="I785" s="506"/>
      <c r="J785" s="506"/>
      <c r="K785" s="507"/>
      <c r="L785" s="508"/>
      <c r="M785" s="508"/>
      <c r="N785" s="508"/>
      <c r="O785" s="509"/>
      <c r="P785" s="509"/>
    </row>
    <row r="786" spans="1:16" ht="21.75" customHeight="1" x14ac:dyDescent="0.3">
      <c r="A786" s="504"/>
      <c r="B786" s="504"/>
      <c r="C786" s="504"/>
      <c r="D786" s="504"/>
      <c r="E786" s="506"/>
      <c r="F786" s="506"/>
      <c r="G786" s="506"/>
      <c r="H786" s="506"/>
      <c r="I786" s="506"/>
      <c r="J786" s="506"/>
      <c r="K786" s="507"/>
      <c r="L786" s="508"/>
      <c r="M786" s="508"/>
      <c r="N786" s="508"/>
      <c r="O786" s="509"/>
      <c r="P786" s="509"/>
    </row>
    <row r="787" spans="1:16" ht="21.75" customHeight="1" x14ac:dyDescent="0.3">
      <c r="A787" s="504"/>
      <c r="B787" s="504"/>
      <c r="C787" s="504"/>
      <c r="D787" s="504"/>
      <c r="E787" s="506"/>
      <c r="F787" s="506"/>
      <c r="G787" s="506"/>
      <c r="H787" s="506"/>
      <c r="I787" s="506"/>
      <c r="J787" s="506"/>
      <c r="K787" s="507"/>
      <c r="L787" s="508"/>
      <c r="M787" s="508"/>
      <c r="N787" s="508"/>
      <c r="O787" s="509"/>
      <c r="P787" s="509"/>
    </row>
    <row r="788" spans="1:16" ht="21.75" customHeight="1" x14ac:dyDescent="0.3">
      <c r="A788" s="504"/>
      <c r="B788" s="504"/>
      <c r="C788" s="504"/>
      <c r="D788" s="504"/>
      <c r="E788" s="506"/>
      <c r="F788" s="506"/>
      <c r="G788" s="506"/>
      <c r="H788" s="506"/>
      <c r="I788" s="506"/>
      <c r="J788" s="506"/>
      <c r="K788" s="507"/>
      <c r="L788" s="508"/>
      <c r="M788" s="508"/>
      <c r="N788" s="508"/>
      <c r="O788" s="509"/>
      <c r="P788" s="509"/>
    </row>
    <row r="789" spans="1:16" ht="21.75" customHeight="1" x14ac:dyDescent="0.3">
      <c r="A789" s="504"/>
      <c r="B789" s="504"/>
      <c r="C789" s="504"/>
      <c r="D789" s="504"/>
      <c r="E789" s="506"/>
      <c r="F789" s="506"/>
      <c r="G789" s="506"/>
      <c r="H789" s="506"/>
      <c r="I789" s="506"/>
      <c r="J789" s="506"/>
      <c r="K789" s="507"/>
      <c r="L789" s="508"/>
      <c r="M789" s="508"/>
      <c r="N789" s="508"/>
      <c r="O789" s="509"/>
      <c r="P789" s="509"/>
    </row>
    <row r="790" spans="1:16" ht="21.75" customHeight="1" x14ac:dyDescent="0.3">
      <c r="A790" s="504"/>
      <c r="B790" s="504"/>
      <c r="C790" s="504"/>
      <c r="D790" s="504"/>
      <c r="E790" s="506"/>
      <c r="F790" s="506"/>
      <c r="G790" s="506"/>
      <c r="H790" s="506"/>
      <c r="I790" s="506"/>
      <c r="J790" s="506"/>
      <c r="K790" s="507"/>
      <c r="L790" s="508"/>
      <c r="M790" s="508"/>
      <c r="N790" s="508"/>
      <c r="O790" s="509"/>
      <c r="P790" s="509"/>
    </row>
    <row r="791" spans="1:16" ht="21.75" customHeight="1" x14ac:dyDescent="0.3">
      <c r="A791" s="504"/>
      <c r="B791" s="504"/>
      <c r="C791" s="504"/>
      <c r="D791" s="504"/>
      <c r="E791" s="506"/>
      <c r="F791" s="506"/>
      <c r="G791" s="506"/>
      <c r="H791" s="506"/>
      <c r="I791" s="506"/>
      <c r="J791" s="506"/>
      <c r="K791" s="507"/>
      <c r="L791" s="508"/>
      <c r="M791" s="508"/>
      <c r="N791" s="508"/>
      <c r="O791" s="509"/>
      <c r="P791" s="509"/>
    </row>
    <row r="792" spans="1:16" ht="21.75" customHeight="1" x14ac:dyDescent="0.3">
      <c r="A792" s="504"/>
      <c r="B792" s="504"/>
      <c r="C792" s="504"/>
      <c r="D792" s="504"/>
      <c r="E792" s="506"/>
      <c r="F792" s="506"/>
      <c r="G792" s="506"/>
      <c r="H792" s="506"/>
      <c r="I792" s="506"/>
      <c r="J792" s="506"/>
      <c r="K792" s="507"/>
      <c r="L792" s="508"/>
      <c r="M792" s="508"/>
      <c r="N792" s="508"/>
      <c r="O792" s="509"/>
      <c r="P792" s="509"/>
    </row>
    <row r="793" spans="1:16" ht="21.75" customHeight="1" x14ac:dyDescent="0.3">
      <c r="A793" s="504"/>
      <c r="B793" s="504"/>
      <c r="C793" s="504"/>
      <c r="D793" s="504"/>
      <c r="E793" s="506"/>
      <c r="F793" s="506"/>
      <c r="G793" s="506"/>
      <c r="H793" s="506"/>
      <c r="I793" s="506"/>
      <c r="J793" s="506"/>
      <c r="K793" s="507"/>
      <c r="L793" s="508"/>
      <c r="M793" s="508"/>
      <c r="N793" s="508"/>
      <c r="O793" s="509"/>
      <c r="P793" s="509"/>
    </row>
    <row r="794" spans="1:16" ht="21.75" customHeight="1" x14ac:dyDescent="0.3">
      <c r="A794" s="504"/>
      <c r="B794" s="504"/>
      <c r="C794" s="504"/>
      <c r="D794" s="504"/>
      <c r="E794" s="506"/>
      <c r="F794" s="506"/>
      <c r="G794" s="506"/>
      <c r="H794" s="506"/>
      <c r="I794" s="506"/>
      <c r="J794" s="506"/>
      <c r="K794" s="507"/>
      <c r="L794" s="508"/>
      <c r="M794" s="508"/>
      <c r="N794" s="508"/>
      <c r="O794" s="509"/>
      <c r="P794" s="509"/>
    </row>
    <row r="795" spans="1:16" ht="21.75" customHeight="1" x14ac:dyDescent="0.3">
      <c r="A795" s="504"/>
      <c r="B795" s="504"/>
      <c r="C795" s="504"/>
      <c r="D795" s="504"/>
      <c r="E795" s="506"/>
      <c r="F795" s="506"/>
      <c r="G795" s="506"/>
      <c r="H795" s="506"/>
      <c r="I795" s="506"/>
      <c r="J795" s="506"/>
      <c r="K795" s="507"/>
      <c r="L795" s="508"/>
      <c r="M795" s="508"/>
      <c r="N795" s="508"/>
      <c r="O795" s="509"/>
      <c r="P795" s="509"/>
    </row>
    <row r="796" spans="1:16" ht="21.75" customHeight="1" x14ac:dyDescent="0.3">
      <c r="A796" s="504"/>
      <c r="B796" s="504"/>
      <c r="C796" s="504"/>
      <c r="D796" s="504"/>
      <c r="E796" s="506"/>
      <c r="F796" s="506"/>
      <c r="G796" s="506"/>
      <c r="H796" s="506"/>
      <c r="I796" s="506"/>
      <c r="J796" s="506"/>
      <c r="K796" s="507"/>
      <c r="L796" s="508"/>
      <c r="M796" s="508"/>
      <c r="N796" s="508"/>
      <c r="O796" s="509"/>
      <c r="P796" s="509"/>
    </row>
    <row r="797" spans="1:16" ht="21.75" customHeight="1" x14ac:dyDescent="0.3">
      <c r="A797" s="504"/>
      <c r="B797" s="504"/>
      <c r="C797" s="504"/>
      <c r="D797" s="504"/>
      <c r="E797" s="506"/>
      <c r="F797" s="506"/>
      <c r="G797" s="506"/>
      <c r="H797" s="506"/>
      <c r="I797" s="506"/>
      <c r="J797" s="506"/>
      <c r="K797" s="507"/>
      <c r="L797" s="508"/>
      <c r="M797" s="508"/>
      <c r="N797" s="508"/>
      <c r="O797" s="509"/>
      <c r="P797" s="509"/>
    </row>
    <row r="798" spans="1:16" ht="21.75" customHeight="1" x14ac:dyDescent="0.3">
      <c r="A798" s="504"/>
      <c r="B798" s="504"/>
      <c r="C798" s="504"/>
      <c r="D798" s="504"/>
      <c r="E798" s="506"/>
      <c r="F798" s="506"/>
      <c r="G798" s="506"/>
      <c r="H798" s="506"/>
      <c r="I798" s="506"/>
      <c r="J798" s="506"/>
      <c r="K798" s="507"/>
      <c r="L798" s="508"/>
      <c r="M798" s="508"/>
      <c r="N798" s="508"/>
      <c r="O798" s="509"/>
      <c r="P798" s="509"/>
    </row>
    <row r="799" spans="1:16" ht="21.75" customHeight="1" x14ac:dyDescent="0.3">
      <c r="A799" s="504"/>
      <c r="B799" s="504"/>
      <c r="C799" s="504"/>
      <c r="D799" s="504"/>
      <c r="E799" s="506"/>
      <c r="F799" s="506"/>
      <c r="G799" s="506"/>
      <c r="H799" s="506"/>
      <c r="I799" s="506"/>
      <c r="J799" s="506"/>
      <c r="K799" s="507"/>
      <c r="L799" s="508"/>
      <c r="M799" s="508"/>
      <c r="N799" s="508"/>
      <c r="O799" s="509"/>
      <c r="P799" s="509"/>
    </row>
    <row r="800" spans="1:16" ht="21.75" customHeight="1" x14ac:dyDescent="0.3">
      <c r="A800" s="504"/>
      <c r="B800" s="504"/>
      <c r="C800" s="504"/>
      <c r="D800" s="504"/>
      <c r="E800" s="506"/>
      <c r="F800" s="506"/>
      <c r="G800" s="506"/>
      <c r="H800" s="506"/>
      <c r="I800" s="506"/>
      <c r="J800" s="506"/>
      <c r="K800" s="507"/>
      <c r="L800" s="508"/>
      <c r="M800" s="508"/>
      <c r="N800" s="508"/>
      <c r="O800" s="509"/>
      <c r="P800" s="509"/>
    </row>
    <row r="801" spans="1:16" ht="21.75" customHeight="1" x14ac:dyDescent="0.3">
      <c r="A801" s="504"/>
      <c r="B801" s="504"/>
      <c r="C801" s="504"/>
      <c r="D801" s="504"/>
      <c r="E801" s="506"/>
      <c r="F801" s="506"/>
      <c r="G801" s="506"/>
      <c r="H801" s="506"/>
      <c r="I801" s="506"/>
      <c r="J801" s="506"/>
      <c r="K801" s="507"/>
      <c r="L801" s="508"/>
      <c r="M801" s="508"/>
      <c r="N801" s="508"/>
      <c r="O801" s="509"/>
      <c r="P801" s="509"/>
    </row>
    <row r="802" spans="1:16" ht="21.75" customHeight="1" x14ac:dyDescent="0.3">
      <c r="A802" s="504"/>
      <c r="B802" s="504"/>
      <c r="C802" s="504"/>
      <c r="D802" s="504"/>
      <c r="E802" s="506"/>
      <c r="F802" s="506"/>
      <c r="G802" s="506"/>
      <c r="H802" s="506"/>
      <c r="I802" s="506"/>
      <c r="J802" s="506"/>
      <c r="K802" s="507"/>
      <c r="L802" s="508"/>
      <c r="M802" s="508"/>
      <c r="N802" s="508"/>
      <c r="O802" s="509"/>
      <c r="P802" s="509"/>
    </row>
    <row r="803" spans="1:16" ht="21.75" customHeight="1" x14ac:dyDescent="0.3">
      <c r="A803" s="504"/>
      <c r="B803" s="504"/>
      <c r="C803" s="504"/>
      <c r="D803" s="504"/>
      <c r="E803" s="506"/>
      <c r="F803" s="506"/>
      <c r="G803" s="506"/>
      <c r="H803" s="506"/>
      <c r="I803" s="506"/>
      <c r="J803" s="506"/>
      <c r="K803" s="507"/>
      <c r="L803" s="508"/>
      <c r="M803" s="508"/>
      <c r="N803" s="508"/>
      <c r="O803" s="509"/>
      <c r="P803" s="509"/>
    </row>
    <row r="804" spans="1:16" ht="21.75" customHeight="1" x14ac:dyDescent="0.3">
      <c r="A804" s="504"/>
      <c r="B804" s="504"/>
      <c r="C804" s="504"/>
      <c r="D804" s="504"/>
      <c r="E804" s="506"/>
      <c r="F804" s="506"/>
      <c r="G804" s="506"/>
      <c r="H804" s="506"/>
      <c r="I804" s="506"/>
      <c r="J804" s="506"/>
      <c r="K804" s="507"/>
      <c r="L804" s="508"/>
      <c r="M804" s="508"/>
      <c r="N804" s="508"/>
      <c r="O804" s="509"/>
      <c r="P804" s="509"/>
    </row>
    <row r="805" spans="1:16" ht="21.75" customHeight="1" x14ac:dyDescent="0.3">
      <c r="A805" s="504"/>
      <c r="B805" s="504"/>
      <c r="C805" s="504"/>
      <c r="D805" s="504"/>
      <c r="E805" s="506"/>
      <c r="F805" s="506"/>
      <c r="G805" s="506"/>
      <c r="H805" s="506"/>
      <c r="I805" s="506"/>
      <c r="J805" s="506"/>
      <c r="K805" s="507"/>
      <c r="L805" s="508"/>
      <c r="M805" s="508"/>
      <c r="N805" s="508"/>
      <c r="O805" s="509"/>
      <c r="P805" s="509"/>
    </row>
    <row r="806" spans="1:16" ht="21.75" customHeight="1" x14ac:dyDescent="0.3">
      <c r="A806" s="504"/>
      <c r="B806" s="504"/>
      <c r="C806" s="504"/>
      <c r="D806" s="504"/>
      <c r="E806" s="506"/>
      <c r="F806" s="506"/>
      <c r="G806" s="506"/>
      <c r="H806" s="506"/>
      <c r="I806" s="506"/>
      <c r="J806" s="506"/>
      <c r="K806" s="507"/>
      <c r="L806" s="508"/>
      <c r="M806" s="508"/>
      <c r="N806" s="508"/>
      <c r="O806" s="509"/>
      <c r="P806" s="509"/>
    </row>
    <row r="807" spans="1:16" ht="21.75" customHeight="1" x14ac:dyDescent="0.3">
      <c r="A807" s="504"/>
      <c r="B807" s="504"/>
      <c r="C807" s="504"/>
      <c r="D807" s="504"/>
      <c r="E807" s="506"/>
      <c r="F807" s="506"/>
      <c r="G807" s="506"/>
      <c r="H807" s="506"/>
      <c r="I807" s="506"/>
      <c r="J807" s="506"/>
      <c r="K807" s="507"/>
      <c r="L807" s="508"/>
      <c r="M807" s="508"/>
      <c r="N807" s="508"/>
      <c r="O807" s="509"/>
      <c r="P807" s="509"/>
    </row>
    <row r="808" spans="1:16" ht="21.75" customHeight="1" x14ac:dyDescent="0.3">
      <c r="A808" s="504"/>
      <c r="B808" s="504"/>
      <c r="C808" s="504"/>
      <c r="D808" s="504"/>
      <c r="E808" s="506"/>
      <c r="F808" s="506"/>
      <c r="G808" s="506"/>
      <c r="H808" s="506"/>
      <c r="I808" s="506"/>
      <c r="J808" s="506"/>
      <c r="K808" s="507"/>
      <c r="L808" s="508"/>
      <c r="M808" s="508"/>
      <c r="N808" s="508"/>
      <c r="O808" s="509"/>
      <c r="P808" s="509"/>
    </row>
    <row r="809" spans="1:16" ht="21.75" customHeight="1" x14ac:dyDescent="0.3">
      <c r="A809" s="504"/>
      <c r="B809" s="504"/>
      <c r="C809" s="504"/>
      <c r="D809" s="504"/>
      <c r="E809" s="506"/>
      <c r="F809" s="506"/>
      <c r="G809" s="506"/>
      <c r="H809" s="506"/>
      <c r="I809" s="506"/>
      <c r="J809" s="506"/>
      <c r="K809" s="507"/>
      <c r="L809" s="508"/>
      <c r="M809" s="508"/>
      <c r="N809" s="508"/>
      <c r="O809" s="509"/>
      <c r="P809" s="509"/>
    </row>
    <row r="810" spans="1:16" ht="21.75" customHeight="1" x14ac:dyDescent="0.3">
      <c r="A810" s="504"/>
      <c r="B810" s="504"/>
      <c r="C810" s="504"/>
      <c r="D810" s="504"/>
      <c r="E810" s="506"/>
      <c r="F810" s="506"/>
      <c r="G810" s="506"/>
      <c r="H810" s="506"/>
      <c r="I810" s="506"/>
      <c r="J810" s="506"/>
      <c r="K810" s="507"/>
      <c r="L810" s="508"/>
      <c r="M810" s="508"/>
      <c r="N810" s="508"/>
      <c r="O810" s="509"/>
      <c r="P810" s="509"/>
    </row>
    <row r="811" spans="1:16" ht="21.75" customHeight="1" x14ac:dyDescent="0.3">
      <c r="A811" s="504"/>
      <c r="B811" s="504"/>
      <c r="C811" s="504"/>
      <c r="D811" s="504"/>
      <c r="E811" s="506"/>
      <c r="F811" s="506"/>
      <c r="G811" s="506"/>
      <c r="H811" s="506"/>
      <c r="I811" s="506"/>
      <c r="J811" s="506"/>
      <c r="K811" s="507"/>
      <c r="L811" s="508"/>
      <c r="M811" s="508"/>
      <c r="N811" s="508"/>
      <c r="O811" s="509"/>
      <c r="P811" s="509"/>
    </row>
    <row r="812" spans="1:16" ht="21.75" customHeight="1" x14ac:dyDescent="0.3">
      <c r="A812" s="504"/>
      <c r="B812" s="504"/>
      <c r="C812" s="504"/>
      <c r="D812" s="504"/>
      <c r="E812" s="506"/>
      <c r="F812" s="506"/>
      <c r="G812" s="506"/>
      <c r="H812" s="506"/>
      <c r="I812" s="506"/>
      <c r="J812" s="506"/>
      <c r="K812" s="507"/>
      <c r="L812" s="508"/>
      <c r="M812" s="508"/>
      <c r="N812" s="508"/>
      <c r="O812" s="509"/>
      <c r="P812" s="509"/>
    </row>
    <row r="813" spans="1:16" ht="21.75" customHeight="1" x14ac:dyDescent="0.3">
      <c r="A813" s="504"/>
      <c r="B813" s="504"/>
      <c r="C813" s="504"/>
      <c r="D813" s="504"/>
      <c r="E813" s="506"/>
      <c r="F813" s="506"/>
      <c r="G813" s="506"/>
      <c r="H813" s="506"/>
      <c r="I813" s="506"/>
      <c r="J813" s="506"/>
      <c r="K813" s="507"/>
      <c r="L813" s="508"/>
      <c r="M813" s="508"/>
      <c r="N813" s="508"/>
      <c r="O813" s="509"/>
      <c r="P813" s="509"/>
    </row>
    <row r="814" spans="1:16" ht="21.75" customHeight="1" x14ac:dyDescent="0.3">
      <c r="A814" s="504"/>
      <c r="B814" s="504"/>
      <c r="C814" s="504"/>
      <c r="D814" s="504"/>
      <c r="E814" s="506"/>
      <c r="F814" s="506"/>
      <c r="G814" s="506"/>
      <c r="H814" s="506"/>
      <c r="I814" s="506"/>
      <c r="J814" s="506"/>
      <c r="K814" s="507"/>
      <c r="L814" s="508"/>
      <c r="M814" s="508"/>
      <c r="N814" s="508"/>
      <c r="O814" s="509"/>
      <c r="P814" s="509"/>
    </row>
    <row r="815" spans="1:16" ht="21.75" customHeight="1" x14ac:dyDescent="0.3">
      <c r="A815" s="504"/>
      <c r="B815" s="504"/>
      <c r="C815" s="504"/>
      <c r="D815" s="504"/>
      <c r="E815" s="506"/>
      <c r="F815" s="506"/>
      <c r="G815" s="506"/>
      <c r="H815" s="506"/>
      <c r="I815" s="506"/>
      <c r="J815" s="506"/>
      <c r="K815" s="507"/>
      <c r="L815" s="508"/>
      <c r="M815" s="508"/>
      <c r="N815" s="508"/>
      <c r="O815" s="509"/>
      <c r="P815" s="509"/>
    </row>
    <row r="816" spans="1:16" ht="21.75" customHeight="1" x14ac:dyDescent="0.3">
      <c r="A816" s="504"/>
      <c r="B816" s="504"/>
      <c r="C816" s="504"/>
      <c r="D816" s="504"/>
      <c r="E816" s="506"/>
      <c r="F816" s="506"/>
      <c r="G816" s="506"/>
      <c r="H816" s="506"/>
      <c r="I816" s="506"/>
      <c r="J816" s="506"/>
      <c r="K816" s="507"/>
      <c r="L816" s="508"/>
      <c r="M816" s="508"/>
      <c r="N816" s="508"/>
      <c r="O816" s="509"/>
      <c r="P816" s="509"/>
    </row>
    <row r="817" spans="1:16" ht="21.75" customHeight="1" x14ac:dyDescent="0.3">
      <c r="A817" s="504"/>
      <c r="B817" s="504"/>
      <c r="C817" s="504"/>
      <c r="D817" s="504"/>
      <c r="E817" s="506"/>
      <c r="F817" s="506"/>
      <c r="G817" s="506"/>
      <c r="H817" s="506"/>
      <c r="I817" s="506"/>
      <c r="J817" s="506"/>
      <c r="K817" s="507"/>
      <c r="L817" s="508"/>
      <c r="M817" s="508"/>
      <c r="N817" s="508"/>
      <c r="O817" s="509"/>
      <c r="P817" s="509"/>
    </row>
    <row r="818" spans="1:16" ht="21.75" customHeight="1" x14ac:dyDescent="0.3">
      <c r="A818" s="504"/>
      <c r="B818" s="504"/>
      <c r="C818" s="504"/>
      <c r="D818" s="504"/>
      <c r="E818" s="506"/>
      <c r="F818" s="506"/>
      <c r="G818" s="506"/>
      <c r="H818" s="506"/>
      <c r="I818" s="506"/>
      <c r="J818" s="506"/>
      <c r="K818" s="507"/>
      <c r="L818" s="508"/>
      <c r="M818" s="508"/>
      <c r="N818" s="508"/>
      <c r="O818" s="509"/>
      <c r="P818" s="509"/>
    </row>
    <row r="819" spans="1:16" ht="21.75" customHeight="1" x14ac:dyDescent="0.3">
      <c r="A819" s="504"/>
      <c r="B819" s="504"/>
      <c r="C819" s="504"/>
      <c r="D819" s="504"/>
      <c r="E819" s="506"/>
      <c r="F819" s="506"/>
      <c r="G819" s="506"/>
      <c r="H819" s="506"/>
      <c r="I819" s="506"/>
      <c r="J819" s="506"/>
      <c r="K819" s="507"/>
      <c r="L819" s="508"/>
      <c r="M819" s="508"/>
      <c r="N819" s="508"/>
      <c r="O819" s="509"/>
      <c r="P819" s="509"/>
    </row>
    <row r="820" spans="1:16" ht="21.75" customHeight="1" x14ac:dyDescent="0.3">
      <c r="A820" s="504"/>
      <c r="B820" s="504"/>
      <c r="C820" s="504"/>
      <c r="D820" s="504"/>
      <c r="E820" s="506"/>
      <c r="F820" s="506"/>
      <c r="G820" s="506"/>
      <c r="H820" s="506"/>
      <c r="I820" s="506"/>
      <c r="J820" s="506"/>
      <c r="K820" s="507"/>
      <c r="L820" s="508"/>
      <c r="M820" s="508"/>
      <c r="N820" s="508"/>
      <c r="O820" s="509"/>
      <c r="P820" s="509"/>
    </row>
    <row r="821" spans="1:16" ht="21.75" customHeight="1" x14ac:dyDescent="0.3">
      <c r="A821" s="504"/>
      <c r="B821" s="504"/>
      <c r="C821" s="504"/>
      <c r="D821" s="504"/>
      <c r="E821" s="506"/>
      <c r="F821" s="506"/>
      <c r="G821" s="506"/>
      <c r="H821" s="506"/>
      <c r="I821" s="506"/>
      <c r="J821" s="506"/>
      <c r="K821" s="507"/>
      <c r="L821" s="508"/>
      <c r="M821" s="508"/>
      <c r="N821" s="508"/>
      <c r="O821" s="509"/>
      <c r="P821" s="509"/>
    </row>
    <row r="822" spans="1:16" ht="21.75" customHeight="1" x14ac:dyDescent="0.3">
      <c r="A822" s="504"/>
      <c r="B822" s="504"/>
      <c r="C822" s="504"/>
      <c r="D822" s="504"/>
      <c r="E822" s="506"/>
      <c r="F822" s="506"/>
      <c r="G822" s="506"/>
      <c r="H822" s="506"/>
      <c r="I822" s="506"/>
      <c r="J822" s="506"/>
      <c r="K822" s="507"/>
      <c r="L822" s="508"/>
      <c r="M822" s="508"/>
      <c r="N822" s="508"/>
      <c r="O822" s="509"/>
      <c r="P822" s="509"/>
    </row>
    <row r="823" spans="1:16" ht="21.75" customHeight="1" x14ac:dyDescent="0.3">
      <c r="A823" s="504"/>
      <c r="B823" s="504"/>
      <c r="C823" s="504"/>
      <c r="D823" s="504"/>
      <c r="E823" s="506"/>
      <c r="F823" s="506"/>
      <c r="G823" s="506"/>
      <c r="H823" s="506"/>
      <c r="I823" s="506"/>
      <c r="J823" s="506"/>
      <c r="K823" s="507"/>
      <c r="L823" s="508"/>
      <c r="M823" s="508"/>
      <c r="N823" s="508"/>
      <c r="O823" s="509"/>
      <c r="P823" s="509"/>
    </row>
    <row r="824" spans="1:16" ht="21.75" customHeight="1" x14ac:dyDescent="0.3">
      <c r="A824" s="504"/>
      <c r="B824" s="504"/>
      <c r="C824" s="504"/>
      <c r="D824" s="504"/>
      <c r="E824" s="506"/>
      <c r="F824" s="506"/>
      <c r="G824" s="506"/>
      <c r="H824" s="506"/>
      <c r="I824" s="506"/>
      <c r="J824" s="506"/>
      <c r="K824" s="507"/>
      <c r="L824" s="508"/>
      <c r="M824" s="508"/>
      <c r="N824" s="508"/>
      <c r="O824" s="509"/>
      <c r="P824" s="509"/>
    </row>
    <row r="825" spans="1:16" ht="21.75" customHeight="1" x14ac:dyDescent="0.3">
      <c r="A825" s="504"/>
      <c r="B825" s="504"/>
      <c r="C825" s="504"/>
      <c r="D825" s="504"/>
      <c r="E825" s="506"/>
      <c r="F825" s="506"/>
      <c r="G825" s="506"/>
      <c r="H825" s="506"/>
      <c r="I825" s="506"/>
      <c r="J825" s="506"/>
      <c r="K825" s="507"/>
      <c r="L825" s="508"/>
      <c r="M825" s="508"/>
      <c r="N825" s="508"/>
      <c r="O825" s="509"/>
      <c r="P825" s="509"/>
    </row>
    <row r="826" spans="1:16" ht="21.75" customHeight="1" x14ac:dyDescent="0.3">
      <c r="A826" s="504"/>
      <c r="B826" s="504"/>
      <c r="C826" s="504"/>
      <c r="D826" s="504"/>
      <c r="E826" s="506"/>
      <c r="F826" s="506"/>
      <c r="G826" s="506"/>
      <c r="H826" s="506"/>
      <c r="I826" s="506"/>
      <c r="J826" s="506"/>
      <c r="K826" s="507"/>
      <c r="L826" s="508"/>
      <c r="M826" s="508"/>
      <c r="N826" s="508"/>
      <c r="O826" s="509"/>
      <c r="P826" s="509"/>
    </row>
    <row r="827" spans="1:16" ht="21.75" customHeight="1" x14ac:dyDescent="0.3">
      <c r="A827" s="504"/>
      <c r="B827" s="504"/>
      <c r="C827" s="504"/>
      <c r="D827" s="504"/>
      <c r="E827" s="506"/>
      <c r="F827" s="506"/>
      <c r="G827" s="506"/>
      <c r="H827" s="506"/>
      <c r="I827" s="506"/>
      <c r="J827" s="506"/>
      <c r="K827" s="507"/>
      <c r="L827" s="508"/>
      <c r="M827" s="508"/>
      <c r="N827" s="508"/>
      <c r="O827" s="509"/>
      <c r="P827" s="509"/>
    </row>
    <row r="828" spans="1:16" ht="21.75" customHeight="1" x14ac:dyDescent="0.3">
      <c r="A828" s="504"/>
      <c r="B828" s="504"/>
      <c r="C828" s="504"/>
      <c r="D828" s="504"/>
      <c r="E828" s="506"/>
      <c r="F828" s="506"/>
      <c r="G828" s="506"/>
      <c r="H828" s="506"/>
      <c r="I828" s="506"/>
      <c r="J828" s="506"/>
      <c r="K828" s="507"/>
      <c r="L828" s="508"/>
      <c r="M828" s="508"/>
      <c r="N828" s="508"/>
      <c r="O828" s="509"/>
      <c r="P828" s="509"/>
    </row>
    <row r="829" spans="1:16" ht="21.75" customHeight="1" x14ac:dyDescent="0.3">
      <c r="A829" s="504"/>
      <c r="B829" s="504"/>
      <c r="C829" s="504"/>
      <c r="D829" s="504"/>
      <c r="E829" s="506"/>
      <c r="F829" s="506"/>
      <c r="G829" s="506"/>
      <c r="H829" s="506"/>
      <c r="I829" s="506"/>
      <c r="J829" s="506"/>
      <c r="K829" s="507"/>
      <c r="L829" s="508"/>
      <c r="M829" s="508"/>
      <c r="N829" s="508"/>
      <c r="O829" s="509"/>
      <c r="P829" s="509"/>
    </row>
    <row r="830" spans="1:16" ht="21.75" customHeight="1" x14ac:dyDescent="0.3">
      <c r="A830" s="504"/>
      <c r="B830" s="504"/>
      <c r="C830" s="504"/>
      <c r="D830" s="504"/>
      <c r="E830" s="506"/>
      <c r="F830" s="506"/>
      <c r="G830" s="506"/>
      <c r="H830" s="506"/>
      <c r="I830" s="506"/>
      <c r="J830" s="506"/>
      <c r="K830" s="507"/>
      <c r="L830" s="508"/>
      <c r="M830" s="508"/>
      <c r="N830" s="508"/>
      <c r="O830" s="509"/>
      <c r="P830" s="509"/>
    </row>
    <row r="831" spans="1:16" ht="21.75" customHeight="1" x14ac:dyDescent="0.3">
      <c r="A831" s="504"/>
      <c r="B831" s="504"/>
      <c r="C831" s="504"/>
      <c r="D831" s="504"/>
      <c r="E831" s="506"/>
      <c r="F831" s="506"/>
      <c r="G831" s="506"/>
      <c r="H831" s="506"/>
      <c r="I831" s="506"/>
      <c r="J831" s="506"/>
      <c r="K831" s="507"/>
      <c r="L831" s="508"/>
      <c r="M831" s="508"/>
      <c r="N831" s="508"/>
      <c r="O831" s="509"/>
      <c r="P831" s="509"/>
    </row>
    <row r="832" spans="1:16" ht="21.75" customHeight="1" x14ac:dyDescent="0.3">
      <c r="A832" s="504"/>
      <c r="B832" s="504"/>
      <c r="C832" s="504"/>
      <c r="D832" s="504"/>
      <c r="E832" s="506"/>
      <c r="F832" s="506"/>
      <c r="G832" s="506"/>
      <c r="H832" s="506"/>
      <c r="I832" s="506"/>
      <c r="J832" s="506"/>
      <c r="K832" s="507"/>
      <c r="L832" s="508"/>
      <c r="M832" s="508"/>
      <c r="N832" s="508"/>
      <c r="O832" s="509"/>
      <c r="P832" s="509"/>
    </row>
    <row r="833" spans="1:16" ht="21.75" customHeight="1" x14ac:dyDescent="0.3">
      <c r="A833" s="504"/>
      <c r="B833" s="504"/>
      <c r="C833" s="504"/>
      <c r="D833" s="504"/>
      <c r="E833" s="506"/>
      <c r="F833" s="506"/>
      <c r="G833" s="506"/>
      <c r="H833" s="506"/>
      <c r="I833" s="506"/>
      <c r="J833" s="506"/>
      <c r="K833" s="507"/>
      <c r="L833" s="508"/>
      <c r="M833" s="508"/>
      <c r="N833" s="508"/>
      <c r="O833" s="509"/>
      <c r="P833" s="509"/>
    </row>
    <row r="834" spans="1:16" ht="21.75" customHeight="1" x14ac:dyDescent="0.3">
      <c r="A834" s="504"/>
      <c r="B834" s="504"/>
      <c r="C834" s="504"/>
      <c r="D834" s="504"/>
      <c r="E834" s="506"/>
      <c r="F834" s="506"/>
      <c r="G834" s="506"/>
      <c r="H834" s="506"/>
      <c r="I834" s="506"/>
      <c r="J834" s="506"/>
      <c r="K834" s="507"/>
      <c r="L834" s="508"/>
      <c r="M834" s="508"/>
      <c r="N834" s="508"/>
      <c r="O834" s="509"/>
      <c r="P834" s="509"/>
    </row>
    <row r="835" spans="1:16" ht="21.75" customHeight="1" x14ac:dyDescent="0.3">
      <c r="A835" s="504"/>
      <c r="B835" s="504"/>
      <c r="C835" s="504"/>
      <c r="D835" s="504"/>
      <c r="E835" s="506"/>
      <c r="F835" s="506"/>
      <c r="G835" s="506"/>
      <c r="H835" s="506"/>
      <c r="I835" s="506"/>
      <c r="J835" s="506"/>
      <c r="K835" s="507"/>
      <c r="L835" s="508"/>
      <c r="M835" s="508"/>
      <c r="N835" s="508"/>
      <c r="O835" s="509"/>
      <c r="P835" s="509"/>
    </row>
    <row r="836" spans="1:16" ht="21.75" customHeight="1" x14ac:dyDescent="0.3">
      <c r="A836" s="504"/>
      <c r="B836" s="504"/>
      <c r="C836" s="504"/>
      <c r="D836" s="504"/>
      <c r="E836" s="506"/>
      <c r="F836" s="506"/>
      <c r="G836" s="506"/>
      <c r="H836" s="506"/>
      <c r="I836" s="506"/>
      <c r="J836" s="506"/>
      <c r="K836" s="507"/>
      <c r="L836" s="508"/>
      <c r="M836" s="508"/>
      <c r="N836" s="508"/>
      <c r="O836" s="509"/>
      <c r="P836" s="509"/>
    </row>
    <row r="837" spans="1:16" ht="21.75" customHeight="1" x14ac:dyDescent="0.3">
      <c r="A837" s="504"/>
      <c r="B837" s="504"/>
      <c r="C837" s="504"/>
      <c r="D837" s="504"/>
      <c r="E837" s="506"/>
      <c r="F837" s="506"/>
      <c r="G837" s="506"/>
      <c r="H837" s="506"/>
      <c r="I837" s="506"/>
      <c r="J837" s="506"/>
      <c r="K837" s="507"/>
      <c r="L837" s="508"/>
      <c r="M837" s="508"/>
      <c r="N837" s="508"/>
      <c r="O837" s="509"/>
      <c r="P837" s="509"/>
    </row>
    <row r="838" spans="1:16" ht="21.75" customHeight="1" x14ac:dyDescent="0.3">
      <c r="A838" s="504"/>
      <c r="B838" s="504"/>
      <c r="C838" s="504"/>
      <c r="D838" s="504"/>
      <c r="E838" s="506"/>
      <c r="F838" s="506"/>
      <c r="G838" s="506"/>
      <c r="H838" s="506"/>
      <c r="I838" s="506"/>
      <c r="J838" s="506"/>
      <c r="K838" s="507"/>
      <c r="L838" s="508"/>
      <c r="M838" s="508"/>
      <c r="N838" s="508"/>
      <c r="O838" s="509"/>
      <c r="P838" s="509"/>
    </row>
    <row r="839" spans="1:16" ht="21.75" customHeight="1" x14ac:dyDescent="0.3">
      <c r="A839" s="504"/>
      <c r="B839" s="504"/>
      <c r="C839" s="504"/>
      <c r="D839" s="504"/>
      <c r="E839" s="506"/>
      <c r="F839" s="506"/>
      <c r="G839" s="506"/>
      <c r="H839" s="506"/>
      <c r="I839" s="506"/>
      <c r="J839" s="506"/>
      <c r="K839" s="507"/>
      <c r="L839" s="508"/>
      <c r="M839" s="508"/>
      <c r="N839" s="508"/>
      <c r="O839" s="509"/>
      <c r="P839" s="509"/>
    </row>
    <row r="840" spans="1:16" ht="21.75" customHeight="1" x14ac:dyDescent="0.3">
      <c r="A840" s="504"/>
      <c r="B840" s="504"/>
      <c r="C840" s="504"/>
      <c r="D840" s="504"/>
      <c r="E840" s="506"/>
      <c r="F840" s="506"/>
      <c r="G840" s="506"/>
      <c r="H840" s="506"/>
      <c r="I840" s="506"/>
      <c r="J840" s="506"/>
      <c r="K840" s="507"/>
      <c r="L840" s="508"/>
      <c r="M840" s="508"/>
      <c r="N840" s="508"/>
      <c r="O840" s="509"/>
      <c r="P840" s="509"/>
    </row>
    <row r="841" spans="1:16" ht="21.75" customHeight="1" x14ac:dyDescent="0.3">
      <c r="A841" s="504"/>
      <c r="B841" s="504"/>
      <c r="C841" s="504"/>
      <c r="D841" s="504"/>
      <c r="E841" s="506"/>
      <c r="F841" s="506"/>
      <c r="G841" s="506"/>
      <c r="H841" s="506"/>
      <c r="I841" s="506"/>
      <c r="J841" s="506"/>
      <c r="K841" s="507"/>
      <c r="L841" s="508"/>
      <c r="M841" s="508"/>
      <c r="N841" s="508"/>
      <c r="O841" s="509"/>
      <c r="P841" s="509"/>
    </row>
    <row r="842" spans="1:16" ht="21.75" customHeight="1" x14ac:dyDescent="0.3">
      <c r="A842" s="504"/>
      <c r="B842" s="504"/>
      <c r="C842" s="504"/>
      <c r="D842" s="504"/>
      <c r="E842" s="506"/>
      <c r="F842" s="506"/>
      <c r="G842" s="506"/>
      <c r="H842" s="506"/>
      <c r="I842" s="506"/>
      <c r="J842" s="506"/>
      <c r="K842" s="507"/>
      <c r="L842" s="508"/>
      <c r="M842" s="508"/>
      <c r="N842" s="508"/>
      <c r="O842" s="509"/>
      <c r="P842" s="509"/>
    </row>
    <row r="843" spans="1:16" ht="21.75" customHeight="1" x14ac:dyDescent="0.3">
      <c r="A843" s="504"/>
      <c r="B843" s="504"/>
      <c r="C843" s="504"/>
      <c r="D843" s="504"/>
      <c r="E843" s="506"/>
      <c r="F843" s="506"/>
      <c r="G843" s="506"/>
      <c r="H843" s="506"/>
      <c r="I843" s="506"/>
      <c r="J843" s="506"/>
      <c r="K843" s="507"/>
      <c r="L843" s="508"/>
      <c r="M843" s="508"/>
      <c r="N843" s="508"/>
      <c r="O843" s="509"/>
      <c r="P843" s="509"/>
    </row>
    <row r="844" spans="1:16" ht="21.75" customHeight="1" x14ac:dyDescent="0.3">
      <c r="A844" s="504"/>
      <c r="B844" s="504"/>
      <c r="C844" s="504"/>
      <c r="D844" s="504"/>
      <c r="E844" s="506"/>
      <c r="F844" s="506"/>
      <c r="G844" s="506"/>
      <c r="H844" s="506"/>
      <c r="I844" s="506"/>
      <c r="J844" s="506"/>
      <c r="K844" s="507"/>
      <c r="L844" s="508"/>
      <c r="M844" s="508"/>
      <c r="N844" s="508"/>
      <c r="O844" s="509"/>
      <c r="P844" s="509"/>
    </row>
    <row r="845" spans="1:16" ht="21.75" customHeight="1" x14ac:dyDescent="0.3">
      <c r="A845" s="504"/>
      <c r="B845" s="504"/>
      <c r="C845" s="504"/>
      <c r="D845" s="504"/>
      <c r="E845" s="506"/>
      <c r="F845" s="506"/>
      <c r="G845" s="506"/>
      <c r="H845" s="506"/>
      <c r="I845" s="506"/>
      <c r="J845" s="506"/>
      <c r="K845" s="507"/>
      <c r="L845" s="508"/>
      <c r="M845" s="508"/>
      <c r="N845" s="508"/>
      <c r="O845" s="509"/>
      <c r="P845" s="509"/>
    </row>
    <row r="846" spans="1:16" ht="21.75" customHeight="1" x14ac:dyDescent="0.3">
      <c r="A846" s="504"/>
      <c r="B846" s="504"/>
      <c r="C846" s="504"/>
      <c r="D846" s="504"/>
      <c r="E846" s="506"/>
      <c r="F846" s="506"/>
      <c r="G846" s="506"/>
      <c r="H846" s="506"/>
      <c r="I846" s="506"/>
      <c r="J846" s="506"/>
      <c r="K846" s="507"/>
      <c r="L846" s="508"/>
      <c r="M846" s="508"/>
      <c r="N846" s="508"/>
      <c r="O846" s="509"/>
      <c r="P846" s="509"/>
    </row>
    <row r="847" spans="1:16" ht="21.75" customHeight="1" x14ac:dyDescent="0.3">
      <c r="A847" s="504"/>
      <c r="B847" s="504"/>
      <c r="C847" s="504"/>
      <c r="D847" s="504"/>
      <c r="E847" s="506"/>
      <c r="F847" s="506"/>
      <c r="G847" s="506"/>
      <c r="H847" s="506"/>
      <c r="I847" s="506"/>
      <c r="J847" s="506"/>
      <c r="K847" s="507"/>
      <c r="L847" s="508"/>
      <c r="M847" s="508"/>
      <c r="N847" s="508"/>
      <c r="O847" s="509"/>
      <c r="P847" s="509"/>
    </row>
    <row r="848" spans="1:16" ht="21.75" customHeight="1" x14ac:dyDescent="0.3">
      <c r="A848" s="504"/>
      <c r="B848" s="504"/>
      <c r="C848" s="504"/>
      <c r="D848" s="504"/>
      <c r="E848" s="506"/>
      <c r="F848" s="506"/>
      <c r="G848" s="506"/>
      <c r="H848" s="506"/>
      <c r="I848" s="506"/>
      <c r="J848" s="506"/>
      <c r="K848" s="507"/>
      <c r="L848" s="508"/>
      <c r="M848" s="508"/>
      <c r="N848" s="508"/>
      <c r="O848" s="509"/>
      <c r="P848" s="509"/>
    </row>
    <row r="849" spans="1:16" ht="21.75" customHeight="1" x14ac:dyDescent="0.3">
      <c r="A849" s="504"/>
      <c r="B849" s="504"/>
      <c r="C849" s="504"/>
      <c r="D849" s="504"/>
      <c r="E849" s="506"/>
      <c r="F849" s="506"/>
      <c r="G849" s="506"/>
      <c r="H849" s="506"/>
      <c r="I849" s="506"/>
      <c r="J849" s="506"/>
      <c r="K849" s="507"/>
      <c r="L849" s="508"/>
      <c r="M849" s="508"/>
      <c r="N849" s="508"/>
      <c r="O849" s="509"/>
      <c r="P849" s="509"/>
    </row>
    <row r="850" spans="1:16" ht="21.75" customHeight="1" x14ac:dyDescent="0.3">
      <c r="A850" s="504"/>
      <c r="B850" s="504"/>
      <c r="C850" s="504"/>
      <c r="D850" s="504"/>
      <c r="E850" s="506"/>
      <c r="F850" s="506"/>
      <c r="G850" s="506"/>
      <c r="H850" s="506"/>
      <c r="I850" s="506"/>
      <c r="J850" s="506"/>
      <c r="K850" s="507"/>
      <c r="L850" s="508"/>
      <c r="M850" s="508"/>
      <c r="N850" s="508"/>
      <c r="O850" s="509"/>
      <c r="P850" s="509"/>
    </row>
    <row r="851" spans="1:16" ht="21.75" customHeight="1" x14ac:dyDescent="0.3">
      <c r="A851" s="504"/>
      <c r="B851" s="504"/>
      <c r="C851" s="504"/>
      <c r="D851" s="504"/>
      <c r="E851" s="506"/>
      <c r="F851" s="506"/>
      <c r="G851" s="506"/>
      <c r="H851" s="506"/>
      <c r="I851" s="506"/>
      <c r="J851" s="506"/>
      <c r="K851" s="507"/>
      <c r="L851" s="508"/>
      <c r="M851" s="508"/>
      <c r="N851" s="508"/>
      <c r="O851" s="509"/>
      <c r="P851" s="509"/>
    </row>
    <row r="852" spans="1:16" ht="21.75" customHeight="1" x14ac:dyDescent="0.3">
      <c r="A852" s="504"/>
      <c r="B852" s="504"/>
      <c r="C852" s="504"/>
      <c r="D852" s="504"/>
      <c r="E852" s="506"/>
      <c r="F852" s="506"/>
      <c r="G852" s="506"/>
      <c r="H852" s="506"/>
      <c r="I852" s="506"/>
      <c r="J852" s="506"/>
      <c r="K852" s="507"/>
      <c r="L852" s="508"/>
      <c r="M852" s="508"/>
      <c r="N852" s="508"/>
      <c r="O852" s="509"/>
      <c r="P852" s="509"/>
    </row>
    <row r="853" spans="1:16" ht="21.75" customHeight="1" x14ac:dyDescent="0.3">
      <c r="A853" s="504"/>
      <c r="B853" s="504"/>
      <c r="C853" s="504"/>
      <c r="D853" s="504"/>
      <c r="E853" s="506"/>
      <c r="F853" s="506"/>
      <c r="G853" s="506"/>
      <c r="H853" s="506"/>
      <c r="I853" s="506"/>
      <c r="J853" s="506"/>
      <c r="K853" s="507"/>
      <c r="L853" s="508"/>
      <c r="M853" s="508"/>
      <c r="N853" s="508"/>
      <c r="O853" s="509"/>
      <c r="P853" s="509"/>
    </row>
    <row r="854" spans="1:16" ht="21.75" customHeight="1" x14ac:dyDescent="0.3">
      <c r="A854" s="504"/>
      <c r="B854" s="504"/>
      <c r="C854" s="504"/>
      <c r="D854" s="504"/>
      <c r="E854" s="506"/>
      <c r="F854" s="506"/>
      <c r="G854" s="506"/>
      <c r="H854" s="506"/>
      <c r="I854" s="506"/>
      <c r="J854" s="506"/>
      <c r="K854" s="507"/>
      <c r="L854" s="508"/>
      <c r="M854" s="508"/>
      <c r="N854" s="508"/>
      <c r="O854" s="509"/>
      <c r="P854" s="509"/>
    </row>
    <row r="855" spans="1:16" ht="21.75" customHeight="1" x14ac:dyDescent="0.3">
      <c r="A855" s="504"/>
      <c r="B855" s="504"/>
      <c r="C855" s="504"/>
      <c r="D855" s="504"/>
      <c r="E855" s="506"/>
      <c r="F855" s="506"/>
      <c r="G855" s="506"/>
      <c r="H855" s="506"/>
      <c r="I855" s="506"/>
      <c r="J855" s="506"/>
      <c r="K855" s="507"/>
      <c r="L855" s="508"/>
      <c r="M855" s="508"/>
      <c r="N855" s="508"/>
      <c r="O855" s="509"/>
      <c r="P855" s="509"/>
    </row>
    <row r="856" spans="1:16" ht="21.75" customHeight="1" x14ac:dyDescent="0.3">
      <c r="A856" s="504"/>
      <c r="B856" s="504"/>
      <c r="C856" s="504"/>
      <c r="D856" s="504"/>
      <c r="E856" s="506"/>
      <c r="F856" s="506"/>
      <c r="G856" s="506"/>
      <c r="H856" s="506"/>
      <c r="I856" s="506"/>
      <c r="J856" s="506"/>
      <c r="K856" s="507"/>
      <c r="L856" s="508"/>
      <c r="M856" s="508"/>
      <c r="N856" s="508"/>
      <c r="O856" s="509"/>
      <c r="P856" s="509"/>
    </row>
    <row r="857" spans="1:16" ht="21.75" customHeight="1" x14ac:dyDescent="0.3">
      <c r="A857" s="504"/>
      <c r="B857" s="504"/>
      <c r="C857" s="504"/>
      <c r="D857" s="504"/>
      <c r="E857" s="506"/>
      <c r="F857" s="506"/>
      <c r="G857" s="506"/>
      <c r="H857" s="506"/>
      <c r="I857" s="506"/>
      <c r="J857" s="506"/>
      <c r="K857" s="507"/>
      <c r="L857" s="508"/>
      <c r="M857" s="508"/>
      <c r="N857" s="508"/>
      <c r="O857" s="509"/>
      <c r="P857" s="509"/>
    </row>
    <row r="858" spans="1:16" ht="21.75" customHeight="1" x14ac:dyDescent="0.3">
      <c r="A858" s="504"/>
      <c r="B858" s="504"/>
      <c r="C858" s="504"/>
      <c r="D858" s="504"/>
      <c r="E858" s="506"/>
      <c r="F858" s="506"/>
      <c r="G858" s="506"/>
      <c r="H858" s="506"/>
      <c r="I858" s="506"/>
      <c r="J858" s="506"/>
      <c r="K858" s="507"/>
      <c r="L858" s="508"/>
      <c r="M858" s="508"/>
      <c r="N858" s="508"/>
      <c r="O858" s="509"/>
      <c r="P858" s="509"/>
    </row>
    <row r="859" spans="1:16" ht="21.75" customHeight="1" x14ac:dyDescent="0.3">
      <c r="A859" s="504"/>
      <c r="B859" s="504"/>
      <c r="C859" s="504"/>
      <c r="D859" s="504"/>
      <c r="E859" s="506"/>
      <c r="F859" s="506"/>
      <c r="G859" s="506"/>
      <c r="H859" s="506"/>
      <c r="I859" s="506"/>
      <c r="J859" s="506"/>
      <c r="K859" s="507"/>
      <c r="L859" s="508"/>
      <c r="M859" s="508"/>
      <c r="N859" s="508"/>
      <c r="O859" s="509"/>
      <c r="P859" s="509"/>
    </row>
    <row r="860" spans="1:16" ht="21.75" customHeight="1" x14ac:dyDescent="0.3">
      <c r="A860" s="504"/>
      <c r="B860" s="504"/>
      <c r="C860" s="504"/>
      <c r="D860" s="504"/>
      <c r="E860" s="506"/>
      <c r="F860" s="506"/>
      <c r="G860" s="506"/>
      <c r="H860" s="506"/>
      <c r="I860" s="506"/>
      <c r="J860" s="506"/>
      <c r="K860" s="507"/>
      <c r="L860" s="508"/>
      <c r="M860" s="508"/>
      <c r="N860" s="508"/>
      <c r="O860" s="509"/>
      <c r="P860" s="509"/>
    </row>
    <row r="861" spans="1:16" ht="21.75" customHeight="1" x14ac:dyDescent="0.3">
      <c r="A861" s="504"/>
      <c r="B861" s="504"/>
      <c r="C861" s="504"/>
      <c r="D861" s="504"/>
      <c r="E861" s="506"/>
      <c r="F861" s="506"/>
      <c r="G861" s="506"/>
      <c r="H861" s="506"/>
      <c r="I861" s="506"/>
      <c r="J861" s="506"/>
      <c r="K861" s="507"/>
      <c r="L861" s="508"/>
      <c r="M861" s="508"/>
      <c r="N861" s="508"/>
      <c r="O861" s="509"/>
      <c r="P861" s="509"/>
    </row>
    <row r="862" spans="1:16" ht="21.75" customHeight="1" x14ac:dyDescent="0.3">
      <c r="A862" s="504"/>
      <c r="B862" s="504"/>
      <c r="C862" s="504"/>
      <c r="D862" s="504"/>
      <c r="E862" s="506"/>
      <c r="F862" s="506"/>
      <c r="G862" s="506"/>
      <c r="H862" s="506"/>
      <c r="I862" s="506"/>
      <c r="J862" s="506"/>
      <c r="K862" s="507"/>
      <c r="L862" s="508"/>
      <c r="M862" s="508"/>
      <c r="N862" s="508"/>
      <c r="O862" s="509"/>
      <c r="P862" s="509"/>
    </row>
    <row r="863" spans="1:16" ht="21.75" customHeight="1" x14ac:dyDescent="0.3">
      <c r="A863" s="504"/>
      <c r="B863" s="504"/>
      <c r="C863" s="504"/>
      <c r="D863" s="504"/>
      <c r="E863" s="506"/>
      <c r="F863" s="506"/>
      <c r="G863" s="506"/>
      <c r="H863" s="506"/>
      <c r="I863" s="506"/>
      <c r="J863" s="506"/>
      <c r="K863" s="507"/>
      <c r="L863" s="508"/>
      <c r="M863" s="508"/>
      <c r="N863" s="508"/>
      <c r="O863" s="509"/>
      <c r="P863" s="509"/>
    </row>
    <row r="864" spans="1:16" ht="21.75" customHeight="1" x14ac:dyDescent="0.3">
      <c r="A864" s="504"/>
      <c r="B864" s="504"/>
      <c r="C864" s="504"/>
      <c r="D864" s="504"/>
      <c r="E864" s="506"/>
      <c r="F864" s="506"/>
      <c r="G864" s="506"/>
      <c r="H864" s="506"/>
      <c r="I864" s="506"/>
      <c r="J864" s="506"/>
      <c r="K864" s="507"/>
      <c r="L864" s="508"/>
      <c r="M864" s="508"/>
      <c r="N864" s="508"/>
      <c r="O864" s="509"/>
      <c r="P864" s="509"/>
    </row>
    <row r="865" spans="1:16" ht="21.75" customHeight="1" x14ac:dyDescent="0.3">
      <c r="A865" s="504"/>
      <c r="B865" s="504"/>
      <c r="C865" s="504"/>
      <c r="D865" s="504"/>
      <c r="E865" s="506"/>
      <c r="F865" s="506"/>
      <c r="G865" s="506"/>
      <c r="H865" s="506"/>
      <c r="I865" s="506"/>
      <c r="J865" s="506"/>
      <c r="K865" s="507"/>
      <c r="L865" s="508"/>
      <c r="M865" s="508"/>
      <c r="N865" s="508"/>
      <c r="O865" s="509"/>
      <c r="P865" s="509"/>
    </row>
    <row r="866" spans="1:16" ht="21.75" customHeight="1" x14ac:dyDescent="0.3">
      <c r="A866" s="504"/>
      <c r="B866" s="504"/>
      <c r="C866" s="504"/>
      <c r="D866" s="504"/>
      <c r="E866" s="506"/>
      <c r="F866" s="506"/>
      <c r="G866" s="506"/>
      <c r="H866" s="506"/>
      <c r="I866" s="506"/>
      <c r="J866" s="506"/>
      <c r="K866" s="507"/>
      <c r="L866" s="508"/>
      <c r="M866" s="508"/>
      <c r="N866" s="508"/>
      <c r="O866" s="509"/>
      <c r="P866" s="509"/>
    </row>
    <row r="867" spans="1:16" ht="21.75" customHeight="1" x14ac:dyDescent="0.3">
      <c r="A867" s="504"/>
      <c r="B867" s="504"/>
      <c r="C867" s="504"/>
      <c r="D867" s="504"/>
      <c r="E867" s="506"/>
      <c r="F867" s="506"/>
      <c r="G867" s="506"/>
      <c r="H867" s="506"/>
      <c r="I867" s="506"/>
      <c r="J867" s="506"/>
      <c r="K867" s="507"/>
      <c r="L867" s="508"/>
      <c r="M867" s="508"/>
      <c r="N867" s="508"/>
      <c r="O867" s="509"/>
      <c r="P867" s="509"/>
    </row>
    <row r="868" spans="1:16" ht="21.75" customHeight="1" x14ac:dyDescent="0.3">
      <c r="A868" s="504"/>
      <c r="B868" s="504"/>
      <c r="C868" s="504"/>
      <c r="D868" s="504"/>
      <c r="E868" s="506"/>
      <c r="F868" s="506"/>
      <c r="G868" s="506"/>
      <c r="H868" s="506"/>
      <c r="I868" s="506"/>
      <c r="J868" s="506"/>
      <c r="K868" s="507"/>
      <c r="L868" s="508"/>
      <c r="M868" s="508"/>
      <c r="N868" s="508"/>
      <c r="O868" s="509"/>
      <c r="P868" s="509"/>
    </row>
    <row r="869" spans="1:16" ht="21.75" customHeight="1" x14ac:dyDescent="0.3">
      <c r="A869" s="504"/>
      <c r="B869" s="504"/>
      <c r="C869" s="504"/>
      <c r="D869" s="504"/>
      <c r="E869" s="506"/>
      <c r="F869" s="506"/>
      <c r="G869" s="506"/>
      <c r="H869" s="506"/>
      <c r="I869" s="506"/>
      <c r="J869" s="506"/>
      <c r="K869" s="507"/>
      <c r="L869" s="508"/>
      <c r="M869" s="508"/>
      <c r="N869" s="508"/>
      <c r="O869" s="509"/>
      <c r="P869" s="509"/>
    </row>
    <row r="870" spans="1:16" ht="21.75" customHeight="1" x14ac:dyDescent="0.3">
      <c r="A870" s="504"/>
      <c r="B870" s="504"/>
      <c r="C870" s="504"/>
      <c r="D870" s="504"/>
      <c r="E870" s="506"/>
      <c r="F870" s="506"/>
      <c r="G870" s="506"/>
      <c r="H870" s="506"/>
      <c r="I870" s="506"/>
      <c r="J870" s="506"/>
      <c r="K870" s="507"/>
      <c r="L870" s="508"/>
      <c r="M870" s="508"/>
      <c r="N870" s="508"/>
      <c r="O870" s="509"/>
      <c r="P870" s="509"/>
    </row>
    <row r="871" spans="1:16" ht="21.75" customHeight="1" x14ac:dyDescent="0.3">
      <c r="A871" s="504"/>
      <c r="B871" s="504"/>
      <c r="C871" s="504"/>
      <c r="D871" s="504"/>
      <c r="E871" s="506"/>
      <c r="F871" s="506"/>
      <c r="G871" s="506"/>
      <c r="H871" s="506"/>
      <c r="I871" s="506"/>
      <c r="J871" s="506"/>
      <c r="K871" s="507"/>
      <c r="L871" s="508"/>
      <c r="M871" s="508"/>
      <c r="N871" s="508"/>
      <c r="O871" s="509"/>
      <c r="P871" s="509"/>
    </row>
    <row r="872" spans="1:16" ht="21.75" customHeight="1" x14ac:dyDescent="0.3">
      <c r="A872" s="504"/>
      <c r="B872" s="504"/>
      <c r="C872" s="504"/>
      <c r="D872" s="504"/>
      <c r="E872" s="506"/>
      <c r="F872" s="506"/>
      <c r="G872" s="506"/>
      <c r="H872" s="506"/>
      <c r="I872" s="506"/>
      <c r="J872" s="506"/>
      <c r="K872" s="507"/>
      <c r="L872" s="508"/>
      <c r="M872" s="508"/>
      <c r="N872" s="508"/>
      <c r="O872" s="509"/>
      <c r="P872" s="509"/>
    </row>
    <row r="873" spans="1:16" ht="21.75" customHeight="1" x14ac:dyDescent="0.3">
      <c r="A873" s="504"/>
      <c r="B873" s="504"/>
      <c r="C873" s="504"/>
      <c r="D873" s="504"/>
      <c r="E873" s="506"/>
      <c r="F873" s="506"/>
      <c r="G873" s="506"/>
      <c r="H873" s="506"/>
      <c r="I873" s="506"/>
      <c r="J873" s="506"/>
      <c r="K873" s="507"/>
      <c r="L873" s="508"/>
      <c r="M873" s="508"/>
      <c r="N873" s="508"/>
      <c r="O873" s="509"/>
      <c r="P873" s="509"/>
    </row>
    <row r="874" spans="1:16" ht="21.75" customHeight="1" x14ac:dyDescent="0.3">
      <c r="A874" s="504"/>
      <c r="B874" s="504"/>
      <c r="C874" s="504"/>
      <c r="D874" s="504"/>
      <c r="E874" s="506"/>
      <c r="F874" s="506"/>
      <c r="G874" s="506"/>
      <c r="H874" s="506"/>
      <c r="I874" s="506"/>
      <c r="J874" s="506"/>
      <c r="K874" s="507"/>
      <c r="L874" s="508"/>
      <c r="M874" s="508"/>
      <c r="N874" s="508"/>
      <c r="O874" s="509"/>
      <c r="P874" s="509"/>
    </row>
    <row r="875" spans="1:16" ht="21.75" customHeight="1" x14ac:dyDescent="0.3">
      <c r="A875" s="504"/>
      <c r="B875" s="504"/>
      <c r="C875" s="504"/>
      <c r="D875" s="504"/>
      <c r="E875" s="506"/>
      <c r="F875" s="506"/>
      <c r="G875" s="506"/>
      <c r="H875" s="506"/>
      <c r="I875" s="506"/>
      <c r="J875" s="506"/>
      <c r="K875" s="507"/>
      <c r="L875" s="508"/>
      <c r="M875" s="508"/>
      <c r="N875" s="508"/>
      <c r="O875" s="509"/>
      <c r="P875" s="509"/>
    </row>
    <row r="876" spans="1:16" ht="21.75" customHeight="1" x14ac:dyDescent="0.3">
      <c r="A876" s="504"/>
      <c r="B876" s="504"/>
      <c r="C876" s="504"/>
      <c r="D876" s="504"/>
      <c r="E876" s="506"/>
      <c r="F876" s="506"/>
      <c r="G876" s="506"/>
      <c r="H876" s="506"/>
      <c r="I876" s="506"/>
      <c r="J876" s="506"/>
      <c r="K876" s="507"/>
      <c r="L876" s="508"/>
      <c r="M876" s="508"/>
      <c r="N876" s="508"/>
      <c r="O876" s="509"/>
      <c r="P876" s="509"/>
    </row>
    <row r="877" spans="1:16" ht="21.75" customHeight="1" x14ac:dyDescent="0.3">
      <c r="A877" s="504"/>
      <c r="B877" s="504"/>
      <c r="C877" s="504"/>
      <c r="D877" s="504"/>
      <c r="E877" s="506"/>
      <c r="F877" s="506"/>
      <c r="G877" s="506"/>
      <c r="H877" s="506"/>
      <c r="I877" s="506"/>
      <c r="J877" s="506"/>
      <c r="K877" s="507"/>
      <c r="L877" s="508"/>
      <c r="M877" s="508"/>
      <c r="N877" s="508"/>
      <c r="O877" s="509"/>
      <c r="P877" s="509"/>
    </row>
    <row r="878" spans="1:16" ht="21.75" customHeight="1" x14ac:dyDescent="0.3">
      <c r="A878" s="504"/>
      <c r="B878" s="504"/>
      <c r="C878" s="504"/>
      <c r="D878" s="504"/>
      <c r="E878" s="506"/>
      <c r="F878" s="506"/>
      <c r="G878" s="506"/>
      <c r="H878" s="506"/>
      <c r="I878" s="506"/>
      <c r="J878" s="506"/>
      <c r="K878" s="507"/>
      <c r="L878" s="508"/>
      <c r="M878" s="508"/>
      <c r="N878" s="508"/>
      <c r="O878" s="509"/>
      <c r="P878" s="509"/>
    </row>
    <row r="879" spans="1:16" ht="21.75" customHeight="1" x14ac:dyDescent="0.3">
      <c r="A879" s="504"/>
      <c r="B879" s="504"/>
      <c r="C879" s="504"/>
      <c r="D879" s="504"/>
      <c r="E879" s="506"/>
      <c r="F879" s="506"/>
      <c r="G879" s="506"/>
      <c r="H879" s="506"/>
      <c r="I879" s="506"/>
      <c r="J879" s="506"/>
      <c r="K879" s="507"/>
      <c r="L879" s="508"/>
      <c r="M879" s="508"/>
      <c r="N879" s="508"/>
      <c r="O879" s="509"/>
      <c r="P879" s="509"/>
    </row>
    <row r="880" spans="1:16" ht="21.75" customHeight="1" x14ac:dyDescent="0.3">
      <c r="A880" s="504"/>
      <c r="B880" s="504"/>
      <c r="C880" s="504"/>
      <c r="D880" s="504"/>
      <c r="E880" s="506"/>
      <c r="F880" s="506"/>
      <c r="G880" s="506"/>
      <c r="H880" s="506"/>
      <c r="I880" s="506"/>
      <c r="J880" s="506"/>
      <c r="K880" s="507"/>
      <c r="L880" s="508"/>
      <c r="M880" s="508"/>
      <c r="N880" s="508"/>
      <c r="O880" s="509"/>
      <c r="P880" s="509"/>
    </row>
    <row r="881" spans="1:16" ht="21.75" customHeight="1" x14ac:dyDescent="0.3">
      <c r="A881" s="504"/>
      <c r="B881" s="504"/>
      <c r="C881" s="504"/>
      <c r="D881" s="504"/>
      <c r="E881" s="506"/>
      <c r="F881" s="506"/>
      <c r="G881" s="506"/>
      <c r="H881" s="506"/>
      <c r="I881" s="506"/>
      <c r="J881" s="506"/>
      <c r="K881" s="507"/>
      <c r="L881" s="508"/>
      <c r="M881" s="508"/>
      <c r="N881" s="508"/>
      <c r="O881" s="509"/>
      <c r="P881" s="509"/>
    </row>
    <row r="882" spans="1:16" ht="21.75" customHeight="1" x14ac:dyDescent="0.3">
      <c r="A882" s="504"/>
      <c r="B882" s="504"/>
      <c r="C882" s="504"/>
      <c r="D882" s="504"/>
      <c r="E882" s="506"/>
      <c r="F882" s="506"/>
      <c r="G882" s="506"/>
      <c r="H882" s="506"/>
      <c r="I882" s="506"/>
      <c r="J882" s="506"/>
      <c r="K882" s="507"/>
      <c r="L882" s="508"/>
      <c r="M882" s="508"/>
      <c r="N882" s="508"/>
      <c r="O882" s="509"/>
      <c r="P882" s="509"/>
    </row>
    <row r="883" spans="1:16" ht="21.75" customHeight="1" x14ac:dyDescent="0.3">
      <c r="A883" s="504"/>
      <c r="B883" s="504"/>
      <c r="C883" s="504"/>
      <c r="D883" s="504"/>
      <c r="E883" s="506"/>
      <c r="F883" s="506"/>
      <c r="G883" s="506"/>
      <c r="H883" s="506"/>
      <c r="I883" s="506"/>
      <c r="J883" s="506"/>
      <c r="K883" s="507"/>
      <c r="L883" s="508"/>
      <c r="M883" s="508"/>
      <c r="N883" s="508"/>
      <c r="O883" s="509"/>
      <c r="P883" s="509"/>
    </row>
    <row r="884" spans="1:16" ht="21.75" customHeight="1" x14ac:dyDescent="0.3">
      <c r="A884" s="504"/>
      <c r="B884" s="504"/>
      <c r="C884" s="504"/>
      <c r="D884" s="504"/>
      <c r="E884" s="506"/>
      <c r="F884" s="506"/>
      <c r="G884" s="506"/>
      <c r="H884" s="506"/>
      <c r="I884" s="506"/>
      <c r="J884" s="506"/>
      <c r="K884" s="507"/>
      <c r="L884" s="508"/>
      <c r="M884" s="508"/>
      <c r="N884" s="508"/>
      <c r="O884" s="509"/>
      <c r="P884" s="509"/>
    </row>
    <row r="885" spans="1:16" ht="21.75" customHeight="1" x14ac:dyDescent="0.3">
      <c r="A885" s="504"/>
      <c r="B885" s="504"/>
      <c r="C885" s="504"/>
      <c r="D885" s="504"/>
      <c r="E885" s="506"/>
      <c r="F885" s="506"/>
      <c r="G885" s="506"/>
      <c r="H885" s="506"/>
      <c r="I885" s="506"/>
      <c r="J885" s="506"/>
      <c r="K885" s="507"/>
      <c r="L885" s="508"/>
      <c r="M885" s="508"/>
      <c r="N885" s="508"/>
      <c r="O885" s="509"/>
      <c r="P885" s="509"/>
    </row>
    <row r="886" spans="1:16" ht="21.75" customHeight="1" x14ac:dyDescent="0.3">
      <c r="A886" s="504"/>
      <c r="B886" s="504"/>
      <c r="C886" s="504"/>
      <c r="D886" s="504"/>
      <c r="E886" s="506"/>
      <c r="F886" s="506"/>
      <c r="G886" s="506"/>
      <c r="H886" s="506"/>
      <c r="I886" s="506"/>
      <c r="J886" s="506"/>
      <c r="K886" s="507"/>
      <c r="L886" s="508"/>
      <c r="M886" s="508"/>
      <c r="N886" s="508"/>
      <c r="O886" s="509"/>
      <c r="P886" s="509"/>
    </row>
    <row r="887" spans="1:16" ht="21.75" customHeight="1" x14ac:dyDescent="0.3">
      <c r="A887" s="504"/>
      <c r="B887" s="504"/>
      <c r="C887" s="504"/>
      <c r="D887" s="504"/>
      <c r="E887" s="506"/>
      <c r="F887" s="506"/>
      <c r="G887" s="506"/>
      <c r="H887" s="506"/>
      <c r="I887" s="506"/>
      <c r="J887" s="506"/>
      <c r="K887" s="507"/>
      <c r="L887" s="508"/>
      <c r="M887" s="508"/>
      <c r="N887" s="508"/>
      <c r="O887" s="509"/>
      <c r="P887" s="509"/>
    </row>
    <row r="888" spans="1:16" ht="21.75" customHeight="1" x14ac:dyDescent="0.3">
      <c r="A888" s="504"/>
      <c r="B888" s="504"/>
      <c r="C888" s="504"/>
      <c r="D888" s="504"/>
      <c r="E888" s="506"/>
      <c r="F888" s="506"/>
      <c r="G888" s="506"/>
      <c r="H888" s="506"/>
      <c r="I888" s="506"/>
      <c r="J888" s="506"/>
      <c r="K888" s="507"/>
      <c r="L888" s="508"/>
      <c r="M888" s="508"/>
      <c r="N888" s="508"/>
      <c r="O888" s="509"/>
      <c r="P888" s="509"/>
    </row>
    <row r="889" spans="1:16" ht="21.75" customHeight="1" x14ac:dyDescent="0.3">
      <c r="A889" s="504"/>
      <c r="B889" s="504"/>
      <c r="C889" s="504"/>
      <c r="D889" s="504"/>
      <c r="E889" s="506"/>
      <c r="F889" s="506"/>
      <c r="G889" s="506"/>
      <c r="H889" s="506"/>
      <c r="I889" s="506"/>
      <c r="J889" s="506"/>
      <c r="K889" s="507"/>
      <c r="L889" s="508"/>
      <c r="M889" s="508"/>
      <c r="N889" s="508"/>
      <c r="O889" s="509"/>
      <c r="P889" s="509"/>
    </row>
    <row r="890" spans="1:16" ht="21.75" customHeight="1" x14ac:dyDescent="0.3">
      <c r="A890" s="504"/>
      <c r="B890" s="504"/>
      <c r="C890" s="504"/>
      <c r="D890" s="504"/>
      <c r="E890" s="506"/>
      <c r="F890" s="506"/>
      <c r="G890" s="506"/>
      <c r="H890" s="506"/>
      <c r="I890" s="506"/>
      <c r="J890" s="506"/>
      <c r="K890" s="507"/>
      <c r="L890" s="508"/>
      <c r="M890" s="508"/>
      <c r="N890" s="508"/>
      <c r="O890" s="509"/>
      <c r="P890" s="509"/>
    </row>
    <row r="891" spans="1:16" ht="21.75" customHeight="1" x14ac:dyDescent="0.3">
      <c r="A891" s="504"/>
      <c r="B891" s="504"/>
      <c r="C891" s="504"/>
      <c r="D891" s="504"/>
      <c r="E891" s="506"/>
      <c r="F891" s="506"/>
      <c r="G891" s="506"/>
      <c r="H891" s="506"/>
      <c r="I891" s="506"/>
      <c r="J891" s="506"/>
      <c r="K891" s="507"/>
      <c r="L891" s="508"/>
      <c r="M891" s="508"/>
      <c r="N891" s="508"/>
      <c r="O891" s="509"/>
      <c r="P891" s="509"/>
    </row>
    <row r="892" spans="1:16" ht="21.75" customHeight="1" x14ac:dyDescent="0.3">
      <c r="A892" s="504"/>
      <c r="B892" s="504"/>
      <c r="C892" s="504"/>
      <c r="D892" s="504"/>
      <c r="E892" s="506"/>
      <c r="F892" s="506"/>
      <c r="G892" s="506"/>
      <c r="H892" s="506"/>
      <c r="I892" s="506"/>
      <c r="J892" s="506"/>
      <c r="K892" s="507"/>
      <c r="L892" s="508"/>
      <c r="M892" s="508"/>
      <c r="N892" s="508"/>
      <c r="O892" s="509"/>
      <c r="P892" s="509"/>
    </row>
    <row r="893" spans="1:16" ht="21.75" customHeight="1" x14ac:dyDescent="0.3">
      <c r="A893" s="504"/>
      <c r="B893" s="504"/>
      <c r="C893" s="504"/>
      <c r="D893" s="504"/>
      <c r="E893" s="506"/>
      <c r="F893" s="506"/>
      <c r="G893" s="506"/>
      <c r="H893" s="506"/>
      <c r="I893" s="506"/>
      <c r="J893" s="506"/>
      <c r="K893" s="507"/>
      <c r="L893" s="508"/>
      <c r="M893" s="508"/>
      <c r="N893" s="508"/>
      <c r="O893" s="509"/>
      <c r="P893" s="509"/>
    </row>
    <row r="894" spans="1:16" ht="21.75" customHeight="1" x14ac:dyDescent="0.3">
      <c r="A894" s="504"/>
      <c r="B894" s="504"/>
      <c r="C894" s="504"/>
      <c r="D894" s="504"/>
      <c r="E894" s="506"/>
      <c r="F894" s="506"/>
      <c r="G894" s="506"/>
      <c r="H894" s="506"/>
      <c r="I894" s="506"/>
      <c r="J894" s="506"/>
      <c r="K894" s="507"/>
      <c r="L894" s="508"/>
      <c r="M894" s="508"/>
      <c r="N894" s="508"/>
      <c r="O894" s="509"/>
      <c r="P894" s="509"/>
    </row>
    <row r="895" spans="1:16" ht="21.75" customHeight="1" x14ac:dyDescent="0.3">
      <c r="A895" s="504"/>
      <c r="B895" s="504"/>
      <c r="C895" s="504"/>
      <c r="D895" s="504"/>
      <c r="E895" s="506"/>
      <c r="F895" s="506"/>
      <c r="G895" s="506"/>
      <c r="H895" s="506"/>
      <c r="I895" s="506"/>
      <c r="J895" s="506"/>
      <c r="K895" s="507"/>
      <c r="L895" s="508"/>
      <c r="M895" s="508"/>
      <c r="N895" s="508"/>
      <c r="O895" s="509"/>
      <c r="P895" s="509"/>
    </row>
    <row r="896" spans="1:16" ht="21.75" customHeight="1" x14ac:dyDescent="0.3">
      <c r="A896" s="504"/>
      <c r="B896" s="504"/>
      <c r="C896" s="504"/>
      <c r="D896" s="504"/>
      <c r="E896" s="506"/>
      <c r="F896" s="506"/>
      <c r="G896" s="506"/>
      <c r="H896" s="506"/>
      <c r="I896" s="506"/>
      <c r="J896" s="506"/>
      <c r="K896" s="507"/>
      <c r="L896" s="508"/>
      <c r="M896" s="508"/>
      <c r="N896" s="508"/>
      <c r="O896" s="509"/>
      <c r="P896" s="509"/>
    </row>
    <row r="897" spans="1:16" ht="21.75" customHeight="1" x14ac:dyDescent="0.3">
      <c r="A897" s="504"/>
      <c r="B897" s="504"/>
      <c r="C897" s="504"/>
      <c r="D897" s="504"/>
      <c r="E897" s="506"/>
      <c r="F897" s="506"/>
      <c r="G897" s="506"/>
      <c r="H897" s="506"/>
      <c r="I897" s="506"/>
      <c r="J897" s="506"/>
      <c r="K897" s="507"/>
      <c r="L897" s="508"/>
      <c r="M897" s="508"/>
      <c r="N897" s="508"/>
      <c r="O897" s="509"/>
      <c r="P897" s="509"/>
    </row>
    <row r="898" spans="1:16" ht="21.75" customHeight="1" x14ac:dyDescent="0.3">
      <c r="A898" s="504"/>
      <c r="B898" s="504"/>
      <c r="C898" s="504"/>
      <c r="D898" s="504"/>
      <c r="E898" s="506"/>
      <c r="F898" s="506"/>
      <c r="G898" s="506"/>
      <c r="H898" s="506"/>
      <c r="I898" s="506"/>
      <c r="J898" s="506"/>
      <c r="K898" s="507"/>
      <c r="L898" s="508"/>
      <c r="M898" s="508"/>
      <c r="N898" s="508"/>
      <c r="O898" s="509"/>
      <c r="P898" s="509"/>
    </row>
    <row r="899" spans="1:16" ht="21.75" customHeight="1" x14ac:dyDescent="0.3">
      <c r="A899" s="504"/>
      <c r="B899" s="504"/>
      <c r="C899" s="504"/>
      <c r="D899" s="504"/>
      <c r="E899" s="506"/>
      <c r="F899" s="506"/>
      <c r="G899" s="506"/>
      <c r="H899" s="506"/>
      <c r="I899" s="506"/>
      <c r="J899" s="506"/>
      <c r="K899" s="507"/>
      <c r="L899" s="508"/>
      <c r="M899" s="508"/>
      <c r="N899" s="508"/>
      <c r="O899" s="509"/>
      <c r="P899" s="509"/>
    </row>
    <row r="900" spans="1:16" ht="21.75" customHeight="1" x14ac:dyDescent="0.3">
      <c r="A900" s="504"/>
      <c r="B900" s="504"/>
      <c r="C900" s="504"/>
      <c r="D900" s="504"/>
      <c r="E900" s="506"/>
      <c r="F900" s="506"/>
      <c r="G900" s="506"/>
      <c r="H900" s="506"/>
      <c r="I900" s="506"/>
      <c r="J900" s="506"/>
      <c r="K900" s="507"/>
      <c r="L900" s="508"/>
      <c r="M900" s="508"/>
      <c r="N900" s="508"/>
      <c r="O900" s="509"/>
      <c r="P900" s="509"/>
    </row>
    <row r="901" spans="1:16" ht="21.75" customHeight="1" x14ac:dyDescent="0.3">
      <c r="A901" s="504"/>
      <c r="B901" s="504"/>
      <c r="C901" s="504"/>
      <c r="D901" s="504"/>
      <c r="E901" s="506"/>
      <c r="F901" s="506"/>
      <c r="G901" s="506"/>
      <c r="H901" s="506"/>
      <c r="I901" s="506"/>
      <c r="J901" s="506"/>
      <c r="K901" s="507"/>
      <c r="L901" s="508"/>
      <c r="M901" s="508"/>
      <c r="N901" s="508"/>
      <c r="O901" s="509"/>
      <c r="P901" s="509"/>
    </row>
    <row r="902" spans="1:16" ht="21.75" customHeight="1" x14ac:dyDescent="0.3">
      <c r="A902" s="504"/>
      <c r="B902" s="504"/>
      <c r="C902" s="504"/>
      <c r="D902" s="504"/>
      <c r="E902" s="506"/>
      <c r="F902" s="506"/>
      <c r="G902" s="506"/>
      <c r="H902" s="506"/>
      <c r="I902" s="506"/>
      <c r="J902" s="506"/>
      <c r="K902" s="507"/>
      <c r="L902" s="508"/>
      <c r="M902" s="508"/>
      <c r="N902" s="508"/>
      <c r="O902" s="509"/>
      <c r="P902" s="509"/>
    </row>
    <row r="903" spans="1:16" ht="21.75" customHeight="1" x14ac:dyDescent="0.3">
      <c r="A903" s="504"/>
      <c r="B903" s="504"/>
      <c r="C903" s="504"/>
      <c r="D903" s="504"/>
      <c r="E903" s="506"/>
      <c r="F903" s="506"/>
      <c r="G903" s="506"/>
      <c r="H903" s="506"/>
      <c r="I903" s="506"/>
      <c r="J903" s="506"/>
      <c r="K903" s="507"/>
      <c r="L903" s="508"/>
      <c r="M903" s="508"/>
      <c r="N903" s="508"/>
      <c r="O903" s="509"/>
      <c r="P903" s="509"/>
    </row>
    <row r="904" spans="1:16" ht="21.75" customHeight="1" x14ac:dyDescent="0.3">
      <c r="A904" s="504"/>
      <c r="B904" s="504"/>
      <c r="C904" s="504"/>
      <c r="D904" s="504"/>
      <c r="E904" s="506"/>
      <c r="F904" s="506"/>
      <c r="G904" s="506"/>
      <c r="H904" s="506"/>
      <c r="I904" s="506"/>
      <c r="J904" s="506"/>
      <c r="K904" s="507"/>
      <c r="L904" s="508"/>
      <c r="M904" s="508"/>
      <c r="N904" s="508"/>
      <c r="O904" s="509"/>
      <c r="P904" s="509"/>
    </row>
    <row r="905" spans="1:16" ht="21.75" customHeight="1" x14ac:dyDescent="0.3">
      <c r="A905" s="504"/>
      <c r="B905" s="504"/>
      <c r="C905" s="504"/>
      <c r="D905" s="504"/>
      <c r="E905" s="506"/>
      <c r="F905" s="506"/>
      <c r="G905" s="506"/>
      <c r="H905" s="506"/>
      <c r="I905" s="506"/>
      <c r="J905" s="506"/>
      <c r="K905" s="507"/>
      <c r="L905" s="508"/>
      <c r="M905" s="508"/>
      <c r="N905" s="508"/>
      <c r="O905" s="509"/>
      <c r="P905" s="509"/>
    </row>
    <row r="906" spans="1:16" ht="21.75" customHeight="1" x14ac:dyDescent="0.3">
      <c r="A906" s="504"/>
      <c r="B906" s="504"/>
      <c r="C906" s="504"/>
      <c r="D906" s="504"/>
      <c r="E906" s="506"/>
      <c r="F906" s="506"/>
      <c r="G906" s="506"/>
      <c r="H906" s="506"/>
      <c r="I906" s="506"/>
      <c r="J906" s="506"/>
      <c r="K906" s="507"/>
      <c r="L906" s="508"/>
      <c r="M906" s="508"/>
      <c r="N906" s="508"/>
      <c r="O906" s="509"/>
      <c r="P906" s="509"/>
    </row>
    <row r="907" spans="1:16" ht="21.75" customHeight="1" x14ac:dyDescent="0.3">
      <c r="A907" s="504"/>
      <c r="B907" s="504"/>
      <c r="C907" s="504"/>
      <c r="D907" s="504"/>
      <c r="E907" s="506"/>
      <c r="F907" s="506"/>
      <c r="G907" s="506"/>
      <c r="H907" s="506"/>
      <c r="I907" s="506"/>
      <c r="J907" s="506"/>
      <c r="K907" s="507"/>
      <c r="L907" s="508"/>
      <c r="M907" s="508"/>
      <c r="N907" s="508"/>
      <c r="O907" s="509"/>
      <c r="P907" s="509"/>
    </row>
    <row r="908" spans="1:16" ht="21.75" customHeight="1" x14ac:dyDescent="0.3">
      <c r="A908" s="504"/>
      <c r="B908" s="504"/>
      <c r="C908" s="504"/>
      <c r="D908" s="504"/>
      <c r="E908" s="506"/>
      <c r="F908" s="506"/>
      <c r="G908" s="506"/>
      <c r="H908" s="506"/>
      <c r="I908" s="506"/>
      <c r="J908" s="506"/>
      <c r="K908" s="507"/>
      <c r="L908" s="508"/>
      <c r="M908" s="508"/>
      <c r="N908" s="508"/>
      <c r="O908" s="509"/>
      <c r="P908" s="509"/>
    </row>
    <row r="909" spans="1:16" ht="21.75" customHeight="1" x14ac:dyDescent="0.3">
      <c r="A909" s="504"/>
      <c r="B909" s="504"/>
      <c r="C909" s="504"/>
      <c r="D909" s="504"/>
      <c r="E909" s="506"/>
      <c r="F909" s="506"/>
      <c r="G909" s="506"/>
      <c r="H909" s="506"/>
      <c r="I909" s="506"/>
      <c r="J909" s="506"/>
      <c r="K909" s="507"/>
      <c r="L909" s="508"/>
      <c r="M909" s="508"/>
      <c r="N909" s="508"/>
      <c r="O909" s="509"/>
      <c r="P909" s="509"/>
    </row>
    <row r="910" spans="1:16" ht="21.75" customHeight="1" x14ac:dyDescent="0.3">
      <c r="A910" s="504"/>
      <c r="B910" s="504"/>
      <c r="C910" s="504"/>
      <c r="D910" s="504"/>
      <c r="E910" s="506"/>
      <c r="F910" s="506"/>
      <c r="G910" s="506"/>
      <c r="H910" s="506"/>
      <c r="I910" s="506"/>
      <c r="J910" s="506"/>
      <c r="K910" s="507"/>
      <c r="L910" s="508"/>
      <c r="M910" s="508"/>
      <c r="N910" s="508"/>
      <c r="O910" s="509"/>
      <c r="P910" s="509"/>
    </row>
    <row r="911" spans="1:16" ht="21.75" customHeight="1" x14ac:dyDescent="0.3">
      <c r="A911" s="504"/>
      <c r="B911" s="504"/>
      <c r="C911" s="504"/>
      <c r="D911" s="504"/>
      <c r="E911" s="506"/>
      <c r="F911" s="506"/>
      <c r="G911" s="506"/>
      <c r="H911" s="506"/>
      <c r="I911" s="506"/>
      <c r="J911" s="506"/>
      <c r="K911" s="507"/>
      <c r="L911" s="508"/>
      <c r="M911" s="508"/>
      <c r="N911" s="508"/>
      <c r="O911" s="509"/>
      <c r="P911" s="509"/>
    </row>
    <row r="912" spans="1:16" ht="21.75" customHeight="1" x14ac:dyDescent="0.3">
      <c r="A912" s="504"/>
      <c r="B912" s="504"/>
      <c r="C912" s="504"/>
      <c r="D912" s="504"/>
      <c r="E912" s="506"/>
      <c r="F912" s="506"/>
      <c r="G912" s="506"/>
      <c r="H912" s="506"/>
      <c r="I912" s="506"/>
      <c r="J912" s="506"/>
      <c r="K912" s="507"/>
      <c r="L912" s="508"/>
      <c r="M912" s="508"/>
      <c r="N912" s="508"/>
      <c r="O912" s="509"/>
      <c r="P912" s="509"/>
    </row>
    <row r="913" spans="1:16" ht="21.75" customHeight="1" x14ac:dyDescent="0.3">
      <c r="A913" s="504"/>
      <c r="B913" s="504"/>
      <c r="C913" s="504"/>
      <c r="D913" s="504"/>
      <c r="E913" s="506"/>
      <c r="F913" s="506"/>
      <c r="G913" s="506"/>
      <c r="H913" s="506"/>
      <c r="I913" s="506"/>
      <c r="J913" s="506"/>
      <c r="K913" s="507"/>
      <c r="L913" s="508"/>
      <c r="M913" s="508"/>
      <c r="N913" s="508"/>
      <c r="O913" s="509"/>
      <c r="P913" s="509"/>
    </row>
    <row r="914" spans="1:16" ht="21.75" customHeight="1" x14ac:dyDescent="0.3">
      <c r="A914" s="504"/>
      <c r="B914" s="504"/>
      <c r="C914" s="504"/>
      <c r="D914" s="504"/>
      <c r="E914" s="506"/>
      <c r="F914" s="506"/>
      <c r="G914" s="506"/>
      <c r="H914" s="506"/>
      <c r="I914" s="506"/>
      <c r="J914" s="506"/>
      <c r="K914" s="507"/>
      <c r="L914" s="508"/>
      <c r="M914" s="508"/>
      <c r="N914" s="508"/>
      <c r="O914" s="509"/>
      <c r="P914" s="509"/>
    </row>
    <row r="915" spans="1:16" ht="21.75" customHeight="1" x14ac:dyDescent="0.3">
      <c r="A915" s="504"/>
      <c r="B915" s="504"/>
      <c r="C915" s="504"/>
      <c r="D915" s="504"/>
      <c r="E915" s="506"/>
      <c r="F915" s="506"/>
      <c r="G915" s="506"/>
      <c r="H915" s="506"/>
      <c r="I915" s="506"/>
      <c r="J915" s="506"/>
      <c r="K915" s="507"/>
      <c r="L915" s="508"/>
      <c r="M915" s="508"/>
      <c r="N915" s="508"/>
      <c r="O915" s="509"/>
      <c r="P915" s="509"/>
    </row>
    <row r="916" spans="1:16" ht="21.75" customHeight="1" x14ac:dyDescent="0.3">
      <c r="A916" s="504"/>
      <c r="B916" s="504"/>
      <c r="C916" s="504"/>
      <c r="D916" s="504"/>
      <c r="E916" s="506"/>
      <c r="F916" s="506"/>
      <c r="G916" s="506"/>
      <c r="H916" s="506"/>
      <c r="I916" s="506"/>
      <c r="J916" s="506"/>
      <c r="K916" s="507"/>
      <c r="L916" s="508"/>
      <c r="M916" s="508"/>
      <c r="N916" s="508"/>
      <c r="O916" s="509"/>
      <c r="P916" s="509"/>
    </row>
    <row r="917" spans="1:16" ht="21.75" customHeight="1" x14ac:dyDescent="0.3">
      <c r="A917" s="504"/>
      <c r="B917" s="504"/>
      <c r="C917" s="504"/>
      <c r="D917" s="504"/>
      <c r="E917" s="506"/>
      <c r="F917" s="506"/>
      <c r="G917" s="506"/>
      <c r="H917" s="506"/>
      <c r="I917" s="506"/>
      <c r="J917" s="506"/>
      <c r="K917" s="507"/>
      <c r="L917" s="508"/>
      <c r="M917" s="508"/>
      <c r="N917" s="508"/>
      <c r="O917" s="509"/>
      <c r="P917" s="509"/>
    </row>
    <row r="918" spans="1:16" ht="21.75" customHeight="1" x14ac:dyDescent="0.3">
      <c r="A918" s="504"/>
      <c r="B918" s="504"/>
      <c r="C918" s="504"/>
      <c r="D918" s="504"/>
      <c r="E918" s="506"/>
      <c r="F918" s="506"/>
      <c r="G918" s="506"/>
      <c r="H918" s="506"/>
      <c r="I918" s="506"/>
      <c r="J918" s="506"/>
      <c r="K918" s="507"/>
      <c r="L918" s="508"/>
      <c r="M918" s="508"/>
      <c r="N918" s="508"/>
      <c r="O918" s="509"/>
      <c r="P918" s="509"/>
    </row>
    <row r="919" spans="1:16" ht="21.75" customHeight="1" x14ac:dyDescent="0.3">
      <c r="A919" s="504"/>
      <c r="B919" s="504"/>
      <c r="C919" s="504"/>
      <c r="D919" s="504"/>
      <c r="E919" s="506"/>
      <c r="F919" s="506"/>
      <c r="G919" s="506"/>
      <c r="H919" s="506"/>
      <c r="I919" s="506"/>
      <c r="J919" s="506"/>
      <c r="K919" s="507"/>
      <c r="L919" s="508"/>
      <c r="M919" s="508"/>
      <c r="N919" s="508"/>
      <c r="O919" s="509"/>
      <c r="P919" s="509"/>
    </row>
    <row r="920" spans="1:16" ht="21.75" customHeight="1" x14ac:dyDescent="0.3">
      <c r="A920" s="504"/>
      <c r="B920" s="504"/>
      <c r="C920" s="504"/>
      <c r="D920" s="504"/>
      <c r="E920" s="506"/>
      <c r="F920" s="506"/>
      <c r="G920" s="506"/>
      <c r="H920" s="506"/>
      <c r="I920" s="506"/>
      <c r="J920" s="506"/>
      <c r="K920" s="507"/>
      <c r="L920" s="508"/>
      <c r="M920" s="508"/>
      <c r="N920" s="508"/>
      <c r="O920" s="509"/>
      <c r="P920" s="509"/>
    </row>
    <row r="921" spans="1:16" ht="21.75" customHeight="1" x14ac:dyDescent="0.3">
      <c r="A921" s="504"/>
      <c r="B921" s="504"/>
      <c r="C921" s="504"/>
      <c r="D921" s="504"/>
      <c r="E921" s="506"/>
      <c r="F921" s="506"/>
      <c r="G921" s="506"/>
      <c r="H921" s="506"/>
      <c r="I921" s="506"/>
      <c r="J921" s="506"/>
      <c r="K921" s="507"/>
      <c r="L921" s="508"/>
      <c r="M921" s="508"/>
      <c r="N921" s="508"/>
      <c r="O921" s="509"/>
      <c r="P921" s="509"/>
    </row>
    <row r="922" spans="1:16" ht="21.75" customHeight="1" x14ac:dyDescent="0.3">
      <c r="A922" s="504"/>
      <c r="B922" s="504"/>
      <c r="C922" s="504"/>
      <c r="D922" s="504"/>
      <c r="E922" s="506"/>
      <c r="F922" s="506"/>
      <c r="G922" s="506"/>
      <c r="H922" s="506"/>
      <c r="I922" s="506"/>
      <c r="J922" s="506"/>
      <c r="K922" s="507"/>
      <c r="L922" s="508"/>
      <c r="M922" s="508"/>
      <c r="N922" s="508"/>
      <c r="O922" s="509"/>
      <c r="P922" s="509"/>
    </row>
    <row r="923" spans="1:16" ht="21.75" customHeight="1" x14ac:dyDescent="0.3">
      <c r="A923" s="504"/>
      <c r="B923" s="504"/>
      <c r="C923" s="504"/>
      <c r="D923" s="504"/>
      <c r="E923" s="506"/>
      <c r="F923" s="506"/>
      <c r="G923" s="506"/>
      <c r="H923" s="506"/>
      <c r="I923" s="506"/>
      <c r="J923" s="506"/>
      <c r="K923" s="507"/>
      <c r="L923" s="508"/>
      <c r="M923" s="508"/>
      <c r="N923" s="508"/>
      <c r="O923" s="509"/>
      <c r="P923" s="509"/>
    </row>
    <row r="924" spans="1:16" ht="21.75" customHeight="1" x14ac:dyDescent="0.3">
      <c r="A924" s="504"/>
      <c r="B924" s="504"/>
      <c r="C924" s="504"/>
      <c r="D924" s="504"/>
      <c r="E924" s="506"/>
      <c r="F924" s="506"/>
      <c r="G924" s="506"/>
      <c r="H924" s="506"/>
      <c r="I924" s="506"/>
      <c r="J924" s="506"/>
      <c r="K924" s="507"/>
      <c r="L924" s="508"/>
      <c r="M924" s="508"/>
      <c r="N924" s="508"/>
      <c r="O924" s="509"/>
      <c r="P924" s="509"/>
    </row>
    <row r="925" spans="1:16" ht="21.75" customHeight="1" x14ac:dyDescent="0.3">
      <c r="A925" s="504"/>
      <c r="B925" s="504"/>
      <c r="C925" s="504"/>
      <c r="D925" s="504"/>
      <c r="E925" s="506"/>
      <c r="F925" s="506"/>
      <c r="G925" s="506"/>
      <c r="H925" s="506"/>
      <c r="I925" s="506"/>
      <c r="J925" s="506"/>
      <c r="K925" s="507"/>
      <c r="L925" s="508"/>
      <c r="M925" s="508"/>
      <c r="N925" s="508"/>
      <c r="O925" s="509"/>
      <c r="P925" s="509"/>
    </row>
    <row r="926" spans="1:16" ht="21.75" customHeight="1" x14ac:dyDescent="0.3">
      <c r="A926" s="504"/>
      <c r="B926" s="504"/>
      <c r="C926" s="504"/>
      <c r="D926" s="504"/>
      <c r="E926" s="506"/>
      <c r="F926" s="506"/>
      <c r="G926" s="506"/>
      <c r="H926" s="506"/>
      <c r="I926" s="506"/>
      <c r="J926" s="506"/>
      <c r="K926" s="507"/>
      <c r="L926" s="508"/>
      <c r="M926" s="508"/>
      <c r="N926" s="508"/>
      <c r="O926" s="509"/>
      <c r="P926" s="509"/>
    </row>
    <row r="927" spans="1:16" ht="21.75" customHeight="1" x14ac:dyDescent="0.3">
      <c r="A927" s="504"/>
      <c r="B927" s="504"/>
      <c r="C927" s="504"/>
      <c r="D927" s="504"/>
      <c r="E927" s="506"/>
      <c r="F927" s="506"/>
      <c r="G927" s="506"/>
      <c r="H927" s="506"/>
      <c r="I927" s="506"/>
      <c r="J927" s="506"/>
      <c r="K927" s="507"/>
      <c r="L927" s="508"/>
      <c r="M927" s="508"/>
      <c r="N927" s="508"/>
      <c r="O927" s="509"/>
      <c r="P927" s="509"/>
    </row>
    <row r="928" spans="1:16" ht="21.75" customHeight="1" x14ac:dyDescent="0.3">
      <c r="A928" s="504"/>
      <c r="B928" s="504"/>
      <c r="C928" s="504"/>
      <c r="D928" s="504"/>
      <c r="E928" s="506"/>
      <c r="F928" s="506"/>
      <c r="G928" s="506"/>
      <c r="H928" s="506"/>
      <c r="I928" s="506"/>
      <c r="J928" s="506"/>
      <c r="K928" s="507"/>
      <c r="L928" s="508"/>
      <c r="M928" s="508"/>
      <c r="N928" s="508"/>
      <c r="O928" s="509"/>
      <c r="P928" s="509"/>
    </row>
    <row r="929" spans="1:16" ht="21.75" customHeight="1" x14ac:dyDescent="0.3">
      <c r="A929" s="504"/>
      <c r="B929" s="504"/>
      <c r="C929" s="504"/>
      <c r="D929" s="504"/>
      <c r="E929" s="506"/>
      <c r="F929" s="506"/>
      <c r="G929" s="506"/>
      <c r="H929" s="506"/>
      <c r="I929" s="506"/>
      <c r="J929" s="506"/>
      <c r="K929" s="507"/>
      <c r="L929" s="508"/>
      <c r="M929" s="508"/>
      <c r="N929" s="508"/>
      <c r="O929" s="509"/>
      <c r="P929" s="509"/>
    </row>
    <row r="930" spans="1:16" ht="21.75" customHeight="1" x14ac:dyDescent="0.3">
      <c r="A930" s="504"/>
      <c r="B930" s="504"/>
      <c r="C930" s="504"/>
      <c r="D930" s="504"/>
      <c r="E930" s="506"/>
      <c r="F930" s="506"/>
      <c r="G930" s="506"/>
      <c r="H930" s="506"/>
      <c r="I930" s="506"/>
      <c r="J930" s="506"/>
      <c r="K930" s="507"/>
      <c r="L930" s="508"/>
      <c r="M930" s="508"/>
      <c r="N930" s="508"/>
      <c r="O930" s="509"/>
      <c r="P930" s="509"/>
    </row>
    <row r="931" spans="1:16" ht="21.75" customHeight="1" x14ac:dyDescent="0.3">
      <c r="A931" s="504"/>
      <c r="B931" s="504"/>
      <c r="C931" s="504"/>
      <c r="D931" s="504"/>
      <c r="E931" s="506"/>
      <c r="F931" s="506"/>
      <c r="G931" s="506"/>
      <c r="H931" s="506"/>
      <c r="I931" s="506"/>
      <c r="J931" s="506"/>
      <c r="K931" s="507"/>
      <c r="L931" s="508"/>
      <c r="M931" s="508"/>
      <c r="N931" s="508"/>
      <c r="O931" s="509"/>
      <c r="P931" s="509"/>
    </row>
    <row r="932" spans="1:16" ht="21.75" customHeight="1" x14ac:dyDescent="0.3">
      <c r="A932" s="504"/>
      <c r="B932" s="504"/>
      <c r="C932" s="504"/>
      <c r="D932" s="504"/>
      <c r="E932" s="506"/>
      <c r="F932" s="506"/>
      <c r="G932" s="506"/>
      <c r="H932" s="506"/>
      <c r="I932" s="506"/>
      <c r="J932" s="506"/>
      <c r="K932" s="507"/>
      <c r="L932" s="508"/>
      <c r="M932" s="508"/>
      <c r="N932" s="508"/>
      <c r="O932" s="509"/>
      <c r="P932" s="509"/>
    </row>
    <row r="933" spans="1:16" ht="21.75" customHeight="1" x14ac:dyDescent="0.3">
      <c r="A933" s="504"/>
      <c r="B933" s="504"/>
      <c r="C933" s="504"/>
      <c r="D933" s="504"/>
      <c r="E933" s="506"/>
      <c r="F933" s="506"/>
      <c r="G933" s="506"/>
      <c r="H933" s="506"/>
      <c r="I933" s="506"/>
      <c r="J933" s="506"/>
      <c r="K933" s="507"/>
      <c r="L933" s="508"/>
      <c r="M933" s="508"/>
      <c r="N933" s="508"/>
      <c r="O933" s="509"/>
      <c r="P933" s="509"/>
    </row>
    <row r="934" spans="1:16" ht="21.75" customHeight="1" x14ac:dyDescent="0.3">
      <c r="A934" s="504"/>
      <c r="B934" s="504"/>
      <c r="C934" s="504"/>
      <c r="D934" s="504"/>
      <c r="E934" s="506"/>
      <c r="F934" s="506"/>
      <c r="G934" s="506"/>
      <c r="H934" s="506"/>
      <c r="I934" s="506"/>
      <c r="J934" s="506"/>
      <c r="K934" s="507"/>
      <c r="L934" s="508"/>
      <c r="M934" s="508"/>
      <c r="N934" s="508"/>
      <c r="O934" s="509"/>
      <c r="P934" s="509"/>
    </row>
    <row r="935" spans="1:16" ht="21.75" customHeight="1" x14ac:dyDescent="0.3">
      <c r="A935" s="504"/>
      <c r="B935" s="504"/>
      <c r="C935" s="504"/>
      <c r="D935" s="504"/>
      <c r="E935" s="506"/>
      <c r="F935" s="506"/>
      <c r="G935" s="506"/>
      <c r="H935" s="506"/>
      <c r="I935" s="506"/>
      <c r="J935" s="506"/>
      <c r="K935" s="507"/>
      <c r="L935" s="508"/>
      <c r="M935" s="508"/>
      <c r="N935" s="508"/>
      <c r="O935" s="509"/>
      <c r="P935" s="509"/>
    </row>
    <row r="936" spans="1:16" ht="21.75" customHeight="1" x14ac:dyDescent="0.3">
      <c r="A936" s="504"/>
      <c r="B936" s="504"/>
      <c r="C936" s="504"/>
      <c r="D936" s="504"/>
      <c r="E936" s="506"/>
      <c r="F936" s="506"/>
      <c r="G936" s="506"/>
      <c r="H936" s="506"/>
      <c r="I936" s="506"/>
      <c r="J936" s="506"/>
      <c r="K936" s="507"/>
      <c r="L936" s="508"/>
      <c r="M936" s="508"/>
      <c r="N936" s="508"/>
      <c r="O936" s="509"/>
      <c r="P936" s="509"/>
    </row>
    <row r="937" spans="1:16" ht="21.75" customHeight="1" x14ac:dyDescent="0.3">
      <c r="A937" s="504"/>
      <c r="B937" s="504"/>
      <c r="C937" s="504"/>
      <c r="D937" s="504"/>
      <c r="E937" s="506"/>
      <c r="F937" s="506"/>
      <c r="G937" s="506"/>
      <c r="H937" s="506"/>
      <c r="I937" s="506"/>
      <c r="J937" s="506"/>
      <c r="K937" s="507"/>
      <c r="L937" s="508"/>
      <c r="M937" s="508"/>
      <c r="N937" s="508"/>
      <c r="O937" s="509"/>
      <c r="P937" s="509"/>
    </row>
    <row r="938" spans="1:16" ht="21.75" customHeight="1" x14ac:dyDescent="0.3">
      <c r="A938" s="504"/>
      <c r="B938" s="504"/>
      <c r="C938" s="504"/>
      <c r="D938" s="504"/>
      <c r="E938" s="506"/>
      <c r="F938" s="506"/>
      <c r="G938" s="506"/>
      <c r="H938" s="506"/>
      <c r="I938" s="506"/>
      <c r="J938" s="506"/>
      <c r="K938" s="507"/>
      <c r="L938" s="508"/>
      <c r="M938" s="508"/>
      <c r="N938" s="508"/>
      <c r="O938" s="509"/>
      <c r="P938" s="509"/>
    </row>
    <row r="939" spans="1:16" ht="21.75" customHeight="1" x14ac:dyDescent="0.3">
      <c r="A939" s="504"/>
      <c r="B939" s="504"/>
      <c r="C939" s="504"/>
      <c r="D939" s="504"/>
      <c r="E939" s="506"/>
      <c r="F939" s="506"/>
      <c r="G939" s="506"/>
      <c r="H939" s="506"/>
      <c r="I939" s="506"/>
      <c r="J939" s="506"/>
      <c r="K939" s="507"/>
      <c r="L939" s="508"/>
      <c r="M939" s="508"/>
      <c r="N939" s="508"/>
      <c r="O939" s="509"/>
      <c r="P939" s="509"/>
    </row>
    <row r="940" spans="1:16" ht="21.75" customHeight="1" x14ac:dyDescent="0.3">
      <c r="A940" s="504"/>
      <c r="B940" s="504"/>
      <c r="C940" s="504"/>
      <c r="D940" s="504"/>
      <c r="E940" s="506"/>
      <c r="F940" s="506"/>
      <c r="G940" s="506"/>
      <c r="H940" s="506"/>
      <c r="I940" s="506"/>
      <c r="J940" s="506"/>
      <c r="K940" s="507"/>
      <c r="L940" s="508"/>
      <c r="M940" s="508"/>
      <c r="N940" s="508"/>
      <c r="O940" s="509"/>
      <c r="P940" s="509"/>
    </row>
    <row r="941" spans="1:16" ht="21.75" customHeight="1" x14ac:dyDescent="0.3">
      <c r="A941" s="504"/>
      <c r="B941" s="504"/>
      <c r="C941" s="504"/>
      <c r="D941" s="504"/>
      <c r="E941" s="506"/>
      <c r="F941" s="506"/>
      <c r="G941" s="506"/>
      <c r="H941" s="506"/>
      <c r="I941" s="506"/>
      <c r="J941" s="506"/>
      <c r="K941" s="507"/>
      <c r="L941" s="508"/>
      <c r="M941" s="508"/>
      <c r="N941" s="508"/>
      <c r="O941" s="509"/>
      <c r="P941" s="509"/>
    </row>
    <row r="942" spans="1:16" ht="21.75" customHeight="1" x14ac:dyDescent="0.3">
      <c r="A942" s="504"/>
      <c r="B942" s="504"/>
      <c r="C942" s="504"/>
      <c r="D942" s="504"/>
      <c r="E942" s="506"/>
      <c r="F942" s="506"/>
      <c r="G942" s="506"/>
      <c r="H942" s="506"/>
      <c r="I942" s="506"/>
      <c r="J942" s="506"/>
      <c r="K942" s="507"/>
      <c r="L942" s="508"/>
      <c r="M942" s="508"/>
      <c r="N942" s="508"/>
      <c r="O942" s="509"/>
      <c r="P942" s="509"/>
    </row>
    <row r="943" spans="1:16" ht="21.75" customHeight="1" x14ac:dyDescent="0.3">
      <c r="A943" s="504"/>
      <c r="B943" s="504"/>
      <c r="C943" s="504"/>
      <c r="D943" s="504"/>
      <c r="E943" s="506"/>
      <c r="F943" s="506"/>
      <c r="G943" s="506"/>
      <c r="H943" s="506"/>
      <c r="I943" s="506"/>
      <c r="J943" s="506"/>
      <c r="K943" s="507"/>
      <c r="L943" s="508"/>
      <c r="M943" s="508"/>
      <c r="N943" s="508"/>
      <c r="O943" s="509"/>
      <c r="P943" s="509"/>
    </row>
    <row r="944" spans="1:16" ht="21.75" customHeight="1" x14ac:dyDescent="0.3">
      <c r="A944" s="504"/>
      <c r="B944" s="504"/>
      <c r="C944" s="504"/>
      <c r="D944" s="504"/>
      <c r="E944" s="506"/>
      <c r="F944" s="506"/>
      <c r="G944" s="506"/>
      <c r="H944" s="506"/>
      <c r="I944" s="506"/>
      <c r="J944" s="506"/>
      <c r="K944" s="507"/>
      <c r="L944" s="508"/>
      <c r="M944" s="508"/>
      <c r="N944" s="508"/>
      <c r="O944" s="509"/>
      <c r="P944" s="509"/>
    </row>
    <row r="945" spans="1:16" ht="21.75" customHeight="1" x14ac:dyDescent="0.3">
      <c r="A945" s="504"/>
      <c r="B945" s="504"/>
      <c r="C945" s="504"/>
      <c r="D945" s="504"/>
      <c r="E945" s="506"/>
      <c r="F945" s="506"/>
      <c r="G945" s="506"/>
      <c r="H945" s="506"/>
      <c r="I945" s="506"/>
      <c r="J945" s="506"/>
      <c r="K945" s="507"/>
      <c r="L945" s="508"/>
      <c r="M945" s="508"/>
      <c r="N945" s="508"/>
      <c r="O945" s="509"/>
      <c r="P945" s="509"/>
    </row>
    <row r="946" spans="1:16" ht="21.75" customHeight="1" x14ac:dyDescent="0.3">
      <c r="A946" s="504"/>
      <c r="B946" s="504"/>
      <c r="C946" s="504"/>
      <c r="D946" s="504"/>
      <c r="E946" s="506"/>
      <c r="F946" s="506"/>
      <c r="G946" s="506"/>
      <c r="H946" s="506"/>
      <c r="I946" s="506"/>
      <c r="J946" s="506"/>
      <c r="K946" s="507"/>
      <c r="L946" s="508"/>
      <c r="M946" s="508"/>
      <c r="N946" s="508"/>
      <c r="O946" s="509"/>
      <c r="P946" s="509"/>
    </row>
    <row r="947" spans="1:16" ht="21.75" customHeight="1" x14ac:dyDescent="0.3">
      <c r="A947" s="504"/>
      <c r="B947" s="504"/>
      <c r="C947" s="504"/>
      <c r="D947" s="504"/>
      <c r="E947" s="506"/>
      <c r="F947" s="506"/>
      <c r="G947" s="506"/>
      <c r="H947" s="506"/>
      <c r="I947" s="506"/>
      <c r="J947" s="506"/>
      <c r="K947" s="507"/>
      <c r="L947" s="508"/>
      <c r="M947" s="508"/>
      <c r="N947" s="508"/>
      <c r="O947" s="509"/>
      <c r="P947" s="509"/>
    </row>
    <row r="948" spans="1:16" ht="21.75" customHeight="1" x14ac:dyDescent="0.3">
      <c r="A948" s="504"/>
      <c r="B948" s="504"/>
      <c r="C948" s="504"/>
      <c r="D948" s="504"/>
      <c r="E948" s="506"/>
      <c r="F948" s="506"/>
      <c r="G948" s="506"/>
      <c r="H948" s="506"/>
      <c r="I948" s="506"/>
      <c r="J948" s="506"/>
      <c r="K948" s="507"/>
      <c r="L948" s="508"/>
      <c r="M948" s="508"/>
      <c r="N948" s="508"/>
      <c r="O948" s="509"/>
      <c r="P948" s="509"/>
    </row>
    <row r="949" spans="1:16" ht="21.75" customHeight="1" x14ac:dyDescent="0.3">
      <c r="A949" s="504"/>
      <c r="B949" s="504"/>
      <c r="C949" s="504"/>
      <c r="D949" s="504"/>
      <c r="E949" s="506"/>
      <c r="F949" s="506"/>
      <c r="G949" s="506"/>
      <c r="H949" s="506"/>
      <c r="I949" s="506"/>
      <c r="J949" s="506"/>
      <c r="K949" s="507"/>
      <c r="L949" s="508"/>
      <c r="M949" s="508"/>
      <c r="N949" s="508"/>
      <c r="O949" s="509"/>
      <c r="P949" s="509"/>
    </row>
    <row r="950" spans="1:16" ht="21.75" customHeight="1" x14ac:dyDescent="0.3">
      <c r="A950" s="504"/>
      <c r="B950" s="504"/>
      <c r="C950" s="504"/>
      <c r="D950" s="504"/>
      <c r="E950" s="506"/>
      <c r="F950" s="506"/>
      <c r="G950" s="506"/>
      <c r="H950" s="506"/>
      <c r="I950" s="506"/>
      <c r="J950" s="506"/>
      <c r="K950" s="507"/>
      <c r="L950" s="508"/>
      <c r="M950" s="508"/>
      <c r="N950" s="508"/>
      <c r="O950" s="509"/>
      <c r="P950" s="509"/>
    </row>
    <row r="951" spans="1:16" ht="21.75" customHeight="1" x14ac:dyDescent="0.3">
      <c r="A951" s="504"/>
      <c r="B951" s="504"/>
      <c r="C951" s="504"/>
      <c r="D951" s="504"/>
      <c r="E951" s="506"/>
      <c r="F951" s="506"/>
      <c r="G951" s="506"/>
      <c r="H951" s="506"/>
      <c r="I951" s="506"/>
      <c r="J951" s="506"/>
      <c r="K951" s="507"/>
      <c r="L951" s="508"/>
      <c r="M951" s="508"/>
      <c r="N951" s="508"/>
      <c r="O951" s="509"/>
      <c r="P951" s="509"/>
    </row>
    <row r="952" spans="1:16" ht="21.75" customHeight="1" x14ac:dyDescent="0.3">
      <c r="A952" s="504"/>
      <c r="B952" s="504"/>
      <c r="C952" s="504"/>
      <c r="D952" s="504"/>
      <c r="E952" s="506"/>
      <c r="F952" s="506"/>
      <c r="G952" s="506"/>
      <c r="H952" s="506"/>
      <c r="I952" s="506"/>
      <c r="J952" s="506"/>
      <c r="K952" s="507"/>
      <c r="L952" s="508"/>
      <c r="M952" s="508"/>
      <c r="N952" s="508"/>
      <c r="O952" s="509"/>
      <c r="P952" s="509"/>
    </row>
    <row r="953" spans="1:16" ht="21.75" customHeight="1" x14ac:dyDescent="0.3">
      <c r="A953" s="504"/>
      <c r="B953" s="504"/>
      <c r="C953" s="504"/>
      <c r="D953" s="504"/>
      <c r="E953" s="506"/>
      <c r="F953" s="506"/>
      <c r="G953" s="506"/>
      <c r="H953" s="506"/>
      <c r="I953" s="506"/>
      <c r="J953" s="506"/>
      <c r="K953" s="507"/>
      <c r="L953" s="508"/>
      <c r="M953" s="508"/>
      <c r="N953" s="508"/>
      <c r="O953" s="509"/>
      <c r="P953" s="509"/>
    </row>
    <row r="954" spans="1:16" ht="21.75" customHeight="1" x14ac:dyDescent="0.3">
      <c r="A954" s="504"/>
      <c r="B954" s="504"/>
      <c r="C954" s="504"/>
      <c r="D954" s="504"/>
      <c r="E954" s="506"/>
      <c r="F954" s="506"/>
      <c r="G954" s="506"/>
      <c r="H954" s="506"/>
      <c r="I954" s="506"/>
      <c r="J954" s="506"/>
      <c r="K954" s="507"/>
      <c r="L954" s="508"/>
      <c r="M954" s="508"/>
      <c r="N954" s="508"/>
      <c r="O954" s="509"/>
      <c r="P954" s="509"/>
    </row>
    <row r="955" spans="1:16" ht="21.75" customHeight="1" x14ac:dyDescent="0.3">
      <c r="A955" s="504"/>
      <c r="B955" s="504"/>
      <c r="C955" s="504"/>
      <c r="D955" s="504"/>
      <c r="E955" s="506"/>
      <c r="F955" s="506"/>
      <c r="G955" s="506"/>
      <c r="H955" s="506"/>
      <c r="I955" s="506"/>
      <c r="J955" s="506"/>
      <c r="K955" s="507"/>
      <c r="L955" s="508"/>
      <c r="M955" s="508"/>
      <c r="N955" s="508"/>
      <c r="O955" s="509"/>
      <c r="P955" s="509"/>
    </row>
    <row r="956" spans="1:16" ht="21.75" customHeight="1" x14ac:dyDescent="0.3">
      <c r="A956" s="504"/>
      <c r="B956" s="504"/>
      <c r="C956" s="504"/>
      <c r="D956" s="504"/>
      <c r="E956" s="506"/>
      <c r="F956" s="506"/>
      <c r="G956" s="506"/>
      <c r="H956" s="506"/>
      <c r="I956" s="506"/>
      <c r="J956" s="506"/>
      <c r="K956" s="507"/>
      <c r="L956" s="508"/>
      <c r="M956" s="508"/>
      <c r="N956" s="508"/>
      <c r="O956" s="509"/>
      <c r="P956" s="509"/>
    </row>
    <row r="957" spans="1:16" ht="21.75" customHeight="1" x14ac:dyDescent="0.3">
      <c r="A957" s="504"/>
      <c r="B957" s="504"/>
      <c r="C957" s="504"/>
      <c r="D957" s="504"/>
      <c r="E957" s="506"/>
      <c r="F957" s="506"/>
      <c r="G957" s="506"/>
      <c r="H957" s="506"/>
      <c r="I957" s="506"/>
      <c r="J957" s="506"/>
      <c r="K957" s="507"/>
      <c r="L957" s="508"/>
      <c r="M957" s="508"/>
      <c r="N957" s="508"/>
      <c r="O957" s="509"/>
      <c r="P957" s="509"/>
    </row>
    <row r="958" spans="1:16" ht="21.75" customHeight="1" x14ac:dyDescent="0.3">
      <c r="A958" s="504"/>
      <c r="B958" s="504"/>
      <c r="C958" s="504"/>
      <c r="D958" s="504"/>
      <c r="E958" s="506"/>
      <c r="F958" s="506"/>
      <c r="G958" s="506"/>
      <c r="H958" s="506"/>
      <c r="I958" s="506"/>
      <c r="J958" s="506"/>
      <c r="K958" s="507"/>
      <c r="L958" s="508"/>
      <c r="M958" s="508"/>
      <c r="N958" s="508"/>
      <c r="O958" s="509"/>
      <c r="P958" s="509"/>
    </row>
    <row r="959" spans="1:16" ht="21.75" customHeight="1" x14ac:dyDescent="0.3">
      <c r="A959" s="504"/>
      <c r="B959" s="504"/>
      <c r="C959" s="504"/>
      <c r="D959" s="504"/>
      <c r="E959" s="506"/>
      <c r="F959" s="506"/>
      <c r="G959" s="506"/>
      <c r="H959" s="506"/>
      <c r="I959" s="506"/>
      <c r="J959" s="506"/>
      <c r="K959" s="507"/>
      <c r="L959" s="508"/>
      <c r="M959" s="508"/>
      <c r="N959" s="508"/>
      <c r="O959" s="509"/>
      <c r="P959" s="509"/>
    </row>
    <row r="960" spans="1:16" ht="21.75" customHeight="1" x14ac:dyDescent="0.3">
      <c r="A960" s="504"/>
      <c r="B960" s="504"/>
      <c r="C960" s="504"/>
      <c r="D960" s="504"/>
      <c r="E960" s="506"/>
      <c r="F960" s="506"/>
      <c r="G960" s="506"/>
      <c r="H960" s="506"/>
      <c r="I960" s="506"/>
      <c r="J960" s="506"/>
      <c r="K960" s="507"/>
      <c r="L960" s="508"/>
      <c r="M960" s="508"/>
      <c r="N960" s="508"/>
      <c r="O960" s="509"/>
      <c r="P960" s="509"/>
    </row>
    <row r="961" spans="1:16" ht="21.75" customHeight="1" x14ac:dyDescent="0.3">
      <c r="A961" s="504"/>
      <c r="B961" s="504"/>
      <c r="C961" s="504"/>
      <c r="D961" s="504"/>
      <c r="E961" s="506"/>
      <c r="F961" s="506"/>
      <c r="G961" s="506"/>
      <c r="H961" s="506"/>
      <c r="I961" s="506"/>
      <c r="J961" s="506"/>
      <c r="K961" s="507"/>
      <c r="L961" s="508"/>
      <c r="M961" s="508"/>
      <c r="N961" s="508"/>
      <c r="O961" s="509"/>
      <c r="P961" s="509"/>
    </row>
    <row r="962" spans="1:16" ht="21.75" customHeight="1" x14ac:dyDescent="0.3">
      <c r="A962" s="504"/>
      <c r="B962" s="504"/>
      <c r="C962" s="504"/>
      <c r="D962" s="504"/>
      <c r="E962" s="506"/>
      <c r="F962" s="506"/>
      <c r="G962" s="506"/>
      <c r="H962" s="506"/>
      <c r="I962" s="506"/>
      <c r="J962" s="506"/>
      <c r="K962" s="507"/>
      <c r="L962" s="508"/>
      <c r="M962" s="508"/>
      <c r="N962" s="508"/>
      <c r="O962" s="509"/>
      <c r="P962" s="509"/>
    </row>
    <row r="963" spans="1:16" ht="21.75" customHeight="1" x14ac:dyDescent="0.3">
      <c r="A963" s="504"/>
      <c r="B963" s="504"/>
      <c r="C963" s="504"/>
      <c r="D963" s="504"/>
      <c r="E963" s="506"/>
      <c r="F963" s="506"/>
      <c r="G963" s="506"/>
      <c r="H963" s="506"/>
      <c r="I963" s="506"/>
      <c r="J963" s="506"/>
      <c r="K963" s="507"/>
      <c r="L963" s="508"/>
      <c r="M963" s="508"/>
      <c r="N963" s="508"/>
      <c r="O963" s="509"/>
      <c r="P963" s="509"/>
    </row>
    <row r="964" spans="1:16" ht="21.75" customHeight="1" x14ac:dyDescent="0.3">
      <c r="A964" s="504"/>
      <c r="B964" s="504"/>
      <c r="C964" s="504"/>
      <c r="D964" s="504"/>
      <c r="E964" s="506"/>
      <c r="F964" s="506"/>
      <c r="G964" s="506"/>
      <c r="H964" s="506"/>
      <c r="I964" s="506"/>
      <c r="J964" s="506"/>
      <c r="K964" s="507"/>
      <c r="L964" s="508"/>
      <c r="M964" s="508"/>
      <c r="N964" s="508"/>
      <c r="O964" s="509"/>
      <c r="P964" s="509"/>
    </row>
    <row r="965" spans="1:16" ht="21.75" customHeight="1" x14ac:dyDescent="0.3">
      <c r="A965" s="504"/>
      <c r="B965" s="504"/>
      <c r="C965" s="504"/>
      <c r="D965" s="504"/>
      <c r="E965" s="506"/>
      <c r="F965" s="506"/>
      <c r="G965" s="506"/>
      <c r="H965" s="506"/>
      <c r="I965" s="506"/>
      <c r="J965" s="506"/>
      <c r="K965" s="507"/>
      <c r="L965" s="508"/>
      <c r="M965" s="508"/>
      <c r="N965" s="508"/>
      <c r="O965" s="509"/>
      <c r="P965" s="509"/>
    </row>
    <row r="966" spans="1:16" ht="21.75" customHeight="1" x14ac:dyDescent="0.3">
      <c r="A966" s="504"/>
      <c r="B966" s="504"/>
      <c r="C966" s="504"/>
      <c r="D966" s="504"/>
      <c r="E966" s="506"/>
      <c r="F966" s="506"/>
      <c r="G966" s="506"/>
      <c r="H966" s="506"/>
      <c r="I966" s="506"/>
      <c r="J966" s="506"/>
      <c r="K966" s="507"/>
      <c r="L966" s="508"/>
      <c r="M966" s="508"/>
      <c r="N966" s="508"/>
      <c r="O966" s="509"/>
      <c r="P966" s="509"/>
    </row>
    <row r="967" spans="1:16" ht="21.75" customHeight="1" x14ac:dyDescent="0.3">
      <c r="A967" s="504"/>
      <c r="B967" s="504"/>
      <c r="C967" s="504"/>
      <c r="D967" s="504"/>
      <c r="E967" s="506"/>
      <c r="F967" s="506"/>
      <c r="G967" s="506"/>
      <c r="H967" s="506"/>
      <c r="I967" s="506"/>
      <c r="J967" s="506"/>
      <c r="K967" s="507"/>
      <c r="L967" s="508"/>
      <c r="M967" s="508"/>
      <c r="N967" s="508"/>
      <c r="O967" s="509"/>
      <c r="P967" s="509"/>
    </row>
    <row r="968" spans="1:16" ht="21.75" customHeight="1" x14ac:dyDescent="0.3">
      <c r="A968" s="504"/>
      <c r="B968" s="504"/>
      <c r="C968" s="504"/>
      <c r="D968" s="504"/>
      <c r="E968" s="506"/>
      <c r="F968" s="506"/>
      <c r="G968" s="506"/>
      <c r="H968" s="506"/>
      <c r="I968" s="506"/>
      <c r="J968" s="506"/>
      <c r="K968" s="507"/>
      <c r="L968" s="508"/>
      <c r="M968" s="508"/>
      <c r="N968" s="508"/>
      <c r="O968" s="509"/>
      <c r="P968" s="509"/>
    </row>
    <row r="969" spans="1:16" ht="21.75" customHeight="1" x14ac:dyDescent="0.3">
      <c r="A969" s="504"/>
      <c r="B969" s="504"/>
      <c r="C969" s="504"/>
      <c r="D969" s="504"/>
      <c r="E969" s="506"/>
      <c r="F969" s="506"/>
      <c r="G969" s="506"/>
      <c r="H969" s="506"/>
      <c r="I969" s="506"/>
      <c r="J969" s="506"/>
      <c r="K969" s="507"/>
      <c r="L969" s="508"/>
      <c r="M969" s="508"/>
      <c r="N969" s="508"/>
      <c r="O969" s="509"/>
      <c r="P969" s="509"/>
    </row>
    <row r="970" spans="1:16" ht="21.75" customHeight="1" x14ac:dyDescent="0.3">
      <c r="A970" s="504"/>
      <c r="B970" s="504"/>
      <c r="C970" s="504"/>
      <c r="D970" s="504"/>
      <c r="E970" s="506"/>
      <c r="F970" s="506"/>
      <c r="G970" s="506"/>
      <c r="H970" s="506"/>
      <c r="I970" s="506"/>
      <c r="J970" s="506"/>
      <c r="K970" s="507"/>
      <c r="L970" s="508"/>
      <c r="M970" s="508"/>
      <c r="N970" s="508"/>
      <c r="O970" s="509"/>
      <c r="P970" s="509"/>
    </row>
    <row r="971" spans="1:16" ht="21.75" customHeight="1" x14ac:dyDescent="0.3">
      <c r="A971" s="504"/>
      <c r="B971" s="504"/>
      <c r="C971" s="504"/>
      <c r="D971" s="504"/>
      <c r="E971" s="506"/>
      <c r="F971" s="506"/>
      <c r="G971" s="506"/>
      <c r="H971" s="506"/>
      <c r="I971" s="506"/>
      <c r="J971" s="506"/>
      <c r="K971" s="507"/>
      <c r="L971" s="508"/>
      <c r="M971" s="508"/>
      <c r="N971" s="508"/>
      <c r="O971" s="509"/>
      <c r="P971" s="509"/>
    </row>
    <row r="972" spans="1:16" ht="21.75" customHeight="1" x14ac:dyDescent="0.3">
      <c r="A972" s="504"/>
      <c r="B972" s="504"/>
      <c r="C972" s="504"/>
      <c r="D972" s="504"/>
      <c r="E972" s="506"/>
      <c r="F972" s="506"/>
      <c r="G972" s="506"/>
      <c r="H972" s="506"/>
      <c r="I972" s="506"/>
      <c r="J972" s="506"/>
      <c r="K972" s="507"/>
      <c r="L972" s="508"/>
      <c r="M972" s="508"/>
      <c r="N972" s="508"/>
      <c r="O972" s="509"/>
      <c r="P972" s="509"/>
    </row>
    <row r="973" spans="1:16" ht="21.75" customHeight="1" x14ac:dyDescent="0.3">
      <c r="A973" s="504"/>
      <c r="B973" s="504"/>
      <c r="C973" s="504"/>
      <c r="D973" s="504"/>
      <c r="E973" s="506"/>
      <c r="F973" s="506"/>
      <c r="G973" s="506"/>
      <c r="H973" s="506"/>
      <c r="I973" s="506"/>
      <c r="J973" s="506"/>
      <c r="K973" s="507"/>
      <c r="L973" s="508"/>
      <c r="M973" s="508"/>
      <c r="N973" s="508"/>
      <c r="O973" s="509"/>
      <c r="P973" s="509"/>
    </row>
    <row r="974" spans="1:16" ht="21.75" customHeight="1" x14ac:dyDescent="0.3">
      <c r="A974" s="504"/>
      <c r="B974" s="504"/>
      <c r="C974" s="504"/>
      <c r="D974" s="504"/>
      <c r="E974" s="506"/>
      <c r="F974" s="506"/>
      <c r="G974" s="506"/>
      <c r="H974" s="506"/>
      <c r="I974" s="506"/>
      <c r="J974" s="506"/>
      <c r="K974" s="507"/>
      <c r="L974" s="508"/>
      <c r="M974" s="508"/>
      <c r="N974" s="508"/>
      <c r="O974" s="509"/>
      <c r="P974" s="509"/>
    </row>
    <row r="975" spans="1:16" ht="21.75" customHeight="1" x14ac:dyDescent="0.3">
      <c r="A975" s="504"/>
      <c r="B975" s="504"/>
      <c r="C975" s="504"/>
      <c r="D975" s="504"/>
      <c r="E975" s="506"/>
      <c r="F975" s="506"/>
      <c r="G975" s="506"/>
      <c r="H975" s="506"/>
      <c r="I975" s="506"/>
      <c r="J975" s="506"/>
      <c r="K975" s="507"/>
      <c r="L975" s="508"/>
      <c r="M975" s="508"/>
      <c r="N975" s="508"/>
      <c r="O975" s="509"/>
      <c r="P975" s="509"/>
    </row>
    <row r="976" spans="1:16" ht="21.75" customHeight="1" x14ac:dyDescent="0.3">
      <c r="A976" s="504"/>
      <c r="B976" s="504"/>
      <c r="C976" s="504"/>
      <c r="D976" s="504"/>
      <c r="E976" s="506"/>
      <c r="F976" s="506"/>
      <c r="G976" s="506"/>
      <c r="H976" s="506"/>
      <c r="I976" s="506"/>
      <c r="J976" s="506"/>
      <c r="K976" s="507"/>
      <c r="L976" s="508"/>
      <c r="M976" s="508"/>
      <c r="N976" s="508"/>
      <c r="O976" s="509"/>
      <c r="P976" s="509"/>
    </row>
    <row r="977" spans="1:16" ht="21.75" customHeight="1" x14ac:dyDescent="0.3">
      <c r="A977" s="504"/>
      <c r="B977" s="504"/>
      <c r="C977" s="504"/>
      <c r="D977" s="504"/>
      <c r="E977" s="506"/>
      <c r="F977" s="506"/>
      <c r="G977" s="506"/>
      <c r="H977" s="506"/>
      <c r="I977" s="506"/>
      <c r="J977" s="506"/>
      <c r="K977" s="507"/>
      <c r="L977" s="508"/>
      <c r="M977" s="508"/>
      <c r="N977" s="508"/>
      <c r="O977" s="509"/>
      <c r="P977" s="509"/>
    </row>
    <row r="978" spans="1:16" ht="21.75" customHeight="1" x14ac:dyDescent="0.3">
      <c r="A978" s="504"/>
      <c r="B978" s="504"/>
      <c r="C978" s="504"/>
      <c r="D978" s="504"/>
      <c r="E978" s="506"/>
      <c r="F978" s="506"/>
      <c r="G978" s="506"/>
      <c r="H978" s="506"/>
      <c r="I978" s="506"/>
      <c r="J978" s="506"/>
      <c r="K978" s="507"/>
      <c r="L978" s="508"/>
      <c r="M978" s="508"/>
      <c r="N978" s="508"/>
      <c r="O978" s="509"/>
      <c r="P978" s="509"/>
    </row>
    <row r="979" spans="1:16" ht="21.75" customHeight="1" x14ac:dyDescent="0.3">
      <c r="A979" s="504"/>
      <c r="B979" s="504"/>
      <c r="C979" s="504"/>
      <c r="D979" s="504"/>
      <c r="E979" s="506"/>
      <c r="F979" s="506"/>
      <c r="G979" s="506"/>
      <c r="H979" s="506"/>
      <c r="I979" s="506"/>
      <c r="J979" s="506"/>
      <c r="K979" s="507"/>
      <c r="L979" s="508"/>
      <c r="M979" s="508"/>
      <c r="N979" s="508"/>
      <c r="O979" s="509"/>
      <c r="P979" s="509"/>
    </row>
    <row r="980" spans="1:16" ht="21.75" customHeight="1" x14ac:dyDescent="0.3">
      <c r="A980" s="504"/>
      <c r="B980" s="504"/>
      <c r="C980" s="504"/>
      <c r="D980" s="504"/>
      <c r="E980" s="506"/>
      <c r="F980" s="506"/>
      <c r="G980" s="506"/>
      <c r="H980" s="506"/>
      <c r="I980" s="506"/>
      <c r="J980" s="506"/>
      <c r="K980" s="507"/>
      <c r="L980" s="508"/>
      <c r="M980" s="508"/>
      <c r="N980" s="508"/>
      <c r="O980" s="509"/>
      <c r="P980" s="509"/>
    </row>
    <row r="981" spans="1:16" ht="21.75" customHeight="1" x14ac:dyDescent="0.3">
      <c r="A981" s="504"/>
      <c r="B981" s="504"/>
      <c r="C981" s="504"/>
      <c r="D981" s="504"/>
      <c r="E981" s="506"/>
      <c r="F981" s="506"/>
      <c r="G981" s="506"/>
      <c r="H981" s="506"/>
      <c r="I981" s="506"/>
      <c r="J981" s="506"/>
      <c r="K981" s="507"/>
      <c r="L981" s="508"/>
      <c r="M981" s="508"/>
      <c r="N981" s="508"/>
      <c r="O981" s="509"/>
      <c r="P981" s="509"/>
    </row>
    <row r="982" spans="1:16" ht="21.75" customHeight="1" x14ac:dyDescent="0.3">
      <c r="A982" s="504"/>
      <c r="B982" s="504"/>
      <c r="C982" s="504"/>
      <c r="D982" s="504"/>
      <c r="E982" s="506"/>
      <c r="F982" s="506"/>
      <c r="G982" s="506"/>
      <c r="H982" s="506"/>
      <c r="I982" s="506"/>
      <c r="J982" s="506"/>
      <c r="K982" s="507"/>
      <c r="L982" s="508"/>
      <c r="M982" s="508"/>
      <c r="N982" s="508"/>
      <c r="O982" s="509"/>
      <c r="P982" s="509"/>
    </row>
    <row r="983" spans="1:16" ht="21.75" customHeight="1" x14ac:dyDescent="0.3">
      <c r="A983" s="504"/>
      <c r="B983" s="504"/>
      <c r="C983" s="504"/>
      <c r="D983" s="504"/>
      <c r="E983" s="506"/>
      <c r="F983" s="506"/>
      <c r="G983" s="506"/>
      <c r="H983" s="506"/>
      <c r="I983" s="506"/>
      <c r="J983" s="506"/>
      <c r="K983" s="507"/>
      <c r="L983" s="508"/>
      <c r="M983" s="508"/>
      <c r="N983" s="508"/>
      <c r="O983" s="509"/>
      <c r="P983" s="509"/>
    </row>
    <row r="984" spans="1:16" ht="21.75" customHeight="1" x14ac:dyDescent="0.3">
      <c r="A984" s="504"/>
      <c r="B984" s="504"/>
      <c r="C984" s="504"/>
      <c r="D984" s="504"/>
      <c r="E984" s="506"/>
      <c r="F984" s="506"/>
      <c r="G984" s="506"/>
      <c r="H984" s="506"/>
      <c r="I984" s="506"/>
      <c r="J984" s="506"/>
      <c r="K984" s="507"/>
      <c r="L984" s="508"/>
      <c r="M984" s="508"/>
      <c r="N984" s="508"/>
      <c r="O984" s="509"/>
      <c r="P984" s="509"/>
    </row>
    <row r="985" spans="1:16" ht="21.75" customHeight="1" x14ac:dyDescent="0.3">
      <c r="A985" s="504"/>
      <c r="B985" s="504"/>
      <c r="C985" s="504"/>
      <c r="D985" s="504"/>
      <c r="E985" s="506"/>
      <c r="F985" s="506"/>
      <c r="G985" s="506"/>
      <c r="H985" s="506"/>
      <c r="I985" s="506"/>
      <c r="J985" s="506"/>
      <c r="K985" s="507"/>
      <c r="L985" s="508"/>
      <c r="M985" s="508"/>
      <c r="N985" s="508"/>
      <c r="O985" s="509"/>
      <c r="P985" s="509"/>
    </row>
    <row r="986" spans="1:16" ht="21.75" customHeight="1" x14ac:dyDescent="0.3">
      <c r="A986" s="504"/>
      <c r="B986" s="504"/>
      <c r="C986" s="504"/>
      <c r="D986" s="504"/>
      <c r="E986" s="506"/>
      <c r="F986" s="506"/>
      <c r="G986" s="506"/>
      <c r="H986" s="506"/>
      <c r="I986" s="506"/>
      <c r="J986" s="506"/>
      <c r="K986" s="507"/>
      <c r="L986" s="508"/>
      <c r="M986" s="508"/>
      <c r="N986" s="508"/>
      <c r="O986" s="509"/>
      <c r="P986" s="509"/>
    </row>
    <row r="987" spans="1:16" ht="21.75" customHeight="1" x14ac:dyDescent="0.3">
      <c r="A987" s="504"/>
      <c r="B987" s="504"/>
      <c r="C987" s="504"/>
      <c r="D987" s="504"/>
      <c r="E987" s="506"/>
      <c r="F987" s="506"/>
      <c r="G987" s="506"/>
      <c r="H987" s="506"/>
      <c r="I987" s="506"/>
      <c r="J987" s="506"/>
      <c r="K987" s="507"/>
      <c r="L987" s="508"/>
      <c r="M987" s="508"/>
      <c r="N987" s="508"/>
      <c r="O987" s="509"/>
      <c r="P987" s="509"/>
    </row>
    <row r="988" spans="1:16" ht="21.75" customHeight="1" x14ac:dyDescent="0.3">
      <c r="A988" s="504"/>
      <c r="B988" s="504"/>
      <c r="C988" s="504"/>
      <c r="D988" s="504"/>
      <c r="E988" s="506"/>
      <c r="F988" s="506"/>
      <c r="G988" s="506"/>
      <c r="H988" s="506"/>
      <c r="I988" s="506"/>
      <c r="J988" s="506"/>
      <c r="K988" s="507"/>
      <c r="L988" s="508"/>
      <c r="M988" s="508"/>
      <c r="N988" s="508"/>
      <c r="O988" s="509"/>
      <c r="P988" s="509"/>
    </row>
    <row r="989" spans="1:16" ht="21.75" customHeight="1" x14ac:dyDescent="0.3">
      <c r="A989" s="504"/>
      <c r="B989" s="504"/>
      <c r="C989" s="504"/>
      <c r="D989" s="504"/>
      <c r="E989" s="506"/>
      <c r="F989" s="506"/>
      <c r="G989" s="506"/>
      <c r="H989" s="506"/>
      <c r="I989" s="506"/>
      <c r="J989" s="506"/>
      <c r="K989" s="507"/>
      <c r="L989" s="508"/>
      <c r="M989" s="508"/>
      <c r="N989" s="508"/>
      <c r="O989" s="509"/>
      <c r="P989" s="509"/>
    </row>
    <row r="990" spans="1:16" ht="21.75" customHeight="1" x14ac:dyDescent="0.3">
      <c r="A990" s="504"/>
      <c r="B990" s="504"/>
      <c r="C990" s="504"/>
      <c r="D990" s="504"/>
      <c r="E990" s="506"/>
      <c r="F990" s="506"/>
      <c r="G990" s="506"/>
      <c r="H990" s="506"/>
      <c r="I990" s="506"/>
      <c r="J990" s="506"/>
      <c r="K990" s="507"/>
      <c r="L990" s="508"/>
      <c r="M990" s="508"/>
      <c r="N990" s="508"/>
      <c r="O990" s="509"/>
      <c r="P990" s="509"/>
    </row>
    <row r="991" spans="1:16" ht="21.75" customHeight="1" x14ac:dyDescent="0.3">
      <c r="A991" s="504"/>
      <c r="B991" s="504"/>
      <c r="C991" s="504"/>
      <c r="D991" s="504"/>
      <c r="E991" s="506"/>
      <c r="F991" s="506"/>
      <c r="G991" s="506"/>
      <c r="H991" s="506"/>
      <c r="I991" s="506"/>
      <c r="J991" s="506"/>
      <c r="K991" s="507"/>
      <c r="L991" s="508"/>
      <c r="M991" s="508"/>
      <c r="N991" s="508"/>
      <c r="O991" s="509"/>
      <c r="P991" s="509"/>
    </row>
    <row r="992" spans="1:16" ht="21.75" customHeight="1" x14ac:dyDescent="0.3">
      <c r="A992" s="504"/>
      <c r="B992" s="504"/>
      <c r="C992" s="504"/>
      <c r="D992" s="504"/>
      <c r="E992" s="506"/>
      <c r="F992" s="506"/>
      <c r="G992" s="506"/>
      <c r="H992" s="506"/>
      <c r="I992" s="506"/>
      <c r="J992" s="506"/>
      <c r="K992" s="507"/>
      <c r="L992" s="508"/>
      <c r="M992" s="508"/>
      <c r="N992" s="508"/>
      <c r="O992" s="509"/>
      <c r="P992" s="509"/>
    </row>
    <row r="993" spans="1:16" ht="21.75" customHeight="1" x14ac:dyDescent="0.3">
      <c r="A993" s="504"/>
      <c r="B993" s="504"/>
      <c r="C993" s="504"/>
      <c r="D993" s="504"/>
      <c r="E993" s="506"/>
      <c r="F993" s="506"/>
      <c r="G993" s="506"/>
      <c r="H993" s="506"/>
      <c r="I993" s="506"/>
      <c r="J993" s="506"/>
      <c r="K993" s="507"/>
      <c r="L993" s="508"/>
      <c r="M993" s="508"/>
      <c r="N993" s="508"/>
      <c r="O993" s="509"/>
      <c r="P993" s="509"/>
    </row>
    <row r="994" spans="1:16" ht="21.75" customHeight="1" x14ac:dyDescent="0.3">
      <c r="A994" s="504"/>
      <c r="B994" s="504"/>
      <c r="C994" s="504"/>
      <c r="D994" s="504"/>
      <c r="E994" s="506"/>
      <c r="F994" s="506"/>
      <c r="G994" s="506"/>
      <c r="H994" s="506"/>
      <c r="I994" s="506"/>
      <c r="J994" s="506"/>
      <c r="K994" s="507"/>
      <c r="L994" s="508"/>
      <c r="M994" s="508"/>
      <c r="N994" s="508"/>
      <c r="O994" s="509"/>
      <c r="P994" s="509"/>
    </row>
    <row r="995" spans="1:16" ht="21.75" customHeight="1" x14ac:dyDescent="0.3">
      <c r="A995" s="504"/>
      <c r="B995" s="504"/>
      <c r="C995" s="504"/>
      <c r="D995" s="504"/>
      <c r="E995" s="506"/>
      <c r="F995" s="506"/>
      <c r="G995" s="506"/>
      <c r="H995" s="506"/>
      <c r="I995" s="506"/>
      <c r="J995" s="506"/>
      <c r="K995" s="507"/>
      <c r="L995" s="508"/>
      <c r="M995" s="508"/>
      <c r="N995" s="508"/>
      <c r="O995" s="509"/>
      <c r="P995" s="509"/>
    </row>
    <row r="996" spans="1:16" ht="21.75" customHeight="1" x14ac:dyDescent="0.3">
      <c r="A996" s="504"/>
      <c r="B996" s="504"/>
      <c r="C996" s="504"/>
      <c r="D996" s="504"/>
      <c r="E996" s="506"/>
      <c r="F996" s="506"/>
      <c r="G996" s="506"/>
      <c r="H996" s="506"/>
      <c r="I996" s="506"/>
      <c r="J996" s="506"/>
      <c r="K996" s="507"/>
      <c r="L996" s="508"/>
      <c r="M996" s="508"/>
      <c r="N996" s="508"/>
      <c r="O996" s="509"/>
      <c r="P996" s="509"/>
    </row>
    <row r="997" spans="1:16" ht="21.75" customHeight="1" x14ac:dyDescent="0.3">
      <c r="A997" s="504"/>
      <c r="B997" s="504"/>
      <c r="C997" s="504"/>
      <c r="D997" s="504"/>
      <c r="E997" s="506"/>
      <c r="F997" s="506"/>
      <c r="G997" s="506"/>
      <c r="H997" s="506"/>
      <c r="I997" s="506"/>
      <c r="J997" s="506"/>
      <c r="K997" s="507"/>
      <c r="L997" s="508"/>
      <c r="M997" s="508"/>
      <c r="N997" s="508"/>
      <c r="O997" s="509"/>
      <c r="P997" s="509"/>
    </row>
    <row r="998" spans="1:16" ht="21.75" customHeight="1" x14ac:dyDescent="0.3">
      <c r="A998" s="504"/>
      <c r="B998" s="504"/>
      <c r="C998" s="504"/>
      <c r="D998" s="504"/>
      <c r="E998" s="506"/>
      <c r="F998" s="506"/>
      <c r="G998" s="506"/>
      <c r="H998" s="506"/>
      <c r="I998" s="506"/>
      <c r="J998" s="506"/>
      <c r="K998" s="507"/>
      <c r="L998" s="508"/>
      <c r="M998" s="508"/>
      <c r="N998" s="508"/>
      <c r="O998" s="509"/>
      <c r="P998" s="509"/>
    </row>
    <row r="999" spans="1:16" ht="21.75" customHeight="1" x14ac:dyDescent="0.3">
      <c r="A999" s="504"/>
      <c r="B999" s="504"/>
      <c r="C999" s="504"/>
      <c r="D999" s="504"/>
      <c r="E999" s="506"/>
      <c r="F999" s="506"/>
      <c r="G999" s="506"/>
      <c r="H999" s="506"/>
      <c r="I999" s="506"/>
      <c r="J999" s="506"/>
      <c r="K999" s="507"/>
      <c r="L999" s="508"/>
      <c r="M999" s="508"/>
      <c r="N999" s="508"/>
      <c r="O999" s="509"/>
      <c r="P999" s="509"/>
    </row>
    <row r="1000" spans="1:16" ht="21.75" customHeight="1" x14ac:dyDescent="0.3">
      <c r="A1000" s="504"/>
      <c r="B1000" s="504"/>
      <c r="C1000" s="504"/>
      <c r="D1000" s="504"/>
      <c r="E1000" s="506"/>
      <c r="F1000" s="506"/>
      <c r="G1000" s="506"/>
      <c r="H1000" s="506"/>
      <c r="I1000" s="506"/>
      <c r="J1000" s="506"/>
      <c r="K1000" s="507"/>
      <c r="L1000" s="508"/>
      <c r="M1000" s="508"/>
      <c r="N1000" s="508"/>
      <c r="O1000" s="509"/>
      <c r="P1000" s="509"/>
    </row>
    <row r="1001" spans="1:16" ht="21.75" customHeight="1" x14ac:dyDescent="0.3">
      <c r="A1001" s="504"/>
      <c r="B1001" s="504"/>
      <c r="C1001" s="504"/>
      <c r="D1001" s="504"/>
      <c r="E1001" s="506"/>
      <c r="F1001" s="506"/>
      <c r="G1001" s="506"/>
      <c r="H1001" s="506"/>
      <c r="I1001" s="506"/>
      <c r="J1001" s="506"/>
      <c r="K1001" s="507"/>
      <c r="L1001" s="508"/>
      <c r="M1001" s="508"/>
      <c r="N1001" s="508"/>
      <c r="O1001" s="509"/>
      <c r="P1001" s="509"/>
    </row>
    <row r="1002" spans="1:16" ht="21.75" customHeight="1" x14ac:dyDescent="0.3">
      <c r="A1002" s="504"/>
      <c r="B1002" s="504"/>
      <c r="C1002" s="504"/>
      <c r="D1002" s="504"/>
      <c r="E1002" s="506"/>
      <c r="F1002" s="506"/>
      <c r="G1002" s="506"/>
      <c r="H1002" s="506"/>
      <c r="I1002" s="506"/>
      <c r="J1002" s="506"/>
      <c r="K1002" s="507"/>
      <c r="L1002" s="508"/>
      <c r="M1002" s="508"/>
      <c r="N1002" s="508"/>
      <c r="O1002" s="509"/>
      <c r="P1002" s="509"/>
    </row>
    <row r="1003" spans="1:16" ht="21.75" customHeight="1" x14ac:dyDescent="0.3">
      <c r="A1003" s="504"/>
      <c r="B1003" s="504"/>
      <c r="C1003" s="504"/>
      <c r="D1003" s="504"/>
      <c r="E1003" s="506"/>
      <c r="F1003" s="506"/>
      <c r="G1003" s="506"/>
      <c r="H1003" s="506"/>
      <c r="I1003" s="506"/>
      <c r="J1003" s="506"/>
      <c r="K1003" s="507"/>
      <c r="L1003" s="508"/>
      <c r="M1003" s="508"/>
      <c r="N1003" s="508"/>
      <c r="O1003" s="509"/>
      <c r="P1003" s="509"/>
    </row>
    <row r="1004" spans="1:16" ht="21.75" customHeight="1" x14ac:dyDescent="0.3">
      <c r="A1004" s="504"/>
      <c r="B1004" s="504"/>
      <c r="C1004" s="504"/>
      <c r="D1004" s="504"/>
      <c r="E1004" s="506"/>
      <c r="F1004" s="506"/>
      <c r="G1004" s="506"/>
      <c r="H1004" s="506"/>
      <c r="I1004" s="506"/>
      <c r="J1004" s="506"/>
      <c r="K1004" s="507"/>
      <c r="L1004" s="508"/>
      <c r="M1004" s="508"/>
      <c r="N1004" s="508"/>
      <c r="O1004" s="509"/>
      <c r="P1004" s="509"/>
    </row>
    <row r="1005" spans="1:16" ht="21.75" customHeight="1" x14ac:dyDescent="0.3">
      <c r="A1005" s="504"/>
      <c r="B1005" s="504"/>
      <c r="C1005" s="504"/>
      <c r="D1005" s="504"/>
      <c r="E1005" s="506"/>
      <c r="F1005" s="506"/>
      <c r="G1005" s="506"/>
      <c r="H1005" s="506"/>
      <c r="I1005" s="506"/>
      <c r="J1005" s="506"/>
      <c r="K1005" s="507"/>
      <c r="L1005" s="508"/>
      <c r="M1005" s="508"/>
      <c r="N1005" s="508"/>
      <c r="O1005" s="509"/>
      <c r="P1005" s="509"/>
    </row>
    <row r="1006" spans="1:16" ht="21.75" customHeight="1" x14ac:dyDescent="0.3">
      <c r="A1006" s="504"/>
      <c r="B1006" s="504"/>
      <c r="C1006" s="504"/>
      <c r="D1006" s="504"/>
      <c r="E1006" s="506"/>
      <c r="F1006" s="506"/>
      <c r="G1006" s="506"/>
      <c r="H1006" s="506"/>
      <c r="I1006" s="506"/>
      <c r="J1006" s="506"/>
      <c r="K1006" s="507"/>
      <c r="L1006" s="508"/>
      <c r="M1006" s="508"/>
      <c r="N1006" s="508"/>
      <c r="O1006" s="509"/>
      <c r="P1006" s="509"/>
    </row>
    <row r="1007" spans="1:16" ht="21.75" customHeight="1" x14ac:dyDescent="0.3">
      <c r="A1007" s="504"/>
      <c r="B1007" s="504"/>
      <c r="C1007" s="504"/>
      <c r="D1007" s="504"/>
      <c r="E1007" s="506"/>
      <c r="F1007" s="506"/>
      <c r="G1007" s="506"/>
      <c r="H1007" s="506"/>
      <c r="I1007" s="506"/>
      <c r="J1007" s="506"/>
      <c r="K1007" s="507"/>
      <c r="L1007" s="508"/>
      <c r="M1007" s="508"/>
      <c r="N1007" s="508"/>
      <c r="O1007" s="509"/>
      <c r="P1007" s="509"/>
    </row>
    <row r="1008" spans="1:16" ht="21.75" customHeight="1" x14ac:dyDescent="0.3">
      <c r="A1008" s="504"/>
      <c r="B1008" s="504"/>
      <c r="C1008" s="504"/>
      <c r="D1008" s="504"/>
      <c r="E1008" s="506"/>
      <c r="F1008" s="506"/>
      <c r="G1008" s="506"/>
      <c r="H1008" s="506"/>
      <c r="I1008" s="506"/>
      <c r="J1008" s="506"/>
      <c r="K1008" s="507"/>
      <c r="L1008" s="508"/>
      <c r="M1008" s="508"/>
      <c r="N1008" s="508"/>
      <c r="O1008" s="509"/>
      <c r="P1008" s="509"/>
    </row>
    <row r="1009" spans="1:16" ht="21.75" customHeight="1" x14ac:dyDescent="0.3">
      <c r="A1009" s="504"/>
      <c r="B1009" s="504"/>
      <c r="C1009" s="504"/>
      <c r="D1009" s="504"/>
      <c r="E1009" s="506"/>
      <c r="F1009" s="506"/>
      <c r="G1009" s="506"/>
      <c r="H1009" s="506"/>
      <c r="I1009" s="506"/>
      <c r="J1009" s="506"/>
      <c r="K1009" s="507"/>
      <c r="L1009" s="508"/>
      <c r="M1009" s="508"/>
      <c r="N1009" s="508"/>
      <c r="O1009" s="509"/>
      <c r="P1009" s="509"/>
    </row>
    <row r="1010" spans="1:16" ht="21.75" customHeight="1" x14ac:dyDescent="0.3">
      <c r="A1010" s="504"/>
      <c r="B1010" s="504"/>
      <c r="C1010" s="504"/>
      <c r="D1010" s="504"/>
      <c r="E1010" s="506"/>
      <c r="F1010" s="506"/>
      <c r="G1010" s="506"/>
      <c r="H1010" s="506"/>
      <c r="I1010" s="506"/>
      <c r="J1010" s="506"/>
      <c r="K1010" s="507"/>
      <c r="L1010" s="508"/>
      <c r="M1010" s="508"/>
      <c r="N1010" s="508"/>
      <c r="O1010" s="509"/>
      <c r="P1010" s="509"/>
    </row>
    <row r="1011" spans="1:16" ht="21.75" customHeight="1" x14ac:dyDescent="0.3">
      <c r="A1011" s="504"/>
      <c r="B1011" s="504"/>
      <c r="C1011" s="504"/>
      <c r="D1011" s="504"/>
      <c r="E1011" s="506"/>
      <c r="F1011" s="506"/>
      <c r="G1011" s="506"/>
      <c r="H1011" s="506"/>
      <c r="I1011" s="506"/>
      <c r="J1011" s="506"/>
      <c r="K1011" s="507"/>
      <c r="L1011" s="508"/>
      <c r="M1011" s="508"/>
      <c r="N1011" s="508"/>
      <c r="O1011" s="509"/>
      <c r="P1011" s="509"/>
    </row>
    <row r="1012" spans="1:16" ht="21.75" customHeight="1" x14ac:dyDescent="0.3">
      <c r="A1012" s="504"/>
      <c r="B1012" s="504"/>
      <c r="C1012" s="504"/>
      <c r="D1012" s="504"/>
      <c r="E1012" s="506"/>
      <c r="F1012" s="506"/>
      <c r="G1012" s="506"/>
      <c r="H1012" s="506"/>
      <c r="I1012" s="506"/>
      <c r="J1012" s="506"/>
      <c r="K1012" s="507"/>
      <c r="L1012" s="508"/>
      <c r="M1012" s="508"/>
      <c r="N1012" s="508"/>
      <c r="O1012" s="509"/>
      <c r="P1012" s="509"/>
    </row>
    <row r="1013" spans="1:16" ht="21.75" customHeight="1" x14ac:dyDescent="0.3">
      <c r="A1013" s="504"/>
      <c r="B1013" s="504"/>
      <c r="C1013" s="504"/>
      <c r="D1013" s="504"/>
      <c r="E1013" s="506"/>
      <c r="F1013" s="506"/>
      <c r="G1013" s="506"/>
      <c r="H1013" s="506"/>
      <c r="I1013" s="506"/>
      <c r="J1013" s="506"/>
      <c r="K1013" s="507"/>
      <c r="L1013" s="508"/>
      <c r="M1013" s="508"/>
      <c r="N1013" s="508"/>
      <c r="O1013" s="509"/>
      <c r="P1013" s="509"/>
    </row>
    <row r="1014" spans="1:16" ht="21.75" customHeight="1" x14ac:dyDescent="0.3">
      <c r="A1014" s="504"/>
      <c r="B1014" s="504"/>
      <c r="C1014" s="504"/>
      <c r="D1014" s="504"/>
      <c r="E1014" s="506"/>
      <c r="F1014" s="506"/>
      <c r="G1014" s="506"/>
      <c r="H1014" s="506"/>
      <c r="I1014" s="506"/>
      <c r="J1014" s="506"/>
      <c r="K1014" s="507"/>
      <c r="L1014" s="508"/>
      <c r="M1014" s="508"/>
      <c r="N1014" s="508"/>
      <c r="O1014" s="509"/>
      <c r="P1014" s="509"/>
    </row>
    <row r="1015" spans="1:16" ht="21.75" customHeight="1" x14ac:dyDescent="0.3">
      <c r="A1015" s="504"/>
      <c r="B1015" s="504"/>
      <c r="C1015" s="504"/>
      <c r="D1015" s="504"/>
      <c r="E1015" s="506"/>
      <c r="F1015" s="506"/>
      <c r="G1015" s="506"/>
      <c r="H1015" s="506"/>
      <c r="I1015" s="506"/>
      <c r="J1015" s="506"/>
      <c r="K1015" s="507"/>
      <c r="L1015" s="508"/>
      <c r="M1015" s="508"/>
      <c r="N1015" s="508"/>
      <c r="O1015" s="509"/>
      <c r="P1015" s="509"/>
    </row>
    <row r="1016" spans="1:16" ht="21.75" customHeight="1" x14ac:dyDescent="0.3">
      <c r="A1016" s="504"/>
      <c r="B1016" s="504"/>
      <c r="C1016" s="504"/>
      <c r="D1016" s="504"/>
      <c r="E1016" s="506"/>
      <c r="F1016" s="506"/>
      <c r="G1016" s="506"/>
      <c r="H1016" s="506"/>
      <c r="I1016" s="506"/>
      <c r="J1016" s="506"/>
      <c r="K1016" s="507"/>
      <c r="L1016" s="508"/>
      <c r="M1016" s="508"/>
      <c r="N1016" s="508"/>
      <c r="O1016" s="509"/>
      <c r="P1016" s="509"/>
    </row>
    <row r="1017" spans="1:16" ht="21.75" customHeight="1" x14ac:dyDescent="0.3">
      <c r="A1017" s="504"/>
      <c r="B1017" s="504"/>
      <c r="C1017" s="504"/>
      <c r="D1017" s="504"/>
      <c r="E1017" s="506"/>
      <c r="F1017" s="506"/>
      <c r="G1017" s="506"/>
      <c r="H1017" s="506"/>
      <c r="I1017" s="506"/>
      <c r="J1017" s="506"/>
      <c r="K1017" s="507"/>
      <c r="L1017" s="508"/>
      <c r="M1017" s="508"/>
      <c r="N1017" s="508"/>
      <c r="O1017" s="509"/>
      <c r="P1017" s="509"/>
    </row>
    <row r="1018" spans="1:16" ht="21.75" customHeight="1" x14ac:dyDescent="0.3">
      <c r="A1018" s="504"/>
      <c r="B1018" s="504"/>
      <c r="C1018" s="504"/>
      <c r="D1018" s="504"/>
      <c r="E1018" s="506"/>
      <c r="F1018" s="506"/>
      <c r="G1018" s="506"/>
      <c r="H1018" s="506"/>
      <c r="I1018" s="506"/>
      <c r="J1018" s="506"/>
      <c r="K1018" s="507"/>
      <c r="L1018" s="508"/>
      <c r="M1018" s="508"/>
      <c r="N1018" s="508"/>
      <c r="O1018" s="509"/>
      <c r="P1018" s="509"/>
    </row>
    <row r="1019" spans="1:16" ht="21.75" customHeight="1" x14ac:dyDescent="0.3">
      <c r="A1019" s="504"/>
      <c r="B1019" s="504"/>
      <c r="C1019" s="504"/>
      <c r="D1019" s="504"/>
      <c r="E1019" s="506"/>
      <c r="F1019" s="506"/>
      <c r="G1019" s="506"/>
      <c r="H1019" s="506"/>
      <c r="I1019" s="506"/>
      <c r="J1019" s="506"/>
      <c r="K1019" s="507"/>
      <c r="L1019" s="508"/>
      <c r="M1019" s="508"/>
      <c r="N1019" s="508"/>
      <c r="O1019" s="509"/>
      <c r="P1019" s="509"/>
    </row>
    <row r="1020" spans="1:16" ht="21.75" customHeight="1" x14ac:dyDescent="0.3">
      <c r="A1020" s="504"/>
      <c r="B1020" s="504"/>
      <c r="C1020" s="504"/>
      <c r="D1020" s="504"/>
      <c r="E1020" s="506"/>
      <c r="F1020" s="506"/>
      <c r="G1020" s="506"/>
      <c r="H1020" s="506"/>
      <c r="I1020" s="506"/>
      <c r="J1020" s="506"/>
      <c r="K1020" s="507"/>
      <c r="L1020" s="508"/>
      <c r="M1020" s="508"/>
      <c r="N1020" s="508"/>
      <c r="O1020" s="509"/>
      <c r="P1020" s="509"/>
    </row>
    <row r="1021" spans="1:16" ht="21.75" customHeight="1" x14ac:dyDescent="0.3">
      <c r="A1021" s="504"/>
      <c r="B1021" s="504"/>
      <c r="C1021" s="504"/>
      <c r="D1021" s="504"/>
      <c r="E1021" s="506"/>
      <c r="F1021" s="506"/>
      <c r="G1021" s="506"/>
      <c r="H1021" s="506"/>
      <c r="I1021" s="506"/>
      <c r="J1021" s="506"/>
      <c r="K1021" s="507"/>
      <c r="L1021" s="508"/>
      <c r="M1021" s="508"/>
      <c r="N1021" s="508"/>
      <c r="O1021" s="509"/>
      <c r="P1021" s="509"/>
    </row>
    <row r="1022" spans="1:16" ht="21.75" customHeight="1" x14ac:dyDescent="0.3">
      <c r="A1022" s="504"/>
      <c r="B1022" s="504"/>
      <c r="C1022" s="504"/>
      <c r="D1022" s="504"/>
      <c r="E1022" s="506"/>
      <c r="F1022" s="506"/>
      <c r="G1022" s="506"/>
      <c r="H1022" s="506"/>
      <c r="I1022" s="506"/>
      <c r="J1022" s="506"/>
      <c r="K1022" s="507"/>
      <c r="L1022" s="508"/>
      <c r="M1022" s="508"/>
      <c r="N1022" s="508"/>
      <c r="O1022" s="509"/>
      <c r="P1022" s="509"/>
    </row>
    <row r="1023" spans="1:16" ht="21.75" customHeight="1" x14ac:dyDescent="0.3">
      <c r="A1023" s="504"/>
      <c r="B1023" s="504"/>
      <c r="C1023" s="504"/>
      <c r="D1023" s="504"/>
      <c r="E1023" s="506"/>
      <c r="F1023" s="506"/>
      <c r="G1023" s="506"/>
      <c r="H1023" s="506"/>
      <c r="I1023" s="506"/>
      <c r="J1023" s="506"/>
      <c r="K1023" s="507"/>
      <c r="L1023" s="508"/>
      <c r="M1023" s="508"/>
      <c r="N1023" s="508"/>
      <c r="O1023" s="509"/>
      <c r="P1023" s="509"/>
    </row>
    <row r="1024" spans="1:16" ht="21.75" customHeight="1" x14ac:dyDescent="0.3">
      <c r="A1024" s="504"/>
      <c r="B1024" s="504"/>
      <c r="C1024" s="504"/>
      <c r="D1024" s="504"/>
      <c r="E1024" s="506"/>
      <c r="F1024" s="506"/>
      <c r="G1024" s="506"/>
      <c r="H1024" s="506"/>
      <c r="I1024" s="506"/>
      <c r="J1024" s="506"/>
      <c r="K1024" s="507"/>
      <c r="L1024" s="508"/>
      <c r="M1024" s="508"/>
      <c r="N1024" s="508"/>
      <c r="O1024" s="509"/>
      <c r="P1024" s="509"/>
    </row>
    <row r="1025" spans="1:16" ht="21.75" customHeight="1" x14ac:dyDescent="0.3">
      <c r="A1025" s="504"/>
      <c r="B1025" s="504"/>
      <c r="C1025" s="504"/>
      <c r="D1025" s="504"/>
      <c r="E1025" s="506"/>
      <c r="F1025" s="506"/>
      <c r="G1025" s="506"/>
      <c r="H1025" s="506"/>
      <c r="I1025" s="506"/>
      <c r="J1025" s="506"/>
      <c r="K1025" s="507"/>
      <c r="L1025" s="508"/>
      <c r="M1025" s="508"/>
      <c r="N1025" s="508"/>
      <c r="O1025" s="509"/>
      <c r="P1025" s="509"/>
    </row>
    <row r="1026" spans="1:16" ht="21.75" customHeight="1" x14ac:dyDescent="0.3">
      <c r="A1026" s="504"/>
      <c r="B1026" s="504"/>
      <c r="C1026" s="504"/>
      <c r="D1026" s="504"/>
      <c r="E1026" s="506"/>
      <c r="F1026" s="506"/>
      <c r="G1026" s="506"/>
      <c r="H1026" s="506"/>
      <c r="I1026" s="506"/>
      <c r="J1026" s="506"/>
      <c r="K1026" s="507"/>
      <c r="L1026" s="508"/>
      <c r="M1026" s="508"/>
      <c r="N1026" s="508"/>
      <c r="O1026" s="509"/>
      <c r="P1026" s="509"/>
    </row>
    <row r="1027" spans="1:16" ht="21.75" customHeight="1" x14ac:dyDescent="0.3">
      <c r="A1027" s="504"/>
      <c r="B1027" s="504"/>
      <c r="C1027" s="504"/>
      <c r="D1027" s="504"/>
      <c r="E1027" s="506"/>
      <c r="F1027" s="506"/>
      <c r="G1027" s="506"/>
      <c r="H1027" s="506"/>
      <c r="I1027" s="506"/>
      <c r="J1027" s="506"/>
      <c r="K1027" s="507"/>
      <c r="L1027" s="508"/>
      <c r="M1027" s="508"/>
      <c r="N1027" s="508"/>
      <c r="O1027" s="509"/>
      <c r="P1027" s="509"/>
    </row>
    <row r="1028" spans="1:16" ht="21.75" customHeight="1" x14ac:dyDescent="0.3">
      <c r="A1028" s="504"/>
      <c r="B1028" s="504"/>
      <c r="C1028" s="504"/>
      <c r="D1028" s="504"/>
      <c r="E1028" s="506"/>
      <c r="F1028" s="506"/>
      <c r="G1028" s="506"/>
      <c r="H1028" s="506"/>
      <c r="I1028" s="506"/>
      <c r="J1028" s="506"/>
      <c r="K1028" s="507"/>
      <c r="L1028" s="508"/>
      <c r="M1028" s="508"/>
      <c r="N1028" s="508"/>
      <c r="O1028" s="509"/>
      <c r="P1028" s="509"/>
    </row>
    <row r="1029" spans="1:16" ht="21.75" customHeight="1" x14ac:dyDescent="0.3">
      <c r="A1029" s="504"/>
      <c r="B1029" s="504"/>
      <c r="C1029" s="504"/>
      <c r="D1029" s="504"/>
      <c r="E1029" s="506"/>
      <c r="F1029" s="506"/>
      <c r="G1029" s="506"/>
      <c r="H1029" s="506"/>
      <c r="I1029" s="506"/>
      <c r="J1029" s="506"/>
      <c r="K1029" s="507"/>
      <c r="L1029" s="508"/>
      <c r="M1029" s="508"/>
      <c r="N1029" s="508"/>
      <c r="O1029" s="509"/>
      <c r="P1029" s="509"/>
    </row>
    <row r="1030" spans="1:16" ht="21.75" customHeight="1" x14ac:dyDescent="0.3">
      <c r="A1030" s="504"/>
      <c r="B1030" s="504"/>
      <c r="C1030" s="504"/>
      <c r="D1030" s="504"/>
      <c r="E1030" s="506"/>
      <c r="F1030" s="506"/>
      <c r="G1030" s="506"/>
      <c r="H1030" s="506"/>
      <c r="I1030" s="506"/>
      <c r="J1030" s="506"/>
      <c r="K1030" s="507"/>
      <c r="L1030" s="508"/>
      <c r="M1030" s="508"/>
      <c r="N1030" s="508"/>
      <c r="O1030" s="509"/>
      <c r="P1030" s="509"/>
    </row>
    <row r="1031" spans="1:16" ht="21.75" customHeight="1" x14ac:dyDescent="0.3">
      <c r="A1031" s="504"/>
      <c r="B1031" s="504"/>
      <c r="C1031" s="504"/>
      <c r="D1031" s="504"/>
      <c r="E1031" s="506"/>
      <c r="F1031" s="506"/>
      <c r="G1031" s="506"/>
      <c r="H1031" s="506"/>
      <c r="I1031" s="506"/>
      <c r="J1031" s="506"/>
      <c r="K1031" s="507"/>
      <c r="L1031" s="508"/>
      <c r="M1031" s="508"/>
      <c r="N1031" s="508"/>
      <c r="O1031" s="509"/>
      <c r="P1031" s="509"/>
    </row>
    <row r="1032" spans="1:16" ht="21.75" customHeight="1" x14ac:dyDescent="0.3">
      <c r="A1032" s="504"/>
      <c r="B1032" s="504"/>
      <c r="C1032" s="504"/>
      <c r="D1032" s="504"/>
      <c r="E1032" s="506"/>
      <c r="F1032" s="506"/>
      <c r="G1032" s="506"/>
      <c r="H1032" s="506"/>
      <c r="I1032" s="506"/>
      <c r="J1032" s="506"/>
      <c r="K1032" s="507"/>
      <c r="L1032" s="508"/>
      <c r="M1032" s="508"/>
      <c r="N1032" s="508"/>
      <c r="O1032" s="509"/>
      <c r="P1032" s="509"/>
    </row>
    <row r="1033" spans="1:16" ht="21.75" customHeight="1" x14ac:dyDescent="0.3">
      <c r="A1033" s="504"/>
      <c r="B1033" s="504"/>
      <c r="C1033" s="504"/>
      <c r="D1033" s="504"/>
      <c r="E1033" s="506"/>
      <c r="F1033" s="506"/>
      <c r="G1033" s="506"/>
      <c r="H1033" s="506"/>
      <c r="I1033" s="506"/>
      <c r="J1033" s="506"/>
      <c r="K1033" s="507"/>
      <c r="L1033" s="508"/>
      <c r="M1033" s="508"/>
      <c r="N1033" s="508"/>
      <c r="O1033" s="509"/>
      <c r="P1033" s="509"/>
    </row>
    <row r="1034" spans="1:16" ht="21.75" customHeight="1" x14ac:dyDescent="0.3">
      <c r="A1034" s="504"/>
      <c r="B1034" s="504"/>
      <c r="C1034" s="504"/>
      <c r="D1034" s="504"/>
      <c r="E1034" s="506"/>
      <c r="F1034" s="506"/>
      <c r="G1034" s="506"/>
      <c r="H1034" s="506"/>
      <c r="I1034" s="506"/>
      <c r="J1034" s="506"/>
      <c r="K1034" s="507"/>
      <c r="L1034" s="508"/>
      <c r="M1034" s="508"/>
      <c r="N1034" s="508"/>
      <c r="O1034" s="509"/>
      <c r="P1034" s="509"/>
    </row>
    <row r="1035" spans="1:16" ht="21.75" customHeight="1" x14ac:dyDescent="0.3">
      <c r="A1035" s="504"/>
      <c r="B1035" s="504"/>
      <c r="C1035" s="504"/>
      <c r="D1035" s="504"/>
      <c r="E1035" s="506"/>
      <c r="F1035" s="506"/>
      <c r="G1035" s="506"/>
      <c r="H1035" s="506"/>
      <c r="I1035" s="506"/>
      <c r="J1035" s="506"/>
      <c r="K1035" s="507"/>
      <c r="L1035" s="508"/>
      <c r="M1035" s="508"/>
      <c r="N1035" s="508"/>
      <c r="O1035" s="509"/>
      <c r="P1035" s="509"/>
    </row>
    <row r="1036" spans="1:16" ht="21.75" customHeight="1" x14ac:dyDescent="0.3">
      <c r="A1036" s="504"/>
      <c r="B1036" s="504"/>
      <c r="C1036" s="504"/>
      <c r="D1036" s="504"/>
      <c r="E1036" s="506"/>
      <c r="F1036" s="506"/>
      <c r="G1036" s="506"/>
      <c r="H1036" s="506"/>
      <c r="I1036" s="506"/>
      <c r="J1036" s="506"/>
      <c r="K1036" s="507"/>
      <c r="L1036" s="508"/>
      <c r="M1036" s="508"/>
      <c r="N1036" s="508"/>
      <c r="O1036" s="509"/>
      <c r="P1036" s="509"/>
    </row>
    <row r="1037" spans="1:16" ht="21.75" customHeight="1" x14ac:dyDescent="0.3">
      <c r="A1037" s="504"/>
      <c r="B1037" s="504"/>
      <c r="C1037" s="504"/>
      <c r="D1037" s="504"/>
      <c r="E1037" s="506"/>
      <c r="F1037" s="506"/>
      <c r="G1037" s="506"/>
      <c r="H1037" s="506"/>
      <c r="I1037" s="506"/>
      <c r="J1037" s="506"/>
      <c r="K1037" s="507"/>
      <c r="L1037" s="508"/>
      <c r="M1037" s="508"/>
      <c r="N1037" s="508"/>
      <c r="O1037" s="509"/>
      <c r="P1037" s="509"/>
    </row>
    <row r="1038" spans="1:16" ht="21.75" customHeight="1" x14ac:dyDescent="0.3">
      <c r="A1038" s="504"/>
      <c r="B1038" s="504"/>
      <c r="C1038" s="504"/>
      <c r="D1038" s="504"/>
      <c r="E1038" s="506"/>
      <c r="F1038" s="506"/>
      <c r="G1038" s="506"/>
      <c r="H1038" s="506"/>
      <c r="I1038" s="506"/>
      <c r="J1038" s="506"/>
      <c r="K1038" s="507"/>
      <c r="L1038" s="508"/>
      <c r="M1038" s="508"/>
      <c r="N1038" s="508"/>
      <c r="O1038" s="509"/>
      <c r="P1038" s="509"/>
    </row>
    <row r="1039" spans="1:16" ht="21.75" customHeight="1" x14ac:dyDescent="0.3">
      <c r="A1039" s="504"/>
      <c r="B1039" s="504"/>
      <c r="C1039" s="504"/>
      <c r="D1039" s="504"/>
      <c r="E1039" s="506"/>
      <c r="F1039" s="506"/>
      <c r="G1039" s="506"/>
      <c r="H1039" s="506"/>
      <c r="I1039" s="506"/>
      <c r="J1039" s="506"/>
      <c r="K1039" s="507"/>
      <c r="L1039" s="508"/>
      <c r="M1039" s="508"/>
      <c r="N1039" s="508"/>
      <c r="O1039" s="509"/>
      <c r="P1039" s="509"/>
    </row>
    <row r="1040" spans="1:16" ht="21.75" customHeight="1" x14ac:dyDescent="0.3">
      <c r="A1040" s="504"/>
      <c r="B1040" s="504"/>
      <c r="C1040" s="504"/>
      <c r="D1040" s="504"/>
      <c r="E1040" s="506"/>
      <c r="F1040" s="506"/>
      <c r="G1040" s="506"/>
      <c r="H1040" s="506"/>
      <c r="I1040" s="506"/>
      <c r="J1040" s="506"/>
      <c r="K1040" s="507"/>
      <c r="L1040" s="508"/>
      <c r="M1040" s="508"/>
      <c r="N1040" s="508"/>
      <c r="O1040" s="509"/>
      <c r="P1040" s="509"/>
    </row>
    <row r="1041" spans="1:16" ht="21.75" customHeight="1" x14ac:dyDescent="0.3">
      <c r="A1041" s="504"/>
      <c r="B1041" s="504"/>
      <c r="C1041" s="504"/>
      <c r="D1041" s="504"/>
      <c r="E1041" s="506"/>
      <c r="F1041" s="506"/>
      <c r="G1041" s="506"/>
      <c r="H1041" s="506"/>
      <c r="I1041" s="506"/>
      <c r="J1041" s="506"/>
      <c r="K1041" s="507"/>
      <c r="L1041" s="508"/>
      <c r="M1041" s="508"/>
      <c r="N1041" s="508"/>
      <c r="O1041" s="509"/>
      <c r="P1041" s="509"/>
    </row>
    <row r="1042" spans="1:16" ht="21.75" customHeight="1" x14ac:dyDescent="0.3">
      <c r="A1042" s="504"/>
      <c r="B1042" s="504"/>
      <c r="C1042" s="504"/>
      <c r="D1042" s="504"/>
      <c r="E1042" s="506"/>
      <c r="F1042" s="506"/>
      <c r="G1042" s="506"/>
      <c r="H1042" s="506"/>
      <c r="I1042" s="506"/>
      <c r="J1042" s="506"/>
      <c r="K1042" s="507"/>
      <c r="L1042" s="508"/>
      <c r="M1042" s="508"/>
      <c r="N1042" s="508"/>
      <c r="O1042" s="509"/>
      <c r="P1042" s="509"/>
    </row>
    <row r="1043" spans="1:16" ht="21.75" customHeight="1" x14ac:dyDescent="0.3">
      <c r="A1043" s="504"/>
      <c r="B1043" s="504"/>
      <c r="C1043" s="504"/>
      <c r="D1043" s="504"/>
      <c r="E1043" s="506"/>
      <c r="F1043" s="506"/>
      <c r="G1043" s="506"/>
      <c r="H1043" s="506"/>
      <c r="I1043" s="506"/>
      <c r="J1043" s="506"/>
      <c r="K1043" s="507"/>
      <c r="L1043" s="508"/>
      <c r="M1043" s="508"/>
      <c r="N1043" s="508"/>
      <c r="O1043" s="509"/>
      <c r="P1043" s="509"/>
    </row>
    <row r="1044" spans="1:16" ht="21.75" customHeight="1" x14ac:dyDescent="0.3">
      <c r="A1044" s="504"/>
      <c r="B1044" s="504"/>
      <c r="C1044" s="504"/>
      <c r="D1044" s="504"/>
      <c r="E1044" s="506"/>
      <c r="F1044" s="506"/>
      <c r="G1044" s="506"/>
      <c r="H1044" s="506"/>
      <c r="I1044" s="506"/>
      <c r="J1044" s="506"/>
      <c r="K1044" s="507"/>
      <c r="L1044" s="508"/>
      <c r="M1044" s="508"/>
      <c r="N1044" s="508"/>
      <c r="O1044" s="509"/>
      <c r="P1044" s="509"/>
    </row>
    <row r="1045" spans="1:16" ht="21.75" customHeight="1" x14ac:dyDescent="0.3">
      <c r="A1045" s="504"/>
      <c r="B1045" s="504"/>
      <c r="C1045" s="504"/>
      <c r="D1045" s="504"/>
      <c r="E1045" s="506"/>
      <c r="F1045" s="506"/>
      <c r="G1045" s="506"/>
      <c r="H1045" s="506"/>
      <c r="I1045" s="506"/>
      <c r="J1045" s="506"/>
      <c r="K1045" s="507"/>
      <c r="L1045" s="508"/>
      <c r="M1045" s="508"/>
      <c r="N1045" s="508"/>
      <c r="O1045" s="509"/>
      <c r="P1045" s="509"/>
    </row>
    <row r="1046" spans="1:16" ht="21.75" customHeight="1" x14ac:dyDescent="0.3">
      <c r="A1046" s="504"/>
      <c r="B1046" s="504"/>
      <c r="C1046" s="504"/>
      <c r="D1046" s="504"/>
      <c r="E1046" s="506"/>
      <c r="F1046" s="506"/>
      <c r="G1046" s="506"/>
      <c r="H1046" s="506"/>
      <c r="I1046" s="506"/>
      <c r="J1046" s="506"/>
      <c r="K1046" s="507"/>
      <c r="L1046" s="508"/>
      <c r="M1046" s="508"/>
      <c r="N1046" s="508"/>
      <c r="O1046" s="509"/>
      <c r="P1046" s="509"/>
    </row>
    <row r="1047" spans="1:16" ht="21.75" customHeight="1" x14ac:dyDescent="0.3">
      <c r="A1047" s="504"/>
      <c r="B1047" s="504"/>
      <c r="C1047" s="504"/>
      <c r="D1047" s="504"/>
      <c r="E1047" s="506"/>
      <c r="F1047" s="506"/>
      <c r="G1047" s="506"/>
      <c r="H1047" s="506"/>
      <c r="I1047" s="506"/>
      <c r="J1047" s="506"/>
      <c r="K1047" s="507"/>
      <c r="L1047" s="508"/>
      <c r="M1047" s="508"/>
      <c r="N1047" s="508"/>
      <c r="O1047" s="509"/>
      <c r="P1047" s="509"/>
    </row>
    <row r="1048" spans="1:16" ht="21.75" customHeight="1" x14ac:dyDescent="0.3">
      <c r="A1048" s="504"/>
      <c r="B1048" s="504"/>
      <c r="C1048" s="504"/>
      <c r="D1048" s="504"/>
      <c r="E1048" s="506"/>
      <c r="F1048" s="506"/>
      <c r="G1048" s="506"/>
      <c r="H1048" s="506"/>
      <c r="I1048" s="506"/>
      <c r="J1048" s="506"/>
      <c r="K1048" s="507"/>
      <c r="L1048" s="508"/>
      <c r="M1048" s="508"/>
      <c r="N1048" s="508"/>
      <c r="O1048" s="509"/>
      <c r="P1048" s="509"/>
    </row>
    <row r="1049" spans="1:16" ht="21.75" customHeight="1" x14ac:dyDescent="0.3">
      <c r="A1049" s="504"/>
      <c r="B1049" s="504"/>
      <c r="C1049" s="504"/>
      <c r="D1049" s="504"/>
      <c r="E1049" s="506"/>
      <c r="F1049" s="506"/>
      <c r="G1049" s="506"/>
      <c r="H1049" s="506"/>
      <c r="I1049" s="506"/>
      <c r="J1049" s="506"/>
      <c r="K1049" s="507"/>
      <c r="L1049" s="508"/>
      <c r="M1049" s="508"/>
      <c r="N1049" s="508"/>
      <c r="O1049" s="509"/>
      <c r="P1049" s="509"/>
    </row>
    <row r="1050" spans="1:16" ht="21.75" customHeight="1" x14ac:dyDescent="0.3">
      <c r="A1050" s="504"/>
      <c r="B1050" s="504"/>
      <c r="C1050" s="504"/>
      <c r="D1050" s="504"/>
      <c r="E1050" s="506"/>
      <c r="F1050" s="506"/>
      <c r="G1050" s="506"/>
      <c r="H1050" s="506"/>
      <c r="I1050" s="506"/>
      <c r="J1050" s="506"/>
      <c r="K1050" s="507"/>
      <c r="L1050" s="508"/>
      <c r="M1050" s="508"/>
      <c r="N1050" s="508"/>
      <c r="O1050" s="509"/>
      <c r="P1050" s="509"/>
    </row>
    <row r="1051" spans="1:16" ht="21.75" customHeight="1" x14ac:dyDescent="0.3">
      <c r="A1051" s="504"/>
      <c r="B1051" s="504"/>
      <c r="C1051" s="504"/>
      <c r="D1051" s="504"/>
      <c r="E1051" s="506"/>
      <c r="F1051" s="506"/>
      <c r="G1051" s="506"/>
      <c r="H1051" s="506"/>
      <c r="I1051" s="506"/>
      <c r="J1051" s="506"/>
      <c r="K1051" s="507"/>
      <c r="L1051" s="508"/>
      <c r="M1051" s="508"/>
      <c r="N1051" s="508"/>
      <c r="O1051" s="509"/>
      <c r="P1051" s="509"/>
    </row>
    <row r="1052" spans="1:16" ht="21.75" customHeight="1" x14ac:dyDescent="0.3">
      <c r="A1052" s="504"/>
      <c r="B1052" s="504"/>
      <c r="C1052" s="504"/>
      <c r="D1052" s="504"/>
      <c r="E1052" s="506"/>
      <c r="F1052" s="506"/>
      <c r="G1052" s="506"/>
      <c r="H1052" s="506"/>
      <c r="I1052" s="506"/>
      <c r="J1052" s="506"/>
      <c r="K1052" s="507"/>
      <c r="L1052" s="508"/>
      <c r="M1052" s="508"/>
      <c r="N1052" s="508"/>
      <c r="O1052" s="509"/>
      <c r="P1052" s="509"/>
    </row>
    <row r="1053" spans="1:16" ht="21.75" customHeight="1" x14ac:dyDescent="0.3">
      <c r="A1053" s="504"/>
      <c r="B1053" s="504"/>
      <c r="C1053" s="504"/>
      <c r="D1053" s="504"/>
      <c r="E1053" s="506"/>
      <c r="F1053" s="506"/>
      <c r="G1053" s="506"/>
      <c r="H1053" s="506"/>
      <c r="I1053" s="506"/>
      <c r="J1053" s="506"/>
      <c r="K1053" s="507"/>
      <c r="L1053" s="508"/>
      <c r="M1053" s="508"/>
      <c r="N1053" s="508"/>
      <c r="O1053" s="509"/>
      <c r="P1053" s="509"/>
    </row>
    <row r="1054" spans="1:16" ht="21.75" customHeight="1" x14ac:dyDescent="0.3">
      <c r="A1054" s="504"/>
      <c r="B1054" s="504"/>
      <c r="C1054" s="504"/>
      <c r="D1054" s="504"/>
      <c r="E1054" s="506"/>
      <c r="F1054" s="506"/>
      <c r="G1054" s="506"/>
      <c r="H1054" s="506"/>
      <c r="I1054" s="506"/>
      <c r="J1054" s="506"/>
      <c r="K1054" s="507"/>
      <c r="L1054" s="508"/>
      <c r="M1054" s="508"/>
      <c r="N1054" s="508"/>
      <c r="O1054" s="509"/>
      <c r="P1054" s="509"/>
    </row>
    <row r="1055" spans="1:16" ht="21.75" customHeight="1" x14ac:dyDescent="0.3">
      <c r="A1055" s="504"/>
      <c r="B1055" s="504"/>
      <c r="C1055" s="504"/>
      <c r="D1055" s="504"/>
      <c r="E1055" s="506"/>
      <c r="F1055" s="506"/>
      <c r="G1055" s="506"/>
      <c r="H1055" s="506"/>
      <c r="I1055" s="506"/>
      <c r="J1055" s="506"/>
      <c r="K1055" s="507"/>
      <c r="L1055" s="508"/>
      <c r="M1055" s="508"/>
      <c r="N1055" s="508"/>
      <c r="O1055" s="509"/>
      <c r="P1055" s="509"/>
    </row>
    <row r="1056" spans="1:16" ht="21.75" customHeight="1" x14ac:dyDescent="0.3">
      <c r="A1056" s="504"/>
      <c r="B1056" s="504"/>
      <c r="C1056" s="504"/>
      <c r="D1056" s="504"/>
      <c r="E1056" s="506"/>
      <c r="F1056" s="506"/>
      <c r="G1056" s="506"/>
      <c r="H1056" s="506"/>
      <c r="I1056" s="506"/>
      <c r="J1056" s="506"/>
      <c r="K1056" s="507"/>
      <c r="L1056" s="508"/>
      <c r="M1056" s="508"/>
      <c r="N1056" s="508"/>
      <c r="O1056" s="509"/>
      <c r="P1056" s="509"/>
    </row>
    <row r="1057" spans="1:16" ht="21.75" customHeight="1" x14ac:dyDescent="0.3">
      <c r="A1057" s="504"/>
      <c r="B1057" s="504"/>
      <c r="C1057" s="504"/>
      <c r="D1057" s="504"/>
      <c r="E1057" s="506"/>
      <c r="F1057" s="506"/>
      <c r="G1057" s="506"/>
      <c r="H1057" s="506"/>
      <c r="I1057" s="506"/>
      <c r="J1057" s="506"/>
      <c r="K1057" s="507"/>
      <c r="L1057" s="508"/>
      <c r="M1057" s="508"/>
      <c r="N1057" s="508"/>
      <c r="O1057" s="509"/>
      <c r="P1057" s="509"/>
    </row>
    <row r="1058" spans="1:16" ht="21.75" customHeight="1" x14ac:dyDescent="0.3">
      <c r="A1058" s="504"/>
      <c r="B1058" s="504"/>
      <c r="C1058" s="504"/>
      <c r="D1058" s="504"/>
      <c r="E1058" s="506"/>
      <c r="F1058" s="506"/>
      <c r="G1058" s="506"/>
      <c r="H1058" s="506"/>
      <c r="I1058" s="506"/>
      <c r="J1058" s="506"/>
      <c r="K1058" s="507"/>
      <c r="L1058" s="508"/>
      <c r="M1058" s="508"/>
      <c r="N1058" s="508"/>
      <c r="O1058" s="509"/>
      <c r="P1058" s="509"/>
    </row>
    <row r="1059" spans="1:16" ht="21.75" customHeight="1" x14ac:dyDescent="0.3">
      <c r="A1059" s="504"/>
      <c r="B1059" s="504"/>
      <c r="C1059" s="504"/>
      <c r="D1059" s="504"/>
      <c r="E1059" s="506"/>
      <c r="F1059" s="506"/>
      <c r="G1059" s="506"/>
      <c r="H1059" s="506"/>
      <c r="I1059" s="506"/>
      <c r="J1059" s="506"/>
      <c r="K1059" s="507"/>
      <c r="L1059" s="508"/>
      <c r="M1059" s="508"/>
      <c r="N1059" s="508"/>
      <c r="O1059" s="509"/>
      <c r="P1059" s="509"/>
    </row>
    <row r="1060" spans="1:16" ht="21.75" customHeight="1" x14ac:dyDescent="0.3">
      <c r="A1060" s="504"/>
      <c r="B1060" s="504"/>
      <c r="C1060" s="504"/>
      <c r="D1060" s="504"/>
      <c r="E1060" s="506"/>
      <c r="F1060" s="506"/>
      <c r="G1060" s="506"/>
      <c r="H1060" s="506"/>
      <c r="I1060" s="506"/>
      <c r="J1060" s="506"/>
      <c r="K1060" s="507"/>
      <c r="L1060" s="508"/>
      <c r="M1060" s="508"/>
      <c r="N1060" s="508"/>
      <c r="O1060" s="509"/>
      <c r="P1060" s="509"/>
    </row>
    <row r="1061" spans="1:16" ht="21.75" customHeight="1" x14ac:dyDescent="0.3">
      <c r="A1061" s="504"/>
      <c r="B1061" s="504"/>
      <c r="C1061" s="504"/>
      <c r="D1061" s="504"/>
      <c r="E1061" s="506"/>
      <c r="F1061" s="506"/>
      <c r="G1061" s="506"/>
      <c r="H1061" s="506"/>
      <c r="I1061" s="506"/>
      <c r="J1061" s="506"/>
      <c r="K1061" s="507"/>
      <c r="L1061" s="508"/>
      <c r="M1061" s="508"/>
      <c r="N1061" s="508"/>
      <c r="O1061" s="509"/>
      <c r="P1061" s="509"/>
    </row>
    <row r="1062" spans="1:16" ht="21.75" customHeight="1" x14ac:dyDescent="0.3">
      <c r="A1062" s="504"/>
      <c r="B1062" s="504"/>
      <c r="C1062" s="504"/>
      <c r="D1062" s="504"/>
      <c r="E1062" s="506"/>
      <c r="F1062" s="506"/>
      <c r="G1062" s="506"/>
      <c r="H1062" s="506"/>
      <c r="I1062" s="506"/>
      <c r="J1062" s="506"/>
      <c r="K1062" s="507"/>
      <c r="L1062" s="508"/>
      <c r="M1062" s="508"/>
      <c r="N1062" s="508"/>
      <c r="O1062" s="509"/>
      <c r="P1062" s="509"/>
    </row>
    <row r="1063" spans="1:16" ht="21.75" customHeight="1" x14ac:dyDescent="0.3">
      <c r="A1063" s="504"/>
      <c r="B1063" s="504"/>
      <c r="C1063" s="504"/>
      <c r="D1063" s="504"/>
      <c r="E1063" s="506"/>
      <c r="F1063" s="506"/>
      <c r="G1063" s="506"/>
      <c r="H1063" s="506"/>
      <c r="I1063" s="506"/>
      <c r="J1063" s="506"/>
      <c r="K1063" s="507"/>
      <c r="L1063" s="508"/>
      <c r="M1063" s="508"/>
      <c r="N1063" s="508"/>
      <c r="O1063" s="509"/>
      <c r="P1063" s="509"/>
    </row>
    <row r="1064" spans="1:16" ht="21.75" customHeight="1" x14ac:dyDescent="0.3">
      <c r="A1064" s="504"/>
      <c r="B1064" s="504"/>
      <c r="C1064" s="504"/>
      <c r="D1064" s="504"/>
      <c r="E1064" s="506"/>
      <c r="F1064" s="506"/>
      <c r="G1064" s="506"/>
      <c r="H1064" s="506"/>
      <c r="I1064" s="506"/>
      <c r="J1064" s="506"/>
      <c r="K1064" s="507"/>
      <c r="L1064" s="508"/>
      <c r="M1064" s="508"/>
      <c r="N1064" s="508"/>
      <c r="O1064" s="509"/>
      <c r="P1064" s="509"/>
    </row>
    <row r="1065" spans="1:16" ht="21.75" customHeight="1" x14ac:dyDescent="0.3">
      <c r="A1065" s="504"/>
      <c r="B1065" s="504"/>
      <c r="C1065" s="504"/>
      <c r="D1065" s="504"/>
      <c r="E1065" s="506"/>
      <c r="F1065" s="506"/>
      <c r="G1065" s="506"/>
      <c r="H1065" s="506"/>
      <c r="I1065" s="506"/>
      <c r="J1065" s="506"/>
      <c r="K1065" s="507"/>
      <c r="L1065" s="508"/>
      <c r="M1065" s="508"/>
      <c r="N1065" s="508"/>
      <c r="O1065" s="509"/>
      <c r="P1065" s="509"/>
    </row>
    <row r="1066" spans="1:16" ht="21.75" customHeight="1" x14ac:dyDescent="0.3">
      <c r="A1066" s="504"/>
      <c r="B1066" s="504"/>
      <c r="C1066" s="504"/>
      <c r="D1066" s="504"/>
      <c r="E1066" s="506"/>
      <c r="F1066" s="506"/>
      <c r="G1066" s="506"/>
      <c r="H1066" s="506"/>
      <c r="I1066" s="506"/>
      <c r="J1066" s="506"/>
      <c r="K1066" s="507"/>
      <c r="L1066" s="508"/>
      <c r="M1066" s="508"/>
      <c r="N1066" s="508"/>
      <c r="O1066" s="509"/>
      <c r="P1066" s="509"/>
    </row>
    <row r="1067" spans="1:16" ht="21.75" customHeight="1" x14ac:dyDescent="0.3">
      <c r="A1067" s="504"/>
      <c r="B1067" s="504"/>
      <c r="C1067" s="504"/>
      <c r="D1067" s="504"/>
      <c r="E1067" s="506"/>
      <c r="F1067" s="506"/>
      <c r="G1067" s="506"/>
      <c r="H1067" s="506"/>
      <c r="I1067" s="506"/>
      <c r="J1067" s="506"/>
      <c r="K1067" s="507"/>
      <c r="L1067" s="508"/>
      <c r="M1067" s="508"/>
      <c r="N1067" s="508"/>
      <c r="O1067" s="509"/>
      <c r="P1067" s="509"/>
    </row>
    <row r="1068" spans="1:16" ht="21.75" customHeight="1" x14ac:dyDescent="0.3">
      <c r="A1068" s="504"/>
      <c r="B1068" s="504"/>
      <c r="C1068" s="504"/>
      <c r="D1068" s="504"/>
      <c r="E1068" s="506"/>
      <c r="F1068" s="506"/>
      <c r="G1068" s="506"/>
      <c r="H1068" s="506"/>
      <c r="I1068" s="506"/>
      <c r="J1068" s="506"/>
      <c r="K1068" s="507"/>
      <c r="L1068" s="508"/>
      <c r="M1068" s="508"/>
      <c r="N1068" s="508"/>
      <c r="O1068" s="509"/>
      <c r="P1068" s="509"/>
    </row>
    <row r="1069" spans="1:16" ht="21.75" customHeight="1" x14ac:dyDescent="0.3">
      <c r="A1069" s="504"/>
      <c r="B1069" s="504"/>
      <c r="C1069" s="504"/>
      <c r="D1069" s="504"/>
      <c r="E1069" s="506"/>
      <c r="F1069" s="506"/>
      <c r="G1069" s="506"/>
      <c r="H1069" s="506"/>
      <c r="I1069" s="506"/>
      <c r="J1069" s="506"/>
      <c r="K1069" s="507"/>
      <c r="L1069" s="508"/>
      <c r="M1069" s="508"/>
      <c r="N1069" s="508"/>
      <c r="O1069" s="509"/>
      <c r="P1069" s="509"/>
    </row>
    <row r="1070" spans="1:16" ht="21.75" customHeight="1" x14ac:dyDescent="0.3">
      <c r="A1070" s="504"/>
      <c r="B1070" s="504"/>
      <c r="C1070" s="504"/>
      <c r="D1070" s="504"/>
      <c r="E1070" s="506"/>
      <c r="F1070" s="506"/>
      <c r="G1070" s="506"/>
      <c r="H1070" s="506"/>
      <c r="I1070" s="506"/>
      <c r="J1070" s="506"/>
      <c r="K1070" s="507"/>
      <c r="L1070" s="508"/>
      <c r="M1070" s="508"/>
      <c r="N1070" s="508"/>
      <c r="O1070" s="509"/>
      <c r="P1070" s="509"/>
    </row>
    <row r="1071" spans="1:16" ht="21.75" customHeight="1" x14ac:dyDescent="0.3">
      <c r="A1071" s="504"/>
      <c r="B1071" s="504"/>
      <c r="C1071" s="504"/>
      <c r="D1071" s="504"/>
      <c r="E1071" s="506"/>
      <c r="F1071" s="506"/>
      <c r="G1071" s="506"/>
      <c r="H1071" s="506"/>
      <c r="I1071" s="506"/>
      <c r="J1071" s="506"/>
      <c r="K1071" s="507"/>
      <c r="L1071" s="508"/>
      <c r="M1071" s="508"/>
      <c r="N1071" s="508"/>
      <c r="O1071" s="509"/>
      <c r="P1071" s="509"/>
    </row>
    <row r="1072" spans="1:16" ht="21.75" customHeight="1" x14ac:dyDescent="0.3">
      <c r="A1072" s="504"/>
      <c r="B1072" s="504"/>
      <c r="C1072" s="504"/>
      <c r="D1072" s="504"/>
      <c r="E1072" s="506"/>
      <c r="F1072" s="506"/>
      <c r="G1072" s="506"/>
      <c r="H1072" s="506"/>
      <c r="I1072" s="506"/>
      <c r="J1072" s="506"/>
      <c r="K1072" s="507"/>
      <c r="L1072" s="508"/>
      <c r="M1072" s="508"/>
      <c r="N1072" s="508"/>
      <c r="O1072" s="509"/>
      <c r="P1072" s="509"/>
    </row>
    <row r="1073" spans="1:16" ht="21.75" customHeight="1" x14ac:dyDescent="0.3">
      <c r="A1073" s="504"/>
      <c r="B1073" s="504"/>
      <c r="C1073" s="504"/>
      <c r="D1073" s="504"/>
      <c r="E1073" s="506"/>
      <c r="F1073" s="506"/>
      <c r="G1073" s="506"/>
      <c r="H1073" s="506"/>
      <c r="I1073" s="506"/>
      <c r="J1073" s="506"/>
      <c r="K1073" s="507"/>
      <c r="L1073" s="508"/>
      <c r="M1073" s="508"/>
      <c r="N1073" s="508"/>
      <c r="O1073" s="509"/>
      <c r="P1073" s="509"/>
    </row>
    <row r="1074" spans="1:16" ht="21.75" customHeight="1" x14ac:dyDescent="0.3">
      <c r="A1074" s="504"/>
      <c r="B1074" s="504"/>
      <c r="C1074" s="504"/>
      <c r="D1074" s="504"/>
      <c r="E1074" s="506"/>
      <c r="F1074" s="506"/>
      <c r="G1074" s="506"/>
      <c r="H1074" s="506"/>
      <c r="I1074" s="506"/>
      <c r="J1074" s="506"/>
      <c r="K1074" s="507"/>
      <c r="L1074" s="508"/>
      <c r="M1074" s="508"/>
      <c r="N1074" s="508"/>
      <c r="O1074" s="509"/>
      <c r="P1074" s="509"/>
    </row>
    <row r="1075" spans="1:16" ht="21.75" customHeight="1" x14ac:dyDescent="0.3">
      <c r="A1075" s="504"/>
      <c r="B1075" s="504"/>
      <c r="C1075" s="504"/>
      <c r="D1075" s="504"/>
      <c r="E1075" s="506"/>
      <c r="F1075" s="506"/>
      <c r="G1075" s="506"/>
      <c r="H1075" s="506"/>
      <c r="I1075" s="506"/>
      <c r="J1075" s="506"/>
      <c r="K1075" s="507"/>
      <c r="L1075" s="508"/>
      <c r="M1075" s="508"/>
      <c r="N1075" s="508"/>
      <c r="O1075" s="509"/>
      <c r="P1075" s="509"/>
    </row>
    <row r="1076" spans="1:16" ht="21.75" customHeight="1" x14ac:dyDescent="0.3">
      <c r="A1076" s="504"/>
      <c r="B1076" s="504"/>
      <c r="C1076" s="504"/>
      <c r="D1076" s="504"/>
      <c r="E1076" s="506"/>
      <c r="F1076" s="506"/>
      <c r="G1076" s="506"/>
      <c r="H1076" s="506"/>
      <c r="I1076" s="506"/>
      <c r="J1076" s="506"/>
      <c r="K1076" s="507"/>
      <c r="L1076" s="508"/>
      <c r="M1076" s="508"/>
      <c r="N1076" s="508"/>
      <c r="O1076" s="509"/>
      <c r="P1076" s="509"/>
    </row>
    <row r="1077" spans="1:16" ht="21.75" customHeight="1" x14ac:dyDescent="0.3">
      <c r="A1077" s="504"/>
      <c r="B1077" s="504"/>
      <c r="C1077" s="504"/>
      <c r="D1077" s="504"/>
      <c r="E1077" s="506"/>
      <c r="F1077" s="506"/>
      <c r="G1077" s="506"/>
      <c r="H1077" s="506"/>
      <c r="I1077" s="506"/>
      <c r="J1077" s="506"/>
      <c r="K1077" s="507"/>
      <c r="L1077" s="508"/>
      <c r="M1077" s="508"/>
      <c r="N1077" s="508"/>
      <c r="O1077" s="509"/>
      <c r="P1077" s="509"/>
    </row>
    <row r="1078" spans="1:16" ht="21.75" customHeight="1" x14ac:dyDescent="0.3">
      <c r="A1078" s="504"/>
      <c r="B1078" s="504"/>
      <c r="C1078" s="504"/>
      <c r="D1078" s="504"/>
      <c r="E1078" s="506"/>
      <c r="F1078" s="506"/>
      <c r="G1078" s="506"/>
      <c r="H1078" s="506"/>
      <c r="I1078" s="506"/>
      <c r="J1078" s="506"/>
      <c r="K1078" s="507"/>
      <c r="L1078" s="508"/>
      <c r="M1078" s="508"/>
      <c r="N1078" s="508"/>
      <c r="O1078" s="509"/>
      <c r="P1078" s="509"/>
    </row>
    <row r="1079" spans="1:16" ht="21.75" customHeight="1" x14ac:dyDescent="0.3">
      <c r="A1079" s="504"/>
      <c r="B1079" s="504"/>
      <c r="C1079" s="504"/>
      <c r="D1079" s="504"/>
      <c r="E1079" s="506"/>
      <c r="F1079" s="506"/>
      <c r="G1079" s="506"/>
      <c r="H1079" s="506"/>
      <c r="I1079" s="506"/>
      <c r="J1079" s="506"/>
      <c r="K1079" s="507"/>
      <c r="L1079" s="508"/>
      <c r="M1079" s="508"/>
      <c r="N1079" s="508"/>
      <c r="O1079" s="509"/>
      <c r="P1079" s="509"/>
    </row>
    <row r="1080" spans="1:16" ht="21.75" customHeight="1" x14ac:dyDescent="0.3">
      <c r="A1080" s="504"/>
      <c r="B1080" s="504"/>
      <c r="C1080" s="504"/>
      <c r="D1080" s="504"/>
      <c r="E1080" s="506"/>
      <c r="F1080" s="506"/>
      <c r="G1080" s="506"/>
      <c r="H1080" s="506"/>
      <c r="I1080" s="506"/>
      <c r="J1080" s="506"/>
      <c r="K1080" s="507"/>
      <c r="L1080" s="508"/>
      <c r="M1080" s="508"/>
      <c r="N1080" s="508"/>
      <c r="O1080" s="509"/>
      <c r="P1080" s="509"/>
    </row>
    <row r="1081" spans="1:16" ht="21.75" customHeight="1" x14ac:dyDescent="0.3">
      <c r="A1081" s="504"/>
      <c r="B1081" s="504"/>
      <c r="C1081" s="504"/>
      <c r="D1081" s="504"/>
      <c r="E1081" s="506"/>
      <c r="F1081" s="506"/>
      <c r="G1081" s="506"/>
      <c r="H1081" s="506"/>
      <c r="I1081" s="506"/>
      <c r="J1081" s="506"/>
      <c r="K1081" s="507"/>
      <c r="L1081" s="508"/>
      <c r="M1081" s="508"/>
      <c r="N1081" s="508"/>
      <c r="O1081" s="509"/>
      <c r="P1081" s="509"/>
    </row>
    <row r="1082" spans="1:16" ht="21.75" customHeight="1" x14ac:dyDescent="0.3">
      <c r="A1082" s="504"/>
      <c r="B1082" s="504"/>
      <c r="C1082" s="504"/>
      <c r="D1082" s="504"/>
      <c r="E1082" s="506"/>
      <c r="F1082" s="506"/>
      <c r="G1082" s="506"/>
      <c r="H1082" s="506"/>
      <c r="I1082" s="506"/>
      <c r="J1082" s="506"/>
      <c r="K1082" s="507"/>
      <c r="L1082" s="508"/>
      <c r="M1082" s="508"/>
      <c r="N1082" s="508"/>
      <c r="O1082" s="509"/>
      <c r="P1082" s="509"/>
    </row>
    <row r="1083" spans="1:16" ht="21.75" customHeight="1" x14ac:dyDescent="0.3">
      <c r="A1083" s="504"/>
      <c r="B1083" s="504"/>
      <c r="C1083" s="504"/>
      <c r="D1083" s="504"/>
      <c r="E1083" s="506"/>
      <c r="F1083" s="506"/>
      <c r="G1083" s="506"/>
      <c r="H1083" s="506"/>
      <c r="I1083" s="506"/>
      <c r="J1083" s="506"/>
      <c r="K1083" s="507"/>
      <c r="L1083" s="508"/>
      <c r="M1083" s="508"/>
      <c r="N1083" s="508"/>
      <c r="O1083" s="509"/>
      <c r="P1083" s="509"/>
    </row>
    <row r="1084" spans="1:16" ht="21.75" customHeight="1" x14ac:dyDescent="0.3">
      <c r="A1084" s="504"/>
      <c r="B1084" s="504"/>
      <c r="C1084" s="504"/>
      <c r="D1084" s="504"/>
      <c r="E1084" s="506"/>
      <c r="F1084" s="506"/>
      <c r="G1084" s="506"/>
      <c r="H1084" s="506"/>
      <c r="I1084" s="506"/>
      <c r="J1084" s="506"/>
      <c r="K1084" s="507"/>
      <c r="L1084" s="508"/>
      <c r="M1084" s="508"/>
      <c r="N1084" s="508"/>
      <c r="O1084" s="509"/>
      <c r="P1084" s="509"/>
    </row>
    <row r="1085" spans="1:16" ht="21.75" customHeight="1" x14ac:dyDescent="0.3">
      <c r="A1085" s="504"/>
      <c r="B1085" s="504"/>
      <c r="C1085" s="504"/>
      <c r="D1085" s="504"/>
      <c r="E1085" s="506"/>
      <c r="F1085" s="506"/>
      <c r="G1085" s="506"/>
      <c r="H1085" s="506"/>
      <c r="I1085" s="506"/>
      <c r="J1085" s="506"/>
      <c r="K1085" s="507"/>
      <c r="L1085" s="508"/>
      <c r="M1085" s="508"/>
      <c r="N1085" s="508"/>
      <c r="O1085" s="509"/>
      <c r="P1085" s="509"/>
    </row>
    <row r="1086" spans="1:16" ht="21.75" customHeight="1" x14ac:dyDescent="0.3">
      <c r="A1086" s="504"/>
      <c r="B1086" s="504"/>
      <c r="C1086" s="504"/>
      <c r="D1086" s="504"/>
      <c r="E1086" s="506"/>
      <c r="F1086" s="506"/>
      <c r="G1086" s="506"/>
      <c r="H1086" s="506"/>
      <c r="I1086" s="506"/>
      <c r="J1086" s="506"/>
      <c r="K1086" s="507"/>
      <c r="L1086" s="508"/>
      <c r="M1086" s="508"/>
      <c r="N1086" s="508"/>
      <c r="O1086" s="509"/>
      <c r="P1086" s="509"/>
    </row>
    <row r="1087" spans="1:16" ht="21.75" customHeight="1" x14ac:dyDescent="0.3">
      <c r="A1087" s="504"/>
      <c r="B1087" s="504"/>
      <c r="C1087" s="504"/>
      <c r="D1087" s="504"/>
      <c r="E1087" s="506"/>
      <c r="F1087" s="506"/>
      <c r="G1087" s="506"/>
      <c r="H1087" s="506"/>
      <c r="I1087" s="506"/>
      <c r="J1087" s="506"/>
      <c r="K1087" s="507"/>
      <c r="L1087" s="508"/>
      <c r="M1087" s="508"/>
      <c r="N1087" s="508"/>
      <c r="O1087" s="509"/>
      <c r="P1087" s="509"/>
    </row>
    <row r="1088" spans="1:16" ht="21.75" customHeight="1" x14ac:dyDescent="0.3">
      <c r="A1088" s="504"/>
      <c r="B1088" s="504"/>
      <c r="C1088" s="504"/>
      <c r="D1088" s="504"/>
      <c r="E1088" s="506"/>
      <c r="F1088" s="506"/>
      <c r="G1088" s="506"/>
      <c r="H1088" s="506"/>
      <c r="I1088" s="506"/>
      <c r="J1088" s="506"/>
      <c r="K1088" s="507"/>
      <c r="L1088" s="508"/>
      <c r="M1088" s="508"/>
      <c r="N1088" s="508"/>
      <c r="O1088" s="509"/>
      <c r="P1088" s="509"/>
    </row>
    <row r="1089" spans="1:16" ht="21.75" customHeight="1" x14ac:dyDescent="0.3">
      <c r="A1089" s="504"/>
      <c r="B1089" s="504"/>
      <c r="C1089" s="504"/>
      <c r="D1089" s="504"/>
      <c r="E1089" s="506"/>
      <c r="F1089" s="506"/>
      <c r="G1089" s="506"/>
      <c r="H1089" s="506"/>
      <c r="I1089" s="506"/>
      <c r="J1089" s="506"/>
      <c r="K1089" s="507"/>
      <c r="L1089" s="508"/>
      <c r="M1089" s="508"/>
      <c r="N1089" s="508"/>
      <c r="O1089" s="509"/>
      <c r="P1089" s="509"/>
    </row>
    <row r="1090" spans="1:16" ht="21.75" customHeight="1" x14ac:dyDescent="0.3">
      <c r="A1090" s="504"/>
      <c r="B1090" s="504"/>
      <c r="C1090" s="504"/>
      <c r="D1090" s="504"/>
      <c r="E1090" s="506"/>
      <c r="F1090" s="506"/>
      <c r="G1090" s="506"/>
      <c r="H1090" s="506"/>
      <c r="I1090" s="506"/>
      <c r="J1090" s="506"/>
      <c r="K1090" s="507"/>
      <c r="L1090" s="508"/>
      <c r="M1090" s="508"/>
      <c r="N1090" s="508"/>
      <c r="O1090" s="509"/>
      <c r="P1090" s="509"/>
    </row>
    <row r="1091" spans="1:16" ht="21.75" customHeight="1" x14ac:dyDescent="0.3">
      <c r="A1091" s="504"/>
      <c r="B1091" s="504"/>
      <c r="C1091" s="504"/>
      <c r="D1091" s="504"/>
      <c r="E1091" s="506"/>
      <c r="F1091" s="506"/>
      <c r="G1091" s="506"/>
      <c r="H1091" s="506"/>
      <c r="I1091" s="506"/>
      <c r="J1091" s="506"/>
      <c r="K1091" s="507"/>
      <c r="L1091" s="508"/>
      <c r="M1091" s="508"/>
      <c r="N1091" s="508"/>
      <c r="O1091" s="509"/>
      <c r="P1091" s="509"/>
    </row>
    <row r="1092" spans="1:16" ht="21.75" customHeight="1" x14ac:dyDescent="0.3">
      <c r="A1092" s="504"/>
      <c r="B1092" s="504"/>
      <c r="C1092" s="504"/>
      <c r="D1092" s="504"/>
      <c r="E1092" s="506"/>
      <c r="F1092" s="506"/>
      <c r="G1092" s="506"/>
      <c r="H1092" s="506"/>
      <c r="I1092" s="506"/>
      <c r="J1092" s="506"/>
      <c r="K1092" s="507"/>
      <c r="L1092" s="508"/>
      <c r="M1092" s="508"/>
      <c r="N1092" s="508"/>
      <c r="O1092" s="509"/>
      <c r="P1092" s="509"/>
    </row>
    <row r="1093" spans="1:16" ht="21.75" customHeight="1" x14ac:dyDescent="0.3">
      <c r="A1093" s="504"/>
      <c r="B1093" s="504"/>
      <c r="C1093" s="504"/>
      <c r="D1093" s="504"/>
      <c r="E1093" s="506"/>
      <c r="F1093" s="506"/>
      <c r="G1093" s="506"/>
      <c r="H1093" s="506"/>
      <c r="I1093" s="506"/>
      <c r="J1093" s="506"/>
      <c r="K1093" s="507"/>
      <c r="L1093" s="508"/>
      <c r="M1093" s="508"/>
      <c r="N1093" s="508"/>
      <c r="O1093" s="509"/>
      <c r="P1093" s="509"/>
    </row>
    <row r="1094" spans="1:16" ht="21.75" customHeight="1" x14ac:dyDescent="0.3">
      <c r="A1094" s="504"/>
      <c r="B1094" s="504"/>
      <c r="C1094" s="504"/>
      <c r="D1094" s="504"/>
      <c r="E1094" s="506"/>
      <c r="F1094" s="506"/>
      <c r="G1094" s="506"/>
      <c r="H1094" s="506"/>
      <c r="I1094" s="506"/>
      <c r="J1094" s="506"/>
      <c r="K1094" s="507"/>
      <c r="L1094" s="508"/>
      <c r="M1094" s="508"/>
      <c r="N1094" s="508"/>
      <c r="O1094" s="509"/>
      <c r="P1094" s="509"/>
    </row>
    <row r="1095" spans="1:16" ht="21.75" customHeight="1" x14ac:dyDescent="0.3">
      <c r="A1095" s="504"/>
      <c r="B1095" s="504"/>
      <c r="C1095" s="504"/>
      <c r="D1095" s="504"/>
      <c r="E1095" s="506"/>
      <c r="F1095" s="506"/>
      <c r="G1095" s="506"/>
      <c r="H1095" s="506"/>
      <c r="I1095" s="506"/>
      <c r="J1095" s="506"/>
      <c r="K1095" s="507"/>
      <c r="L1095" s="508"/>
      <c r="M1095" s="508"/>
      <c r="N1095" s="508"/>
      <c r="O1095" s="509"/>
      <c r="P1095" s="509"/>
    </row>
    <row r="1096" spans="1:16" ht="21.75" customHeight="1" x14ac:dyDescent="0.3">
      <c r="A1096" s="504"/>
      <c r="B1096" s="504"/>
      <c r="C1096" s="504"/>
      <c r="D1096" s="504"/>
      <c r="E1096" s="506"/>
      <c r="F1096" s="506"/>
      <c r="G1096" s="506"/>
      <c r="H1096" s="506"/>
      <c r="I1096" s="506"/>
      <c r="J1096" s="506"/>
      <c r="K1096" s="507"/>
      <c r="L1096" s="508"/>
      <c r="M1096" s="508"/>
      <c r="N1096" s="508"/>
      <c r="O1096" s="509"/>
      <c r="P1096" s="509"/>
    </row>
    <row r="1097" spans="1:16" ht="21.75" customHeight="1" x14ac:dyDescent="0.3">
      <c r="A1097" s="504"/>
      <c r="B1097" s="504"/>
      <c r="C1097" s="504"/>
      <c r="D1097" s="504"/>
      <c r="E1097" s="506"/>
      <c r="F1097" s="506"/>
      <c r="G1097" s="506"/>
      <c r="H1097" s="506"/>
      <c r="I1097" s="506"/>
      <c r="J1097" s="506"/>
      <c r="K1097" s="507"/>
      <c r="L1097" s="508"/>
      <c r="M1097" s="508"/>
      <c r="N1097" s="508"/>
      <c r="O1097" s="509"/>
      <c r="P1097" s="509"/>
    </row>
    <row r="1098" spans="1:16" ht="21.75" customHeight="1" x14ac:dyDescent="0.3">
      <c r="A1098" s="504"/>
      <c r="B1098" s="504"/>
      <c r="C1098" s="504"/>
      <c r="D1098" s="504"/>
      <c r="E1098" s="506"/>
      <c r="F1098" s="506"/>
      <c r="G1098" s="506"/>
      <c r="H1098" s="506"/>
      <c r="I1098" s="506"/>
      <c r="J1098" s="506"/>
      <c r="K1098" s="507"/>
      <c r="L1098" s="508"/>
      <c r="M1098" s="508"/>
      <c r="N1098" s="508"/>
      <c r="O1098" s="509"/>
      <c r="P1098" s="509"/>
    </row>
    <row r="1099" spans="1:16" ht="21.75" customHeight="1" x14ac:dyDescent="0.3">
      <c r="A1099" s="504"/>
      <c r="B1099" s="504"/>
      <c r="C1099" s="504"/>
      <c r="D1099" s="504"/>
      <c r="E1099" s="506"/>
      <c r="F1099" s="506"/>
      <c r="G1099" s="506"/>
      <c r="H1099" s="506"/>
      <c r="I1099" s="506"/>
      <c r="J1099" s="506"/>
      <c r="K1099" s="507"/>
      <c r="L1099" s="508"/>
      <c r="M1099" s="508"/>
      <c r="N1099" s="508"/>
      <c r="O1099" s="509"/>
      <c r="P1099" s="509"/>
    </row>
    <row r="1100" spans="1:16" ht="21.75" customHeight="1" x14ac:dyDescent="0.3">
      <c r="A1100" s="504"/>
      <c r="B1100" s="504"/>
      <c r="C1100" s="504"/>
      <c r="D1100" s="504"/>
      <c r="E1100" s="506"/>
      <c r="F1100" s="506"/>
      <c r="G1100" s="506"/>
      <c r="H1100" s="506"/>
      <c r="I1100" s="506"/>
      <c r="J1100" s="506"/>
      <c r="K1100" s="507"/>
      <c r="L1100" s="508"/>
      <c r="M1100" s="508"/>
      <c r="N1100" s="508"/>
      <c r="O1100" s="509"/>
      <c r="P1100" s="509"/>
    </row>
    <row r="1101" spans="1:16" ht="21.75" customHeight="1" x14ac:dyDescent="0.3">
      <c r="A1101" s="504"/>
      <c r="B1101" s="504"/>
      <c r="C1101" s="504"/>
      <c r="D1101" s="504"/>
      <c r="E1101" s="506"/>
      <c r="F1101" s="506"/>
      <c r="G1101" s="506"/>
      <c r="H1101" s="506"/>
      <c r="I1101" s="506"/>
      <c r="J1101" s="506"/>
      <c r="K1101" s="507"/>
      <c r="L1101" s="508"/>
      <c r="M1101" s="508"/>
      <c r="N1101" s="508"/>
      <c r="O1101" s="509"/>
      <c r="P1101" s="509"/>
    </row>
    <row r="1102" spans="1:16" ht="21.75" customHeight="1" x14ac:dyDescent="0.3">
      <c r="A1102" s="504"/>
      <c r="B1102" s="504"/>
      <c r="C1102" s="504"/>
      <c r="D1102" s="504"/>
      <c r="E1102" s="506"/>
      <c r="F1102" s="506"/>
      <c r="G1102" s="506"/>
      <c r="H1102" s="506"/>
      <c r="I1102" s="506"/>
      <c r="J1102" s="506"/>
      <c r="K1102" s="507"/>
      <c r="L1102" s="508"/>
      <c r="M1102" s="508"/>
      <c r="N1102" s="508"/>
      <c r="O1102" s="509"/>
      <c r="P1102" s="509"/>
    </row>
    <row r="1103" spans="1:16" ht="21.75" customHeight="1" x14ac:dyDescent="0.3">
      <c r="A1103" s="504"/>
      <c r="B1103" s="504"/>
      <c r="C1103" s="504"/>
      <c r="D1103" s="504"/>
      <c r="E1103" s="506"/>
      <c r="F1103" s="506"/>
      <c r="G1103" s="506"/>
      <c r="H1103" s="506"/>
      <c r="I1103" s="506"/>
      <c r="J1103" s="506"/>
      <c r="K1103" s="507"/>
      <c r="L1103" s="508"/>
      <c r="M1103" s="508"/>
      <c r="N1103" s="508"/>
      <c r="O1103" s="509"/>
      <c r="P1103" s="509"/>
    </row>
    <row r="1104" spans="1:16" ht="21.75" customHeight="1" x14ac:dyDescent="0.3">
      <c r="A1104" s="504"/>
      <c r="B1104" s="504"/>
      <c r="C1104" s="504"/>
      <c r="D1104" s="504"/>
      <c r="E1104" s="506"/>
      <c r="F1104" s="506"/>
      <c r="G1104" s="506"/>
      <c r="H1104" s="506"/>
      <c r="I1104" s="506"/>
      <c r="J1104" s="506"/>
      <c r="K1104" s="507"/>
      <c r="L1104" s="508"/>
      <c r="M1104" s="508"/>
      <c r="N1104" s="508"/>
      <c r="O1104" s="509"/>
      <c r="P1104" s="509"/>
    </row>
    <row r="1105" spans="1:16" ht="21.75" customHeight="1" x14ac:dyDescent="0.3">
      <c r="A1105" s="504"/>
      <c r="B1105" s="504"/>
      <c r="C1105" s="504"/>
      <c r="D1105" s="504"/>
      <c r="E1105" s="506"/>
      <c r="F1105" s="506"/>
      <c r="G1105" s="506"/>
      <c r="H1105" s="506"/>
      <c r="I1105" s="506"/>
      <c r="J1105" s="506"/>
      <c r="K1105" s="507"/>
      <c r="L1105" s="508"/>
      <c r="M1105" s="508"/>
      <c r="N1105" s="508"/>
      <c r="O1105" s="509"/>
      <c r="P1105" s="509"/>
    </row>
    <row r="1106" spans="1:16" ht="21.75" customHeight="1" x14ac:dyDescent="0.3">
      <c r="A1106" s="504"/>
      <c r="B1106" s="504"/>
      <c r="C1106" s="504"/>
      <c r="D1106" s="504"/>
      <c r="E1106" s="506"/>
      <c r="F1106" s="506"/>
      <c r="G1106" s="506"/>
      <c r="H1106" s="506"/>
      <c r="I1106" s="506"/>
      <c r="J1106" s="506"/>
      <c r="K1106" s="507"/>
      <c r="L1106" s="508"/>
      <c r="M1106" s="508"/>
      <c r="N1106" s="508"/>
      <c r="O1106" s="509"/>
      <c r="P1106" s="509"/>
    </row>
    <row r="1107" spans="1:16" ht="21.75" customHeight="1" x14ac:dyDescent="0.3">
      <c r="A1107" s="504"/>
      <c r="B1107" s="504"/>
      <c r="C1107" s="504"/>
      <c r="D1107" s="504"/>
      <c r="E1107" s="506"/>
      <c r="F1107" s="506"/>
      <c r="G1107" s="506"/>
      <c r="H1107" s="506"/>
      <c r="I1107" s="506"/>
      <c r="J1107" s="506"/>
      <c r="K1107" s="507"/>
      <c r="L1107" s="508"/>
      <c r="M1107" s="508"/>
      <c r="N1107" s="508"/>
      <c r="O1107" s="509"/>
      <c r="P1107" s="509"/>
    </row>
    <row r="1108" spans="1:16" ht="21.75" customHeight="1" x14ac:dyDescent="0.3">
      <c r="A1108" s="504"/>
      <c r="B1108" s="504"/>
      <c r="C1108" s="504"/>
      <c r="D1108" s="504"/>
      <c r="E1108" s="506"/>
      <c r="F1108" s="506"/>
      <c r="G1108" s="506"/>
      <c r="H1108" s="506"/>
      <c r="I1108" s="506"/>
      <c r="J1108" s="506"/>
      <c r="K1108" s="507"/>
      <c r="L1108" s="508"/>
      <c r="M1108" s="508"/>
      <c r="N1108" s="508"/>
      <c r="O1108" s="509"/>
      <c r="P1108" s="509"/>
    </row>
    <row r="1109" spans="1:16" ht="21.75" customHeight="1" x14ac:dyDescent="0.3">
      <c r="A1109" s="504"/>
      <c r="B1109" s="504"/>
      <c r="C1109" s="504"/>
      <c r="D1109" s="504"/>
      <c r="E1109" s="506"/>
      <c r="F1109" s="506"/>
      <c r="G1109" s="506"/>
      <c r="H1109" s="506"/>
      <c r="I1109" s="506"/>
      <c r="J1109" s="506"/>
      <c r="K1109" s="507"/>
      <c r="L1109" s="508"/>
      <c r="M1109" s="508"/>
      <c r="N1109" s="508"/>
      <c r="O1109" s="509"/>
      <c r="P1109" s="509"/>
    </row>
    <row r="1110" spans="1:16" ht="21.75" customHeight="1" x14ac:dyDescent="0.3">
      <c r="A1110" s="504"/>
      <c r="B1110" s="504"/>
      <c r="C1110" s="504"/>
      <c r="D1110" s="504"/>
      <c r="E1110" s="506"/>
      <c r="F1110" s="506"/>
      <c r="G1110" s="506"/>
      <c r="H1110" s="506"/>
      <c r="I1110" s="506"/>
      <c r="J1110" s="506"/>
      <c r="K1110" s="507"/>
      <c r="L1110" s="508"/>
      <c r="M1110" s="508"/>
      <c r="N1110" s="508"/>
      <c r="O1110" s="509"/>
      <c r="P1110" s="509"/>
    </row>
    <row r="1111" spans="1:16" ht="21.75" customHeight="1" x14ac:dyDescent="0.3">
      <c r="A1111" s="504"/>
      <c r="B1111" s="504"/>
      <c r="C1111" s="504"/>
      <c r="D1111" s="504"/>
      <c r="E1111" s="506"/>
      <c r="F1111" s="506"/>
      <c r="G1111" s="506"/>
      <c r="H1111" s="506"/>
      <c r="I1111" s="506"/>
      <c r="J1111" s="506"/>
      <c r="K1111" s="507"/>
      <c r="L1111" s="508"/>
      <c r="M1111" s="508"/>
      <c r="N1111" s="508"/>
      <c r="O1111" s="509"/>
      <c r="P1111" s="509"/>
    </row>
    <row r="1112" spans="1:16" ht="21.75" customHeight="1" x14ac:dyDescent="0.3">
      <c r="A1112" s="504"/>
      <c r="B1112" s="504"/>
      <c r="C1112" s="504"/>
      <c r="D1112" s="504"/>
      <c r="E1112" s="506"/>
      <c r="F1112" s="506"/>
      <c r="G1112" s="506"/>
      <c r="H1112" s="506"/>
      <c r="I1112" s="506"/>
      <c r="J1112" s="506"/>
      <c r="K1112" s="507"/>
      <c r="L1112" s="508"/>
      <c r="M1112" s="508"/>
      <c r="N1112" s="508"/>
      <c r="O1112" s="509"/>
      <c r="P1112" s="509"/>
    </row>
    <row r="1113" spans="1:16" ht="21.75" customHeight="1" x14ac:dyDescent="0.3">
      <c r="A1113" s="504"/>
      <c r="B1113" s="504"/>
      <c r="C1113" s="504"/>
      <c r="D1113" s="504"/>
      <c r="E1113" s="506"/>
      <c r="F1113" s="506"/>
      <c r="G1113" s="506"/>
      <c r="H1113" s="506"/>
      <c r="I1113" s="506"/>
      <c r="J1113" s="506"/>
      <c r="K1113" s="507"/>
      <c r="L1113" s="508"/>
      <c r="M1113" s="508"/>
      <c r="N1113" s="508"/>
      <c r="O1113" s="509"/>
      <c r="P1113" s="509"/>
    </row>
    <row r="1114" spans="1:16" ht="21.75" customHeight="1" x14ac:dyDescent="0.3">
      <c r="A1114" s="504"/>
      <c r="B1114" s="504"/>
      <c r="C1114" s="504"/>
      <c r="D1114" s="504"/>
      <c r="E1114" s="506"/>
      <c r="F1114" s="506"/>
      <c r="G1114" s="506"/>
      <c r="H1114" s="506"/>
      <c r="I1114" s="506"/>
      <c r="J1114" s="506"/>
      <c r="K1114" s="507"/>
      <c r="L1114" s="508"/>
      <c r="M1114" s="508"/>
      <c r="N1114" s="508"/>
      <c r="O1114" s="509"/>
      <c r="P1114" s="509"/>
    </row>
    <row r="1115" spans="1:16" ht="21.75" customHeight="1" x14ac:dyDescent="0.3">
      <c r="A1115" s="504"/>
      <c r="B1115" s="504"/>
      <c r="C1115" s="504"/>
      <c r="D1115" s="504"/>
      <c r="E1115" s="506"/>
      <c r="F1115" s="506"/>
      <c r="G1115" s="506"/>
      <c r="H1115" s="506"/>
      <c r="I1115" s="506"/>
      <c r="J1115" s="506"/>
      <c r="K1115" s="507"/>
      <c r="L1115" s="508"/>
      <c r="M1115" s="508"/>
      <c r="N1115" s="508"/>
      <c r="O1115" s="509"/>
      <c r="P1115" s="509"/>
    </row>
    <row r="1116" spans="1:16" ht="21.75" customHeight="1" x14ac:dyDescent="0.3">
      <c r="A1116" s="504"/>
      <c r="B1116" s="504"/>
      <c r="C1116" s="504"/>
      <c r="D1116" s="504"/>
      <c r="E1116" s="506"/>
      <c r="F1116" s="506"/>
      <c r="G1116" s="506"/>
      <c r="H1116" s="506"/>
      <c r="I1116" s="506"/>
      <c r="J1116" s="506"/>
      <c r="K1116" s="507"/>
      <c r="L1116" s="508"/>
      <c r="M1116" s="508"/>
      <c r="N1116" s="508"/>
      <c r="O1116" s="509"/>
      <c r="P1116" s="509"/>
    </row>
    <row r="1117" spans="1:16" ht="21.75" customHeight="1" x14ac:dyDescent="0.3">
      <c r="A1117" s="504"/>
      <c r="B1117" s="504"/>
      <c r="C1117" s="504"/>
      <c r="D1117" s="504"/>
      <c r="E1117" s="506"/>
      <c r="F1117" s="506"/>
      <c r="G1117" s="506"/>
      <c r="H1117" s="506"/>
      <c r="I1117" s="506"/>
      <c r="J1117" s="506"/>
      <c r="K1117" s="507"/>
      <c r="L1117" s="508"/>
      <c r="M1117" s="508"/>
      <c r="N1117" s="508"/>
      <c r="O1117" s="509"/>
      <c r="P1117" s="509"/>
    </row>
    <row r="1118" spans="1:16" ht="21.75" customHeight="1" x14ac:dyDescent="0.3">
      <c r="A1118" s="504"/>
      <c r="B1118" s="504"/>
      <c r="C1118" s="504"/>
      <c r="D1118" s="504"/>
      <c r="E1118" s="506"/>
      <c r="F1118" s="506"/>
      <c r="G1118" s="506"/>
      <c r="H1118" s="506"/>
      <c r="I1118" s="506"/>
      <c r="J1118" s="506"/>
      <c r="K1118" s="507"/>
      <c r="L1118" s="508"/>
      <c r="M1118" s="508"/>
      <c r="N1118" s="508"/>
      <c r="O1118" s="509"/>
      <c r="P1118" s="509"/>
    </row>
    <row r="1119" spans="1:16" ht="21.75" customHeight="1" x14ac:dyDescent="0.3">
      <c r="A1119" s="504"/>
      <c r="B1119" s="504"/>
      <c r="C1119" s="504"/>
      <c r="D1119" s="504"/>
      <c r="E1119" s="506"/>
      <c r="F1119" s="506"/>
      <c r="G1119" s="506"/>
      <c r="H1119" s="506"/>
      <c r="I1119" s="506"/>
      <c r="J1119" s="506"/>
      <c r="K1119" s="507"/>
      <c r="L1119" s="508"/>
      <c r="M1119" s="508"/>
      <c r="N1119" s="508"/>
      <c r="O1119" s="509"/>
      <c r="P1119" s="509"/>
    </row>
    <row r="1120" spans="1:16" ht="21.75" customHeight="1" x14ac:dyDescent="0.3">
      <c r="A1120" s="504"/>
      <c r="B1120" s="504"/>
      <c r="C1120" s="504"/>
      <c r="D1120" s="504"/>
      <c r="E1120" s="506"/>
      <c r="F1120" s="506"/>
      <c r="G1120" s="506"/>
      <c r="H1120" s="506"/>
      <c r="I1120" s="506"/>
      <c r="J1120" s="506"/>
      <c r="K1120" s="507"/>
      <c r="L1120" s="508"/>
      <c r="M1120" s="508"/>
      <c r="N1120" s="508"/>
      <c r="O1120" s="509"/>
      <c r="P1120" s="509"/>
    </row>
    <row r="1121" spans="1:16" ht="21.75" customHeight="1" x14ac:dyDescent="0.3">
      <c r="A1121" s="504"/>
      <c r="B1121" s="504"/>
      <c r="C1121" s="504"/>
      <c r="D1121" s="504"/>
      <c r="E1121" s="506"/>
      <c r="F1121" s="506"/>
      <c r="G1121" s="506"/>
      <c r="H1121" s="506"/>
      <c r="I1121" s="506"/>
      <c r="J1121" s="506"/>
      <c r="K1121" s="507"/>
      <c r="L1121" s="508"/>
      <c r="M1121" s="508"/>
      <c r="N1121" s="508"/>
      <c r="O1121" s="509"/>
      <c r="P1121" s="509"/>
    </row>
    <row r="1122" spans="1:16" ht="21.75" customHeight="1" x14ac:dyDescent="0.3">
      <c r="A1122" s="504"/>
      <c r="B1122" s="504"/>
      <c r="C1122" s="504"/>
      <c r="D1122" s="504"/>
      <c r="E1122" s="506"/>
      <c r="F1122" s="506"/>
      <c r="G1122" s="506"/>
      <c r="H1122" s="506"/>
      <c r="I1122" s="506"/>
      <c r="J1122" s="506"/>
      <c r="K1122" s="507"/>
      <c r="L1122" s="508"/>
      <c r="M1122" s="508"/>
      <c r="N1122" s="508"/>
      <c r="O1122" s="509"/>
      <c r="P1122" s="509"/>
    </row>
    <row r="1123" spans="1:16" ht="21.75" customHeight="1" x14ac:dyDescent="0.3">
      <c r="A1123" s="504"/>
      <c r="B1123" s="504"/>
      <c r="C1123" s="504"/>
      <c r="D1123" s="504"/>
      <c r="E1123" s="506"/>
      <c r="F1123" s="506"/>
      <c r="G1123" s="506"/>
      <c r="H1123" s="506"/>
      <c r="I1123" s="506"/>
      <c r="J1123" s="506"/>
      <c r="K1123" s="507"/>
      <c r="L1123" s="508"/>
      <c r="M1123" s="508"/>
      <c r="N1123" s="508"/>
      <c r="O1123" s="509"/>
      <c r="P1123" s="509"/>
    </row>
    <row r="1124" spans="1:16" ht="21.75" customHeight="1" x14ac:dyDescent="0.3">
      <c r="A1124" s="504"/>
      <c r="B1124" s="504"/>
      <c r="C1124" s="504"/>
      <c r="D1124" s="504"/>
      <c r="E1124" s="506"/>
      <c r="F1124" s="506"/>
      <c r="G1124" s="506"/>
      <c r="H1124" s="506"/>
      <c r="I1124" s="506"/>
      <c r="J1124" s="506"/>
      <c r="K1124" s="507"/>
      <c r="L1124" s="508"/>
      <c r="M1124" s="508"/>
      <c r="N1124" s="508"/>
      <c r="O1124" s="509"/>
      <c r="P1124" s="509"/>
    </row>
    <row r="1125" spans="1:16" ht="21.75" customHeight="1" x14ac:dyDescent="0.3">
      <c r="A1125" s="504"/>
      <c r="B1125" s="504"/>
      <c r="C1125" s="504"/>
      <c r="D1125" s="504"/>
      <c r="E1125" s="506"/>
      <c r="F1125" s="506"/>
      <c r="G1125" s="506"/>
      <c r="H1125" s="506"/>
      <c r="I1125" s="506"/>
      <c r="J1125" s="506"/>
      <c r="K1125" s="507"/>
      <c r="L1125" s="508"/>
      <c r="M1125" s="508"/>
      <c r="N1125" s="508"/>
      <c r="O1125" s="509"/>
      <c r="P1125" s="509"/>
    </row>
    <row r="1126" spans="1:16" ht="21.75" customHeight="1" x14ac:dyDescent="0.3">
      <c r="A1126" s="504"/>
      <c r="B1126" s="504"/>
      <c r="C1126" s="504"/>
      <c r="D1126" s="504"/>
      <c r="E1126" s="506"/>
      <c r="F1126" s="506"/>
      <c r="G1126" s="506"/>
      <c r="H1126" s="506"/>
      <c r="I1126" s="506"/>
      <c r="J1126" s="506"/>
      <c r="K1126" s="507"/>
      <c r="L1126" s="508"/>
      <c r="M1126" s="508"/>
      <c r="N1126" s="508"/>
      <c r="O1126" s="509"/>
      <c r="P1126" s="509"/>
    </row>
    <row r="1127" spans="1:16" ht="21.75" customHeight="1" x14ac:dyDescent="0.3">
      <c r="A1127" s="504"/>
      <c r="B1127" s="504"/>
      <c r="C1127" s="504"/>
      <c r="D1127" s="504"/>
      <c r="E1127" s="506"/>
      <c r="F1127" s="506"/>
      <c r="G1127" s="506"/>
      <c r="H1127" s="506"/>
      <c r="I1127" s="506"/>
      <c r="J1127" s="506"/>
      <c r="K1127" s="507"/>
      <c r="L1127" s="508"/>
      <c r="M1127" s="508"/>
      <c r="N1127" s="508"/>
      <c r="O1127" s="509"/>
      <c r="P1127" s="509"/>
    </row>
    <row r="1128" spans="1:16" ht="21.75" customHeight="1" x14ac:dyDescent="0.3">
      <c r="A1128" s="504"/>
      <c r="B1128" s="504"/>
      <c r="C1128" s="504"/>
      <c r="D1128" s="504"/>
      <c r="E1128" s="506"/>
      <c r="F1128" s="506"/>
      <c r="G1128" s="506"/>
      <c r="H1128" s="506"/>
      <c r="I1128" s="506"/>
      <c r="J1128" s="506"/>
      <c r="K1128" s="507"/>
      <c r="L1128" s="508"/>
      <c r="M1128" s="508"/>
      <c r="N1128" s="508"/>
      <c r="O1128" s="509"/>
      <c r="P1128" s="509"/>
    </row>
    <row r="1129" spans="1:16" ht="21.75" customHeight="1" x14ac:dyDescent="0.3">
      <c r="A1129" s="504"/>
      <c r="B1129" s="504"/>
      <c r="C1129" s="504"/>
      <c r="D1129" s="504"/>
      <c r="E1129" s="506"/>
      <c r="F1129" s="506"/>
      <c r="G1129" s="506"/>
      <c r="H1129" s="506"/>
      <c r="I1129" s="506"/>
      <c r="J1129" s="506"/>
      <c r="K1129" s="507"/>
      <c r="L1129" s="508"/>
      <c r="M1129" s="508"/>
      <c r="N1129" s="508"/>
      <c r="O1129" s="509"/>
      <c r="P1129" s="509"/>
    </row>
    <row r="1130" spans="1:16" ht="21.75" customHeight="1" x14ac:dyDescent="0.3">
      <c r="A1130" s="504"/>
      <c r="B1130" s="504"/>
      <c r="C1130" s="504"/>
      <c r="D1130" s="504"/>
      <c r="E1130" s="506"/>
      <c r="F1130" s="506"/>
      <c r="G1130" s="506"/>
      <c r="H1130" s="506"/>
      <c r="I1130" s="506"/>
      <c r="J1130" s="506"/>
      <c r="K1130" s="507"/>
      <c r="L1130" s="508"/>
      <c r="M1130" s="508"/>
      <c r="N1130" s="508"/>
      <c r="O1130" s="509"/>
      <c r="P1130" s="509"/>
    </row>
    <row r="1131" spans="1:16" ht="21.75" customHeight="1" x14ac:dyDescent="0.3">
      <c r="A1131" s="504"/>
      <c r="B1131" s="504"/>
      <c r="C1131" s="504"/>
      <c r="D1131" s="504"/>
      <c r="E1131" s="506"/>
      <c r="F1131" s="506"/>
      <c r="G1131" s="506"/>
      <c r="H1131" s="506"/>
      <c r="I1131" s="506"/>
      <c r="J1131" s="506"/>
      <c r="K1131" s="507"/>
      <c r="L1131" s="508"/>
      <c r="M1131" s="508"/>
      <c r="N1131" s="508"/>
      <c r="O1131" s="509"/>
      <c r="P1131" s="509"/>
    </row>
    <row r="1132" spans="1:16" ht="21.75" customHeight="1" x14ac:dyDescent="0.3">
      <c r="A1132" s="504"/>
      <c r="B1132" s="504"/>
      <c r="C1132" s="504"/>
      <c r="D1132" s="504"/>
      <c r="E1132" s="506"/>
      <c r="F1132" s="506"/>
      <c r="G1132" s="506"/>
      <c r="H1132" s="506"/>
      <c r="I1132" s="506"/>
      <c r="J1132" s="506"/>
      <c r="K1132" s="507"/>
      <c r="L1132" s="508"/>
      <c r="M1132" s="508"/>
      <c r="N1132" s="508"/>
      <c r="O1132" s="509"/>
      <c r="P1132" s="509"/>
    </row>
    <row r="1133" spans="1:16" ht="21.75" customHeight="1" x14ac:dyDescent="0.3">
      <c r="A1133" s="504"/>
      <c r="B1133" s="504"/>
      <c r="C1133" s="504"/>
      <c r="D1133" s="504"/>
      <c r="E1133" s="506"/>
      <c r="F1133" s="506"/>
      <c r="G1133" s="506"/>
      <c r="H1133" s="506"/>
      <c r="I1133" s="506"/>
      <c r="J1133" s="506"/>
      <c r="K1133" s="507"/>
      <c r="L1133" s="508"/>
      <c r="M1133" s="508"/>
      <c r="N1133" s="508"/>
      <c r="O1133" s="509"/>
      <c r="P1133" s="509"/>
    </row>
    <row r="1134" spans="1:16" ht="21.75" customHeight="1" x14ac:dyDescent="0.3">
      <c r="A1134" s="504"/>
      <c r="B1134" s="504"/>
      <c r="C1134" s="504"/>
      <c r="D1134" s="504"/>
      <c r="E1134" s="506"/>
      <c r="F1134" s="506"/>
      <c r="G1134" s="506"/>
      <c r="H1134" s="506"/>
      <c r="I1134" s="506"/>
      <c r="J1134" s="506"/>
      <c r="K1134" s="507"/>
      <c r="L1134" s="508"/>
      <c r="M1134" s="508"/>
      <c r="N1134" s="508"/>
      <c r="O1134" s="509"/>
      <c r="P1134" s="509"/>
    </row>
    <row r="1135" spans="1:16" ht="21.75" customHeight="1" x14ac:dyDescent="0.3">
      <c r="A1135" s="504"/>
      <c r="B1135" s="504"/>
      <c r="C1135" s="504"/>
      <c r="D1135" s="504"/>
      <c r="E1135" s="506"/>
      <c r="F1135" s="506"/>
      <c r="G1135" s="506"/>
      <c r="H1135" s="506"/>
      <c r="I1135" s="506"/>
      <c r="J1135" s="506"/>
      <c r="K1135" s="507"/>
      <c r="L1135" s="508"/>
      <c r="M1135" s="508"/>
      <c r="N1135" s="508"/>
      <c r="O1135" s="509"/>
      <c r="P1135" s="509"/>
    </row>
    <row r="1136" spans="1:16" ht="21.75" customHeight="1" x14ac:dyDescent="0.3">
      <c r="A1136" s="504"/>
      <c r="B1136" s="504"/>
      <c r="C1136" s="504"/>
      <c r="D1136" s="504"/>
      <c r="E1136" s="506"/>
      <c r="F1136" s="506"/>
      <c r="G1136" s="506"/>
      <c r="H1136" s="506"/>
      <c r="I1136" s="506"/>
      <c r="J1136" s="506"/>
      <c r="K1136" s="507"/>
      <c r="L1136" s="508"/>
      <c r="M1136" s="508"/>
      <c r="N1136" s="508"/>
      <c r="O1136" s="509"/>
      <c r="P1136" s="509"/>
    </row>
    <row r="1137" spans="1:16" ht="21.75" customHeight="1" x14ac:dyDescent="0.3">
      <c r="A1137" s="504"/>
      <c r="B1137" s="504"/>
      <c r="C1137" s="504"/>
      <c r="D1137" s="504"/>
      <c r="E1137" s="506"/>
      <c r="F1137" s="506"/>
      <c r="G1137" s="506"/>
      <c r="H1137" s="506"/>
      <c r="I1137" s="506"/>
      <c r="J1137" s="506"/>
      <c r="K1137" s="507"/>
      <c r="L1137" s="508"/>
      <c r="M1137" s="508"/>
      <c r="N1137" s="508"/>
      <c r="O1137" s="509"/>
      <c r="P1137" s="509"/>
    </row>
    <row r="1138" spans="1:16" ht="21.75" customHeight="1" x14ac:dyDescent="0.3">
      <c r="A1138" s="504"/>
      <c r="B1138" s="504"/>
      <c r="C1138" s="504"/>
      <c r="D1138" s="504"/>
      <c r="E1138" s="506"/>
      <c r="F1138" s="506"/>
      <c r="G1138" s="506"/>
      <c r="H1138" s="506"/>
      <c r="I1138" s="506"/>
      <c r="J1138" s="506"/>
      <c r="K1138" s="507"/>
      <c r="L1138" s="508"/>
      <c r="M1138" s="508"/>
      <c r="N1138" s="508"/>
      <c r="O1138" s="509"/>
      <c r="P1138" s="509"/>
    </row>
    <row r="1139" spans="1:16" ht="21.75" customHeight="1" x14ac:dyDescent="0.3">
      <c r="A1139" s="504"/>
      <c r="B1139" s="504"/>
      <c r="C1139" s="504"/>
      <c r="D1139" s="504"/>
      <c r="E1139" s="506"/>
      <c r="F1139" s="506"/>
      <c r="G1139" s="506"/>
      <c r="H1139" s="506"/>
      <c r="I1139" s="506"/>
      <c r="J1139" s="506"/>
      <c r="K1139" s="507"/>
      <c r="L1139" s="508"/>
      <c r="M1139" s="508"/>
      <c r="N1139" s="508"/>
      <c r="O1139" s="509"/>
      <c r="P1139" s="509"/>
    </row>
    <row r="1140" spans="1:16" ht="21.75" customHeight="1" x14ac:dyDescent="0.3">
      <c r="A1140" s="504"/>
      <c r="B1140" s="504"/>
      <c r="C1140" s="504"/>
      <c r="D1140" s="504"/>
      <c r="E1140" s="506"/>
      <c r="F1140" s="506"/>
      <c r="G1140" s="506"/>
      <c r="H1140" s="506"/>
      <c r="I1140" s="506"/>
      <c r="J1140" s="506"/>
      <c r="K1140" s="507"/>
      <c r="L1140" s="508"/>
      <c r="M1140" s="508"/>
      <c r="N1140" s="508"/>
      <c r="O1140" s="509"/>
      <c r="P1140" s="509"/>
    </row>
    <row r="1141" spans="1:16" ht="21.75" customHeight="1" x14ac:dyDescent="0.3">
      <c r="A1141" s="504"/>
      <c r="B1141" s="504"/>
      <c r="C1141" s="504"/>
      <c r="D1141" s="504"/>
      <c r="E1141" s="506"/>
      <c r="F1141" s="506"/>
      <c r="G1141" s="506"/>
      <c r="H1141" s="506"/>
      <c r="I1141" s="506"/>
      <c r="J1141" s="506"/>
      <c r="K1141" s="507"/>
      <c r="L1141" s="508"/>
      <c r="M1141" s="508"/>
      <c r="N1141" s="508"/>
      <c r="O1141" s="509"/>
      <c r="P1141" s="509"/>
    </row>
    <row r="1142" spans="1:16" ht="21.75" customHeight="1" x14ac:dyDescent="0.3">
      <c r="A1142" s="504"/>
      <c r="B1142" s="504"/>
      <c r="C1142" s="504"/>
      <c r="D1142" s="504"/>
      <c r="E1142" s="506"/>
      <c r="F1142" s="506"/>
      <c r="G1142" s="506"/>
      <c r="H1142" s="506"/>
      <c r="I1142" s="506"/>
      <c r="J1142" s="506"/>
      <c r="K1142" s="507"/>
      <c r="L1142" s="508"/>
      <c r="M1142" s="508"/>
      <c r="N1142" s="508"/>
      <c r="O1142" s="509"/>
      <c r="P1142" s="509"/>
    </row>
    <row r="1143" spans="1:16" ht="21.75" customHeight="1" x14ac:dyDescent="0.3">
      <c r="A1143" s="504"/>
      <c r="B1143" s="504"/>
      <c r="C1143" s="504"/>
      <c r="D1143" s="504"/>
      <c r="E1143" s="506"/>
      <c r="F1143" s="506"/>
      <c r="G1143" s="506"/>
      <c r="H1143" s="506"/>
      <c r="I1143" s="506"/>
      <c r="J1143" s="506"/>
      <c r="K1143" s="507"/>
      <c r="L1143" s="508"/>
      <c r="M1143" s="508"/>
      <c r="N1143" s="508"/>
      <c r="O1143" s="509"/>
      <c r="P1143" s="509"/>
    </row>
  </sheetData>
  <mergeCells count="49">
    <mergeCell ref="D310:G310"/>
    <mergeCell ref="D317:E317"/>
    <mergeCell ref="D329:G329"/>
    <mergeCell ref="D336:E336"/>
    <mergeCell ref="D140:G140"/>
    <mergeCell ref="D147:E147"/>
    <mergeCell ref="D220:G220"/>
    <mergeCell ref="D227:E227"/>
    <mergeCell ref="D250:G250"/>
    <mergeCell ref="D257:E257"/>
    <mergeCell ref="D271:G271"/>
    <mergeCell ref="D118:G118"/>
    <mergeCell ref="D125:E125"/>
    <mergeCell ref="D278:E278"/>
    <mergeCell ref="D290:G290"/>
    <mergeCell ref="D297:E297"/>
    <mergeCell ref="D60:E60"/>
    <mergeCell ref="D66:G66"/>
    <mergeCell ref="D73:E73"/>
    <mergeCell ref="D94:G94"/>
    <mergeCell ref="D101:E101"/>
    <mergeCell ref="D44:F44"/>
    <mergeCell ref="D48:E48"/>
    <mergeCell ref="B52:G52"/>
    <mergeCell ref="D53:G53"/>
    <mergeCell ref="D56:F56"/>
    <mergeCell ref="D31:F31"/>
    <mergeCell ref="D35:E35"/>
    <mergeCell ref="A38:G38"/>
    <mergeCell ref="B39:G39"/>
    <mergeCell ref="D41:G41"/>
    <mergeCell ref="D18:G18"/>
    <mergeCell ref="D21:F21"/>
    <mergeCell ref="D25:E25"/>
    <mergeCell ref="A27:G27"/>
    <mergeCell ref="D28:G28"/>
    <mergeCell ref="A7:G7"/>
    <mergeCell ref="D8:G8"/>
    <mergeCell ref="D11:F11"/>
    <mergeCell ref="D15:E15"/>
    <mergeCell ref="A17:G17"/>
    <mergeCell ref="H5:H6"/>
    <mergeCell ref="I5:K5"/>
    <mergeCell ref="L5:M5"/>
    <mergeCell ref="N5:P5"/>
    <mergeCell ref="A5:G6"/>
    <mergeCell ref="A1:P1"/>
    <mergeCell ref="A2:P2"/>
    <mergeCell ref="A3:P3"/>
  </mergeCells>
  <printOptions horizontalCentered="1"/>
  <pageMargins left="0.23622047244094491" right="0.27559055118110237" top="0.31496062992125984" bottom="0.39370078740157483" header="0" footer="0"/>
  <pageSetup paperSize="9" scale="39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46" max="16383" man="1"/>
    <brk id="326" max="16383" man="1"/>
    <brk id="400" max="16383" man="1"/>
    <brk id="486" max="16383" man="1"/>
    <brk id="563" max="16383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J7" sqref="J7"/>
      <selection pane="bottomLeft" activeCell="M570" sqref="M570"/>
    </sheetView>
  </sheetViews>
  <sheetFormatPr defaultColWidth="12.6640625" defaultRowHeight="15" customHeight="1" x14ac:dyDescent="0.3"/>
  <cols>
    <col min="1" max="3" width="2.75" customWidth="1"/>
    <col min="4" max="6" width="5" customWidth="1"/>
    <col min="7" max="7" width="70.9140625" customWidth="1"/>
    <col min="8" max="8" width="9.5" customWidth="1"/>
    <col min="9" max="10" width="13.9140625" customWidth="1"/>
    <col min="11" max="11" width="10.08203125" bestFit="1" customWidth="1"/>
    <col min="12" max="12" width="16.33203125" bestFit="1" customWidth="1"/>
    <col min="13" max="13" width="17.6640625" customWidth="1"/>
    <col min="14" max="14" width="19.5" customWidth="1"/>
    <col min="15" max="15" width="16.5" customWidth="1"/>
    <col min="16" max="16" width="18" customWidth="1"/>
  </cols>
  <sheetData>
    <row r="1" spans="1:16" ht="18" customHeight="1" x14ac:dyDescent="0.3">
      <c r="A1" s="512" t="s">
        <v>0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</row>
    <row r="2" spans="1:16" ht="18" customHeight="1" x14ac:dyDescent="0.3">
      <c r="A2" s="512" t="s">
        <v>270</v>
      </c>
      <c r="B2" s="512"/>
      <c r="C2" s="512"/>
      <c r="D2" s="512"/>
      <c r="E2" s="512"/>
      <c r="F2" s="512"/>
      <c r="G2" s="512"/>
      <c r="H2" s="512"/>
      <c r="I2" s="512"/>
      <c r="J2" s="512"/>
      <c r="K2" s="512"/>
      <c r="L2" s="512"/>
      <c r="M2" s="512"/>
      <c r="N2" s="512"/>
      <c r="O2" s="512"/>
      <c r="P2" s="512"/>
    </row>
    <row r="3" spans="1:16" ht="18" customHeight="1" x14ac:dyDescent="0.3">
      <c r="A3" s="512" t="s">
        <v>272</v>
      </c>
      <c r="B3" s="512"/>
      <c r="C3" s="512"/>
      <c r="D3" s="512"/>
      <c r="E3" s="512"/>
      <c r="F3" s="512"/>
      <c r="G3" s="512"/>
      <c r="H3" s="512"/>
      <c r="I3" s="512"/>
      <c r="J3" s="512"/>
      <c r="K3" s="512"/>
      <c r="L3" s="512"/>
      <c r="M3" s="512"/>
      <c r="N3" s="512"/>
      <c r="O3" s="512"/>
      <c r="P3" s="512"/>
    </row>
    <row r="4" spans="1:16" ht="33.75" customHeight="1" x14ac:dyDescent="0.3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3">
      <c r="A5" s="520" t="s">
        <v>2</v>
      </c>
      <c r="B5" s="521"/>
      <c r="C5" s="521"/>
      <c r="D5" s="521"/>
      <c r="E5" s="521"/>
      <c r="F5" s="521"/>
      <c r="G5" s="522"/>
      <c r="H5" s="513" t="s">
        <v>3</v>
      </c>
      <c r="I5" s="515" t="s">
        <v>4</v>
      </c>
      <c r="J5" s="516"/>
      <c r="K5" s="517"/>
      <c r="L5" s="518" t="s">
        <v>5</v>
      </c>
      <c r="M5" s="517"/>
      <c r="N5" s="519" t="s">
        <v>6</v>
      </c>
      <c r="O5" s="516"/>
      <c r="P5" s="517"/>
    </row>
    <row r="6" spans="1:16" ht="21.75" customHeight="1" x14ac:dyDescent="0.3">
      <c r="A6" s="523"/>
      <c r="B6" s="524"/>
      <c r="C6" s="524"/>
      <c r="D6" s="524"/>
      <c r="E6" s="524"/>
      <c r="F6" s="524"/>
      <c r="G6" s="525"/>
      <c r="H6" s="514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45">
      <c r="A7" s="526" t="s">
        <v>15</v>
      </c>
      <c r="B7" s="516"/>
      <c r="C7" s="516"/>
      <c r="D7" s="516"/>
      <c r="E7" s="516"/>
      <c r="F7" s="516"/>
      <c r="G7" s="517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45">
      <c r="A8" s="17"/>
      <c r="B8" s="18"/>
      <c r="C8" s="19" t="s">
        <v>16</v>
      </c>
      <c r="D8" s="527" t="s">
        <v>17</v>
      </c>
      <c r="E8" s="528"/>
      <c r="F8" s="528"/>
      <c r="G8" s="528"/>
      <c r="H8" s="20" t="s">
        <v>12</v>
      </c>
      <c r="I8" s="21"/>
      <c r="J8" s="21"/>
      <c r="K8" s="22"/>
      <c r="L8" s="23">
        <f t="shared" ref="L8:N8" ca="1" si="0">L9+L10</f>
        <v>6691150</v>
      </c>
      <c r="M8" s="23">
        <f t="shared" ca="1" si="0"/>
        <v>2709105</v>
      </c>
      <c r="N8" s="23">
        <f t="shared" ca="1" si="0"/>
        <v>2314844.33</v>
      </c>
      <c r="O8" s="22">
        <f t="shared" ref="O8:O16" ca="1" si="1">IF(L8&gt;0,N8*100/L8,0)</f>
        <v>34.595612562862883</v>
      </c>
      <c r="P8" s="22">
        <f t="shared" ref="P8:P16" ca="1" si="2">IF(M8&gt;0,N8*100/M8,0)</f>
        <v>85.446829487967435</v>
      </c>
    </row>
    <row r="9" spans="1:16" ht="21.75" customHeight="1" x14ac:dyDescent="0.45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45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6691150</v>
      </c>
      <c r="M10" s="30">
        <f t="shared" ca="1" si="4"/>
        <v>2709105</v>
      </c>
      <c r="N10" s="30">
        <f t="shared" ca="1" si="4"/>
        <v>2314844.33</v>
      </c>
      <c r="O10" s="29">
        <f t="shared" ca="1" si="1"/>
        <v>34.595612562862883</v>
      </c>
      <c r="P10" s="29">
        <f t="shared" ca="1" si="2"/>
        <v>85.446829487967435</v>
      </c>
    </row>
    <row r="11" spans="1:16" ht="21.75" customHeight="1" x14ac:dyDescent="0.45">
      <c r="A11" s="31"/>
      <c r="B11" s="32"/>
      <c r="C11" s="33" t="s">
        <v>16</v>
      </c>
      <c r="D11" s="529" t="s">
        <v>20</v>
      </c>
      <c r="E11" s="530"/>
      <c r="F11" s="530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45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6453750</v>
      </c>
      <c r="M12" s="38">
        <f t="shared" ca="1" si="6"/>
        <v>2471705</v>
      </c>
      <c r="N12" s="38">
        <f t="shared" ca="1" si="6"/>
        <v>2077444.33</v>
      </c>
      <c r="O12" s="38">
        <f t="shared" ca="1" si="1"/>
        <v>32.189724268835946</v>
      </c>
      <c r="P12" s="38">
        <f t="shared" ca="1" si="2"/>
        <v>84.04904023740697</v>
      </c>
    </row>
    <row r="13" spans="1:16" ht="21.75" customHeight="1" x14ac:dyDescent="0.45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2346000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45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4107750</v>
      </c>
      <c r="M14" s="38">
        <f t="shared" si="8"/>
        <v>0</v>
      </c>
      <c r="N14" s="38">
        <f t="shared" ca="1" si="8"/>
        <v>421181.33</v>
      </c>
      <c r="O14" s="38">
        <f t="shared" ca="1" si="1"/>
        <v>10.253334063660155</v>
      </c>
      <c r="P14" s="38">
        <f t="shared" si="2"/>
        <v>0</v>
      </c>
    </row>
    <row r="15" spans="1:16" ht="21.75" customHeight="1" x14ac:dyDescent="0.45">
      <c r="A15" s="31"/>
      <c r="B15" s="32"/>
      <c r="C15" s="33" t="s">
        <v>16</v>
      </c>
      <c r="D15" s="529" t="s">
        <v>23</v>
      </c>
      <c r="E15" s="530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45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237400</v>
      </c>
      <c r="M16" s="38">
        <f t="shared" ca="1" si="10"/>
        <v>237400</v>
      </c>
      <c r="N16" s="38">
        <f t="shared" ca="1" si="10"/>
        <v>237400</v>
      </c>
      <c r="O16" s="49">
        <f t="shared" ca="1" si="1"/>
        <v>100</v>
      </c>
      <c r="P16" s="49">
        <f t="shared" ca="1" si="2"/>
        <v>100</v>
      </c>
    </row>
    <row r="17" spans="1:16" ht="21.75" customHeight="1" x14ac:dyDescent="0.45">
      <c r="A17" s="526" t="s">
        <v>24</v>
      </c>
      <c r="B17" s="516"/>
      <c r="C17" s="516"/>
      <c r="D17" s="516"/>
      <c r="E17" s="516"/>
      <c r="F17" s="516"/>
      <c r="G17" s="517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45">
      <c r="A18" s="17"/>
      <c r="B18" s="18"/>
      <c r="C18" s="19" t="s">
        <v>16</v>
      </c>
      <c r="D18" s="527" t="s">
        <v>17</v>
      </c>
      <c r="E18" s="528"/>
      <c r="F18" s="528"/>
      <c r="G18" s="528"/>
      <c r="H18" s="20" t="s">
        <v>12</v>
      </c>
      <c r="I18" s="21"/>
      <c r="J18" s="21"/>
      <c r="K18" s="22"/>
      <c r="L18" s="23">
        <f t="shared" ref="L18:N18" ca="1" si="11">L19+L20</f>
        <v>4508755</v>
      </c>
      <c r="M18" s="23">
        <f t="shared" ca="1" si="11"/>
        <v>2709105</v>
      </c>
      <c r="N18" s="23">
        <f t="shared" ca="1" si="11"/>
        <v>1893663</v>
      </c>
      <c r="O18" s="22">
        <f t="shared" ref="O18:O20" ca="1" si="12">IF(L18&gt;0,N18*100/L18,0)</f>
        <v>41.999687275090352</v>
      </c>
      <c r="P18" s="22">
        <f t="shared" ref="P18:P26" ca="1" si="13">IF(M18&gt;0,N18*100/M18,0)</f>
        <v>69.899948506979243</v>
      </c>
    </row>
    <row r="19" spans="1:16" ht="21.75" customHeight="1" x14ac:dyDescent="0.45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45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4508755</v>
      </c>
      <c r="M20" s="30">
        <f t="shared" ca="1" si="15"/>
        <v>2709105</v>
      </c>
      <c r="N20" s="30">
        <f t="shared" ca="1" si="15"/>
        <v>1893663</v>
      </c>
      <c r="O20" s="29">
        <f t="shared" ca="1" si="12"/>
        <v>41.999687275090352</v>
      </c>
      <c r="P20" s="29">
        <f t="shared" ca="1" si="13"/>
        <v>69.899948506979243</v>
      </c>
    </row>
    <row r="21" spans="1:16" ht="21.75" customHeight="1" x14ac:dyDescent="0.45">
      <c r="A21" s="31"/>
      <c r="B21" s="32"/>
      <c r="C21" s="33" t="s">
        <v>16</v>
      </c>
      <c r="D21" s="529" t="s">
        <v>20</v>
      </c>
      <c r="E21" s="530"/>
      <c r="F21" s="530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45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4271355</v>
      </c>
      <c r="M22" s="41">
        <f t="shared" ca="1" si="18"/>
        <v>2471705</v>
      </c>
      <c r="N22" s="38">
        <f t="shared" ca="1" si="18"/>
        <v>1656263</v>
      </c>
      <c r="O22" s="38">
        <f t="shared" ca="1" si="17"/>
        <v>38.776055841764496</v>
      </c>
      <c r="P22" s="38">
        <f t="shared" ca="1" si="13"/>
        <v>67.008927036195658</v>
      </c>
    </row>
    <row r="23" spans="1:16" ht="21.75" customHeight="1" x14ac:dyDescent="0.45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2346000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45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1925355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45">
      <c r="A25" s="31"/>
      <c r="B25" s="32"/>
      <c r="C25" s="33" t="s">
        <v>16</v>
      </c>
      <c r="D25" s="529" t="s">
        <v>23</v>
      </c>
      <c r="E25" s="530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45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237400</v>
      </c>
      <c r="M26" s="49">
        <f t="shared" ca="1" si="22"/>
        <v>237400</v>
      </c>
      <c r="N26" s="49">
        <f t="shared" ca="1" si="22"/>
        <v>237400</v>
      </c>
      <c r="O26" s="49">
        <f t="shared" ca="1" si="17"/>
        <v>100</v>
      </c>
      <c r="P26" s="49">
        <f t="shared" ca="1" si="13"/>
        <v>100</v>
      </c>
    </row>
    <row r="27" spans="1:16" ht="21.75" customHeight="1" x14ac:dyDescent="0.45">
      <c r="A27" s="526" t="s">
        <v>25</v>
      </c>
      <c r="B27" s="516"/>
      <c r="C27" s="516"/>
      <c r="D27" s="516"/>
      <c r="E27" s="516"/>
      <c r="F27" s="516"/>
      <c r="G27" s="517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45">
      <c r="A28" s="17"/>
      <c r="B28" s="18"/>
      <c r="C28" s="19" t="s">
        <v>16</v>
      </c>
      <c r="D28" s="527" t="s">
        <v>17</v>
      </c>
      <c r="E28" s="528"/>
      <c r="F28" s="528"/>
      <c r="G28" s="528"/>
      <c r="H28" s="20" t="s">
        <v>12</v>
      </c>
      <c r="I28" s="21"/>
      <c r="J28" s="21"/>
      <c r="K28" s="22"/>
      <c r="L28" s="23">
        <f t="shared" ref="L28:N28" ca="1" si="23">L29+L30</f>
        <v>2182395</v>
      </c>
      <c r="M28" s="23">
        <f t="shared" si="23"/>
        <v>0</v>
      </c>
      <c r="N28" s="23">
        <f t="shared" ca="1" si="23"/>
        <v>421181.33</v>
      </c>
      <c r="O28" s="22">
        <f t="shared" ref="O28:O30" ca="1" si="24">IF(L28&gt;0,N28*100/L28,0)</f>
        <v>19.29904210740952</v>
      </c>
      <c r="P28" s="22">
        <f t="shared" ref="P28:P37" si="25">IF(M28&gt;0,N28*100/M28,0)</f>
        <v>0</v>
      </c>
    </row>
    <row r="29" spans="1:16" ht="21.75" customHeight="1" x14ac:dyDescent="0.45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45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2182395</v>
      </c>
      <c r="M30" s="30">
        <f t="shared" si="27"/>
        <v>0</v>
      </c>
      <c r="N30" s="30">
        <f t="shared" ca="1" si="27"/>
        <v>421181.33</v>
      </c>
      <c r="O30" s="29">
        <f t="shared" ca="1" si="24"/>
        <v>19.29904210740952</v>
      </c>
      <c r="P30" s="29">
        <f t="shared" si="25"/>
        <v>0</v>
      </c>
    </row>
    <row r="31" spans="1:16" ht="21.75" customHeight="1" x14ac:dyDescent="0.45">
      <c r="A31" s="31"/>
      <c r="B31" s="32"/>
      <c r="C31" s="33" t="s">
        <v>16</v>
      </c>
      <c r="D31" s="529" t="s">
        <v>20</v>
      </c>
      <c r="E31" s="530"/>
      <c r="F31" s="530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45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2182395</v>
      </c>
      <c r="M32" s="38">
        <f t="shared" si="30"/>
        <v>0</v>
      </c>
      <c r="N32" s="38">
        <f t="shared" ca="1" si="30"/>
        <v>421181.33</v>
      </c>
      <c r="O32" s="38">
        <f t="shared" ca="1" si="29"/>
        <v>19.29904210740952</v>
      </c>
      <c r="P32" s="38">
        <f t="shared" si="25"/>
        <v>0</v>
      </c>
    </row>
    <row r="33" spans="1:16" ht="21.75" customHeight="1" x14ac:dyDescent="0.45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45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2182395</v>
      </c>
      <c r="M34" s="38">
        <f t="shared" si="32"/>
        <v>0</v>
      </c>
      <c r="N34" s="38">
        <f t="shared" ca="1" si="32"/>
        <v>421181.33</v>
      </c>
      <c r="O34" s="38">
        <f t="shared" ca="1" si="29"/>
        <v>19.29904210740952</v>
      </c>
      <c r="P34" s="38">
        <f t="shared" si="25"/>
        <v>0</v>
      </c>
    </row>
    <row r="35" spans="1:16" ht="21.75" customHeight="1" x14ac:dyDescent="0.45">
      <c r="A35" s="31"/>
      <c r="B35" s="32"/>
      <c r="C35" s="33" t="s">
        <v>16</v>
      </c>
      <c r="D35" s="529" t="s">
        <v>23</v>
      </c>
      <c r="E35" s="530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45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3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4508755</v>
      </c>
      <c r="M37" s="54">
        <f t="shared" ca="1" si="33"/>
        <v>2709105</v>
      </c>
      <c r="N37" s="54">
        <f t="shared" ca="1" si="33"/>
        <v>1893663</v>
      </c>
      <c r="O37" s="55">
        <f t="shared" ca="1" si="29"/>
        <v>41.999687275090352</v>
      </c>
      <c r="P37" s="55">
        <f t="shared" ca="1" si="25"/>
        <v>69.899948506979243</v>
      </c>
    </row>
    <row r="38" spans="1:16" ht="21.75" customHeight="1" x14ac:dyDescent="0.45">
      <c r="A38" s="531" t="s">
        <v>27</v>
      </c>
      <c r="B38" s="516"/>
      <c r="C38" s="516"/>
      <c r="D38" s="516"/>
      <c r="E38" s="516"/>
      <c r="F38" s="516"/>
      <c r="G38" s="517"/>
      <c r="H38" s="56"/>
      <c r="I38" s="57"/>
      <c r="J38" s="57"/>
      <c r="K38" s="58"/>
      <c r="L38" s="59"/>
      <c r="M38" s="59"/>
      <c r="N38" s="59"/>
      <c r="O38" s="59"/>
      <c r="P38" s="59"/>
    </row>
    <row r="39" spans="1:16" ht="21.75" customHeight="1" x14ac:dyDescent="0.45">
      <c r="A39" s="60"/>
      <c r="B39" s="532" t="s">
        <v>28</v>
      </c>
      <c r="C39" s="528"/>
      <c r="D39" s="528"/>
      <c r="E39" s="528"/>
      <c r="F39" s="528"/>
      <c r="G39" s="528"/>
      <c r="H39" s="61"/>
      <c r="I39" s="62"/>
      <c r="J39" s="62"/>
      <c r="K39" s="63"/>
      <c r="L39" s="64"/>
      <c r="M39" s="64"/>
      <c r="N39" s="64"/>
      <c r="O39" s="63"/>
      <c r="P39" s="63"/>
    </row>
    <row r="40" spans="1:16" ht="21.75" customHeight="1" x14ac:dyDescent="0.45">
      <c r="A40" s="65"/>
      <c r="B40" s="66" t="s">
        <v>29</v>
      </c>
      <c r="C40" s="67"/>
      <c r="D40" s="67"/>
      <c r="E40" s="67"/>
      <c r="F40" s="67"/>
      <c r="G40" s="67"/>
      <c r="H40" s="68"/>
      <c r="I40" s="69"/>
      <c r="J40" s="69"/>
      <c r="K40" s="70"/>
      <c r="L40" s="71"/>
      <c r="M40" s="71"/>
      <c r="N40" s="71"/>
      <c r="O40" s="70"/>
      <c r="P40" s="70"/>
    </row>
    <row r="41" spans="1:16" ht="21.75" customHeight="1" x14ac:dyDescent="0.45">
      <c r="A41" s="72"/>
      <c r="B41" s="73"/>
      <c r="C41" s="74" t="s">
        <v>16</v>
      </c>
      <c r="D41" s="533" t="s">
        <v>17</v>
      </c>
      <c r="E41" s="530"/>
      <c r="F41" s="530"/>
      <c r="G41" s="530"/>
      <c r="H41" s="75" t="s">
        <v>12</v>
      </c>
      <c r="I41" s="76"/>
      <c r="J41" s="76"/>
      <c r="K41" s="77"/>
      <c r="L41" s="78">
        <f t="shared" ref="L41:N41" ca="1" si="34">L42+L43</f>
        <v>784100</v>
      </c>
      <c r="M41" s="78">
        <f t="shared" ca="1" si="34"/>
        <v>392100</v>
      </c>
      <c r="N41" s="78">
        <f t="shared" ca="1" si="34"/>
        <v>329051</v>
      </c>
      <c r="O41" s="77">
        <f t="shared" ref="O41:O43" ca="1" si="35">IF(L41&gt;0,N41*100/L41,0)</f>
        <v>41.965438081877309</v>
      </c>
      <c r="P41" s="77">
        <f t="shared" ref="P41:P43" ca="1" si="36">IF(M41&gt;0,N41*100/M41,0)</f>
        <v>83.920173425146643</v>
      </c>
    </row>
    <row r="42" spans="1:16" ht="21.75" customHeight="1" x14ac:dyDescent="0.45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45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784100</v>
      </c>
      <c r="M43" s="78">
        <f t="shared" ca="1" si="38"/>
        <v>392100</v>
      </c>
      <c r="N43" s="78">
        <f t="shared" ca="1" si="38"/>
        <v>329051</v>
      </c>
      <c r="O43" s="77">
        <f t="shared" ca="1" si="35"/>
        <v>41.965438081877309</v>
      </c>
      <c r="P43" s="77">
        <f t="shared" ca="1" si="36"/>
        <v>83.920173425146643</v>
      </c>
    </row>
    <row r="44" spans="1:16" ht="21.75" customHeight="1" x14ac:dyDescent="0.45">
      <c r="A44" s="79"/>
      <c r="B44" s="80"/>
      <c r="C44" s="81" t="s">
        <v>16</v>
      </c>
      <c r="D44" s="534" t="s">
        <v>20</v>
      </c>
      <c r="E44" s="530"/>
      <c r="F44" s="530"/>
      <c r="G44" s="82" t="s">
        <v>18</v>
      </c>
      <c r="H44" s="83" t="s">
        <v>12</v>
      </c>
      <c r="I44" s="84"/>
      <c r="J44" s="84"/>
      <c r="K44" s="85"/>
      <c r="L44" s="86">
        <v>0</v>
      </c>
      <c r="M44" s="510"/>
      <c r="N44" s="511"/>
      <c r="O44" s="511"/>
      <c r="P44" s="511"/>
    </row>
    <row r="45" spans="1:16" ht="21.75" customHeight="1" x14ac:dyDescent="0.45">
      <c r="A45" s="79"/>
      <c r="B45" s="80"/>
      <c r="C45" s="80"/>
      <c r="D45" s="80"/>
      <c r="E45" s="88"/>
      <c r="F45" s="89"/>
      <c r="G45" s="82" t="s">
        <v>19</v>
      </c>
      <c r="H45" s="83" t="s">
        <v>12</v>
      </c>
      <c r="I45" s="84"/>
      <c r="J45" s="84"/>
      <c r="K45" s="85"/>
      <c r="L45" s="38">
        <f ca="1">L46+L47</f>
        <v>784100</v>
      </c>
      <c r="M45" s="49">
        <f ca="1">IFERROR(__xludf.DUMMYFUNCTION("IMPORTRANGE(""https://docs.google.com/spreadsheets/d/1Yj_ptqi66GCucihVvJfMjLAmec39IyEx_6qawtMGysU/edit?usp=sharing"",""สบก!Q36"")"),392100)</f>
        <v>392100</v>
      </c>
      <c r="N45" s="49">
        <f ca="1">IFERROR(__xludf.DUMMYFUNCTION("IMPORTRANGE(""https://docs.google.com/spreadsheets/d/1Yj_ptqi66GCucihVvJfMjLAmec39IyEx_6qawtMGysU/edit?usp=sharing"",""สบก!R36"")"),329051)</f>
        <v>329051</v>
      </c>
      <c r="O45" s="38">
        <f ca="1">IF(L45&gt;0,N45*100/L45,0)</f>
        <v>41.965438081877309</v>
      </c>
      <c r="P45" s="38">
        <f ca="1">IF(M45&gt;0,N45*100/M45,0)</f>
        <v>83.920173425146643</v>
      </c>
    </row>
    <row r="46" spans="1:16" ht="21.75" customHeight="1" x14ac:dyDescent="0.45">
      <c r="A46" s="79"/>
      <c r="B46" s="80"/>
      <c r="C46" s="80"/>
      <c r="D46" s="80"/>
      <c r="E46" s="88"/>
      <c r="F46" s="88"/>
      <c r="G46" s="82" t="s">
        <v>21</v>
      </c>
      <c r="H46" s="83" t="s">
        <v>12</v>
      </c>
      <c r="I46" s="84"/>
      <c r="J46" s="84"/>
      <c r="K46" s="85"/>
      <c r="L46" s="49">
        <f ca="1">IFERROR(__xludf.DUMMYFUNCTION("IMPORTRANGE(""https://docs.google.com/spreadsheets/d/1Yj_ptqi66GCucihVvJfMjLAmec39IyEx_6qawtMGysU/edit?usp=sharing"",""สบก!M36"")"),784100)</f>
        <v>784100</v>
      </c>
      <c r="M46" s="41"/>
      <c r="N46" s="38"/>
      <c r="O46" s="38"/>
      <c r="P46" s="38"/>
    </row>
    <row r="47" spans="1:16" ht="21.75" customHeight="1" x14ac:dyDescent="0.45">
      <c r="A47" s="79"/>
      <c r="B47" s="80"/>
      <c r="C47" s="80"/>
      <c r="D47" s="80"/>
      <c r="E47" s="88"/>
      <c r="F47" s="88"/>
      <c r="G47" s="82" t="s">
        <v>22</v>
      </c>
      <c r="H47" s="83" t="s">
        <v>12</v>
      </c>
      <c r="I47" s="84"/>
      <c r="J47" s="84"/>
      <c r="K47" s="85"/>
      <c r="L47" s="49">
        <f ca="1">IFERROR(__xludf.DUMMYFUNCTION("IMPORTRANGE(""https://docs.google.com/spreadsheets/d/1Yj_ptqi66GCucihVvJfMjLAmec39IyEx_6qawtMGysU/edit?usp=sharing"",""สบก!N36"")"),0)</f>
        <v>0</v>
      </c>
      <c r="M47" s="41"/>
      <c r="N47" s="38"/>
      <c r="O47" s="38"/>
      <c r="P47" s="38"/>
    </row>
    <row r="48" spans="1:16" ht="21.75" customHeight="1" x14ac:dyDescent="0.45">
      <c r="A48" s="79"/>
      <c r="B48" s="80"/>
      <c r="C48" s="81" t="s">
        <v>16</v>
      </c>
      <c r="D48" s="534" t="s">
        <v>23</v>
      </c>
      <c r="E48" s="530"/>
      <c r="F48" s="88"/>
      <c r="G48" s="82" t="s">
        <v>18</v>
      </c>
      <c r="H48" s="83" t="s">
        <v>12</v>
      </c>
      <c r="I48" s="84"/>
      <c r="J48" s="84"/>
      <c r="K48" s="85"/>
      <c r="L48" s="50">
        <v>0</v>
      </c>
      <c r="M48" s="41"/>
      <c r="N48" s="41"/>
      <c r="O48" s="41"/>
      <c r="P48" s="41"/>
    </row>
    <row r="49" spans="1:16" ht="21.75" customHeight="1" x14ac:dyDescent="0.45">
      <c r="A49" s="90"/>
      <c r="B49" s="91"/>
      <c r="C49" s="91"/>
      <c r="D49" s="91"/>
      <c r="E49" s="92"/>
      <c r="F49" s="92"/>
      <c r="G49" s="93" t="s">
        <v>19</v>
      </c>
      <c r="H49" s="94" t="s">
        <v>12</v>
      </c>
      <c r="I49" s="95"/>
      <c r="J49" s="95"/>
      <c r="K49" s="96"/>
      <c r="L49" s="49">
        <f ca="1">IFERROR(__xludf.DUMMYFUNCTION("IMPORTRANGE(""https://docs.google.com/spreadsheets/d/1Yj_ptqi66GCucihVvJfMjLAmec39IyEx_6qawtMGysU/edit?usp=sharing"",""สบก!O36"")"),0)</f>
        <v>0</v>
      </c>
      <c r="M49" s="49"/>
      <c r="N49" s="49">
        <f ca="1">IFERROR(__xludf.DUMMYFUNCTION("IMPORTRANGE(""https://docs.google.com/spreadsheets/d/1Yj_ptqi66GCucihVvJfMjLAmec39IyEx_6qawtMGysU/edit?usp=sharing"",""สบก!S36"")"),0)</f>
        <v>0</v>
      </c>
      <c r="O49" s="49">
        <f ca="1">IF(L49&gt;0,N49*100/L49,0)</f>
        <v>0</v>
      </c>
      <c r="P49" s="49"/>
    </row>
    <row r="50" spans="1:16" ht="21.75" customHeight="1" x14ac:dyDescent="0.45">
      <c r="A50" s="97" t="s">
        <v>30</v>
      </c>
      <c r="B50" s="98"/>
      <c r="C50" s="98"/>
      <c r="D50" s="98"/>
      <c r="E50" s="98"/>
      <c r="F50" s="98"/>
      <c r="G50" s="98"/>
      <c r="H50" s="99"/>
      <c r="I50" s="100"/>
      <c r="J50" s="100"/>
      <c r="K50" s="101"/>
      <c r="L50" s="102"/>
      <c r="M50" s="102"/>
      <c r="N50" s="102"/>
      <c r="O50" s="101"/>
      <c r="P50" s="101"/>
    </row>
    <row r="51" spans="1:16" ht="21.75" customHeight="1" x14ac:dyDescent="0.45">
      <c r="A51" s="103"/>
      <c r="B51" s="104" t="s">
        <v>31</v>
      </c>
      <c r="C51" s="104"/>
      <c r="D51" s="104"/>
      <c r="E51" s="104"/>
      <c r="F51" s="104"/>
      <c r="G51" s="104"/>
      <c r="H51" s="105"/>
      <c r="I51" s="106"/>
      <c r="J51" s="106"/>
      <c r="K51" s="107"/>
      <c r="L51" s="108"/>
      <c r="M51" s="108"/>
      <c r="N51" s="108"/>
      <c r="O51" s="107"/>
      <c r="P51" s="107"/>
    </row>
    <row r="52" spans="1:16" ht="21.75" customHeight="1" x14ac:dyDescent="0.45">
      <c r="A52" s="109"/>
      <c r="B52" s="535" t="s">
        <v>32</v>
      </c>
      <c r="C52" s="530"/>
      <c r="D52" s="530"/>
      <c r="E52" s="530"/>
      <c r="F52" s="530"/>
      <c r="G52" s="530"/>
      <c r="H52" s="110"/>
      <c r="I52" s="111"/>
      <c r="J52" s="111"/>
      <c r="K52" s="112"/>
      <c r="L52" s="113"/>
      <c r="M52" s="113"/>
      <c r="N52" s="113"/>
      <c r="O52" s="112"/>
      <c r="P52" s="112"/>
    </row>
    <row r="53" spans="1:16" ht="21.75" customHeight="1" x14ac:dyDescent="0.45">
      <c r="A53" s="114"/>
      <c r="B53" s="115"/>
      <c r="C53" s="116" t="s">
        <v>16</v>
      </c>
      <c r="D53" s="536" t="s">
        <v>17</v>
      </c>
      <c r="E53" s="530"/>
      <c r="F53" s="530"/>
      <c r="G53" s="530"/>
      <c r="H53" s="117" t="s">
        <v>12</v>
      </c>
      <c r="I53" s="118"/>
      <c r="J53" s="118"/>
      <c r="K53" s="119"/>
      <c r="L53" s="120">
        <f t="shared" ref="L53:N53" ca="1" si="39">L54+L55</f>
        <v>750000</v>
      </c>
      <c r="M53" s="120">
        <f t="shared" ca="1" si="39"/>
        <v>393000</v>
      </c>
      <c r="N53" s="120">
        <f t="shared" ca="1" si="39"/>
        <v>369750</v>
      </c>
      <c r="O53" s="119">
        <f t="shared" ref="O53:O55" ca="1" si="40">IF(L53&gt;0,N53*100/L53,0)</f>
        <v>49.3</v>
      </c>
      <c r="P53" s="119">
        <f t="shared" ref="P53:P55" ca="1" si="41">IF(M53&gt;0,N53*100/M53,0)</f>
        <v>94.083969465648849</v>
      </c>
    </row>
    <row r="54" spans="1:16" ht="21.75" customHeight="1" x14ac:dyDescent="0.45">
      <c r="A54" s="114"/>
      <c r="B54" s="115"/>
      <c r="C54" s="115"/>
      <c r="D54" s="115"/>
      <c r="E54" s="115"/>
      <c r="F54" s="115"/>
      <c r="G54" s="116" t="s">
        <v>18</v>
      </c>
      <c r="H54" s="117" t="s">
        <v>12</v>
      </c>
      <c r="I54" s="118"/>
      <c r="J54" s="118"/>
      <c r="K54" s="119"/>
      <c r="L54" s="120">
        <f t="shared" ref="L54:N54" si="42">L56+L60</f>
        <v>0</v>
      </c>
      <c r="M54" s="120">
        <f t="shared" si="42"/>
        <v>0</v>
      </c>
      <c r="N54" s="120">
        <f t="shared" si="42"/>
        <v>0</v>
      </c>
      <c r="O54" s="119">
        <f t="shared" si="40"/>
        <v>0</v>
      </c>
      <c r="P54" s="119">
        <f t="shared" si="41"/>
        <v>0</v>
      </c>
    </row>
    <row r="55" spans="1:16" ht="21.75" customHeight="1" x14ac:dyDescent="0.45">
      <c r="A55" s="114"/>
      <c r="B55" s="115"/>
      <c r="C55" s="115"/>
      <c r="D55" s="115"/>
      <c r="E55" s="115"/>
      <c r="F55" s="115"/>
      <c r="G55" s="116" t="s">
        <v>19</v>
      </c>
      <c r="H55" s="117" t="s">
        <v>12</v>
      </c>
      <c r="I55" s="118"/>
      <c r="J55" s="118"/>
      <c r="K55" s="119"/>
      <c r="L55" s="120">
        <f t="shared" ref="L55:N55" ca="1" si="43">L57+L61</f>
        <v>750000</v>
      </c>
      <c r="M55" s="120">
        <f t="shared" ca="1" si="43"/>
        <v>393000</v>
      </c>
      <c r="N55" s="120">
        <f t="shared" ca="1" si="43"/>
        <v>369750</v>
      </c>
      <c r="O55" s="119">
        <f t="shared" ca="1" si="40"/>
        <v>49.3</v>
      </c>
      <c r="P55" s="119">
        <f t="shared" ca="1" si="41"/>
        <v>94.083969465648849</v>
      </c>
    </row>
    <row r="56" spans="1:16" ht="21.75" customHeight="1" x14ac:dyDescent="0.45">
      <c r="A56" s="79"/>
      <c r="B56" s="80"/>
      <c r="C56" s="81" t="s">
        <v>16</v>
      </c>
      <c r="D56" s="534" t="s">
        <v>20</v>
      </c>
      <c r="E56" s="530"/>
      <c r="F56" s="530"/>
      <c r="G56" s="82" t="s">
        <v>18</v>
      </c>
      <c r="H56" s="83" t="s">
        <v>12</v>
      </c>
      <c r="I56" s="84"/>
      <c r="J56" s="84"/>
      <c r="K56" s="85"/>
      <c r="L56" s="511">
        <v>0</v>
      </c>
      <c r="M56" s="510"/>
      <c r="N56" s="511"/>
      <c r="O56" s="511"/>
      <c r="P56" s="511"/>
    </row>
    <row r="57" spans="1:16" ht="21.75" customHeight="1" x14ac:dyDescent="0.45">
      <c r="A57" s="79"/>
      <c r="B57" s="80"/>
      <c r="C57" s="80"/>
      <c r="D57" s="80"/>
      <c r="E57" s="88"/>
      <c r="F57" s="89"/>
      <c r="G57" s="82" t="s">
        <v>19</v>
      </c>
      <c r="H57" s="83" t="s">
        <v>12</v>
      </c>
      <c r="I57" s="84"/>
      <c r="J57" s="84"/>
      <c r="K57" s="85"/>
      <c r="L57" s="38">
        <f ca="1">L58+L59</f>
        <v>750000</v>
      </c>
      <c r="M57" s="49">
        <f ca="1">IFERROR(__xludf.DUMMYFUNCTION("IMPORTRANGE(""https://docs.google.com/spreadsheets/d/1Yj_ptqi66GCucihVvJfMjLAmec39IyEx_6qawtMGysU/edit?usp=sharing"",""สบก!Z36"")"),393000)</f>
        <v>393000</v>
      </c>
      <c r="N57" s="49">
        <f ca="1">IFERROR(__xludf.DUMMYFUNCTION("IMPORTRANGE(""https://docs.google.com/spreadsheets/d/1Yj_ptqi66GCucihVvJfMjLAmec39IyEx_6qawtMGysU/edit?usp=sharing"",""สบก!AA36"")"),369750)</f>
        <v>369750</v>
      </c>
      <c r="O57" s="38">
        <f ca="1">IF(L57&gt;0,N57*100/L57,0)</f>
        <v>49.3</v>
      </c>
      <c r="P57" s="38">
        <f ca="1">IF(M57&gt;0,N57*100/M57,0)</f>
        <v>94.083969465648849</v>
      </c>
    </row>
    <row r="58" spans="1:16" ht="21.75" customHeight="1" x14ac:dyDescent="0.45">
      <c r="A58" s="79"/>
      <c r="B58" s="80"/>
      <c r="C58" s="80"/>
      <c r="D58" s="80"/>
      <c r="E58" s="88"/>
      <c r="F58" s="88"/>
      <c r="G58" s="82" t="s">
        <v>21</v>
      </c>
      <c r="H58" s="83" t="s">
        <v>12</v>
      </c>
      <c r="I58" s="84"/>
      <c r="J58" s="84"/>
      <c r="K58" s="85"/>
      <c r="L58" s="49">
        <f ca="1">IFERROR(__xludf.DUMMYFUNCTION("IMPORTRANGE(""https://docs.google.com/spreadsheets/d/1Yj_ptqi66GCucihVvJfMjLAmec39IyEx_6qawtMGysU/edit?usp=sharing"",""สบก!V36"")"),750000)</f>
        <v>750000</v>
      </c>
      <c r="M58" s="41"/>
      <c r="N58" s="38"/>
      <c r="O58" s="38"/>
      <c r="P58" s="38"/>
    </row>
    <row r="59" spans="1:16" ht="21.75" customHeight="1" x14ac:dyDescent="0.45">
      <c r="A59" s="79"/>
      <c r="B59" s="80"/>
      <c r="C59" s="80"/>
      <c r="D59" s="80"/>
      <c r="E59" s="88"/>
      <c r="F59" s="88"/>
      <c r="G59" s="82" t="s">
        <v>22</v>
      </c>
      <c r="H59" s="83" t="s">
        <v>12</v>
      </c>
      <c r="I59" s="84"/>
      <c r="J59" s="84"/>
      <c r="K59" s="85"/>
      <c r="L59" s="49">
        <f ca="1">IFERROR(__xludf.DUMMYFUNCTION("IMPORTRANGE(""https://docs.google.com/spreadsheets/d/1Yj_ptqi66GCucihVvJfMjLAmec39IyEx_6qawtMGysU/edit?usp=sharing"",""สบก!W36"")"),0)</f>
        <v>0</v>
      </c>
      <c r="M59" s="41"/>
      <c r="N59" s="38"/>
      <c r="O59" s="38"/>
      <c r="P59" s="38"/>
    </row>
    <row r="60" spans="1:16" ht="21.75" customHeight="1" x14ac:dyDescent="0.45">
      <c r="A60" s="79"/>
      <c r="B60" s="80"/>
      <c r="C60" s="81" t="s">
        <v>16</v>
      </c>
      <c r="D60" s="534" t="s">
        <v>23</v>
      </c>
      <c r="E60" s="530"/>
      <c r="F60" s="88"/>
      <c r="G60" s="82" t="s">
        <v>18</v>
      </c>
      <c r="H60" s="83" t="s">
        <v>12</v>
      </c>
      <c r="I60" s="84"/>
      <c r="J60" s="84"/>
      <c r="K60" s="85"/>
      <c r="L60" s="50">
        <v>0</v>
      </c>
      <c r="M60" s="41"/>
      <c r="N60" s="41"/>
      <c r="O60" s="41"/>
      <c r="P60" s="41"/>
    </row>
    <row r="61" spans="1:16" ht="21.75" customHeight="1" x14ac:dyDescent="0.45">
      <c r="A61" s="90"/>
      <c r="B61" s="91"/>
      <c r="C61" s="91"/>
      <c r="D61" s="91"/>
      <c r="E61" s="92"/>
      <c r="F61" s="92"/>
      <c r="G61" s="93" t="s">
        <v>19</v>
      </c>
      <c r="H61" s="94" t="s">
        <v>12</v>
      </c>
      <c r="I61" s="95"/>
      <c r="J61" s="95"/>
      <c r="K61" s="96"/>
      <c r="L61" s="49">
        <f ca="1">IFERROR(__xludf.DUMMYFUNCTION("IMPORTRANGE(""https://docs.google.com/spreadsheets/d/1Yj_ptqi66GCucihVvJfMjLAmec39IyEx_6qawtMGysU/edit?usp=sharing"",""สบก!X36"")"),0)</f>
        <v>0</v>
      </c>
      <c r="M61" s="49"/>
      <c r="N61" s="49">
        <f ca="1">IFERROR(__xludf.DUMMYFUNCTION("IMPORTRANGE(""https://docs.google.com/spreadsheets/d/1Yj_ptqi66GCucihVvJfMjLAmec39IyEx_6qawtMGysU/edit?usp=sharing"",""สบก!AB36"")"),0)</f>
        <v>0</v>
      </c>
      <c r="O61" s="49">
        <f ca="1">IF(L61&gt;0,N61*100/L61,0)</f>
        <v>0</v>
      </c>
      <c r="P61" s="49"/>
    </row>
    <row r="62" spans="1:16" ht="21.75" customHeight="1" x14ac:dyDescent="0.3">
      <c r="A62" s="121" t="s">
        <v>33</v>
      </c>
      <c r="B62" s="122"/>
      <c r="C62" s="122"/>
      <c r="D62" s="122"/>
      <c r="E62" s="123"/>
      <c r="F62" s="123"/>
      <c r="G62" s="123"/>
      <c r="H62" s="124"/>
      <c r="I62" s="125"/>
      <c r="J62" s="125"/>
      <c r="K62" s="126"/>
      <c r="L62" s="127"/>
      <c r="M62" s="127"/>
      <c r="N62" s="127"/>
      <c r="O62" s="127"/>
      <c r="P62" s="127"/>
    </row>
    <row r="63" spans="1:16" ht="21.75" customHeight="1" x14ac:dyDescent="0.3">
      <c r="A63" s="128" t="s">
        <v>34</v>
      </c>
      <c r="B63" s="129"/>
      <c r="C63" s="130"/>
      <c r="D63" s="129"/>
      <c r="E63" s="131"/>
      <c r="F63" s="131"/>
      <c r="G63" s="131"/>
      <c r="H63" s="132"/>
      <c r="I63" s="133"/>
      <c r="J63" s="133"/>
      <c r="K63" s="134"/>
      <c r="L63" s="135"/>
      <c r="M63" s="135"/>
      <c r="N63" s="135"/>
      <c r="O63" s="136"/>
      <c r="P63" s="136"/>
    </row>
    <row r="64" spans="1:16" ht="21.75" customHeight="1" x14ac:dyDescent="0.3">
      <c r="A64" s="137"/>
      <c r="B64" s="138" t="s">
        <v>35</v>
      </c>
      <c r="C64" s="138"/>
      <c r="D64" s="139"/>
      <c r="E64" s="138"/>
      <c r="F64" s="138"/>
      <c r="G64" s="138"/>
      <c r="H64" s="140" t="s">
        <v>36</v>
      </c>
      <c r="I64" s="141">
        <f ca="1">IFERROR(__xludf.DUMMYFUNCTION("IMPORTRANGE(""https://docs.google.com/spreadsheets/d/11923uPwbBZFjjGgGUA6NLw09EwE0CqkOc4q9oUmW1yo/edit?usp=sharing"",""อุทัยธานี!I9"")"),2)</f>
        <v>2</v>
      </c>
      <c r="J64" s="141">
        <f ca="1">IFERROR(__xludf.DUMMYFUNCTION("IMPORTRANGE(""https://docs.google.com/spreadsheets/d/11923uPwbBZFjjGgGUA6NLw09EwE0CqkOc4q9oUmW1yo/edit?usp=sharing"",""อุทัยธานี!J9"")"),2)</f>
        <v>2</v>
      </c>
      <c r="K64" s="142">
        <f t="shared" ref="K64:K65" ca="1" si="44">IF(I64&gt;0,J64*100/I64,0)</f>
        <v>100</v>
      </c>
      <c r="L64" s="143"/>
      <c r="M64" s="143"/>
      <c r="N64" s="144"/>
      <c r="O64" s="142"/>
      <c r="P64" s="142"/>
    </row>
    <row r="65" spans="1:16" ht="21.75" customHeight="1" x14ac:dyDescent="0.3">
      <c r="A65" s="137"/>
      <c r="B65" s="138"/>
      <c r="C65" s="138"/>
      <c r="D65" s="139"/>
      <c r="E65" s="138"/>
      <c r="F65" s="138"/>
      <c r="G65" s="138"/>
      <c r="H65" s="140" t="s">
        <v>37</v>
      </c>
      <c r="I65" s="141">
        <f ca="1">IFERROR(__xludf.DUMMYFUNCTION("IMPORTRANGE(""https://docs.google.com/spreadsheets/d/11923uPwbBZFjjGgGUA6NLw09EwE0CqkOc4q9oUmW1yo/edit?usp=sharing"",""อุทัยธานี!I10"")"),70)</f>
        <v>70</v>
      </c>
      <c r="J65" s="141">
        <f ca="1">IFERROR(__xludf.DUMMYFUNCTION("IMPORTRANGE(""https://docs.google.com/spreadsheets/d/11923uPwbBZFjjGgGUA6NLw09EwE0CqkOc4q9oUmW1yo/edit?usp=sharing"",""อุทัยธานี!J10"")"),70)</f>
        <v>70</v>
      </c>
      <c r="K65" s="142">
        <f t="shared" ca="1" si="44"/>
        <v>100</v>
      </c>
      <c r="L65" s="144"/>
      <c r="M65" s="144"/>
      <c r="N65" s="144"/>
      <c r="O65" s="142"/>
      <c r="P65" s="142"/>
    </row>
    <row r="66" spans="1:16" ht="21.75" customHeight="1" x14ac:dyDescent="0.45">
      <c r="A66" s="145"/>
      <c r="B66" s="146"/>
      <c r="C66" s="147" t="s">
        <v>16</v>
      </c>
      <c r="D66" s="537" t="s">
        <v>17</v>
      </c>
      <c r="E66" s="528"/>
      <c r="F66" s="528"/>
      <c r="G66" s="528"/>
      <c r="H66" s="148" t="s">
        <v>12</v>
      </c>
      <c r="I66" s="149"/>
      <c r="J66" s="149"/>
      <c r="K66" s="150"/>
      <c r="L66" s="151">
        <f t="shared" ref="L66:N66" ca="1" si="45">L67+L68</f>
        <v>829500</v>
      </c>
      <c r="M66" s="151">
        <f t="shared" ca="1" si="45"/>
        <v>487300</v>
      </c>
      <c r="N66" s="151">
        <f t="shared" ca="1" si="45"/>
        <v>235664</v>
      </c>
      <c r="O66" s="150">
        <f t="shared" ref="O66:O68" ca="1" si="46">IF(L66&gt;0,N66*100/L66,0)</f>
        <v>28.410367691380351</v>
      </c>
      <c r="P66" s="150">
        <f t="shared" ref="P66:P68" ca="1" si="47">IF(M66&gt;0,N66*100/M66,0)</f>
        <v>48.361173814898422</v>
      </c>
    </row>
    <row r="67" spans="1:16" ht="21.75" customHeight="1" x14ac:dyDescent="0.45">
      <c r="A67" s="152"/>
      <c r="B67" s="32"/>
      <c r="C67" s="32"/>
      <c r="D67" s="32"/>
      <c r="E67" s="32"/>
      <c r="F67" s="32"/>
      <c r="G67" s="33" t="s">
        <v>18</v>
      </c>
      <c r="H67" s="153" t="s">
        <v>12</v>
      </c>
      <c r="I67" s="154"/>
      <c r="J67" s="154"/>
      <c r="K67" s="155"/>
      <c r="L67" s="87">
        <f t="shared" ref="L67:N67" si="48">L69+L73</f>
        <v>0</v>
      </c>
      <c r="M67" s="87">
        <f t="shared" si="48"/>
        <v>0</v>
      </c>
      <c r="N67" s="87">
        <f t="shared" si="48"/>
        <v>0</v>
      </c>
      <c r="O67" s="155">
        <f t="shared" si="46"/>
        <v>0</v>
      </c>
      <c r="P67" s="155">
        <f t="shared" si="47"/>
        <v>0</v>
      </c>
    </row>
    <row r="68" spans="1:16" ht="21.75" customHeight="1" x14ac:dyDescent="0.45">
      <c r="A68" s="152"/>
      <c r="B68" s="32"/>
      <c r="C68" s="32"/>
      <c r="D68" s="32"/>
      <c r="E68" s="32"/>
      <c r="F68" s="32"/>
      <c r="G68" s="33" t="s">
        <v>19</v>
      </c>
      <c r="H68" s="153" t="s">
        <v>12</v>
      </c>
      <c r="I68" s="154"/>
      <c r="J68" s="154"/>
      <c r="K68" s="155"/>
      <c r="L68" s="87">
        <f t="shared" ref="L68:N68" ca="1" si="49">L70+L74</f>
        <v>829500</v>
      </c>
      <c r="M68" s="87">
        <f t="shared" ca="1" si="49"/>
        <v>487300</v>
      </c>
      <c r="N68" s="87">
        <f t="shared" ca="1" si="49"/>
        <v>235664</v>
      </c>
      <c r="O68" s="155">
        <f t="shared" ca="1" si="46"/>
        <v>28.410367691380351</v>
      </c>
      <c r="P68" s="155">
        <f t="shared" ca="1" si="47"/>
        <v>48.361173814898422</v>
      </c>
    </row>
    <row r="69" spans="1:16" ht="21.75" customHeight="1" x14ac:dyDescent="0.3">
      <c r="A69" s="156"/>
      <c r="B69" s="157"/>
      <c r="C69" s="157" t="s">
        <v>16</v>
      </c>
      <c r="D69" s="158" t="s">
        <v>38</v>
      </c>
      <c r="E69" s="159"/>
      <c r="F69" s="159"/>
      <c r="G69" s="160" t="s">
        <v>39</v>
      </c>
      <c r="H69" s="161" t="s">
        <v>12</v>
      </c>
      <c r="I69" s="162" t="s">
        <v>40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3">
      <c r="A70" s="156"/>
      <c r="B70" s="157"/>
      <c r="C70" s="157"/>
      <c r="D70" s="166"/>
      <c r="E70" s="159"/>
      <c r="F70" s="159" t="s">
        <v>40</v>
      </c>
      <c r="G70" s="160" t="s">
        <v>41</v>
      </c>
      <c r="H70" s="161" t="s">
        <v>12</v>
      </c>
      <c r="I70" s="162"/>
      <c r="J70" s="162"/>
      <c r="K70" s="163"/>
      <c r="L70" s="167">
        <f ca="1">L71+L72</f>
        <v>829500</v>
      </c>
      <c r="M70" s="167">
        <f ca="1">IFERROR(__xludf.DUMMYFUNCTION("IMPORTRANGE(""https://docs.google.com/spreadsheets/d/1Yj_ptqi66GCucihVvJfMjLAmec39IyEx_6qawtMGysU/edit?usp=sharing"",""สบก!AI36"")"),487300)</f>
        <v>487300</v>
      </c>
      <c r="N70" s="168">
        <f ca="1">IFERROR(__xludf.DUMMYFUNCTION("IMPORTRANGE(""https://docs.google.com/spreadsheets/d/1Yj_ptqi66GCucihVvJfMjLAmec39IyEx_6qawtMGysU/edit?usp=sharing"",""สบก!AJ36"")"),235664)</f>
        <v>235664</v>
      </c>
      <c r="O70" s="168">
        <f ca="1">IF(L70&gt;0,N70*100/L70,0)</f>
        <v>28.410367691380351</v>
      </c>
      <c r="P70" s="168">
        <f ca="1">IF(M70&gt;0,N70*100/M70,0)</f>
        <v>48.361173814898422</v>
      </c>
    </row>
    <row r="71" spans="1:16" ht="21.75" customHeight="1" x14ac:dyDescent="0.3">
      <c r="A71" s="156"/>
      <c r="B71" s="157"/>
      <c r="C71" s="157"/>
      <c r="D71" s="166"/>
      <c r="E71" s="159"/>
      <c r="F71" s="159"/>
      <c r="G71" s="169" t="s">
        <v>42</v>
      </c>
      <c r="H71" s="161" t="s">
        <v>12</v>
      </c>
      <c r="I71" s="162"/>
      <c r="J71" s="162"/>
      <c r="K71" s="163"/>
      <c r="L71" s="167">
        <f ca="1">IFERROR(__xludf.DUMMYFUNCTION("IMPORTRANGE(""https://docs.google.com/spreadsheets/d/1Yj_ptqi66GCucihVvJfMjLAmec39IyEx_6qawtMGysU/edit?usp=sharing"",""สบก!AE36"")"),179500)</f>
        <v>179500</v>
      </c>
      <c r="M71" s="167"/>
      <c r="N71" s="167"/>
      <c r="O71" s="168"/>
      <c r="P71" s="168"/>
    </row>
    <row r="72" spans="1:16" ht="21.75" customHeight="1" x14ac:dyDescent="0.3">
      <c r="A72" s="156"/>
      <c r="B72" s="157"/>
      <c r="C72" s="157"/>
      <c r="D72" s="166"/>
      <c r="E72" s="159"/>
      <c r="F72" s="159"/>
      <c r="G72" s="169" t="s">
        <v>43</v>
      </c>
      <c r="H72" s="161" t="s">
        <v>12</v>
      </c>
      <c r="I72" s="162"/>
      <c r="J72" s="162"/>
      <c r="K72" s="163"/>
      <c r="L72" s="167">
        <f ca="1">IFERROR(__xludf.DUMMYFUNCTION("IMPORTRANGE(""https://docs.google.com/spreadsheets/d/1Yj_ptqi66GCucihVvJfMjLAmec39IyEx_6qawtMGysU/edit?usp=sharing"",""สบก!AF36"")"),650000)</f>
        <v>650000</v>
      </c>
      <c r="M72" s="167"/>
      <c r="N72" s="167"/>
      <c r="O72" s="168"/>
      <c r="P72" s="168"/>
    </row>
    <row r="73" spans="1:16" ht="21.75" customHeight="1" x14ac:dyDescent="0.45">
      <c r="A73" s="170"/>
      <c r="B73" s="80"/>
      <c r="C73" s="81" t="s">
        <v>16</v>
      </c>
      <c r="D73" s="534" t="s">
        <v>23</v>
      </c>
      <c r="E73" s="530"/>
      <c r="F73" s="88"/>
      <c r="G73" s="82" t="s">
        <v>18</v>
      </c>
      <c r="H73" s="171" t="s">
        <v>12</v>
      </c>
      <c r="I73" s="84"/>
      <c r="J73" s="84"/>
      <c r="K73" s="85"/>
      <c r="L73" s="41">
        <v>0</v>
      </c>
      <c r="M73" s="41"/>
      <c r="N73" s="41"/>
      <c r="O73" s="41"/>
      <c r="P73" s="41"/>
    </row>
    <row r="74" spans="1:16" ht="21.75" customHeight="1" x14ac:dyDescent="0.45">
      <c r="A74" s="172"/>
      <c r="B74" s="91"/>
      <c r="C74" s="91"/>
      <c r="D74" s="173"/>
      <c r="E74" s="92"/>
      <c r="F74" s="92"/>
      <c r="G74" s="93" t="s">
        <v>19</v>
      </c>
      <c r="H74" s="174" t="s">
        <v>12</v>
      </c>
      <c r="I74" s="95"/>
      <c r="J74" s="95"/>
      <c r="K74" s="96"/>
      <c r="L74" s="49">
        <f ca="1">IFERROR(__xludf.DUMMYFUNCTION("IMPORTRANGE(""https://docs.google.com/spreadsheets/d/1Yj_ptqi66GCucihVvJfMjLAmec39IyEx_6qawtMGysU/edit?usp=sharing"",""สบก!AG36"")"),0)</f>
        <v>0</v>
      </c>
      <c r="M74" s="49"/>
      <c r="N74" s="49">
        <f ca="1">IFERROR(__xludf.DUMMYFUNCTION("IMPORTRANGE(""https://docs.google.com/spreadsheets/d/1Yj_ptqi66GCucihVvJfMjLAmec39IyEx_6qawtMGysU/edit?usp=sharing"",""สบก!AK36"")"),0)</f>
        <v>0</v>
      </c>
      <c r="O74" s="49">
        <f ca="1">IF(L74&gt;0,N74*100/L74,0)</f>
        <v>0</v>
      </c>
      <c r="P74" s="49"/>
    </row>
    <row r="75" spans="1:16" ht="21.75" customHeight="1" x14ac:dyDescent="0.3">
      <c r="A75" s="175"/>
      <c r="B75" s="176"/>
      <c r="C75" s="157" t="s">
        <v>16</v>
      </c>
      <c r="D75" s="177" t="s">
        <v>44</v>
      </c>
      <c r="E75" s="178"/>
      <c r="F75" s="178"/>
      <c r="G75" s="179"/>
      <c r="H75" s="180"/>
      <c r="I75" s="162"/>
      <c r="J75" s="162"/>
      <c r="K75" s="163"/>
      <c r="L75" s="181"/>
      <c r="M75" s="181"/>
      <c r="N75" s="181"/>
      <c r="O75" s="181"/>
      <c r="P75" s="181"/>
    </row>
    <row r="76" spans="1:16" ht="21.75" customHeight="1" x14ac:dyDescent="0.3">
      <c r="A76" s="175"/>
      <c r="B76" s="176"/>
      <c r="C76" s="176"/>
      <c r="D76" s="182">
        <v>1</v>
      </c>
      <c r="E76" s="183" t="s">
        <v>45</v>
      </c>
      <c r="F76" s="184"/>
      <c r="G76" s="185"/>
      <c r="H76" s="186"/>
      <c r="I76" s="187"/>
      <c r="J76" s="188">
        <f ca="1">IFERROR(__xludf.DUMMYFUNCTION("IMPORTRANGE(""https://docs.google.com/spreadsheets/d/11923uPwbBZFjjGgGUA6NLw09EwE0CqkOc4q9oUmW1yo/edit?usp=sharing"",""อุทัยธานี!J16"")"),0)</f>
        <v>0</v>
      </c>
      <c r="K76" s="163"/>
      <c r="L76" s="181"/>
      <c r="M76" s="181"/>
      <c r="N76" s="181"/>
      <c r="O76" s="181"/>
      <c r="P76" s="181"/>
    </row>
    <row r="77" spans="1:16" ht="21.75" customHeight="1" x14ac:dyDescent="0.3">
      <c r="A77" s="175"/>
      <c r="B77" s="176"/>
      <c r="C77" s="176"/>
      <c r="D77" s="189">
        <v>2</v>
      </c>
      <c r="E77" s="190" t="s">
        <v>46</v>
      </c>
      <c r="F77" s="191"/>
      <c r="G77" s="192"/>
      <c r="H77" s="186"/>
      <c r="I77" s="187"/>
      <c r="J77" s="188">
        <f ca="1">IFERROR(__xludf.DUMMYFUNCTION("IMPORTRANGE(""https://docs.google.com/spreadsheets/d/11923uPwbBZFjjGgGUA6NLw09EwE0CqkOc4q9oUmW1yo/edit?usp=sharing"",""อุทัยธานี!J17"")"),1)</f>
        <v>1</v>
      </c>
      <c r="K77" s="163"/>
      <c r="L77" s="181" t="s">
        <v>40</v>
      </c>
      <c r="M77" s="181"/>
      <c r="N77" s="181" t="s">
        <v>40</v>
      </c>
      <c r="O77" s="181"/>
      <c r="P77" s="181"/>
    </row>
    <row r="78" spans="1:16" ht="21.75" customHeight="1" x14ac:dyDescent="0.3">
      <c r="A78" s="175"/>
      <c r="B78" s="176"/>
      <c r="C78" s="176"/>
      <c r="D78" s="193"/>
      <c r="E78" s="194" t="s">
        <v>47</v>
      </c>
      <c r="F78" s="195"/>
      <c r="G78" s="196"/>
      <c r="H78" s="186"/>
      <c r="I78" s="187"/>
      <c r="J78" s="188">
        <f ca="1">IFERROR(__xludf.DUMMYFUNCTION("IMPORTRANGE(""https://docs.google.com/spreadsheets/d/11923uPwbBZFjjGgGUA6NLw09EwE0CqkOc4q9oUmW1yo/edit?usp=sharing"",""อุทัยธานี!J18"")"),1)</f>
        <v>1</v>
      </c>
      <c r="K78" s="163"/>
      <c r="L78" s="181"/>
      <c r="M78" s="181"/>
      <c r="N78" s="181"/>
      <c r="O78" s="181"/>
      <c r="P78" s="181"/>
    </row>
    <row r="79" spans="1:16" ht="21.75" customHeight="1" x14ac:dyDescent="0.3">
      <c r="A79" s="175"/>
      <c r="B79" s="176"/>
      <c r="C79" s="176"/>
      <c r="D79" s="193"/>
      <c r="E79" s="194" t="s">
        <v>48</v>
      </c>
      <c r="F79" s="195"/>
      <c r="G79" s="196"/>
      <c r="H79" s="186"/>
      <c r="I79" s="187"/>
      <c r="J79" s="197">
        <f ca="1">IFERROR(__xludf.DUMMYFUNCTION("IMPORTRANGE(""https://docs.google.com/spreadsheets/d/11923uPwbBZFjjGgGUA6NLw09EwE0CqkOc4q9oUmW1yo/edit?usp=sharing"",""อุทัยธานี!J19"")"),1)</f>
        <v>1</v>
      </c>
      <c r="K79" s="163"/>
      <c r="L79" s="181"/>
      <c r="M79" s="181"/>
      <c r="N79" s="181"/>
      <c r="O79" s="181"/>
      <c r="P79" s="181"/>
    </row>
    <row r="80" spans="1:16" ht="21.75" customHeight="1" x14ac:dyDescent="0.3">
      <c r="A80" s="175"/>
      <c r="B80" s="176"/>
      <c r="C80" s="176"/>
      <c r="D80" s="193"/>
      <c r="E80" s="198"/>
      <c r="F80" s="194" t="s">
        <v>49</v>
      </c>
      <c r="G80" s="195"/>
      <c r="H80" s="199" t="s">
        <v>36</v>
      </c>
      <c r="I80" s="200">
        <f ca="1">IFERROR(__xludf.DUMMYFUNCTION("IMPORTRANGE(""https://docs.google.com/spreadsheets/d/11923uPwbBZFjjGgGUA6NLw09EwE0CqkOc4q9oUmW1yo/edit?usp=sharing"",""อุทัยธานี!I20"")"),2)</f>
        <v>2</v>
      </c>
      <c r="J80" s="200">
        <f ca="1">IFERROR(__xludf.DUMMYFUNCTION("IMPORTRANGE(""https://docs.google.com/spreadsheets/d/11923uPwbBZFjjGgGUA6NLw09EwE0CqkOc4q9oUmW1yo/edit?usp=sharing"",""อุทัยธานี!J20"")"),2)</f>
        <v>2</v>
      </c>
      <c r="K80" s="201">
        <f t="shared" ref="K80:K88" ca="1" si="50">IF(I80&gt;0,J80*100/I80,0)</f>
        <v>100</v>
      </c>
      <c r="L80" s="181"/>
      <c r="M80" s="181"/>
      <c r="N80" s="181"/>
      <c r="O80" s="181"/>
      <c r="P80" s="181"/>
    </row>
    <row r="81" spans="1:16" ht="21.75" customHeight="1" x14ac:dyDescent="0.3">
      <c r="A81" s="175"/>
      <c r="B81" s="176"/>
      <c r="C81" s="176"/>
      <c r="D81" s="193"/>
      <c r="E81" s="198"/>
      <c r="F81" s="195"/>
      <c r="G81" s="196"/>
      <c r="H81" s="199" t="s">
        <v>37</v>
      </c>
      <c r="I81" s="200">
        <f ca="1">IFERROR(__xludf.DUMMYFUNCTION("IMPORTRANGE(""https://docs.google.com/spreadsheets/d/11923uPwbBZFjjGgGUA6NLw09EwE0CqkOc4q9oUmW1yo/edit?usp=sharing"",""อุทัยธานี!I21"")"),70)</f>
        <v>70</v>
      </c>
      <c r="J81" s="200">
        <f ca="1">IFERROR(__xludf.DUMMYFUNCTION("IMPORTRANGE(""https://docs.google.com/spreadsheets/d/11923uPwbBZFjjGgGUA6NLw09EwE0CqkOc4q9oUmW1yo/edit?usp=sharing"",""อุทัยธานี!J21"")"),70)</f>
        <v>70</v>
      </c>
      <c r="K81" s="201">
        <f t="shared" ca="1" si="50"/>
        <v>100</v>
      </c>
      <c r="L81" s="181"/>
      <c r="M81" s="181"/>
      <c r="N81" s="181"/>
      <c r="O81" s="181"/>
      <c r="P81" s="181"/>
    </row>
    <row r="82" spans="1:16" ht="21.75" customHeight="1" x14ac:dyDescent="0.3">
      <c r="A82" s="175"/>
      <c r="B82" s="176"/>
      <c r="C82" s="176"/>
      <c r="D82" s="193"/>
      <c r="E82" s="198"/>
      <c r="F82" s="195"/>
      <c r="G82" s="195" t="s">
        <v>50</v>
      </c>
      <c r="H82" s="180" t="s">
        <v>36</v>
      </c>
      <c r="I82" s="202">
        <f ca="1">IFERROR(__xludf.DUMMYFUNCTION("IMPORTRANGE(""https://docs.google.com/spreadsheets/d/11923uPwbBZFjjGgGUA6NLw09EwE0CqkOc4q9oUmW1yo/edit?usp=sharing"",""อุทัยธานี!I22"")"),1)</f>
        <v>1</v>
      </c>
      <c r="J82" s="203">
        <f ca="1">IFERROR(__xludf.DUMMYFUNCTION("IMPORTRANGE(""https://docs.google.com/spreadsheets/d/11923uPwbBZFjjGgGUA6NLw09EwE0CqkOc4q9oUmW1yo/edit?usp=sharing"",""อุทัยธานี!J22"")"),1)</f>
        <v>1</v>
      </c>
      <c r="K82" s="163">
        <f t="shared" ca="1" si="50"/>
        <v>100</v>
      </c>
      <c r="L82" s="181"/>
      <c r="M82" s="181"/>
      <c r="N82" s="181"/>
      <c r="O82" s="181"/>
      <c r="P82" s="181"/>
    </row>
    <row r="83" spans="1:16" ht="21.75" customHeight="1" x14ac:dyDescent="0.3">
      <c r="A83" s="175"/>
      <c r="B83" s="176"/>
      <c r="C83" s="176"/>
      <c r="D83" s="193"/>
      <c r="E83" s="198"/>
      <c r="F83" s="195"/>
      <c r="G83" s="196"/>
      <c r="H83" s="180" t="s">
        <v>37</v>
      </c>
      <c r="I83" s="202">
        <f ca="1">IFERROR(__xludf.DUMMYFUNCTION("IMPORTRANGE(""https://docs.google.com/spreadsheets/d/11923uPwbBZFjjGgGUA6NLw09EwE0CqkOc4q9oUmW1yo/edit?usp=sharing"",""อุทัยธานี!I23"")"),30)</f>
        <v>30</v>
      </c>
      <c r="J83" s="203">
        <f ca="1">IFERROR(__xludf.DUMMYFUNCTION("IMPORTRANGE(""https://docs.google.com/spreadsheets/d/11923uPwbBZFjjGgGUA6NLw09EwE0CqkOc4q9oUmW1yo/edit?usp=sharing"",""อุทัยธานี!J23"")"),30)</f>
        <v>30</v>
      </c>
      <c r="K83" s="163">
        <f t="shared" ca="1" si="50"/>
        <v>100</v>
      </c>
      <c r="L83" s="181"/>
      <c r="M83" s="181"/>
      <c r="N83" s="181"/>
      <c r="O83" s="181"/>
      <c r="P83" s="181"/>
    </row>
    <row r="84" spans="1:16" ht="21.75" customHeight="1" x14ac:dyDescent="0.3">
      <c r="A84" s="175"/>
      <c r="B84" s="176"/>
      <c r="C84" s="176"/>
      <c r="D84" s="193"/>
      <c r="E84" s="198"/>
      <c r="F84" s="195"/>
      <c r="G84" s="195" t="s">
        <v>51</v>
      </c>
      <c r="H84" s="180" t="s">
        <v>36</v>
      </c>
      <c r="I84" s="202">
        <f ca="1">IFERROR(__xludf.DUMMYFUNCTION("IMPORTRANGE(""https://docs.google.com/spreadsheets/d/11923uPwbBZFjjGgGUA6NLw09EwE0CqkOc4q9oUmW1yo/edit?usp=sharing"",""อุทัยธานี!I24"")"),0)</f>
        <v>0</v>
      </c>
      <c r="J84" s="188">
        <f ca="1">IFERROR(__xludf.DUMMYFUNCTION("IMPORTRANGE(""https://docs.google.com/spreadsheets/d/11923uPwbBZFjjGgGUA6NLw09EwE0CqkOc4q9oUmW1yo/edit?usp=sharing"",""อุทัยธานี!J24"")"),0)</f>
        <v>0</v>
      </c>
      <c r="K84" s="163">
        <f t="shared" ca="1" si="50"/>
        <v>0</v>
      </c>
      <c r="L84" s="181"/>
      <c r="M84" s="181"/>
      <c r="N84" s="181"/>
      <c r="O84" s="181"/>
      <c r="P84" s="181"/>
    </row>
    <row r="85" spans="1:16" ht="21.75" customHeight="1" x14ac:dyDescent="0.3">
      <c r="A85" s="175"/>
      <c r="B85" s="176"/>
      <c r="C85" s="176"/>
      <c r="D85" s="193"/>
      <c r="E85" s="198"/>
      <c r="F85" s="195"/>
      <c r="G85" s="196"/>
      <c r="H85" s="180" t="s">
        <v>37</v>
      </c>
      <c r="I85" s="202">
        <f ca="1">IFERROR(__xludf.DUMMYFUNCTION("IMPORTRANGE(""https://docs.google.com/spreadsheets/d/11923uPwbBZFjjGgGUA6NLw09EwE0CqkOc4q9oUmW1yo/edit?usp=sharing"",""อุทัยธานี!I25"")"),0)</f>
        <v>0</v>
      </c>
      <c r="J85" s="188">
        <f ca="1">IFERROR(__xludf.DUMMYFUNCTION("IMPORTRANGE(""https://docs.google.com/spreadsheets/d/11923uPwbBZFjjGgGUA6NLw09EwE0CqkOc4q9oUmW1yo/edit?usp=sharing"",""อุทัยธานี!J25"")"),0)</f>
        <v>0</v>
      </c>
      <c r="K85" s="163">
        <f t="shared" ca="1" si="50"/>
        <v>0</v>
      </c>
      <c r="L85" s="181"/>
      <c r="M85" s="181"/>
      <c r="N85" s="181"/>
      <c r="O85" s="181"/>
      <c r="P85" s="181"/>
    </row>
    <row r="86" spans="1:16" ht="21.75" customHeight="1" x14ac:dyDescent="0.3">
      <c r="A86" s="175"/>
      <c r="B86" s="176"/>
      <c r="C86" s="176"/>
      <c r="D86" s="193"/>
      <c r="E86" s="198"/>
      <c r="F86" s="195"/>
      <c r="G86" s="195" t="s">
        <v>52</v>
      </c>
      <c r="H86" s="180" t="s">
        <v>36</v>
      </c>
      <c r="I86" s="202">
        <f ca="1">IFERROR(__xludf.DUMMYFUNCTION("IMPORTRANGE(""https://docs.google.com/spreadsheets/d/11923uPwbBZFjjGgGUA6NLw09EwE0CqkOc4q9oUmW1yo/edit?usp=sharing"",""อุทัยธานี!I26"")"),1)</f>
        <v>1</v>
      </c>
      <c r="J86" s="203">
        <f ca="1">IFERROR(__xludf.DUMMYFUNCTION("IMPORTRANGE(""https://docs.google.com/spreadsheets/d/11923uPwbBZFjjGgGUA6NLw09EwE0CqkOc4q9oUmW1yo/edit?usp=sharing"",""อุทัยธานี!J26"")"),1)</f>
        <v>1</v>
      </c>
      <c r="K86" s="163">
        <f t="shared" ca="1" si="50"/>
        <v>100</v>
      </c>
      <c r="L86" s="181"/>
      <c r="M86" s="181"/>
      <c r="N86" s="181"/>
      <c r="O86" s="181"/>
      <c r="P86" s="181"/>
    </row>
    <row r="87" spans="1:16" ht="21.75" customHeight="1" x14ac:dyDescent="0.3">
      <c r="A87" s="175"/>
      <c r="B87" s="176"/>
      <c r="C87" s="176"/>
      <c r="D87" s="193"/>
      <c r="E87" s="198"/>
      <c r="F87" s="195"/>
      <c r="G87" s="196"/>
      <c r="H87" s="180" t="s">
        <v>37</v>
      </c>
      <c r="I87" s="202">
        <f ca="1">IFERROR(__xludf.DUMMYFUNCTION("IMPORTRANGE(""https://docs.google.com/spreadsheets/d/11923uPwbBZFjjGgGUA6NLw09EwE0CqkOc4q9oUmW1yo/edit?usp=sharing"",""อุทัยธานี!I27"")"),40)</f>
        <v>40</v>
      </c>
      <c r="J87" s="203">
        <f ca="1">IFERROR(__xludf.DUMMYFUNCTION("IMPORTRANGE(""https://docs.google.com/spreadsheets/d/11923uPwbBZFjjGgGUA6NLw09EwE0CqkOc4q9oUmW1yo/edit?usp=sharing"",""อุทัยธานี!J27"")"),40)</f>
        <v>40</v>
      </c>
      <c r="K87" s="163">
        <f t="shared" ca="1" si="50"/>
        <v>100</v>
      </c>
      <c r="L87" s="181"/>
      <c r="M87" s="181"/>
      <c r="N87" s="181"/>
      <c r="O87" s="181"/>
      <c r="P87" s="181"/>
    </row>
    <row r="88" spans="1:16" ht="21.75" customHeight="1" x14ac:dyDescent="0.3">
      <c r="A88" s="175"/>
      <c r="B88" s="176"/>
      <c r="C88" s="176"/>
      <c r="D88" s="193"/>
      <c r="E88" s="198"/>
      <c r="F88" s="204" t="s">
        <v>53</v>
      </c>
      <c r="G88" s="195"/>
      <c r="H88" s="180" t="s">
        <v>37</v>
      </c>
      <c r="I88" s="202">
        <f ca="1">IFERROR(__xludf.DUMMYFUNCTION("IMPORTRANGE(""https://docs.google.com/spreadsheets/d/11923uPwbBZFjjGgGUA6NLw09EwE0CqkOc4q9oUmW1yo/edit?usp=sharing"",""อุทัยธานี!I28"")"),30)</f>
        <v>30</v>
      </c>
      <c r="J88" s="203">
        <f ca="1">IFERROR(__xludf.DUMMYFUNCTION("IMPORTRANGE(""https://docs.google.com/spreadsheets/d/11923uPwbBZFjjGgGUA6NLw09EwE0CqkOc4q9oUmW1yo/edit?usp=sharing"",""อุทัยธานี!J28"")"),0)</f>
        <v>0</v>
      </c>
      <c r="K88" s="163">
        <f t="shared" ca="1" si="50"/>
        <v>0</v>
      </c>
      <c r="L88" s="181"/>
      <c r="M88" s="181"/>
      <c r="N88" s="181"/>
      <c r="O88" s="181"/>
      <c r="P88" s="181"/>
    </row>
    <row r="89" spans="1:16" ht="21.75" customHeight="1" x14ac:dyDescent="0.3">
      <c r="A89" s="175"/>
      <c r="B89" s="176"/>
      <c r="C89" s="176"/>
      <c r="D89" s="193"/>
      <c r="E89" s="194" t="s">
        <v>54</v>
      </c>
      <c r="F89" s="195"/>
      <c r="G89" s="196"/>
      <c r="H89" s="186"/>
      <c r="I89" s="187"/>
      <c r="J89" s="197">
        <f ca="1">IFERROR(__xludf.DUMMYFUNCTION("IMPORTRANGE(""https://docs.google.com/spreadsheets/d/11923uPwbBZFjjGgGUA6NLw09EwE0CqkOc4q9oUmW1yo/edit?usp=sharing"",""อุทัยธานี!J29"")"),0)</f>
        <v>0</v>
      </c>
      <c r="K89" s="163"/>
      <c r="L89" s="181"/>
      <c r="M89" s="181"/>
      <c r="N89" s="181"/>
      <c r="O89" s="181"/>
      <c r="P89" s="181"/>
    </row>
    <row r="90" spans="1:16" ht="21.75" customHeight="1" x14ac:dyDescent="0.3">
      <c r="A90" s="175"/>
      <c r="B90" s="176"/>
      <c r="C90" s="176"/>
      <c r="D90" s="205">
        <v>3</v>
      </c>
      <c r="E90" s="206" t="s">
        <v>55</v>
      </c>
      <c r="F90" s="207"/>
      <c r="G90" s="208"/>
      <c r="H90" s="186"/>
      <c r="I90" s="187"/>
      <c r="J90" s="209">
        <f ca="1">IFERROR(__xludf.DUMMYFUNCTION("IMPORTRANGE(""https://docs.google.com/spreadsheets/d/11923uPwbBZFjjGgGUA6NLw09EwE0CqkOc4q9oUmW1yo/edit?usp=sharing"",""อุทัยธานี!J30"")"),0)</f>
        <v>0</v>
      </c>
      <c r="K90" s="163"/>
      <c r="L90" s="181"/>
      <c r="M90" s="181"/>
      <c r="N90" s="181"/>
      <c r="O90" s="181"/>
      <c r="P90" s="181"/>
    </row>
    <row r="91" spans="1:16" ht="21.75" customHeight="1" x14ac:dyDescent="0.3">
      <c r="A91" s="210" t="s">
        <v>56</v>
      </c>
      <c r="B91" s="211"/>
      <c r="C91" s="212"/>
      <c r="D91" s="211"/>
      <c r="E91" s="213"/>
      <c r="F91" s="213"/>
      <c r="G91" s="214"/>
      <c r="H91" s="215"/>
      <c r="I91" s="216"/>
      <c r="J91" s="216"/>
      <c r="K91" s="217"/>
      <c r="L91" s="218"/>
      <c r="M91" s="218"/>
      <c r="N91" s="218"/>
      <c r="O91" s="219"/>
      <c r="P91" s="219"/>
    </row>
    <row r="92" spans="1:16" ht="21.75" customHeight="1" x14ac:dyDescent="0.3">
      <c r="A92" s="137"/>
      <c r="B92" s="138" t="s">
        <v>57</v>
      </c>
      <c r="C92" s="138"/>
      <c r="D92" s="139"/>
      <c r="E92" s="138"/>
      <c r="F92" s="138"/>
      <c r="G92" s="220"/>
      <c r="H92" s="140" t="s">
        <v>37</v>
      </c>
      <c r="I92" s="141">
        <f ca="1">IFERROR(__xludf.DUMMYFUNCTION("IMPORTRANGE(""https://docs.google.com/spreadsheets/d/11923uPwbBZFjjGgGUA6NLw09EwE0CqkOc4q9oUmW1yo/edit?usp=sharing"",""อุทัยธานี!I32"")"),4)</f>
        <v>4</v>
      </c>
      <c r="J92" s="141">
        <f ca="1">IFERROR(__xludf.DUMMYFUNCTION("IMPORTRANGE(""https://docs.google.com/spreadsheets/d/11923uPwbBZFjjGgGUA6NLw09EwE0CqkOc4q9oUmW1yo/edit?usp=sharing"",""อุทัยธานี!J32"")"),0)</f>
        <v>0</v>
      </c>
      <c r="K92" s="142">
        <f t="shared" ref="K92:K93" ca="1" si="51">IF(I92&gt;0,J92*100/I92,0)</f>
        <v>0</v>
      </c>
      <c r="L92" s="221"/>
      <c r="M92" s="221"/>
      <c r="N92" s="222"/>
      <c r="O92" s="142"/>
      <c r="P92" s="142"/>
    </row>
    <row r="93" spans="1:16" ht="21.75" customHeight="1" x14ac:dyDescent="0.3">
      <c r="A93" s="137"/>
      <c r="B93" s="138"/>
      <c r="C93" s="138"/>
      <c r="D93" s="139" t="s">
        <v>58</v>
      </c>
      <c r="E93" s="138"/>
      <c r="F93" s="138"/>
      <c r="G93" s="220"/>
      <c r="H93" s="140" t="s">
        <v>59</v>
      </c>
      <c r="I93" s="141">
        <f ca="1">IFERROR(__xludf.DUMMYFUNCTION("IMPORTRANGE(""https://docs.google.com/spreadsheets/d/11923uPwbBZFjjGgGUA6NLw09EwE0CqkOc4q9oUmW1yo/edit?usp=sharing"",""อุทัยธานี!I33"")"),1)</f>
        <v>1</v>
      </c>
      <c r="J93" s="141">
        <f ca="1">IFERROR(__xludf.DUMMYFUNCTION("IMPORTRANGE(""https://docs.google.com/spreadsheets/d/11923uPwbBZFjjGgGUA6NLw09EwE0CqkOc4q9oUmW1yo/edit?usp=sharing"",""อุทัยธานี!J33"")"),0)</f>
        <v>0</v>
      </c>
      <c r="K93" s="142">
        <f t="shared" ca="1" si="51"/>
        <v>0</v>
      </c>
      <c r="L93" s="222"/>
      <c r="M93" s="222"/>
      <c r="N93" s="222"/>
      <c r="O93" s="142"/>
      <c r="P93" s="142"/>
    </row>
    <row r="94" spans="1:16" ht="21.75" customHeight="1" x14ac:dyDescent="0.45">
      <c r="A94" s="145"/>
      <c r="B94" s="146"/>
      <c r="C94" s="147" t="s">
        <v>16</v>
      </c>
      <c r="D94" s="537" t="s">
        <v>17</v>
      </c>
      <c r="E94" s="528"/>
      <c r="F94" s="528"/>
      <c r="G94" s="528"/>
      <c r="H94" s="148" t="s">
        <v>12</v>
      </c>
      <c r="I94" s="162"/>
      <c r="J94" s="162"/>
      <c r="K94" s="163"/>
      <c r="L94" s="151">
        <f t="shared" ref="L94:N94" ca="1" si="52">L95+L96</f>
        <v>214500</v>
      </c>
      <c r="M94" s="151">
        <f t="shared" ca="1" si="52"/>
        <v>161130</v>
      </c>
      <c r="N94" s="151">
        <f t="shared" ca="1" si="52"/>
        <v>104820</v>
      </c>
      <c r="O94" s="150">
        <f t="shared" ref="O94:O96" ca="1" si="53">IF(L94&gt;0,N94*100/L94,0)</f>
        <v>48.867132867132867</v>
      </c>
      <c r="P94" s="150">
        <f t="shared" ref="P94:P96" ca="1" si="54">IF(M94&gt;0,N94*100/M94,0)</f>
        <v>65.053062744367907</v>
      </c>
    </row>
    <row r="95" spans="1:16" ht="21.75" customHeight="1" x14ac:dyDescent="0.45">
      <c r="A95" s="152"/>
      <c r="B95" s="32"/>
      <c r="C95" s="32"/>
      <c r="D95" s="32"/>
      <c r="E95" s="32"/>
      <c r="F95" s="32"/>
      <c r="G95" s="33" t="s">
        <v>18</v>
      </c>
      <c r="H95" s="153" t="s">
        <v>12</v>
      </c>
      <c r="I95" s="162"/>
      <c r="J95" s="162"/>
      <c r="K95" s="163"/>
      <c r="L95" s="87">
        <f t="shared" ref="L95:N95" si="55">L97+L101</f>
        <v>0</v>
      </c>
      <c r="M95" s="87">
        <f t="shared" si="55"/>
        <v>0</v>
      </c>
      <c r="N95" s="87">
        <f t="shared" si="55"/>
        <v>0</v>
      </c>
      <c r="O95" s="155">
        <f t="shared" si="53"/>
        <v>0</v>
      </c>
      <c r="P95" s="155">
        <f t="shared" si="54"/>
        <v>0</v>
      </c>
    </row>
    <row r="96" spans="1:16" ht="21.75" customHeight="1" x14ac:dyDescent="0.45">
      <c r="A96" s="152"/>
      <c r="B96" s="32"/>
      <c r="C96" s="32"/>
      <c r="D96" s="32"/>
      <c r="E96" s="32"/>
      <c r="F96" s="32"/>
      <c r="G96" s="33" t="s">
        <v>19</v>
      </c>
      <c r="H96" s="153" t="s">
        <v>12</v>
      </c>
      <c r="I96" s="162"/>
      <c r="J96" s="162"/>
      <c r="K96" s="163"/>
      <c r="L96" s="87">
        <f t="shared" ref="L96:N96" ca="1" si="56">L98+L102</f>
        <v>214500</v>
      </c>
      <c r="M96" s="87">
        <f t="shared" ca="1" si="56"/>
        <v>161130</v>
      </c>
      <c r="N96" s="87">
        <f t="shared" ca="1" si="56"/>
        <v>104820</v>
      </c>
      <c r="O96" s="155">
        <f t="shared" ca="1" si="53"/>
        <v>48.867132867132867</v>
      </c>
      <c r="P96" s="155">
        <f t="shared" ca="1" si="54"/>
        <v>65.053062744367907</v>
      </c>
    </row>
    <row r="97" spans="1:16" ht="21.75" customHeight="1" x14ac:dyDescent="0.3">
      <c r="A97" s="156"/>
      <c r="B97" s="157"/>
      <c r="C97" s="157" t="s">
        <v>16</v>
      </c>
      <c r="D97" s="158" t="s">
        <v>38</v>
      </c>
      <c r="E97" s="159"/>
      <c r="F97" s="159"/>
      <c r="G97" s="160" t="s">
        <v>39</v>
      </c>
      <c r="H97" s="161" t="s">
        <v>12</v>
      </c>
      <c r="I97" s="162" t="s">
        <v>40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3">
      <c r="A98" s="156"/>
      <c r="B98" s="157"/>
      <c r="C98" s="157"/>
      <c r="D98" s="166"/>
      <c r="E98" s="159"/>
      <c r="F98" s="159" t="s">
        <v>40</v>
      </c>
      <c r="G98" s="160" t="s">
        <v>41</v>
      </c>
      <c r="H98" s="161" t="s">
        <v>12</v>
      </c>
      <c r="I98" s="162"/>
      <c r="J98" s="162"/>
      <c r="K98" s="163"/>
      <c r="L98" s="167">
        <f ca="1">L99+L100</f>
        <v>122100</v>
      </c>
      <c r="M98" s="167">
        <f ca="1">IFERROR(__xludf.DUMMYFUNCTION("IMPORTRANGE(""https://docs.google.com/spreadsheets/d/1Yj_ptqi66GCucihVvJfMjLAmec39IyEx_6qawtMGysU/edit?usp=sharing"",""สบก!AR36"")"),68730)</f>
        <v>68730</v>
      </c>
      <c r="N98" s="168">
        <f ca="1">IFERROR(__xludf.DUMMYFUNCTION("IMPORTRANGE(""https://docs.google.com/spreadsheets/d/1Yj_ptqi66GCucihVvJfMjLAmec39IyEx_6qawtMGysU/edit?usp=sharing"",""สบก!AS36"")"),12420)</f>
        <v>12420</v>
      </c>
      <c r="O98" s="168">
        <f ca="1">IF(L98&gt;0,N98*100/L98,0)</f>
        <v>10.171990171990172</v>
      </c>
      <c r="P98" s="168">
        <f ca="1">IF(M98&gt;0,N98*100/M98,0)</f>
        <v>18.070711479703185</v>
      </c>
    </row>
    <row r="99" spans="1:16" ht="21.75" customHeight="1" x14ac:dyDescent="0.3">
      <c r="A99" s="156"/>
      <c r="B99" s="157"/>
      <c r="C99" s="157"/>
      <c r="D99" s="166"/>
      <c r="E99" s="159"/>
      <c r="F99" s="159"/>
      <c r="G99" s="169" t="s">
        <v>42</v>
      </c>
      <c r="H99" s="161" t="s">
        <v>12</v>
      </c>
      <c r="I99" s="162"/>
      <c r="J99" s="162"/>
      <c r="K99" s="163"/>
      <c r="L99" s="167">
        <f ca="1">IFERROR(__xludf.DUMMYFUNCTION("IMPORTRANGE(""https://docs.google.com/spreadsheets/d/1Yj_ptqi66GCucihVvJfMjLAmec39IyEx_6qawtMGysU/edit?usp=sharing"",""สบก!AN36"")"),0)</f>
        <v>0</v>
      </c>
      <c r="M99" s="167"/>
      <c r="N99" s="167"/>
      <c r="O99" s="168"/>
      <c r="P99" s="168"/>
    </row>
    <row r="100" spans="1:16" ht="21.75" customHeight="1" x14ac:dyDescent="0.3">
      <c r="A100" s="156"/>
      <c r="B100" s="157"/>
      <c r="C100" s="157"/>
      <c r="D100" s="166"/>
      <c r="E100" s="159"/>
      <c r="F100" s="159"/>
      <c r="G100" s="169" t="s">
        <v>43</v>
      </c>
      <c r="H100" s="161" t="s">
        <v>12</v>
      </c>
      <c r="I100" s="162"/>
      <c r="J100" s="187"/>
      <c r="K100" s="223"/>
      <c r="L100" s="167">
        <f ca="1">IFERROR(__xludf.DUMMYFUNCTION("IMPORTRANGE(""https://docs.google.com/spreadsheets/d/1Yj_ptqi66GCucihVvJfMjLAmec39IyEx_6qawtMGysU/edit?usp=sharing"",""สบก!AO36"")"),122100)</f>
        <v>122100</v>
      </c>
      <c r="M100" s="167"/>
      <c r="N100" s="167"/>
      <c r="O100" s="168"/>
      <c r="P100" s="168"/>
    </row>
    <row r="101" spans="1:16" ht="21.75" customHeight="1" x14ac:dyDescent="0.45">
      <c r="A101" s="170"/>
      <c r="B101" s="80"/>
      <c r="C101" s="81" t="s">
        <v>16</v>
      </c>
      <c r="D101" s="534" t="s">
        <v>23</v>
      </c>
      <c r="E101" s="530"/>
      <c r="F101" s="88"/>
      <c r="G101" s="82" t="s">
        <v>18</v>
      </c>
      <c r="H101" s="171" t="s">
        <v>12</v>
      </c>
      <c r="I101" s="187"/>
      <c r="J101" s="187"/>
      <c r="K101" s="223"/>
      <c r="L101" s="41">
        <v>0</v>
      </c>
      <c r="M101" s="41"/>
      <c r="N101" s="41"/>
      <c r="O101" s="41"/>
      <c r="P101" s="41"/>
    </row>
    <row r="102" spans="1:16" ht="21.75" customHeight="1" x14ac:dyDescent="0.45">
      <c r="A102" s="172"/>
      <c r="B102" s="91"/>
      <c r="C102" s="91"/>
      <c r="D102" s="173"/>
      <c r="E102" s="92"/>
      <c r="F102" s="92"/>
      <c r="G102" s="93" t="s">
        <v>19</v>
      </c>
      <c r="H102" s="174" t="s">
        <v>12</v>
      </c>
      <c r="I102" s="187"/>
      <c r="J102" s="187"/>
      <c r="K102" s="223"/>
      <c r="L102" s="49">
        <f ca="1">IFERROR(__xludf.DUMMYFUNCTION("IMPORTRANGE(""https://docs.google.com/spreadsheets/d/1Yj_ptqi66GCucihVvJfMjLAmec39IyEx_6qawtMGysU/edit?usp=sharing"",""สบก!AP36"")"),92400)</f>
        <v>92400</v>
      </c>
      <c r="M102" s="49">
        <f ca="1">L102</f>
        <v>92400</v>
      </c>
      <c r="N102" s="49">
        <f ca="1">IFERROR(__xludf.DUMMYFUNCTION("IMPORTRANGE(""https://docs.google.com/spreadsheets/d/1Yj_ptqi66GCucihVvJfMjLAmec39IyEx_6qawtMGysU/edit?usp=sharing"",""สบก!AT36"")"),92400)</f>
        <v>92400</v>
      </c>
      <c r="O102" s="49">
        <f ca="1">IF(L102&gt;0,N102*100/L102,0)</f>
        <v>100</v>
      </c>
      <c r="P102" s="49">
        <f ca="1">IF(M102&gt;0,N102*100/M102,0)</f>
        <v>100</v>
      </c>
    </row>
    <row r="103" spans="1:16" ht="21.75" customHeight="1" x14ac:dyDescent="0.3">
      <c r="A103" s="175"/>
      <c r="B103" s="176"/>
      <c r="C103" s="157" t="s">
        <v>16</v>
      </c>
      <c r="D103" s="177" t="s">
        <v>44</v>
      </c>
      <c r="E103" s="178"/>
      <c r="F103" s="178"/>
      <c r="G103" s="179"/>
      <c r="H103" s="180"/>
      <c r="I103" s="162"/>
      <c r="J103" s="187"/>
      <c r="K103" s="223"/>
      <c r="L103" s="168"/>
      <c r="M103" s="168"/>
      <c r="N103" s="168"/>
      <c r="O103" s="181"/>
      <c r="P103" s="181"/>
    </row>
    <row r="104" spans="1:16" ht="21.75" customHeight="1" x14ac:dyDescent="0.3">
      <c r="A104" s="175"/>
      <c r="B104" s="176"/>
      <c r="C104" s="176"/>
      <c r="D104" s="182">
        <v>1</v>
      </c>
      <c r="E104" s="183" t="s">
        <v>45</v>
      </c>
      <c r="F104" s="184"/>
      <c r="G104" s="185"/>
      <c r="H104" s="186"/>
      <c r="I104" s="187"/>
      <c r="J104" s="187">
        <f ca="1">IFERROR(__xludf.DUMMYFUNCTION("IMPORTRANGE(""https://docs.google.com/spreadsheets/d/11923uPwbBZFjjGgGUA6NLw09EwE0CqkOc4q9oUmW1yo/edit?usp=sharing"",""อุทัยธานี!J39"")"),0)</f>
        <v>0</v>
      </c>
      <c r="K104" s="223"/>
      <c r="L104" s="168"/>
      <c r="M104" s="168"/>
      <c r="N104" s="168"/>
      <c r="O104" s="181"/>
      <c r="P104" s="181"/>
    </row>
    <row r="105" spans="1:16" ht="21.75" customHeight="1" x14ac:dyDescent="0.3">
      <c r="A105" s="175"/>
      <c r="B105" s="176"/>
      <c r="C105" s="176"/>
      <c r="D105" s="189">
        <v>2</v>
      </c>
      <c r="E105" s="190" t="s">
        <v>46</v>
      </c>
      <c r="F105" s="191"/>
      <c r="G105" s="192"/>
      <c r="H105" s="186"/>
      <c r="I105" s="187"/>
      <c r="J105" s="187">
        <f ca="1">IFERROR(__xludf.DUMMYFUNCTION("IMPORTRANGE(""https://docs.google.com/spreadsheets/d/11923uPwbBZFjjGgGUA6NLw09EwE0CqkOc4q9oUmW1yo/edit?usp=sharing"",""อุทัยธานี!J40"")"),1)</f>
        <v>1</v>
      </c>
      <c r="K105" s="223"/>
      <c r="L105" s="168" t="s">
        <v>40</v>
      </c>
      <c r="M105" s="168"/>
      <c r="N105" s="168" t="s">
        <v>40</v>
      </c>
      <c r="O105" s="181"/>
      <c r="P105" s="181"/>
    </row>
    <row r="106" spans="1:16" ht="21.75" customHeight="1" x14ac:dyDescent="0.3">
      <c r="A106" s="175"/>
      <c r="B106" s="176"/>
      <c r="C106" s="176"/>
      <c r="D106" s="193"/>
      <c r="E106" s="194" t="s">
        <v>47</v>
      </c>
      <c r="F106" s="195"/>
      <c r="G106" s="196"/>
      <c r="H106" s="186"/>
      <c r="I106" s="187"/>
      <c r="J106" s="187">
        <f ca="1">IFERROR(__xludf.DUMMYFUNCTION("IMPORTRANGE(""https://docs.google.com/spreadsheets/d/11923uPwbBZFjjGgGUA6NLw09EwE0CqkOc4q9oUmW1yo/edit?usp=sharing"",""อุทัยธานี!J41"")"),1)</f>
        <v>1</v>
      </c>
      <c r="K106" s="223"/>
      <c r="L106" s="168"/>
      <c r="M106" s="168"/>
      <c r="N106" s="168"/>
      <c r="O106" s="181"/>
      <c r="P106" s="181"/>
    </row>
    <row r="107" spans="1:16" ht="21.75" customHeight="1" x14ac:dyDescent="0.3">
      <c r="A107" s="175"/>
      <c r="B107" s="176"/>
      <c r="C107" s="176"/>
      <c r="D107" s="193"/>
      <c r="E107" s="194" t="s">
        <v>48</v>
      </c>
      <c r="F107" s="195"/>
      <c r="G107" s="196"/>
      <c r="H107" s="186"/>
      <c r="I107" s="187"/>
      <c r="J107" s="187">
        <f ca="1">IFERROR(__xludf.DUMMYFUNCTION("IMPORTRANGE(""https://docs.google.com/spreadsheets/d/11923uPwbBZFjjGgGUA6NLw09EwE0CqkOc4q9oUmW1yo/edit?usp=sharing"",""อุทัยธานี!J42"")"),1)</f>
        <v>1</v>
      </c>
      <c r="K107" s="223"/>
      <c r="L107" s="168"/>
      <c r="M107" s="168"/>
      <c r="N107" s="168"/>
      <c r="O107" s="181"/>
      <c r="P107" s="181"/>
    </row>
    <row r="108" spans="1:16" ht="21.75" customHeight="1" x14ac:dyDescent="0.3">
      <c r="A108" s="175"/>
      <c r="B108" s="176"/>
      <c r="C108" s="176"/>
      <c r="D108" s="193"/>
      <c r="E108" s="195"/>
      <c r="F108" s="195" t="s">
        <v>60</v>
      </c>
      <c r="G108" s="195"/>
      <c r="H108" s="180" t="s">
        <v>61</v>
      </c>
      <c r="I108" s="202">
        <f ca="1">IFERROR(__xludf.DUMMYFUNCTION("IMPORTRANGE(""https://docs.google.com/spreadsheets/d/11923uPwbBZFjjGgGUA6NLw09EwE0CqkOc4q9oUmW1yo/edit?usp=sharing"",""อุทัยธานี!I43"")"),1)</f>
        <v>1</v>
      </c>
      <c r="J108" s="203">
        <f ca="1">IFERROR(__xludf.DUMMYFUNCTION("IMPORTRANGE(""https://docs.google.com/spreadsheets/d/11923uPwbBZFjjGgGUA6NLw09EwE0CqkOc4q9oUmW1yo/edit?usp=sharing"",""อุทัยธานี!J43"")"),1)</f>
        <v>1</v>
      </c>
      <c r="K108" s="223">
        <f t="shared" ref="K108:K113" ca="1" si="57">IF(I108&gt;0,J108*100/I108,0)</f>
        <v>100</v>
      </c>
      <c r="L108" s="168"/>
      <c r="M108" s="168"/>
      <c r="N108" s="168"/>
      <c r="O108" s="181"/>
      <c r="P108" s="181"/>
    </row>
    <row r="109" spans="1:16" ht="21.75" customHeight="1" x14ac:dyDescent="0.3">
      <c r="A109" s="175"/>
      <c r="B109" s="176"/>
      <c r="C109" s="176"/>
      <c r="D109" s="193"/>
      <c r="E109" s="198"/>
      <c r="F109" s="194" t="s">
        <v>62</v>
      </c>
      <c r="G109" s="195"/>
      <c r="H109" s="180" t="s">
        <v>37</v>
      </c>
      <c r="I109" s="202">
        <f ca="1">IFERROR(__xludf.DUMMYFUNCTION("IMPORTRANGE(""https://docs.google.com/spreadsheets/d/11923uPwbBZFjjGgGUA6NLw09EwE0CqkOc4q9oUmW1yo/edit?usp=sharing"",""อุทัยธานี!I44"")"),4)</f>
        <v>4</v>
      </c>
      <c r="J109" s="203">
        <f ca="1">IFERROR(__xludf.DUMMYFUNCTION("IMPORTRANGE(""https://docs.google.com/spreadsheets/d/11923uPwbBZFjjGgGUA6NLw09EwE0CqkOc4q9oUmW1yo/edit?usp=sharing"",""อุทัยธานี!J44"")"),0)</f>
        <v>0</v>
      </c>
      <c r="K109" s="223">
        <f t="shared" ca="1" si="57"/>
        <v>0</v>
      </c>
      <c r="L109" s="168"/>
      <c r="M109" s="168"/>
      <c r="N109" s="168"/>
      <c r="O109" s="181"/>
      <c r="P109" s="181"/>
    </row>
    <row r="110" spans="1:16" ht="21.75" customHeight="1" x14ac:dyDescent="0.3">
      <c r="A110" s="175"/>
      <c r="B110" s="176"/>
      <c r="C110" s="176"/>
      <c r="D110" s="193"/>
      <c r="E110" s="198"/>
      <c r="F110" s="195"/>
      <c r="G110" s="224" t="s">
        <v>63</v>
      </c>
      <c r="H110" s="180" t="s">
        <v>37</v>
      </c>
      <c r="I110" s="202">
        <f ca="1">IFERROR(__xludf.DUMMYFUNCTION("IMPORTRANGE(""https://docs.google.com/spreadsheets/d/11923uPwbBZFjjGgGUA6NLw09EwE0CqkOc4q9oUmW1yo/edit?usp=sharing"",""อุทัยธานี!I45"")"),4)</f>
        <v>4</v>
      </c>
      <c r="J110" s="203">
        <f ca="1">IFERROR(__xludf.DUMMYFUNCTION("IMPORTRANGE(""https://docs.google.com/spreadsheets/d/11923uPwbBZFjjGgGUA6NLw09EwE0CqkOc4q9oUmW1yo/edit?usp=sharing"",""อุทัยธานี!J45"")"),4)</f>
        <v>4</v>
      </c>
      <c r="K110" s="223">
        <f t="shared" ca="1" si="57"/>
        <v>100</v>
      </c>
      <c r="L110" s="168"/>
      <c r="M110" s="168"/>
      <c r="N110" s="168"/>
      <c r="O110" s="181"/>
      <c r="P110" s="181"/>
    </row>
    <row r="111" spans="1:16" ht="21.75" customHeight="1" x14ac:dyDescent="0.3">
      <c r="A111" s="175"/>
      <c r="B111" s="176"/>
      <c r="C111" s="176"/>
      <c r="D111" s="193"/>
      <c r="E111" s="198"/>
      <c r="F111" s="195"/>
      <c r="G111" s="224" t="s">
        <v>64</v>
      </c>
      <c r="H111" s="180" t="s">
        <v>37</v>
      </c>
      <c r="I111" s="202">
        <f ca="1">IFERROR(__xludf.DUMMYFUNCTION("IMPORTRANGE(""https://docs.google.com/spreadsheets/d/11923uPwbBZFjjGgGUA6NLw09EwE0CqkOc4q9oUmW1yo/edit?usp=sharing"",""อุทัยธานี!I46"")"),4)</f>
        <v>4</v>
      </c>
      <c r="J111" s="203">
        <f ca="1">IFERROR(__xludf.DUMMYFUNCTION("IMPORTRANGE(""https://docs.google.com/spreadsheets/d/11923uPwbBZFjjGgGUA6NLw09EwE0CqkOc4q9oUmW1yo/edit?usp=sharing"",""อุทัยธานี!J46"")"),0)</f>
        <v>0</v>
      </c>
      <c r="K111" s="223">
        <f t="shared" ca="1" si="57"/>
        <v>0</v>
      </c>
      <c r="L111" s="168"/>
      <c r="M111" s="168"/>
      <c r="N111" s="168"/>
      <c r="O111" s="181"/>
      <c r="P111" s="181"/>
    </row>
    <row r="112" spans="1:16" ht="21.75" customHeight="1" x14ac:dyDescent="0.3">
      <c r="A112" s="175"/>
      <c r="B112" s="176"/>
      <c r="C112" s="176"/>
      <c r="D112" s="193"/>
      <c r="E112" s="198"/>
      <c r="F112" s="195"/>
      <c r="G112" s="225" t="s">
        <v>65</v>
      </c>
      <c r="H112" s="180" t="s">
        <v>37</v>
      </c>
      <c r="I112" s="202">
        <f ca="1">IFERROR(__xludf.DUMMYFUNCTION("IMPORTRANGE(""https://docs.google.com/spreadsheets/d/11923uPwbBZFjjGgGUA6NLw09EwE0CqkOc4q9oUmW1yo/edit?usp=sharing"",""อุทัยธานี!I47"")"),4)</f>
        <v>4</v>
      </c>
      <c r="J112" s="203">
        <f ca="1">IFERROR(__xludf.DUMMYFUNCTION("IMPORTRANGE(""https://docs.google.com/spreadsheets/d/11923uPwbBZFjjGgGUA6NLw09EwE0CqkOc4q9oUmW1yo/edit?usp=sharing"",""อุทัยธานี!J47"")"),0)</f>
        <v>0</v>
      </c>
      <c r="K112" s="223">
        <f t="shared" ca="1" si="57"/>
        <v>0</v>
      </c>
      <c r="L112" s="168"/>
      <c r="M112" s="168"/>
      <c r="N112" s="168"/>
      <c r="O112" s="181"/>
      <c r="P112" s="181"/>
    </row>
    <row r="113" spans="1:16" ht="21.75" customHeight="1" x14ac:dyDescent="0.3">
      <c r="A113" s="175"/>
      <c r="B113" s="176"/>
      <c r="C113" s="176"/>
      <c r="D113" s="193"/>
      <c r="E113" s="198"/>
      <c r="F113" s="195" t="s">
        <v>66</v>
      </c>
      <c r="G113" s="195"/>
      <c r="H113" s="180" t="s">
        <v>59</v>
      </c>
      <c r="I113" s="202">
        <f ca="1">IFERROR(__xludf.DUMMYFUNCTION("IMPORTRANGE(""https://docs.google.com/spreadsheets/d/11923uPwbBZFjjGgGUA6NLw09EwE0CqkOc4q9oUmW1yo/edit?usp=sharing"",""อุทัยธานี!I48"")"),1)</f>
        <v>1</v>
      </c>
      <c r="J113" s="203">
        <f ca="1">IFERROR(__xludf.DUMMYFUNCTION("IMPORTRANGE(""https://docs.google.com/spreadsheets/d/11923uPwbBZFjjGgGUA6NLw09EwE0CqkOc4q9oUmW1yo/edit?usp=sharing"",""อุทัยธานี!J48"")"),0)</f>
        <v>0</v>
      </c>
      <c r="K113" s="223">
        <f t="shared" ca="1" si="57"/>
        <v>0</v>
      </c>
      <c r="L113" s="168"/>
      <c r="M113" s="168"/>
      <c r="N113" s="168"/>
      <c r="O113" s="181"/>
      <c r="P113" s="181"/>
    </row>
    <row r="114" spans="1:16" ht="21.75" customHeight="1" x14ac:dyDescent="0.3">
      <c r="A114" s="175"/>
      <c r="B114" s="176"/>
      <c r="C114" s="176"/>
      <c r="D114" s="193"/>
      <c r="E114" s="194" t="s">
        <v>54</v>
      </c>
      <c r="F114" s="195"/>
      <c r="G114" s="196"/>
      <c r="H114" s="186"/>
      <c r="I114" s="187"/>
      <c r="J114" s="187">
        <f ca="1">IFERROR(__xludf.DUMMYFUNCTION("IMPORTRANGE(""https://docs.google.com/spreadsheets/d/11923uPwbBZFjjGgGUA6NLw09EwE0CqkOc4q9oUmW1yo/edit?usp=sharing"",""อุทัยธานี!J49"")"),0)</f>
        <v>0</v>
      </c>
      <c r="K114" s="223"/>
      <c r="L114" s="168"/>
      <c r="M114" s="168"/>
      <c r="N114" s="168"/>
      <c r="O114" s="181"/>
      <c r="P114" s="181"/>
    </row>
    <row r="115" spans="1:16" ht="21.75" customHeight="1" x14ac:dyDescent="0.3">
      <c r="A115" s="175"/>
      <c r="B115" s="176"/>
      <c r="C115" s="176"/>
      <c r="D115" s="205">
        <v>3</v>
      </c>
      <c r="E115" s="206" t="s">
        <v>55</v>
      </c>
      <c r="F115" s="207"/>
      <c r="G115" s="208"/>
      <c r="H115" s="186"/>
      <c r="I115" s="187"/>
      <c r="J115" s="226">
        <f ca="1">IFERROR(__xludf.DUMMYFUNCTION("IMPORTRANGE(""https://docs.google.com/spreadsheets/d/11923uPwbBZFjjGgGUA6NLw09EwE0CqkOc4q9oUmW1yo/edit?usp=sharing"",""อุทัยธานี!J50"")"),0)</f>
        <v>0</v>
      </c>
      <c r="K115" s="223"/>
      <c r="L115" s="168"/>
      <c r="M115" s="168"/>
      <c r="N115" s="168"/>
      <c r="O115" s="181"/>
      <c r="P115" s="181"/>
    </row>
    <row r="116" spans="1:16" ht="21.75" customHeight="1" x14ac:dyDescent="0.3">
      <c r="A116" s="210" t="s">
        <v>67</v>
      </c>
      <c r="B116" s="227"/>
      <c r="C116" s="228"/>
      <c r="D116" s="227"/>
      <c r="E116" s="229"/>
      <c r="F116" s="229"/>
      <c r="G116" s="230"/>
      <c r="H116" s="215"/>
      <c r="I116" s="216"/>
      <c r="J116" s="216"/>
      <c r="K116" s="217"/>
      <c r="L116" s="218"/>
      <c r="M116" s="218"/>
      <c r="N116" s="218"/>
      <c r="O116" s="219"/>
      <c r="P116" s="219"/>
    </row>
    <row r="117" spans="1:16" ht="21.75" customHeight="1" x14ac:dyDescent="0.3">
      <c r="A117" s="137"/>
      <c r="B117" s="138" t="s">
        <v>68</v>
      </c>
      <c r="C117" s="231"/>
      <c r="D117" s="139"/>
      <c r="E117" s="138"/>
      <c r="F117" s="138"/>
      <c r="G117" s="220"/>
      <c r="H117" s="140" t="s">
        <v>37</v>
      </c>
      <c r="I117" s="141">
        <f ca="1">IFERROR(__xludf.DUMMYFUNCTION("IMPORTRANGE(""https://docs.google.com/spreadsheets/d/11923uPwbBZFjjGgGUA6NLw09EwE0CqkOc4q9oUmW1yo/edit?usp=sharing"",""อุทัยธานี!I52"")"),0)</f>
        <v>0</v>
      </c>
      <c r="J117" s="141">
        <f ca="1">IFERROR(__xludf.DUMMYFUNCTION("IMPORTRANGE(""https://docs.google.com/spreadsheets/d/11923uPwbBZFjjGgGUA6NLw09EwE0CqkOc4q9oUmW1yo/edit?usp=sharing"",""อุทัยธานี!J52"")"),0)</f>
        <v>0</v>
      </c>
      <c r="K117" s="142">
        <f ca="1">IF(I117&gt;0,J117*100/I117,0)</f>
        <v>0</v>
      </c>
      <c r="L117" s="143"/>
      <c r="M117" s="143"/>
      <c r="N117" s="144"/>
      <c r="O117" s="142"/>
      <c r="P117" s="142"/>
    </row>
    <row r="118" spans="1:16" ht="21.75" customHeight="1" x14ac:dyDescent="0.45">
      <c r="A118" s="145"/>
      <c r="B118" s="146"/>
      <c r="C118" s="147" t="s">
        <v>16</v>
      </c>
      <c r="D118" s="537" t="s">
        <v>17</v>
      </c>
      <c r="E118" s="528"/>
      <c r="F118" s="528"/>
      <c r="G118" s="528"/>
      <c r="H118" s="148" t="s">
        <v>12</v>
      </c>
      <c r="I118" s="162"/>
      <c r="J118" s="162"/>
      <c r="K118" s="163"/>
      <c r="L118" s="151">
        <f t="shared" ref="L118:N118" ca="1" si="58">L119+L120</f>
        <v>0</v>
      </c>
      <c r="M118" s="151">
        <f t="shared" ca="1" si="58"/>
        <v>0</v>
      </c>
      <c r="N118" s="151">
        <f t="shared" ca="1" si="58"/>
        <v>0</v>
      </c>
      <c r="O118" s="150">
        <f t="shared" ref="O118:O120" ca="1" si="59">IF(L118&gt;0,N118*100/L118,0)</f>
        <v>0</v>
      </c>
      <c r="P118" s="150">
        <f t="shared" ref="P118:P120" ca="1" si="60">IF(M118&gt;0,N118*100/M118,0)</f>
        <v>0</v>
      </c>
    </row>
    <row r="119" spans="1:16" ht="21.75" customHeight="1" x14ac:dyDescent="0.45">
      <c r="A119" s="152"/>
      <c r="B119" s="32"/>
      <c r="C119" s="32"/>
      <c r="D119" s="32"/>
      <c r="E119" s="32"/>
      <c r="F119" s="32"/>
      <c r="G119" s="33" t="s">
        <v>18</v>
      </c>
      <c r="H119" s="153" t="s">
        <v>12</v>
      </c>
      <c r="I119" s="162"/>
      <c r="J119" s="162"/>
      <c r="K119" s="163"/>
      <c r="L119" s="87">
        <f t="shared" ref="L119:N119" si="61">L121+L125</f>
        <v>0</v>
      </c>
      <c r="M119" s="87">
        <f t="shared" si="61"/>
        <v>0</v>
      </c>
      <c r="N119" s="87">
        <f t="shared" si="61"/>
        <v>0</v>
      </c>
      <c r="O119" s="155">
        <f t="shared" si="59"/>
        <v>0</v>
      </c>
      <c r="P119" s="155">
        <f t="shared" si="60"/>
        <v>0</v>
      </c>
    </row>
    <row r="120" spans="1:16" ht="21.75" customHeight="1" x14ac:dyDescent="0.45">
      <c r="A120" s="152"/>
      <c r="B120" s="32"/>
      <c r="C120" s="32"/>
      <c r="D120" s="32"/>
      <c r="E120" s="32"/>
      <c r="F120" s="32"/>
      <c r="G120" s="33" t="s">
        <v>19</v>
      </c>
      <c r="H120" s="153" t="s">
        <v>12</v>
      </c>
      <c r="I120" s="162"/>
      <c r="J120" s="162"/>
      <c r="K120" s="163"/>
      <c r="L120" s="87">
        <f t="shared" ref="L120:N120" ca="1" si="62">L122+L126</f>
        <v>0</v>
      </c>
      <c r="M120" s="87">
        <f t="shared" ca="1" si="62"/>
        <v>0</v>
      </c>
      <c r="N120" s="87">
        <f t="shared" ca="1" si="62"/>
        <v>0</v>
      </c>
      <c r="O120" s="155">
        <f t="shared" ca="1" si="59"/>
        <v>0</v>
      </c>
      <c r="P120" s="155">
        <f t="shared" ca="1" si="60"/>
        <v>0</v>
      </c>
    </row>
    <row r="121" spans="1:16" ht="21.75" customHeight="1" x14ac:dyDescent="0.3">
      <c r="A121" s="156"/>
      <c r="B121" s="157"/>
      <c r="C121" s="157" t="s">
        <v>16</v>
      </c>
      <c r="D121" s="158" t="s">
        <v>38</v>
      </c>
      <c r="E121" s="159"/>
      <c r="F121" s="159"/>
      <c r="G121" s="160" t="s">
        <v>39</v>
      </c>
      <c r="H121" s="161" t="s">
        <v>12</v>
      </c>
      <c r="I121" s="162" t="s">
        <v>40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3">
      <c r="A122" s="156"/>
      <c r="B122" s="157"/>
      <c r="C122" s="157"/>
      <c r="D122" s="166"/>
      <c r="E122" s="159"/>
      <c r="F122" s="159" t="s">
        <v>40</v>
      </c>
      <c r="G122" s="160" t="s">
        <v>41</v>
      </c>
      <c r="H122" s="161" t="s">
        <v>12</v>
      </c>
      <c r="I122" s="162"/>
      <c r="J122" s="162"/>
      <c r="K122" s="163"/>
      <c r="L122" s="167">
        <f ca="1">L123+L124</f>
        <v>0</v>
      </c>
      <c r="M122" s="167">
        <f ca="1">IFERROR(__xludf.DUMMYFUNCTION("IMPORTRANGE(""https://docs.google.com/spreadsheets/d/1Yj_ptqi66GCucihVvJfMjLAmec39IyEx_6qawtMGysU/edit?usp=sharing"",""สบก!BA36"")"),0)</f>
        <v>0</v>
      </c>
      <c r="N122" s="168">
        <f ca="1">IFERROR(__xludf.DUMMYFUNCTION("IMPORTRANGE(""https://docs.google.com/spreadsheets/d/1Yj_ptqi66GCucihVvJfMjLAmec39IyEx_6qawtMGysU/edit?usp=sharing"",""สบก!BB36"")"),0)</f>
        <v>0</v>
      </c>
      <c r="O122" s="168">
        <f ca="1">IF(L122&gt;0,N122*100/L122,0)</f>
        <v>0</v>
      </c>
      <c r="P122" s="168">
        <f ca="1">IF(M122&gt;0,N122*100/M122,0)</f>
        <v>0</v>
      </c>
    </row>
    <row r="123" spans="1:16" ht="21.75" customHeight="1" x14ac:dyDescent="0.3">
      <c r="A123" s="156"/>
      <c r="B123" s="157"/>
      <c r="C123" s="157"/>
      <c r="D123" s="166"/>
      <c r="E123" s="159"/>
      <c r="F123" s="159"/>
      <c r="G123" s="169" t="s">
        <v>42</v>
      </c>
      <c r="H123" s="161" t="s">
        <v>12</v>
      </c>
      <c r="I123" s="162"/>
      <c r="J123" s="162"/>
      <c r="K123" s="163"/>
      <c r="L123" s="167">
        <f ca="1">IFERROR(__xludf.DUMMYFUNCTION("IMPORTRANGE(""https://docs.google.com/spreadsheets/d/1Yj_ptqi66GCucihVvJfMjLAmec39IyEx_6qawtMGysU/edit?usp=sharing"",""สบก!AW36"")"),0)</f>
        <v>0</v>
      </c>
      <c r="M123" s="167"/>
      <c r="N123" s="167"/>
      <c r="O123" s="168"/>
      <c r="P123" s="168"/>
    </row>
    <row r="124" spans="1:16" ht="21.75" customHeight="1" x14ac:dyDescent="0.3">
      <c r="A124" s="156"/>
      <c r="B124" s="157"/>
      <c r="C124" s="157"/>
      <c r="D124" s="166"/>
      <c r="E124" s="159"/>
      <c r="F124" s="159"/>
      <c r="G124" s="169" t="s">
        <v>43</v>
      </c>
      <c r="H124" s="161" t="s">
        <v>12</v>
      </c>
      <c r="I124" s="162"/>
      <c r="J124" s="187"/>
      <c r="K124" s="223"/>
      <c r="L124" s="167">
        <f ca="1">IFERROR(__xludf.DUMMYFUNCTION("IMPORTRANGE(""https://docs.google.com/spreadsheets/d/1Yj_ptqi66GCucihVvJfMjLAmec39IyEx_6qawtMGysU/edit?usp=sharing"",""สบก!AX36"")"),0)</f>
        <v>0</v>
      </c>
      <c r="M124" s="167"/>
      <c r="N124" s="167"/>
      <c r="O124" s="168"/>
      <c r="P124" s="168"/>
    </row>
    <row r="125" spans="1:16" ht="21.75" customHeight="1" x14ac:dyDescent="0.45">
      <c r="A125" s="170"/>
      <c r="B125" s="80"/>
      <c r="C125" s="81" t="s">
        <v>16</v>
      </c>
      <c r="D125" s="534" t="s">
        <v>23</v>
      </c>
      <c r="E125" s="530"/>
      <c r="F125" s="88"/>
      <c r="G125" s="82" t="s">
        <v>18</v>
      </c>
      <c r="H125" s="171" t="s">
        <v>12</v>
      </c>
      <c r="I125" s="187"/>
      <c r="J125" s="187"/>
      <c r="K125" s="223"/>
      <c r="L125" s="41">
        <v>0</v>
      </c>
      <c r="M125" s="41"/>
      <c r="N125" s="41"/>
      <c r="O125" s="41"/>
      <c r="P125" s="41"/>
    </row>
    <row r="126" spans="1:16" ht="21.75" customHeight="1" x14ac:dyDescent="0.45">
      <c r="A126" s="172"/>
      <c r="B126" s="91"/>
      <c r="C126" s="91"/>
      <c r="D126" s="173"/>
      <c r="E126" s="92"/>
      <c r="F126" s="92"/>
      <c r="G126" s="93" t="s">
        <v>19</v>
      </c>
      <c r="H126" s="174" t="s">
        <v>12</v>
      </c>
      <c r="I126" s="187"/>
      <c r="J126" s="187"/>
      <c r="K126" s="223"/>
      <c r="L126" s="49">
        <f ca="1">IFERROR(__xludf.DUMMYFUNCTION("IMPORTRANGE(""https://docs.google.com/spreadsheets/d/1Yj_ptqi66GCucihVvJfMjLAmec39IyEx_6qawtMGysU/edit?usp=sharing"",""สบก!AY36"")"),0)</f>
        <v>0</v>
      </c>
      <c r="M126" s="49"/>
      <c r="N126" s="49">
        <f ca="1">IFERROR(__xludf.DUMMYFUNCTION("IMPORTRANGE(""https://docs.google.com/spreadsheets/d/1Yj_ptqi66GCucihVvJfMjLAmec39IyEx_6qawtMGysU/edit?usp=sharing"",""สบก!BC36"")"),0)</f>
        <v>0</v>
      </c>
      <c r="O126" s="49">
        <f ca="1">IF(L126&gt;0,N126*100/L126,0)</f>
        <v>0</v>
      </c>
      <c r="P126" s="49"/>
    </row>
    <row r="127" spans="1:16" ht="21.75" customHeight="1" x14ac:dyDescent="0.3">
      <c r="A127" s="175"/>
      <c r="B127" s="176"/>
      <c r="C127" s="157" t="s">
        <v>16</v>
      </c>
      <c r="D127" s="232" t="s">
        <v>271</v>
      </c>
      <c r="E127" s="178"/>
      <c r="F127" s="178"/>
      <c r="G127" s="179"/>
      <c r="H127" s="180"/>
      <c r="I127" s="162"/>
      <c r="J127" s="187"/>
      <c r="K127" s="223"/>
      <c r="L127" s="168"/>
      <c r="M127" s="168"/>
      <c r="N127" s="168"/>
      <c r="O127" s="181"/>
      <c r="P127" s="181"/>
    </row>
    <row r="128" spans="1:16" ht="21.75" customHeight="1" x14ac:dyDescent="0.3">
      <c r="A128" s="175"/>
      <c r="B128" s="176"/>
      <c r="C128" s="176"/>
      <c r="D128" s="182">
        <v>1</v>
      </c>
      <c r="E128" s="183" t="s">
        <v>45</v>
      </c>
      <c r="F128" s="184"/>
      <c r="G128" s="185"/>
      <c r="H128" s="186"/>
      <c r="I128" s="187"/>
      <c r="J128" s="203">
        <f ca="1">IFERROR(__xludf.DUMMYFUNCTION("IMPORTRANGE(""https://docs.google.com/spreadsheets/d/11923uPwbBZFjjGgGUA6NLw09EwE0CqkOc4q9oUmW1yo/edit?usp=sharing"",""อุทัยธานี!J58"")"),0)</f>
        <v>0</v>
      </c>
      <c r="K128" s="223"/>
      <c r="L128" s="168"/>
      <c r="M128" s="168"/>
      <c r="N128" s="168"/>
      <c r="O128" s="181"/>
      <c r="P128" s="181"/>
    </row>
    <row r="129" spans="1:16" ht="21.75" customHeight="1" x14ac:dyDescent="0.3">
      <c r="A129" s="175"/>
      <c r="B129" s="176"/>
      <c r="C129" s="176"/>
      <c r="D129" s="189">
        <v>2</v>
      </c>
      <c r="E129" s="190" t="s">
        <v>46</v>
      </c>
      <c r="F129" s="191"/>
      <c r="G129" s="192"/>
      <c r="H129" s="186"/>
      <c r="I129" s="187"/>
      <c r="J129" s="187">
        <f ca="1">IFERROR(__xludf.DUMMYFUNCTION("IMPORTRANGE(""https://docs.google.com/spreadsheets/d/11923uPwbBZFjjGgGUA6NLw09EwE0CqkOc4q9oUmW1yo/edit?usp=sharing"",""อุทัยธานี!J59"")"),0)</f>
        <v>0</v>
      </c>
      <c r="K129" s="223"/>
      <c r="L129" s="168" t="s">
        <v>40</v>
      </c>
      <c r="M129" s="168"/>
      <c r="N129" s="168" t="s">
        <v>40</v>
      </c>
      <c r="O129" s="181"/>
      <c r="P129" s="181"/>
    </row>
    <row r="130" spans="1:16" ht="21.75" customHeight="1" x14ac:dyDescent="0.3">
      <c r="A130" s="175"/>
      <c r="B130" s="176"/>
      <c r="C130" s="176"/>
      <c r="D130" s="193"/>
      <c r="E130" s="194" t="s">
        <v>47</v>
      </c>
      <c r="F130" s="195"/>
      <c r="G130" s="196"/>
      <c r="H130" s="186"/>
      <c r="I130" s="187"/>
      <c r="J130" s="187">
        <f ca="1">IFERROR(__xludf.DUMMYFUNCTION("IMPORTRANGE(""https://docs.google.com/spreadsheets/d/11923uPwbBZFjjGgGUA6NLw09EwE0CqkOc4q9oUmW1yo/edit?usp=sharing"",""อุทัยธานี!J60"")"),0)</f>
        <v>0</v>
      </c>
      <c r="K130" s="223"/>
      <c r="L130" s="168"/>
      <c r="M130" s="168"/>
      <c r="N130" s="168"/>
      <c r="O130" s="181"/>
      <c r="P130" s="181"/>
    </row>
    <row r="131" spans="1:16" ht="21.75" customHeight="1" x14ac:dyDescent="0.3">
      <c r="A131" s="175"/>
      <c r="B131" s="176"/>
      <c r="C131" s="176"/>
      <c r="D131" s="193"/>
      <c r="E131" s="194" t="s">
        <v>48</v>
      </c>
      <c r="F131" s="195"/>
      <c r="G131" s="196"/>
      <c r="H131" s="186"/>
      <c r="I131" s="187"/>
      <c r="J131" s="187">
        <f ca="1">IFERROR(__xludf.DUMMYFUNCTION("IMPORTRANGE(""https://docs.google.com/spreadsheets/d/11923uPwbBZFjjGgGUA6NLw09EwE0CqkOc4q9oUmW1yo/edit?usp=sharing"",""อุทัยธานี!J61"")"),0)</f>
        <v>0</v>
      </c>
      <c r="K131" s="223"/>
      <c r="L131" s="168"/>
      <c r="M131" s="168"/>
      <c r="N131" s="168"/>
      <c r="O131" s="181"/>
      <c r="P131" s="181"/>
    </row>
    <row r="132" spans="1:16" ht="21.75" customHeight="1" x14ac:dyDescent="0.3">
      <c r="A132" s="175"/>
      <c r="B132" s="176"/>
      <c r="C132" s="176"/>
      <c r="D132" s="193"/>
      <c r="E132" s="198"/>
      <c r="F132" s="194" t="s">
        <v>70</v>
      </c>
      <c r="G132" s="196"/>
      <c r="H132" s="180" t="s">
        <v>37</v>
      </c>
      <c r="I132" s="187">
        <f ca="1">IFERROR(__xludf.DUMMYFUNCTION("IMPORTRANGE(""https://docs.google.com/spreadsheets/d/11923uPwbBZFjjGgGUA6NLw09EwE0CqkOc4q9oUmW1yo/edit?usp=sharing"",""อุทัยธานี!I62"")"),0)</f>
        <v>0</v>
      </c>
      <c r="J132" s="203">
        <f ca="1">IFERROR(__xludf.DUMMYFUNCTION("IMPORTRANGE(""https://docs.google.com/spreadsheets/d/11923uPwbBZFjjGgGUA6NLw09EwE0CqkOc4q9oUmW1yo/edit?usp=sharing"",""อุทัยธานี!J62"")"),0)</f>
        <v>0</v>
      </c>
      <c r="K132" s="223">
        <f t="shared" ref="K132:K133" ca="1" si="63">IF(I132&gt;0,J132*100/I132,0)</f>
        <v>0</v>
      </c>
      <c r="L132" s="168"/>
      <c r="M132" s="168"/>
      <c r="N132" s="168"/>
      <c r="O132" s="181"/>
      <c r="P132" s="181"/>
    </row>
    <row r="133" spans="1:16" ht="21.75" customHeight="1" x14ac:dyDescent="0.3">
      <c r="A133" s="175"/>
      <c r="B133" s="176"/>
      <c r="C133" s="176"/>
      <c r="D133" s="193"/>
      <c r="E133" s="198"/>
      <c r="F133" s="194" t="s">
        <v>71</v>
      </c>
      <c r="G133" s="196"/>
      <c r="H133" s="180" t="s">
        <v>37</v>
      </c>
      <c r="I133" s="187">
        <f ca="1">IFERROR(__xludf.DUMMYFUNCTION("IMPORTRANGE(""https://docs.google.com/spreadsheets/d/11923uPwbBZFjjGgGUA6NLw09EwE0CqkOc4q9oUmW1yo/edit?usp=sharing"",""อุทัยธานี!I63"")"),0)</f>
        <v>0</v>
      </c>
      <c r="J133" s="203">
        <f ca="1">IFERROR(__xludf.DUMMYFUNCTION("IMPORTRANGE(""https://docs.google.com/spreadsheets/d/11923uPwbBZFjjGgGUA6NLw09EwE0CqkOc4q9oUmW1yo/edit?usp=sharing"",""อุทัยธานี!J63"")"),0)</f>
        <v>0</v>
      </c>
      <c r="K133" s="223">
        <f t="shared" ca="1" si="63"/>
        <v>0</v>
      </c>
      <c r="L133" s="168"/>
      <c r="M133" s="168"/>
      <c r="N133" s="168"/>
      <c r="O133" s="181"/>
      <c r="P133" s="181"/>
    </row>
    <row r="134" spans="1:16" ht="21.75" customHeight="1" x14ac:dyDescent="0.3">
      <c r="A134" s="175"/>
      <c r="B134" s="176"/>
      <c r="C134" s="176"/>
      <c r="D134" s="193"/>
      <c r="E134" s="194" t="s">
        <v>54</v>
      </c>
      <c r="F134" s="195"/>
      <c r="G134" s="196"/>
      <c r="H134" s="186"/>
      <c r="I134" s="187"/>
      <c r="J134" s="187">
        <f ca="1">IFERROR(__xludf.DUMMYFUNCTION("IMPORTRANGE(""https://docs.google.com/spreadsheets/d/11923uPwbBZFjjGgGUA6NLw09EwE0CqkOc4q9oUmW1yo/edit?usp=sharing"",""อุทัยธานี!J64"")"),0)</f>
        <v>0</v>
      </c>
      <c r="K134" s="223"/>
      <c r="L134" s="168"/>
      <c r="M134" s="168"/>
      <c r="N134" s="168"/>
      <c r="O134" s="181"/>
      <c r="P134" s="181"/>
    </row>
    <row r="135" spans="1:16" ht="21.75" customHeight="1" x14ac:dyDescent="0.3">
      <c r="A135" s="233"/>
      <c r="B135" s="234"/>
      <c r="C135" s="234"/>
      <c r="D135" s="235">
        <v>3</v>
      </c>
      <c r="E135" s="236" t="s">
        <v>55</v>
      </c>
      <c r="F135" s="237"/>
      <c r="G135" s="238"/>
      <c r="H135" s="239"/>
      <c r="I135" s="240"/>
      <c r="J135" s="241">
        <f ca="1">IFERROR(__xludf.DUMMYFUNCTION("IMPORTRANGE(""https://docs.google.com/spreadsheets/d/11923uPwbBZFjjGgGUA6NLw09EwE0CqkOc4q9oUmW1yo/edit?usp=sharing"",""อุทัยธานี!J65"")"),0)</f>
        <v>0</v>
      </c>
      <c r="K135" s="242"/>
      <c r="L135" s="243"/>
      <c r="M135" s="243"/>
      <c r="N135" s="243"/>
      <c r="O135" s="244"/>
      <c r="P135" s="244"/>
    </row>
    <row r="136" spans="1:16" ht="21.75" customHeight="1" x14ac:dyDescent="0.3">
      <c r="A136" s="245" t="s">
        <v>72</v>
      </c>
      <c r="B136" s="246"/>
      <c r="C136" s="246"/>
      <c r="D136" s="246"/>
      <c r="E136" s="247"/>
      <c r="F136" s="247"/>
      <c r="G136" s="248"/>
      <c r="H136" s="249"/>
      <c r="I136" s="250"/>
      <c r="J136" s="250"/>
      <c r="K136" s="251"/>
      <c r="L136" s="252"/>
      <c r="M136" s="252"/>
      <c r="N136" s="252"/>
      <c r="O136" s="252"/>
      <c r="P136" s="252"/>
    </row>
    <row r="137" spans="1:16" ht="21.75" customHeight="1" x14ac:dyDescent="0.3">
      <c r="A137" s="253" t="s">
        <v>73</v>
      </c>
      <c r="B137" s="254"/>
      <c r="C137" s="254"/>
      <c r="D137" s="255"/>
      <c r="E137" s="255"/>
      <c r="F137" s="255"/>
      <c r="G137" s="256"/>
      <c r="H137" s="257"/>
      <c r="I137" s="258"/>
      <c r="J137" s="258"/>
      <c r="K137" s="259"/>
      <c r="L137" s="259"/>
      <c r="M137" s="259"/>
      <c r="N137" s="259"/>
      <c r="O137" s="260"/>
      <c r="P137" s="260"/>
    </row>
    <row r="138" spans="1:16" ht="21.75" customHeight="1" x14ac:dyDescent="0.3">
      <c r="A138" s="261"/>
      <c r="B138" s="262" t="s">
        <v>74</v>
      </c>
      <c r="C138" s="263"/>
      <c r="D138" s="262"/>
      <c r="E138" s="262"/>
      <c r="F138" s="262"/>
      <c r="G138" s="264"/>
      <c r="H138" s="265" t="s">
        <v>37</v>
      </c>
      <c r="I138" s="266">
        <f ca="1">IFERROR(__xludf.DUMMYFUNCTION("IMPORTRANGE(""https://docs.google.com/spreadsheets/d/11923uPwbBZFjjGgGUA6NLw09EwE0CqkOc4q9oUmW1yo/edit?usp=sharing"",""อุทัยธานี!I68"")"),0)</f>
        <v>0</v>
      </c>
      <c r="J138" s="266">
        <f ca="1">IFERROR(__xludf.DUMMYFUNCTION("IMPORTRANGE(""https://docs.google.com/spreadsheets/d/11923uPwbBZFjjGgGUA6NLw09EwE0CqkOc4q9oUmW1yo/edit?usp=sharing"",""อุทัยธานี!J68"")"),0)</f>
        <v>0</v>
      </c>
      <c r="K138" s="267">
        <f ca="1">IF(I138&gt;0,J138*100/I138,0)</f>
        <v>0</v>
      </c>
      <c r="L138" s="268"/>
      <c r="M138" s="268"/>
      <c r="N138" s="268"/>
      <c r="O138" s="267"/>
      <c r="P138" s="267"/>
    </row>
    <row r="139" spans="1:16" ht="21.75" customHeight="1" x14ac:dyDescent="0.3">
      <c r="A139" s="261"/>
      <c r="B139" s="262" t="s">
        <v>75</v>
      </c>
      <c r="C139" s="263"/>
      <c r="D139" s="262"/>
      <c r="E139" s="262"/>
      <c r="F139" s="262"/>
      <c r="G139" s="264"/>
      <c r="H139" s="265"/>
      <c r="I139" s="266"/>
      <c r="J139" s="266"/>
      <c r="K139" s="267"/>
      <c r="L139" s="268"/>
      <c r="M139" s="268"/>
      <c r="N139" s="268"/>
      <c r="O139" s="267"/>
      <c r="P139" s="267"/>
    </row>
    <row r="140" spans="1:16" ht="21.75" customHeight="1" x14ac:dyDescent="0.45">
      <c r="A140" s="145"/>
      <c r="B140" s="146"/>
      <c r="C140" s="147" t="s">
        <v>16</v>
      </c>
      <c r="D140" s="537" t="s">
        <v>17</v>
      </c>
      <c r="E140" s="528"/>
      <c r="F140" s="528"/>
      <c r="G140" s="528"/>
      <c r="H140" s="148" t="s">
        <v>12</v>
      </c>
      <c r="I140" s="162"/>
      <c r="J140" s="162"/>
      <c r="K140" s="163"/>
      <c r="L140" s="151">
        <f t="shared" ref="L140:N140" ca="1" si="64">L141+L142</f>
        <v>83500</v>
      </c>
      <c r="M140" s="151">
        <f t="shared" ca="1" si="64"/>
        <v>53750</v>
      </c>
      <c r="N140" s="151">
        <f t="shared" ca="1" si="64"/>
        <v>24550</v>
      </c>
      <c r="O140" s="150">
        <f t="shared" ref="O140:O142" ca="1" si="65">IF(L140&gt;0,N140*100/L140,0)</f>
        <v>29.401197604790418</v>
      </c>
      <c r="P140" s="150">
        <f t="shared" ref="P140:P142" ca="1" si="66">IF(M140&gt;0,N140*100/M140,0)</f>
        <v>45.674418604651166</v>
      </c>
    </row>
    <row r="141" spans="1:16" ht="21.75" customHeight="1" x14ac:dyDescent="0.45">
      <c r="A141" s="152"/>
      <c r="B141" s="32"/>
      <c r="C141" s="32"/>
      <c r="D141" s="32"/>
      <c r="E141" s="32"/>
      <c r="F141" s="32"/>
      <c r="G141" s="33" t="s">
        <v>18</v>
      </c>
      <c r="H141" s="153" t="s">
        <v>12</v>
      </c>
      <c r="I141" s="162"/>
      <c r="J141" s="162"/>
      <c r="K141" s="163"/>
      <c r="L141" s="87">
        <f t="shared" ref="L141:N141" si="67">L143+L147</f>
        <v>0</v>
      </c>
      <c r="M141" s="87">
        <f t="shared" si="67"/>
        <v>0</v>
      </c>
      <c r="N141" s="87">
        <f t="shared" si="67"/>
        <v>0</v>
      </c>
      <c r="O141" s="155">
        <f t="shared" si="65"/>
        <v>0</v>
      </c>
      <c r="P141" s="155">
        <f t="shared" si="66"/>
        <v>0</v>
      </c>
    </row>
    <row r="142" spans="1:16" ht="21.75" customHeight="1" x14ac:dyDescent="0.45">
      <c r="A142" s="152"/>
      <c r="B142" s="32"/>
      <c r="C142" s="32"/>
      <c r="D142" s="32"/>
      <c r="E142" s="32"/>
      <c r="F142" s="32"/>
      <c r="G142" s="33" t="s">
        <v>19</v>
      </c>
      <c r="H142" s="153" t="s">
        <v>12</v>
      </c>
      <c r="I142" s="162"/>
      <c r="J142" s="162"/>
      <c r="K142" s="163"/>
      <c r="L142" s="87">
        <f t="shared" ref="L142:N142" ca="1" si="68">L144+L148</f>
        <v>83500</v>
      </c>
      <c r="M142" s="87">
        <f t="shared" ca="1" si="68"/>
        <v>53750</v>
      </c>
      <c r="N142" s="87">
        <f t="shared" ca="1" si="68"/>
        <v>24550</v>
      </c>
      <c r="O142" s="155">
        <f t="shared" ca="1" si="65"/>
        <v>29.401197604790418</v>
      </c>
      <c r="P142" s="155">
        <f t="shared" ca="1" si="66"/>
        <v>45.674418604651166</v>
      </c>
    </row>
    <row r="143" spans="1:16" ht="21.75" customHeight="1" x14ac:dyDescent="0.3">
      <c r="A143" s="156"/>
      <c r="B143" s="157"/>
      <c r="C143" s="157" t="s">
        <v>16</v>
      </c>
      <c r="D143" s="158" t="s">
        <v>38</v>
      </c>
      <c r="E143" s="159"/>
      <c r="F143" s="159"/>
      <c r="G143" s="160" t="s">
        <v>39</v>
      </c>
      <c r="H143" s="161" t="s">
        <v>12</v>
      </c>
      <c r="I143" s="162" t="s">
        <v>40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3">
      <c r="A144" s="156"/>
      <c r="B144" s="157"/>
      <c r="C144" s="157"/>
      <c r="D144" s="166"/>
      <c r="E144" s="159"/>
      <c r="F144" s="159" t="s">
        <v>40</v>
      </c>
      <c r="G144" s="160" t="s">
        <v>41</v>
      </c>
      <c r="H144" s="161" t="s">
        <v>12</v>
      </c>
      <c r="I144" s="162"/>
      <c r="J144" s="162"/>
      <c r="K144" s="163"/>
      <c r="L144" s="167">
        <f ca="1">L145+L146</f>
        <v>83500</v>
      </c>
      <c r="M144" s="167">
        <f ca="1">IFERROR(__xludf.DUMMYFUNCTION("IMPORTRANGE(""https://docs.google.com/spreadsheets/d/1Yj_ptqi66GCucihVvJfMjLAmec39IyEx_6qawtMGysU/edit?usp=sharing"",""สบก!BJ36"")"),53750)</f>
        <v>53750</v>
      </c>
      <c r="N144" s="168">
        <f ca="1">IFERROR(__xludf.DUMMYFUNCTION("IMPORTRANGE(""https://docs.google.com/spreadsheets/d/1Yj_ptqi66GCucihVvJfMjLAmec39IyEx_6qawtMGysU/edit?usp=sharing"",""สบก!BK36"")"),24550)</f>
        <v>24550</v>
      </c>
      <c r="O144" s="168">
        <f ca="1">IF(L144&gt;0,N144*100/L144,0)</f>
        <v>29.401197604790418</v>
      </c>
      <c r="P144" s="168">
        <f ca="1">IF(M144&gt;0,N144*100/M144,0)</f>
        <v>45.674418604651166</v>
      </c>
    </row>
    <row r="145" spans="1:16" ht="21.75" customHeight="1" x14ac:dyDescent="0.3">
      <c r="A145" s="156"/>
      <c r="B145" s="157"/>
      <c r="C145" s="157"/>
      <c r="D145" s="166"/>
      <c r="E145" s="159"/>
      <c r="F145" s="159"/>
      <c r="G145" s="169" t="s">
        <v>42</v>
      </c>
      <c r="H145" s="161" t="s">
        <v>12</v>
      </c>
      <c r="I145" s="162"/>
      <c r="J145" s="162"/>
      <c r="K145" s="163"/>
      <c r="L145" s="167">
        <f ca="1">IFERROR(__xludf.DUMMYFUNCTION("IMPORTRANGE(""https://docs.google.com/spreadsheets/d/1Yj_ptqi66GCucihVvJfMjLAmec39IyEx_6qawtMGysU/edit?usp=sharing"",""สบก!BF36"")"),0)</f>
        <v>0</v>
      </c>
      <c r="M145" s="167"/>
      <c r="N145" s="167"/>
      <c r="O145" s="168"/>
      <c r="P145" s="168"/>
    </row>
    <row r="146" spans="1:16" ht="21.75" customHeight="1" x14ac:dyDescent="0.3">
      <c r="A146" s="156"/>
      <c r="B146" s="157"/>
      <c r="C146" s="157"/>
      <c r="D146" s="166"/>
      <c r="E146" s="159"/>
      <c r="F146" s="159"/>
      <c r="G146" s="169" t="s">
        <v>43</v>
      </c>
      <c r="H146" s="161" t="s">
        <v>12</v>
      </c>
      <c r="I146" s="162"/>
      <c r="J146" s="162"/>
      <c r="K146" s="163"/>
      <c r="L146" s="167">
        <f ca="1">IFERROR(__xludf.DUMMYFUNCTION("IMPORTRANGE(""https://docs.google.com/spreadsheets/d/1Yj_ptqi66GCucihVvJfMjLAmec39IyEx_6qawtMGysU/edit?usp=sharing"",""สบก!BG36"")"),83500)</f>
        <v>83500</v>
      </c>
      <c r="M146" s="167"/>
      <c r="N146" s="167"/>
      <c r="O146" s="168"/>
      <c r="P146" s="168"/>
    </row>
    <row r="147" spans="1:16" ht="21.75" customHeight="1" x14ac:dyDescent="0.45">
      <c r="A147" s="170"/>
      <c r="B147" s="80"/>
      <c r="C147" s="81" t="s">
        <v>16</v>
      </c>
      <c r="D147" s="534" t="s">
        <v>23</v>
      </c>
      <c r="E147" s="530"/>
      <c r="F147" s="88"/>
      <c r="G147" s="82" t="s">
        <v>18</v>
      </c>
      <c r="H147" s="171" t="s">
        <v>12</v>
      </c>
      <c r="I147" s="187"/>
      <c r="J147" s="187"/>
      <c r="K147" s="223"/>
      <c r="L147" s="41">
        <v>0</v>
      </c>
      <c r="M147" s="41"/>
      <c r="N147" s="41"/>
      <c r="O147" s="41"/>
      <c r="P147" s="41"/>
    </row>
    <row r="148" spans="1:16" ht="21.75" customHeight="1" x14ac:dyDescent="0.45">
      <c r="A148" s="172"/>
      <c r="B148" s="91"/>
      <c r="C148" s="91"/>
      <c r="D148" s="173"/>
      <c r="E148" s="92"/>
      <c r="F148" s="92"/>
      <c r="G148" s="93" t="s">
        <v>19</v>
      </c>
      <c r="H148" s="174" t="s">
        <v>12</v>
      </c>
      <c r="I148" s="187"/>
      <c r="J148" s="187"/>
      <c r="K148" s="223"/>
      <c r="L148" s="49">
        <f ca="1">IFERROR(__xludf.DUMMYFUNCTION("IMPORTRANGE(""https://docs.google.com/spreadsheets/d/1Yj_ptqi66GCucihVvJfMjLAmec39IyEx_6qawtMGysU/edit?usp=sharing"",""สบก!BH36"")"),0)</f>
        <v>0</v>
      </c>
      <c r="M148" s="49"/>
      <c r="N148" s="49">
        <f ca="1">IFERROR(__xludf.DUMMYFUNCTION("IMPORTRANGE(""https://docs.google.com/spreadsheets/d/1Yj_ptqi66GCucihVvJfMjLAmec39IyEx_6qawtMGysU/edit?usp=sharing"",""สบก!BL36"")"),0)</f>
        <v>0</v>
      </c>
      <c r="O148" s="49">
        <f ca="1">IF(L148&gt;0,N148*100/L148,0)</f>
        <v>0</v>
      </c>
      <c r="P148" s="49"/>
    </row>
    <row r="149" spans="1:16" ht="21.75" customHeight="1" x14ac:dyDescent="0.3">
      <c r="A149" s="269"/>
      <c r="B149" s="270"/>
      <c r="C149" s="271" t="s">
        <v>76</v>
      </c>
      <c r="D149" s="271"/>
      <c r="E149" s="271"/>
      <c r="F149" s="271"/>
      <c r="G149" s="272"/>
      <c r="H149" s="273" t="s">
        <v>77</v>
      </c>
      <c r="I149" s="274">
        <f ca="1">IFERROR(__xludf.DUMMYFUNCTION("IMPORTRANGE(""https://docs.google.com/spreadsheets/d/11923uPwbBZFjjGgGUA6NLw09EwE0CqkOc4q9oUmW1yo/edit?usp=sharing"",""อุทัยธานี!I74"")"),4)</f>
        <v>4</v>
      </c>
      <c r="J149" s="274">
        <f ca="1">IFERROR(__xludf.DUMMYFUNCTION("IMPORTRANGE(""https://docs.google.com/spreadsheets/d/11923uPwbBZFjjGgGUA6NLw09EwE0CqkOc4q9oUmW1yo/edit?usp=sharing"",""อุทัยธานี!J74"")"),1)</f>
        <v>1</v>
      </c>
      <c r="K149" s="275">
        <f ca="1">IF(I149&gt;0,J149*100/I149,0)</f>
        <v>25</v>
      </c>
      <c r="L149" s="276"/>
      <c r="M149" s="276"/>
      <c r="N149" s="276"/>
      <c r="O149" s="276"/>
      <c r="P149" s="276"/>
    </row>
    <row r="150" spans="1:16" ht="21.75" customHeight="1" x14ac:dyDescent="0.3">
      <c r="A150" s="156"/>
      <c r="B150" s="157"/>
      <c r="C150" s="157" t="s">
        <v>16</v>
      </c>
      <c r="D150" s="158" t="s">
        <v>38</v>
      </c>
      <c r="E150" s="159"/>
      <c r="F150" s="159"/>
      <c r="G150" s="160" t="s">
        <v>39</v>
      </c>
      <c r="H150" s="161" t="s">
        <v>12</v>
      </c>
      <c r="I150" s="162" t="s">
        <v>40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3">
      <c r="A151" s="156"/>
      <c r="B151" s="157"/>
      <c r="C151" s="157"/>
      <c r="D151" s="166"/>
      <c r="E151" s="159"/>
      <c r="F151" s="159" t="s">
        <v>40</v>
      </c>
      <c r="G151" s="160" t="s">
        <v>41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3">
      <c r="A152" s="156"/>
      <c r="B152" s="157"/>
      <c r="C152" s="157"/>
      <c r="D152" s="166"/>
      <c r="E152" s="159"/>
      <c r="F152" s="159"/>
      <c r="G152" s="169" t="s">
        <v>43</v>
      </c>
      <c r="H152" s="161" t="s">
        <v>12</v>
      </c>
      <c r="I152" s="162"/>
      <c r="J152" s="162"/>
      <c r="K152" s="163"/>
      <c r="L152" s="168"/>
      <c r="M152" s="168"/>
      <c r="N152" s="167"/>
      <c r="O152" s="168"/>
      <c r="P152" s="168"/>
    </row>
    <row r="153" spans="1:16" ht="21.75" customHeight="1" x14ac:dyDescent="0.3">
      <c r="A153" s="175"/>
      <c r="B153" s="176"/>
      <c r="C153" s="157" t="s">
        <v>16</v>
      </c>
      <c r="D153" s="177" t="s">
        <v>44</v>
      </c>
      <c r="E153" s="178"/>
      <c r="F153" s="178"/>
      <c r="G153" s="179"/>
      <c r="H153" s="180"/>
      <c r="I153" s="162"/>
      <c r="J153" s="162"/>
      <c r="K153" s="163"/>
      <c r="L153" s="181"/>
      <c r="M153" s="181"/>
      <c r="N153" s="181"/>
      <c r="O153" s="181"/>
      <c r="P153" s="181"/>
    </row>
    <row r="154" spans="1:16" ht="21.75" customHeight="1" x14ac:dyDescent="0.3">
      <c r="A154" s="175"/>
      <c r="B154" s="176"/>
      <c r="C154" s="176"/>
      <c r="D154" s="182">
        <v>1</v>
      </c>
      <c r="E154" s="183" t="s">
        <v>45</v>
      </c>
      <c r="F154" s="184"/>
      <c r="G154" s="185"/>
      <c r="H154" s="186"/>
      <c r="I154" s="187"/>
      <c r="J154" s="188">
        <f ca="1">IFERROR(__xludf.DUMMYFUNCTION("IMPORTRANGE(""https://docs.google.com/spreadsheets/d/11923uPwbBZFjjGgGUA6NLw09EwE0CqkOc4q9oUmW1yo/edit?usp=sharing"",""อุทัยธานี!J79"")"),0)</f>
        <v>0</v>
      </c>
      <c r="K154" s="163"/>
      <c r="L154" s="181"/>
      <c r="M154" s="181"/>
      <c r="N154" s="181"/>
      <c r="O154" s="181"/>
      <c r="P154" s="181"/>
    </row>
    <row r="155" spans="1:16" ht="21.75" customHeight="1" x14ac:dyDescent="0.3">
      <c r="A155" s="175"/>
      <c r="B155" s="176"/>
      <c r="C155" s="176"/>
      <c r="D155" s="189">
        <v>2</v>
      </c>
      <c r="E155" s="190" t="s">
        <v>46</v>
      </c>
      <c r="F155" s="191"/>
      <c r="G155" s="192"/>
      <c r="H155" s="186"/>
      <c r="I155" s="187"/>
      <c r="J155" s="197">
        <f ca="1">IFERROR(__xludf.DUMMYFUNCTION("IMPORTRANGE(""https://docs.google.com/spreadsheets/d/11923uPwbBZFjjGgGUA6NLw09EwE0CqkOc4q9oUmW1yo/edit?usp=sharing"",""อุทัยธานี!J80"")"),1)</f>
        <v>1</v>
      </c>
      <c r="K155" s="163"/>
      <c r="L155" s="181"/>
      <c r="M155" s="181"/>
      <c r="N155" s="181"/>
      <c r="O155" s="181"/>
      <c r="P155" s="181"/>
    </row>
    <row r="156" spans="1:16" ht="21.75" customHeight="1" x14ac:dyDescent="0.3">
      <c r="A156" s="175"/>
      <c r="B156" s="176"/>
      <c r="C156" s="176"/>
      <c r="D156" s="193"/>
      <c r="E156" s="194" t="s">
        <v>47</v>
      </c>
      <c r="F156" s="195"/>
      <c r="G156" s="196"/>
      <c r="H156" s="186"/>
      <c r="I156" s="187"/>
      <c r="J156" s="197">
        <f ca="1">IFERROR(__xludf.DUMMYFUNCTION("IMPORTRANGE(""https://docs.google.com/spreadsheets/d/11923uPwbBZFjjGgGUA6NLw09EwE0CqkOc4q9oUmW1yo/edit?usp=sharing"",""อุทัยธานี!J81"")"),0)</f>
        <v>0</v>
      </c>
      <c r="K156" s="163"/>
      <c r="L156" s="181"/>
      <c r="M156" s="181"/>
      <c r="N156" s="181"/>
      <c r="O156" s="181"/>
      <c r="P156" s="181"/>
    </row>
    <row r="157" spans="1:16" ht="21.75" customHeight="1" x14ac:dyDescent="0.3">
      <c r="A157" s="175"/>
      <c r="B157" s="176"/>
      <c r="C157" s="176"/>
      <c r="D157" s="193"/>
      <c r="E157" s="194" t="s">
        <v>48</v>
      </c>
      <c r="F157" s="195"/>
      <c r="G157" s="196"/>
      <c r="H157" s="186"/>
      <c r="I157" s="187"/>
      <c r="J157" s="197">
        <f ca="1">IFERROR(__xludf.DUMMYFUNCTION("IMPORTRANGE(""https://docs.google.com/spreadsheets/d/11923uPwbBZFjjGgGUA6NLw09EwE0CqkOc4q9oUmW1yo/edit?usp=sharing"",""อุทัยธานี!J82"")"),0)</f>
        <v>0</v>
      </c>
      <c r="K157" s="163"/>
      <c r="L157" s="181"/>
      <c r="M157" s="181"/>
      <c r="N157" s="181"/>
      <c r="O157" s="181"/>
      <c r="P157" s="181"/>
    </row>
    <row r="158" spans="1:16" ht="21.75" customHeight="1" x14ac:dyDescent="0.3">
      <c r="A158" s="175"/>
      <c r="B158" s="176"/>
      <c r="C158" s="176"/>
      <c r="D158" s="193"/>
      <c r="E158" s="198"/>
      <c r="F158" s="194" t="s">
        <v>78</v>
      </c>
      <c r="G158" s="196"/>
      <c r="H158" s="180" t="s">
        <v>77</v>
      </c>
      <c r="I158" s="187">
        <f ca="1">IFERROR(__xludf.DUMMYFUNCTION("IMPORTRANGE(""https://docs.google.com/spreadsheets/d/11923uPwbBZFjjGgGUA6NLw09EwE0CqkOc4q9oUmW1yo/edit?usp=sharing"",""อุทัยธานี!I83"")"),4)</f>
        <v>4</v>
      </c>
      <c r="J158" s="188">
        <f ca="1">IFERROR(__xludf.DUMMYFUNCTION("IMPORTRANGE(""https://docs.google.com/spreadsheets/d/11923uPwbBZFjjGgGUA6NLw09EwE0CqkOc4q9oUmW1yo/edit?usp=sharing"",""อุทัยธานี!J83"")"),1)</f>
        <v>1</v>
      </c>
      <c r="K158" s="163">
        <f ca="1">IF(I158&gt;0,J158*100/I158,0)</f>
        <v>25</v>
      </c>
      <c r="L158" s="181"/>
      <c r="M158" s="181"/>
      <c r="N158" s="181"/>
      <c r="O158" s="181"/>
      <c r="P158" s="181"/>
    </row>
    <row r="159" spans="1:16" ht="21.75" customHeight="1" x14ac:dyDescent="0.3">
      <c r="A159" s="175"/>
      <c r="B159" s="176"/>
      <c r="C159" s="176"/>
      <c r="D159" s="193"/>
      <c r="E159" s="195"/>
      <c r="F159" s="277" t="s">
        <v>79</v>
      </c>
      <c r="G159" s="196"/>
      <c r="H159" s="278" t="s">
        <v>37</v>
      </c>
      <c r="I159" s="187"/>
      <c r="J159" s="203">
        <f ca="1">IFERROR(__xludf.DUMMYFUNCTION("IMPORTRANGE(""https://docs.google.com/spreadsheets/d/11923uPwbBZFjjGgGUA6NLw09EwE0CqkOc4q9oUmW1yo/edit?usp=sharing"",""อุทัยธานี!J84"")"),10)</f>
        <v>10</v>
      </c>
      <c r="K159" s="163"/>
      <c r="L159" s="181"/>
      <c r="M159" s="181"/>
      <c r="N159" s="181"/>
      <c r="O159" s="181"/>
      <c r="P159" s="181"/>
    </row>
    <row r="160" spans="1:16" ht="21.75" customHeight="1" x14ac:dyDescent="0.45">
      <c r="A160" s="175"/>
      <c r="B160" s="176"/>
      <c r="C160" s="176"/>
      <c r="D160" s="193"/>
      <c r="E160" s="195"/>
      <c r="F160" s="195"/>
      <c r="G160" s="279" t="s">
        <v>80</v>
      </c>
      <c r="H160" s="278" t="s">
        <v>37</v>
      </c>
      <c r="I160" s="187"/>
      <c r="J160" s="280">
        <f ca="1">IFERROR(__xludf.DUMMYFUNCTION("IMPORTRANGE(""https://docs.google.com/spreadsheets/d/11923uPwbBZFjjGgGUA6NLw09EwE0CqkOc4q9oUmW1yo/edit?usp=sharing"",""อุทัยธานี!J85"")"),10)</f>
        <v>10</v>
      </c>
      <c r="K160" s="163"/>
      <c r="L160" s="181"/>
      <c r="M160" s="181"/>
      <c r="N160" s="181"/>
      <c r="O160" s="181"/>
      <c r="P160" s="181"/>
    </row>
    <row r="161" spans="1:16" ht="21.75" customHeight="1" x14ac:dyDescent="0.45">
      <c r="A161" s="175"/>
      <c r="B161" s="176"/>
      <c r="C161" s="176"/>
      <c r="D161" s="193"/>
      <c r="E161" s="195"/>
      <c r="F161" s="195"/>
      <c r="G161" s="279" t="s">
        <v>81</v>
      </c>
      <c r="H161" s="278" t="s">
        <v>37</v>
      </c>
      <c r="I161" s="187"/>
      <c r="J161" s="280">
        <f ca="1">IFERROR(__xludf.DUMMYFUNCTION("IMPORTRANGE(""https://docs.google.com/spreadsheets/d/11923uPwbBZFjjGgGUA6NLw09EwE0CqkOc4q9oUmW1yo/edit?usp=sharing"",""อุทัยธานี!J86"")"),0)</f>
        <v>0</v>
      </c>
      <c r="K161" s="163"/>
      <c r="L161" s="181"/>
      <c r="M161" s="181"/>
      <c r="N161" s="181"/>
      <c r="O161" s="181"/>
      <c r="P161" s="181"/>
    </row>
    <row r="162" spans="1:16" ht="21.75" customHeight="1" x14ac:dyDescent="0.3">
      <c r="A162" s="175"/>
      <c r="B162" s="176"/>
      <c r="C162" s="176"/>
      <c r="D162" s="193"/>
      <c r="E162" s="194" t="s">
        <v>54</v>
      </c>
      <c r="F162" s="195"/>
      <c r="G162" s="196"/>
      <c r="H162" s="186"/>
      <c r="I162" s="187"/>
      <c r="J162" s="197">
        <f ca="1">IFERROR(__xludf.DUMMYFUNCTION("IMPORTRANGE(""https://docs.google.com/spreadsheets/d/11923uPwbBZFjjGgGUA6NLw09EwE0CqkOc4q9oUmW1yo/edit?usp=sharing"",""อุทัยธานี!J87"")"),0)</f>
        <v>0</v>
      </c>
      <c r="K162" s="163"/>
      <c r="L162" s="181"/>
      <c r="M162" s="181"/>
      <c r="N162" s="181"/>
      <c r="O162" s="181"/>
      <c r="P162" s="181"/>
    </row>
    <row r="163" spans="1:16" ht="21.75" customHeight="1" x14ac:dyDescent="0.3">
      <c r="A163" s="175"/>
      <c r="B163" s="176"/>
      <c r="C163" s="176"/>
      <c r="D163" s="205">
        <v>3</v>
      </c>
      <c r="E163" s="206" t="s">
        <v>55</v>
      </c>
      <c r="F163" s="207"/>
      <c r="G163" s="208"/>
      <c r="H163" s="186"/>
      <c r="I163" s="187"/>
      <c r="J163" s="209">
        <f ca="1">IFERROR(__xludf.DUMMYFUNCTION("IMPORTRANGE(""https://docs.google.com/spreadsheets/d/11923uPwbBZFjjGgGUA6NLw09EwE0CqkOc4q9oUmW1yo/edit?usp=sharing"",""อุทัยธานี!J88"")"),0)</f>
        <v>0</v>
      </c>
      <c r="K163" s="163"/>
      <c r="L163" s="181"/>
      <c r="M163" s="181"/>
      <c r="N163" s="181"/>
      <c r="O163" s="181"/>
      <c r="P163" s="181"/>
    </row>
    <row r="164" spans="1:16" ht="21.75" customHeight="1" x14ac:dyDescent="0.3">
      <c r="A164" s="269"/>
      <c r="B164" s="270"/>
      <c r="C164" s="271" t="s">
        <v>82</v>
      </c>
      <c r="D164" s="271"/>
      <c r="E164" s="271"/>
      <c r="F164" s="271"/>
      <c r="G164" s="272"/>
      <c r="H164" s="281" t="s">
        <v>83</v>
      </c>
      <c r="I164" s="282">
        <f ca="1">IFERROR(__xludf.DUMMYFUNCTION("IMPORTRANGE(""https://docs.google.com/spreadsheets/d/11923uPwbBZFjjGgGUA6NLw09EwE0CqkOc4q9oUmW1yo/edit?usp=sharing"",""อุทัยธานี!I89"")"),3)</f>
        <v>3</v>
      </c>
      <c r="J164" s="282">
        <f ca="1">IFERROR(__xludf.DUMMYFUNCTION("IMPORTRANGE(""https://docs.google.com/spreadsheets/d/11923uPwbBZFjjGgGUA6NLw09EwE0CqkOc4q9oUmW1yo/edit?usp=sharing"",""อุทัยธานี!J89"")"),0)</f>
        <v>0</v>
      </c>
      <c r="K164" s="283">
        <f ca="1">IF(I164&gt;0,J164*100/I164,0)</f>
        <v>0</v>
      </c>
      <c r="L164" s="276"/>
      <c r="M164" s="276"/>
      <c r="N164" s="276"/>
      <c r="O164" s="276"/>
      <c r="P164" s="276"/>
    </row>
    <row r="165" spans="1:16" ht="21.75" customHeight="1" x14ac:dyDescent="0.3">
      <c r="A165" s="156"/>
      <c r="B165" s="157"/>
      <c r="C165" s="157" t="s">
        <v>16</v>
      </c>
      <c r="D165" s="158" t="s">
        <v>38</v>
      </c>
      <c r="E165" s="159"/>
      <c r="F165" s="159"/>
      <c r="G165" s="160" t="s">
        <v>39</v>
      </c>
      <c r="H165" s="161" t="s">
        <v>12</v>
      </c>
      <c r="I165" s="162" t="s">
        <v>40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3">
      <c r="A166" s="156"/>
      <c r="B166" s="157"/>
      <c r="C166" s="157"/>
      <c r="D166" s="166"/>
      <c r="E166" s="159"/>
      <c r="F166" s="159" t="s">
        <v>40</v>
      </c>
      <c r="G166" s="160" t="s">
        <v>41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3">
      <c r="A167" s="156"/>
      <c r="B167" s="157"/>
      <c r="C167" s="157"/>
      <c r="D167" s="166"/>
      <c r="E167" s="159"/>
      <c r="F167" s="159"/>
      <c r="G167" s="169" t="s">
        <v>43</v>
      </c>
      <c r="H167" s="161" t="s">
        <v>12</v>
      </c>
      <c r="I167" s="162"/>
      <c r="J167" s="162"/>
      <c r="K167" s="163"/>
      <c r="L167" s="168"/>
      <c r="M167" s="168"/>
      <c r="N167" s="167"/>
      <c r="O167" s="168"/>
      <c r="P167" s="168"/>
    </row>
    <row r="168" spans="1:16" ht="21.75" customHeight="1" x14ac:dyDescent="0.3">
      <c r="A168" s="175"/>
      <c r="B168" s="176"/>
      <c r="C168" s="157" t="s">
        <v>16</v>
      </c>
      <c r="D168" s="177" t="s">
        <v>44</v>
      </c>
      <c r="E168" s="178"/>
      <c r="F168" s="178"/>
      <c r="G168" s="179"/>
      <c r="H168" s="180"/>
      <c r="I168" s="162"/>
      <c r="J168" s="162"/>
      <c r="K168" s="163"/>
      <c r="L168" s="181"/>
      <c r="M168" s="181"/>
      <c r="N168" s="181"/>
      <c r="O168" s="181"/>
      <c r="P168" s="181"/>
    </row>
    <row r="169" spans="1:16" ht="21.75" customHeight="1" x14ac:dyDescent="0.3">
      <c r="A169" s="175"/>
      <c r="B169" s="176"/>
      <c r="C169" s="176"/>
      <c r="D169" s="182">
        <v>1</v>
      </c>
      <c r="E169" s="183" t="s">
        <v>45</v>
      </c>
      <c r="F169" s="184"/>
      <c r="G169" s="185"/>
      <c r="H169" s="186"/>
      <c r="I169" s="187"/>
      <c r="J169" s="188">
        <f ca="1">IFERROR(__xludf.DUMMYFUNCTION("IMPORTRANGE(""https://docs.google.com/spreadsheets/d/11923uPwbBZFjjGgGUA6NLw09EwE0CqkOc4q9oUmW1yo/edit?usp=sharing"",""อุทัยธานี!J94"")"),0)</f>
        <v>0</v>
      </c>
      <c r="K169" s="163"/>
      <c r="L169" s="181"/>
      <c r="M169" s="181"/>
      <c r="N169" s="181"/>
      <c r="O169" s="181"/>
      <c r="P169" s="181"/>
    </row>
    <row r="170" spans="1:16" ht="21.75" customHeight="1" x14ac:dyDescent="0.3">
      <c r="A170" s="175"/>
      <c r="B170" s="176"/>
      <c r="C170" s="176"/>
      <c r="D170" s="189">
        <v>2</v>
      </c>
      <c r="E170" s="190" t="s">
        <v>46</v>
      </c>
      <c r="F170" s="191"/>
      <c r="G170" s="192"/>
      <c r="H170" s="186"/>
      <c r="I170" s="187"/>
      <c r="J170" s="197">
        <f ca="1">IFERROR(__xludf.DUMMYFUNCTION("IMPORTRANGE(""https://docs.google.com/spreadsheets/d/11923uPwbBZFjjGgGUA6NLw09EwE0CqkOc4q9oUmW1yo/edit?usp=sharing"",""อุทัยธานี!J95"")"),1)</f>
        <v>1</v>
      </c>
      <c r="K170" s="163"/>
      <c r="L170" s="181"/>
      <c r="M170" s="181"/>
      <c r="N170" s="181"/>
      <c r="O170" s="181"/>
      <c r="P170" s="181"/>
    </row>
    <row r="171" spans="1:16" ht="21.75" customHeight="1" x14ac:dyDescent="0.3">
      <c r="A171" s="175"/>
      <c r="B171" s="176"/>
      <c r="C171" s="176"/>
      <c r="D171" s="193"/>
      <c r="E171" s="194" t="s">
        <v>47</v>
      </c>
      <c r="F171" s="195"/>
      <c r="G171" s="196"/>
      <c r="H171" s="186"/>
      <c r="I171" s="187"/>
      <c r="J171" s="197">
        <f ca="1">IFERROR(__xludf.DUMMYFUNCTION("IMPORTRANGE(""https://docs.google.com/spreadsheets/d/11923uPwbBZFjjGgGUA6NLw09EwE0CqkOc4q9oUmW1yo/edit?usp=sharing"",""อุทัยธานี!J96"")"),0)</f>
        <v>0</v>
      </c>
      <c r="K171" s="163"/>
      <c r="L171" s="181"/>
      <c r="M171" s="181"/>
      <c r="N171" s="181"/>
      <c r="O171" s="181"/>
      <c r="P171" s="181"/>
    </row>
    <row r="172" spans="1:16" ht="21.75" customHeight="1" x14ac:dyDescent="0.3">
      <c r="A172" s="175"/>
      <c r="B172" s="176"/>
      <c r="C172" s="176"/>
      <c r="D172" s="193"/>
      <c r="E172" s="194" t="s">
        <v>48</v>
      </c>
      <c r="F172" s="195"/>
      <c r="G172" s="196"/>
      <c r="H172" s="186"/>
      <c r="I172" s="187"/>
      <c r="J172" s="197">
        <f ca="1">IFERROR(__xludf.DUMMYFUNCTION("IMPORTRANGE(""https://docs.google.com/spreadsheets/d/11923uPwbBZFjjGgGUA6NLw09EwE0CqkOc4q9oUmW1yo/edit?usp=sharing"",""อุทัยธานี!J97"")"),0)</f>
        <v>0</v>
      </c>
      <c r="K172" s="163"/>
      <c r="L172" s="181"/>
      <c r="M172" s="181"/>
      <c r="N172" s="181"/>
      <c r="O172" s="181"/>
      <c r="P172" s="181"/>
    </row>
    <row r="173" spans="1:16" ht="21.75" customHeight="1" x14ac:dyDescent="0.3">
      <c r="A173" s="175"/>
      <c r="B173" s="176"/>
      <c r="C173" s="176"/>
      <c r="D173" s="193"/>
      <c r="E173" s="198"/>
      <c r="F173" s="204" t="s">
        <v>84</v>
      </c>
      <c r="G173" s="196"/>
      <c r="H173" s="180" t="s">
        <v>83</v>
      </c>
      <c r="I173" s="187">
        <f ca="1">IFERROR(__xludf.DUMMYFUNCTION("IMPORTRANGE(""https://docs.google.com/spreadsheets/d/11923uPwbBZFjjGgGUA6NLw09EwE0CqkOc4q9oUmW1yo/edit?usp=sharing"",""อุทัยธานี!I98"")"),3)</f>
        <v>3</v>
      </c>
      <c r="J173" s="188">
        <f ca="1">IFERROR(__xludf.DUMMYFUNCTION("IMPORTRANGE(""https://docs.google.com/spreadsheets/d/11923uPwbBZFjjGgGUA6NLw09EwE0CqkOc4q9oUmW1yo/edit?usp=sharing"",""อุทัยธานี!J98"")"),0)</f>
        <v>0</v>
      </c>
      <c r="K173" s="163">
        <f ca="1">IF(I173&gt;0,J173*100/I173,0)</f>
        <v>0</v>
      </c>
      <c r="L173" s="168"/>
      <c r="M173" s="168"/>
      <c r="N173" s="167"/>
      <c r="O173" s="168"/>
      <c r="P173" s="168"/>
    </row>
    <row r="174" spans="1:16" ht="21.75" customHeight="1" x14ac:dyDescent="0.3">
      <c r="A174" s="175"/>
      <c r="B174" s="176"/>
      <c r="C174" s="176"/>
      <c r="D174" s="193"/>
      <c r="E174" s="194" t="s">
        <v>54</v>
      </c>
      <c r="F174" s="195"/>
      <c r="G174" s="196"/>
      <c r="H174" s="186"/>
      <c r="I174" s="187"/>
      <c r="J174" s="197">
        <f ca="1">IFERROR(__xludf.DUMMYFUNCTION("IMPORTRANGE(""https://docs.google.com/spreadsheets/d/11923uPwbBZFjjGgGUA6NLw09EwE0CqkOc4q9oUmW1yo/edit?usp=sharing"",""อุทัยธานี!J99"")"),0)</f>
        <v>0</v>
      </c>
      <c r="K174" s="163"/>
      <c r="L174" s="181"/>
      <c r="M174" s="181"/>
      <c r="N174" s="181"/>
      <c r="O174" s="181"/>
      <c r="P174" s="181"/>
    </row>
    <row r="175" spans="1:16" ht="21.75" customHeight="1" x14ac:dyDescent="0.3">
      <c r="A175" s="175"/>
      <c r="B175" s="176"/>
      <c r="C175" s="176"/>
      <c r="D175" s="205">
        <v>3</v>
      </c>
      <c r="E175" s="206" t="s">
        <v>55</v>
      </c>
      <c r="F175" s="207"/>
      <c r="G175" s="208"/>
      <c r="H175" s="186"/>
      <c r="I175" s="187"/>
      <c r="J175" s="209">
        <f ca="1">IFERROR(__xludf.DUMMYFUNCTION("IMPORTRANGE(""https://docs.google.com/spreadsheets/d/11923uPwbBZFjjGgGUA6NLw09EwE0CqkOc4q9oUmW1yo/edit?usp=sharing"",""อุทัยธานี!J100"")"),0)</f>
        <v>0</v>
      </c>
      <c r="K175" s="163"/>
      <c r="L175" s="181"/>
      <c r="M175" s="181"/>
      <c r="N175" s="181"/>
      <c r="O175" s="181"/>
      <c r="P175" s="181"/>
    </row>
    <row r="176" spans="1:16" ht="21.75" customHeight="1" x14ac:dyDescent="0.3">
      <c r="A176" s="269"/>
      <c r="B176" s="270"/>
      <c r="C176" s="271" t="s">
        <v>85</v>
      </c>
      <c r="D176" s="271"/>
      <c r="E176" s="271"/>
      <c r="F176" s="271"/>
      <c r="G176" s="272"/>
      <c r="H176" s="281" t="s">
        <v>83</v>
      </c>
      <c r="I176" s="282">
        <f ca="1">IFERROR(__xludf.DUMMYFUNCTION("IMPORTRANGE(""https://docs.google.com/spreadsheets/d/11923uPwbBZFjjGgGUA6NLw09EwE0CqkOc4q9oUmW1yo/edit?usp=sharing"",""อุทัยธานี!I101"")"),0)</f>
        <v>0</v>
      </c>
      <c r="J176" s="282">
        <f ca="1">IFERROR(__xludf.DUMMYFUNCTION("IMPORTRANGE(""https://docs.google.com/spreadsheets/d/11923uPwbBZFjjGgGUA6NLw09EwE0CqkOc4q9oUmW1yo/edit?usp=sharing"",""อุทัยธานี!J101"")"),0)</f>
        <v>0</v>
      </c>
      <c r="K176" s="283">
        <f ca="1">IF(I176&gt;0,J176*100/I176,0)</f>
        <v>0</v>
      </c>
      <c r="L176" s="276"/>
      <c r="M176" s="276"/>
      <c r="N176" s="276"/>
      <c r="O176" s="276"/>
      <c r="P176" s="276"/>
    </row>
    <row r="177" spans="1:16" ht="21.75" customHeight="1" x14ac:dyDescent="0.3">
      <c r="A177" s="156"/>
      <c r="B177" s="157"/>
      <c r="C177" s="157" t="s">
        <v>16</v>
      </c>
      <c r="D177" s="158" t="s">
        <v>38</v>
      </c>
      <c r="E177" s="159"/>
      <c r="F177" s="159"/>
      <c r="G177" s="160" t="s">
        <v>39</v>
      </c>
      <c r="H177" s="161" t="s">
        <v>12</v>
      </c>
      <c r="I177" s="162" t="s">
        <v>40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3">
      <c r="A178" s="156"/>
      <c r="B178" s="157"/>
      <c r="C178" s="157"/>
      <c r="D178" s="166"/>
      <c r="E178" s="159"/>
      <c r="F178" s="159" t="s">
        <v>40</v>
      </c>
      <c r="G178" s="160" t="s">
        <v>41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3">
      <c r="A179" s="156"/>
      <c r="B179" s="157"/>
      <c r="C179" s="157"/>
      <c r="D179" s="166"/>
      <c r="E179" s="159"/>
      <c r="F179" s="159"/>
      <c r="G179" s="169" t="s">
        <v>43</v>
      </c>
      <c r="H179" s="161" t="s">
        <v>12</v>
      </c>
      <c r="I179" s="162"/>
      <c r="J179" s="187"/>
      <c r="K179" s="223"/>
      <c r="L179" s="168"/>
      <c r="M179" s="168"/>
      <c r="N179" s="167"/>
      <c r="O179" s="168"/>
      <c r="P179" s="168"/>
    </row>
    <row r="180" spans="1:16" ht="21.75" customHeight="1" x14ac:dyDescent="0.3">
      <c r="A180" s="175"/>
      <c r="B180" s="176"/>
      <c r="C180" s="157" t="s">
        <v>16</v>
      </c>
      <c r="D180" s="177" t="s">
        <v>44</v>
      </c>
      <c r="E180" s="178"/>
      <c r="F180" s="178"/>
      <c r="G180" s="179"/>
      <c r="H180" s="180"/>
      <c r="I180" s="162"/>
      <c r="J180" s="187"/>
      <c r="K180" s="223"/>
      <c r="L180" s="168"/>
      <c r="M180" s="168"/>
      <c r="N180" s="168"/>
      <c r="O180" s="181"/>
      <c r="P180" s="181"/>
    </row>
    <row r="181" spans="1:16" ht="21.75" customHeight="1" x14ac:dyDescent="0.3">
      <c r="A181" s="175"/>
      <c r="B181" s="176"/>
      <c r="C181" s="176"/>
      <c r="D181" s="182">
        <v>1</v>
      </c>
      <c r="E181" s="183" t="s">
        <v>45</v>
      </c>
      <c r="F181" s="184"/>
      <c r="G181" s="185"/>
      <c r="H181" s="186"/>
      <c r="I181" s="187"/>
      <c r="J181" s="187">
        <f ca="1">IFERROR(__xludf.DUMMYFUNCTION("IMPORTRANGE(""https://docs.google.com/spreadsheets/d/11923uPwbBZFjjGgGUA6NLw09EwE0CqkOc4q9oUmW1yo/edit?usp=sharing"",""อุทัยธานี!J106"")"),0)</f>
        <v>0</v>
      </c>
      <c r="K181" s="223"/>
      <c r="L181" s="168"/>
      <c r="M181" s="168"/>
      <c r="N181" s="168"/>
      <c r="O181" s="181"/>
      <c r="P181" s="181"/>
    </row>
    <row r="182" spans="1:16" ht="21.75" customHeight="1" x14ac:dyDescent="0.3">
      <c r="A182" s="175"/>
      <c r="B182" s="176"/>
      <c r="C182" s="176"/>
      <c r="D182" s="189">
        <v>2</v>
      </c>
      <c r="E182" s="190" t="s">
        <v>46</v>
      </c>
      <c r="F182" s="191"/>
      <c r="G182" s="192"/>
      <c r="H182" s="186"/>
      <c r="I182" s="187"/>
      <c r="J182" s="187">
        <f ca="1">IFERROR(__xludf.DUMMYFUNCTION("IMPORTRANGE(""https://docs.google.com/spreadsheets/d/11923uPwbBZFjjGgGUA6NLw09EwE0CqkOc4q9oUmW1yo/edit?usp=sharing"",""อุทัยธานี!J107"")"),0)</f>
        <v>0</v>
      </c>
      <c r="K182" s="223"/>
      <c r="L182" s="168"/>
      <c r="M182" s="168"/>
      <c r="N182" s="168"/>
      <c r="O182" s="181"/>
      <c r="P182" s="181"/>
    </row>
    <row r="183" spans="1:16" ht="21.75" customHeight="1" x14ac:dyDescent="0.3">
      <c r="A183" s="175"/>
      <c r="B183" s="176"/>
      <c r="C183" s="176"/>
      <c r="D183" s="193"/>
      <c r="E183" s="194" t="s">
        <v>47</v>
      </c>
      <c r="F183" s="195"/>
      <c r="G183" s="196"/>
      <c r="H183" s="186"/>
      <c r="I183" s="187"/>
      <c r="J183" s="187">
        <f ca="1">IFERROR(__xludf.DUMMYFUNCTION("IMPORTRANGE(""https://docs.google.com/spreadsheets/d/11923uPwbBZFjjGgGUA6NLw09EwE0CqkOc4q9oUmW1yo/edit?usp=sharing"",""อุทัยธานี!J108"")"),0)</f>
        <v>0</v>
      </c>
      <c r="K183" s="223"/>
      <c r="L183" s="168"/>
      <c r="M183" s="168"/>
      <c r="N183" s="168"/>
      <c r="O183" s="181"/>
      <c r="P183" s="181"/>
    </row>
    <row r="184" spans="1:16" ht="21.75" customHeight="1" x14ac:dyDescent="0.3">
      <c r="A184" s="175"/>
      <c r="B184" s="176"/>
      <c r="C184" s="176"/>
      <c r="D184" s="193"/>
      <c r="E184" s="194" t="s">
        <v>48</v>
      </c>
      <c r="F184" s="195"/>
      <c r="G184" s="196"/>
      <c r="H184" s="186"/>
      <c r="I184" s="187"/>
      <c r="J184" s="187">
        <f ca="1">IFERROR(__xludf.DUMMYFUNCTION("IMPORTRANGE(""https://docs.google.com/spreadsheets/d/11923uPwbBZFjjGgGUA6NLw09EwE0CqkOc4q9oUmW1yo/edit?usp=sharing"",""อุทัยธานี!J109"")"),0)</f>
        <v>0</v>
      </c>
      <c r="K184" s="223"/>
      <c r="L184" s="168"/>
      <c r="M184" s="168"/>
      <c r="N184" s="168"/>
      <c r="O184" s="181"/>
      <c r="P184" s="181"/>
    </row>
    <row r="185" spans="1:16" ht="21.75" customHeight="1" x14ac:dyDescent="0.3">
      <c r="A185" s="175"/>
      <c r="B185" s="176"/>
      <c r="C185" s="176"/>
      <c r="D185" s="193"/>
      <c r="E185" s="198"/>
      <c r="F185" s="194" t="s">
        <v>86</v>
      </c>
      <c r="G185" s="196"/>
      <c r="H185" s="180" t="s">
        <v>83</v>
      </c>
      <c r="I185" s="187">
        <f ca="1">IFERROR(__xludf.DUMMYFUNCTION("IMPORTRANGE(""https://docs.google.com/spreadsheets/d/11923uPwbBZFjjGgGUA6NLw09EwE0CqkOc4q9oUmW1yo/edit?usp=sharing"",""อุทัยธานี!I110"")"),0)</f>
        <v>0</v>
      </c>
      <c r="J185" s="203">
        <f ca="1">IFERROR(__xludf.DUMMYFUNCTION("IMPORTRANGE(""https://docs.google.com/spreadsheets/d/11923uPwbBZFjjGgGUA6NLw09EwE0CqkOc4q9oUmW1yo/edit?usp=sharing"",""อุทัยธานี!J110"")"),0)</f>
        <v>0</v>
      </c>
      <c r="K185" s="223">
        <f t="shared" ref="K185:K186" ca="1" si="69">IF(I185&gt;0,J185*100/I185,0)</f>
        <v>0</v>
      </c>
      <c r="L185" s="168"/>
      <c r="M185" s="168"/>
      <c r="N185" s="167"/>
      <c r="O185" s="168"/>
      <c r="P185" s="168"/>
    </row>
    <row r="186" spans="1:16" ht="21.75" customHeight="1" x14ac:dyDescent="0.3">
      <c r="A186" s="175"/>
      <c r="B186" s="176"/>
      <c r="C186" s="176"/>
      <c r="D186" s="193"/>
      <c r="E186" s="198"/>
      <c r="F186" s="194" t="s">
        <v>87</v>
      </c>
      <c r="G186" s="196"/>
      <c r="H186" s="180" t="s">
        <v>83</v>
      </c>
      <c r="I186" s="187">
        <f ca="1">IFERROR(__xludf.DUMMYFUNCTION("IMPORTRANGE(""https://docs.google.com/spreadsheets/d/11923uPwbBZFjjGgGUA6NLw09EwE0CqkOc4q9oUmW1yo/edit?usp=sharing"",""อุทัยธานี!I111"")"),0)</f>
        <v>0</v>
      </c>
      <c r="J186" s="203">
        <f ca="1">IFERROR(__xludf.DUMMYFUNCTION("IMPORTRANGE(""https://docs.google.com/spreadsheets/d/11923uPwbBZFjjGgGUA6NLw09EwE0CqkOc4q9oUmW1yo/edit?usp=sharing"",""อุทัยธานี!J111"")"),0)</f>
        <v>0</v>
      </c>
      <c r="K186" s="223">
        <f t="shared" ca="1" si="69"/>
        <v>0</v>
      </c>
      <c r="L186" s="168"/>
      <c r="M186" s="168"/>
      <c r="N186" s="167"/>
      <c r="O186" s="168"/>
      <c r="P186" s="168"/>
    </row>
    <row r="187" spans="1:16" ht="21.75" customHeight="1" x14ac:dyDescent="0.3">
      <c r="A187" s="175"/>
      <c r="B187" s="176"/>
      <c r="C187" s="176"/>
      <c r="D187" s="193"/>
      <c r="E187" s="194" t="s">
        <v>54</v>
      </c>
      <c r="F187" s="195"/>
      <c r="G187" s="196"/>
      <c r="H187" s="186"/>
      <c r="I187" s="187"/>
      <c r="J187" s="187">
        <f ca="1">IFERROR(__xludf.DUMMYFUNCTION("IMPORTRANGE(""https://docs.google.com/spreadsheets/d/11923uPwbBZFjjGgGUA6NLw09EwE0CqkOc4q9oUmW1yo/edit?usp=sharing"",""อุทัยธานี!J112"")"),0)</f>
        <v>0</v>
      </c>
      <c r="K187" s="223"/>
      <c r="L187" s="168"/>
      <c r="M187" s="168"/>
      <c r="N187" s="168"/>
      <c r="O187" s="181"/>
      <c r="P187" s="181"/>
    </row>
    <row r="188" spans="1:16" ht="21.75" customHeight="1" x14ac:dyDescent="0.3">
      <c r="A188" s="175"/>
      <c r="B188" s="176"/>
      <c r="C188" s="176"/>
      <c r="D188" s="205">
        <v>3</v>
      </c>
      <c r="E188" s="206" t="s">
        <v>55</v>
      </c>
      <c r="F188" s="207"/>
      <c r="G188" s="208"/>
      <c r="H188" s="186"/>
      <c r="I188" s="187"/>
      <c r="J188" s="226">
        <f ca="1">IFERROR(__xludf.DUMMYFUNCTION("IMPORTRANGE(""https://docs.google.com/spreadsheets/d/11923uPwbBZFjjGgGUA6NLw09EwE0CqkOc4q9oUmW1yo/edit?usp=sharing"",""อุทัยธานี!J113"")"),0)</f>
        <v>0</v>
      </c>
      <c r="K188" s="223"/>
      <c r="L188" s="168"/>
      <c r="M188" s="168"/>
      <c r="N188" s="168"/>
      <c r="O188" s="181"/>
      <c r="P188" s="181"/>
    </row>
    <row r="189" spans="1:16" ht="21.75" customHeight="1" x14ac:dyDescent="0.3">
      <c r="A189" s="269"/>
      <c r="B189" s="270"/>
      <c r="C189" s="271" t="s">
        <v>88</v>
      </c>
      <c r="D189" s="271"/>
      <c r="E189" s="271"/>
      <c r="F189" s="271"/>
      <c r="G189" s="272"/>
      <c r="H189" s="284" t="s">
        <v>89</v>
      </c>
      <c r="I189" s="282">
        <f ca="1">IFERROR(__xludf.DUMMYFUNCTION("IMPORTRANGE(""https://docs.google.com/spreadsheets/d/11923uPwbBZFjjGgGUA6NLw09EwE0CqkOc4q9oUmW1yo/edit?usp=sharing"",""อุทัยธานี!I114"")"),100000)</f>
        <v>100000</v>
      </c>
      <c r="J189" s="282">
        <f ca="1">IFERROR(__xludf.DUMMYFUNCTION("IMPORTRANGE(""https://docs.google.com/spreadsheets/d/11923uPwbBZFjjGgGUA6NLw09EwE0CqkOc4q9oUmW1yo/edit?usp=sharing"",""อุทัยธานี!J114"")"),0)</f>
        <v>0</v>
      </c>
      <c r="K189" s="283">
        <f ca="1">IF(I189&gt;0,J189*100/I189,0)</f>
        <v>0</v>
      </c>
      <c r="L189" s="276"/>
      <c r="M189" s="276"/>
      <c r="N189" s="276"/>
      <c r="O189" s="276"/>
      <c r="P189" s="276"/>
    </row>
    <row r="190" spans="1:16" ht="21.75" customHeight="1" x14ac:dyDescent="0.3">
      <c r="A190" s="156"/>
      <c r="B190" s="157"/>
      <c r="C190" s="157" t="s">
        <v>16</v>
      </c>
      <c r="D190" s="158" t="s">
        <v>38</v>
      </c>
      <c r="E190" s="159"/>
      <c r="F190" s="159"/>
      <c r="G190" s="160" t="s">
        <v>39</v>
      </c>
      <c r="H190" s="161" t="s">
        <v>12</v>
      </c>
      <c r="I190" s="162" t="s">
        <v>40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3">
      <c r="A191" s="156"/>
      <c r="B191" s="157"/>
      <c r="C191" s="157"/>
      <c r="D191" s="166"/>
      <c r="E191" s="159"/>
      <c r="F191" s="159" t="s">
        <v>40</v>
      </c>
      <c r="G191" s="160" t="s">
        <v>41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3">
      <c r="A192" s="156"/>
      <c r="B192" s="157"/>
      <c r="C192" s="157"/>
      <c r="D192" s="166"/>
      <c r="E192" s="159"/>
      <c r="F192" s="159"/>
      <c r="G192" s="169" t="s">
        <v>43</v>
      </c>
      <c r="H192" s="161" t="s">
        <v>12</v>
      </c>
      <c r="I192" s="162"/>
      <c r="J192" s="162"/>
      <c r="K192" s="163"/>
      <c r="L192" s="168"/>
      <c r="M192" s="168"/>
      <c r="N192" s="167"/>
      <c r="O192" s="168"/>
      <c r="P192" s="168"/>
    </row>
    <row r="193" spans="1:16" ht="21.75" customHeight="1" x14ac:dyDescent="0.3">
      <c r="A193" s="175"/>
      <c r="B193" s="176"/>
      <c r="C193" s="157" t="s">
        <v>16</v>
      </c>
      <c r="D193" s="177" t="s">
        <v>44</v>
      </c>
      <c r="E193" s="178"/>
      <c r="F193" s="178"/>
      <c r="G193" s="179"/>
      <c r="H193" s="180"/>
      <c r="I193" s="162"/>
      <c r="J193" s="162"/>
      <c r="K193" s="163"/>
      <c r="L193" s="181"/>
      <c r="M193" s="181"/>
      <c r="N193" s="181"/>
      <c r="O193" s="181"/>
      <c r="P193" s="181"/>
    </row>
    <row r="194" spans="1:16" ht="21.75" customHeight="1" x14ac:dyDescent="0.3">
      <c r="A194" s="175"/>
      <c r="B194" s="176"/>
      <c r="C194" s="176"/>
      <c r="D194" s="182">
        <v>1</v>
      </c>
      <c r="E194" s="183" t="s">
        <v>45</v>
      </c>
      <c r="F194" s="184"/>
      <c r="G194" s="185"/>
      <c r="H194" s="186"/>
      <c r="I194" s="187"/>
      <c r="J194" s="197">
        <f ca="1">IFERROR(__xludf.DUMMYFUNCTION("IMPORTRANGE(""https://docs.google.com/spreadsheets/d/11923uPwbBZFjjGgGUA6NLw09EwE0CqkOc4q9oUmW1yo/edit?usp=sharing"",""อุทัยธานี!J119"")"),0)</f>
        <v>0</v>
      </c>
      <c r="K194" s="163"/>
      <c r="L194" s="181"/>
      <c r="M194" s="181"/>
      <c r="N194" s="181"/>
      <c r="O194" s="181"/>
      <c r="P194" s="181"/>
    </row>
    <row r="195" spans="1:16" ht="21.75" customHeight="1" x14ac:dyDescent="0.3">
      <c r="A195" s="175"/>
      <c r="B195" s="176"/>
      <c r="C195" s="176"/>
      <c r="D195" s="189">
        <v>2</v>
      </c>
      <c r="E195" s="190" t="s">
        <v>46</v>
      </c>
      <c r="F195" s="191"/>
      <c r="G195" s="192"/>
      <c r="H195" s="186"/>
      <c r="I195" s="187"/>
      <c r="J195" s="188">
        <f ca="1">IFERROR(__xludf.DUMMYFUNCTION("IMPORTRANGE(""https://docs.google.com/spreadsheets/d/11923uPwbBZFjjGgGUA6NLw09EwE0CqkOc4q9oUmW1yo/edit?usp=sharing"",""อุทัยธานี!J120"")"),1)</f>
        <v>1</v>
      </c>
      <c r="K195" s="163"/>
      <c r="L195" s="181"/>
      <c r="M195" s="181"/>
      <c r="N195" s="181"/>
      <c r="O195" s="181"/>
      <c r="P195" s="181"/>
    </row>
    <row r="196" spans="1:16" ht="21.75" customHeight="1" x14ac:dyDescent="0.3">
      <c r="A196" s="175"/>
      <c r="B196" s="176"/>
      <c r="C196" s="176"/>
      <c r="D196" s="193"/>
      <c r="E196" s="194" t="s">
        <v>47</v>
      </c>
      <c r="F196" s="195"/>
      <c r="G196" s="196"/>
      <c r="H196" s="186"/>
      <c r="I196" s="187"/>
      <c r="J196" s="188">
        <f ca="1">IFERROR(__xludf.DUMMYFUNCTION("IMPORTRANGE(""https://docs.google.com/spreadsheets/d/11923uPwbBZFjjGgGUA6NLw09EwE0CqkOc4q9oUmW1yo/edit?usp=sharing"",""อุทัยธานี!J121"")"),0)</f>
        <v>0</v>
      </c>
      <c r="K196" s="163"/>
      <c r="L196" s="181"/>
      <c r="M196" s="181"/>
      <c r="N196" s="181"/>
      <c r="O196" s="181"/>
      <c r="P196" s="181"/>
    </row>
    <row r="197" spans="1:16" ht="21.75" customHeight="1" x14ac:dyDescent="0.3">
      <c r="A197" s="175"/>
      <c r="B197" s="176"/>
      <c r="C197" s="176"/>
      <c r="D197" s="193"/>
      <c r="E197" s="194" t="s">
        <v>48</v>
      </c>
      <c r="F197" s="195"/>
      <c r="G197" s="196"/>
      <c r="H197" s="186"/>
      <c r="I197" s="187"/>
      <c r="J197" s="197">
        <f ca="1">IFERROR(__xludf.DUMMYFUNCTION("IMPORTRANGE(""https://docs.google.com/spreadsheets/d/11923uPwbBZFjjGgGUA6NLw09EwE0CqkOc4q9oUmW1yo/edit?usp=sharing"",""อุทัยธานี!J122"")"),0)</f>
        <v>0</v>
      </c>
      <c r="K197" s="163"/>
      <c r="L197" s="181"/>
      <c r="M197" s="181"/>
      <c r="N197" s="181"/>
      <c r="O197" s="181"/>
      <c r="P197" s="181"/>
    </row>
    <row r="198" spans="1:16" ht="21.75" customHeight="1" x14ac:dyDescent="0.3">
      <c r="A198" s="175"/>
      <c r="B198" s="176"/>
      <c r="C198" s="176"/>
      <c r="D198" s="193"/>
      <c r="E198" s="195"/>
      <c r="F198" s="195" t="s">
        <v>90</v>
      </c>
      <c r="G198" s="196"/>
      <c r="H198" s="180"/>
      <c r="I198" s="187"/>
      <c r="J198" s="187"/>
      <c r="K198" s="163"/>
      <c r="L198" s="181"/>
      <c r="M198" s="181"/>
      <c r="N198" s="181"/>
      <c r="O198" s="181"/>
      <c r="P198" s="181"/>
    </row>
    <row r="199" spans="1:16" ht="21.75" customHeight="1" x14ac:dyDescent="0.3">
      <c r="A199" s="175"/>
      <c r="B199" s="176"/>
      <c r="C199" s="176"/>
      <c r="D199" s="193"/>
      <c r="E199" s="198"/>
      <c r="F199" s="195"/>
      <c r="G199" s="194" t="s">
        <v>91</v>
      </c>
      <c r="H199" s="180" t="s">
        <v>89</v>
      </c>
      <c r="I199" s="187">
        <f ca="1">IFERROR(__xludf.DUMMYFUNCTION("IMPORTRANGE(""https://docs.google.com/spreadsheets/d/11923uPwbBZFjjGgGUA6NLw09EwE0CqkOc4q9oUmW1yo/edit?usp=sharing"",""อุทัยธานี!I124"")"),100000)</f>
        <v>100000</v>
      </c>
      <c r="J199" s="188">
        <f ca="1">IFERROR(__xludf.DUMMYFUNCTION("IMPORTRANGE(""https://docs.google.com/spreadsheets/d/11923uPwbBZFjjGgGUA6NLw09EwE0CqkOc4q9oUmW1yo/edit?usp=sharing"",""อุทัยธานี!J124"")"),0)</f>
        <v>0</v>
      </c>
      <c r="K199" s="163">
        <f t="shared" ref="K199:K201" ca="1" si="70">IF(I199&gt;0,J199*100/I199,0)</f>
        <v>0</v>
      </c>
      <c r="L199" s="181"/>
      <c r="M199" s="181"/>
      <c r="N199" s="181"/>
      <c r="O199" s="181"/>
      <c r="P199" s="181"/>
    </row>
    <row r="200" spans="1:16" ht="21.75" customHeight="1" x14ac:dyDescent="0.3">
      <c r="A200" s="175"/>
      <c r="B200" s="176"/>
      <c r="C200" s="176"/>
      <c r="D200" s="193"/>
      <c r="E200" s="198"/>
      <c r="F200" s="195"/>
      <c r="G200" s="194" t="s">
        <v>92</v>
      </c>
      <c r="H200" s="180" t="s">
        <v>89</v>
      </c>
      <c r="I200" s="187">
        <f ca="1">IFERROR(__xludf.DUMMYFUNCTION("IMPORTRANGE(""https://docs.google.com/spreadsheets/d/11923uPwbBZFjjGgGUA6NLw09EwE0CqkOc4q9oUmW1yo/edit?usp=sharing"",""อุทัยธานี!I125"")"),100000)</f>
        <v>100000</v>
      </c>
      <c r="J200" s="188">
        <f ca="1">IFERROR(__xludf.DUMMYFUNCTION("IMPORTRANGE(""https://docs.google.com/spreadsheets/d/11923uPwbBZFjjGgGUA6NLw09EwE0CqkOc4q9oUmW1yo/edit?usp=sharing"",""อุทัยธานี!J125"")"),0)</f>
        <v>0</v>
      </c>
      <c r="K200" s="163">
        <f t="shared" ca="1" si="70"/>
        <v>0</v>
      </c>
      <c r="L200" s="168"/>
      <c r="M200" s="168"/>
      <c r="N200" s="167"/>
      <c r="O200" s="168"/>
      <c r="P200" s="168"/>
    </row>
    <row r="201" spans="1:16" ht="21.75" customHeight="1" x14ac:dyDescent="0.3">
      <c r="A201" s="175"/>
      <c r="B201" s="176"/>
      <c r="C201" s="176"/>
      <c r="D201" s="193"/>
      <c r="E201" s="198"/>
      <c r="F201" s="195" t="s">
        <v>93</v>
      </c>
      <c r="G201" s="196"/>
      <c r="H201" s="180" t="s">
        <v>37</v>
      </c>
      <c r="I201" s="187">
        <f ca="1">IFERROR(__xludf.DUMMYFUNCTION("IMPORTRANGE(""https://docs.google.com/spreadsheets/d/11923uPwbBZFjjGgGUA6NLw09EwE0CqkOc4q9oUmW1yo/edit?usp=sharing"",""อุทัยธานี!I126"")"),0)</f>
        <v>0</v>
      </c>
      <c r="J201" s="188">
        <f ca="1">IFERROR(__xludf.DUMMYFUNCTION("IMPORTRANGE(""https://docs.google.com/spreadsheets/d/11923uPwbBZFjjGgGUA6NLw09EwE0CqkOc4q9oUmW1yo/edit?usp=sharing"",""อุทัยธานี!J126"")"),0)</f>
        <v>0</v>
      </c>
      <c r="K201" s="163">
        <f t="shared" ca="1" si="70"/>
        <v>0</v>
      </c>
      <c r="L201" s="168"/>
      <c r="M201" s="168"/>
      <c r="N201" s="167"/>
      <c r="O201" s="168"/>
      <c r="P201" s="168"/>
    </row>
    <row r="202" spans="1:16" ht="21.75" customHeight="1" x14ac:dyDescent="0.3">
      <c r="A202" s="175"/>
      <c r="B202" s="176"/>
      <c r="C202" s="176"/>
      <c r="D202" s="193"/>
      <c r="E202" s="194" t="s">
        <v>54</v>
      </c>
      <c r="F202" s="195"/>
      <c r="G202" s="196"/>
      <c r="H202" s="186"/>
      <c r="I202" s="187"/>
      <c r="J202" s="197">
        <f ca="1">IFERROR(__xludf.DUMMYFUNCTION("IMPORTRANGE(""https://docs.google.com/spreadsheets/d/11923uPwbBZFjjGgGUA6NLw09EwE0CqkOc4q9oUmW1yo/edit?usp=sharing"",""อุทัยธานี!J127"")"),0)</f>
        <v>0</v>
      </c>
      <c r="K202" s="163"/>
      <c r="L202" s="181"/>
      <c r="M202" s="181"/>
      <c r="N202" s="181"/>
      <c r="O202" s="181"/>
      <c r="P202" s="181"/>
    </row>
    <row r="203" spans="1:16" ht="21.75" customHeight="1" x14ac:dyDescent="0.3">
      <c r="A203" s="233"/>
      <c r="B203" s="234"/>
      <c r="C203" s="234"/>
      <c r="D203" s="235">
        <v>3</v>
      </c>
      <c r="E203" s="236" t="s">
        <v>55</v>
      </c>
      <c r="F203" s="237"/>
      <c r="G203" s="238"/>
      <c r="H203" s="239"/>
      <c r="I203" s="240"/>
      <c r="J203" s="285">
        <f ca="1">IFERROR(__xludf.DUMMYFUNCTION("IMPORTRANGE(""https://docs.google.com/spreadsheets/d/11923uPwbBZFjjGgGUA6NLw09EwE0CqkOc4q9oUmW1yo/edit?usp=sharing"",""อุทัยธานี!J128"")"),0)</f>
        <v>0</v>
      </c>
      <c r="K203" s="286"/>
      <c r="L203" s="244"/>
      <c r="M203" s="244"/>
      <c r="N203" s="244"/>
      <c r="O203" s="244"/>
      <c r="P203" s="244"/>
    </row>
    <row r="204" spans="1:16" ht="21.75" customHeight="1" x14ac:dyDescent="0.3">
      <c r="A204" s="269"/>
      <c r="B204" s="270"/>
      <c r="C204" s="287" t="s">
        <v>94</v>
      </c>
      <c r="D204" s="271"/>
      <c r="E204" s="271"/>
      <c r="F204" s="271"/>
      <c r="G204" s="272"/>
      <c r="H204" s="284" t="s">
        <v>37</v>
      </c>
      <c r="I204" s="282">
        <f ca="1">IFERROR(__xludf.DUMMYFUNCTION("IMPORTRANGE(""https://docs.google.com/spreadsheets/d/11923uPwbBZFjjGgGUA6NLw09EwE0CqkOc4q9oUmW1yo/edit?usp=sharing"",""อุทัยธานี!I129"")"),0)</f>
        <v>0</v>
      </c>
      <c r="J204" s="282">
        <f ca="1">IFERROR(__xludf.DUMMYFUNCTION("IMPORTRANGE(""https://docs.google.com/spreadsheets/d/11923uPwbBZFjjGgGUA6NLw09EwE0CqkOc4q9oUmW1yo/edit?usp=sharing"",""อุทัยธานี!J129"")"),0)</f>
        <v>0</v>
      </c>
      <c r="K204" s="283">
        <f ca="1">IF(I204&gt;0,J204*100/I204,0)</f>
        <v>0</v>
      </c>
      <c r="L204" s="276"/>
      <c r="M204" s="276"/>
      <c r="N204" s="276"/>
      <c r="O204" s="276"/>
      <c r="P204" s="276"/>
    </row>
    <row r="205" spans="1:16" ht="21.75" customHeight="1" x14ac:dyDescent="0.3">
      <c r="A205" s="156"/>
      <c r="B205" s="157"/>
      <c r="C205" s="157" t="s">
        <v>16</v>
      </c>
      <c r="D205" s="158" t="s">
        <v>38</v>
      </c>
      <c r="E205" s="159"/>
      <c r="F205" s="159"/>
      <c r="G205" s="160" t="s">
        <v>39</v>
      </c>
      <c r="H205" s="161" t="s">
        <v>12</v>
      </c>
      <c r="I205" s="162" t="s">
        <v>40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3">
      <c r="A206" s="156"/>
      <c r="B206" s="157"/>
      <c r="C206" s="157"/>
      <c r="D206" s="166"/>
      <c r="E206" s="159"/>
      <c r="F206" s="159" t="s">
        <v>40</v>
      </c>
      <c r="G206" s="160" t="s">
        <v>41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3">
      <c r="A207" s="156"/>
      <c r="B207" s="157"/>
      <c r="C207" s="157"/>
      <c r="D207" s="166"/>
      <c r="E207" s="159"/>
      <c r="F207" s="159"/>
      <c r="G207" s="169" t="s">
        <v>43</v>
      </c>
      <c r="H207" s="161" t="s">
        <v>12</v>
      </c>
      <c r="I207" s="162"/>
      <c r="J207" s="187"/>
      <c r="K207" s="223"/>
      <c r="L207" s="168"/>
      <c r="M207" s="168"/>
      <c r="N207" s="167"/>
      <c r="O207" s="168"/>
      <c r="P207" s="168"/>
    </row>
    <row r="208" spans="1:16" ht="21.75" customHeight="1" x14ac:dyDescent="0.3">
      <c r="A208" s="175"/>
      <c r="B208" s="176"/>
      <c r="C208" s="157" t="s">
        <v>16</v>
      </c>
      <c r="D208" s="177" t="s">
        <v>44</v>
      </c>
      <c r="E208" s="178"/>
      <c r="F208" s="178"/>
      <c r="G208" s="179"/>
      <c r="H208" s="180"/>
      <c r="I208" s="162"/>
      <c r="J208" s="187"/>
      <c r="K208" s="223"/>
      <c r="L208" s="168"/>
      <c r="M208" s="168"/>
      <c r="N208" s="168"/>
      <c r="O208" s="181"/>
      <c r="P208" s="181"/>
    </row>
    <row r="209" spans="1:16" ht="21.75" customHeight="1" x14ac:dyDescent="0.3">
      <c r="A209" s="175"/>
      <c r="B209" s="176"/>
      <c r="C209" s="176"/>
      <c r="D209" s="182">
        <v>1</v>
      </c>
      <c r="E209" s="183" t="s">
        <v>45</v>
      </c>
      <c r="F209" s="184"/>
      <c r="G209" s="185"/>
      <c r="H209" s="186"/>
      <c r="I209" s="187"/>
      <c r="J209" s="187">
        <f ca="1">IFERROR(__xludf.DUMMYFUNCTION("IMPORTRANGE(""https://docs.google.com/spreadsheets/d/11923uPwbBZFjjGgGUA6NLw09EwE0CqkOc4q9oUmW1yo/edit?usp=sharing"",""อุทัยธานี!J134"")"),0)</f>
        <v>0</v>
      </c>
      <c r="K209" s="223"/>
      <c r="L209" s="168"/>
      <c r="M209" s="168"/>
      <c r="N209" s="168"/>
      <c r="O209" s="181"/>
      <c r="P209" s="181"/>
    </row>
    <row r="210" spans="1:16" ht="21.75" customHeight="1" x14ac:dyDescent="0.3">
      <c r="A210" s="175"/>
      <c r="B210" s="176"/>
      <c r="C210" s="176"/>
      <c r="D210" s="189">
        <v>2</v>
      </c>
      <c r="E210" s="190" t="s">
        <v>46</v>
      </c>
      <c r="F210" s="191"/>
      <c r="G210" s="192"/>
      <c r="H210" s="186"/>
      <c r="I210" s="187"/>
      <c r="J210" s="187">
        <f ca="1">IFERROR(__xludf.DUMMYFUNCTION("IMPORTRANGE(""https://docs.google.com/spreadsheets/d/11923uPwbBZFjjGgGUA6NLw09EwE0CqkOc4q9oUmW1yo/edit?usp=sharing"",""อุทัยธานี!J135"")"),0)</f>
        <v>0</v>
      </c>
      <c r="K210" s="223"/>
      <c r="L210" s="168"/>
      <c r="M210" s="168"/>
      <c r="N210" s="168"/>
      <c r="O210" s="181"/>
      <c r="P210" s="181"/>
    </row>
    <row r="211" spans="1:16" ht="21.75" customHeight="1" x14ac:dyDescent="0.3">
      <c r="A211" s="175"/>
      <c r="B211" s="176"/>
      <c r="C211" s="176"/>
      <c r="D211" s="193"/>
      <c r="E211" s="194" t="s">
        <v>47</v>
      </c>
      <c r="F211" s="195"/>
      <c r="G211" s="196"/>
      <c r="H211" s="186"/>
      <c r="I211" s="187"/>
      <c r="J211" s="187">
        <f ca="1">IFERROR(__xludf.DUMMYFUNCTION("IMPORTRANGE(""https://docs.google.com/spreadsheets/d/11923uPwbBZFjjGgGUA6NLw09EwE0CqkOc4q9oUmW1yo/edit?usp=sharing"",""อุทัยธานี!J136"")"),0)</f>
        <v>0</v>
      </c>
      <c r="K211" s="223"/>
      <c r="L211" s="168"/>
      <c r="M211" s="168"/>
      <c r="N211" s="168"/>
      <c r="O211" s="181"/>
      <c r="P211" s="181"/>
    </row>
    <row r="212" spans="1:16" ht="21.75" customHeight="1" x14ac:dyDescent="0.3">
      <c r="A212" s="175"/>
      <c r="B212" s="176"/>
      <c r="C212" s="176"/>
      <c r="D212" s="193"/>
      <c r="E212" s="194" t="s">
        <v>48</v>
      </c>
      <c r="F212" s="195"/>
      <c r="G212" s="196"/>
      <c r="H212" s="186"/>
      <c r="I212" s="187"/>
      <c r="J212" s="187">
        <f ca="1">IFERROR(__xludf.DUMMYFUNCTION("IMPORTRANGE(""https://docs.google.com/spreadsheets/d/11923uPwbBZFjjGgGUA6NLw09EwE0CqkOc4q9oUmW1yo/edit?usp=sharing"",""อุทัยธานี!J137"")"),0)</f>
        <v>0</v>
      </c>
      <c r="K212" s="223"/>
      <c r="L212" s="168"/>
      <c r="M212" s="168"/>
      <c r="N212" s="168"/>
      <c r="O212" s="181"/>
      <c r="P212" s="181"/>
    </row>
    <row r="213" spans="1:16" ht="21.75" customHeight="1" x14ac:dyDescent="0.3">
      <c r="A213" s="175"/>
      <c r="B213" s="176"/>
      <c r="C213" s="176"/>
      <c r="D213" s="193"/>
      <c r="E213" s="198"/>
      <c r="F213" s="195" t="s">
        <v>95</v>
      </c>
      <c r="G213" s="196"/>
      <c r="H213" s="180" t="s">
        <v>37</v>
      </c>
      <c r="I213" s="187">
        <f ca="1">IFERROR(__xludf.DUMMYFUNCTION("IMPORTRANGE(""https://docs.google.com/spreadsheets/d/11923uPwbBZFjjGgGUA6NLw09EwE0CqkOc4q9oUmW1yo/edit?usp=sharing"",""อุทัยธานี!I138"")"),0)</f>
        <v>0</v>
      </c>
      <c r="J213" s="203">
        <f ca="1">IFERROR(__xludf.DUMMYFUNCTION("IMPORTRANGE(""https://docs.google.com/spreadsheets/d/11923uPwbBZFjjGgGUA6NLw09EwE0CqkOc4q9oUmW1yo/edit?usp=sharing"",""อุทัยธานี!J138"")"),0)</f>
        <v>0</v>
      </c>
      <c r="K213" s="223">
        <f ca="1">IF(I213&gt;0,J213*100/I213,0)</f>
        <v>0</v>
      </c>
      <c r="L213" s="168"/>
      <c r="M213" s="168"/>
      <c r="N213" s="167"/>
      <c r="O213" s="168"/>
      <c r="P213" s="168"/>
    </row>
    <row r="214" spans="1:16" ht="21.75" customHeight="1" x14ac:dyDescent="0.3">
      <c r="A214" s="175"/>
      <c r="B214" s="176"/>
      <c r="C214" s="176"/>
      <c r="D214" s="193"/>
      <c r="E214" s="198"/>
      <c r="F214" s="194" t="s">
        <v>53</v>
      </c>
      <c r="G214" s="196"/>
      <c r="H214" s="180"/>
      <c r="I214" s="187"/>
      <c r="J214" s="187"/>
      <c r="K214" s="223"/>
      <c r="L214" s="168"/>
      <c r="M214" s="168"/>
      <c r="N214" s="168"/>
      <c r="O214" s="181"/>
      <c r="P214" s="181"/>
    </row>
    <row r="215" spans="1:16" ht="21.75" customHeight="1" x14ac:dyDescent="0.3">
      <c r="A215" s="175"/>
      <c r="B215" s="176"/>
      <c r="C215" s="176"/>
      <c r="D215" s="193"/>
      <c r="E215" s="198"/>
      <c r="F215" s="195"/>
      <c r="G215" s="225" t="s">
        <v>96</v>
      </c>
      <c r="H215" s="180" t="s">
        <v>37</v>
      </c>
      <c r="I215" s="187">
        <f ca="1">IFERROR(__xludf.DUMMYFUNCTION("IMPORTRANGE(""https://docs.google.com/spreadsheets/d/11923uPwbBZFjjGgGUA6NLw09EwE0CqkOc4q9oUmW1yo/edit?usp=sharing"",""อุทัยธานี!I140"")"),0)</f>
        <v>0</v>
      </c>
      <c r="J215" s="203">
        <f ca="1">IFERROR(__xludf.DUMMYFUNCTION("IMPORTRANGE(""https://docs.google.com/spreadsheets/d/11923uPwbBZFjjGgGUA6NLw09EwE0CqkOc4q9oUmW1yo/edit?usp=sharing"",""อุทัยธานี!J140"")"),0)</f>
        <v>0</v>
      </c>
      <c r="K215" s="223">
        <f t="shared" ref="K215:K216" ca="1" si="71">IF(I215&gt;0,J215*100/I215,0)</f>
        <v>0</v>
      </c>
      <c r="L215" s="168"/>
      <c r="M215" s="168"/>
      <c r="N215" s="167"/>
      <c r="O215" s="168"/>
      <c r="P215" s="168"/>
    </row>
    <row r="216" spans="1:16" ht="21.75" customHeight="1" x14ac:dyDescent="0.3">
      <c r="A216" s="175"/>
      <c r="B216" s="176"/>
      <c r="C216" s="176"/>
      <c r="D216" s="193"/>
      <c r="E216" s="198"/>
      <c r="F216" s="195"/>
      <c r="G216" s="225" t="s">
        <v>97</v>
      </c>
      <c r="H216" s="180" t="s">
        <v>59</v>
      </c>
      <c r="I216" s="187">
        <f ca="1">IFERROR(__xludf.DUMMYFUNCTION("IMPORTRANGE(""https://docs.google.com/spreadsheets/d/11923uPwbBZFjjGgGUA6NLw09EwE0CqkOc4q9oUmW1yo/edit?usp=sharing"",""อุทัยธานี!I141"")"),0)</f>
        <v>0</v>
      </c>
      <c r="J216" s="203">
        <f ca="1">IFERROR(__xludf.DUMMYFUNCTION("IMPORTRANGE(""https://docs.google.com/spreadsheets/d/11923uPwbBZFjjGgGUA6NLw09EwE0CqkOc4q9oUmW1yo/edit?usp=sharing"",""อุทัยธานี!J141"")"),0)</f>
        <v>0</v>
      </c>
      <c r="K216" s="223">
        <f t="shared" ca="1" si="71"/>
        <v>0</v>
      </c>
      <c r="L216" s="168"/>
      <c r="M216" s="168"/>
      <c r="N216" s="167"/>
      <c r="O216" s="168"/>
      <c r="P216" s="168"/>
    </row>
    <row r="217" spans="1:16" ht="21.75" customHeight="1" x14ac:dyDescent="0.3">
      <c r="A217" s="175"/>
      <c r="B217" s="176"/>
      <c r="C217" s="176"/>
      <c r="D217" s="193"/>
      <c r="E217" s="194" t="s">
        <v>54</v>
      </c>
      <c r="F217" s="195"/>
      <c r="G217" s="196"/>
      <c r="H217" s="186"/>
      <c r="I217" s="187"/>
      <c r="J217" s="187">
        <f ca="1">IFERROR(__xludf.DUMMYFUNCTION("IMPORTRANGE(""https://docs.google.com/spreadsheets/d/11923uPwbBZFjjGgGUA6NLw09EwE0CqkOc4q9oUmW1yo/edit?usp=sharing"",""อุทัยธานี!J142"")"),0)</f>
        <v>0</v>
      </c>
      <c r="K217" s="223"/>
      <c r="L217" s="168"/>
      <c r="M217" s="168"/>
      <c r="N217" s="168"/>
      <c r="O217" s="181"/>
      <c r="P217" s="181"/>
    </row>
    <row r="218" spans="1:16" ht="21.75" customHeight="1" x14ac:dyDescent="0.3">
      <c r="A218" s="233"/>
      <c r="B218" s="234"/>
      <c r="C218" s="234"/>
      <c r="D218" s="235">
        <v>3</v>
      </c>
      <c r="E218" s="236" t="s">
        <v>55</v>
      </c>
      <c r="F218" s="237"/>
      <c r="G218" s="238"/>
      <c r="H218" s="239"/>
      <c r="I218" s="240"/>
      <c r="J218" s="241">
        <f ca="1">IFERROR(__xludf.DUMMYFUNCTION("IMPORTRANGE(""https://docs.google.com/spreadsheets/d/11923uPwbBZFjjGgGUA6NLw09EwE0CqkOc4q9oUmW1yo/edit?usp=sharing"",""อุทัยธานี!J143"")"),0)</f>
        <v>0</v>
      </c>
      <c r="K218" s="242"/>
      <c r="L218" s="243"/>
      <c r="M218" s="243"/>
      <c r="N218" s="243"/>
      <c r="O218" s="244"/>
      <c r="P218" s="244"/>
    </row>
    <row r="219" spans="1:16" ht="21.75" customHeight="1" x14ac:dyDescent="0.3">
      <c r="A219" s="261"/>
      <c r="B219" s="262" t="s">
        <v>98</v>
      </c>
      <c r="C219" s="263"/>
      <c r="D219" s="262"/>
      <c r="E219" s="262"/>
      <c r="F219" s="262"/>
      <c r="G219" s="264"/>
      <c r="H219" s="265" t="s">
        <v>37</v>
      </c>
      <c r="I219" s="266">
        <f ca="1">IFERROR(__xludf.DUMMYFUNCTION("IMPORTRANGE(""https://docs.google.com/spreadsheets/d/11923uPwbBZFjjGgGUA6NLw09EwE0CqkOc4q9oUmW1yo/edit?usp=sharing"",""อุทัยธานี!I144"")"),15)</f>
        <v>15</v>
      </c>
      <c r="J219" s="266">
        <f ca="1">IFERROR(__xludf.DUMMYFUNCTION("IMPORTRANGE(""https://docs.google.com/spreadsheets/d/11923uPwbBZFjjGgGUA6NLw09EwE0CqkOc4q9oUmW1yo/edit?usp=sharing"",""อุทัยธานี!J144"")"),15)</f>
        <v>15</v>
      </c>
      <c r="K219" s="267">
        <f ca="1">IF(I219&gt;0,J219*100/I219,0)</f>
        <v>100</v>
      </c>
      <c r="L219" s="268"/>
      <c r="M219" s="268"/>
      <c r="N219" s="268"/>
      <c r="O219" s="267"/>
      <c r="P219" s="267"/>
    </row>
    <row r="220" spans="1:16" ht="21.75" customHeight="1" x14ac:dyDescent="0.45">
      <c r="A220" s="145"/>
      <c r="B220" s="146"/>
      <c r="C220" s="147" t="s">
        <v>16</v>
      </c>
      <c r="D220" s="537" t="s">
        <v>17</v>
      </c>
      <c r="E220" s="528"/>
      <c r="F220" s="528"/>
      <c r="G220" s="528"/>
      <c r="H220" s="148" t="s">
        <v>12</v>
      </c>
      <c r="I220" s="162"/>
      <c r="J220" s="162"/>
      <c r="K220" s="163"/>
      <c r="L220" s="151">
        <f t="shared" ref="L220:N220" ca="1" si="72">L221+L222</f>
        <v>21125</v>
      </c>
      <c r="M220" s="151">
        <f t="shared" ca="1" si="72"/>
        <v>21125</v>
      </c>
      <c r="N220" s="151">
        <f t="shared" ca="1" si="72"/>
        <v>20505</v>
      </c>
      <c r="O220" s="150">
        <f t="shared" ref="O220:O222" ca="1" si="73">IF(L220&gt;0,N220*100/L220,0)</f>
        <v>97.065088757396452</v>
      </c>
      <c r="P220" s="150">
        <f t="shared" ref="P220:P222" ca="1" si="74">IF(M220&gt;0,N220*100/M220,0)</f>
        <v>97.065088757396452</v>
      </c>
    </row>
    <row r="221" spans="1:16" ht="21.75" customHeight="1" x14ac:dyDescent="0.45">
      <c r="A221" s="152"/>
      <c r="B221" s="32"/>
      <c r="C221" s="32"/>
      <c r="D221" s="32"/>
      <c r="E221" s="32"/>
      <c r="F221" s="32"/>
      <c r="G221" s="33" t="s">
        <v>18</v>
      </c>
      <c r="H221" s="153" t="s">
        <v>12</v>
      </c>
      <c r="I221" s="162"/>
      <c r="J221" s="162"/>
      <c r="K221" s="163"/>
      <c r="L221" s="87">
        <f t="shared" ref="L221:N221" si="75">L223+L227</f>
        <v>0</v>
      </c>
      <c r="M221" s="87">
        <f t="shared" si="75"/>
        <v>0</v>
      </c>
      <c r="N221" s="87">
        <f t="shared" si="75"/>
        <v>0</v>
      </c>
      <c r="O221" s="155">
        <f t="shared" si="73"/>
        <v>0</v>
      </c>
      <c r="P221" s="155">
        <f t="shared" si="74"/>
        <v>0</v>
      </c>
    </row>
    <row r="222" spans="1:16" ht="21.75" customHeight="1" x14ac:dyDescent="0.45">
      <c r="A222" s="152"/>
      <c r="B222" s="32"/>
      <c r="C222" s="32"/>
      <c r="D222" s="32"/>
      <c r="E222" s="32"/>
      <c r="F222" s="32"/>
      <c r="G222" s="33" t="s">
        <v>19</v>
      </c>
      <c r="H222" s="153" t="s">
        <v>12</v>
      </c>
      <c r="I222" s="162"/>
      <c r="J222" s="162"/>
      <c r="K222" s="163"/>
      <c r="L222" s="87">
        <f t="shared" ref="L222:N222" ca="1" si="76">L224+L228</f>
        <v>21125</v>
      </c>
      <c r="M222" s="87">
        <f t="shared" ca="1" si="76"/>
        <v>21125</v>
      </c>
      <c r="N222" s="87">
        <f t="shared" ca="1" si="76"/>
        <v>20505</v>
      </c>
      <c r="O222" s="155">
        <f t="shared" ca="1" si="73"/>
        <v>97.065088757396452</v>
      </c>
      <c r="P222" s="155">
        <f t="shared" ca="1" si="74"/>
        <v>97.065088757396452</v>
      </c>
    </row>
    <row r="223" spans="1:16" ht="21.75" customHeight="1" x14ac:dyDescent="0.3">
      <c r="A223" s="156"/>
      <c r="B223" s="157"/>
      <c r="C223" s="157" t="s">
        <v>16</v>
      </c>
      <c r="D223" s="158" t="s">
        <v>38</v>
      </c>
      <c r="E223" s="159"/>
      <c r="F223" s="159"/>
      <c r="G223" s="160" t="s">
        <v>39</v>
      </c>
      <c r="H223" s="161" t="s">
        <v>12</v>
      </c>
      <c r="I223" s="162" t="s">
        <v>40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3">
      <c r="A224" s="156"/>
      <c r="B224" s="157"/>
      <c r="C224" s="157"/>
      <c r="D224" s="166"/>
      <c r="E224" s="159"/>
      <c r="F224" s="159" t="s">
        <v>40</v>
      </c>
      <c r="G224" s="160" t="s">
        <v>41</v>
      </c>
      <c r="H224" s="161" t="s">
        <v>12</v>
      </c>
      <c r="I224" s="162"/>
      <c r="J224" s="162"/>
      <c r="K224" s="163"/>
      <c r="L224" s="167">
        <f ca="1">L225+L226</f>
        <v>21125</v>
      </c>
      <c r="M224" s="167">
        <f ca="1">IFERROR(__xludf.DUMMYFUNCTION("IMPORTRANGE(""https://docs.google.com/spreadsheets/d/1Yj_ptqi66GCucihVvJfMjLAmec39IyEx_6qawtMGysU/edit?usp=sharing"",""สบก!BS36"")"),21125)</f>
        <v>21125</v>
      </c>
      <c r="N224" s="168">
        <f ca="1">IFERROR(__xludf.DUMMYFUNCTION("IMPORTRANGE(""https://docs.google.com/spreadsheets/d/1Yj_ptqi66GCucihVvJfMjLAmec39IyEx_6qawtMGysU/edit?usp=sharing"",""สบก!BT36"")"),20505)</f>
        <v>20505</v>
      </c>
      <c r="O224" s="168">
        <f ca="1">IF(L224&gt;0,N224*100/L224,0)</f>
        <v>97.065088757396452</v>
      </c>
      <c r="P224" s="168">
        <f ca="1">IF(M224&gt;0,N224*100/M224,0)</f>
        <v>97.065088757396452</v>
      </c>
    </row>
    <row r="225" spans="1:16" ht="21.75" customHeight="1" x14ac:dyDescent="0.3">
      <c r="A225" s="156"/>
      <c r="B225" s="157"/>
      <c r="C225" s="157"/>
      <c r="D225" s="166"/>
      <c r="E225" s="159"/>
      <c r="F225" s="159"/>
      <c r="G225" s="169" t="s">
        <v>42</v>
      </c>
      <c r="H225" s="161" t="s">
        <v>12</v>
      </c>
      <c r="I225" s="162"/>
      <c r="J225" s="162"/>
      <c r="K225" s="163"/>
      <c r="L225" s="167">
        <f ca="1">IFERROR(__xludf.DUMMYFUNCTION("IMPORTRANGE(""https://docs.google.com/spreadsheets/d/1Yj_ptqi66GCucihVvJfMjLAmec39IyEx_6qawtMGysU/edit?usp=sharing"",""สบก!BO36"")"),0)</f>
        <v>0</v>
      </c>
      <c r="M225" s="167"/>
      <c r="N225" s="167"/>
      <c r="O225" s="168"/>
      <c r="P225" s="168"/>
    </row>
    <row r="226" spans="1:16" ht="21.75" customHeight="1" x14ac:dyDescent="0.3">
      <c r="A226" s="156"/>
      <c r="B226" s="157"/>
      <c r="C226" s="157"/>
      <c r="D226" s="166"/>
      <c r="E226" s="159"/>
      <c r="F226" s="159"/>
      <c r="G226" s="169" t="s">
        <v>43</v>
      </c>
      <c r="H226" s="161" t="s">
        <v>12</v>
      </c>
      <c r="I226" s="162"/>
      <c r="J226" s="162"/>
      <c r="K226" s="163"/>
      <c r="L226" s="167">
        <f ca="1">IFERROR(__xludf.DUMMYFUNCTION("IMPORTRANGE(""https://docs.google.com/spreadsheets/d/1Yj_ptqi66GCucihVvJfMjLAmec39IyEx_6qawtMGysU/edit?usp=sharing"",""สบก!BP36"")"),21125)</f>
        <v>21125</v>
      </c>
      <c r="M226" s="167"/>
      <c r="N226" s="167"/>
      <c r="O226" s="168"/>
      <c r="P226" s="168"/>
    </row>
    <row r="227" spans="1:16" ht="21.75" customHeight="1" x14ac:dyDescent="0.45">
      <c r="A227" s="170"/>
      <c r="B227" s="80"/>
      <c r="C227" s="81" t="s">
        <v>16</v>
      </c>
      <c r="D227" s="534" t="s">
        <v>23</v>
      </c>
      <c r="E227" s="530"/>
      <c r="F227" s="88"/>
      <c r="G227" s="82" t="s">
        <v>18</v>
      </c>
      <c r="H227" s="171" t="s">
        <v>12</v>
      </c>
      <c r="I227" s="200"/>
      <c r="J227" s="200"/>
      <c r="K227" s="288"/>
      <c r="L227" s="41">
        <v>0</v>
      </c>
      <c r="M227" s="41"/>
      <c r="N227" s="41"/>
      <c r="O227" s="41"/>
      <c r="P227" s="41"/>
    </row>
    <row r="228" spans="1:16" ht="21.75" customHeight="1" x14ac:dyDescent="0.45">
      <c r="A228" s="172"/>
      <c r="B228" s="91"/>
      <c r="C228" s="91"/>
      <c r="D228" s="173"/>
      <c r="E228" s="92"/>
      <c r="F228" s="92"/>
      <c r="G228" s="93" t="s">
        <v>19</v>
      </c>
      <c r="H228" s="174" t="s">
        <v>12</v>
      </c>
      <c r="I228" s="200"/>
      <c r="J228" s="200"/>
      <c r="K228" s="288"/>
      <c r="L228" s="49">
        <f ca="1">IFERROR(__xludf.DUMMYFUNCTION("IMPORTRANGE(""https://docs.google.com/spreadsheets/d/1Yj_ptqi66GCucihVvJfMjLAmec39IyEx_6qawtMGysU/edit?usp=sharing"",""สบก!BQ36"")"),0)</f>
        <v>0</v>
      </c>
      <c r="M228" s="49"/>
      <c r="N228" s="49">
        <f ca="1">IFERROR(__xludf.DUMMYFUNCTION("IMPORTRANGE(""https://docs.google.com/spreadsheets/d/1Yj_ptqi66GCucihVvJfMjLAmec39IyEx_6qawtMGysU/edit?usp=sharing"",""สบก!BU36"")"),0)</f>
        <v>0</v>
      </c>
      <c r="O228" s="49">
        <f ca="1">IF(L228&gt;0,N228*100/L228,0)</f>
        <v>0</v>
      </c>
      <c r="P228" s="49"/>
    </row>
    <row r="229" spans="1:16" ht="21.75" customHeight="1" x14ac:dyDescent="0.3">
      <c r="A229" s="175"/>
      <c r="B229" s="289"/>
      <c r="C229" s="263" t="s">
        <v>99</v>
      </c>
      <c r="D229" s="262"/>
      <c r="E229" s="262"/>
      <c r="F229" s="262"/>
      <c r="G229" s="264"/>
      <c r="H229" s="265" t="s">
        <v>37</v>
      </c>
      <c r="I229" s="266">
        <f ca="1">IFERROR(__xludf.DUMMYFUNCTION("IMPORTRANGE(""https://docs.google.com/spreadsheets/d/11923uPwbBZFjjGgGUA6NLw09EwE0CqkOc4q9oUmW1yo/edit?usp=sharing"",""อุทัยธานี!I149"")"),15)</f>
        <v>15</v>
      </c>
      <c r="J229" s="266">
        <f ca="1">IFERROR(__xludf.DUMMYFUNCTION("IMPORTRANGE(""https://docs.google.com/spreadsheets/d/11923uPwbBZFjjGgGUA6NLw09EwE0CqkOc4q9oUmW1yo/edit?usp=sharing"",""อุทัยธานี!J149"")"),15)</f>
        <v>15</v>
      </c>
      <c r="K229" s="267">
        <f ca="1">IF(I229&gt;0,J229*100/I229,0)</f>
        <v>100</v>
      </c>
      <c r="L229" s="290"/>
      <c r="M229" s="290"/>
      <c r="N229" s="290"/>
      <c r="O229" s="290"/>
      <c r="P229" s="290"/>
    </row>
    <row r="230" spans="1:16" ht="21.75" customHeight="1" x14ac:dyDescent="0.3">
      <c r="A230" s="175"/>
      <c r="B230" s="176"/>
      <c r="C230" s="157" t="s">
        <v>16</v>
      </c>
      <c r="D230" s="177" t="s">
        <v>44</v>
      </c>
      <c r="E230" s="178"/>
      <c r="F230" s="178"/>
      <c r="G230" s="179"/>
      <c r="H230" s="180"/>
      <c r="I230" s="162"/>
      <c r="J230" s="162"/>
      <c r="K230" s="163"/>
      <c r="L230" s="181"/>
      <c r="M230" s="181"/>
      <c r="N230" s="181"/>
      <c r="O230" s="181"/>
      <c r="P230" s="181"/>
    </row>
    <row r="231" spans="1:16" ht="21.75" customHeight="1" x14ac:dyDescent="0.3">
      <c r="A231" s="175"/>
      <c r="B231" s="176"/>
      <c r="C231" s="176"/>
      <c r="D231" s="182">
        <v>1</v>
      </c>
      <c r="E231" s="183" t="s">
        <v>45</v>
      </c>
      <c r="F231" s="184"/>
      <c r="G231" s="185"/>
      <c r="H231" s="186"/>
      <c r="I231" s="187"/>
      <c r="J231" s="197">
        <f ca="1">IFERROR(__xludf.DUMMYFUNCTION("IMPORTRANGE(""https://docs.google.com/spreadsheets/d/11923uPwbBZFjjGgGUA6NLw09EwE0CqkOc4q9oUmW1yo/edit?usp=sharing"",""อุทัยธานี!J151"")"),0)</f>
        <v>0</v>
      </c>
      <c r="K231" s="163"/>
      <c r="L231" s="181"/>
      <c r="M231" s="181"/>
      <c r="N231" s="181"/>
      <c r="O231" s="181"/>
      <c r="P231" s="181"/>
    </row>
    <row r="232" spans="1:16" ht="21.75" customHeight="1" x14ac:dyDescent="0.3">
      <c r="A232" s="175"/>
      <c r="B232" s="176"/>
      <c r="C232" s="176"/>
      <c r="D232" s="189">
        <v>2</v>
      </c>
      <c r="E232" s="190" t="s">
        <v>46</v>
      </c>
      <c r="F232" s="191"/>
      <c r="G232" s="192"/>
      <c r="H232" s="186"/>
      <c r="I232" s="187"/>
      <c r="J232" s="188">
        <f ca="1">IFERROR(__xludf.DUMMYFUNCTION("IMPORTRANGE(""https://docs.google.com/spreadsheets/d/11923uPwbBZFjjGgGUA6NLw09EwE0CqkOc4q9oUmW1yo/edit?usp=sharing"",""อุทัยธานี!J152"")"),1)</f>
        <v>1</v>
      </c>
      <c r="K232" s="163"/>
      <c r="L232" s="181" t="s">
        <v>40</v>
      </c>
      <c r="M232" s="181"/>
      <c r="N232" s="181" t="s">
        <v>40</v>
      </c>
      <c r="O232" s="181"/>
      <c r="P232" s="181"/>
    </row>
    <row r="233" spans="1:16" ht="21.75" customHeight="1" x14ac:dyDescent="0.3">
      <c r="A233" s="175"/>
      <c r="B233" s="176"/>
      <c r="C233" s="176"/>
      <c r="D233" s="193"/>
      <c r="E233" s="194" t="s">
        <v>47</v>
      </c>
      <c r="F233" s="195"/>
      <c r="G233" s="196"/>
      <c r="H233" s="186"/>
      <c r="I233" s="187"/>
      <c r="J233" s="188">
        <f ca="1">IFERROR(__xludf.DUMMYFUNCTION("IMPORTRANGE(""https://docs.google.com/spreadsheets/d/11923uPwbBZFjjGgGUA6NLw09EwE0CqkOc4q9oUmW1yo/edit?usp=sharing"",""อุทัยธานี!J153"")"),1)</f>
        <v>1</v>
      </c>
      <c r="K233" s="163"/>
      <c r="L233" s="181"/>
      <c r="M233" s="181"/>
      <c r="N233" s="181"/>
      <c r="O233" s="181"/>
      <c r="P233" s="181"/>
    </row>
    <row r="234" spans="1:16" ht="21.75" customHeight="1" x14ac:dyDescent="0.3">
      <c r="A234" s="175"/>
      <c r="B234" s="176"/>
      <c r="C234" s="176"/>
      <c r="D234" s="193"/>
      <c r="E234" s="194" t="s">
        <v>48</v>
      </c>
      <c r="F234" s="195"/>
      <c r="G234" s="196"/>
      <c r="H234" s="186"/>
      <c r="I234" s="187"/>
      <c r="J234" s="197">
        <f ca="1">IFERROR(__xludf.DUMMYFUNCTION("IMPORTRANGE(""https://docs.google.com/spreadsheets/d/11923uPwbBZFjjGgGUA6NLw09EwE0CqkOc4q9oUmW1yo/edit?usp=sharing"",""อุทัยธานี!J154"")"),1)</f>
        <v>1</v>
      </c>
      <c r="K234" s="163"/>
      <c r="L234" s="181"/>
      <c r="M234" s="181"/>
      <c r="N234" s="181"/>
      <c r="O234" s="181"/>
      <c r="P234" s="181"/>
    </row>
    <row r="235" spans="1:16" ht="21.75" customHeight="1" x14ac:dyDescent="0.3">
      <c r="A235" s="175"/>
      <c r="B235" s="176"/>
      <c r="C235" s="176"/>
      <c r="D235" s="193"/>
      <c r="E235" s="198"/>
      <c r="F235" s="195"/>
      <c r="G235" s="291" t="s">
        <v>70</v>
      </c>
      <c r="H235" s="186" t="s">
        <v>37</v>
      </c>
      <c r="I235" s="187">
        <f ca="1">IFERROR(__xludf.DUMMYFUNCTION("IMPORTRANGE(""https://docs.google.com/spreadsheets/d/11923uPwbBZFjjGgGUA6NLw09EwE0CqkOc4q9oUmW1yo/edit?usp=sharing"",""อุทัยธานี!I155"")"),15)</f>
        <v>15</v>
      </c>
      <c r="J235" s="188">
        <f ca="1">IFERROR(__xludf.DUMMYFUNCTION("IMPORTRANGE(""https://docs.google.com/spreadsheets/d/11923uPwbBZFjjGgGUA6NLw09EwE0CqkOc4q9oUmW1yo/edit?usp=sharing"",""อุทัยธานี!J155"")"),15)</f>
        <v>15</v>
      </c>
      <c r="K235" s="163">
        <f ca="1">IF(I235&gt;0,J235*100/I235,0)</f>
        <v>100</v>
      </c>
      <c r="L235" s="181"/>
      <c r="M235" s="181"/>
      <c r="N235" s="181"/>
      <c r="O235" s="181"/>
      <c r="P235" s="181"/>
    </row>
    <row r="236" spans="1:16" ht="21.75" customHeight="1" x14ac:dyDescent="0.3">
      <c r="A236" s="175"/>
      <c r="B236" s="176"/>
      <c r="C236" s="176"/>
      <c r="D236" s="193"/>
      <c r="E236" s="194" t="s">
        <v>54</v>
      </c>
      <c r="F236" s="195"/>
      <c r="G236" s="196"/>
      <c r="H236" s="186"/>
      <c r="I236" s="187"/>
      <c r="J236" s="197">
        <f ca="1">IFERROR(__xludf.DUMMYFUNCTION("IMPORTRANGE(""https://docs.google.com/spreadsheets/d/11923uPwbBZFjjGgGUA6NLw09EwE0CqkOc4q9oUmW1yo/edit?usp=sharing"",""อุทัยธานี!J156"")"),0)</f>
        <v>0</v>
      </c>
      <c r="K236" s="163"/>
      <c r="L236" s="181"/>
      <c r="M236" s="181"/>
      <c r="N236" s="181"/>
      <c r="O236" s="181"/>
      <c r="P236" s="181"/>
    </row>
    <row r="237" spans="1:16" ht="21.75" customHeight="1" x14ac:dyDescent="0.3">
      <c r="A237" s="175"/>
      <c r="B237" s="176"/>
      <c r="C237" s="176"/>
      <c r="D237" s="205">
        <v>3</v>
      </c>
      <c r="E237" s="206" t="s">
        <v>55</v>
      </c>
      <c r="F237" s="207"/>
      <c r="G237" s="208"/>
      <c r="H237" s="186"/>
      <c r="I237" s="187"/>
      <c r="J237" s="209">
        <f ca="1">IFERROR(__xludf.DUMMYFUNCTION("IMPORTRANGE(""https://docs.google.com/spreadsheets/d/11923uPwbBZFjjGgGUA6NLw09EwE0CqkOc4q9oUmW1yo/edit?usp=sharing"",""อุทัยธานี!J157"")"),0)</f>
        <v>0</v>
      </c>
      <c r="K237" s="163"/>
      <c r="L237" s="181"/>
      <c r="M237" s="181"/>
      <c r="N237" s="181"/>
      <c r="O237" s="181"/>
      <c r="P237" s="181"/>
    </row>
    <row r="238" spans="1:16" ht="21.75" customHeight="1" x14ac:dyDescent="0.3">
      <c r="A238" s="175"/>
      <c r="B238" s="176"/>
      <c r="C238" s="263" t="s">
        <v>100</v>
      </c>
      <c r="D238" s="292"/>
      <c r="E238" s="262"/>
      <c r="F238" s="262"/>
      <c r="G238" s="264"/>
      <c r="H238" s="265" t="s">
        <v>37</v>
      </c>
      <c r="I238" s="266">
        <f ca="1">IFERROR(__xludf.DUMMYFUNCTION("IMPORTRANGE(""https://docs.google.com/spreadsheets/d/11923uPwbBZFjjGgGUA6NLw09EwE0CqkOc4q9oUmW1yo/edit?usp=sharing"",""อุทัยธานี!I158"")"),0)</f>
        <v>0</v>
      </c>
      <c r="J238" s="266">
        <f ca="1">IFERROR(__xludf.DUMMYFUNCTION("IMPORTRANGE(""https://docs.google.com/spreadsheets/d/11923uPwbBZFjjGgGUA6NLw09EwE0CqkOc4q9oUmW1yo/edit?usp=sharing"",""อุทัยธานี!J158"")"),0)</f>
        <v>0</v>
      </c>
      <c r="K238" s="267">
        <f ca="1">IF(I238&gt;0,J238*100/I238,0)</f>
        <v>0</v>
      </c>
      <c r="L238" s="181"/>
      <c r="M238" s="181"/>
      <c r="N238" s="181"/>
      <c r="O238" s="181"/>
      <c r="P238" s="181"/>
    </row>
    <row r="239" spans="1:16" ht="21.75" customHeight="1" x14ac:dyDescent="0.3">
      <c r="A239" s="175"/>
      <c r="B239" s="176"/>
      <c r="C239" s="157" t="s">
        <v>16</v>
      </c>
      <c r="D239" s="177" t="s">
        <v>44</v>
      </c>
      <c r="E239" s="178"/>
      <c r="F239" s="178"/>
      <c r="G239" s="179"/>
      <c r="H239" s="180"/>
      <c r="I239" s="162"/>
      <c r="J239" s="162"/>
      <c r="K239" s="163"/>
      <c r="L239" s="181"/>
      <c r="M239" s="181"/>
      <c r="N239" s="181"/>
      <c r="O239" s="181"/>
      <c r="P239" s="181"/>
    </row>
    <row r="240" spans="1:16" ht="21.75" customHeight="1" x14ac:dyDescent="0.3">
      <c r="A240" s="175"/>
      <c r="B240" s="176"/>
      <c r="C240" s="176"/>
      <c r="D240" s="182">
        <v>1</v>
      </c>
      <c r="E240" s="183" t="s">
        <v>45</v>
      </c>
      <c r="F240" s="184"/>
      <c r="G240" s="185"/>
      <c r="H240" s="186"/>
      <c r="I240" s="187"/>
      <c r="J240" s="187" t="str">
        <f ca="1">IFERROR(__xludf.DUMMYFUNCTION("IMPORTRANGE(""https://docs.google.com/spreadsheets/d/11923uPwbBZFjjGgGUA6NLw09EwE0CqkOc4q9oUmW1yo/edit?usp=sharing"",""อุทัยธานี!J159"")"),"")</f>
        <v/>
      </c>
      <c r="K240" s="163"/>
      <c r="L240" s="181"/>
      <c r="M240" s="181"/>
      <c r="N240" s="181"/>
      <c r="O240" s="181"/>
      <c r="P240" s="181"/>
    </row>
    <row r="241" spans="1:16" ht="21.75" customHeight="1" x14ac:dyDescent="0.3">
      <c r="A241" s="175"/>
      <c r="B241" s="176"/>
      <c r="C241" s="176"/>
      <c r="D241" s="189">
        <v>2</v>
      </c>
      <c r="E241" s="190" t="s">
        <v>46</v>
      </c>
      <c r="F241" s="191"/>
      <c r="G241" s="192"/>
      <c r="H241" s="186"/>
      <c r="I241" s="187"/>
      <c r="J241" s="187">
        <f ca="1">IFERROR(__xludf.DUMMYFUNCTION("IMPORTRANGE(""https://docs.google.com/spreadsheets/d/11923uPwbBZFjjGgGUA6NLw09EwE0CqkOc4q9oUmW1yo/edit?usp=sharing"",""อุทัยธานี!J161"")"),0)</f>
        <v>0</v>
      </c>
      <c r="K241" s="163"/>
      <c r="L241" s="181" t="s">
        <v>40</v>
      </c>
      <c r="M241" s="181"/>
      <c r="N241" s="181" t="s">
        <v>40</v>
      </c>
      <c r="O241" s="181"/>
      <c r="P241" s="181"/>
    </row>
    <row r="242" spans="1:16" ht="21.75" customHeight="1" x14ac:dyDescent="0.3">
      <c r="A242" s="175"/>
      <c r="B242" s="176"/>
      <c r="C242" s="176"/>
      <c r="D242" s="193"/>
      <c r="E242" s="194" t="s">
        <v>47</v>
      </c>
      <c r="F242" s="195"/>
      <c r="G242" s="196"/>
      <c r="H242" s="186"/>
      <c r="I242" s="187"/>
      <c r="J242" s="187">
        <f ca="1">IFERROR(__xludf.DUMMYFUNCTION("IMPORTRANGE(""https://docs.google.com/spreadsheets/d/11923uPwbBZFjjGgGUA6NLw09EwE0CqkOc4q9oUmW1yo/edit?usp=sharing"",""อุทัยธานี!J162"")"),0)</f>
        <v>0</v>
      </c>
      <c r="K242" s="163"/>
      <c r="L242" s="181"/>
      <c r="M242" s="181"/>
      <c r="N242" s="181"/>
      <c r="O242" s="181"/>
      <c r="P242" s="181"/>
    </row>
    <row r="243" spans="1:16" ht="21.75" customHeight="1" x14ac:dyDescent="0.3">
      <c r="A243" s="175"/>
      <c r="B243" s="176"/>
      <c r="C243" s="176"/>
      <c r="D243" s="193"/>
      <c r="E243" s="194" t="s">
        <v>48</v>
      </c>
      <c r="F243" s="195"/>
      <c r="G243" s="196"/>
      <c r="H243" s="186"/>
      <c r="I243" s="187"/>
      <c r="J243" s="187">
        <f ca="1">IFERROR(__xludf.DUMMYFUNCTION("IMPORTRANGE(""https://docs.google.com/spreadsheets/d/11923uPwbBZFjjGgGUA6NLw09EwE0CqkOc4q9oUmW1yo/edit?usp=sharing"",""อุทัยธานี!J163"")"),0)</f>
        <v>0</v>
      </c>
      <c r="K243" s="163"/>
      <c r="L243" s="181"/>
      <c r="M243" s="181"/>
      <c r="N243" s="181"/>
      <c r="O243" s="181"/>
      <c r="P243" s="181"/>
    </row>
    <row r="244" spans="1:16" ht="21.75" customHeight="1" x14ac:dyDescent="0.3">
      <c r="A244" s="175"/>
      <c r="B244" s="176"/>
      <c r="C244" s="176"/>
      <c r="D244" s="193"/>
      <c r="E244" s="195"/>
      <c r="F244" s="194" t="s">
        <v>101</v>
      </c>
      <c r="G244" s="195"/>
      <c r="H244" s="186" t="s">
        <v>37</v>
      </c>
      <c r="I244" s="203">
        <f ca="1">IFERROR(__xludf.DUMMYFUNCTION("IMPORTRANGE(""https://docs.google.com/spreadsheets/d/11923uPwbBZFjjGgGUA6NLw09EwE0CqkOc4q9oUmW1yo/edit?usp=sharing"",""อุทัยธานี!I164"")"),0)</f>
        <v>0</v>
      </c>
      <c r="J244" s="187">
        <f ca="1">IFERROR(__xludf.DUMMYFUNCTION("IMPORTRANGE(""https://docs.google.com/spreadsheets/d/11923uPwbBZFjjGgGUA6NLw09EwE0CqkOc4q9oUmW1yo/edit?usp=sharing"",""อุทัยธานี!J164"")"),0)</f>
        <v>0</v>
      </c>
      <c r="K244" s="163">
        <f ca="1">IF(I244&gt;0,J244*100/I244,0)</f>
        <v>0</v>
      </c>
      <c r="L244" s="181"/>
      <c r="M244" s="181"/>
      <c r="N244" s="181"/>
      <c r="O244" s="181"/>
      <c r="P244" s="181"/>
    </row>
    <row r="245" spans="1:16" ht="21.75" customHeight="1" x14ac:dyDescent="0.3">
      <c r="A245" s="175"/>
      <c r="B245" s="176"/>
      <c r="C245" s="176"/>
      <c r="D245" s="193"/>
      <c r="E245" s="194" t="s">
        <v>54</v>
      </c>
      <c r="F245" s="195"/>
      <c r="G245" s="196"/>
      <c r="H245" s="186"/>
      <c r="I245" s="187"/>
      <c r="J245" s="187">
        <f ca="1">IFERROR(__xludf.DUMMYFUNCTION("IMPORTRANGE(""https://docs.google.com/spreadsheets/d/11923uPwbBZFjjGgGUA6NLw09EwE0CqkOc4q9oUmW1yo/edit?usp=sharing"",""อุทัยธานี!J165"")"),0)</f>
        <v>0</v>
      </c>
      <c r="K245" s="163"/>
      <c r="L245" s="181"/>
      <c r="M245" s="181"/>
      <c r="N245" s="181"/>
      <c r="O245" s="181"/>
      <c r="P245" s="181"/>
    </row>
    <row r="246" spans="1:16" ht="21.75" customHeight="1" x14ac:dyDescent="0.3">
      <c r="A246" s="233"/>
      <c r="B246" s="234"/>
      <c r="C246" s="234"/>
      <c r="D246" s="235">
        <v>3</v>
      </c>
      <c r="E246" s="236" t="s">
        <v>55</v>
      </c>
      <c r="F246" s="237"/>
      <c r="G246" s="238"/>
      <c r="H246" s="239"/>
      <c r="I246" s="240"/>
      <c r="J246" s="241">
        <f ca="1">IFERROR(__xludf.DUMMYFUNCTION("IMPORTRANGE(""https://docs.google.com/spreadsheets/d/11923uPwbBZFjjGgGUA6NLw09EwE0CqkOc4q9oUmW1yo/edit?usp=sharing"",""อุทัยธานี!J166"")"),0)</f>
        <v>0</v>
      </c>
      <c r="K246" s="286"/>
      <c r="L246" s="244"/>
      <c r="M246" s="244"/>
      <c r="N246" s="244"/>
      <c r="O246" s="244"/>
      <c r="P246" s="244"/>
    </row>
    <row r="247" spans="1:16" ht="21.75" customHeight="1" x14ac:dyDescent="0.3">
      <c r="A247" s="293" t="s">
        <v>102</v>
      </c>
      <c r="B247" s="294"/>
      <c r="C247" s="294"/>
      <c r="D247" s="294"/>
      <c r="E247" s="295"/>
      <c r="F247" s="295"/>
      <c r="G247" s="296"/>
      <c r="H247" s="297"/>
      <c r="I247" s="298"/>
      <c r="J247" s="298"/>
      <c r="K247" s="299"/>
      <c r="L247" s="300"/>
      <c r="M247" s="300"/>
      <c r="N247" s="300"/>
      <c r="O247" s="301"/>
      <c r="P247" s="301"/>
    </row>
    <row r="248" spans="1:16" ht="21.75" customHeight="1" x14ac:dyDescent="0.3">
      <c r="A248" s="302" t="s">
        <v>103</v>
      </c>
      <c r="B248" s="303"/>
      <c r="C248" s="303"/>
      <c r="D248" s="304"/>
      <c r="E248" s="304"/>
      <c r="F248" s="304"/>
      <c r="G248" s="305"/>
      <c r="H248" s="306"/>
      <c r="I248" s="307"/>
      <c r="J248" s="307"/>
      <c r="K248" s="308"/>
      <c r="L248" s="308"/>
      <c r="M248" s="308"/>
      <c r="N248" s="308"/>
      <c r="O248" s="309"/>
      <c r="P248" s="309"/>
    </row>
    <row r="249" spans="1:16" ht="21.75" customHeight="1" x14ac:dyDescent="0.3">
      <c r="A249" s="310"/>
      <c r="B249" s="311" t="s">
        <v>104</v>
      </c>
      <c r="C249" s="311"/>
      <c r="D249" s="311"/>
      <c r="E249" s="311"/>
      <c r="F249" s="311"/>
      <c r="G249" s="312"/>
      <c r="H249" s="313" t="s">
        <v>37</v>
      </c>
      <c r="I249" s="314">
        <f ca="1">IFERROR(__xludf.DUMMYFUNCTION("IMPORTRANGE(""https://docs.google.com/spreadsheets/d/11923uPwbBZFjjGgGUA6NLw09EwE0CqkOc4q9oUmW1yo/edit?usp=sharing"",""อุทัยธานี!I169"")"),20)</f>
        <v>20</v>
      </c>
      <c r="J249" s="314">
        <f ca="1">IFERROR(__xludf.DUMMYFUNCTION("IMPORTRANGE(""https://docs.google.com/spreadsheets/d/11923uPwbBZFjjGgGUA6NLw09EwE0CqkOc4q9oUmW1yo/edit?usp=sharing"",""อุทัยธานี!J169"")"),0)</f>
        <v>0</v>
      </c>
      <c r="K249" s="315">
        <f ca="1">IF(I249&gt;0,J249*100/I249,0)</f>
        <v>0</v>
      </c>
      <c r="L249" s="316"/>
      <c r="M249" s="316"/>
      <c r="N249" s="316"/>
      <c r="O249" s="315"/>
      <c r="P249" s="315"/>
    </row>
    <row r="250" spans="1:16" ht="21.75" customHeight="1" x14ac:dyDescent="0.45">
      <c r="A250" s="145"/>
      <c r="B250" s="146"/>
      <c r="C250" s="147" t="s">
        <v>16</v>
      </c>
      <c r="D250" s="537" t="s">
        <v>17</v>
      </c>
      <c r="E250" s="528"/>
      <c r="F250" s="528"/>
      <c r="G250" s="528"/>
      <c r="H250" s="148" t="s">
        <v>12</v>
      </c>
      <c r="I250" s="162"/>
      <c r="J250" s="162"/>
      <c r="K250" s="163"/>
      <c r="L250" s="151">
        <f t="shared" ref="L250:N250" ca="1" si="77">L251+L252</f>
        <v>203400</v>
      </c>
      <c r="M250" s="151">
        <f t="shared" ca="1" si="77"/>
        <v>103000</v>
      </c>
      <c r="N250" s="151">
        <f t="shared" ca="1" si="77"/>
        <v>54103</v>
      </c>
      <c r="O250" s="150">
        <f t="shared" ref="O250:O252" ca="1" si="78">IF(L250&gt;0,N250*100/L250,0)</f>
        <v>26.599311701081614</v>
      </c>
      <c r="P250" s="150">
        <f t="shared" ref="P250:P252" ca="1" si="79">IF(M250&gt;0,N250*100/M250,0)</f>
        <v>52.52718446601942</v>
      </c>
    </row>
    <row r="251" spans="1:16" ht="21.75" customHeight="1" x14ac:dyDescent="0.45">
      <c r="A251" s="152"/>
      <c r="B251" s="32"/>
      <c r="C251" s="32"/>
      <c r="D251" s="32"/>
      <c r="E251" s="32"/>
      <c r="F251" s="32"/>
      <c r="G251" s="33" t="s">
        <v>18</v>
      </c>
      <c r="H251" s="153" t="s">
        <v>12</v>
      </c>
      <c r="I251" s="162"/>
      <c r="J251" s="162"/>
      <c r="K251" s="163"/>
      <c r="L251" s="87">
        <f t="shared" ref="L251:N251" si="80">L253+L257</f>
        <v>0</v>
      </c>
      <c r="M251" s="87">
        <f t="shared" si="80"/>
        <v>0</v>
      </c>
      <c r="N251" s="87">
        <f t="shared" si="80"/>
        <v>0</v>
      </c>
      <c r="O251" s="155">
        <f t="shared" si="78"/>
        <v>0</v>
      </c>
      <c r="P251" s="155">
        <f t="shared" si="79"/>
        <v>0</v>
      </c>
    </row>
    <row r="252" spans="1:16" ht="21.75" customHeight="1" x14ac:dyDescent="0.45">
      <c r="A252" s="152"/>
      <c r="B252" s="32"/>
      <c r="C252" s="32"/>
      <c r="D252" s="32"/>
      <c r="E252" s="32"/>
      <c r="F252" s="32"/>
      <c r="G252" s="33" t="s">
        <v>19</v>
      </c>
      <c r="H252" s="153" t="s">
        <v>12</v>
      </c>
      <c r="I252" s="162"/>
      <c r="J252" s="162"/>
      <c r="K252" s="163"/>
      <c r="L252" s="87">
        <f t="shared" ref="L252:N252" ca="1" si="81">L254+L258</f>
        <v>203400</v>
      </c>
      <c r="M252" s="87">
        <f t="shared" ca="1" si="81"/>
        <v>103000</v>
      </c>
      <c r="N252" s="87">
        <f t="shared" ca="1" si="81"/>
        <v>54103</v>
      </c>
      <c r="O252" s="155">
        <f t="shared" ca="1" si="78"/>
        <v>26.599311701081614</v>
      </c>
      <c r="P252" s="155">
        <f t="shared" ca="1" si="79"/>
        <v>52.52718446601942</v>
      </c>
    </row>
    <row r="253" spans="1:16" ht="21.75" customHeight="1" x14ac:dyDescent="0.3">
      <c r="A253" s="156"/>
      <c r="B253" s="157"/>
      <c r="C253" s="157" t="s">
        <v>16</v>
      </c>
      <c r="D253" s="158" t="s">
        <v>38</v>
      </c>
      <c r="E253" s="159"/>
      <c r="F253" s="159"/>
      <c r="G253" s="160" t="s">
        <v>39</v>
      </c>
      <c r="H253" s="161" t="s">
        <v>12</v>
      </c>
      <c r="I253" s="162" t="s">
        <v>40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3">
      <c r="A254" s="156"/>
      <c r="B254" s="157"/>
      <c r="C254" s="157"/>
      <c r="D254" s="166"/>
      <c r="E254" s="159"/>
      <c r="F254" s="159" t="s">
        <v>40</v>
      </c>
      <c r="G254" s="160" t="s">
        <v>41</v>
      </c>
      <c r="H254" s="161" t="s">
        <v>12</v>
      </c>
      <c r="I254" s="162"/>
      <c r="J254" s="162"/>
      <c r="K254" s="163"/>
      <c r="L254" s="167">
        <f ca="1">L255+L256</f>
        <v>203400</v>
      </c>
      <c r="M254" s="167">
        <f ca="1">IFERROR(__xludf.DUMMYFUNCTION("IMPORTRANGE(""https://docs.google.com/spreadsheets/d/1Yj_ptqi66GCucihVvJfMjLAmec39IyEx_6qawtMGysU/edit?usp=sharing"",""สบก!CB36"")"),103000)</f>
        <v>103000</v>
      </c>
      <c r="N254" s="168">
        <f ca="1">IFERROR(__xludf.DUMMYFUNCTION("IMPORTRANGE(""https://docs.google.com/spreadsheets/d/1Yj_ptqi66GCucihVvJfMjLAmec39IyEx_6qawtMGysU/edit?usp=sharing"",""สบก!CC36"")"),54103)</f>
        <v>54103</v>
      </c>
      <c r="O254" s="168">
        <f ca="1">IF(L254&gt;0,N254*100/L254,0)</f>
        <v>26.599311701081614</v>
      </c>
      <c r="P254" s="168">
        <f ca="1">IF(M254&gt;0,N254*100/M254,0)</f>
        <v>52.52718446601942</v>
      </c>
    </row>
    <row r="255" spans="1:16" ht="21.75" customHeight="1" x14ac:dyDescent="0.3">
      <c r="A255" s="156"/>
      <c r="B255" s="157"/>
      <c r="C255" s="157"/>
      <c r="D255" s="166"/>
      <c r="E255" s="159"/>
      <c r="F255" s="159"/>
      <c r="G255" s="169" t="s">
        <v>42</v>
      </c>
      <c r="H255" s="161" t="s">
        <v>12</v>
      </c>
      <c r="I255" s="162"/>
      <c r="J255" s="162"/>
      <c r="K255" s="163"/>
      <c r="L255" s="167">
        <f ca="1">IFERROR(__xludf.DUMMYFUNCTION("IMPORTRANGE(""https://docs.google.com/spreadsheets/d/1Yj_ptqi66GCucihVvJfMjLAmec39IyEx_6qawtMGysU/edit?usp=sharing"",""สบก!BX36"")"),132000)</f>
        <v>132000</v>
      </c>
      <c r="M255" s="167"/>
      <c r="N255" s="167"/>
      <c r="O255" s="168"/>
      <c r="P255" s="168"/>
    </row>
    <row r="256" spans="1:16" ht="21.75" customHeight="1" x14ac:dyDescent="0.3">
      <c r="A256" s="156"/>
      <c r="B256" s="157"/>
      <c r="C256" s="157"/>
      <c r="D256" s="166"/>
      <c r="E256" s="159"/>
      <c r="F256" s="159"/>
      <c r="G256" s="169" t="s">
        <v>43</v>
      </c>
      <c r="H256" s="161" t="s">
        <v>12</v>
      </c>
      <c r="I256" s="162"/>
      <c r="J256" s="162"/>
      <c r="K256" s="163"/>
      <c r="L256" s="167">
        <f ca="1">IFERROR(__xludf.DUMMYFUNCTION("IMPORTRANGE(""https://docs.google.com/spreadsheets/d/1Yj_ptqi66GCucihVvJfMjLAmec39IyEx_6qawtMGysU/edit?usp=sharing"",""สบก!BY36"")"),71400)</f>
        <v>71400</v>
      </c>
      <c r="M256" s="167"/>
      <c r="N256" s="167"/>
      <c r="O256" s="168"/>
      <c r="P256" s="168"/>
    </row>
    <row r="257" spans="1:16" ht="21.75" customHeight="1" x14ac:dyDescent="0.45">
      <c r="A257" s="170"/>
      <c r="B257" s="80"/>
      <c r="C257" s="81" t="s">
        <v>16</v>
      </c>
      <c r="D257" s="534" t="s">
        <v>23</v>
      </c>
      <c r="E257" s="530"/>
      <c r="F257" s="88"/>
      <c r="G257" s="82" t="s">
        <v>18</v>
      </c>
      <c r="H257" s="171" t="s">
        <v>12</v>
      </c>
      <c r="I257" s="162"/>
      <c r="J257" s="162"/>
      <c r="K257" s="163"/>
      <c r="L257" s="41">
        <v>0</v>
      </c>
      <c r="M257" s="41"/>
      <c r="N257" s="41"/>
      <c r="O257" s="41"/>
      <c r="P257" s="41"/>
    </row>
    <row r="258" spans="1:16" ht="21.75" customHeight="1" x14ac:dyDescent="0.45">
      <c r="A258" s="172"/>
      <c r="B258" s="91"/>
      <c r="C258" s="91"/>
      <c r="D258" s="173"/>
      <c r="E258" s="92"/>
      <c r="F258" s="92"/>
      <c r="G258" s="93" t="s">
        <v>19</v>
      </c>
      <c r="H258" s="174" t="s">
        <v>12</v>
      </c>
      <c r="I258" s="162"/>
      <c r="J258" s="162"/>
      <c r="K258" s="163"/>
      <c r="L258" s="49">
        <f ca="1">IFERROR(__xludf.DUMMYFUNCTION("IMPORTRANGE(""https://docs.google.com/spreadsheets/d/1Yj_ptqi66GCucihVvJfMjLAmec39IyEx_6qawtMGysU/edit?usp=sharing"",""สบก!BZ36"")"),0)</f>
        <v>0</v>
      </c>
      <c r="M258" s="49"/>
      <c r="N258" s="49">
        <f ca="1">IFERROR(__xludf.DUMMYFUNCTION("IMPORTRANGE(""https://docs.google.com/spreadsheets/d/1Yj_ptqi66GCucihVvJfMjLAmec39IyEx_6qawtMGysU/edit?usp=sharing"",""สบก!CD36"")"),0)</f>
        <v>0</v>
      </c>
      <c r="O258" s="49">
        <f ca="1">IF(L258&gt;0,N258*100/L258,0)</f>
        <v>0</v>
      </c>
      <c r="P258" s="49"/>
    </row>
    <row r="259" spans="1:16" ht="21.75" customHeight="1" x14ac:dyDescent="0.3">
      <c r="A259" s="175"/>
      <c r="B259" s="176"/>
      <c r="C259" s="157" t="s">
        <v>16</v>
      </c>
      <c r="D259" s="177" t="s">
        <v>44</v>
      </c>
      <c r="E259" s="178"/>
      <c r="F259" s="178"/>
      <c r="G259" s="179"/>
      <c r="H259" s="180"/>
      <c r="I259" s="162"/>
      <c r="J259" s="162"/>
      <c r="K259" s="163"/>
      <c r="L259" s="181"/>
      <c r="M259" s="181"/>
      <c r="N259" s="181"/>
      <c r="O259" s="181"/>
      <c r="P259" s="181"/>
    </row>
    <row r="260" spans="1:16" ht="21.75" customHeight="1" x14ac:dyDescent="0.3">
      <c r="A260" s="175"/>
      <c r="B260" s="176"/>
      <c r="C260" s="176"/>
      <c r="D260" s="182">
        <v>1</v>
      </c>
      <c r="E260" s="183" t="s">
        <v>45</v>
      </c>
      <c r="F260" s="184"/>
      <c r="G260" s="185"/>
      <c r="H260" s="186"/>
      <c r="I260" s="187"/>
      <c r="J260" s="188">
        <f ca="1">IFERROR(__xludf.DUMMYFUNCTION("IMPORTRANGE(""https://docs.google.com/spreadsheets/d/11923uPwbBZFjjGgGUA6NLw09EwE0CqkOc4q9oUmW1yo/edit?usp=sharing"",""อุทัยธานี!J175"")"),0)</f>
        <v>0</v>
      </c>
      <c r="K260" s="163"/>
      <c r="L260" s="181"/>
      <c r="M260" s="181"/>
      <c r="N260" s="181"/>
      <c r="O260" s="181"/>
      <c r="P260" s="181"/>
    </row>
    <row r="261" spans="1:16" ht="21.75" customHeight="1" x14ac:dyDescent="0.3">
      <c r="A261" s="175"/>
      <c r="B261" s="176"/>
      <c r="C261" s="176"/>
      <c r="D261" s="189">
        <v>2</v>
      </c>
      <c r="E261" s="190" t="s">
        <v>46</v>
      </c>
      <c r="F261" s="191"/>
      <c r="G261" s="192"/>
      <c r="H261" s="186"/>
      <c r="I261" s="187"/>
      <c r="J261" s="197">
        <f ca="1">IFERROR(__xludf.DUMMYFUNCTION("IMPORTRANGE(""https://docs.google.com/spreadsheets/d/11923uPwbBZFjjGgGUA6NLw09EwE0CqkOc4q9oUmW1yo/edit?usp=sharing"",""อุทัยธานี!J176"")"),1)</f>
        <v>1</v>
      </c>
      <c r="K261" s="163"/>
      <c r="L261" s="181" t="s">
        <v>40</v>
      </c>
      <c r="M261" s="181"/>
      <c r="N261" s="181" t="s">
        <v>40</v>
      </c>
      <c r="O261" s="181"/>
      <c r="P261" s="181"/>
    </row>
    <row r="262" spans="1:16" ht="21.75" customHeight="1" x14ac:dyDescent="0.3">
      <c r="A262" s="175"/>
      <c r="B262" s="176"/>
      <c r="C262" s="176"/>
      <c r="D262" s="193"/>
      <c r="E262" s="194" t="s">
        <v>47</v>
      </c>
      <c r="F262" s="195"/>
      <c r="G262" s="196"/>
      <c r="H262" s="186"/>
      <c r="I262" s="187"/>
      <c r="J262" s="197">
        <f ca="1">IFERROR(__xludf.DUMMYFUNCTION("IMPORTRANGE(""https://docs.google.com/spreadsheets/d/11923uPwbBZFjjGgGUA6NLw09EwE0CqkOc4q9oUmW1yo/edit?usp=sharing"",""อุทัยธานี!J177"")"),0)</f>
        <v>0</v>
      </c>
      <c r="K262" s="163"/>
      <c r="L262" s="181"/>
      <c r="M262" s="181"/>
      <c r="N262" s="181"/>
      <c r="O262" s="181"/>
      <c r="P262" s="181"/>
    </row>
    <row r="263" spans="1:16" ht="21.75" customHeight="1" x14ac:dyDescent="0.3">
      <c r="A263" s="175"/>
      <c r="B263" s="176"/>
      <c r="C263" s="176"/>
      <c r="D263" s="193"/>
      <c r="E263" s="194" t="s">
        <v>48</v>
      </c>
      <c r="F263" s="195"/>
      <c r="G263" s="196"/>
      <c r="H263" s="186"/>
      <c r="I263" s="187"/>
      <c r="J263" s="197">
        <f ca="1">IFERROR(__xludf.DUMMYFUNCTION("IMPORTRANGE(""https://docs.google.com/spreadsheets/d/11923uPwbBZFjjGgGUA6NLw09EwE0CqkOc4q9oUmW1yo/edit?usp=sharing"",""อุทัยธานี!J178"")"),0)</f>
        <v>0</v>
      </c>
      <c r="K263" s="163"/>
      <c r="L263" s="181"/>
      <c r="M263" s="181"/>
      <c r="N263" s="181"/>
      <c r="O263" s="181"/>
      <c r="P263" s="181"/>
    </row>
    <row r="264" spans="1:16" ht="21.75" customHeight="1" x14ac:dyDescent="0.3">
      <c r="A264" s="175"/>
      <c r="B264" s="176"/>
      <c r="C264" s="176"/>
      <c r="D264" s="193"/>
      <c r="E264" s="198"/>
      <c r="F264" s="194" t="s">
        <v>105</v>
      </c>
      <c r="G264" s="196"/>
      <c r="H264" s="180" t="s">
        <v>59</v>
      </c>
      <c r="I264" s="187">
        <f ca="1">IFERROR(__xludf.DUMMYFUNCTION("IMPORTRANGE(""https://docs.google.com/spreadsheets/d/11923uPwbBZFjjGgGUA6NLw09EwE0CqkOc4q9oUmW1yo/edit?usp=sharing"",""อุทัยธานี!I179"")"),1)</f>
        <v>1</v>
      </c>
      <c r="J264" s="188">
        <f ca="1">IFERROR(__xludf.DUMMYFUNCTION("IMPORTRANGE(""https://docs.google.com/spreadsheets/d/11923uPwbBZFjjGgGUA6NLw09EwE0CqkOc4q9oUmW1yo/edit?usp=sharing"",""อุทัยธานี!J179"")"),0)</f>
        <v>0</v>
      </c>
      <c r="K264" s="163">
        <f t="shared" ref="K264:K267" ca="1" si="82">IF(I264&gt;0,J264*100/I264,0)</f>
        <v>0</v>
      </c>
      <c r="L264" s="181"/>
      <c r="M264" s="181"/>
      <c r="N264" s="181"/>
      <c r="O264" s="181"/>
      <c r="P264" s="181"/>
    </row>
    <row r="265" spans="1:16" ht="21.75" customHeight="1" x14ac:dyDescent="0.3">
      <c r="A265" s="175"/>
      <c r="B265" s="176"/>
      <c r="C265" s="176"/>
      <c r="D265" s="193"/>
      <c r="E265" s="198"/>
      <c r="F265" s="194" t="s">
        <v>106</v>
      </c>
      <c r="G265" s="196"/>
      <c r="H265" s="180" t="s">
        <v>37</v>
      </c>
      <c r="I265" s="187">
        <f ca="1">IFERROR(__xludf.DUMMYFUNCTION("IMPORTRANGE(""https://docs.google.com/spreadsheets/d/11923uPwbBZFjjGgGUA6NLw09EwE0CqkOc4q9oUmW1yo/edit?usp=sharing"",""อุทัยธานี!I180"")"),20)</f>
        <v>20</v>
      </c>
      <c r="J265" s="188">
        <f ca="1">IFERROR(__xludf.DUMMYFUNCTION("IMPORTRANGE(""https://docs.google.com/spreadsheets/d/11923uPwbBZFjjGgGUA6NLw09EwE0CqkOc4q9oUmW1yo/edit?usp=sharing"",""อุทัยธานี!J180"")"),0)</f>
        <v>0</v>
      </c>
      <c r="K265" s="163">
        <f t="shared" ca="1" si="82"/>
        <v>0</v>
      </c>
      <c r="L265" s="181"/>
      <c r="M265" s="181"/>
      <c r="N265" s="181"/>
      <c r="O265" s="181"/>
      <c r="P265" s="181"/>
    </row>
    <row r="266" spans="1:16" ht="21.75" customHeight="1" x14ac:dyDescent="0.3">
      <c r="A266" s="175"/>
      <c r="B266" s="176"/>
      <c r="C266" s="176"/>
      <c r="D266" s="193"/>
      <c r="E266" s="198"/>
      <c r="F266" s="194" t="s">
        <v>107</v>
      </c>
      <c r="G266" s="196"/>
      <c r="H266" s="180" t="s">
        <v>37</v>
      </c>
      <c r="I266" s="187">
        <f ca="1">IFERROR(__xludf.DUMMYFUNCTION("IMPORTRANGE(""https://docs.google.com/spreadsheets/d/11923uPwbBZFjjGgGUA6NLw09EwE0CqkOc4q9oUmW1yo/edit?usp=sharing"",""อุทัยธานี!I181"")"),20)</f>
        <v>20</v>
      </c>
      <c r="J266" s="188">
        <f ca="1">IFERROR(__xludf.DUMMYFUNCTION("IMPORTRANGE(""https://docs.google.com/spreadsheets/d/11923uPwbBZFjjGgGUA6NLw09EwE0CqkOc4q9oUmW1yo/edit?usp=sharing"",""อุทัยธานี!J181"")"),0)</f>
        <v>0</v>
      </c>
      <c r="K266" s="163">
        <f t="shared" ca="1" si="82"/>
        <v>0</v>
      </c>
      <c r="L266" s="181"/>
      <c r="M266" s="181"/>
      <c r="N266" s="181"/>
      <c r="O266" s="181"/>
      <c r="P266" s="181"/>
    </row>
    <row r="267" spans="1:16" ht="21.75" customHeight="1" x14ac:dyDescent="0.3">
      <c r="A267" s="175"/>
      <c r="B267" s="176"/>
      <c r="C267" s="176"/>
      <c r="D267" s="193"/>
      <c r="E267" s="198"/>
      <c r="F267" s="194" t="s">
        <v>108</v>
      </c>
      <c r="G267" s="196"/>
      <c r="H267" s="180" t="s">
        <v>37</v>
      </c>
      <c r="I267" s="187">
        <f ca="1">IFERROR(__xludf.DUMMYFUNCTION("IMPORTRANGE(""https://docs.google.com/spreadsheets/d/11923uPwbBZFjjGgGUA6NLw09EwE0CqkOc4q9oUmW1yo/edit?usp=sharing"",""อุทัยธานี!I182"")"),1)</f>
        <v>1</v>
      </c>
      <c r="J267" s="188">
        <f ca="1">IFERROR(__xludf.DUMMYFUNCTION("IMPORTRANGE(""https://docs.google.com/spreadsheets/d/11923uPwbBZFjjGgGUA6NLw09EwE0CqkOc4q9oUmW1yo/edit?usp=sharing"",""อุทัยธานี!J182"")"),0)</f>
        <v>0</v>
      </c>
      <c r="K267" s="163">
        <f t="shared" ca="1" si="82"/>
        <v>0</v>
      </c>
      <c r="L267" s="181"/>
      <c r="M267" s="181"/>
      <c r="N267" s="181"/>
      <c r="O267" s="181"/>
      <c r="P267" s="181"/>
    </row>
    <row r="268" spans="1:16" ht="21.75" customHeight="1" x14ac:dyDescent="0.3">
      <c r="A268" s="175"/>
      <c r="B268" s="176"/>
      <c r="C268" s="176"/>
      <c r="D268" s="193"/>
      <c r="E268" s="194" t="s">
        <v>54</v>
      </c>
      <c r="F268" s="195"/>
      <c r="G268" s="196"/>
      <c r="H268" s="186"/>
      <c r="I268" s="187"/>
      <c r="J268" s="197">
        <f ca="1">IFERROR(__xludf.DUMMYFUNCTION("IMPORTRANGE(""https://docs.google.com/spreadsheets/d/11923uPwbBZFjjGgGUA6NLw09EwE0CqkOc4q9oUmW1yo/edit?usp=sharing"",""อุทัยธานี!J183"")"),0)</f>
        <v>0</v>
      </c>
      <c r="K268" s="163"/>
      <c r="L268" s="181"/>
      <c r="M268" s="181"/>
      <c r="N268" s="181"/>
      <c r="O268" s="181"/>
      <c r="P268" s="181"/>
    </row>
    <row r="269" spans="1:16" ht="21.75" customHeight="1" x14ac:dyDescent="0.3">
      <c r="A269" s="233"/>
      <c r="B269" s="234"/>
      <c r="C269" s="234"/>
      <c r="D269" s="235">
        <v>3</v>
      </c>
      <c r="E269" s="236" t="s">
        <v>55</v>
      </c>
      <c r="F269" s="237"/>
      <c r="G269" s="238"/>
      <c r="H269" s="239"/>
      <c r="I269" s="240"/>
      <c r="J269" s="285">
        <f ca="1">IFERROR(__xludf.DUMMYFUNCTION("IMPORTRANGE(""https://docs.google.com/spreadsheets/d/11923uPwbBZFjjGgGUA6NLw09EwE0CqkOc4q9oUmW1yo/edit?usp=sharing"",""อุทัยธานี!J184"")"),0)</f>
        <v>0</v>
      </c>
      <c r="K269" s="286"/>
      <c r="L269" s="244"/>
      <c r="M269" s="244"/>
      <c r="N269" s="244"/>
      <c r="O269" s="244"/>
      <c r="P269" s="244"/>
    </row>
    <row r="270" spans="1:16" ht="21.75" customHeight="1" x14ac:dyDescent="0.3">
      <c r="A270" s="310"/>
      <c r="B270" s="311" t="s">
        <v>109</v>
      </c>
      <c r="C270" s="311"/>
      <c r="D270" s="311"/>
      <c r="E270" s="311"/>
      <c r="F270" s="311"/>
      <c r="G270" s="312"/>
      <c r="H270" s="313" t="s">
        <v>37</v>
      </c>
      <c r="I270" s="314">
        <f ca="1">IFERROR(__xludf.DUMMYFUNCTION("IMPORTRANGE(""https://docs.google.com/spreadsheets/d/11923uPwbBZFjjGgGUA6NLw09EwE0CqkOc4q9oUmW1yo/edit?usp=sharing"",""อุทัยธานี!I185"")"),20)</f>
        <v>20</v>
      </c>
      <c r="J270" s="314">
        <f ca="1">IFERROR(__xludf.DUMMYFUNCTION("IMPORTRANGE(""https://docs.google.com/spreadsheets/d/11923uPwbBZFjjGgGUA6NLw09EwE0CqkOc4q9oUmW1yo/edit?usp=sharing"",""อุทัยธานี!J185"")"),20)</f>
        <v>20</v>
      </c>
      <c r="K270" s="315">
        <f ca="1">IF(I270&gt;0,J270*100/I270,0)</f>
        <v>100</v>
      </c>
      <c r="L270" s="316"/>
      <c r="M270" s="316"/>
      <c r="N270" s="316"/>
      <c r="O270" s="315"/>
      <c r="P270" s="315"/>
    </row>
    <row r="271" spans="1:16" ht="21.75" customHeight="1" x14ac:dyDescent="0.45">
      <c r="A271" s="145"/>
      <c r="B271" s="146"/>
      <c r="C271" s="147" t="s">
        <v>16</v>
      </c>
      <c r="D271" s="537" t="s">
        <v>17</v>
      </c>
      <c r="E271" s="528"/>
      <c r="F271" s="528"/>
      <c r="G271" s="528"/>
      <c r="H271" s="148" t="s">
        <v>12</v>
      </c>
      <c r="I271" s="162"/>
      <c r="J271" s="162"/>
      <c r="K271" s="163"/>
      <c r="L271" s="151">
        <f t="shared" ref="L271:N271" ca="1" si="83">L272+L273</f>
        <v>183600</v>
      </c>
      <c r="M271" s="151">
        <f t="shared" ca="1" si="83"/>
        <v>93000</v>
      </c>
      <c r="N271" s="151">
        <f t="shared" ca="1" si="83"/>
        <v>110579</v>
      </c>
      <c r="O271" s="150">
        <f t="shared" ref="O271:O273" ca="1" si="84">IF(L271&gt;0,N271*100/L271,0)</f>
        <v>60.22821350762527</v>
      </c>
      <c r="P271" s="150">
        <f t="shared" ref="P271:P273" ca="1" si="85">IF(M271&gt;0,N271*100/M271,0)</f>
        <v>118.90215053763441</v>
      </c>
    </row>
    <row r="272" spans="1:16" ht="21.75" customHeight="1" x14ac:dyDescent="0.45">
      <c r="A272" s="152"/>
      <c r="B272" s="32"/>
      <c r="C272" s="32"/>
      <c r="D272" s="32"/>
      <c r="E272" s="32"/>
      <c r="F272" s="32"/>
      <c r="G272" s="33" t="s">
        <v>18</v>
      </c>
      <c r="H272" s="153" t="s">
        <v>12</v>
      </c>
      <c r="I272" s="162"/>
      <c r="J272" s="162"/>
      <c r="K272" s="163"/>
      <c r="L272" s="87">
        <f t="shared" ref="L272:N272" si="86">L274+L278</f>
        <v>0</v>
      </c>
      <c r="M272" s="87">
        <f t="shared" si="86"/>
        <v>0</v>
      </c>
      <c r="N272" s="87">
        <f t="shared" si="86"/>
        <v>0</v>
      </c>
      <c r="O272" s="155">
        <f t="shared" si="84"/>
        <v>0</v>
      </c>
      <c r="P272" s="155">
        <f t="shared" si="85"/>
        <v>0</v>
      </c>
    </row>
    <row r="273" spans="1:16" ht="21.75" customHeight="1" x14ac:dyDescent="0.45">
      <c r="A273" s="152"/>
      <c r="B273" s="32"/>
      <c r="C273" s="32"/>
      <c r="D273" s="32"/>
      <c r="E273" s="32"/>
      <c r="F273" s="32"/>
      <c r="G273" s="33" t="s">
        <v>19</v>
      </c>
      <c r="H273" s="153" t="s">
        <v>12</v>
      </c>
      <c r="I273" s="162"/>
      <c r="J273" s="162"/>
      <c r="K273" s="163"/>
      <c r="L273" s="87">
        <f t="shared" ref="L273:N273" ca="1" si="87">L275+L279</f>
        <v>183600</v>
      </c>
      <c r="M273" s="87">
        <f t="shared" ca="1" si="87"/>
        <v>93000</v>
      </c>
      <c r="N273" s="87">
        <f t="shared" ca="1" si="87"/>
        <v>110579</v>
      </c>
      <c r="O273" s="155">
        <f t="shared" ca="1" si="84"/>
        <v>60.22821350762527</v>
      </c>
      <c r="P273" s="155">
        <f t="shared" ca="1" si="85"/>
        <v>118.90215053763441</v>
      </c>
    </row>
    <row r="274" spans="1:16" ht="21.75" customHeight="1" x14ac:dyDescent="0.3">
      <c r="A274" s="156"/>
      <c r="B274" s="157"/>
      <c r="C274" s="157" t="s">
        <v>16</v>
      </c>
      <c r="D274" s="158" t="s">
        <v>38</v>
      </c>
      <c r="E274" s="159"/>
      <c r="F274" s="159"/>
      <c r="G274" s="160" t="s">
        <v>39</v>
      </c>
      <c r="H274" s="161" t="s">
        <v>12</v>
      </c>
      <c r="I274" s="162" t="s">
        <v>40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3">
      <c r="A275" s="156"/>
      <c r="B275" s="157"/>
      <c r="C275" s="157"/>
      <c r="D275" s="166"/>
      <c r="E275" s="159"/>
      <c r="F275" s="159" t="s">
        <v>40</v>
      </c>
      <c r="G275" s="160" t="s">
        <v>41</v>
      </c>
      <c r="H275" s="161" t="s">
        <v>12</v>
      </c>
      <c r="I275" s="162"/>
      <c r="J275" s="162"/>
      <c r="K275" s="163"/>
      <c r="L275" s="167">
        <f ca="1">L276+L277</f>
        <v>183600</v>
      </c>
      <c r="M275" s="167">
        <f ca="1">IFERROR(__xludf.DUMMYFUNCTION("IMPORTRANGE(""https://docs.google.com/spreadsheets/d/1Yj_ptqi66GCucihVvJfMjLAmec39IyEx_6qawtMGysU/edit?usp=sharing"",""สบก!CK36"")"),93000)</f>
        <v>93000</v>
      </c>
      <c r="N275" s="168">
        <f ca="1">IFERROR(__xludf.DUMMYFUNCTION("IMPORTRANGE(""https://docs.google.com/spreadsheets/d/1Yj_ptqi66GCucihVvJfMjLAmec39IyEx_6qawtMGysU/edit?usp=sharing"",""สบก!CL36"")"),110579)</f>
        <v>110579</v>
      </c>
      <c r="O275" s="168">
        <f ca="1">IF(L275&gt;0,N275*100/L275,0)</f>
        <v>60.22821350762527</v>
      </c>
      <c r="P275" s="168">
        <f ca="1">IF(M275&gt;0,N275*100/M275,0)</f>
        <v>118.90215053763441</v>
      </c>
    </row>
    <row r="276" spans="1:16" ht="21.75" customHeight="1" x14ac:dyDescent="0.3">
      <c r="A276" s="156"/>
      <c r="B276" s="157"/>
      <c r="C276" s="157"/>
      <c r="D276" s="166"/>
      <c r="E276" s="159"/>
      <c r="F276" s="159"/>
      <c r="G276" s="169" t="s">
        <v>42</v>
      </c>
      <c r="H276" s="161" t="s">
        <v>12</v>
      </c>
      <c r="I276" s="162"/>
      <c r="J276" s="162"/>
      <c r="K276" s="163"/>
      <c r="L276" s="167">
        <f ca="1">IFERROR(__xludf.DUMMYFUNCTION("IMPORTRANGE(""https://docs.google.com/spreadsheets/d/1Yj_ptqi66GCucihVvJfMjLAmec39IyEx_6qawtMGysU/edit?usp=sharing"",""สบก!CG36"")"),0)</f>
        <v>0</v>
      </c>
      <c r="M276" s="167"/>
      <c r="N276" s="167"/>
      <c r="O276" s="168"/>
      <c r="P276" s="168"/>
    </row>
    <row r="277" spans="1:16" ht="21.75" customHeight="1" x14ac:dyDescent="0.3">
      <c r="A277" s="156"/>
      <c r="B277" s="157"/>
      <c r="C277" s="157"/>
      <c r="D277" s="166"/>
      <c r="E277" s="159"/>
      <c r="F277" s="159"/>
      <c r="G277" s="169" t="s">
        <v>43</v>
      </c>
      <c r="H277" s="161" t="s">
        <v>12</v>
      </c>
      <c r="I277" s="162"/>
      <c r="J277" s="162"/>
      <c r="K277" s="163"/>
      <c r="L277" s="167">
        <f ca="1">IFERROR(__xludf.DUMMYFUNCTION("IMPORTRANGE(""https://docs.google.com/spreadsheets/d/1Yj_ptqi66GCucihVvJfMjLAmec39IyEx_6qawtMGysU/edit?usp=sharing"",""สบก!CH36"")"),183600)</f>
        <v>183600</v>
      </c>
      <c r="M277" s="167"/>
      <c r="N277" s="167"/>
      <c r="O277" s="168"/>
      <c r="P277" s="168"/>
    </row>
    <row r="278" spans="1:16" ht="21.75" customHeight="1" x14ac:dyDescent="0.45">
      <c r="A278" s="170"/>
      <c r="B278" s="80"/>
      <c r="C278" s="81" t="s">
        <v>16</v>
      </c>
      <c r="D278" s="534" t="s">
        <v>23</v>
      </c>
      <c r="E278" s="530"/>
      <c r="F278" s="88"/>
      <c r="G278" s="82" t="s">
        <v>18</v>
      </c>
      <c r="H278" s="171" t="s">
        <v>12</v>
      </c>
      <c r="I278" s="162"/>
      <c r="J278" s="162"/>
      <c r="K278" s="163"/>
      <c r="L278" s="41">
        <v>0</v>
      </c>
      <c r="M278" s="41"/>
      <c r="N278" s="41"/>
      <c r="O278" s="41"/>
      <c r="P278" s="41"/>
    </row>
    <row r="279" spans="1:16" ht="21.75" customHeight="1" x14ac:dyDescent="0.45">
      <c r="A279" s="172"/>
      <c r="B279" s="91"/>
      <c r="C279" s="91"/>
      <c r="D279" s="173"/>
      <c r="E279" s="92"/>
      <c r="F279" s="92"/>
      <c r="G279" s="93" t="s">
        <v>19</v>
      </c>
      <c r="H279" s="174" t="s">
        <v>12</v>
      </c>
      <c r="I279" s="162"/>
      <c r="J279" s="162"/>
      <c r="K279" s="163"/>
      <c r="L279" s="49">
        <f ca="1">IFERROR(__xludf.DUMMYFUNCTION("IMPORTRANGE(""https://docs.google.com/spreadsheets/d/1Yj_ptqi66GCucihVvJfMjLAmec39IyEx_6qawtMGysU/edit?usp=sharing"",""สบก!CI36"")"),0)</f>
        <v>0</v>
      </c>
      <c r="M279" s="49"/>
      <c r="N279" s="49">
        <f ca="1">IFERROR(__xludf.DUMMYFUNCTION("IMPORTRANGE(""https://docs.google.com/spreadsheets/d/1Yj_ptqi66GCucihVvJfMjLAmec39IyEx_6qawtMGysU/edit?usp=sharing"",""สบก!CM36"")"),0)</f>
        <v>0</v>
      </c>
      <c r="O279" s="49">
        <f ca="1">IF(L279&gt;0,N279*100/L279,0)</f>
        <v>0</v>
      </c>
      <c r="P279" s="49"/>
    </row>
    <row r="280" spans="1:16" ht="21.75" customHeight="1" x14ac:dyDescent="0.3">
      <c r="A280" s="175"/>
      <c r="B280" s="176"/>
      <c r="C280" s="157" t="s">
        <v>16</v>
      </c>
      <c r="D280" s="177" t="s">
        <v>44</v>
      </c>
      <c r="E280" s="178"/>
      <c r="F280" s="178"/>
      <c r="G280" s="179"/>
      <c r="H280" s="180"/>
      <c r="I280" s="162"/>
      <c r="J280" s="162"/>
      <c r="K280" s="163"/>
      <c r="L280" s="181"/>
      <c r="M280" s="181"/>
      <c r="N280" s="181"/>
      <c r="O280" s="181"/>
      <c r="P280" s="181"/>
    </row>
    <row r="281" spans="1:16" ht="21.75" customHeight="1" x14ac:dyDescent="0.3">
      <c r="A281" s="175"/>
      <c r="B281" s="176"/>
      <c r="C281" s="176"/>
      <c r="D281" s="182">
        <v>1</v>
      </c>
      <c r="E281" s="183" t="s">
        <v>45</v>
      </c>
      <c r="F281" s="184"/>
      <c r="G281" s="185"/>
      <c r="H281" s="186"/>
      <c r="I281" s="187"/>
      <c r="J281" s="188">
        <f ca="1">IFERROR(__xludf.DUMMYFUNCTION("IMPORTRANGE(""https://docs.google.com/spreadsheets/d/11923uPwbBZFjjGgGUA6NLw09EwE0CqkOc4q9oUmW1yo/edit?usp=sharing"",""อุทัยธานี!J191"")"),0)</f>
        <v>0</v>
      </c>
      <c r="K281" s="163"/>
      <c r="L281" s="181"/>
      <c r="M281" s="181"/>
      <c r="N281" s="181"/>
      <c r="O281" s="181"/>
      <c r="P281" s="181"/>
    </row>
    <row r="282" spans="1:16" ht="21.75" customHeight="1" x14ac:dyDescent="0.3">
      <c r="A282" s="175"/>
      <c r="B282" s="176"/>
      <c r="C282" s="176"/>
      <c r="D282" s="189">
        <v>2</v>
      </c>
      <c r="E282" s="190" t="s">
        <v>46</v>
      </c>
      <c r="F282" s="191"/>
      <c r="G282" s="192"/>
      <c r="H282" s="186"/>
      <c r="I282" s="187"/>
      <c r="J282" s="197">
        <f ca="1">IFERROR(__xludf.DUMMYFUNCTION("IMPORTRANGE(""https://docs.google.com/spreadsheets/d/11923uPwbBZFjjGgGUA6NLw09EwE0CqkOc4q9oUmW1yo/edit?usp=sharing"",""อุทัยธานี!J192"")"),1)</f>
        <v>1</v>
      </c>
      <c r="K282" s="163"/>
      <c r="L282" s="181"/>
      <c r="M282" s="181"/>
      <c r="N282" s="181"/>
      <c r="O282" s="181"/>
      <c r="P282" s="181"/>
    </row>
    <row r="283" spans="1:16" ht="21.75" customHeight="1" x14ac:dyDescent="0.3">
      <c r="A283" s="175"/>
      <c r="B283" s="176"/>
      <c r="C283" s="176"/>
      <c r="D283" s="193"/>
      <c r="E283" s="194" t="s">
        <v>47</v>
      </c>
      <c r="F283" s="195"/>
      <c r="G283" s="196"/>
      <c r="H283" s="186"/>
      <c r="I283" s="187"/>
      <c r="J283" s="197">
        <f ca="1">IFERROR(__xludf.DUMMYFUNCTION("IMPORTRANGE(""https://docs.google.com/spreadsheets/d/11923uPwbBZFjjGgGUA6NLw09EwE0CqkOc4q9oUmW1yo/edit?usp=sharing"",""อุทัยธานี!J193"")"),0)</f>
        <v>0</v>
      </c>
      <c r="K283" s="163"/>
      <c r="L283" s="181"/>
      <c r="M283" s="181"/>
      <c r="N283" s="181"/>
      <c r="O283" s="181"/>
      <c r="P283" s="181"/>
    </row>
    <row r="284" spans="1:16" ht="21.75" customHeight="1" x14ac:dyDescent="0.3">
      <c r="A284" s="175"/>
      <c r="B284" s="176"/>
      <c r="C284" s="176"/>
      <c r="D284" s="193"/>
      <c r="E284" s="194" t="s">
        <v>48</v>
      </c>
      <c r="F284" s="195"/>
      <c r="G284" s="196"/>
      <c r="H284" s="186"/>
      <c r="I284" s="187"/>
      <c r="J284" s="197">
        <f ca="1">IFERROR(__xludf.DUMMYFUNCTION("IMPORTRANGE(""https://docs.google.com/spreadsheets/d/11923uPwbBZFjjGgGUA6NLw09EwE0CqkOc4q9oUmW1yo/edit?usp=sharing"",""อุทัยธานี!J194"")"),0)</f>
        <v>0</v>
      </c>
      <c r="K284" s="163"/>
      <c r="L284" s="181"/>
      <c r="M284" s="181"/>
      <c r="N284" s="181"/>
      <c r="O284" s="181"/>
      <c r="P284" s="181"/>
    </row>
    <row r="285" spans="1:16" ht="21.75" customHeight="1" x14ac:dyDescent="0.3">
      <c r="A285" s="175"/>
      <c r="B285" s="176"/>
      <c r="C285" s="176"/>
      <c r="D285" s="193"/>
      <c r="E285" s="195"/>
      <c r="F285" s="194" t="s">
        <v>110</v>
      </c>
      <c r="G285" s="196"/>
      <c r="H285" s="186" t="s">
        <v>37</v>
      </c>
      <c r="I285" s="187">
        <f ca="1">IFERROR(__xludf.DUMMYFUNCTION("IMPORTRANGE(""https://docs.google.com/spreadsheets/d/11923uPwbBZFjjGgGUA6NLw09EwE0CqkOc4q9oUmW1yo/edit?usp=sharing"",""อุทัยธานี!I195"")"),20)</f>
        <v>20</v>
      </c>
      <c r="J285" s="188">
        <f ca="1">IFERROR(__xludf.DUMMYFUNCTION("IMPORTRANGE(""https://docs.google.com/spreadsheets/d/11923uPwbBZFjjGgGUA6NLw09EwE0CqkOc4q9oUmW1yo/edit?usp=sharing"",""อุทัยธานี!J195"")"),20)</f>
        <v>20</v>
      </c>
      <c r="K285" s="163">
        <f ca="1">IF(I285&gt;0,J285*100/I285,0)</f>
        <v>100</v>
      </c>
      <c r="L285" s="181"/>
      <c r="M285" s="181"/>
      <c r="N285" s="181"/>
      <c r="O285" s="181"/>
      <c r="P285" s="181"/>
    </row>
    <row r="286" spans="1:16" ht="21.75" customHeight="1" x14ac:dyDescent="0.3">
      <c r="A286" s="175"/>
      <c r="B286" s="176"/>
      <c r="C286" s="176"/>
      <c r="D286" s="193"/>
      <c r="E286" s="194" t="s">
        <v>54</v>
      </c>
      <c r="F286" s="195"/>
      <c r="G286" s="196"/>
      <c r="H286" s="186"/>
      <c r="I286" s="187"/>
      <c r="J286" s="197">
        <f ca="1">IFERROR(__xludf.DUMMYFUNCTION("IMPORTRANGE(""https://docs.google.com/spreadsheets/d/11923uPwbBZFjjGgGUA6NLw09EwE0CqkOc4q9oUmW1yo/edit?usp=sharing"",""อุทัยธานี!J196"")"),0)</f>
        <v>0</v>
      </c>
      <c r="K286" s="163"/>
      <c r="L286" s="181"/>
      <c r="M286" s="181"/>
      <c r="N286" s="181"/>
      <c r="O286" s="181"/>
      <c r="P286" s="181"/>
    </row>
    <row r="287" spans="1:16" ht="21.75" customHeight="1" x14ac:dyDescent="0.3">
      <c r="A287" s="175"/>
      <c r="B287" s="176"/>
      <c r="C287" s="176"/>
      <c r="D287" s="205">
        <v>3</v>
      </c>
      <c r="E287" s="206" t="s">
        <v>55</v>
      </c>
      <c r="F287" s="207"/>
      <c r="G287" s="208"/>
      <c r="H287" s="186"/>
      <c r="I287" s="187"/>
      <c r="J287" s="209">
        <f ca="1">IFERROR(__xludf.DUMMYFUNCTION("IMPORTRANGE(""https://docs.google.com/spreadsheets/d/11923uPwbBZFjjGgGUA6NLw09EwE0CqkOc4q9oUmW1yo/edit?usp=sharing"",""อุทัยธานี!J197"")"),0)</f>
        <v>0</v>
      </c>
      <c r="K287" s="163"/>
      <c r="L287" s="181"/>
      <c r="M287" s="181"/>
      <c r="N287" s="181"/>
      <c r="O287" s="181"/>
      <c r="P287" s="181"/>
    </row>
    <row r="288" spans="1:16" ht="21.75" customHeight="1" x14ac:dyDescent="0.3">
      <c r="A288" s="302" t="s">
        <v>111</v>
      </c>
      <c r="B288" s="303"/>
      <c r="C288" s="303"/>
      <c r="D288" s="304"/>
      <c r="E288" s="303"/>
      <c r="F288" s="303"/>
      <c r="G288" s="317"/>
      <c r="H288" s="318"/>
      <c r="I288" s="319"/>
      <c r="J288" s="319"/>
      <c r="K288" s="320"/>
      <c r="L288" s="320"/>
      <c r="M288" s="320"/>
      <c r="N288" s="320"/>
      <c r="O288" s="309"/>
      <c r="P288" s="309"/>
    </row>
    <row r="289" spans="1:16" ht="21.75" customHeight="1" x14ac:dyDescent="0.3">
      <c r="A289" s="321"/>
      <c r="B289" s="311" t="s">
        <v>112</v>
      </c>
      <c r="C289" s="322"/>
      <c r="D289" s="323"/>
      <c r="E289" s="311"/>
      <c r="F289" s="311"/>
      <c r="G289" s="312"/>
      <c r="H289" s="313" t="s">
        <v>37</v>
      </c>
      <c r="I289" s="314">
        <f ca="1">IFERROR(__xludf.DUMMYFUNCTION("IMPORTRANGE(""https://docs.google.com/spreadsheets/d/11923uPwbBZFjjGgGUA6NLw09EwE0CqkOc4q9oUmW1yo/edit?usp=sharing"",""อุทัยธานี!I199"")"),40)</f>
        <v>40</v>
      </c>
      <c r="J289" s="314">
        <f ca="1">IFERROR(__xludf.DUMMYFUNCTION("IMPORTRANGE(""https://docs.google.com/spreadsheets/d/11923uPwbBZFjjGgGUA6NLw09EwE0CqkOc4q9oUmW1yo/edit?usp=sharing"",""อุทัยธานี!J199"")"),0)</f>
        <v>0</v>
      </c>
      <c r="K289" s="315">
        <f ca="1">IF(I289&gt;0,J289*100/I289,0)</f>
        <v>0</v>
      </c>
      <c r="L289" s="316"/>
      <c r="M289" s="316"/>
      <c r="N289" s="316"/>
      <c r="O289" s="315"/>
      <c r="P289" s="315"/>
    </row>
    <row r="290" spans="1:16" ht="21.75" customHeight="1" x14ac:dyDescent="0.45">
      <c r="A290" s="145"/>
      <c r="B290" s="146"/>
      <c r="C290" s="147" t="s">
        <v>16</v>
      </c>
      <c r="D290" s="537" t="s">
        <v>17</v>
      </c>
      <c r="E290" s="528"/>
      <c r="F290" s="528"/>
      <c r="G290" s="528"/>
      <c r="H290" s="148" t="s">
        <v>12</v>
      </c>
      <c r="I290" s="187"/>
      <c r="J290" s="187"/>
      <c r="K290" s="223"/>
      <c r="L290" s="151">
        <f t="shared" ref="L290:N290" ca="1" si="88">L291+L292</f>
        <v>120760</v>
      </c>
      <c r="M290" s="151">
        <f t="shared" ca="1" si="88"/>
        <v>120760</v>
      </c>
      <c r="N290" s="151">
        <f t="shared" ca="1" si="88"/>
        <v>18360</v>
      </c>
      <c r="O290" s="150">
        <f t="shared" ref="O290:O292" ca="1" si="89">IF(L290&gt;0,N290*100/L290,0)</f>
        <v>15.203709837694602</v>
      </c>
      <c r="P290" s="150">
        <f t="shared" ref="P290:P292" ca="1" si="90">IF(M290&gt;0,N290*100/M290,0)</f>
        <v>15.203709837694602</v>
      </c>
    </row>
    <row r="291" spans="1:16" ht="21.75" customHeight="1" x14ac:dyDescent="0.45">
      <c r="A291" s="152"/>
      <c r="B291" s="32"/>
      <c r="C291" s="32"/>
      <c r="D291" s="32"/>
      <c r="E291" s="32"/>
      <c r="F291" s="32"/>
      <c r="G291" s="33" t="s">
        <v>18</v>
      </c>
      <c r="H291" s="153" t="s">
        <v>12</v>
      </c>
      <c r="I291" s="187"/>
      <c r="J291" s="187"/>
      <c r="K291" s="223"/>
      <c r="L291" s="87">
        <f t="shared" ref="L291:N291" si="91">L293+L297</f>
        <v>0</v>
      </c>
      <c r="M291" s="87">
        <f t="shared" si="91"/>
        <v>0</v>
      </c>
      <c r="N291" s="87">
        <f t="shared" si="91"/>
        <v>0</v>
      </c>
      <c r="O291" s="155">
        <f t="shared" si="89"/>
        <v>0</v>
      </c>
      <c r="P291" s="155">
        <f t="shared" si="90"/>
        <v>0</v>
      </c>
    </row>
    <row r="292" spans="1:16" ht="21.75" customHeight="1" x14ac:dyDescent="0.45">
      <c r="A292" s="152"/>
      <c r="B292" s="32"/>
      <c r="C292" s="32"/>
      <c r="D292" s="32"/>
      <c r="E292" s="32"/>
      <c r="F292" s="32"/>
      <c r="G292" s="33" t="s">
        <v>19</v>
      </c>
      <c r="H292" s="153" t="s">
        <v>12</v>
      </c>
      <c r="I292" s="187"/>
      <c r="J292" s="187"/>
      <c r="K292" s="223"/>
      <c r="L292" s="87">
        <f t="shared" ref="L292:N292" ca="1" si="92">L294+L298</f>
        <v>120760</v>
      </c>
      <c r="M292" s="87">
        <f t="shared" ca="1" si="92"/>
        <v>120760</v>
      </c>
      <c r="N292" s="87">
        <f t="shared" ca="1" si="92"/>
        <v>18360</v>
      </c>
      <c r="O292" s="155">
        <f t="shared" ca="1" si="89"/>
        <v>15.203709837694602</v>
      </c>
      <c r="P292" s="155">
        <f t="shared" ca="1" si="90"/>
        <v>15.203709837694602</v>
      </c>
    </row>
    <row r="293" spans="1:16" ht="21.75" customHeight="1" x14ac:dyDescent="0.3">
      <c r="A293" s="156"/>
      <c r="B293" s="157"/>
      <c r="C293" s="157" t="s">
        <v>16</v>
      </c>
      <c r="D293" s="158" t="s">
        <v>38</v>
      </c>
      <c r="E293" s="159"/>
      <c r="F293" s="159"/>
      <c r="G293" s="160" t="s">
        <v>39</v>
      </c>
      <c r="H293" s="161" t="s">
        <v>12</v>
      </c>
      <c r="I293" s="187" t="s">
        <v>40</v>
      </c>
      <c r="J293" s="187"/>
      <c r="K293" s="223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3">
      <c r="A294" s="156"/>
      <c r="B294" s="157"/>
      <c r="C294" s="157"/>
      <c r="D294" s="166"/>
      <c r="E294" s="159"/>
      <c r="F294" s="159" t="s">
        <v>40</v>
      </c>
      <c r="G294" s="160" t="s">
        <v>41</v>
      </c>
      <c r="H294" s="161" t="s">
        <v>12</v>
      </c>
      <c r="I294" s="187"/>
      <c r="J294" s="187"/>
      <c r="K294" s="223"/>
      <c r="L294" s="167">
        <f ca="1">L295+L296</f>
        <v>120760</v>
      </c>
      <c r="M294" s="167">
        <f ca="1">IFERROR(__xludf.DUMMYFUNCTION("IMPORTRANGE(""https://docs.google.com/spreadsheets/d/1Yj_ptqi66GCucihVvJfMjLAmec39IyEx_6qawtMGysU/edit?usp=sharing"",""สบก!CT36"")"),120760)</f>
        <v>120760</v>
      </c>
      <c r="N294" s="168">
        <f ca="1">IFERROR(__xludf.DUMMYFUNCTION("IMPORTRANGE(""https://docs.google.com/spreadsheets/d/1Yj_ptqi66GCucihVvJfMjLAmec39IyEx_6qawtMGysU/edit?usp=sharing"",""สบก!CU36"")"),18360)</f>
        <v>18360</v>
      </c>
      <c r="O294" s="168">
        <f ca="1">IF(L294&gt;0,N294*100/L294,0)</f>
        <v>15.203709837694602</v>
      </c>
      <c r="P294" s="168">
        <f ca="1">IF(M294&gt;0,N294*100/M294,0)</f>
        <v>15.203709837694602</v>
      </c>
    </row>
    <row r="295" spans="1:16" ht="21.75" customHeight="1" x14ac:dyDescent="0.3">
      <c r="A295" s="156"/>
      <c r="B295" s="157"/>
      <c r="C295" s="157"/>
      <c r="D295" s="166"/>
      <c r="E295" s="159"/>
      <c r="F295" s="159"/>
      <c r="G295" s="169" t="s">
        <v>42</v>
      </c>
      <c r="H295" s="161" t="s">
        <v>12</v>
      </c>
      <c r="I295" s="187"/>
      <c r="J295" s="187"/>
      <c r="K295" s="223"/>
      <c r="L295" s="167">
        <f ca="1">IFERROR(__xludf.DUMMYFUNCTION("IMPORTRANGE(""https://docs.google.com/spreadsheets/d/1Yj_ptqi66GCucihVvJfMjLAmec39IyEx_6qawtMGysU/edit?usp=sharing"",""สบก!CP36"")"),0)</f>
        <v>0</v>
      </c>
      <c r="M295" s="167"/>
      <c r="N295" s="167"/>
      <c r="O295" s="168"/>
      <c r="P295" s="168"/>
    </row>
    <row r="296" spans="1:16" ht="21.75" customHeight="1" x14ac:dyDescent="0.3">
      <c r="A296" s="156"/>
      <c r="B296" s="157"/>
      <c r="C296" s="157"/>
      <c r="D296" s="166"/>
      <c r="E296" s="159"/>
      <c r="F296" s="159"/>
      <c r="G296" s="169" t="s">
        <v>43</v>
      </c>
      <c r="H296" s="161" t="s">
        <v>12</v>
      </c>
      <c r="I296" s="187"/>
      <c r="J296" s="187"/>
      <c r="K296" s="223"/>
      <c r="L296" s="167">
        <f ca="1">IFERROR(__xludf.DUMMYFUNCTION("IMPORTRANGE(""https://docs.google.com/spreadsheets/d/1Yj_ptqi66GCucihVvJfMjLAmec39IyEx_6qawtMGysU/edit?usp=sharing"",""สบก!CQ36"")"),120760)</f>
        <v>120760</v>
      </c>
      <c r="M296" s="167"/>
      <c r="N296" s="167"/>
      <c r="O296" s="168"/>
      <c r="P296" s="168"/>
    </row>
    <row r="297" spans="1:16" ht="21.75" customHeight="1" x14ac:dyDescent="0.45">
      <c r="A297" s="170"/>
      <c r="B297" s="80"/>
      <c r="C297" s="81" t="s">
        <v>16</v>
      </c>
      <c r="D297" s="534" t="s">
        <v>23</v>
      </c>
      <c r="E297" s="530"/>
      <c r="F297" s="88"/>
      <c r="G297" s="82" t="s">
        <v>18</v>
      </c>
      <c r="H297" s="171" t="s">
        <v>12</v>
      </c>
      <c r="I297" s="187"/>
      <c r="J297" s="187"/>
      <c r="K297" s="223"/>
      <c r="L297" s="41">
        <v>0</v>
      </c>
      <c r="M297" s="41"/>
      <c r="N297" s="41"/>
      <c r="O297" s="41"/>
      <c r="P297" s="41"/>
    </row>
    <row r="298" spans="1:16" ht="21.75" customHeight="1" x14ac:dyDescent="0.45">
      <c r="A298" s="172"/>
      <c r="B298" s="91"/>
      <c r="C298" s="91"/>
      <c r="D298" s="173"/>
      <c r="E298" s="92"/>
      <c r="F298" s="92"/>
      <c r="G298" s="93" t="s">
        <v>19</v>
      </c>
      <c r="H298" s="174" t="s">
        <v>12</v>
      </c>
      <c r="I298" s="187"/>
      <c r="J298" s="187"/>
      <c r="K298" s="223"/>
      <c r="L298" s="49">
        <f ca="1">IFERROR(__xludf.DUMMYFUNCTION("IMPORTRANGE(""https://docs.google.com/spreadsheets/d/1Yj_ptqi66GCucihVvJfMjLAmec39IyEx_6qawtMGysU/edit?usp=sharing"",""สบก!CR36"")"),0)</f>
        <v>0</v>
      </c>
      <c r="M298" s="49"/>
      <c r="N298" s="49">
        <f ca="1">IFERROR(__xludf.DUMMYFUNCTION("IMPORTRANGE(""https://docs.google.com/spreadsheets/d/1Yj_ptqi66GCucihVvJfMjLAmec39IyEx_6qawtMGysU/edit?usp=sharing"",""สบก!CV36"")"),0)</f>
        <v>0</v>
      </c>
      <c r="O298" s="49">
        <f ca="1">IF(L298&gt;0,N298*100/L298,0)</f>
        <v>0</v>
      </c>
      <c r="P298" s="49"/>
    </row>
    <row r="299" spans="1:16" ht="21.75" customHeight="1" x14ac:dyDescent="0.3">
      <c r="A299" s="175"/>
      <c r="B299" s="176"/>
      <c r="C299" s="157" t="s">
        <v>16</v>
      </c>
      <c r="D299" s="177" t="s">
        <v>44</v>
      </c>
      <c r="E299" s="178"/>
      <c r="F299" s="178"/>
      <c r="G299" s="179"/>
      <c r="H299" s="180"/>
      <c r="I299" s="187"/>
      <c r="J299" s="187"/>
      <c r="K299" s="223"/>
      <c r="L299" s="168"/>
      <c r="M299" s="168"/>
      <c r="N299" s="168"/>
      <c r="O299" s="181"/>
      <c r="P299" s="181"/>
    </row>
    <row r="300" spans="1:16" ht="21.75" customHeight="1" x14ac:dyDescent="0.3">
      <c r="A300" s="175"/>
      <c r="B300" s="176"/>
      <c r="C300" s="176"/>
      <c r="D300" s="182">
        <v>1</v>
      </c>
      <c r="E300" s="183" t="s">
        <v>45</v>
      </c>
      <c r="F300" s="184"/>
      <c r="G300" s="185"/>
      <c r="H300" s="186"/>
      <c r="I300" s="187"/>
      <c r="J300" s="187">
        <f ca="1">IFERROR(__xludf.DUMMYFUNCTION("IMPORTRANGE(""https://docs.google.com/spreadsheets/d/11923uPwbBZFjjGgGUA6NLw09EwE0CqkOc4q9oUmW1yo/edit?usp=sharing"",""อุทัยธานี!J205"")"),0)</f>
        <v>0</v>
      </c>
      <c r="K300" s="223"/>
      <c r="L300" s="168"/>
      <c r="M300" s="168"/>
      <c r="N300" s="168"/>
      <c r="O300" s="181"/>
      <c r="P300" s="181"/>
    </row>
    <row r="301" spans="1:16" ht="21.75" customHeight="1" x14ac:dyDescent="0.3">
      <c r="A301" s="175"/>
      <c r="B301" s="176"/>
      <c r="C301" s="176"/>
      <c r="D301" s="189">
        <v>2</v>
      </c>
      <c r="E301" s="190" t="s">
        <v>46</v>
      </c>
      <c r="F301" s="191"/>
      <c r="G301" s="192"/>
      <c r="H301" s="186"/>
      <c r="I301" s="187"/>
      <c r="J301" s="187">
        <f ca="1">IFERROR(__xludf.DUMMYFUNCTION("IMPORTRANGE(""https://docs.google.com/spreadsheets/d/11923uPwbBZFjjGgGUA6NLw09EwE0CqkOc4q9oUmW1yo/edit?usp=sharing"",""อุทัยธานี!J206"")"),1)</f>
        <v>1</v>
      </c>
      <c r="K301" s="223"/>
      <c r="L301" s="168" t="s">
        <v>40</v>
      </c>
      <c r="M301" s="168"/>
      <c r="N301" s="168" t="s">
        <v>40</v>
      </c>
      <c r="O301" s="181"/>
      <c r="P301" s="181"/>
    </row>
    <row r="302" spans="1:16" ht="21.75" customHeight="1" x14ac:dyDescent="0.3">
      <c r="A302" s="175"/>
      <c r="B302" s="176"/>
      <c r="C302" s="176"/>
      <c r="D302" s="193"/>
      <c r="E302" s="194" t="s">
        <v>47</v>
      </c>
      <c r="F302" s="195"/>
      <c r="G302" s="196"/>
      <c r="H302" s="186"/>
      <c r="I302" s="187"/>
      <c r="J302" s="187">
        <f ca="1">IFERROR(__xludf.DUMMYFUNCTION("IMPORTRANGE(""https://docs.google.com/spreadsheets/d/11923uPwbBZFjjGgGUA6NLw09EwE0CqkOc4q9oUmW1yo/edit?usp=sharing"",""อุทัยธานี!J207"")"),1)</f>
        <v>1</v>
      </c>
      <c r="K302" s="223"/>
      <c r="L302" s="168"/>
      <c r="M302" s="168"/>
      <c r="N302" s="168"/>
      <c r="O302" s="181"/>
      <c r="P302" s="181"/>
    </row>
    <row r="303" spans="1:16" ht="21.75" customHeight="1" x14ac:dyDescent="0.3">
      <c r="A303" s="175"/>
      <c r="B303" s="176"/>
      <c r="C303" s="176"/>
      <c r="D303" s="193"/>
      <c r="E303" s="194" t="s">
        <v>48</v>
      </c>
      <c r="F303" s="195"/>
      <c r="G303" s="196"/>
      <c r="H303" s="186"/>
      <c r="I303" s="187"/>
      <c r="J303" s="187">
        <f ca="1">IFERROR(__xludf.DUMMYFUNCTION("IMPORTRANGE(""https://docs.google.com/spreadsheets/d/11923uPwbBZFjjGgGUA6NLw09EwE0CqkOc4q9oUmW1yo/edit?usp=sharing"",""อุทัยธานี!J208"")"),1)</f>
        <v>1</v>
      </c>
      <c r="K303" s="223"/>
      <c r="L303" s="168"/>
      <c r="M303" s="168"/>
      <c r="N303" s="168"/>
      <c r="O303" s="181"/>
      <c r="P303" s="181"/>
    </row>
    <row r="304" spans="1:16" ht="21.75" customHeight="1" x14ac:dyDescent="0.3">
      <c r="A304" s="175"/>
      <c r="B304" s="176"/>
      <c r="C304" s="176"/>
      <c r="D304" s="193"/>
      <c r="E304" s="198"/>
      <c r="F304" s="194" t="s">
        <v>113</v>
      </c>
      <c r="G304" s="196"/>
      <c r="H304" s="180" t="s">
        <v>37</v>
      </c>
      <c r="I304" s="187">
        <f ca="1">IFERROR(__xludf.DUMMYFUNCTION("IMPORTRANGE(""https://docs.google.com/spreadsheets/d/11923uPwbBZFjjGgGUA6NLw09EwE0CqkOc4q9oUmW1yo/edit?usp=sharing"",""อุทัยธานี!I209"")"),40)</f>
        <v>40</v>
      </c>
      <c r="J304" s="203">
        <f ca="1">IFERROR(__xludf.DUMMYFUNCTION("IMPORTRANGE(""https://docs.google.com/spreadsheets/d/11923uPwbBZFjjGgGUA6NLw09EwE0CqkOc4q9oUmW1yo/edit?usp=sharing"",""อุทัยธานี!J209"")"),0)</f>
        <v>0</v>
      </c>
      <c r="K304" s="223">
        <f ca="1">IF(I304&gt;0,J304*100/I304,0)</f>
        <v>0</v>
      </c>
      <c r="L304" s="168"/>
      <c r="M304" s="168"/>
      <c r="N304" s="168"/>
      <c r="O304" s="181"/>
      <c r="P304" s="181"/>
    </row>
    <row r="305" spans="1:16" ht="21.75" customHeight="1" x14ac:dyDescent="0.3">
      <c r="A305" s="175"/>
      <c r="B305" s="176"/>
      <c r="C305" s="176"/>
      <c r="D305" s="193"/>
      <c r="E305" s="198"/>
      <c r="F305" s="194" t="s">
        <v>114</v>
      </c>
      <c r="G305" s="196"/>
      <c r="H305" s="180"/>
      <c r="I305" s="187"/>
      <c r="J305" s="187"/>
      <c r="K305" s="223"/>
      <c r="L305" s="168"/>
      <c r="M305" s="168"/>
      <c r="N305" s="168"/>
      <c r="O305" s="181"/>
      <c r="P305" s="181"/>
    </row>
    <row r="306" spans="1:16" ht="21.75" customHeight="1" x14ac:dyDescent="0.3">
      <c r="A306" s="175"/>
      <c r="B306" s="176"/>
      <c r="C306" s="176"/>
      <c r="D306" s="193"/>
      <c r="E306" s="198"/>
      <c r="F306" s="195" t="s">
        <v>53</v>
      </c>
      <c r="G306" s="196"/>
      <c r="H306" s="180" t="s">
        <v>37</v>
      </c>
      <c r="I306" s="187">
        <f ca="1">IFERROR(__xludf.DUMMYFUNCTION("IMPORTRANGE(""https://docs.google.com/spreadsheets/d/11923uPwbBZFjjGgGUA6NLw09EwE0CqkOc4q9oUmW1yo/edit?usp=sharing"",""อุทัยธานี!I211"")"),40)</f>
        <v>40</v>
      </c>
      <c r="J306" s="203">
        <f ca="1">IFERROR(__xludf.DUMMYFUNCTION("IMPORTRANGE(""https://docs.google.com/spreadsheets/d/11923uPwbBZFjjGgGUA6NLw09EwE0CqkOc4q9oUmW1yo/edit?usp=sharing"",""อุทัยธานี!J211"")"),0)</f>
        <v>0</v>
      </c>
      <c r="K306" s="223">
        <f ca="1">IF(I306&gt;0,J306*100/I306,0)</f>
        <v>0</v>
      </c>
      <c r="L306" s="168"/>
      <c r="M306" s="168"/>
      <c r="N306" s="168"/>
      <c r="O306" s="181"/>
      <c r="P306" s="181"/>
    </row>
    <row r="307" spans="1:16" ht="21.75" customHeight="1" x14ac:dyDescent="0.3">
      <c r="A307" s="175"/>
      <c r="B307" s="176"/>
      <c r="C307" s="176"/>
      <c r="D307" s="193"/>
      <c r="E307" s="194" t="s">
        <v>54</v>
      </c>
      <c r="F307" s="195"/>
      <c r="G307" s="196"/>
      <c r="H307" s="186"/>
      <c r="I307" s="187"/>
      <c r="J307" s="187">
        <f ca="1">IFERROR(__xludf.DUMMYFUNCTION("IMPORTRANGE(""https://docs.google.com/spreadsheets/d/11923uPwbBZFjjGgGUA6NLw09EwE0CqkOc4q9oUmW1yo/edit?usp=sharing"",""อุทัยธานี!J212"")"),0)</f>
        <v>0</v>
      </c>
      <c r="K307" s="223"/>
      <c r="L307" s="168"/>
      <c r="M307" s="168"/>
      <c r="N307" s="168"/>
      <c r="O307" s="181"/>
      <c r="P307" s="181"/>
    </row>
    <row r="308" spans="1:16" ht="21.75" customHeight="1" x14ac:dyDescent="0.3">
      <c r="A308" s="175"/>
      <c r="B308" s="176"/>
      <c r="C308" s="176"/>
      <c r="D308" s="205">
        <v>3</v>
      </c>
      <c r="E308" s="206" t="s">
        <v>55</v>
      </c>
      <c r="F308" s="207"/>
      <c r="G308" s="208"/>
      <c r="H308" s="186"/>
      <c r="I308" s="187"/>
      <c r="J308" s="324">
        <f ca="1">IFERROR(__xludf.DUMMYFUNCTION("IMPORTRANGE(""https://docs.google.com/spreadsheets/d/11923uPwbBZFjjGgGUA6NLw09EwE0CqkOc4q9oUmW1yo/edit?usp=sharing"",""อุทัยธานี!J213"")"),0)</f>
        <v>0</v>
      </c>
      <c r="K308" s="223"/>
      <c r="L308" s="168"/>
      <c r="M308" s="168"/>
      <c r="N308" s="168"/>
      <c r="O308" s="181"/>
      <c r="P308" s="181"/>
    </row>
    <row r="309" spans="1:16" ht="21.75" customHeight="1" x14ac:dyDescent="0.3">
      <c r="A309" s="325"/>
      <c r="B309" s="326" t="s">
        <v>115</v>
      </c>
      <c r="C309" s="327"/>
      <c r="D309" s="328"/>
      <c r="E309" s="326"/>
      <c r="F309" s="326"/>
      <c r="G309" s="329"/>
      <c r="H309" s="330" t="s">
        <v>116</v>
      </c>
      <c r="I309" s="331">
        <f ca="1">IFERROR(__xludf.DUMMYFUNCTION("IMPORTRANGE(""https://docs.google.com/spreadsheets/d/11923uPwbBZFjjGgGUA6NLw09EwE0CqkOc4q9oUmW1yo/edit?usp=sharing"",""อุทัยธานี!I214"")"),1)</f>
        <v>1</v>
      </c>
      <c r="J309" s="331">
        <f ca="1">IFERROR(__xludf.DUMMYFUNCTION("IMPORTRANGE(""https://docs.google.com/spreadsheets/d/11923uPwbBZFjjGgGUA6NLw09EwE0CqkOc4q9oUmW1yo/edit?usp=sharing"",""อุทัยธานี!J214"")"),0)</f>
        <v>0</v>
      </c>
      <c r="K309" s="332">
        <f ca="1">IF(I309&gt;0,J309*100/I309,0)</f>
        <v>0</v>
      </c>
      <c r="L309" s="333"/>
      <c r="M309" s="333"/>
      <c r="N309" s="333"/>
      <c r="O309" s="332"/>
      <c r="P309" s="332"/>
    </row>
    <row r="310" spans="1:16" ht="21.75" customHeight="1" x14ac:dyDescent="0.45">
      <c r="A310" s="145"/>
      <c r="B310" s="146"/>
      <c r="C310" s="147" t="s">
        <v>16</v>
      </c>
      <c r="D310" s="537" t="s">
        <v>17</v>
      </c>
      <c r="E310" s="528"/>
      <c r="F310" s="528"/>
      <c r="G310" s="528"/>
      <c r="H310" s="148" t="s">
        <v>12</v>
      </c>
      <c r="I310" s="334"/>
      <c r="J310" s="334"/>
      <c r="K310" s="335"/>
      <c r="L310" s="151">
        <f t="shared" ref="L310:N310" ca="1" si="93">L311+L312</f>
        <v>262600</v>
      </c>
      <c r="M310" s="151">
        <f t="shared" ca="1" si="93"/>
        <v>251300</v>
      </c>
      <c r="N310" s="151">
        <f t="shared" ca="1" si="93"/>
        <v>105370</v>
      </c>
      <c r="O310" s="150">
        <f t="shared" ref="O310:O312" ca="1" si="94">IF(L310&gt;0,N310*100/L310,0)</f>
        <v>40.125666412795127</v>
      </c>
      <c r="P310" s="150">
        <f t="shared" ref="P310:P312" ca="1" si="95">IF(M310&gt;0,N310*100/M310,0)</f>
        <v>41.929964186231594</v>
      </c>
    </row>
    <row r="311" spans="1:16" ht="21.75" customHeight="1" x14ac:dyDescent="0.45">
      <c r="A311" s="152"/>
      <c r="B311" s="32"/>
      <c r="C311" s="32"/>
      <c r="D311" s="32"/>
      <c r="E311" s="32"/>
      <c r="F311" s="32"/>
      <c r="G311" s="33" t="s">
        <v>18</v>
      </c>
      <c r="H311" s="153" t="s">
        <v>12</v>
      </c>
      <c r="I311" s="334"/>
      <c r="J311" s="334"/>
      <c r="K311" s="335"/>
      <c r="L311" s="87">
        <f t="shared" ref="L311:N311" si="96">L313+L317</f>
        <v>0</v>
      </c>
      <c r="M311" s="87">
        <f t="shared" si="96"/>
        <v>0</v>
      </c>
      <c r="N311" s="87">
        <f t="shared" si="96"/>
        <v>0</v>
      </c>
      <c r="O311" s="155">
        <f t="shared" si="94"/>
        <v>0</v>
      </c>
      <c r="P311" s="155">
        <f t="shared" si="95"/>
        <v>0</v>
      </c>
    </row>
    <row r="312" spans="1:16" ht="21.75" customHeight="1" x14ac:dyDescent="0.45">
      <c r="A312" s="152"/>
      <c r="B312" s="32"/>
      <c r="C312" s="32"/>
      <c r="D312" s="32"/>
      <c r="E312" s="32"/>
      <c r="F312" s="32"/>
      <c r="G312" s="33" t="s">
        <v>19</v>
      </c>
      <c r="H312" s="153" t="s">
        <v>12</v>
      </c>
      <c r="I312" s="334"/>
      <c r="J312" s="334"/>
      <c r="K312" s="335"/>
      <c r="L312" s="87">
        <f t="shared" ref="L312:N312" ca="1" si="97">L314+L318</f>
        <v>262600</v>
      </c>
      <c r="M312" s="87">
        <f t="shared" ca="1" si="97"/>
        <v>251300</v>
      </c>
      <c r="N312" s="87">
        <f t="shared" ca="1" si="97"/>
        <v>105370</v>
      </c>
      <c r="O312" s="155">
        <f t="shared" ca="1" si="94"/>
        <v>40.125666412795127</v>
      </c>
      <c r="P312" s="155">
        <f t="shared" ca="1" si="95"/>
        <v>41.929964186231594</v>
      </c>
    </row>
    <row r="313" spans="1:16" ht="21.75" customHeight="1" x14ac:dyDescent="0.3">
      <c r="A313" s="156"/>
      <c r="B313" s="157"/>
      <c r="C313" s="157" t="s">
        <v>16</v>
      </c>
      <c r="D313" s="158" t="s">
        <v>38</v>
      </c>
      <c r="E313" s="159"/>
      <c r="F313" s="159"/>
      <c r="G313" s="160" t="s">
        <v>39</v>
      </c>
      <c r="H313" s="161" t="s">
        <v>12</v>
      </c>
      <c r="I313" s="162" t="s">
        <v>40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3">
      <c r="A314" s="156"/>
      <c r="B314" s="157"/>
      <c r="C314" s="157"/>
      <c r="D314" s="166"/>
      <c r="E314" s="159"/>
      <c r="F314" s="159" t="s">
        <v>40</v>
      </c>
      <c r="G314" s="160" t="s">
        <v>41</v>
      </c>
      <c r="H314" s="161" t="s">
        <v>12</v>
      </c>
      <c r="I314" s="162"/>
      <c r="J314" s="162"/>
      <c r="K314" s="163"/>
      <c r="L314" s="167">
        <f ca="1">L315+L316</f>
        <v>262600</v>
      </c>
      <c r="M314" s="167">
        <f ca="1">IFERROR(__xludf.DUMMYFUNCTION("IMPORTRANGE(""https://docs.google.com/spreadsheets/d/1Yj_ptqi66GCucihVvJfMjLAmec39IyEx_6qawtMGysU/edit?usp=sharing"",""สบก!DC36"")"),251300)</f>
        <v>251300</v>
      </c>
      <c r="N314" s="168">
        <f ca="1">IFERROR(__xludf.DUMMYFUNCTION("IMPORTRANGE(""https://docs.google.com/spreadsheets/d/1Yj_ptqi66GCucihVvJfMjLAmec39IyEx_6qawtMGysU/edit?usp=sharing"",""สบก!DD36"")"),105370)</f>
        <v>105370</v>
      </c>
      <c r="O314" s="168">
        <f ca="1">IF(L314&gt;0,N314*100/L314,0)</f>
        <v>40.125666412795127</v>
      </c>
      <c r="P314" s="168">
        <f ca="1">IF(M314&gt;0,N314*100/M314,0)</f>
        <v>41.929964186231594</v>
      </c>
    </row>
    <row r="315" spans="1:16" ht="21.75" customHeight="1" x14ac:dyDescent="0.3">
      <c r="A315" s="156"/>
      <c r="B315" s="157"/>
      <c r="C315" s="157"/>
      <c r="D315" s="166"/>
      <c r="E315" s="159"/>
      <c r="F315" s="159"/>
      <c r="G315" s="169" t="s">
        <v>42</v>
      </c>
      <c r="H315" s="161" t="s">
        <v>12</v>
      </c>
      <c r="I315" s="162"/>
      <c r="J315" s="162"/>
      <c r="K315" s="163"/>
      <c r="L315" s="167">
        <f ca="1">IFERROR(__xludf.DUMMYFUNCTION("IMPORTRANGE(""https://docs.google.com/spreadsheets/d/1Yj_ptqi66GCucihVvJfMjLAmec39IyEx_6qawtMGysU/edit?usp=sharing"",""สบก!CY36"")"),0)</f>
        <v>0</v>
      </c>
      <c r="M315" s="167"/>
      <c r="N315" s="167"/>
      <c r="O315" s="168"/>
      <c r="P315" s="168"/>
    </row>
    <row r="316" spans="1:16" ht="21.75" customHeight="1" x14ac:dyDescent="0.3">
      <c r="A316" s="156"/>
      <c r="B316" s="157"/>
      <c r="C316" s="157"/>
      <c r="D316" s="166"/>
      <c r="E316" s="159"/>
      <c r="F316" s="159"/>
      <c r="G316" s="169" t="s">
        <v>43</v>
      </c>
      <c r="H316" s="161" t="s">
        <v>12</v>
      </c>
      <c r="I316" s="162"/>
      <c r="J316" s="187"/>
      <c r="K316" s="223"/>
      <c r="L316" s="167">
        <f ca="1">IFERROR(__xludf.DUMMYFUNCTION("IMPORTRANGE(""https://docs.google.com/spreadsheets/d/1Yj_ptqi66GCucihVvJfMjLAmec39IyEx_6qawtMGysU/edit?usp=sharing"",""สบก!CZ36"")"),262600)</f>
        <v>262600</v>
      </c>
      <c r="M316" s="167"/>
      <c r="N316" s="167"/>
      <c r="O316" s="168"/>
      <c r="P316" s="168"/>
    </row>
    <row r="317" spans="1:16" ht="21.75" customHeight="1" x14ac:dyDescent="0.45">
      <c r="A317" s="170"/>
      <c r="B317" s="80"/>
      <c r="C317" s="81" t="s">
        <v>16</v>
      </c>
      <c r="D317" s="534" t="s">
        <v>23</v>
      </c>
      <c r="E317" s="530"/>
      <c r="F317" s="88"/>
      <c r="G317" s="82" t="s">
        <v>18</v>
      </c>
      <c r="H317" s="171" t="s">
        <v>12</v>
      </c>
      <c r="I317" s="162"/>
      <c r="J317" s="187"/>
      <c r="K317" s="223"/>
      <c r="L317" s="41">
        <v>0</v>
      </c>
      <c r="M317" s="41"/>
      <c r="N317" s="41"/>
      <c r="O317" s="41"/>
      <c r="P317" s="41"/>
    </row>
    <row r="318" spans="1:16" ht="21.75" customHeight="1" x14ac:dyDescent="0.45">
      <c r="A318" s="172"/>
      <c r="B318" s="91"/>
      <c r="C318" s="91"/>
      <c r="D318" s="173"/>
      <c r="E318" s="92"/>
      <c r="F318" s="92"/>
      <c r="G318" s="93" t="s">
        <v>19</v>
      </c>
      <c r="H318" s="174" t="s">
        <v>12</v>
      </c>
      <c r="I318" s="162"/>
      <c r="J318" s="187"/>
      <c r="K318" s="223"/>
      <c r="L318" s="49">
        <f ca="1">IFERROR(__xludf.DUMMYFUNCTION("IMPORTRANGE(""https://docs.google.com/spreadsheets/d/1Yj_ptqi66GCucihVvJfMjLAmec39IyEx_6qawtMGysU/edit?usp=sharing"",""สบก!DA36"")"),0)</f>
        <v>0</v>
      </c>
      <c r="M318" s="49"/>
      <c r="N318" s="49">
        <f ca="1">IFERROR(__xludf.DUMMYFUNCTION("IMPORTRANGE(""https://docs.google.com/spreadsheets/d/1Yj_ptqi66GCucihVvJfMjLAmec39IyEx_6qawtMGysU/edit?usp=sharing"",""สบก!DE36"")"),0)</f>
        <v>0</v>
      </c>
      <c r="O318" s="49">
        <f ca="1">IF(L318&gt;0,N318*100/L318,0)</f>
        <v>0</v>
      </c>
      <c r="P318" s="49"/>
    </row>
    <row r="319" spans="1:16" ht="21.75" customHeight="1" x14ac:dyDescent="0.3">
      <c r="A319" s="175"/>
      <c r="B319" s="176"/>
      <c r="C319" s="157" t="s">
        <v>16</v>
      </c>
      <c r="D319" s="177" t="s">
        <v>44</v>
      </c>
      <c r="E319" s="178"/>
      <c r="F319" s="178"/>
      <c r="G319" s="179"/>
      <c r="H319" s="180"/>
      <c r="I319" s="162"/>
      <c r="J319" s="187"/>
      <c r="K319" s="223"/>
      <c r="L319" s="168"/>
      <c r="M319" s="168"/>
      <c r="N319" s="168"/>
      <c r="O319" s="181"/>
      <c r="P319" s="181"/>
    </row>
    <row r="320" spans="1:16" ht="21.75" customHeight="1" x14ac:dyDescent="0.3">
      <c r="A320" s="175"/>
      <c r="B320" s="176"/>
      <c r="C320" s="176"/>
      <c r="D320" s="182">
        <v>1</v>
      </c>
      <c r="E320" s="183" t="s">
        <v>45</v>
      </c>
      <c r="F320" s="184"/>
      <c r="G320" s="185"/>
      <c r="H320" s="186"/>
      <c r="I320" s="187"/>
      <c r="J320" s="187">
        <f ca="1">IFERROR(__xludf.DUMMYFUNCTION("IMPORTRANGE(""https://docs.google.com/spreadsheets/d/11923uPwbBZFjjGgGUA6NLw09EwE0CqkOc4q9oUmW1yo/edit?usp=sharing"",""อุทัยธานี!J220"")"),0)</f>
        <v>0</v>
      </c>
      <c r="K320" s="223"/>
      <c r="L320" s="168"/>
      <c r="M320" s="168"/>
      <c r="N320" s="168"/>
      <c r="O320" s="181"/>
      <c r="P320" s="181"/>
    </row>
    <row r="321" spans="1:16" ht="21.75" customHeight="1" x14ac:dyDescent="0.3">
      <c r="A321" s="175"/>
      <c r="B321" s="176"/>
      <c r="C321" s="176"/>
      <c r="D321" s="189">
        <v>2</v>
      </c>
      <c r="E321" s="190" t="s">
        <v>46</v>
      </c>
      <c r="F321" s="191"/>
      <c r="G321" s="192"/>
      <c r="H321" s="186"/>
      <c r="I321" s="187"/>
      <c r="J321" s="187">
        <f ca="1">IFERROR(__xludf.DUMMYFUNCTION("IMPORTRANGE(""https://docs.google.com/spreadsheets/d/11923uPwbBZFjjGgGUA6NLw09EwE0CqkOc4q9oUmW1yo/edit?usp=sharing"",""อุทัยธานี!J221"")"),1)</f>
        <v>1</v>
      </c>
      <c r="K321" s="223"/>
      <c r="L321" s="168" t="s">
        <v>40</v>
      </c>
      <c r="M321" s="168"/>
      <c r="N321" s="168" t="s">
        <v>40</v>
      </c>
      <c r="O321" s="181"/>
      <c r="P321" s="181"/>
    </row>
    <row r="322" spans="1:16" ht="21.75" customHeight="1" x14ac:dyDescent="0.3">
      <c r="A322" s="175"/>
      <c r="B322" s="176"/>
      <c r="C322" s="176"/>
      <c r="D322" s="193"/>
      <c r="E322" s="194" t="s">
        <v>47</v>
      </c>
      <c r="F322" s="195"/>
      <c r="G322" s="196"/>
      <c r="H322" s="186"/>
      <c r="I322" s="187"/>
      <c r="J322" s="187">
        <f ca="1">IFERROR(__xludf.DUMMYFUNCTION("IMPORTRANGE(""https://docs.google.com/spreadsheets/d/11923uPwbBZFjjGgGUA6NLw09EwE0CqkOc4q9oUmW1yo/edit?usp=sharing"",""อุทัยธานี!J222"")"),1)</f>
        <v>1</v>
      </c>
      <c r="K322" s="223"/>
      <c r="L322" s="168"/>
      <c r="M322" s="168"/>
      <c r="N322" s="168"/>
      <c r="O322" s="181"/>
      <c r="P322" s="181"/>
    </row>
    <row r="323" spans="1:16" ht="21.75" customHeight="1" x14ac:dyDescent="0.3">
      <c r="A323" s="175"/>
      <c r="B323" s="176"/>
      <c r="C323" s="176"/>
      <c r="D323" s="193"/>
      <c r="E323" s="194" t="s">
        <v>48</v>
      </c>
      <c r="F323" s="195"/>
      <c r="G323" s="196"/>
      <c r="H323" s="186"/>
      <c r="I323" s="187"/>
      <c r="J323" s="187">
        <f ca="1">IFERROR(__xludf.DUMMYFUNCTION("IMPORTRANGE(""https://docs.google.com/spreadsheets/d/11923uPwbBZFjjGgGUA6NLw09EwE0CqkOc4q9oUmW1yo/edit?usp=sharing"",""อุทัยธานี!J223"")"),1)</f>
        <v>1</v>
      </c>
      <c r="K323" s="223"/>
      <c r="L323" s="168"/>
      <c r="M323" s="168"/>
      <c r="N323" s="168"/>
      <c r="O323" s="181"/>
      <c r="P323" s="181"/>
    </row>
    <row r="324" spans="1:16" ht="21.75" customHeight="1" x14ac:dyDescent="0.3">
      <c r="A324" s="175"/>
      <c r="B324" s="176"/>
      <c r="C324" s="176"/>
      <c r="D324" s="193"/>
      <c r="E324" s="198"/>
      <c r="F324" s="194" t="s">
        <v>117</v>
      </c>
      <c r="G324" s="196"/>
      <c r="H324" s="186" t="s">
        <v>116</v>
      </c>
      <c r="I324" s="187">
        <f ca="1">IFERROR(__xludf.DUMMYFUNCTION("IMPORTRANGE(""https://docs.google.com/spreadsheets/d/11923uPwbBZFjjGgGUA6NLw09EwE0CqkOc4q9oUmW1yo/edit?usp=sharing"",""อุทัยธานี!I224"")"),1)</f>
        <v>1</v>
      </c>
      <c r="J324" s="203">
        <f ca="1">IFERROR(__xludf.DUMMYFUNCTION("IMPORTRANGE(""https://docs.google.com/spreadsheets/d/11923uPwbBZFjjGgGUA6NLw09EwE0CqkOc4q9oUmW1yo/edit?usp=sharing"",""อุทัยธานี!J224"")"),0)</f>
        <v>0</v>
      </c>
      <c r="K324" s="223">
        <f ca="1">IF(I324&gt;0,J324*100/I324,0)</f>
        <v>0</v>
      </c>
      <c r="L324" s="168"/>
      <c r="M324" s="168"/>
      <c r="N324" s="168"/>
      <c r="O324" s="181"/>
      <c r="P324" s="181"/>
    </row>
    <row r="325" spans="1:16" ht="21.75" customHeight="1" x14ac:dyDescent="0.3">
      <c r="A325" s="175"/>
      <c r="B325" s="176"/>
      <c r="C325" s="176"/>
      <c r="D325" s="193"/>
      <c r="E325" s="194" t="s">
        <v>54</v>
      </c>
      <c r="F325" s="195"/>
      <c r="G325" s="196"/>
      <c r="H325" s="186"/>
      <c r="I325" s="187"/>
      <c r="J325" s="187">
        <f ca="1">IFERROR(__xludf.DUMMYFUNCTION("IMPORTRANGE(""https://docs.google.com/spreadsheets/d/11923uPwbBZFjjGgGUA6NLw09EwE0CqkOc4q9oUmW1yo/edit?usp=sharing"",""อุทัยธานี!J225"")"),0)</f>
        <v>0</v>
      </c>
      <c r="K325" s="223"/>
      <c r="L325" s="168"/>
      <c r="M325" s="168"/>
      <c r="N325" s="168"/>
      <c r="O325" s="181"/>
      <c r="P325" s="181"/>
    </row>
    <row r="326" spans="1:16" ht="21.75" customHeight="1" x14ac:dyDescent="0.3">
      <c r="A326" s="175"/>
      <c r="B326" s="176"/>
      <c r="C326" s="176"/>
      <c r="D326" s="205">
        <v>3</v>
      </c>
      <c r="E326" s="206" t="s">
        <v>55</v>
      </c>
      <c r="F326" s="207"/>
      <c r="G326" s="208"/>
      <c r="H326" s="186"/>
      <c r="I326" s="187"/>
      <c r="J326" s="226">
        <f ca="1">IFERROR(__xludf.DUMMYFUNCTION("IMPORTRANGE(""https://docs.google.com/spreadsheets/d/11923uPwbBZFjjGgGUA6NLw09EwE0CqkOc4q9oUmW1yo/edit?usp=sharing"",""อุทัยธานี!J226"")"),0)</f>
        <v>0</v>
      </c>
      <c r="K326" s="223"/>
      <c r="L326" s="168"/>
      <c r="M326" s="168"/>
      <c r="N326" s="168"/>
      <c r="O326" s="181"/>
      <c r="P326" s="181"/>
    </row>
    <row r="327" spans="1:16" ht="21.75" customHeight="1" x14ac:dyDescent="0.3">
      <c r="A327" s="302" t="s">
        <v>118</v>
      </c>
      <c r="B327" s="303"/>
      <c r="C327" s="303"/>
      <c r="D327" s="304"/>
      <c r="E327" s="303"/>
      <c r="F327" s="303"/>
      <c r="G327" s="317"/>
      <c r="H327" s="306"/>
      <c r="I327" s="307"/>
      <c r="J327" s="307"/>
      <c r="K327" s="308"/>
      <c r="L327" s="308"/>
      <c r="M327" s="308"/>
      <c r="N327" s="308"/>
      <c r="O327" s="309"/>
      <c r="P327" s="309"/>
    </row>
    <row r="328" spans="1:16" ht="21.75" customHeight="1" x14ac:dyDescent="0.3">
      <c r="A328" s="310"/>
      <c r="B328" s="336" t="s">
        <v>119</v>
      </c>
      <c r="C328" s="323"/>
      <c r="D328" s="311"/>
      <c r="E328" s="311"/>
      <c r="F328" s="311"/>
      <c r="G328" s="312"/>
      <c r="H328" s="313" t="s">
        <v>37</v>
      </c>
      <c r="I328" s="337">
        <f ca="1">IFERROR(__xludf.DUMMYFUNCTION("IMPORTRANGE(""https://docs.google.com/spreadsheets/d/11923uPwbBZFjjGgGUA6NLw09EwE0CqkOc4q9oUmW1yo/edit?usp=sharing"",""อุทัยธานี!I228"")"),215)</f>
        <v>215</v>
      </c>
      <c r="J328" s="337">
        <f ca="1">IFERROR(__xludf.DUMMYFUNCTION("IMPORTRANGE(""https://docs.google.com/spreadsheets/d/11923uPwbBZFjjGgGUA6NLw09EwE0CqkOc4q9oUmW1yo/edit?usp=sharing"",""อุทัยธานี!J228"")"),25)</f>
        <v>25</v>
      </c>
      <c r="K328" s="315">
        <f ca="1">IF(I328&gt;0,J328*100/I328,0)</f>
        <v>11.627906976744185</v>
      </c>
      <c r="L328" s="316"/>
      <c r="M328" s="316"/>
      <c r="N328" s="316"/>
      <c r="O328" s="315"/>
      <c r="P328" s="315"/>
    </row>
    <row r="329" spans="1:16" ht="21.75" customHeight="1" x14ac:dyDescent="0.45">
      <c r="A329" s="145"/>
      <c r="B329" s="146"/>
      <c r="C329" s="147" t="s">
        <v>16</v>
      </c>
      <c r="D329" s="537" t="s">
        <v>17</v>
      </c>
      <c r="E329" s="528"/>
      <c r="F329" s="528"/>
      <c r="G329" s="528"/>
      <c r="H329" s="148" t="s">
        <v>12</v>
      </c>
      <c r="I329" s="162"/>
      <c r="J329" s="162"/>
      <c r="K329" s="163"/>
      <c r="L329" s="151">
        <f t="shared" ref="L329:N329" ca="1" si="98">L330+L331</f>
        <v>1055670</v>
      </c>
      <c r="M329" s="151">
        <f t="shared" ca="1" si="98"/>
        <v>632640</v>
      </c>
      <c r="N329" s="151">
        <f t="shared" ca="1" si="98"/>
        <v>520911</v>
      </c>
      <c r="O329" s="150">
        <f t="shared" ref="O329:O331" ca="1" si="99">IF(L329&gt;0,N329*100/L329,0)</f>
        <v>49.344113217198554</v>
      </c>
      <c r="P329" s="150">
        <f t="shared" ref="P329:P331" ca="1" si="100">IF(M329&gt;0,N329*100/M329,0)</f>
        <v>82.33924506828528</v>
      </c>
    </row>
    <row r="330" spans="1:16" ht="21.75" customHeight="1" x14ac:dyDescent="0.45">
      <c r="A330" s="152"/>
      <c r="B330" s="32"/>
      <c r="C330" s="32"/>
      <c r="D330" s="32"/>
      <c r="E330" s="32"/>
      <c r="F330" s="32"/>
      <c r="G330" s="33" t="s">
        <v>18</v>
      </c>
      <c r="H330" s="153" t="s">
        <v>12</v>
      </c>
      <c r="I330" s="162"/>
      <c r="J330" s="162"/>
      <c r="K330" s="163"/>
      <c r="L330" s="87">
        <f t="shared" ref="L330:N330" si="101">L332+L336</f>
        <v>0</v>
      </c>
      <c r="M330" s="87">
        <f t="shared" si="101"/>
        <v>0</v>
      </c>
      <c r="N330" s="87">
        <f t="shared" si="101"/>
        <v>0</v>
      </c>
      <c r="O330" s="155">
        <f t="shared" si="99"/>
        <v>0</v>
      </c>
      <c r="P330" s="155">
        <f t="shared" si="100"/>
        <v>0</v>
      </c>
    </row>
    <row r="331" spans="1:16" ht="21.75" customHeight="1" x14ac:dyDescent="0.45">
      <c r="A331" s="152"/>
      <c r="B331" s="32"/>
      <c r="C331" s="32"/>
      <c r="D331" s="32"/>
      <c r="E331" s="32"/>
      <c r="F331" s="32"/>
      <c r="G331" s="33" t="s">
        <v>19</v>
      </c>
      <c r="H331" s="153" t="s">
        <v>12</v>
      </c>
      <c r="I331" s="162"/>
      <c r="J331" s="162"/>
      <c r="K331" s="163"/>
      <c r="L331" s="87">
        <f t="shared" ref="L331:N331" ca="1" si="102">L333+L337</f>
        <v>1055670</v>
      </c>
      <c r="M331" s="87">
        <f t="shared" ca="1" si="102"/>
        <v>632640</v>
      </c>
      <c r="N331" s="87">
        <f t="shared" ca="1" si="102"/>
        <v>520911</v>
      </c>
      <c r="O331" s="155">
        <f t="shared" ca="1" si="99"/>
        <v>49.344113217198554</v>
      </c>
      <c r="P331" s="155">
        <f t="shared" ca="1" si="100"/>
        <v>82.33924506828528</v>
      </c>
    </row>
    <row r="332" spans="1:16" ht="21.75" customHeight="1" x14ac:dyDescent="0.3">
      <c r="A332" s="156"/>
      <c r="B332" s="157"/>
      <c r="C332" s="157" t="s">
        <v>16</v>
      </c>
      <c r="D332" s="158" t="s">
        <v>38</v>
      </c>
      <c r="E332" s="159"/>
      <c r="F332" s="159"/>
      <c r="G332" s="160" t="s">
        <v>39</v>
      </c>
      <c r="H332" s="161" t="s">
        <v>12</v>
      </c>
      <c r="I332" s="162" t="s">
        <v>40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3">
      <c r="A333" s="156"/>
      <c r="B333" s="157"/>
      <c r="C333" s="157"/>
      <c r="D333" s="166"/>
      <c r="E333" s="159"/>
      <c r="F333" s="159" t="s">
        <v>40</v>
      </c>
      <c r="G333" s="160" t="s">
        <v>41</v>
      </c>
      <c r="H333" s="161" t="s">
        <v>12</v>
      </c>
      <c r="I333" s="162"/>
      <c r="J333" s="162"/>
      <c r="K333" s="163"/>
      <c r="L333" s="167">
        <f ca="1">L334+L335</f>
        <v>910670</v>
      </c>
      <c r="M333" s="167">
        <f ca="1">IFERROR(__xludf.DUMMYFUNCTION("IMPORTRANGE(""https://docs.google.com/spreadsheets/d/1Yj_ptqi66GCucihVvJfMjLAmec39IyEx_6qawtMGysU/edit?usp=sharing"",""สบก!DL36"")"),487640)</f>
        <v>487640</v>
      </c>
      <c r="N333" s="168">
        <f ca="1">IFERROR(__xludf.DUMMYFUNCTION("IMPORTRANGE(""https://docs.google.com/spreadsheets/d/1Yj_ptqi66GCucihVvJfMjLAmec39IyEx_6qawtMGysU/edit?usp=sharing"",""สบก!DM36"")"),375911)</f>
        <v>375911</v>
      </c>
      <c r="O333" s="168">
        <f ca="1">IF(L333&gt;0,N333*100/L333,0)</f>
        <v>41.278509229468412</v>
      </c>
      <c r="P333" s="168">
        <f ca="1">IF(M333&gt;0,N333*100/M333,0)</f>
        <v>77.087810680009838</v>
      </c>
    </row>
    <row r="334" spans="1:16" ht="21.75" customHeight="1" x14ac:dyDescent="0.3">
      <c r="A334" s="156"/>
      <c r="B334" s="157"/>
      <c r="C334" s="157"/>
      <c r="D334" s="166"/>
      <c r="E334" s="159"/>
      <c r="F334" s="159"/>
      <c r="G334" s="169" t="s">
        <v>42</v>
      </c>
      <c r="H334" s="161" t="s">
        <v>12</v>
      </c>
      <c r="I334" s="162"/>
      <c r="J334" s="162"/>
      <c r="K334" s="163"/>
      <c r="L334" s="167">
        <f ca="1">IFERROR(__xludf.DUMMYFUNCTION("IMPORTRANGE(""https://docs.google.com/spreadsheets/d/1Yj_ptqi66GCucihVvJfMjLAmec39IyEx_6qawtMGysU/edit?usp=sharing"",""สบก!DH36"")"),500400)</f>
        <v>500400</v>
      </c>
      <c r="M334" s="167"/>
      <c r="N334" s="167"/>
      <c r="O334" s="168"/>
      <c r="P334" s="168"/>
    </row>
    <row r="335" spans="1:16" ht="21.75" customHeight="1" x14ac:dyDescent="0.3">
      <c r="A335" s="156"/>
      <c r="B335" s="157"/>
      <c r="C335" s="157"/>
      <c r="D335" s="166"/>
      <c r="E335" s="159"/>
      <c r="F335" s="159"/>
      <c r="G335" s="169" t="s">
        <v>43</v>
      </c>
      <c r="H335" s="161" t="s">
        <v>12</v>
      </c>
      <c r="I335" s="162"/>
      <c r="J335" s="162"/>
      <c r="K335" s="163"/>
      <c r="L335" s="167">
        <f ca="1">IFERROR(__xludf.DUMMYFUNCTION("IMPORTRANGE(""https://docs.google.com/spreadsheets/d/1Yj_ptqi66GCucihVvJfMjLAmec39IyEx_6qawtMGysU/edit?usp=sharing"",""สบก!DI36"")"),410270)</f>
        <v>410270</v>
      </c>
      <c r="M335" s="167"/>
      <c r="N335" s="167"/>
      <c r="O335" s="168"/>
      <c r="P335" s="168"/>
    </row>
    <row r="336" spans="1:16" ht="21.75" customHeight="1" x14ac:dyDescent="0.45">
      <c r="A336" s="170"/>
      <c r="B336" s="80"/>
      <c r="C336" s="81" t="s">
        <v>16</v>
      </c>
      <c r="D336" s="534" t="s">
        <v>23</v>
      </c>
      <c r="E336" s="530"/>
      <c r="F336" s="88"/>
      <c r="G336" s="82" t="s">
        <v>18</v>
      </c>
      <c r="H336" s="171" t="s">
        <v>12</v>
      </c>
      <c r="I336" s="162"/>
      <c r="J336" s="162"/>
      <c r="K336" s="163"/>
      <c r="L336" s="41">
        <v>0</v>
      </c>
      <c r="M336" s="41"/>
      <c r="N336" s="41"/>
      <c r="O336" s="41"/>
      <c r="P336" s="41"/>
    </row>
    <row r="337" spans="1:16" ht="21.75" customHeight="1" x14ac:dyDescent="0.45">
      <c r="A337" s="172"/>
      <c r="B337" s="91"/>
      <c r="C337" s="91"/>
      <c r="D337" s="173"/>
      <c r="E337" s="92"/>
      <c r="F337" s="92"/>
      <c r="G337" s="93" t="s">
        <v>19</v>
      </c>
      <c r="H337" s="174" t="s">
        <v>12</v>
      </c>
      <c r="I337" s="162"/>
      <c r="J337" s="162"/>
      <c r="K337" s="163"/>
      <c r="L337" s="49">
        <f ca="1">IFERROR(__xludf.DUMMYFUNCTION("IMPORTRANGE(""https://docs.google.com/spreadsheets/d/1Yj_ptqi66GCucihVvJfMjLAmec39IyEx_6qawtMGysU/edit?usp=sharing"",""สบก!DJ36"")"),145000)</f>
        <v>145000</v>
      </c>
      <c r="M337" s="49">
        <f ca="1">L337</f>
        <v>145000</v>
      </c>
      <c r="N337" s="49">
        <f ca="1">IFERROR(__xludf.DUMMYFUNCTION("IMPORTRANGE(""https://docs.google.com/spreadsheets/d/1Yj_ptqi66GCucihVvJfMjLAmec39IyEx_6qawtMGysU/edit?usp=sharing"",""สบก!DN36"")"),145000)</f>
        <v>145000</v>
      </c>
      <c r="O337" s="49">
        <f ca="1">IF(L337&gt;0,N337*100/L337,0)</f>
        <v>100</v>
      </c>
      <c r="P337" s="49">
        <f ca="1">IF(M337&gt;0,N337*100/M337,0)</f>
        <v>100</v>
      </c>
    </row>
    <row r="338" spans="1:16" ht="21.75" customHeight="1" x14ac:dyDescent="0.3">
      <c r="A338" s="175"/>
      <c r="B338" s="289"/>
      <c r="C338" s="338" t="s">
        <v>120</v>
      </c>
      <c r="D338" s="195"/>
      <c r="E338" s="195"/>
      <c r="F338" s="195"/>
      <c r="G338" s="196"/>
      <c r="H338" s="180"/>
      <c r="I338" s="339"/>
      <c r="J338" s="339"/>
      <c r="K338" s="340"/>
      <c r="L338" s="181"/>
      <c r="M338" s="181"/>
      <c r="N338" s="181"/>
      <c r="O338" s="341"/>
      <c r="P338" s="341"/>
    </row>
    <row r="339" spans="1:16" ht="21.75" customHeight="1" x14ac:dyDescent="0.3">
      <c r="A339" s="175"/>
      <c r="B339" s="289"/>
      <c r="C339" s="176"/>
      <c r="D339" s="195"/>
      <c r="E339" s="194" t="s">
        <v>121</v>
      </c>
      <c r="F339" s="195"/>
      <c r="G339" s="196"/>
      <c r="H339" s="342" t="s">
        <v>37</v>
      </c>
      <c r="I339" s="203">
        <f ca="1">IFERROR(__xludf.DUMMYFUNCTION("IMPORTRANGE(""https://docs.google.com/spreadsheets/d/11923uPwbBZFjjGgGUA6NLw09EwE0CqkOc4q9oUmW1yo/edit?usp=sharing"",""อุทัยธานี!I234"")"),0)</f>
        <v>0</v>
      </c>
      <c r="J339" s="187">
        <f ca="1">IFERROR(__xludf.DUMMYFUNCTION("IMPORTRANGE(""https://docs.google.com/spreadsheets/d/11923uPwbBZFjjGgGUA6NLw09EwE0CqkOc4q9oUmW1yo/edit?usp=sharing"",""อุทัยธานี!J234"")"),37)</f>
        <v>37</v>
      </c>
      <c r="K339" s="340">
        <f t="shared" ref="K339:K346" ca="1" si="103">IF(I339&gt;0,J339*100/I339,0)</f>
        <v>0</v>
      </c>
      <c r="L339" s="181"/>
      <c r="M339" s="181"/>
      <c r="N339" s="181"/>
      <c r="O339" s="341"/>
      <c r="P339" s="341"/>
    </row>
    <row r="340" spans="1:16" ht="21.75" customHeight="1" x14ac:dyDescent="0.3">
      <c r="A340" s="175"/>
      <c r="B340" s="289"/>
      <c r="C340" s="176"/>
      <c r="D340" s="195"/>
      <c r="E340" s="195"/>
      <c r="F340" s="195"/>
      <c r="G340" s="196"/>
      <c r="H340" s="342" t="s">
        <v>122</v>
      </c>
      <c r="I340" s="187">
        <f ca="1">IFERROR(__xludf.DUMMYFUNCTION("IMPORTRANGE(""https://docs.google.com/spreadsheets/d/11923uPwbBZFjjGgGUA6NLw09EwE0CqkOc4q9oUmW1yo/edit?usp=sharing"",""อุทัยธานี!I235"")"),2000)</f>
        <v>2000</v>
      </c>
      <c r="J340" s="187">
        <f ca="1">IFERROR(__xludf.DUMMYFUNCTION("IMPORTRANGE(""https://docs.google.com/spreadsheets/d/11923uPwbBZFjjGgGUA6NLw09EwE0CqkOc4q9oUmW1yo/edit?usp=sharing"",""อุทัยธานี!J235"")"),323.41)</f>
        <v>323.41000000000003</v>
      </c>
      <c r="K340" s="340">
        <f t="shared" ca="1" si="103"/>
        <v>16.170500000000001</v>
      </c>
      <c r="L340" s="181"/>
      <c r="M340" s="181"/>
      <c r="N340" s="181"/>
      <c r="O340" s="341"/>
      <c r="P340" s="341"/>
    </row>
    <row r="341" spans="1:16" ht="21.75" customHeight="1" x14ac:dyDescent="0.3">
      <c r="A341" s="175"/>
      <c r="B341" s="289"/>
      <c r="C341" s="176"/>
      <c r="D341" s="195"/>
      <c r="E341" s="194" t="s">
        <v>123</v>
      </c>
      <c r="F341" s="195"/>
      <c r="G341" s="196"/>
      <c r="H341" s="180" t="s">
        <v>37</v>
      </c>
      <c r="I341" s="187">
        <f ca="1">IFERROR(__xludf.DUMMYFUNCTION("IMPORTRANGE(""https://docs.google.com/spreadsheets/d/11923uPwbBZFjjGgGUA6NLw09EwE0CqkOc4q9oUmW1yo/edit?usp=sharing"",""อุทัยธานี!I236"")"),215)</f>
        <v>215</v>
      </c>
      <c r="J341" s="187">
        <f ca="1">IFERROR(__xludf.DUMMYFUNCTION("IMPORTRANGE(""https://docs.google.com/spreadsheets/d/11923uPwbBZFjjGgGUA6NLw09EwE0CqkOc4q9oUmW1yo/edit?usp=sharing"",""อุทัยธานี!J236"")"),58)</f>
        <v>58</v>
      </c>
      <c r="K341" s="340">
        <f t="shared" ca="1" si="103"/>
        <v>26.976744186046513</v>
      </c>
      <c r="L341" s="181"/>
      <c r="M341" s="181"/>
      <c r="N341" s="181"/>
      <c r="O341" s="341"/>
      <c r="P341" s="341"/>
    </row>
    <row r="342" spans="1:16" ht="21.75" customHeight="1" x14ac:dyDescent="0.3">
      <c r="A342" s="175"/>
      <c r="B342" s="289"/>
      <c r="C342" s="176"/>
      <c r="D342" s="195"/>
      <c r="E342" s="195"/>
      <c r="F342" s="195"/>
      <c r="G342" s="196"/>
      <c r="H342" s="180" t="s">
        <v>122</v>
      </c>
      <c r="I342" s="343">
        <f ca="1">IFERROR(__xludf.DUMMYFUNCTION("IMPORTRANGE(""https://docs.google.com/spreadsheets/d/11923uPwbBZFjjGgGUA6NLw09EwE0CqkOc4q9oUmW1yo/edit?usp=sharing"",""อุทัยธานี!I237"")"),0)</f>
        <v>0</v>
      </c>
      <c r="J342" s="187">
        <f ca="1">IFERROR(__xludf.DUMMYFUNCTION("IMPORTRANGE(""https://docs.google.com/spreadsheets/d/11923uPwbBZFjjGgGUA6NLw09EwE0CqkOc4q9oUmW1yo/edit?usp=sharing"",""อุทัยธานี!J237"")"),822.88)</f>
        <v>822.88</v>
      </c>
      <c r="K342" s="340">
        <f t="shared" ca="1" si="103"/>
        <v>0</v>
      </c>
      <c r="L342" s="181"/>
      <c r="M342" s="181"/>
      <c r="N342" s="181"/>
      <c r="O342" s="341"/>
      <c r="P342" s="341"/>
    </row>
    <row r="343" spans="1:16" ht="21.75" customHeight="1" x14ac:dyDescent="0.3">
      <c r="A343" s="175"/>
      <c r="B343" s="289"/>
      <c r="C343" s="176"/>
      <c r="D343" s="195"/>
      <c r="E343" s="194" t="s">
        <v>124</v>
      </c>
      <c r="F343" s="195"/>
      <c r="G343" s="196"/>
      <c r="H343" s="180" t="s">
        <v>37</v>
      </c>
      <c r="I343" s="187">
        <f ca="1">IFERROR(__xludf.DUMMYFUNCTION("IMPORTRANGE(""https://docs.google.com/spreadsheets/d/11923uPwbBZFjjGgGUA6NLw09EwE0CqkOc4q9oUmW1yo/edit?usp=sharing"",""อุทัยธานี!I238"")"),215)</f>
        <v>215</v>
      </c>
      <c r="J343" s="187">
        <f ca="1">IFERROR(__xludf.DUMMYFUNCTION("IMPORTRANGE(""https://docs.google.com/spreadsheets/d/11923uPwbBZFjjGgGUA6NLw09EwE0CqkOc4q9oUmW1yo/edit?usp=sharing"",""อุทัยธานี!J238"")"),29)</f>
        <v>29</v>
      </c>
      <c r="K343" s="340">
        <f t="shared" ca="1" si="103"/>
        <v>13.488372093023257</v>
      </c>
      <c r="L343" s="181"/>
      <c r="M343" s="181"/>
      <c r="N343" s="181"/>
      <c r="O343" s="341"/>
      <c r="P343" s="341"/>
    </row>
    <row r="344" spans="1:16" ht="21.75" customHeight="1" x14ac:dyDescent="0.3">
      <c r="A344" s="175"/>
      <c r="B344" s="289"/>
      <c r="C344" s="176"/>
      <c r="D344" s="195"/>
      <c r="E344" s="195"/>
      <c r="F344" s="195"/>
      <c r="G344" s="196"/>
      <c r="H344" s="180" t="s">
        <v>122</v>
      </c>
      <c r="I344" s="343">
        <f ca="1">IFERROR(__xludf.DUMMYFUNCTION("IMPORTRANGE(""https://docs.google.com/spreadsheets/d/11923uPwbBZFjjGgGUA6NLw09EwE0CqkOc4q9oUmW1yo/edit?usp=sharing"",""อุทัยธานี!I239"")"),0)</f>
        <v>0</v>
      </c>
      <c r="J344" s="187">
        <f ca="1">IFERROR(__xludf.DUMMYFUNCTION("IMPORTRANGE(""https://docs.google.com/spreadsheets/d/11923uPwbBZFjjGgGUA6NLw09EwE0CqkOc4q9oUmW1yo/edit?usp=sharing"",""อุทัยธานี!J239"")"),264.31)</f>
        <v>264.31</v>
      </c>
      <c r="K344" s="340">
        <f t="shared" ca="1" si="103"/>
        <v>0</v>
      </c>
      <c r="L344" s="181"/>
      <c r="M344" s="181"/>
      <c r="N344" s="181"/>
      <c r="O344" s="341"/>
      <c r="P344" s="341"/>
    </row>
    <row r="345" spans="1:16" ht="21.75" customHeight="1" x14ac:dyDescent="0.3">
      <c r="A345" s="175"/>
      <c r="B345" s="289"/>
      <c r="C345" s="176"/>
      <c r="D345" s="195"/>
      <c r="E345" s="194" t="s">
        <v>125</v>
      </c>
      <c r="F345" s="195"/>
      <c r="G345" s="196"/>
      <c r="H345" s="180" t="s">
        <v>37</v>
      </c>
      <c r="I345" s="187">
        <f ca="1">IFERROR(__xludf.DUMMYFUNCTION("IMPORTRANGE(""https://docs.google.com/spreadsheets/d/11923uPwbBZFjjGgGUA6NLw09EwE0CqkOc4q9oUmW1yo/edit?usp=sharing"",""อุทัยธานี!I240"")"),215)</f>
        <v>215</v>
      </c>
      <c r="J345" s="187">
        <f ca="1">IFERROR(__xludf.DUMMYFUNCTION("IMPORTRANGE(""https://docs.google.com/spreadsheets/d/11923uPwbBZFjjGgGUA6NLw09EwE0CqkOc4q9oUmW1yo/edit?usp=sharing"",""อุทัยธานี!J240"")"),25)</f>
        <v>25</v>
      </c>
      <c r="K345" s="340">
        <f t="shared" ca="1" si="103"/>
        <v>11.627906976744185</v>
      </c>
      <c r="L345" s="181"/>
      <c r="M345" s="181"/>
      <c r="N345" s="181"/>
      <c r="O345" s="341"/>
      <c r="P345" s="341"/>
    </row>
    <row r="346" spans="1:16" ht="21.75" customHeight="1" x14ac:dyDescent="0.3">
      <c r="A346" s="233"/>
      <c r="B346" s="344"/>
      <c r="C346" s="234"/>
      <c r="D346" s="344"/>
      <c r="E346" s="345"/>
      <c r="F346" s="345"/>
      <c r="G346" s="346"/>
      <c r="H346" s="347" t="s">
        <v>122</v>
      </c>
      <c r="I346" s="348">
        <f ca="1">IFERROR(__xludf.DUMMYFUNCTION("IMPORTRANGE(""https://docs.google.com/spreadsheets/d/11923uPwbBZFjjGgGUA6NLw09EwE0CqkOc4q9oUmW1yo/edit?usp=sharing"",""อุทัยธานี!I241"")"),0)</f>
        <v>0</v>
      </c>
      <c r="J346" s="187">
        <f ca="1">IFERROR(__xludf.DUMMYFUNCTION("IMPORTRANGE(""https://docs.google.com/spreadsheets/d/11923uPwbBZFjjGgGUA6NLw09EwE0CqkOc4q9oUmW1yo/edit?usp=sharing"",""อุทัยธานี!J241"")"),490.19)</f>
        <v>490.19</v>
      </c>
      <c r="K346" s="349">
        <f t="shared" ca="1" si="103"/>
        <v>0</v>
      </c>
      <c r="L346" s="244"/>
      <c r="M346" s="244"/>
      <c r="N346" s="244"/>
      <c r="O346" s="350"/>
      <c r="P346" s="350"/>
    </row>
    <row r="347" spans="1:16" ht="21.75" customHeight="1" x14ac:dyDescent="0.3">
      <c r="A347" s="351" t="s">
        <v>126</v>
      </c>
      <c r="B347" s="352"/>
      <c r="C347" s="352"/>
      <c r="D347" s="352"/>
      <c r="E347" s="352"/>
      <c r="F347" s="352"/>
      <c r="G347" s="353"/>
      <c r="H347" s="354"/>
      <c r="I347" s="355"/>
      <c r="J347" s="355"/>
      <c r="K347" s="356"/>
      <c r="L347" s="356">
        <f ca="1">IFERROR(__xludf.DUMMYFUNCTION("IMPORTRANGE(""https://docs.google.com/spreadsheets/d/11923uPwbBZFjjGgGUA6NLw09EwE0CqkOc4q9oUmW1yo/edit?usp=sharing"",""อุทัยธานี!L242"")"),2182395)</f>
        <v>2182395</v>
      </c>
      <c r="M347" s="356"/>
      <c r="N347" s="356">
        <f ca="1">IFERROR(__xludf.DUMMYFUNCTION("IMPORTRANGE(""https://docs.google.com/spreadsheets/d/11923uPwbBZFjjGgGUA6NLw09EwE0CqkOc4q9oUmW1yo/edit?usp=sharing"",""อุทัยธานี!M242"")"),421181.33)</f>
        <v>421181.33</v>
      </c>
      <c r="O347" s="356">
        <f ca="1">+IF(L347&gt;0,N347*100/L347,0)</f>
        <v>19.29904210740952</v>
      </c>
      <c r="P347" s="356"/>
    </row>
    <row r="348" spans="1:16" ht="21.75" customHeight="1" x14ac:dyDescent="0.3">
      <c r="A348" s="357" t="s">
        <v>127</v>
      </c>
      <c r="B348" s="358"/>
      <c r="C348" s="358"/>
      <c r="D348" s="358"/>
      <c r="E348" s="358"/>
      <c r="F348" s="358"/>
      <c r="G348" s="359"/>
      <c r="H348" s="360"/>
      <c r="I348" s="361"/>
      <c r="J348" s="361"/>
      <c r="K348" s="362"/>
      <c r="L348" s="362"/>
      <c r="M348" s="362"/>
      <c r="N348" s="362"/>
      <c r="O348" s="363"/>
      <c r="P348" s="363"/>
    </row>
    <row r="349" spans="1:16" ht="21.75" customHeight="1" x14ac:dyDescent="0.3">
      <c r="A349" s="364"/>
      <c r="B349" s="365">
        <v>1</v>
      </c>
      <c r="C349" s="366" t="s">
        <v>128</v>
      </c>
      <c r="D349" s="366"/>
      <c r="E349" s="366"/>
      <c r="F349" s="366"/>
      <c r="G349" s="367"/>
      <c r="H349" s="368" t="s">
        <v>122</v>
      </c>
      <c r="I349" s="369">
        <f ca="1">IFERROR(__xludf.DUMMYFUNCTION("IMPORTRANGE(""https://docs.google.com/spreadsheets/d/11923uPwbBZFjjGgGUA6NLw09EwE0CqkOc4q9oUmW1yo/edit?usp=sharing"",""อุทัยธานี!I244"")"),70)</f>
        <v>70</v>
      </c>
      <c r="J349" s="369">
        <f ca="1">IFERROR(__xludf.DUMMYFUNCTION("IMPORTRANGE(""https://docs.google.com/spreadsheets/d/11923uPwbBZFjjGgGUA6NLw09EwE0CqkOc4q9oUmW1yo/edit?usp=sharing"",""อุทัยธานี!J244"")"),20)</f>
        <v>20</v>
      </c>
      <c r="K349" s="370">
        <f t="shared" ref="K349:K350" ca="1" si="104">IF(I349&gt;0,J349*100/I349,0)</f>
        <v>28.571428571428573</v>
      </c>
      <c r="L349" s="371">
        <f ca="1">IFERROR(__xludf.DUMMYFUNCTION("IMPORTRANGE(""https://docs.google.com/spreadsheets/d/11923uPwbBZFjjGgGUA6NLw09EwE0CqkOc4q9oUmW1yo/edit?usp=sharing"",""อุทัยธานี!L244"")"),303160)</f>
        <v>303160</v>
      </c>
      <c r="M349" s="371"/>
      <c r="N349" s="371">
        <f ca="1">IFERROR(__xludf.DUMMYFUNCTION("IMPORTRANGE(""https://docs.google.com/spreadsheets/d/11923uPwbBZFjjGgGUA6NLw09EwE0CqkOc4q9oUmW1yo/edit?usp=sharing"",""อุทัยธานี!M244"")"),86680)</f>
        <v>86680</v>
      </c>
      <c r="O349" s="371">
        <f ca="1">+IF(L349&gt;0,N349*100/L349,0)</f>
        <v>28.592162554426704</v>
      </c>
      <c r="P349" s="371"/>
    </row>
    <row r="350" spans="1:16" ht="21.75" customHeight="1" x14ac:dyDescent="0.3">
      <c r="A350" s="364"/>
      <c r="B350" s="365"/>
      <c r="C350" s="366"/>
      <c r="D350" s="366"/>
      <c r="E350" s="366"/>
      <c r="F350" s="366"/>
      <c r="G350" s="367"/>
      <c r="H350" s="368" t="s">
        <v>37</v>
      </c>
      <c r="I350" s="369">
        <f ca="1">IFERROR(__xludf.DUMMYFUNCTION("IMPORTRANGE(""https://docs.google.com/spreadsheets/d/11923uPwbBZFjjGgGUA6NLw09EwE0CqkOc4q9oUmW1yo/edit?usp=sharing"",""อุทัยธานี!I245"")"),40)</f>
        <v>40</v>
      </c>
      <c r="J350" s="369">
        <f ca="1">IFERROR(__xludf.DUMMYFUNCTION("IMPORTRANGE(""https://docs.google.com/spreadsheets/d/11923uPwbBZFjjGgGUA6NLw09EwE0CqkOc4q9oUmW1yo/edit?usp=sharing"",""อุทัยธานี!J245"")"),0)</f>
        <v>0</v>
      </c>
      <c r="K350" s="370">
        <f t="shared" ca="1" si="104"/>
        <v>0</v>
      </c>
      <c r="L350" s="371"/>
      <c r="M350" s="371"/>
      <c r="N350" s="371"/>
      <c r="O350" s="371"/>
      <c r="P350" s="371"/>
    </row>
    <row r="351" spans="1:16" ht="21.75" customHeight="1" x14ac:dyDescent="0.3">
      <c r="A351" s="156"/>
      <c r="B351" s="157"/>
      <c r="C351" s="157" t="s">
        <v>16</v>
      </c>
      <c r="D351" s="158" t="s">
        <v>38</v>
      </c>
      <c r="E351" s="159"/>
      <c r="F351" s="159"/>
      <c r="G351" s="160" t="s">
        <v>39</v>
      </c>
      <c r="H351" s="161" t="s">
        <v>12</v>
      </c>
      <c r="I351" s="162" t="s">
        <v>40</v>
      </c>
      <c r="J351" s="162"/>
      <c r="K351" s="163"/>
      <c r="L351" s="164">
        <f ca="1">IFERROR(__xludf.DUMMYFUNCTION("IMPORTRANGE(""https://docs.google.com/spreadsheets/d/11923uPwbBZFjjGgGUA6NLw09EwE0CqkOc4q9oUmW1yo/edit?usp=sharing"",""อุทัยธานี!L246"")"),0)</f>
        <v>0</v>
      </c>
      <c r="M351" s="164"/>
      <c r="N351" s="164">
        <f ca="1">IFERROR(__xludf.DUMMYFUNCTION("IMPORTRANGE(""https://docs.google.com/spreadsheets/d/11923uPwbBZFjjGgGUA6NLw09EwE0CqkOc4q9oUmW1yo/edit?usp=sharing"",""อุทัยธานี!M246"")"),0)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3">
      <c r="A352" s="156"/>
      <c r="B352" s="157"/>
      <c r="C352" s="157"/>
      <c r="D352" s="166"/>
      <c r="E352" s="159"/>
      <c r="F352" s="159" t="s">
        <v>40</v>
      </c>
      <c r="G352" s="160" t="s">
        <v>41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IFERROR(__xludf.DUMMYFUNCTION("IMPORTRANGE(""https://docs.google.com/spreadsheets/d/11923uPwbBZFjjGgGUA6NLw09EwE0CqkOc4q9oUmW1yo/edit?usp=sharing"",""อุทัยธานี!L247"")"),303160)</f>
        <v>303160</v>
      </c>
      <c r="M352" s="165"/>
      <c r="N352" s="164">
        <f ca="1">IFERROR(__xludf.DUMMYFUNCTION("IMPORTRANGE(""https://docs.google.com/spreadsheets/d/11923uPwbBZFjjGgGUA6NLw09EwE0CqkOc4q9oUmW1yo/edit?usp=sharing"",""อุทัยธานี!M247"")"),86680)</f>
        <v>86680</v>
      </c>
      <c r="O352" s="165">
        <f t="shared" ca="1" si="105"/>
        <v>28.592162554426704</v>
      </c>
      <c r="P352" s="165"/>
    </row>
    <row r="353" spans="1:16" ht="21.75" customHeight="1" x14ac:dyDescent="0.3">
      <c r="A353" s="156"/>
      <c r="B353" s="157"/>
      <c r="C353" s="157"/>
      <c r="D353" s="166"/>
      <c r="E353" s="159"/>
      <c r="F353" s="159"/>
      <c r="G353" s="372" t="s">
        <v>129</v>
      </c>
      <c r="H353" s="161" t="s">
        <v>12</v>
      </c>
      <c r="I353" s="162"/>
      <c r="J353" s="162"/>
      <c r="K353" s="163"/>
      <c r="L353" s="168">
        <f ca="1">IFERROR(__xludf.DUMMYFUNCTION("IMPORTRANGE(""https://docs.google.com/spreadsheets/d/11923uPwbBZFjjGgGUA6NLw09EwE0CqkOc4q9oUmW1yo/edit?usp=sharing"",""อุทัยธานี!L248"")"),0)</f>
        <v>0</v>
      </c>
      <c r="M353" s="168"/>
      <c r="N353" s="168">
        <f ca="1">IFERROR(__xludf.DUMMYFUNCTION("IMPORTRANGE(""https://docs.google.com/spreadsheets/d/11923uPwbBZFjjGgGUA6NLw09EwE0CqkOc4q9oUmW1yo/edit?usp=sharing"",""อุทัยธานี!M248"")"),0)</f>
        <v>0</v>
      </c>
      <c r="O353" s="168">
        <f t="shared" ca="1" si="105"/>
        <v>0</v>
      </c>
      <c r="P353" s="168"/>
    </row>
    <row r="354" spans="1:16" ht="21.75" customHeight="1" x14ac:dyDescent="0.3">
      <c r="A354" s="156"/>
      <c r="B354" s="157"/>
      <c r="C354" s="157"/>
      <c r="D354" s="166"/>
      <c r="E354" s="159"/>
      <c r="F354" s="159"/>
      <c r="G354" s="372" t="s">
        <v>130</v>
      </c>
      <c r="H354" s="161" t="s">
        <v>12</v>
      </c>
      <c r="I354" s="162"/>
      <c r="J354" s="162"/>
      <c r="K354" s="163"/>
      <c r="L354" s="168">
        <f ca="1">IFERROR(__xludf.DUMMYFUNCTION("IMPORTRANGE(""https://docs.google.com/spreadsheets/d/11923uPwbBZFjjGgGUA6NLw09EwE0CqkOc4q9oUmW1yo/edit?usp=sharing"",""อุทัยธานี!L249"")"),303160)</f>
        <v>303160</v>
      </c>
      <c r="M354" s="168"/>
      <c r="N354" s="167">
        <f ca="1">IFERROR(__xludf.DUMMYFUNCTION("IMPORTRANGE(""https://docs.google.com/spreadsheets/d/11923uPwbBZFjjGgGUA6NLw09EwE0CqkOc4q9oUmW1yo/edit?usp=sharing"",""อุทัยธานี!M249"")"),86680)</f>
        <v>86680</v>
      </c>
      <c r="O354" s="168">
        <f t="shared" ca="1" si="105"/>
        <v>28.592162554426704</v>
      </c>
      <c r="P354" s="168"/>
    </row>
    <row r="355" spans="1:16" ht="21.75" customHeight="1" x14ac:dyDescent="0.3">
      <c r="A355" s="373"/>
      <c r="B355" s="374"/>
      <c r="C355" s="157"/>
      <c r="D355" s="375"/>
      <c r="E355" s="159"/>
      <c r="F355" s="159"/>
      <c r="G355" s="376" t="s">
        <v>131</v>
      </c>
      <c r="H355" s="161" t="s">
        <v>12</v>
      </c>
      <c r="I355" s="187"/>
      <c r="J355" s="187"/>
      <c r="K355" s="223"/>
      <c r="L355" s="168"/>
      <c r="M355" s="168"/>
      <c r="N355" s="377">
        <f ca="1">IFERROR(__xludf.DUMMYFUNCTION("IMPORTRANGE(""https://docs.google.com/spreadsheets/d/11923uPwbBZFjjGgGUA6NLw09EwE0CqkOc4q9oUmW1yo/edit?usp=sharing"",""อุทัยธานี!M250"")"),40320)</f>
        <v>40320</v>
      </c>
      <c r="O355" s="168"/>
      <c r="P355" s="168"/>
    </row>
    <row r="356" spans="1:16" ht="21.75" customHeight="1" x14ac:dyDescent="0.3">
      <c r="A356" s="373"/>
      <c r="B356" s="374"/>
      <c r="C356" s="157"/>
      <c r="D356" s="375"/>
      <c r="E356" s="159"/>
      <c r="F356" s="159"/>
      <c r="G356" s="376" t="s">
        <v>132</v>
      </c>
      <c r="H356" s="161" t="s">
        <v>12</v>
      </c>
      <c r="I356" s="187"/>
      <c r="J356" s="187"/>
      <c r="K356" s="223"/>
      <c r="L356" s="168"/>
      <c r="M356" s="168"/>
      <c r="N356" s="377">
        <f ca="1">IFERROR(__xludf.DUMMYFUNCTION("IMPORTRANGE(""https://docs.google.com/spreadsheets/d/11923uPwbBZFjjGgGUA6NLw09EwE0CqkOc4q9oUmW1yo/edit?usp=sharing"",""อุทัยธานี!M251"")"),0)</f>
        <v>0</v>
      </c>
      <c r="O356" s="168"/>
      <c r="P356" s="168"/>
    </row>
    <row r="357" spans="1:16" ht="21.75" customHeight="1" x14ac:dyDescent="0.3">
      <c r="A357" s="373"/>
      <c r="B357" s="374"/>
      <c r="C357" s="157"/>
      <c r="D357" s="375"/>
      <c r="E357" s="159"/>
      <c r="F357" s="159"/>
      <c r="G357" s="376" t="s">
        <v>133</v>
      </c>
      <c r="H357" s="161" t="s">
        <v>12</v>
      </c>
      <c r="I357" s="187"/>
      <c r="J357" s="187"/>
      <c r="K357" s="223"/>
      <c r="L357" s="168"/>
      <c r="M357" s="168"/>
      <c r="N357" s="377">
        <f ca="1">IFERROR(__xludf.DUMMYFUNCTION("IMPORTRANGE(""https://docs.google.com/spreadsheets/d/11923uPwbBZFjjGgGUA6NLw09EwE0CqkOc4q9oUmW1yo/edit?usp=sharing"",""อุทัยธานี!M252"")"),31580)</f>
        <v>31580</v>
      </c>
      <c r="O357" s="168"/>
      <c r="P357" s="168"/>
    </row>
    <row r="358" spans="1:16" ht="21.75" customHeight="1" x14ac:dyDescent="0.3">
      <c r="A358" s="373"/>
      <c r="B358" s="374"/>
      <c r="C358" s="157"/>
      <c r="D358" s="375"/>
      <c r="E358" s="159"/>
      <c r="F358" s="159"/>
      <c r="G358" s="376" t="s">
        <v>134</v>
      </c>
      <c r="H358" s="161" t="s">
        <v>12</v>
      </c>
      <c r="I358" s="187"/>
      <c r="J358" s="187"/>
      <c r="K358" s="223"/>
      <c r="L358" s="168"/>
      <c r="M358" s="168"/>
      <c r="N358" s="377">
        <f ca="1">IFERROR(__xludf.DUMMYFUNCTION("IMPORTRANGE(""https://docs.google.com/spreadsheets/d/11923uPwbBZFjjGgGUA6NLw09EwE0CqkOc4q9oUmW1yo/edit?usp=sharing"",""อุทัยธานี!M253"")"),14780)</f>
        <v>14780</v>
      </c>
      <c r="O358" s="168"/>
      <c r="P358" s="168"/>
    </row>
    <row r="359" spans="1:16" ht="21.75" customHeight="1" x14ac:dyDescent="0.3">
      <c r="A359" s="175"/>
      <c r="B359" s="176"/>
      <c r="C359" s="157" t="s">
        <v>16</v>
      </c>
      <c r="D359" s="177" t="s">
        <v>44</v>
      </c>
      <c r="E359" s="178"/>
      <c r="F359" s="178"/>
      <c r="G359" s="179"/>
      <c r="H359" s="180"/>
      <c r="I359" s="162"/>
      <c r="J359" s="162"/>
      <c r="K359" s="163"/>
      <c r="L359" s="181"/>
      <c r="M359" s="181"/>
      <c r="N359" s="181"/>
      <c r="O359" s="181"/>
      <c r="P359" s="181"/>
    </row>
    <row r="360" spans="1:16" ht="21.75" customHeight="1" x14ac:dyDescent="0.3">
      <c r="A360" s="175"/>
      <c r="B360" s="176"/>
      <c r="C360" s="176"/>
      <c r="D360" s="182">
        <v>1</v>
      </c>
      <c r="E360" s="183" t="s">
        <v>45</v>
      </c>
      <c r="F360" s="184"/>
      <c r="G360" s="185"/>
      <c r="H360" s="186"/>
      <c r="I360" s="187"/>
      <c r="J360" s="197">
        <f ca="1">IFERROR(__xludf.DUMMYFUNCTION("IMPORTRANGE(""https://docs.google.com/spreadsheets/d/11923uPwbBZFjjGgGUA6NLw09EwE0CqkOc4q9oUmW1yo/edit?usp=sharing"",""อุทัยธานี!J255"")"),0)</f>
        <v>0</v>
      </c>
      <c r="K360" s="163"/>
      <c r="L360" s="181"/>
      <c r="M360" s="181"/>
      <c r="N360" s="181"/>
      <c r="O360" s="181"/>
      <c r="P360" s="181"/>
    </row>
    <row r="361" spans="1:16" ht="21.75" customHeight="1" x14ac:dyDescent="0.3">
      <c r="A361" s="175"/>
      <c r="B361" s="176"/>
      <c r="C361" s="176"/>
      <c r="D361" s="189">
        <v>2</v>
      </c>
      <c r="E361" s="190" t="s">
        <v>46</v>
      </c>
      <c r="F361" s="191"/>
      <c r="G361" s="192"/>
      <c r="H361" s="186"/>
      <c r="I361" s="187"/>
      <c r="J361" s="188">
        <f ca="1">IFERROR(__xludf.DUMMYFUNCTION("IMPORTRANGE(""https://docs.google.com/spreadsheets/d/11923uPwbBZFjjGgGUA6NLw09EwE0CqkOc4q9oUmW1yo/edit?usp=sharing"",""อุทัยธานี!J256"")"),1)</f>
        <v>1</v>
      </c>
      <c r="K361" s="163"/>
      <c r="L361" s="181" t="s">
        <v>40</v>
      </c>
      <c r="M361" s="181"/>
      <c r="N361" s="181" t="s">
        <v>40</v>
      </c>
      <c r="O361" s="181"/>
      <c r="P361" s="181"/>
    </row>
    <row r="362" spans="1:16" ht="21.75" customHeight="1" x14ac:dyDescent="0.3">
      <c r="A362" s="175"/>
      <c r="B362" s="176"/>
      <c r="C362" s="176"/>
      <c r="D362" s="193"/>
      <c r="E362" s="194" t="s">
        <v>47</v>
      </c>
      <c r="F362" s="195"/>
      <c r="G362" s="196"/>
      <c r="H362" s="186"/>
      <c r="I362" s="187"/>
      <c r="J362" s="188">
        <f ca="1">IFERROR(__xludf.DUMMYFUNCTION("IMPORTRANGE(""https://docs.google.com/spreadsheets/d/11923uPwbBZFjjGgGUA6NLw09EwE0CqkOc4q9oUmW1yo/edit?usp=sharing"",""อุทัยธานี!J257"")"),1)</f>
        <v>1</v>
      </c>
      <c r="K362" s="163"/>
      <c r="L362" s="181"/>
      <c r="M362" s="181"/>
      <c r="N362" s="181"/>
      <c r="O362" s="181"/>
      <c r="P362" s="181"/>
    </row>
    <row r="363" spans="1:16" ht="21.75" customHeight="1" x14ac:dyDescent="0.3">
      <c r="A363" s="175"/>
      <c r="B363" s="176"/>
      <c r="C363" s="176"/>
      <c r="D363" s="193"/>
      <c r="E363" s="194" t="s">
        <v>48</v>
      </c>
      <c r="F363" s="195"/>
      <c r="G363" s="196"/>
      <c r="H363" s="186"/>
      <c r="I363" s="187"/>
      <c r="J363" s="197">
        <f ca="1">IFERROR(__xludf.DUMMYFUNCTION("IMPORTRANGE(""https://docs.google.com/spreadsheets/d/11923uPwbBZFjjGgGUA6NLw09EwE0CqkOc4q9oUmW1yo/edit?usp=sharing"",""อุทัยธานี!J258"")"),1)</f>
        <v>1</v>
      </c>
      <c r="K363" s="163"/>
      <c r="L363" s="181"/>
      <c r="M363" s="181"/>
      <c r="N363" s="181"/>
      <c r="O363" s="181"/>
      <c r="P363" s="181"/>
    </row>
    <row r="364" spans="1:16" ht="21.75" hidden="1" customHeight="1" x14ac:dyDescent="0.3">
      <c r="A364" s="175"/>
      <c r="B364" s="176"/>
      <c r="C364" s="176"/>
      <c r="D364" s="193"/>
      <c r="E364" s="198"/>
      <c r="F364" s="194" t="s">
        <v>70</v>
      </c>
      <c r="G364" s="196"/>
      <c r="H364" s="180"/>
      <c r="I364" s="187"/>
      <c r="J364" s="187">
        <f ca="1">IFERROR(__xludf.DUMMYFUNCTION("IMPORTRANGE(""https://docs.google.com/spreadsheets/d/11923uPwbBZFjjGgGUA6NLw09EwE0CqkOc4q9oUmW1yo/edit?usp=sharing"",""อุทัยธานี!J166"")"),0)</f>
        <v>0</v>
      </c>
      <c r="K364" s="163"/>
      <c r="L364" s="181"/>
      <c r="M364" s="181"/>
      <c r="N364" s="181"/>
      <c r="O364" s="181"/>
      <c r="P364" s="181"/>
    </row>
    <row r="365" spans="1:16" ht="21.75" hidden="1" customHeight="1" x14ac:dyDescent="0.3">
      <c r="A365" s="175"/>
      <c r="B365" s="176"/>
      <c r="C365" s="176"/>
      <c r="D365" s="193"/>
      <c r="E365" s="198"/>
      <c r="F365" s="195"/>
      <c r="G365" s="225" t="s">
        <v>135</v>
      </c>
      <c r="H365" s="180" t="s">
        <v>37</v>
      </c>
      <c r="I365" s="187">
        <f ca="1">IFERROR(__xludf.DUMMYFUNCTION("IMPORTRANGE(""https://docs.google.com/spreadsheets/d/1C3CXT74ZlgGe6_JY_1olB1XN4rF0dxEuIIF-xsYjHgg/edit?usp=sharing"",""งบกองทุน!f63"")"),0)</f>
        <v>0</v>
      </c>
      <c r="J365" s="187">
        <f ca="1">IFERROR(__xludf.DUMMYFUNCTION("IMPORTRANGE(""https://docs.google.com/spreadsheets/d/11923uPwbBZFjjGgGUA6NLw09EwE0CqkOc4q9oUmW1yo/edit?usp=sharing"",""อุทัยธานี!J166"")"),0)</f>
        <v>0</v>
      </c>
      <c r="K365" s="163">
        <f ca="1">IF(I365&gt;0,J365*100/I365,0)</f>
        <v>0</v>
      </c>
      <c r="L365" s="181"/>
      <c r="M365" s="181"/>
      <c r="N365" s="181"/>
      <c r="O365" s="181"/>
      <c r="P365" s="181"/>
    </row>
    <row r="366" spans="1:16" ht="21.75" hidden="1" customHeight="1" x14ac:dyDescent="0.3">
      <c r="A366" s="175"/>
      <c r="B366" s="176"/>
      <c r="C366" s="176"/>
      <c r="D366" s="193"/>
      <c r="E366" s="198"/>
      <c r="F366" s="195"/>
      <c r="G366" s="196" t="s">
        <v>136</v>
      </c>
      <c r="H366" s="180"/>
      <c r="I366" s="162"/>
      <c r="J366" s="187">
        <f ca="1">IFERROR(__xludf.DUMMYFUNCTION("IMPORTRANGE(""https://docs.google.com/spreadsheets/d/11923uPwbBZFjjGgGUA6NLw09EwE0CqkOc4q9oUmW1yo/edit?usp=sharing"",""อุทัยธานี!J166"")"),0)</f>
        <v>0</v>
      </c>
      <c r="K366" s="163"/>
      <c r="L366" s="181"/>
      <c r="M366" s="181"/>
      <c r="N366" s="181"/>
      <c r="O366" s="181"/>
      <c r="P366" s="181"/>
    </row>
    <row r="367" spans="1:16" ht="21.75" hidden="1" customHeight="1" x14ac:dyDescent="0.3">
      <c r="A367" s="175"/>
      <c r="B367" s="176"/>
      <c r="C367" s="176"/>
      <c r="D367" s="193"/>
      <c r="E367" s="198"/>
      <c r="F367" s="195"/>
      <c r="G367" s="225" t="s">
        <v>137</v>
      </c>
      <c r="H367" s="186" t="s">
        <v>122</v>
      </c>
      <c r="I367" s="187">
        <f ca="1">SUM(I369,I371)</f>
        <v>0</v>
      </c>
      <c r="J367" s="187">
        <f ca="1">IFERROR(__xludf.DUMMYFUNCTION("IMPORTRANGE(""https://docs.google.com/spreadsheets/d/11923uPwbBZFjjGgGUA6NLw09EwE0CqkOc4q9oUmW1yo/edit?usp=sharing"",""อุทัยธานี!J166"")"),0)</f>
        <v>0</v>
      </c>
      <c r="K367" s="163">
        <f t="shared" ref="K367:K373" ca="1" si="106">IF(I367&gt;0,J367*100/I367,0)</f>
        <v>0</v>
      </c>
      <c r="L367" s="181"/>
      <c r="M367" s="181"/>
      <c r="N367" s="181"/>
      <c r="O367" s="181"/>
      <c r="P367" s="181"/>
    </row>
    <row r="368" spans="1:16" ht="21.75" customHeight="1" x14ac:dyDescent="0.3">
      <c r="A368" s="175"/>
      <c r="B368" s="176"/>
      <c r="C368" s="176"/>
      <c r="D368" s="193"/>
      <c r="E368" s="198"/>
      <c r="F368" s="378" t="s">
        <v>138</v>
      </c>
      <c r="G368" s="379"/>
      <c r="H368" s="186" t="s">
        <v>37</v>
      </c>
      <c r="I368" s="162">
        <f ca="1">IFERROR(__xludf.DUMMYFUNCTION("IMPORTRANGE(""https://docs.google.com/spreadsheets/d/11923uPwbBZFjjGgGUA6NLw09EwE0CqkOc4q9oUmW1yo/edit?usp=sharing"",""อุทัยธานี!I263"")"),40)</f>
        <v>40</v>
      </c>
      <c r="J368" s="187">
        <f ca="1">IFERROR(__xludf.DUMMYFUNCTION("IMPORTRANGE(""https://docs.google.com/spreadsheets/d/11923uPwbBZFjjGgGUA6NLw09EwE0CqkOc4q9oUmW1yo/edit?usp=sharing"",""อุทัยธานี!J263"")"),0)</f>
        <v>0</v>
      </c>
      <c r="K368" s="163">
        <f t="shared" ca="1" si="106"/>
        <v>0</v>
      </c>
      <c r="L368" s="181"/>
      <c r="M368" s="181"/>
      <c r="N368" s="181"/>
      <c r="O368" s="181"/>
      <c r="P368" s="181"/>
    </row>
    <row r="369" spans="1:16" ht="21.75" hidden="1" customHeight="1" x14ac:dyDescent="0.3">
      <c r="A369" s="175"/>
      <c r="B369" s="176"/>
      <c r="C369" s="176"/>
      <c r="D369" s="193"/>
      <c r="E369" s="198"/>
      <c r="F369" s="195"/>
      <c r="G369" s="379"/>
      <c r="H369" s="180" t="s">
        <v>122</v>
      </c>
      <c r="I369" s="162">
        <f ca="1">IFERROR(__xludf.DUMMYFUNCTION("IMPORTRANGE(""https://docs.google.com/spreadsheets/d/11923uPwbBZFjjGgGUA6NLw09EwE0CqkOc4q9oUmW1yo/edit?usp=sharing"",""อุทัยธานี!I164"")"),0)</f>
        <v>0</v>
      </c>
      <c r="J369" s="203">
        <f ca="1">IFERROR(__xludf.DUMMYFUNCTION("IMPORTRANGE(""https://docs.google.com/spreadsheets/d/11923uPwbBZFjjGgGUA6NLw09EwE0CqkOc4q9oUmW1yo/edit?usp=sharing"",""อุทัยธานี!J164"")"),0)</f>
        <v>0</v>
      </c>
      <c r="K369" s="163">
        <f t="shared" ca="1" si="106"/>
        <v>0</v>
      </c>
      <c r="L369" s="181"/>
      <c r="M369" s="181"/>
      <c r="N369" s="181"/>
      <c r="O369" s="181"/>
      <c r="P369" s="181"/>
    </row>
    <row r="370" spans="1:16" ht="21.75" customHeight="1" x14ac:dyDescent="0.3">
      <c r="A370" s="175"/>
      <c r="B370" s="176"/>
      <c r="C370" s="176"/>
      <c r="D370" s="193"/>
      <c r="E370" s="198"/>
      <c r="F370" s="195"/>
      <c r="G370" s="378" t="s">
        <v>139</v>
      </c>
      <c r="H370" s="180" t="s">
        <v>37</v>
      </c>
      <c r="I370" s="162">
        <f ca="1">IFERROR(__xludf.DUMMYFUNCTION("IMPORTRANGE(""https://docs.google.com/spreadsheets/d/11923uPwbBZFjjGgGUA6NLw09EwE0CqkOc4q9oUmW1yo/edit?usp=sharing"",""อุทัยธานี!I265"")"),40)</f>
        <v>40</v>
      </c>
      <c r="J370" s="203">
        <f ca="1">IFERROR(__xludf.DUMMYFUNCTION("IMPORTRANGE(""https://docs.google.com/spreadsheets/d/11923uPwbBZFjjGgGUA6NLw09EwE0CqkOc4q9oUmW1yo/edit?usp=sharing"",""อุทัยธานี!J265"")"),40)</f>
        <v>40</v>
      </c>
      <c r="K370" s="163">
        <f t="shared" ca="1" si="106"/>
        <v>100</v>
      </c>
      <c r="L370" s="181"/>
      <c r="M370" s="181"/>
      <c r="N370" s="181"/>
      <c r="O370" s="181"/>
      <c r="P370" s="181"/>
    </row>
    <row r="371" spans="1:16" ht="21.75" hidden="1" customHeight="1" x14ac:dyDescent="0.3">
      <c r="A371" s="175"/>
      <c r="B371" s="176"/>
      <c r="C371" s="176"/>
      <c r="D371" s="193"/>
      <c r="E371" s="198"/>
      <c r="F371" s="195"/>
      <c r="G371" s="379"/>
      <c r="H371" s="180" t="s">
        <v>122</v>
      </c>
      <c r="I371" s="162">
        <f ca="1">IFERROR(__xludf.DUMMYFUNCTION("IMPORTRANGE(""https://docs.google.com/spreadsheets/d/11923uPwbBZFjjGgGUA6NLw09EwE0CqkOc4q9oUmW1yo/edit?usp=sharing"",""อุทัยธานี!I164"")"),0)</f>
        <v>0</v>
      </c>
      <c r="J371" s="188">
        <f ca="1">IFERROR(__xludf.DUMMYFUNCTION("IMPORTRANGE(""https://docs.google.com/spreadsheets/d/11923uPwbBZFjjGgGUA6NLw09EwE0CqkOc4q9oUmW1yo/edit?usp=sharing"",""อุทัยธานี!J164"")"),0)</f>
        <v>0</v>
      </c>
      <c r="K371" s="163">
        <f t="shared" ca="1" si="106"/>
        <v>0</v>
      </c>
      <c r="L371" s="181"/>
      <c r="M371" s="181"/>
      <c r="N371" s="181"/>
      <c r="O371" s="181"/>
      <c r="P371" s="181"/>
    </row>
    <row r="372" spans="1:16" ht="21.75" customHeight="1" x14ac:dyDescent="0.3">
      <c r="A372" s="175"/>
      <c r="B372" s="176"/>
      <c r="C372" s="176"/>
      <c r="D372" s="193"/>
      <c r="E372" s="198"/>
      <c r="F372" s="195"/>
      <c r="G372" s="378" t="s">
        <v>140</v>
      </c>
      <c r="H372" s="180" t="s">
        <v>37</v>
      </c>
      <c r="I372" s="162">
        <f ca="1">IFERROR(__xludf.DUMMYFUNCTION("IMPORTRANGE(""https://docs.google.com/spreadsheets/d/11923uPwbBZFjjGgGUA6NLw09EwE0CqkOc4q9oUmW1yo/edit?usp=sharing"",""อุทัยธานี!I267"")"),40)</f>
        <v>40</v>
      </c>
      <c r="J372" s="188">
        <f ca="1">IFERROR(__xludf.DUMMYFUNCTION("IMPORTRANGE(""https://docs.google.com/spreadsheets/d/11923uPwbBZFjjGgGUA6NLw09EwE0CqkOc4q9oUmW1yo/edit?usp=sharing"",""อุทัยธานี!J267"")"),0)</f>
        <v>0</v>
      </c>
      <c r="K372" s="163">
        <f t="shared" ca="1" si="106"/>
        <v>0</v>
      </c>
      <c r="L372" s="181"/>
      <c r="M372" s="181"/>
      <c r="N372" s="181"/>
      <c r="O372" s="181"/>
      <c r="P372" s="181"/>
    </row>
    <row r="373" spans="1:16" ht="21.75" hidden="1" customHeight="1" x14ac:dyDescent="0.3">
      <c r="A373" s="175"/>
      <c r="B373" s="176"/>
      <c r="C373" s="176"/>
      <c r="D373" s="193"/>
      <c r="E373" s="198"/>
      <c r="F373" s="195"/>
      <c r="G373" s="225" t="s">
        <v>141</v>
      </c>
      <c r="H373" s="180" t="s">
        <v>37</v>
      </c>
      <c r="I373" s="187">
        <f ca="1">IFERROR(__xludf.DUMMYFUNCTION("IMPORTRANGE(""https://docs.google.com/spreadsheets/d/11923uPwbBZFjjGgGUA6NLw09EwE0CqkOc4q9oUmW1yo/edit?usp=sharing"",""อุทัยธานี!I164"")"),0)</f>
        <v>0</v>
      </c>
      <c r="J373" s="203">
        <f ca="1">IFERROR(__xludf.DUMMYFUNCTION("IMPORTRANGE(""https://docs.google.com/spreadsheets/d/11923uPwbBZFjjGgGUA6NLw09EwE0CqkOc4q9oUmW1yo/edit?usp=sharing"",""อุทัยธานี!J164"")"),0)</f>
        <v>0</v>
      </c>
      <c r="K373" s="163">
        <f t="shared" ca="1" si="106"/>
        <v>0</v>
      </c>
      <c r="L373" s="181"/>
      <c r="M373" s="181"/>
      <c r="N373" s="181"/>
      <c r="O373" s="181"/>
      <c r="P373" s="181"/>
    </row>
    <row r="374" spans="1:16" ht="21.75" hidden="1" customHeight="1" x14ac:dyDescent="0.3">
      <c r="A374" s="175"/>
      <c r="B374" s="176"/>
      <c r="C374" s="176"/>
      <c r="D374" s="193"/>
      <c r="E374" s="198"/>
      <c r="F374" s="195"/>
      <c r="G374" s="196" t="s">
        <v>142</v>
      </c>
      <c r="H374" s="180"/>
      <c r="I374" s="187">
        <f ca="1">IFERROR(__xludf.DUMMYFUNCTION("IMPORTRANGE(""https://docs.google.com/spreadsheets/d/11923uPwbBZFjjGgGUA6NLw09EwE0CqkOc4q9oUmW1yo/edit?usp=sharing"",""อุทัยธานี!I164"")"),0)</f>
        <v>0</v>
      </c>
      <c r="J374" s="187">
        <f ca="1">IFERROR(__xludf.DUMMYFUNCTION("IMPORTRANGE(""https://docs.google.com/spreadsheets/d/11923uPwbBZFjjGgGUA6NLw09EwE0CqkOc4q9oUmW1yo/edit?usp=sharing"",""อุทัยธานี!J164"")"),0)</f>
        <v>0</v>
      </c>
      <c r="K374" s="163"/>
      <c r="L374" s="181"/>
      <c r="M374" s="181"/>
      <c r="N374" s="181"/>
      <c r="O374" s="181"/>
      <c r="P374" s="181"/>
    </row>
    <row r="375" spans="1:16" ht="21.75" customHeight="1" x14ac:dyDescent="0.3">
      <c r="A375" s="175"/>
      <c r="B375" s="176"/>
      <c r="C375" s="176"/>
      <c r="D375" s="193"/>
      <c r="E375" s="195"/>
      <c r="F375" s="204" t="s">
        <v>53</v>
      </c>
      <c r="G375" s="196"/>
      <c r="H375" s="278" t="s">
        <v>122</v>
      </c>
      <c r="I375" s="187">
        <f ca="1">IFERROR(__xludf.DUMMYFUNCTION("IMPORTRANGE(""https://docs.google.com/spreadsheets/d/11923uPwbBZFjjGgGUA6NLw09EwE0CqkOc4q9oUmW1yo/edit?usp=sharing"",""อุทัยธานี!I270"")"),70)</f>
        <v>70</v>
      </c>
      <c r="J375" s="187">
        <f ca="1">IFERROR(__xludf.DUMMYFUNCTION("IMPORTRANGE(""https://docs.google.com/spreadsheets/d/11923uPwbBZFjjGgGUA6NLw09EwE0CqkOc4q9oUmW1yo/edit?usp=sharing"",""อุทัยธานี!J270"")"),20)</f>
        <v>20</v>
      </c>
      <c r="K375" s="163">
        <f t="shared" ref="K375:K377" ca="1" si="107">IF(I375&gt;0,J375*100/I375,0)</f>
        <v>28.571428571428573</v>
      </c>
      <c r="L375" s="181"/>
      <c r="M375" s="181"/>
      <c r="N375" s="181"/>
      <c r="O375" s="181"/>
      <c r="P375" s="181"/>
    </row>
    <row r="376" spans="1:16" ht="21.75" customHeight="1" x14ac:dyDescent="0.3">
      <c r="A376" s="175"/>
      <c r="B376" s="176"/>
      <c r="C376" s="176"/>
      <c r="D376" s="193"/>
      <c r="E376" s="195"/>
      <c r="F376" s="195"/>
      <c r="G376" s="279" t="s">
        <v>143</v>
      </c>
      <c r="H376" s="278" t="s">
        <v>122</v>
      </c>
      <c r="I376" s="187">
        <f ca="1">IFERROR(__xludf.DUMMYFUNCTION("IMPORTRANGE(""https://docs.google.com/spreadsheets/d/11923uPwbBZFjjGgGUA6NLw09EwE0CqkOc4q9oUmW1yo/edit?usp=sharing"",""อุทัยธานี!I271"")"),20)</f>
        <v>20</v>
      </c>
      <c r="J376" s="188">
        <f ca="1">IFERROR(__xludf.DUMMYFUNCTION("IMPORTRANGE(""https://docs.google.com/spreadsheets/d/11923uPwbBZFjjGgGUA6NLw09EwE0CqkOc4q9oUmW1yo/edit?usp=sharing"",""อุทัยธานี!J271"")"),20)</f>
        <v>20</v>
      </c>
      <c r="K376" s="163">
        <f t="shared" ca="1" si="107"/>
        <v>100</v>
      </c>
      <c r="L376" s="181"/>
      <c r="M376" s="181"/>
      <c r="N376" s="181"/>
      <c r="O376" s="181"/>
      <c r="P376" s="181"/>
    </row>
    <row r="377" spans="1:16" ht="21.75" customHeight="1" x14ac:dyDescent="0.3">
      <c r="A377" s="175"/>
      <c r="B377" s="176"/>
      <c r="C377" s="176"/>
      <c r="D377" s="193"/>
      <c r="E377" s="195"/>
      <c r="F377" s="195"/>
      <c r="G377" s="279" t="s">
        <v>144</v>
      </c>
      <c r="H377" s="278" t="s">
        <v>122</v>
      </c>
      <c r="I377" s="187">
        <f ca="1">IFERROR(__xludf.DUMMYFUNCTION("IMPORTRANGE(""https://docs.google.com/spreadsheets/d/11923uPwbBZFjjGgGUA6NLw09EwE0CqkOc4q9oUmW1yo/edit?usp=sharing"",""อุทัยธานี!I272"")"),50)</f>
        <v>50</v>
      </c>
      <c r="J377" s="203">
        <f ca="1">IFERROR(__xludf.DUMMYFUNCTION("IMPORTRANGE(""https://docs.google.com/spreadsheets/d/11923uPwbBZFjjGgGUA6NLw09EwE0CqkOc4q9oUmW1yo/edit?usp=sharing"",""อุทัยธานี!J272"")"),0)</f>
        <v>0</v>
      </c>
      <c r="K377" s="163">
        <f t="shared" ca="1" si="107"/>
        <v>0</v>
      </c>
      <c r="L377" s="181"/>
      <c r="M377" s="181"/>
      <c r="N377" s="181"/>
      <c r="O377" s="181"/>
      <c r="P377" s="181"/>
    </row>
    <row r="378" spans="1:16" ht="21.75" customHeight="1" x14ac:dyDescent="0.3">
      <c r="A378" s="175"/>
      <c r="B378" s="176"/>
      <c r="C378" s="176"/>
      <c r="D378" s="193"/>
      <c r="E378" s="194" t="s">
        <v>54</v>
      </c>
      <c r="F378" s="195"/>
      <c r="G378" s="196"/>
      <c r="H378" s="186"/>
      <c r="I378" s="187"/>
      <c r="J378" s="197">
        <f ca="1">IFERROR(__xludf.DUMMYFUNCTION("IMPORTRANGE(""https://docs.google.com/spreadsheets/d/11923uPwbBZFjjGgGUA6NLw09EwE0CqkOc4q9oUmW1yo/edit?usp=sharing"",""อุทัยธานี!J273"")"),0)</f>
        <v>0</v>
      </c>
      <c r="K378" s="163"/>
      <c r="L378" s="181"/>
      <c r="M378" s="181"/>
      <c r="N378" s="181"/>
      <c r="O378" s="181"/>
      <c r="P378" s="181"/>
    </row>
    <row r="379" spans="1:16" ht="21.75" customHeight="1" x14ac:dyDescent="0.3">
      <c r="A379" s="175"/>
      <c r="B379" s="176"/>
      <c r="C379" s="176"/>
      <c r="D379" s="205">
        <v>3</v>
      </c>
      <c r="E379" s="206" t="s">
        <v>55</v>
      </c>
      <c r="F379" s="207"/>
      <c r="G379" s="208"/>
      <c r="H379" s="186"/>
      <c r="I379" s="187"/>
      <c r="J379" s="209">
        <f ca="1">IFERROR(__xludf.DUMMYFUNCTION("IMPORTRANGE(""https://docs.google.com/spreadsheets/d/11923uPwbBZFjjGgGUA6NLw09EwE0CqkOc4q9oUmW1yo/edit?usp=sharing"",""อุทัยธานี!J274"")"),0)</f>
        <v>0</v>
      </c>
      <c r="K379" s="163"/>
      <c r="L379" s="181"/>
      <c r="M379" s="181"/>
      <c r="N379" s="181"/>
      <c r="O379" s="181"/>
      <c r="P379" s="181"/>
    </row>
    <row r="380" spans="1:16" ht="21.75" customHeight="1" x14ac:dyDescent="0.3">
      <c r="A380" s="364"/>
      <c r="B380" s="365">
        <v>2</v>
      </c>
      <c r="C380" s="366" t="s">
        <v>145</v>
      </c>
      <c r="D380" s="366"/>
      <c r="E380" s="380"/>
      <c r="F380" s="380"/>
      <c r="G380" s="381"/>
      <c r="H380" s="368" t="s">
        <v>122</v>
      </c>
      <c r="I380" s="369">
        <f ca="1">IFERROR(__xludf.DUMMYFUNCTION("IMPORTRANGE(""https://docs.google.com/spreadsheets/d/11923uPwbBZFjjGgGUA6NLw09EwE0CqkOc4q9oUmW1yo/edit?usp=sharing"",""อุทัยธานี!I275"")"),1000)</f>
        <v>1000</v>
      </c>
      <c r="J380" s="369">
        <f ca="1">IFERROR(__xludf.DUMMYFUNCTION("IMPORTRANGE(""https://docs.google.com/spreadsheets/d/11923uPwbBZFjjGgGUA6NLw09EwE0CqkOc4q9oUmW1yo/edit?usp=sharing"",""อุทัยธานี!J275"")"),0)</f>
        <v>0</v>
      </c>
      <c r="K380" s="370">
        <f t="shared" ref="K380:K381" ca="1" si="108">IF(I380&gt;0,J380*100/I380,0)</f>
        <v>0</v>
      </c>
      <c r="L380" s="371">
        <f ca="1">IFERROR(__xludf.DUMMYFUNCTION("IMPORTRANGE(""https://docs.google.com/spreadsheets/d/11923uPwbBZFjjGgGUA6NLw09EwE0CqkOc4q9oUmW1yo/edit?usp=sharing"",""อุทัยธานี!L275"")"),1028520)</f>
        <v>1028520</v>
      </c>
      <c r="M380" s="371"/>
      <c r="N380" s="371">
        <f ca="1">IFERROR(__xludf.DUMMYFUNCTION("IMPORTRANGE(""https://docs.google.com/spreadsheets/d/11923uPwbBZFjjGgGUA6NLw09EwE0CqkOc4q9oUmW1yo/edit?usp=sharing"",""อุทัยธานี!M275"")"),171791)</f>
        <v>171791</v>
      </c>
      <c r="O380" s="371">
        <f ca="1">+IF(L380&gt;0,N380*100/L380,0)</f>
        <v>16.702737914673513</v>
      </c>
      <c r="P380" s="371"/>
    </row>
    <row r="381" spans="1:16" ht="21.75" customHeight="1" x14ac:dyDescent="0.3">
      <c r="A381" s="364"/>
      <c r="B381" s="365"/>
      <c r="C381" s="366"/>
      <c r="D381" s="382"/>
      <c r="E381" s="383"/>
      <c r="F381" s="383"/>
      <c r="G381" s="384"/>
      <c r="H381" s="368" t="s">
        <v>37</v>
      </c>
      <c r="I381" s="369">
        <f ca="1">IFERROR(__xludf.DUMMYFUNCTION("IMPORTRANGE(""https://docs.google.com/spreadsheets/d/11923uPwbBZFjjGgGUA6NLw09EwE0CqkOc4q9oUmW1yo/edit?usp=sharing"",""อุทัยธานี!I276"")"),100)</f>
        <v>100</v>
      </c>
      <c r="J381" s="369">
        <f ca="1">IFERROR(__xludf.DUMMYFUNCTION("IMPORTRANGE(""https://docs.google.com/spreadsheets/d/11923uPwbBZFjjGgGUA6NLw09EwE0CqkOc4q9oUmW1yo/edit?usp=sharing"",""อุทัยธานี!J276"")"),100)</f>
        <v>100</v>
      </c>
      <c r="K381" s="370">
        <f t="shared" ca="1" si="108"/>
        <v>100</v>
      </c>
      <c r="L381" s="371"/>
      <c r="M381" s="371"/>
      <c r="N381" s="371"/>
      <c r="O381" s="371"/>
      <c r="P381" s="371"/>
    </row>
    <row r="382" spans="1:16" ht="21.75" customHeight="1" x14ac:dyDescent="0.3">
      <c r="A382" s="156"/>
      <c r="B382" s="157"/>
      <c r="C382" s="157" t="s">
        <v>16</v>
      </c>
      <c r="D382" s="158" t="s">
        <v>38</v>
      </c>
      <c r="E382" s="159"/>
      <c r="F382" s="159"/>
      <c r="G382" s="160" t="s">
        <v>39</v>
      </c>
      <c r="H382" s="161" t="s">
        <v>12</v>
      </c>
      <c r="I382" s="162" t="s">
        <v>40</v>
      </c>
      <c r="J382" s="162"/>
      <c r="K382" s="163"/>
      <c r="L382" s="164">
        <f ca="1">IFERROR(__xludf.DUMMYFUNCTION("IMPORTRANGE(""https://docs.google.com/spreadsheets/d/11923uPwbBZFjjGgGUA6NLw09EwE0CqkOc4q9oUmW1yo/edit?usp=sharing"",""อุทัยธานี!L277"")"),0)</f>
        <v>0</v>
      </c>
      <c r="M382" s="164"/>
      <c r="N382" s="164">
        <f ca="1">IFERROR(__xludf.DUMMYFUNCTION("IMPORTRANGE(""https://docs.google.com/spreadsheets/d/11923uPwbBZFjjGgGUA6NLw09EwE0CqkOc4q9oUmW1yo/edit?usp=sharing"",""อุทัยธานี!M277"")"),0)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3">
      <c r="A383" s="156"/>
      <c r="B383" s="157"/>
      <c r="C383" s="157"/>
      <c r="D383" s="166"/>
      <c r="E383" s="159"/>
      <c r="F383" s="159" t="s">
        <v>40</v>
      </c>
      <c r="G383" s="160" t="s">
        <v>41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IFERROR(__xludf.DUMMYFUNCTION("IMPORTRANGE(""https://docs.google.com/spreadsheets/d/11923uPwbBZFjjGgGUA6NLw09EwE0CqkOc4q9oUmW1yo/edit?usp=sharing"",""อุทัยธานี!L278"")"),1028520)</f>
        <v>1028520</v>
      </c>
      <c r="M383" s="165"/>
      <c r="N383" s="165">
        <f ca="1">IFERROR(__xludf.DUMMYFUNCTION("IMPORTRANGE(""https://docs.google.com/spreadsheets/d/11923uPwbBZFjjGgGUA6NLw09EwE0CqkOc4q9oUmW1yo/edit?usp=sharing"",""อุทัยธานี!M278"")"),171791)</f>
        <v>171791</v>
      </c>
      <c r="O383" s="165">
        <f t="shared" ca="1" si="109"/>
        <v>16.702737914673513</v>
      </c>
      <c r="P383" s="165"/>
    </row>
    <row r="384" spans="1:16" ht="21.75" customHeight="1" x14ac:dyDescent="0.3">
      <c r="A384" s="156"/>
      <c r="B384" s="157"/>
      <c r="C384" s="157"/>
      <c r="D384" s="166"/>
      <c r="E384" s="159"/>
      <c r="F384" s="159"/>
      <c r="G384" s="372" t="s">
        <v>129</v>
      </c>
      <c r="H384" s="161" t="s">
        <v>12</v>
      </c>
      <c r="I384" s="162"/>
      <c r="J384" s="162"/>
      <c r="K384" s="163"/>
      <c r="L384" s="168">
        <f ca="1">IFERROR(__xludf.DUMMYFUNCTION("IMPORTRANGE(""https://docs.google.com/spreadsheets/d/11923uPwbBZFjjGgGUA6NLw09EwE0CqkOc4q9oUmW1yo/edit?usp=sharing"",""อุทัยธานี!L279"")"),0)</f>
        <v>0</v>
      </c>
      <c r="M384" s="168"/>
      <c r="N384" s="168">
        <f ca="1">IFERROR(__xludf.DUMMYFUNCTION("IMPORTRANGE(""https://docs.google.com/spreadsheets/d/11923uPwbBZFjjGgGUA6NLw09EwE0CqkOc4q9oUmW1yo/edit?usp=sharing"",""อุทัยธานี!M279"")"),0)</f>
        <v>0</v>
      </c>
      <c r="O384" s="168">
        <f t="shared" ca="1" si="109"/>
        <v>0</v>
      </c>
      <c r="P384" s="168"/>
    </row>
    <row r="385" spans="1:16" ht="21.75" customHeight="1" x14ac:dyDescent="0.3">
      <c r="A385" s="156"/>
      <c r="B385" s="157"/>
      <c r="C385" s="157"/>
      <c r="D385" s="166"/>
      <c r="E385" s="159"/>
      <c r="F385" s="159"/>
      <c r="G385" s="372" t="s">
        <v>130</v>
      </c>
      <c r="H385" s="161" t="s">
        <v>12</v>
      </c>
      <c r="I385" s="162"/>
      <c r="J385" s="162"/>
      <c r="K385" s="163"/>
      <c r="L385" s="168">
        <f ca="1">IFERROR(__xludf.DUMMYFUNCTION("IMPORTRANGE(""https://docs.google.com/spreadsheets/d/11923uPwbBZFjjGgGUA6NLw09EwE0CqkOc4q9oUmW1yo/edit?usp=sharing"",""อุทัยธานี!L280"")"),1028520)</f>
        <v>1028520</v>
      </c>
      <c r="M385" s="168"/>
      <c r="N385" s="167">
        <f ca="1">IFERROR(__xludf.DUMMYFUNCTION("IMPORTRANGE(""https://docs.google.com/spreadsheets/d/11923uPwbBZFjjGgGUA6NLw09EwE0CqkOc4q9oUmW1yo/edit?usp=sharing"",""อุทัยธานี!M280"")"),171791)</f>
        <v>171791</v>
      </c>
      <c r="O385" s="168">
        <f t="shared" ca="1" si="109"/>
        <v>16.702737914673513</v>
      </c>
      <c r="P385" s="168"/>
    </row>
    <row r="386" spans="1:16" ht="21.75" customHeight="1" x14ac:dyDescent="0.3">
      <c r="A386" s="373"/>
      <c r="B386" s="374"/>
      <c r="C386" s="157"/>
      <c r="D386" s="375"/>
      <c r="E386" s="159"/>
      <c r="F386" s="159"/>
      <c r="G386" s="376" t="s">
        <v>131</v>
      </c>
      <c r="H386" s="161" t="s">
        <v>12</v>
      </c>
      <c r="I386" s="187"/>
      <c r="J386" s="187"/>
      <c r="K386" s="223"/>
      <c r="L386" s="168"/>
      <c r="M386" s="168"/>
      <c r="N386" s="377">
        <f ca="1">IFERROR(__xludf.DUMMYFUNCTION("IMPORTRANGE(""https://docs.google.com/spreadsheets/d/11923uPwbBZFjjGgGUA6NLw09EwE0CqkOc4q9oUmW1yo/edit?usp=sharing"",""อุทัยธานี!M281"")"),125940)</f>
        <v>125940</v>
      </c>
      <c r="O386" s="168"/>
      <c r="P386" s="168"/>
    </row>
    <row r="387" spans="1:16" ht="21.75" customHeight="1" x14ac:dyDescent="0.3">
      <c r="A387" s="373"/>
      <c r="B387" s="374"/>
      <c r="C387" s="157"/>
      <c r="D387" s="375"/>
      <c r="E387" s="159"/>
      <c r="F387" s="159"/>
      <c r="G387" s="376" t="s">
        <v>132</v>
      </c>
      <c r="H387" s="161" t="s">
        <v>12</v>
      </c>
      <c r="I387" s="187"/>
      <c r="J387" s="187"/>
      <c r="K387" s="223"/>
      <c r="L387" s="168"/>
      <c r="M387" s="168"/>
      <c r="N387" s="377">
        <f ca="1">IFERROR(__xludf.DUMMYFUNCTION("IMPORTRANGE(""https://docs.google.com/spreadsheets/d/11923uPwbBZFjjGgGUA6NLw09EwE0CqkOc4q9oUmW1yo/edit?usp=sharing"",""อุทัยธานี!M282"")"),0)</f>
        <v>0</v>
      </c>
      <c r="O387" s="168"/>
      <c r="P387" s="168"/>
    </row>
    <row r="388" spans="1:16" ht="21.75" customHeight="1" x14ac:dyDescent="0.3">
      <c r="A388" s="373"/>
      <c r="B388" s="374"/>
      <c r="C388" s="157"/>
      <c r="D388" s="375"/>
      <c r="E388" s="159"/>
      <c r="F388" s="159"/>
      <c r="G388" s="376" t="s">
        <v>133</v>
      </c>
      <c r="H388" s="161" t="s">
        <v>12</v>
      </c>
      <c r="I388" s="187"/>
      <c r="J388" s="187"/>
      <c r="K388" s="223"/>
      <c r="L388" s="168"/>
      <c r="M388" s="168"/>
      <c r="N388" s="377">
        <f ca="1">IFERROR(__xludf.DUMMYFUNCTION("IMPORTRANGE(""https://docs.google.com/spreadsheets/d/11923uPwbBZFjjGgGUA6NLw09EwE0CqkOc4q9oUmW1yo/edit?usp=sharing"",""อุทัยธานี!M283"")"),30491)</f>
        <v>30491</v>
      </c>
      <c r="O388" s="168"/>
      <c r="P388" s="168"/>
    </row>
    <row r="389" spans="1:16" ht="21.75" customHeight="1" x14ac:dyDescent="0.3">
      <c r="A389" s="373"/>
      <c r="B389" s="374"/>
      <c r="C389" s="157"/>
      <c r="D389" s="375"/>
      <c r="E389" s="159"/>
      <c r="F389" s="159"/>
      <c r="G389" s="376" t="s">
        <v>134</v>
      </c>
      <c r="H389" s="161" t="s">
        <v>12</v>
      </c>
      <c r="I389" s="187"/>
      <c r="J389" s="187"/>
      <c r="K389" s="223"/>
      <c r="L389" s="168"/>
      <c r="M389" s="168"/>
      <c r="N389" s="377">
        <f ca="1">IFERROR(__xludf.DUMMYFUNCTION("IMPORTRANGE(""https://docs.google.com/spreadsheets/d/11923uPwbBZFjjGgGUA6NLw09EwE0CqkOc4q9oUmW1yo/edit?usp=sharing"",""อุทัยธานี!M284"")"),15360)</f>
        <v>15360</v>
      </c>
      <c r="O389" s="168"/>
      <c r="P389" s="168"/>
    </row>
    <row r="390" spans="1:16" ht="21.75" customHeight="1" x14ac:dyDescent="0.3">
      <c r="A390" s="175"/>
      <c r="B390" s="176"/>
      <c r="C390" s="157" t="s">
        <v>16</v>
      </c>
      <c r="D390" s="177" t="s">
        <v>44</v>
      </c>
      <c r="E390" s="178"/>
      <c r="F390" s="178"/>
      <c r="G390" s="179"/>
      <c r="H390" s="180"/>
      <c r="I390" s="162"/>
      <c r="J390" s="162"/>
      <c r="K390" s="163"/>
      <c r="L390" s="181"/>
      <c r="M390" s="181"/>
      <c r="N390" s="181"/>
      <c r="O390" s="181"/>
      <c r="P390" s="181"/>
    </row>
    <row r="391" spans="1:16" ht="21.75" customHeight="1" x14ac:dyDescent="0.3">
      <c r="A391" s="175"/>
      <c r="B391" s="176"/>
      <c r="C391" s="176"/>
      <c r="D391" s="182">
        <v>1</v>
      </c>
      <c r="E391" s="183" t="s">
        <v>45</v>
      </c>
      <c r="F391" s="184"/>
      <c r="G391" s="185"/>
      <c r="H391" s="186"/>
      <c r="I391" s="187"/>
      <c r="J391" s="197">
        <f ca="1">IFERROR(__xludf.DUMMYFUNCTION("IMPORTRANGE(""https://docs.google.com/spreadsheets/d/11923uPwbBZFjjGgGUA6NLw09EwE0CqkOc4q9oUmW1yo/edit?usp=sharing"",""อุทัยธานี!J286"")"),0)</f>
        <v>0</v>
      </c>
      <c r="K391" s="163"/>
      <c r="L391" s="181"/>
      <c r="M391" s="181"/>
      <c r="N391" s="181"/>
      <c r="O391" s="181"/>
      <c r="P391" s="181"/>
    </row>
    <row r="392" spans="1:16" ht="21.75" customHeight="1" x14ac:dyDescent="0.3">
      <c r="A392" s="175"/>
      <c r="B392" s="176"/>
      <c r="C392" s="176"/>
      <c r="D392" s="189">
        <v>2</v>
      </c>
      <c r="E392" s="190" t="s">
        <v>46</v>
      </c>
      <c r="F392" s="191"/>
      <c r="G392" s="192"/>
      <c r="H392" s="186"/>
      <c r="I392" s="187"/>
      <c r="J392" s="188">
        <f ca="1">IFERROR(__xludf.DUMMYFUNCTION("IMPORTRANGE(""https://docs.google.com/spreadsheets/d/11923uPwbBZFjjGgGUA6NLw09EwE0CqkOc4q9oUmW1yo/edit?usp=sharing"",""อุทัยธานี!J287"")"),1)</f>
        <v>1</v>
      </c>
      <c r="K392" s="163"/>
      <c r="L392" s="181" t="s">
        <v>40</v>
      </c>
      <c r="M392" s="181"/>
      <c r="N392" s="181" t="s">
        <v>40</v>
      </c>
      <c r="O392" s="181"/>
      <c r="P392" s="181"/>
    </row>
    <row r="393" spans="1:16" ht="21.75" customHeight="1" x14ac:dyDescent="0.3">
      <c r="A393" s="175"/>
      <c r="B393" s="176"/>
      <c r="C393" s="176"/>
      <c r="D393" s="193"/>
      <c r="E393" s="194" t="s">
        <v>47</v>
      </c>
      <c r="F393" s="195"/>
      <c r="G393" s="196"/>
      <c r="H393" s="186"/>
      <c r="I393" s="187"/>
      <c r="J393" s="188">
        <f ca="1">IFERROR(__xludf.DUMMYFUNCTION("IMPORTRANGE(""https://docs.google.com/spreadsheets/d/11923uPwbBZFjjGgGUA6NLw09EwE0CqkOc4q9oUmW1yo/edit?usp=sharing"",""อุทัยธานี!J288"")"),0)</f>
        <v>0</v>
      </c>
      <c r="K393" s="163"/>
      <c r="L393" s="181"/>
      <c r="M393" s="181"/>
      <c r="N393" s="181"/>
      <c r="O393" s="181"/>
      <c r="P393" s="181"/>
    </row>
    <row r="394" spans="1:16" ht="21.75" customHeight="1" x14ac:dyDescent="0.3">
      <c r="A394" s="175"/>
      <c r="B394" s="176"/>
      <c r="C394" s="176"/>
      <c r="D394" s="193"/>
      <c r="E394" s="194" t="s">
        <v>48</v>
      </c>
      <c r="F394" s="195"/>
      <c r="G394" s="196"/>
      <c r="H394" s="186"/>
      <c r="I394" s="187"/>
      <c r="J394" s="197">
        <f ca="1">IFERROR(__xludf.DUMMYFUNCTION("IMPORTRANGE(""https://docs.google.com/spreadsheets/d/11923uPwbBZFjjGgGUA6NLw09EwE0CqkOc4q9oUmW1yo/edit?usp=sharing"",""อุทัยธานี!J289"")"),0)</f>
        <v>0</v>
      </c>
      <c r="K394" s="163"/>
      <c r="L394" s="181"/>
      <c r="M394" s="181"/>
      <c r="N394" s="181"/>
      <c r="O394" s="181"/>
      <c r="P394" s="181"/>
    </row>
    <row r="395" spans="1:16" ht="21.75" customHeight="1" x14ac:dyDescent="0.3">
      <c r="A395" s="175"/>
      <c r="B395" s="176"/>
      <c r="C395" s="176"/>
      <c r="D395" s="193"/>
      <c r="E395" s="198"/>
      <c r="F395" s="194" t="s">
        <v>146</v>
      </c>
      <c r="G395" s="195"/>
      <c r="H395" s="186"/>
      <c r="I395" s="187"/>
      <c r="J395" s="187"/>
      <c r="K395" s="163"/>
      <c r="L395" s="181"/>
      <c r="M395" s="181"/>
      <c r="N395" s="181"/>
      <c r="O395" s="181"/>
      <c r="P395" s="181"/>
    </row>
    <row r="396" spans="1:16" ht="21.75" customHeight="1" x14ac:dyDescent="0.3">
      <c r="A396" s="175"/>
      <c r="B396" s="176"/>
      <c r="C396" s="176"/>
      <c r="D396" s="193"/>
      <c r="E396" s="198"/>
      <c r="F396" s="195"/>
      <c r="G396" s="291" t="s">
        <v>70</v>
      </c>
      <c r="H396" s="186" t="s">
        <v>37</v>
      </c>
      <c r="I396" s="187">
        <f ca="1">IFERROR(__xludf.DUMMYFUNCTION("IMPORTRANGE(""https://docs.google.com/spreadsheets/d/11923uPwbBZFjjGgGUA6NLw09EwE0CqkOc4q9oUmW1yo/edit?usp=sharing"",""อุทัยธานี!I291"")"),100)</f>
        <v>100</v>
      </c>
      <c r="J396" s="197">
        <f ca="1">IFERROR(__xludf.DUMMYFUNCTION("IMPORTRANGE(""https://docs.google.com/spreadsheets/d/11923uPwbBZFjjGgGUA6NLw09EwE0CqkOc4q9oUmW1yo/edit?usp=sharing"",""อุทัยธานี!J291"")"),100)</f>
        <v>100</v>
      </c>
      <c r="K396" s="163">
        <f t="shared" ref="K396:K398" ca="1" si="110">IF(I396&gt;0,J396*100/I396,0)</f>
        <v>100</v>
      </c>
      <c r="L396" s="181"/>
      <c r="M396" s="181"/>
      <c r="N396" s="181"/>
      <c r="O396" s="181"/>
      <c r="P396" s="181"/>
    </row>
    <row r="397" spans="1:16" ht="21.75" customHeight="1" x14ac:dyDescent="0.3">
      <c r="A397" s="175"/>
      <c r="B397" s="176"/>
      <c r="C397" s="176"/>
      <c r="D397" s="193"/>
      <c r="E397" s="198"/>
      <c r="F397" s="195"/>
      <c r="G397" s="196" t="s">
        <v>53</v>
      </c>
      <c r="H397" s="186" t="s">
        <v>122</v>
      </c>
      <c r="I397" s="187">
        <f ca="1">IFERROR(__xludf.DUMMYFUNCTION("IMPORTRANGE(""https://docs.google.com/spreadsheets/d/11923uPwbBZFjjGgGUA6NLw09EwE0CqkOc4q9oUmW1yo/edit?usp=sharing"",""อุทัยธานี!I292"")"),1000)</f>
        <v>1000</v>
      </c>
      <c r="J397" s="197">
        <f ca="1">IFERROR(__xludf.DUMMYFUNCTION("IMPORTRANGE(""https://docs.google.com/spreadsheets/d/11923uPwbBZFjjGgGUA6NLw09EwE0CqkOc4q9oUmW1yo/edit?usp=sharing"",""อุทัยธานี!J292"")"),0)</f>
        <v>0</v>
      </c>
      <c r="K397" s="163">
        <f t="shared" ca="1" si="110"/>
        <v>0</v>
      </c>
      <c r="L397" s="181"/>
      <c r="M397" s="181"/>
      <c r="N397" s="181"/>
      <c r="O397" s="181"/>
      <c r="P397" s="181"/>
    </row>
    <row r="398" spans="1:16" ht="21.75" customHeight="1" x14ac:dyDescent="0.3">
      <c r="A398" s="175"/>
      <c r="B398" s="176"/>
      <c r="C398" s="176"/>
      <c r="D398" s="193"/>
      <c r="E398" s="198"/>
      <c r="F398" s="195"/>
      <c r="G398" s="196"/>
      <c r="H398" s="186" t="s">
        <v>37</v>
      </c>
      <c r="I398" s="187">
        <f ca="1">IFERROR(__xludf.DUMMYFUNCTION("IMPORTRANGE(""https://docs.google.com/spreadsheets/d/11923uPwbBZFjjGgGUA6NLw09EwE0CqkOc4q9oUmW1yo/edit?usp=sharing"",""อุทัยธานี!I293"")"),100)</f>
        <v>100</v>
      </c>
      <c r="J398" s="197">
        <f ca="1">IFERROR(__xludf.DUMMYFUNCTION("IMPORTRANGE(""https://docs.google.com/spreadsheets/d/11923uPwbBZFjjGgGUA6NLw09EwE0CqkOc4q9oUmW1yo/edit?usp=sharing"",""อุทัยธานี!J293"")"),0)</f>
        <v>0</v>
      </c>
      <c r="K398" s="163">
        <f t="shared" ca="1" si="110"/>
        <v>0</v>
      </c>
      <c r="L398" s="181"/>
      <c r="M398" s="181"/>
      <c r="N398" s="181"/>
      <c r="O398" s="181"/>
      <c r="P398" s="181"/>
    </row>
    <row r="399" spans="1:16" ht="21.75" customHeight="1" x14ac:dyDescent="0.3">
      <c r="A399" s="175"/>
      <c r="B399" s="176"/>
      <c r="C399" s="176"/>
      <c r="D399" s="193"/>
      <c r="E399" s="194" t="s">
        <v>54</v>
      </c>
      <c r="F399" s="195"/>
      <c r="G399" s="196"/>
      <c r="H399" s="186"/>
      <c r="I399" s="187"/>
      <c r="J399" s="197">
        <f ca="1">IFERROR(__xludf.DUMMYFUNCTION("IMPORTRANGE(""https://docs.google.com/spreadsheets/d/11923uPwbBZFjjGgGUA6NLw09EwE0CqkOc4q9oUmW1yo/edit?usp=sharing"",""อุทัยธานี!J294"")"),0)</f>
        <v>0</v>
      </c>
      <c r="K399" s="163"/>
      <c r="L399" s="181"/>
      <c r="M399" s="181"/>
      <c r="N399" s="181"/>
      <c r="O399" s="181"/>
      <c r="P399" s="181"/>
    </row>
    <row r="400" spans="1:16" ht="21.75" customHeight="1" x14ac:dyDescent="0.3">
      <c r="A400" s="175"/>
      <c r="B400" s="176"/>
      <c r="C400" s="176"/>
      <c r="D400" s="205">
        <v>3</v>
      </c>
      <c r="E400" s="206" t="s">
        <v>55</v>
      </c>
      <c r="F400" s="207"/>
      <c r="G400" s="208"/>
      <c r="H400" s="186"/>
      <c r="I400" s="187"/>
      <c r="J400" s="209">
        <f ca="1">IFERROR(__xludf.DUMMYFUNCTION("IMPORTRANGE(""https://docs.google.com/spreadsheets/d/11923uPwbBZFjjGgGUA6NLw09EwE0CqkOc4q9oUmW1yo/edit?usp=sharing"",""อุทัยธานี!J295"")"),0)</f>
        <v>0</v>
      </c>
      <c r="K400" s="163"/>
      <c r="L400" s="181"/>
      <c r="M400" s="181"/>
      <c r="N400" s="181"/>
      <c r="O400" s="181"/>
      <c r="P400" s="181"/>
    </row>
    <row r="401" spans="1:16" ht="21.75" customHeight="1" x14ac:dyDescent="0.3">
      <c r="A401" s="364"/>
      <c r="B401" s="365">
        <v>3</v>
      </c>
      <c r="C401" s="365" t="s">
        <v>147</v>
      </c>
      <c r="D401" s="366"/>
      <c r="E401" s="366"/>
      <c r="F401" s="366"/>
      <c r="G401" s="367"/>
      <c r="H401" s="368" t="s">
        <v>122</v>
      </c>
      <c r="I401" s="369">
        <f ca="1">IFERROR(__xludf.DUMMYFUNCTION("IMPORTRANGE(""https://docs.google.com/spreadsheets/d/11923uPwbBZFjjGgGUA6NLw09EwE0CqkOc4q9oUmW1yo/edit?usp=sharing"",""อุทัยธานี!I296"")"),150)</f>
        <v>150</v>
      </c>
      <c r="J401" s="369">
        <f ca="1">IFERROR(__xludf.DUMMYFUNCTION("IMPORTRANGE(""https://docs.google.com/spreadsheets/d/11923uPwbBZFjjGgGUA6NLw09EwE0CqkOc4q9oUmW1yo/edit?usp=sharing"",""อุทัยธานี!J296"")"),0)</f>
        <v>0</v>
      </c>
      <c r="K401" s="370">
        <f t="shared" ref="K401:K402" ca="1" si="111">IF(I401&gt;0,J401*100/I401,0)</f>
        <v>0</v>
      </c>
      <c r="L401" s="371">
        <f ca="1">IFERROR(__xludf.DUMMYFUNCTION("IMPORTRANGE(""https://docs.google.com/spreadsheets/d/11923uPwbBZFjjGgGUA6NLw09EwE0CqkOc4q9oUmW1yo/edit?usp=sharing"",""อุทัยธานี!L296"")"),177900)</f>
        <v>177900</v>
      </c>
      <c r="M401" s="371"/>
      <c r="N401" s="371">
        <f ca="1">IFERROR(__xludf.DUMMYFUNCTION("IMPORTRANGE(""https://docs.google.com/spreadsheets/d/11923uPwbBZFjjGgGUA6NLw09EwE0CqkOc4q9oUmW1yo/edit?usp=sharing"",""อุทัยธานี!M296"")"),28050)</f>
        <v>28050</v>
      </c>
      <c r="O401" s="371">
        <f ca="1">+IF(L401&gt;0,N401*100/L401,0)</f>
        <v>15.767284991568296</v>
      </c>
      <c r="P401" s="371"/>
    </row>
    <row r="402" spans="1:16" ht="21.75" customHeight="1" x14ac:dyDescent="0.3">
      <c r="A402" s="364"/>
      <c r="B402" s="365"/>
      <c r="C402" s="365"/>
      <c r="D402" s="382"/>
      <c r="E402" s="382"/>
      <c r="F402" s="382"/>
      <c r="G402" s="385"/>
      <c r="H402" s="368" t="s">
        <v>37</v>
      </c>
      <c r="I402" s="369">
        <f ca="1">IFERROR(__xludf.DUMMYFUNCTION("IMPORTRANGE(""https://docs.google.com/spreadsheets/d/11923uPwbBZFjjGgGUA6NLw09EwE0CqkOc4q9oUmW1yo/edit?usp=sharing"",""อุทัยธานี!I297"")"),50)</f>
        <v>50</v>
      </c>
      <c r="J402" s="369">
        <f ca="1">IFERROR(__xludf.DUMMYFUNCTION("IMPORTRANGE(""https://docs.google.com/spreadsheets/d/11923uPwbBZFjjGgGUA6NLw09EwE0CqkOc4q9oUmW1yo/edit?usp=sharing"",""อุทัยธานี!J297"")"),0)</f>
        <v>0</v>
      </c>
      <c r="K402" s="370">
        <f t="shared" ca="1" si="111"/>
        <v>0</v>
      </c>
      <c r="L402" s="371"/>
      <c r="M402" s="371"/>
      <c r="N402" s="371"/>
      <c r="O402" s="371"/>
      <c r="P402" s="371"/>
    </row>
    <row r="403" spans="1:16" ht="21.75" customHeight="1" x14ac:dyDescent="0.3">
      <c r="A403" s="156"/>
      <c r="B403" s="157"/>
      <c r="C403" s="157" t="s">
        <v>16</v>
      </c>
      <c r="D403" s="158" t="s">
        <v>38</v>
      </c>
      <c r="E403" s="159"/>
      <c r="F403" s="159"/>
      <c r="G403" s="160" t="s">
        <v>39</v>
      </c>
      <c r="H403" s="161" t="s">
        <v>12</v>
      </c>
      <c r="I403" s="162" t="s">
        <v>40</v>
      </c>
      <c r="J403" s="162"/>
      <c r="K403" s="163"/>
      <c r="L403" s="164">
        <f ca="1">IFERROR(__xludf.DUMMYFUNCTION("IMPORTRANGE(""https://docs.google.com/spreadsheets/d/11923uPwbBZFjjGgGUA6NLw09EwE0CqkOc4q9oUmW1yo/edit?usp=sharing"",""อุทัยธานี!L298"")"),0)</f>
        <v>0</v>
      </c>
      <c r="M403" s="164"/>
      <c r="N403" s="168">
        <f ca="1">IFERROR(__xludf.DUMMYFUNCTION("IMPORTRANGE(""https://docs.google.com/spreadsheets/d/11923uPwbBZFjjGgGUA6NLw09EwE0CqkOc4q9oUmW1yo/edit?usp=sharing"",""อุทัยธานี!M298"")"),0)</f>
        <v>0</v>
      </c>
      <c r="O403" s="168">
        <f t="shared" ref="O403:O406" ca="1" si="112">+IF(L403&gt;0,N403*100/L403,0)</f>
        <v>0</v>
      </c>
      <c r="P403" s="168"/>
    </row>
    <row r="404" spans="1:16" ht="21.75" customHeight="1" x14ac:dyDescent="0.3">
      <c r="A404" s="156"/>
      <c r="B404" s="157"/>
      <c r="C404" s="157"/>
      <c r="D404" s="166"/>
      <c r="E404" s="159"/>
      <c r="F404" s="159" t="s">
        <v>40</v>
      </c>
      <c r="G404" s="160" t="s">
        <v>41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IFERROR(__xludf.DUMMYFUNCTION("IMPORTRANGE(""https://docs.google.com/spreadsheets/d/11923uPwbBZFjjGgGUA6NLw09EwE0CqkOc4q9oUmW1yo/edit?usp=sharing"",""อุทัยธานี!L299"")"),177900)</f>
        <v>177900</v>
      </c>
      <c r="M404" s="165"/>
      <c r="N404" s="168">
        <f ca="1">IFERROR(__xludf.DUMMYFUNCTION("IMPORTRANGE(""https://docs.google.com/spreadsheets/d/11923uPwbBZFjjGgGUA6NLw09EwE0CqkOc4q9oUmW1yo/edit?usp=sharing"",""อุทัยธานี!M299"")"),28050)</f>
        <v>28050</v>
      </c>
      <c r="O404" s="168">
        <f t="shared" ca="1" si="112"/>
        <v>15.767284991568296</v>
      </c>
      <c r="P404" s="168"/>
    </row>
    <row r="405" spans="1:16" ht="21.75" customHeight="1" x14ac:dyDescent="0.3">
      <c r="A405" s="156"/>
      <c r="B405" s="157"/>
      <c r="C405" s="157"/>
      <c r="D405" s="166"/>
      <c r="E405" s="159"/>
      <c r="F405" s="159"/>
      <c r="G405" s="372" t="s">
        <v>129</v>
      </c>
      <c r="H405" s="161" t="s">
        <v>12</v>
      </c>
      <c r="I405" s="162"/>
      <c r="J405" s="162"/>
      <c r="K405" s="163"/>
      <c r="L405" s="168">
        <f ca="1">IFERROR(__xludf.DUMMYFUNCTION("IMPORTRANGE(""https://docs.google.com/spreadsheets/d/11923uPwbBZFjjGgGUA6NLw09EwE0CqkOc4q9oUmW1yo/edit?usp=sharing"",""อุทัยธานี!L300"")"),0)</f>
        <v>0</v>
      </c>
      <c r="M405" s="168"/>
      <c r="N405" s="168">
        <f ca="1">IFERROR(__xludf.DUMMYFUNCTION("IMPORTRANGE(""https://docs.google.com/spreadsheets/d/11923uPwbBZFjjGgGUA6NLw09EwE0CqkOc4q9oUmW1yo/edit?usp=sharing"",""อุทัยธานี!M300"")"),0)</f>
        <v>0</v>
      </c>
      <c r="O405" s="168">
        <f t="shared" ca="1" si="112"/>
        <v>0</v>
      </c>
      <c r="P405" s="168"/>
    </row>
    <row r="406" spans="1:16" ht="21.75" customHeight="1" x14ac:dyDescent="0.3">
      <c r="A406" s="156"/>
      <c r="B406" s="157"/>
      <c r="C406" s="157"/>
      <c r="D406" s="166"/>
      <c r="E406" s="159"/>
      <c r="F406" s="159"/>
      <c r="G406" s="372" t="s">
        <v>130</v>
      </c>
      <c r="H406" s="161" t="s">
        <v>12</v>
      </c>
      <c r="I406" s="162"/>
      <c r="J406" s="162"/>
      <c r="K406" s="163"/>
      <c r="L406" s="168">
        <f ca="1">IFERROR(__xludf.DUMMYFUNCTION("IMPORTRANGE(""https://docs.google.com/spreadsheets/d/11923uPwbBZFjjGgGUA6NLw09EwE0CqkOc4q9oUmW1yo/edit?usp=sharing"",""อุทัยธานี!L301"")"),177900)</f>
        <v>177900</v>
      </c>
      <c r="M406" s="168"/>
      <c r="N406" s="168">
        <f ca="1">IFERROR(__xludf.DUMMYFUNCTION("IMPORTRANGE(""https://docs.google.com/spreadsheets/d/11923uPwbBZFjjGgGUA6NLw09EwE0CqkOc4q9oUmW1yo/edit?usp=sharing"",""อุทัยธานี!M301"")"),28050)</f>
        <v>28050</v>
      </c>
      <c r="O406" s="168">
        <f t="shared" ca="1" si="112"/>
        <v>15.767284991568296</v>
      </c>
      <c r="P406" s="168"/>
    </row>
    <row r="407" spans="1:16" ht="21.75" customHeight="1" x14ac:dyDescent="0.3">
      <c r="A407" s="373"/>
      <c r="B407" s="374"/>
      <c r="C407" s="157"/>
      <c r="D407" s="375"/>
      <c r="E407" s="159"/>
      <c r="F407" s="159"/>
      <c r="G407" s="376" t="s">
        <v>131</v>
      </c>
      <c r="H407" s="161" t="s">
        <v>12</v>
      </c>
      <c r="I407" s="187"/>
      <c r="J407" s="187"/>
      <c r="K407" s="223"/>
      <c r="L407" s="168"/>
      <c r="M407" s="168"/>
      <c r="N407" s="377">
        <f ca="1">IFERROR(__xludf.DUMMYFUNCTION("IMPORTRANGE(""https://docs.google.com/spreadsheets/d/11923uPwbBZFjjGgGUA6NLw09EwE0CqkOc4q9oUmW1yo/edit?usp=sharing"",""อุทัยธานี!M302"")"),14990)</f>
        <v>14990</v>
      </c>
      <c r="O407" s="168"/>
      <c r="P407" s="168"/>
    </row>
    <row r="408" spans="1:16" ht="21.75" customHeight="1" x14ac:dyDescent="0.3">
      <c r="A408" s="373"/>
      <c r="B408" s="374"/>
      <c r="C408" s="157"/>
      <c r="D408" s="375"/>
      <c r="E408" s="159"/>
      <c r="F408" s="159"/>
      <c r="G408" s="376" t="s">
        <v>132</v>
      </c>
      <c r="H408" s="161" t="s">
        <v>12</v>
      </c>
      <c r="I408" s="187"/>
      <c r="J408" s="187"/>
      <c r="K408" s="223"/>
      <c r="L408" s="168"/>
      <c r="M408" s="168"/>
      <c r="N408" s="377">
        <f ca="1">IFERROR(__xludf.DUMMYFUNCTION("IMPORTRANGE(""https://docs.google.com/spreadsheets/d/11923uPwbBZFjjGgGUA6NLw09EwE0CqkOc4q9oUmW1yo/edit?usp=sharing"",""อุทัยธานี!M303"")"),0)</f>
        <v>0</v>
      </c>
      <c r="O408" s="168"/>
      <c r="P408" s="168"/>
    </row>
    <row r="409" spans="1:16" ht="21.75" customHeight="1" x14ac:dyDescent="0.3">
      <c r="A409" s="373"/>
      <c r="B409" s="374"/>
      <c r="C409" s="157"/>
      <c r="D409" s="375"/>
      <c r="E409" s="159"/>
      <c r="F409" s="159"/>
      <c r="G409" s="376" t="s">
        <v>133</v>
      </c>
      <c r="H409" s="161" t="s">
        <v>12</v>
      </c>
      <c r="I409" s="187"/>
      <c r="J409" s="187"/>
      <c r="K409" s="223"/>
      <c r="L409" s="168"/>
      <c r="M409" s="168"/>
      <c r="N409" s="377">
        <f ca="1">IFERROR(__xludf.DUMMYFUNCTION("IMPORTRANGE(""https://docs.google.com/spreadsheets/d/11923uPwbBZFjjGgGUA6NLw09EwE0CqkOc4q9oUmW1yo/edit?usp=sharing"",""อุทัยธานี!M304"")"),0)</f>
        <v>0</v>
      </c>
      <c r="O409" s="168"/>
      <c r="P409" s="168"/>
    </row>
    <row r="410" spans="1:16" ht="21.75" customHeight="1" x14ac:dyDescent="0.3">
      <c r="A410" s="373"/>
      <c r="B410" s="374"/>
      <c r="C410" s="157"/>
      <c r="D410" s="375"/>
      <c r="E410" s="159"/>
      <c r="F410" s="159"/>
      <c r="G410" s="376" t="s">
        <v>134</v>
      </c>
      <c r="H410" s="161" t="s">
        <v>12</v>
      </c>
      <c r="I410" s="187"/>
      <c r="J410" s="187"/>
      <c r="K410" s="223"/>
      <c r="L410" s="168"/>
      <c r="M410" s="168"/>
      <c r="N410" s="377">
        <f ca="1">IFERROR(__xludf.DUMMYFUNCTION("IMPORTRANGE(""https://docs.google.com/spreadsheets/d/11923uPwbBZFjjGgGUA6NLw09EwE0CqkOc4q9oUmW1yo/edit?usp=sharing"",""อุทัยธานี!M305"")"),13060)</f>
        <v>13060</v>
      </c>
      <c r="O410" s="168"/>
      <c r="P410" s="168"/>
    </row>
    <row r="411" spans="1:16" ht="21.75" customHeight="1" x14ac:dyDescent="0.3">
      <c r="A411" s="175"/>
      <c r="B411" s="176"/>
      <c r="C411" s="157" t="s">
        <v>16</v>
      </c>
      <c r="D411" s="177" t="s">
        <v>44</v>
      </c>
      <c r="E411" s="178"/>
      <c r="F411" s="178"/>
      <c r="G411" s="179"/>
      <c r="H411" s="180"/>
      <c r="I411" s="162"/>
      <c r="J411" s="162"/>
      <c r="K411" s="163"/>
      <c r="L411" s="181"/>
      <c r="M411" s="181"/>
      <c r="N411" s="181"/>
      <c r="O411" s="181"/>
      <c r="P411" s="181"/>
    </row>
    <row r="412" spans="1:16" ht="21.75" customHeight="1" x14ac:dyDescent="0.3">
      <c r="A412" s="175"/>
      <c r="B412" s="176"/>
      <c r="C412" s="176"/>
      <c r="D412" s="182">
        <v>1</v>
      </c>
      <c r="E412" s="183" t="s">
        <v>45</v>
      </c>
      <c r="F412" s="184"/>
      <c r="G412" s="185"/>
      <c r="H412" s="186"/>
      <c r="I412" s="187"/>
      <c r="J412" s="197">
        <f ca="1">IFERROR(__xludf.DUMMYFUNCTION("IMPORTRANGE(""https://docs.google.com/spreadsheets/d/11923uPwbBZFjjGgGUA6NLw09EwE0CqkOc4q9oUmW1yo/edit?usp=sharing"",""อุทัยธานี!J307"")"),0)</f>
        <v>0</v>
      </c>
      <c r="K412" s="163"/>
      <c r="L412" s="181"/>
      <c r="M412" s="181"/>
      <c r="N412" s="181"/>
      <c r="O412" s="181"/>
      <c r="P412" s="181"/>
    </row>
    <row r="413" spans="1:16" ht="21.75" customHeight="1" x14ac:dyDescent="0.3">
      <c r="A413" s="175"/>
      <c r="B413" s="176"/>
      <c r="C413" s="176"/>
      <c r="D413" s="189">
        <v>2</v>
      </c>
      <c r="E413" s="190" t="s">
        <v>46</v>
      </c>
      <c r="F413" s="191"/>
      <c r="G413" s="192"/>
      <c r="H413" s="186"/>
      <c r="I413" s="187"/>
      <c r="J413" s="188">
        <f ca="1">IFERROR(__xludf.DUMMYFUNCTION("IMPORTRANGE(""https://docs.google.com/spreadsheets/d/11923uPwbBZFjjGgGUA6NLw09EwE0CqkOc4q9oUmW1yo/edit?usp=sharing"",""อุทัยธานี!J308"")"),1)</f>
        <v>1</v>
      </c>
      <c r="K413" s="163"/>
      <c r="L413" s="181" t="s">
        <v>40</v>
      </c>
      <c r="M413" s="181"/>
      <c r="N413" s="181" t="s">
        <v>40</v>
      </c>
      <c r="O413" s="181"/>
      <c r="P413" s="181"/>
    </row>
    <row r="414" spans="1:16" ht="21.75" customHeight="1" x14ac:dyDescent="0.3">
      <c r="A414" s="175"/>
      <c r="B414" s="176"/>
      <c r="C414" s="176"/>
      <c r="D414" s="193"/>
      <c r="E414" s="194" t="s">
        <v>47</v>
      </c>
      <c r="F414" s="195"/>
      <c r="G414" s="196"/>
      <c r="H414" s="186"/>
      <c r="I414" s="187"/>
      <c r="J414" s="188">
        <f ca="1">IFERROR(__xludf.DUMMYFUNCTION("IMPORTRANGE(""https://docs.google.com/spreadsheets/d/11923uPwbBZFjjGgGUA6NLw09EwE0CqkOc4q9oUmW1yo/edit?usp=sharing"",""อุทัยธานี!J309"")"),0)</f>
        <v>0</v>
      </c>
      <c r="K414" s="163"/>
      <c r="L414" s="181"/>
      <c r="M414" s="181"/>
      <c r="N414" s="181"/>
      <c r="O414" s="181"/>
      <c r="P414" s="181"/>
    </row>
    <row r="415" spans="1:16" ht="21.75" customHeight="1" x14ac:dyDescent="0.3">
      <c r="A415" s="175"/>
      <c r="B415" s="176"/>
      <c r="C415" s="176"/>
      <c r="D415" s="193"/>
      <c r="E415" s="194" t="s">
        <v>48</v>
      </c>
      <c r="F415" s="195"/>
      <c r="G415" s="196"/>
      <c r="H415" s="186"/>
      <c r="I415" s="187"/>
      <c r="J415" s="197">
        <f ca="1">IFERROR(__xludf.DUMMYFUNCTION("IMPORTRANGE(""https://docs.google.com/spreadsheets/d/11923uPwbBZFjjGgGUA6NLw09EwE0CqkOc4q9oUmW1yo/edit?usp=sharing"",""อุทัยธานี!J310"")"),0)</f>
        <v>0</v>
      </c>
      <c r="K415" s="163"/>
      <c r="L415" s="181"/>
      <c r="M415" s="181"/>
      <c r="N415" s="181"/>
      <c r="O415" s="181"/>
      <c r="P415" s="181"/>
    </row>
    <row r="416" spans="1:16" ht="21.75" customHeight="1" x14ac:dyDescent="0.3">
      <c r="A416" s="175"/>
      <c r="B416" s="176"/>
      <c r="C416" s="176"/>
      <c r="D416" s="193"/>
      <c r="E416" s="198"/>
      <c r="F416" s="194" t="s">
        <v>70</v>
      </c>
      <c r="G416" s="386"/>
      <c r="H416" s="387" t="s">
        <v>37</v>
      </c>
      <c r="I416" s="200">
        <f ca="1">IFERROR(__xludf.DUMMYFUNCTION("IMPORTRANGE(""https://docs.google.com/spreadsheets/d/11923uPwbBZFjjGgGUA6NLw09EwE0CqkOc4q9oUmW1yo/edit?usp=sharing"",""อุทัยธานี!I311"")"),50)</f>
        <v>50</v>
      </c>
      <c r="J416" s="200">
        <f ca="1">IFERROR(__xludf.DUMMYFUNCTION("IMPORTRANGE(""https://docs.google.com/spreadsheets/d/11923uPwbBZFjjGgGUA6NLw09EwE0CqkOc4q9oUmW1yo/edit?usp=sharing"",""อุทัยธานี!J311"")"),0)</f>
        <v>0</v>
      </c>
      <c r="K416" s="201">
        <f t="shared" ref="K416:K432" ca="1" si="113">IF(I416&gt;0,J416*100/I416,0)</f>
        <v>0</v>
      </c>
      <c r="L416" s="181"/>
      <c r="M416" s="181"/>
      <c r="N416" s="181"/>
      <c r="O416" s="181"/>
      <c r="P416" s="181"/>
    </row>
    <row r="417" spans="1:16" ht="21.75" customHeight="1" x14ac:dyDescent="0.45">
      <c r="A417" s="175"/>
      <c r="B417" s="176"/>
      <c r="C417" s="176"/>
      <c r="D417" s="193"/>
      <c r="E417" s="198"/>
      <c r="F417" s="388" t="s">
        <v>148</v>
      </c>
      <c r="G417" s="196"/>
      <c r="H417" s="199" t="s">
        <v>37</v>
      </c>
      <c r="I417" s="389">
        <f ca="1">IFERROR(__xludf.DUMMYFUNCTION("IMPORTRANGE(""https://docs.google.com/spreadsheets/d/11923uPwbBZFjjGgGUA6NLw09EwE0CqkOc4q9oUmW1yo/edit?usp=sharing"",""อุทัยธานี!I312"")"),20)</f>
        <v>20</v>
      </c>
      <c r="J417" s="390">
        <f ca="1">IFERROR(__xludf.DUMMYFUNCTION("IMPORTRANGE(""https://docs.google.com/spreadsheets/d/11923uPwbBZFjjGgGUA6NLw09EwE0CqkOc4q9oUmW1yo/edit?usp=sharing"",""อุทัยธานี!J312"")"),0)</f>
        <v>0</v>
      </c>
      <c r="K417" s="201">
        <f t="shared" ca="1" si="113"/>
        <v>0</v>
      </c>
      <c r="L417" s="181"/>
      <c r="M417" s="181"/>
      <c r="N417" s="181"/>
      <c r="O417" s="181"/>
      <c r="P417" s="181"/>
    </row>
    <row r="418" spans="1:16" ht="21.75" customHeight="1" x14ac:dyDescent="0.45">
      <c r="A418" s="175"/>
      <c r="B418" s="176"/>
      <c r="C418" s="176"/>
      <c r="D418" s="193"/>
      <c r="E418" s="198"/>
      <c r="F418" s="195"/>
      <c r="G418" s="196"/>
      <c r="H418" s="199" t="s">
        <v>122</v>
      </c>
      <c r="I418" s="389">
        <f ca="1">IFERROR(__xludf.DUMMYFUNCTION("IMPORTRANGE(""https://docs.google.com/spreadsheets/d/11923uPwbBZFjjGgGUA6NLw09EwE0CqkOc4q9oUmW1yo/edit?usp=sharing"",""อุทัยธานี!I313"")"),60)</f>
        <v>60</v>
      </c>
      <c r="J418" s="391">
        <f ca="1">IFERROR(__xludf.DUMMYFUNCTION("IMPORTRANGE(""https://docs.google.com/spreadsheets/d/11923uPwbBZFjjGgGUA6NLw09EwE0CqkOc4q9oUmW1yo/edit?usp=sharing"",""อุทัยธานี!J313"")"),0)</f>
        <v>0</v>
      </c>
      <c r="K418" s="201">
        <f t="shared" ca="1" si="113"/>
        <v>0</v>
      </c>
      <c r="L418" s="181"/>
      <c r="M418" s="181"/>
      <c r="N418" s="181"/>
      <c r="O418" s="181"/>
      <c r="P418" s="181"/>
    </row>
    <row r="419" spans="1:16" ht="21.75" customHeight="1" x14ac:dyDescent="0.45">
      <c r="A419" s="175"/>
      <c r="B419" s="176"/>
      <c r="C419" s="176"/>
      <c r="D419" s="193"/>
      <c r="E419" s="198"/>
      <c r="F419" s="195"/>
      <c r="G419" s="225" t="s">
        <v>149</v>
      </c>
      <c r="H419" s="180" t="s">
        <v>37</v>
      </c>
      <c r="I419" s="339">
        <f ca="1">IFERROR(__xludf.DUMMYFUNCTION("IMPORTRANGE(""https://docs.google.com/spreadsheets/d/11923uPwbBZFjjGgGUA6NLw09EwE0CqkOc4q9oUmW1yo/edit?usp=sharing"",""อุทัยธานี!I314"")"),20)</f>
        <v>20</v>
      </c>
      <c r="J419" s="392">
        <f ca="1">IFERROR(__xludf.DUMMYFUNCTION("IMPORTRANGE(""https://docs.google.com/spreadsheets/d/11923uPwbBZFjjGgGUA6NLw09EwE0CqkOc4q9oUmW1yo/edit?usp=sharing"",""อุทัยธานี!J314"")"),0)</f>
        <v>0</v>
      </c>
      <c r="K419" s="163">
        <f t="shared" ca="1" si="113"/>
        <v>0</v>
      </c>
      <c r="L419" s="181"/>
      <c r="M419" s="181"/>
      <c r="N419" s="181"/>
      <c r="O419" s="181"/>
      <c r="P419" s="181"/>
    </row>
    <row r="420" spans="1:16" ht="21.75" customHeight="1" x14ac:dyDescent="0.45">
      <c r="A420" s="233"/>
      <c r="B420" s="234"/>
      <c r="C420" s="234"/>
      <c r="D420" s="393"/>
      <c r="E420" s="394"/>
      <c r="F420" s="345"/>
      <c r="G420" s="395" t="s">
        <v>150</v>
      </c>
      <c r="H420" s="347" t="s">
        <v>37</v>
      </c>
      <c r="I420" s="396">
        <f ca="1">IFERROR(__xludf.DUMMYFUNCTION("IMPORTRANGE(""https://docs.google.com/spreadsheets/d/11923uPwbBZFjjGgGUA6NLw09EwE0CqkOc4q9oUmW1yo/edit?usp=sharing"",""อุทัยธานี!I315"")"),20)</f>
        <v>20</v>
      </c>
      <c r="J420" s="392">
        <f ca="1">IFERROR(__xludf.DUMMYFUNCTION("IMPORTRANGE(""https://docs.google.com/spreadsheets/d/11923uPwbBZFjjGgGUA6NLw09EwE0CqkOc4q9oUmW1yo/edit?usp=sharing"",""อุทัยธานี!J315"")"),20)</f>
        <v>20</v>
      </c>
      <c r="K420" s="286">
        <f t="shared" ca="1" si="113"/>
        <v>100</v>
      </c>
      <c r="L420" s="244"/>
      <c r="M420" s="244"/>
      <c r="N420" s="244"/>
      <c r="O420" s="244"/>
      <c r="P420" s="244"/>
    </row>
    <row r="421" spans="1:16" ht="21.75" customHeight="1" x14ac:dyDescent="0.45">
      <c r="A421" s="175"/>
      <c r="B421" s="176"/>
      <c r="C421" s="176"/>
      <c r="D421" s="193"/>
      <c r="E421" s="198"/>
      <c r="F421" s="388" t="s">
        <v>151</v>
      </c>
      <c r="G421" s="196"/>
      <c r="H421" s="199" t="s">
        <v>37</v>
      </c>
      <c r="I421" s="389">
        <f ca="1">IFERROR(__xludf.DUMMYFUNCTION("IMPORTRANGE(""https://docs.google.com/spreadsheets/d/11923uPwbBZFjjGgGUA6NLw09EwE0CqkOc4q9oUmW1yo/edit?usp=sharing"",""อุทัยธานี!I316"")"),20)</f>
        <v>20</v>
      </c>
      <c r="J421" s="390">
        <f ca="1">IFERROR(__xludf.DUMMYFUNCTION("IMPORTRANGE(""https://docs.google.com/spreadsheets/d/11923uPwbBZFjjGgGUA6NLw09EwE0CqkOc4q9oUmW1yo/edit?usp=sharing"",""อุทัยธานี!J316"")"),0)</f>
        <v>0</v>
      </c>
      <c r="K421" s="201">
        <f t="shared" ca="1" si="113"/>
        <v>0</v>
      </c>
      <c r="L421" s="181"/>
      <c r="M421" s="181"/>
      <c r="N421" s="181"/>
      <c r="O421" s="181"/>
      <c r="P421" s="181"/>
    </row>
    <row r="422" spans="1:16" ht="21.75" customHeight="1" x14ac:dyDescent="0.45">
      <c r="A422" s="175"/>
      <c r="B422" s="176"/>
      <c r="C422" s="176"/>
      <c r="D422" s="193"/>
      <c r="E422" s="198"/>
      <c r="F422" s="195"/>
      <c r="G422" s="196"/>
      <c r="H422" s="199" t="s">
        <v>122</v>
      </c>
      <c r="I422" s="389">
        <f ca="1">IFERROR(__xludf.DUMMYFUNCTION("IMPORTRANGE(""https://docs.google.com/spreadsheets/d/11923uPwbBZFjjGgGUA6NLw09EwE0CqkOc4q9oUmW1yo/edit?usp=sharing"",""อุทัยธานี!I317"")"),60)</f>
        <v>60</v>
      </c>
      <c r="J422" s="391">
        <f ca="1">IFERROR(__xludf.DUMMYFUNCTION("IMPORTRANGE(""https://docs.google.com/spreadsheets/d/11923uPwbBZFjjGgGUA6NLw09EwE0CqkOc4q9oUmW1yo/edit?usp=sharing"",""อุทัยธานี!J317"")"),0)</f>
        <v>0</v>
      </c>
      <c r="K422" s="201">
        <f t="shared" ca="1" si="113"/>
        <v>0</v>
      </c>
      <c r="L422" s="181"/>
      <c r="M422" s="181"/>
      <c r="N422" s="181"/>
      <c r="O422" s="181"/>
      <c r="P422" s="181"/>
    </row>
    <row r="423" spans="1:16" ht="21.75" customHeight="1" x14ac:dyDescent="0.45">
      <c r="A423" s="175"/>
      <c r="B423" s="176"/>
      <c r="C423" s="176"/>
      <c r="D423" s="193"/>
      <c r="E423" s="198"/>
      <c r="F423" s="195"/>
      <c r="G423" s="225" t="s">
        <v>152</v>
      </c>
      <c r="H423" s="180" t="s">
        <v>37</v>
      </c>
      <c r="I423" s="339">
        <f ca="1">IFERROR(__xludf.DUMMYFUNCTION("IMPORTRANGE(""https://docs.google.com/spreadsheets/d/11923uPwbBZFjjGgGUA6NLw09EwE0CqkOc4q9oUmW1yo/edit?usp=sharing"",""อุทัยธานี!I318"")"),20)</f>
        <v>20</v>
      </c>
      <c r="J423" s="392">
        <f ca="1">IFERROR(__xludf.DUMMYFUNCTION("IMPORTRANGE(""https://docs.google.com/spreadsheets/d/11923uPwbBZFjjGgGUA6NLw09EwE0CqkOc4q9oUmW1yo/edit?usp=sharing"",""อุทัยธานี!J318"")"),0)</f>
        <v>0</v>
      </c>
      <c r="K423" s="163">
        <f t="shared" ca="1" si="113"/>
        <v>0</v>
      </c>
      <c r="L423" s="181"/>
      <c r="M423" s="181"/>
      <c r="N423" s="181"/>
      <c r="O423" s="181"/>
      <c r="P423" s="181"/>
    </row>
    <row r="424" spans="1:16" ht="21.75" customHeight="1" x14ac:dyDescent="0.45">
      <c r="A424" s="175"/>
      <c r="B424" s="176"/>
      <c r="C424" s="176"/>
      <c r="D424" s="193"/>
      <c r="E424" s="198"/>
      <c r="F424" s="195"/>
      <c r="G424" s="225" t="s">
        <v>153</v>
      </c>
      <c r="H424" s="180" t="s">
        <v>37</v>
      </c>
      <c r="I424" s="339">
        <f ca="1">IFERROR(__xludf.DUMMYFUNCTION("IMPORTRANGE(""https://docs.google.com/spreadsheets/d/11923uPwbBZFjjGgGUA6NLw09EwE0CqkOc4q9oUmW1yo/edit?usp=sharing"",""อุทัยธานี!I319"")"),20)</f>
        <v>20</v>
      </c>
      <c r="J424" s="392">
        <f ca="1">IFERROR(__xludf.DUMMYFUNCTION("IMPORTRANGE(""https://docs.google.com/spreadsheets/d/11923uPwbBZFjjGgGUA6NLw09EwE0CqkOc4q9oUmW1yo/edit?usp=sharing"",""อุทัยธานี!J319"")"),0)</f>
        <v>0</v>
      </c>
      <c r="K424" s="163">
        <f t="shared" ca="1" si="113"/>
        <v>0</v>
      </c>
      <c r="L424" s="181"/>
      <c r="M424" s="181"/>
      <c r="N424" s="181"/>
      <c r="O424" s="181"/>
      <c r="P424" s="181"/>
    </row>
    <row r="425" spans="1:16" ht="21.75" customHeight="1" x14ac:dyDescent="0.45">
      <c r="A425" s="175"/>
      <c r="B425" s="176"/>
      <c r="C425" s="176"/>
      <c r="D425" s="193"/>
      <c r="E425" s="198"/>
      <c r="F425" s="195"/>
      <c r="G425" s="225" t="s">
        <v>154</v>
      </c>
      <c r="H425" s="180" t="s">
        <v>37</v>
      </c>
      <c r="I425" s="339">
        <f ca="1">IFERROR(__xludf.DUMMYFUNCTION("IMPORTRANGE(""https://docs.google.com/spreadsheets/d/11923uPwbBZFjjGgGUA6NLw09EwE0CqkOc4q9oUmW1yo/edit?usp=sharing"",""อุทัยธานี!I320"")"),20)</f>
        <v>20</v>
      </c>
      <c r="J425" s="392">
        <f ca="1">IFERROR(__xludf.DUMMYFUNCTION("IMPORTRANGE(""https://docs.google.com/spreadsheets/d/11923uPwbBZFjjGgGUA6NLw09EwE0CqkOc4q9oUmW1yo/edit?usp=sharing"",""อุทัยธานี!J320"")"),0)</f>
        <v>0</v>
      </c>
      <c r="K425" s="163">
        <f t="shared" ca="1" si="113"/>
        <v>0</v>
      </c>
      <c r="L425" s="181"/>
      <c r="M425" s="181"/>
      <c r="N425" s="181"/>
      <c r="O425" s="181"/>
      <c r="P425" s="181"/>
    </row>
    <row r="426" spans="1:16" ht="21.75" customHeight="1" x14ac:dyDescent="0.45">
      <c r="A426" s="175"/>
      <c r="B426" s="176"/>
      <c r="C426" s="176"/>
      <c r="D426" s="193"/>
      <c r="E426" s="198"/>
      <c r="F426" s="397" t="s">
        <v>155</v>
      </c>
      <c r="G426" s="196"/>
      <c r="H426" s="199" t="s">
        <v>37</v>
      </c>
      <c r="I426" s="389">
        <f ca="1">IFERROR(__xludf.DUMMYFUNCTION("IMPORTRANGE(""https://docs.google.com/spreadsheets/d/11923uPwbBZFjjGgGUA6NLw09EwE0CqkOc4q9oUmW1yo/edit?usp=sharing"",""อุทัยธานี!I321"")"),10)</f>
        <v>10</v>
      </c>
      <c r="J426" s="390">
        <f ca="1">IFERROR(__xludf.DUMMYFUNCTION("IMPORTRANGE(""https://docs.google.com/spreadsheets/d/11923uPwbBZFjjGgGUA6NLw09EwE0CqkOc4q9oUmW1yo/edit?usp=sharing"",""อุทัยธานี!J321"")"),0)</f>
        <v>0</v>
      </c>
      <c r="K426" s="201">
        <f t="shared" ca="1" si="113"/>
        <v>0</v>
      </c>
      <c r="L426" s="181"/>
      <c r="M426" s="181"/>
      <c r="N426" s="181"/>
      <c r="O426" s="181"/>
      <c r="P426" s="181"/>
    </row>
    <row r="427" spans="1:16" ht="21.75" customHeight="1" x14ac:dyDescent="0.45">
      <c r="A427" s="175"/>
      <c r="B427" s="176"/>
      <c r="C427" s="176"/>
      <c r="D427" s="193"/>
      <c r="E427" s="198"/>
      <c r="F427" s="195"/>
      <c r="G427" s="196"/>
      <c r="H427" s="199" t="s">
        <v>122</v>
      </c>
      <c r="I427" s="389">
        <f ca="1">IFERROR(__xludf.DUMMYFUNCTION("IMPORTRANGE(""https://docs.google.com/spreadsheets/d/11923uPwbBZFjjGgGUA6NLw09EwE0CqkOc4q9oUmW1yo/edit?usp=sharing"",""อุทัยธานี!I322"")"),30)</f>
        <v>30</v>
      </c>
      <c r="J427" s="391">
        <f ca="1">IFERROR(__xludf.DUMMYFUNCTION("IMPORTRANGE(""https://docs.google.com/spreadsheets/d/11923uPwbBZFjjGgGUA6NLw09EwE0CqkOc4q9oUmW1yo/edit?usp=sharing"",""อุทัยธานี!J322"")"),0)</f>
        <v>0</v>
      </c>
      <c r="K427" s="201">
        <f t="shared" ca="1" si="113"/>
        <v>0</v>
      </c>
      <c r="L427" s="181"/>
      <c r="M427" s="181"/>
      <c r="N427" s="181"/>
      <c r="O427" s="181"/>
      <c r="P427" s="181"/>
    </row>
    <row r="428" spans="1:16" ht="21.75" customHeight="1" x14ac:dyDescent="0.45">
      <c r="A428" s="175"/>
      <c r="B428" s="176"/>
      <c r="C428" s="176"/>
      <c r="D428" s="193"/>
      <c r="E428" s="198"/>
      <c r="F428" s="195"/>
      <c r="G428" s="225" t="s">
        <v>156</v>
      </c>
      <c r="H428" s="180" t="s">
        <v>37</v>
      </c>
      <c r="I428" s="398">
        <f ca="1">IFERROR(__xludf.DUMMYFUNCTION("IMPORTRANGE(""https://docs.google.com/spreadsheets/d/11923uPwbBZFjjGgGUA6NLw09EwE0CqkOc4q9oUmW1yo/edit?usp=sharing"",""อุทัยธานี!I323"")"),10)</f>
        <v>10</v>
      </c>
      <c r="J428" s="392">
        <f ca="1">IFERROR(__xludf.DUMMYFUNCTION("IMPORTRANGE(""https://docs.google.com/spreadsheets/d/11923uPwbBZFjjGgGUA6NLw09EwE0CqkOc4q9oUmW1yo/edit?usp=sharing"",""อุทัยธานี!J323"")"),10)</f>
        <v>10</v>
      </c>
      <c r="K428" s="163">
        <f t="shared" ca="1" si="113"/>
        <v>100</v>
      </c>
      <c r="L428" s="181"/>
      <c r="M428" s="181"/>
      <c r="N428" s="181"/>
      <c r="O428" s="181"/>
      <c r="P428" s="181"/>
    </row>
    <row r="429" spans="1:16" ht="21.75" customHeight="1" x14ac:dyDescent="0.45">
      <c r="A429" s="175"/>
      <c r="B429" s="176"/>
      <c r="C429" s="176"/>
      <c r="D429" s="193"/>
      <c r="E429" s="198"/>
      <c r="F429" s="195"/>
      <c r="G429" s="225" t="s">
        <v>157</v>
      </c>
      <c r="H429" s="180" t="s">
        <v>37</v>
      </c>
      <c r="I429" s="398">
        <f ca="1">IFERROR(__xludf.DUMMYFUNCTION("IMPORTRANGE(""https://docs.google.com/spreadsheets/d/11923uPwbBZFjjGgGUA6NLw09EwE0CqkOc4q9oUmW1yo/edit?usp=sharing"",""อุทัยธานี!I324"")"),10)</f>
        <v>10</v>
      </c>
      <c r="J429" s="392">
        <f ca="1">IFERROR(__xludf.DUMMYFUNCTION("IMPORTRANGE(""https://docs.google.com/spreadsheets/d/11923uPwbBZFjjGgGUA6NLw09EwE0CqkOc4q9oUmW1yo/edit?usp=sharing"",""อุทัยธานี!J324"")"),0)</f>
        <v>0</v>
      </c>
      <c r="K429" s="163">
        <f t="shared" ca="1" si="113"/>
        <v>0</v>
      </c>
      <c r="L429" s="181"/>
      <c r="M429" s="181"/>
      <c r="N429" s="181"/>
      <c r="O429" s="181"/>
      <c r="P429" s="181"/>
    </row>
    <row r="430" spans="1:16" ht="21.75" customHeight="1" x14ac:dyDescent="0.45">
      <c r="A430" s="175"/>
      <c r="B430" s="176"/>
      <c r="C430" s="176"/>
      <c r="D430" s="193"/>
      <c r="E430" s="198"/>
      <c r="F430" s="194" t="s">
        <v>53</v>
      </c>
      <c r="G430" s="386"/>
      <c r="H430" s="399" t="s">
        <v>37</v>
      </c>
      <c r="I430" s="200">
        <f ca="1">IFERROR(__xludf.DUMMYFUNCTION("IMPORTRANGE(""https://docs.google.com/spreadsheets/d/11923uPwbBZFjjGgGUA6NLw09EwE0CqkOc4q9oUmW1yo/edit?usp=sharing"",""อุทัยธานี!I325"")"),40)</f>
        <v>40</v>
      </c>
      <c r="J430" s="390">
        <f ca="1">IFERROR(__xludf.DUMMYFUNCTION("IMPORTRANGE(""https://docs.google.com/spreadsheets/d/11923uPwbBZFjjGgGUA6NLw09EwE0CqkOc4q9oUmW1yo/edit?usp=sharing"",""อุทัยธานี!J325"")"),0)</f>
        <v>0</v>
      </c>
      <c r="K430" s="201">
        <f t="shared" ca="1" si="113"/>
        <v>0</v>
      </c>
      <c r="L430" s="181"/>
      <c r="M430" s="181"/>
      <c r="N430" s="181"/>
      <c r="O430" s="181"/>
      <c r="P430" s="181"/>
    </row>
    <row r="431" spans="1:16" ht="21.75" customHeight="1" x14ac:dyDescent="0.45">
      <c r="A431" s="400"/>
      <c r="B431" s="401"/>
      <c r="C431" s="401"/>
      <c r="D431" s="402"/>
      <c r="E431" s="198"/>
      <c r="F431" s="195"/>
      <c r="G431" s="225" t="s">
        <v>158</v>
      </c>
      <c r="H431" s="180" t="s">
        <v>37</v>
      </c>
      <c r="I431" s="398">
        <f ca="1">IFERROR(__xludf.DUMMYFUNCTION("IMPORTRANGE(""https://docs.google.com/spreadsheets/d/11923uPwbBZFjjGgGUA6NLw09EwE0CqkOc4q9oUmW1yo/edit?usp=sharing"",""อุทัยธานี!I326"")"),20)</f>
        <v>20</v>
      </c>
      <c r="J431" s="392">
        <f ca="1">IFERROR(__xludf.DUMMYFUNCTION("IMPORTRANGE(""https://docs.google.com/spreadsheets/d/11923uPwbBZFjjGgGUA6NLw09EwE0CqkOc4q9oUmW1yo/edit?usp=sharing"",""อุทัยธานี!J326"")"),0)</f>
        <v>0</v>
      </c>
      <c r="K431" s="163">
        <f t="shared" ca="1" si="113"/>
        <v>0</v>
      </c>
      <c r="L431" s="181"/>
      <c r="M431" s="181"/>
      <c r="N431" s="181"/>
      <c r="O431" s="181"/>
      <c r="P431" s="181"/>
    </row>
    <row r="432" spans="1:16" ht="21.75" customHeight="1" x14ac:dyDescent="0.45">
      <c r="A432" s="400"/>
      <c r="B432" s="401"/>
      <c r="C432" s="401"/>
      <c r="D432" s="402"/>
      <c r="E432" s="198"/>
      <c r="F432" s="195"/>
      <c r="G432" s="225" t="s">
        <v>159</v>
      </c>
      <c r="H432" s="180" t="s">
        <v>37</v>
      </c>
      <c r="I432" s="398">
        <f ca="1">IFERROR(__xludf.DUMMYFUNCTION("IMPORTRANGE(""https://docs.google.com/spreadsheets/d/11923uPwbBZFjjGgGUA6NLw09EwE0CqkOc4q9oUmW1yo/edit?usp=sharing"",""อุทัยธานี!I327"")"),20)</f>
        <v>20</v>
      </c>
      <c r="J432" s="392">
        <f ca="1">IFERROR(__xludf.DUMMYFUNCTION("IMPORTRANGE(""https://docs.google.com/spreadsheets/d/11923uPwbBZFjjGgGUA6NLw09EwE0CqkOc4q9oUmW1yo/edit?usp=sharing"",""อุทัยธานี!J327"")"),0)</f>
        <v>0</v>
      </c>
      <c r="K432" s="163">
        <f t="shared" ca="1" si="113"/>
        <v>0</v>
      </c>
      <c r="L432" s="181"/>
      <c r="M432" s="181"/>
      <c r="N432" s="181"/>
      <c r="O432" s="181"/>
      <c r="P432" s="181"/>
    </row>
    <row r="433" spans="1:16" ht="21.75" customHeight="1" x14ac:dyDescent="0.3">
      <c r="A433" s="175"/>
      <c r="B433" s="176"/>
      <c r="C433" s="176"/>
      <c r="D433" s="193"/>
      <c r="E433" s="194" t="s">
        <v>54</v>
      </c>
      <c r="F433" s="195"/>
      <c r="G433" s="196"/>
      <c r="H433" s="186"/>
      <c r="I433" s="187"/>
      <c r="J433" s="197">
        <f ca="1">IFERROR(__xludf.DUMMYFUNCTION("IMPORTRANGE(""https://docs.google.com/spreadsheets/d/11923uPwbBZFjjGgGUA6NLw09EwE0CqkOc4q9oUmW1yo/edit?usp=sharing"",""อุทัยธานี!J328"")"),0)</f>
        <v>0</v>
      </c>
      <c r="K433" s="163"/>
      <c r="L433" s="181"/>
      <c r="M433" s="181"/>
      <c r="N433" s="181"/>
      <c r="O433" s="181"/>
      <c r="P433" s="181"/>
    </row>
    <row r="434" spans="1:16" ht="21.75" customHeight="1" x14ac:dyDescent="0.3">
      <c r="A434" s="175"/>
      <c r="B434" s="176"/>
      <c r="C434" s="176"/>
      <c r="D434" s="205">
        <v>3</v>
      </c>
      <c r="E434" s="206" t="s">
        <v>55</v>
      </c>
      <c r="F434" s="207"/>
      <c r="G434" s="208"/>
      <c r="H434" s="186"/>
      <c r="I434" s="187"/>
      <c r="J434" s="209">
        <f ca="1">IFERROR(__xludf.DUMMYFUNCTION("IMPORTRANGE(""https://docs.google.com/spreadsheets/d/11923uPwbBZFjjGgGUA6NLw09EwE0CqkOc4q9oUmW1yo/edit?usp=sharing"",""อุทัยธานี!J329"")"),0)</f>
        <v>0</v>
      </c>
      <c r="K434" s="163"/>
      <c r="L434" s="181"/>
      <c r="M434" s="181"/>
      <c r="N434" s="181"/>
      <c r="O434" s="181"/>
      <c r="P434" s="181"/>
    </row>
    <row r="435" spans="1:16" ht="21.75" customHeight="1" x14ac:dyDescent="0.3">
      <c r="A435" s="403"/>
      <c r="B435" s="404">
        <v>4</v>
      </c>
      <c r="C435" s="404" t="s">
        <v>160</v>
      </c>
      <c r="D435" s="405"/>
      <c r="E435" s="405"/>
      <c r="F435" s="405"/>
      <c r="G435" s="406"/>
      <c r="H435" s="407" t="s">
        <v>37</v>
      </c>
      <c r="I435" s="408">
        <f ca="1">IFERROR(__xludf.DUMMYFUNCTION("IMPORTRANGE(""https://docs.google.com/spreadsheets/d/11923uPwbBZFjjGgGUA6NLw09EwE0CqkOc4q9oUmW1yo/edit?usp=sharing"",""อุทัยธานี!I330"")"),15)</f>
        <v>15</v>
      </c>
      <c r="J435" s="408">
        <f ca="1">IFERROR(__xludf.DUMMYFUNCTION("IMPORTRANGE(""https://docs.google.com/spreadsheets/d/11923uPwbBZFjjGgGUA6NLw09EwE0CqkOc4q9oUmW1yo/edit?usp=sharing"",""อุทัยธานี!J330"")"),15)</f>
        <v>15</v>
      </c>
      <c r="K435" s="409">
        <f ca="1">IF(I435&gt;0,J435*100/I435,0)</f>
        <v>100</v>
      </c>
      <c r="L435" s="410">
        <f ca="1">IFERROR(__xludf.DUMMYFUNCTION("IMPORTRANGE(""https://docs.google.com/spreadsheets/d/11923uPwbBZFjjGgGUA6NLw09EwE0CqkOc4q9oUmW1yo/edit?usp=sharing"",""อุทัยธานี!L330"")"),83000)</f>
        <v>83000</v>
      </c>
      <c r="M435" s="410"/>
      <c r="N435" s="410">
        <f ca="1">IFERROR(__xludf.DUMMYFUNCTION("IMPORTRANGE(""https://docs.google.com/spreadsheets/d/11923uPwbBZFjjGgGUA6NLw09EwE0CqkOc4q9oUmW1yo/edit?usp=sharing"",""อุทัยธานี!M330"")"),49090)</f>
        <v>49090</v>
      </c>
      <c r="O435" s="410">
        <f t="shared" ref="O435:O439" ca="1" si="114">+IF(L435&gt;0,N435*100/L435,0)</f>
        <v>59.144578313253014</v>
      </c>
      <c r="P435" s="410"/>
    </row>
    <row r="436" spans="1:16" ht="21.75" customHeight="1" x14ac:dyDescent="0.3">
      <c r="A436" s="156"/>
      <c r="B436" s="157"/>
      <c r="C436" s="157" t="s">
        <v>16</v>
      </c>
      <c r="D436" s="158" t="s">
        <v>38</v>
      </c>
      <c r="E436" s="159"/>
      <c r="F436" s="159"/>
      <c r="G436" s="160" t="s">
        <v>39</v>
      </c>
      <c r="H436" s="161" t="s">
        <v>12</v>
      </c>
      <c r="I436" s="162" t="s">
        <v>40</v>
      </c>
      <c r="J436" s="162"/>
      <c r="K436" s="163"/>
      <c r="L436" s="164">
        <f ca="1">IFERROR(__xludf.DUMMYFUNCTION("IMPORTRANGE(""https://docs.google.com/spreadsheets/d/11923uPwbBZFjjGgGUA6NLw09EwE0CqkOc4q9oUmW1yo/edit?usp=sharing"",""อุทัยธานี!L331"")"),0)</f>
        <v>0</v>
      </c>
      <c r="M436" s="164"/>
      <c r="N436" s="168">
        <f ca="1">IFERROR(__xludf.DUMMYFUNCTION("IMPORTRANGE(""https://docs.google.com/spreadsheets/d/11923uPwbBZFjjGgGUA6NLw09EwE0CqkOc4q9oUmW1yo/edit?usp=sharing"",""อุทัยธานี!M331"")"),0)</f>
        <v>0</v>
      </c>
      <c r="O436" s="168">
        <f t="shared" ca="1" si="114"/>
        <v>0</v>
      </c>
      <c r="P436" s="168"/>
    </row>
    <row r="437" spans="1:16" ht="21.75" customHeight="1" x14ac:dyDescent="0.3">
      <c r="A437" s="156"/>
      <c r="B437" s="157"/>
      <c r="C437" s="157"/>
      <c r="D437" s="166"/>
      <c r="E437" s="159"/>
      <c r="F437" s="159" t="s">
        <v>40</v>
      </c>
      <c r="G437" s="160" t="s">
        <v>41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IFERROR(__xludf.DUMMYFUNCTION("IMPORTRANGE(""https://docs.google.com/spreadsheets/d/11923uPwbBZFjjGgGUA6NLw09EwE0CqkOc4q9oUmW1yo/edit?usp=sharing"",""อุทัยธานี!L332"")"),83000)</f>
        <v>83000</v>
      </c>
      <c r="M437" s="165"/>
      <c r="N437" s="168">
        <f ca="1">IFERROR(__xludf.DUMMYFUNCTION("IMPORTRANGE(""https://docs.google.com/spreadsheets/d/11923uPwbBZFjjGgGUA6NLw09EwE0CqkOc4q9oUmW1yo/edit?usp=sharing"",""อุทัยธานี!M332"")"),49090)</f>
        <v>49090</v>
      </c>
      <c r="O437" s="168">
        <f t="shared" ca="1" si="114"/>
        <v>59.144578313253014</v>
      </c>
      <c r="P437" s="168"/>
    </row>
    <row r="438" spans="1:16" ht="21.75" customHeight="1" x14ac:dyDescent="0.3">
      <c r="A438" s="156"/>
      <c r="B438" s="157"/>
      <c r="C438" s="157"/>
      <c r="D438" s="166"/>
      <c r="E438" s="159"/>
      <c r="F438" s="159"/>
      <c r="G438" s="372" t="s">
        <v>129</v>
      </c>
      <c r="H438" s="161" t="s">
        <v>12</v>
      </c>
      <c r="I438" s="162"/>
      <c r="J438" s="162"/>
      <c r="K438" s="163"/>
      <c r="L438" s="168">
        <f ca="1">IFERROR(__xludf.DUMMYFUNCTION("IMPORTRANGE(""https://docs.google.com/spreadsheets/d/11923uPwbBZFjjGgGUA6NLw09EwE0CqkOc4q9oUmW1yo/edit?usp=sharing"",""อุทัยธานี!L333"")"),0)</f>
        <v>0</v>
      </c>
      <c r="M438" s="168"/>
      <c r="N438" s="168">
        <f ca="1">IFERROR(__xludf.DUMMYFUNCTION("IMPORTRANGE(""https://docs.google.com/spreadsheets/d/11923uPwbBZFjjGgGUA6NLw09EwE0CqkOc4q9oUmW1yo/edit?usp=sharing"",""อุทัยธานี!M333"")"),0)</f>
        <v>0</v>
      </c>
      <c r="O438" s="168">
        <f t="shared" ca="1" si="114"/>
        <v>0</v>
      </c>
      <c r="P438" s="168"/>
    </row>
    <row r="439" spans="1:16" ht="21.75" customHeight="1" x14ac:dyDescent="0.3">
      <c r="A439" s="156"/>
      <c r="B439" s="157"/>
      <c r="C439" s="157"/>
      <c r="D439" s="166"/>
      <c r="E439" s="159"/>
      <c r="F439" s="159"/>
      <c r="G439" s="372" t="s">
        <v>130</v>
      </c>
      <c r="H439" s="161" t="s">
        <v>12</v>
      </c>
      <c r="I439" s="162"/>
      <c r="J439" s="162"/>
      <c r="K439" s="163"/>
      <c r="L439" s="168">
        <f ca="1">IFERROR(__xludf.DUMMYFUNCTION("IMPORTRANGE(""https://docs.google.com/spreadsheets/d/11923uPwbBZFjjGgGUA6NLw09EwE0CqkOc4q9oUmW1yo/edit?usp=sharing"",""อุทัยธานี!L334"")"),83000)</f>
        <v>83000</v>
      </c>
      <c r="M439" s="168"/>
      <c r="N439" s="168">
        <f ca="1">IFERROR(__xludf.DUMMYFUNCTION("IMPORTRANGE(""https://docs.google.com/spreadsheets/d/11923uPwbBZFjjGgGUA6NLw09EwE0CqkOc4q9oUmW1yo/edit?usp=sharing"",""อุทัยธานี!M334"")"),49090)</f>
        <v>49090</v>
      </c>
      <c r="O439" s="168">
        <f t="shared" ca="1" si="114"/>
        <v>59.144578313253014</v>
      </c>
      <c r="P439" s="168"/>
    </row>
    <row r="440" spans="1:16" ht="21.75" customHeight="1" x14ac:dyDescent="0.3">
      <c r="A440" s="373"/>
      <c r="B440" s="374"/>
      <c r="C440" s="157"/>
      <c r="D440" s="375"/>
      <c r="E440" s="159"/>
      <c r="F440" s="159"/>
      <c r="G440" s="376" t="s">
        <v>131</v>
      </c>
      <c r="H440" s="161" t="s">
        <v>12</v>
      </c>
      <c r="I440" s="187"/>
      <c r="J440" s="187"/>
      <c r="K440" s="223"/>
      <c r="L440" s="168"/>
      <c r="M440" s="168"/>
      <c r="N440" s="377">
        <f ca="1">IFERROR(__xludf.DUMMYFUNCTION("IMPORTRANGE(""https://docs.google.com/spreadsheets/d/11923uPwbBZFjjGgGUA6NLw09EwE0CqkOc4q9oUmW1yo/edit?usp=sharing"",""อุทัยธานี!M335"")"),32200)</f>
        <v>32200</v>
      </c>
      <c r="O440" s="168"/>
      <c r="P440" s="168"/>
    </row>
    <row r="441" spans="1:16" ht="21.75" customHeight="1" x14ac:dyDescent="0.3">
      <c r="A441" s="373"/>
      <c r="B441" s="374"/>
      <c r="C441" s="157"/>
      <c r="D441" s="375"/>
      <c r="E441" s="159"/>
      <c r="F441" s="159"/>
      <c r="G441" s="376" t="s">
        <v>132</v>
      </c>
      <c r="H441" s="161" t="s">
        <v>12</v>
      </c>
      <c r="I441" s="187"/>
      <c r="J441" s="187"/>
      <c r="K441" s="223"/>
      <c r="L441" s="168"/>
      <c r="M441" s="168"/>
      <c r="N441" s="377">
        <f ca="1">IFERROR(__xludf.DUMMYFUNCTION("IMPORTRANGE(""https://docs.google.com/spreadsheets/d/11923uPwbBZFjjGgGUA6NLw09EwE0CqkOc4q9oUmW1yo/edit?usp=sharing"",""อุทัยธานี!M336"")"),0)</f>
        <v>0</v>
      </c>
      <c r="O441" s="168"/>
      <c r="P441" s="168"/>
    </row>
    <row r="442" spans="1:16" ht="21.75" customHeight="1" x14ac:dyDescent="0.3">
      <c r="A442" s="373"/>
      <c r="B442" s="374"/>
      <c r="C442" s="157"/>
      <c r="D442" s="375"/>
      <c r="E442" s="159"/>
      <c r="F442" s="159"/>
      <c r="G442" s="376" t="s">
        <v>133</v>
      </c>
      <c r="H442" s="161" t="s">
        <v>12</v>
      </c>
      <c r="I442" s="187"/>
      <c r="J442" s="187"/>
      <c r="K442" s="223"/>
      <c r="L442" s="168"/>
      <c r="M442" s="168"/>
      <c r="N442" s="377">
        <f ca="1">IFERROR(__xludf.DUMMYFUNCTION("IMPORTRANGE(""https://docs.google.com/spreadsheets/d/11923uPwbBZFjjGgGUA6NLw09EwE0CqkOc4q9oUmW1yo/edit?usp=sharing"",""อุทัยธานี!M337"")"),0)</f>
        <v>0</v>
      </c>
      <c r="O442" s="168"/>
      <c r="P442" s="168"/>
    </row>
    <row r="443" spans="1:16" ht="21.75" customHeight="1" x14ac:dyDescent="0.3">
      <c r="A443" s="373"/>
      <c r="B443" s="374"/>
      <c r="C443" s="157"/>
      <c r="D443" s="375"/>
      <c r="E443" s="159"/>
      <c r="F443" s="159"/>
      <c r="G443" s="376" t="s">
        <v>134</v>
      </c>
      <c r="H443" s="161" t="s">
        <v>12</v>
      </c>
      <c r="I443" s="187"/>
      <c r="J443" s="187"/>
      <c r="K443" s="223"/>
      <c r="L443" s="168"/>
      <c r="M443" s="168"/>
      <c r="N443" s="377">
        <f ca="1">IFERROR(__xludf.DUMMYFUNCTION("IMPORTRANGE(""https://docs.google.com/spreadsheets/d/11923uPwbBZFjjGgGUA6NLw09EwE0CqkOc4q9oUmW1yo/edit?usp=sharing"",""อุทัยธานี!M338"")"),16890)</f>
        <v>16890</v>
      </c>
      <c r="O443" s="168"/>
      <c r="P443" s="168"/>
    </row>
    <row r="444" spans="1:16" ht="21.75" customHeight="1" x14ac:dyDescent="0.3">
      <c r="A444" s="175"/>
      <c r="B444" s="176"/>
      <c r="C444" s="157" t="s">
        <v>16</v>
      </c>
      <c r="D444" s="177" t="s">
        <v>44</v>
      </c>
      <c r="E444" s="178"/>
      <c r="F444" s="178"/>
      <c r="G444" s="179"/>
      <c r="H444" s="180"/>
      <c r="I444" s="162"/>
      <c r="J444" s="162"/>
      <c r="K444" s="163"/>
      <c r="L444" s="181"/>
      <c r="M444" s="181"/>
      <c r="N444" s="181"/>
      <c r="O444" s="181"/>
      <c r="P444" s="181"/>
    </row>
    <row r="445" spans="1:16" ht="21.75" customHeight="1" x14ac:dyDescent="0.3">
      <c r="A445" s="175"/>
      <c r="B445" s="176"/>
      <c r="C445" s="176"/>
      <c r="D445" s="182">
        <v>1</v>
      </c>
      <c r="E445" s="183" t="s">
        <v>45</v>
      </c>
      <c r="F445" s="184"/>
      <c r="G445" s="185"/>
      <c r="H445" s="186"/>
      <c r="I445" s="187"/>
      <c r="J445" s="209">
        <f ca="1">IFERROR(__xludf.DUMMYFUNCTION("IMPORTRANGE(""https://docs.google.com/spreadsheets/d/11923uPwbBZFjjGgGUA6NLw09EwE0CqkOc4q9oUmW1yo/edit?usp=sharing"",""อุทัยธานี!J340"")"),0)</f>
        <v>0</v>
      </c>
      <c r="K445" s="163"/>
      <c r="L445" s="181"/>
      <c r="M445" s="181"/>
      <c r="N445" s="181"/>
      <c r="O445" s="181"/>
      <c r="P445" s="181"/>
    </row>
    <row r="446" spans="1:16" ht="21.75" customHeight="1" x14ac:dyDescent="0.3">
      <c r="A446" s="175"/>
      <c r="B446" s="176"/>
      <c r="C446" s="176"/>
      <c r="D446" s="189">
        <v>2</v>
      </c>
      <c r="E446" s="190" t="s">
        <v>46</v>
      </c>
      <c r="F446" s="191"/>
      <c r="G446" s="192"/>
      <c r="H446" s="186"/>
      <c r="I446" s="187"/>
      <c r="J446" s="411">
        <f ca="1">IFERROR(__xludf.DUMMYFUNCTION("IMPORTRANGE(""https://docs.google.com/spreadsheets/d/11923uPwbBZFjjGgGUA6NLw09EwE0CqkOc4q9oUmW1yo/edit?usp=sharing"",""อุทัยธานี!J341"")"),1)</f>
        <v>1</v>
      </c>
      <c r="K446" s="163"/>
      <c r="L446" s="181" t="s">
        <v>40</v>
      </c>
      <c r="M446" s="181"/>
      <c r="N446" s="181" t="s">
        <v>40</v>
      </c>
      <c r="O446" s="181"/>
      <c r="P446" s="181"/>
    </row>
    <row r="447" spans="1:16" ht="21.75" customHeight="1" x14ac:dyDescent="0.3">
      <c r="A447" s="175"/>
      <c r="B447" s="176"/>
      <c r="C447" s="176"/>
      <c r="D447" s="193"/>
      <c r="E447" s="194" t="s">
        <v>161</v>
      </c>
      <c r="F447" s="195"/>
      <c r="G447" s="196"/>
      <c r="H447" s="186"/>
      <c r="I447" s="187"/>
      <c r="J447" s="188">
        <f ca="1">IFERROR(__xludf.DUMMYFUNCTION("IMPORTRANGE(""https://docs.google.com/spreadsheets/d/11923uPwbBZFjjGgGUA6NLw09EwE0CqkOc4q9oUmW1yo/edit?usp=sharing"",""อุทัยธานี!J342"")"),1)</f>
        <v>1</v>
      </c>
      <c r="K447" s="163"/>
      <c r="L447" s="181"/>
      <c r="M447" s="181"/>
      <c r="N447" s="181"/>
      <c r="O447" s="181"/>
      <c r="P447" s="181"/>
    </row>
    <row r="448" spans="1:16" ht="21.75" customHeight="1" x14ac:dyDescent="0.3">
      <c r="A448" s="175"/>
      <c r="B448" s="176"/>
      <c r="C448" s="176"/>
      <c r="D448" s="193"/>
      <c r="E448" s="194" t="s">
        <v>48</v>
      </c>
      <c r="F448" s="195"/>
      <c r="G448" s="196"/>
      <c r="H448" s="186"/>
      <c r="I448" s="187"/>
      <c r="J448" s="188">
        <f ca="1">IFERROR(__xludf.DUMMYFUNCTION("IMPORTRANGE(""https://docs.google.com/spreadsheets/d/11923uPwbBZFjjGgGUA6NLw09EwE0CqkOc4q9oUmW1yo/edit?usp=sharing"",""อุทัยธานี!J343"")"),1)</f>
        <v>1</v>
      </c>
      <c r="K448" s="163"/>
      <c r="L448" s="181"/>
      <c r="M448" s="181"/>
      <c r="N448" s="181"/>
      <c r="O448" s="181"/>
      <c r="P448" s="181"/>
    </row>
    <row r="449" spans="1:16" ht="21.75" customHeight="1" x14ac:dyDescent="0.3">
      <c r="A449" s="175"/>
      <c r="B449" s="176"/>
      <c r="C449" s="176"/>
      <c r="D449" s="193"/>
      <c r="E449" s="198"/>
      <c r="F449" s="412" t="s">
        <v>101</v>
      </c>
      <c r="G449" s="196"/>
      <c r="H449" s="186" t="s">
        <v>37</v>
      </c>
      <c r="I449" s="389">
        <f ca="1">IFERROR(__xludf.DUMMYFUNCTION("IMPORTRANGE(""https://docs.google.com/spreadsheets/d/11923uPwbBZFjjGgGUA6NLw09EwE0CqkOc4q9oUmW1yo/edit?usp=sharing"",""อุทัยธานี!I344"")"),15)</f>
        <v>15</v>
      </c>
      <c r="J449" s="200">
        <f ca="1">IFERROR(__xludf.DUMMYFUNCTION("IMPORTRANGE(""https://docs.google.com/spreadsheets/d/11923uPwbBZFjjGgGUA6NLw09EwE0CqkOc4q9oUmW1yo/edit?usp=sharing"",""อุทัยธานี!J344"")"),15)</f>
        <v>15</v>
      </c>
      <c r="K449" s="163">
        <f t="shared" ref="K449:K452" ca="1" si="115">IF(I449&gt;0,J449*100/I449,0)</f>
        <v>100</v>
      </c>
      <c r="L449" s="181"/>
      <c r="M449" s="181"/>
      <c r="N449" s="181"/>
      <c r="O449" s="181"/>
      <c r="P449" s="181"/>
    </row>
    <row r="450" spans="1:16" ht="21.75" customHeight="1" x14ac:dyDescent="0.3">
      <c r="A450" s="175"/>
      <c r="B450" s="176"/>
      <c r="C450" s="176"/>
      <c r="D450" s="193"/>
      <c r="E450" s="198"/>
      <c r="F450" s="195"/>
      <c r="G450" s="225" t="s">
        <v>162</v>
      </c>
      <c r="H450" s="186" t="s">
        <v>37</v>
      </c>
      <c r="I450" s="339">
        <f ca="1">IFERROR(__xludf.DUMMYFUNCTION("IMPORTRANGE(""https://docs.google.com/spreadsheets/d/11923uPwbBZFjjGgGUA6NLw09EwE0CqkOc4q9oUmW1yo/edit?usp=sharing"",""อุทัยธานี!I345"")"),15)</f>
        <v>15</v>
      </c>
      <c r="J450" s="188">
        <f ca="1">IFERROR(__xludf.DUMMYFUNCTION("IMPORTRANGE(""https://docs.google.com/spreadsheets/d/11923uPwbBZFjjGgGUA6NLw09EwE0CqkOc4q9oUmW1yo/edit?usp=sharing"",""อุทัยธานี!J345"")"),15)</f>
        <v>15</v>
      </c>
      <c r="K450" s="163">
        <f t="shared" ca="1" si="115"/>
        <v>100</v>
      </c>
      <c r="L450" s="181"/>
      <c r="M450" s="181"/>
      <c r="N450" s="181"/>
      <c r="O450" s="181"/>
      <c r="P450" s="181"/>
    </row>
    <row r="451" spans="1:16" ht="21.75" customHeight="1" x14ac:dyDescent="0.3">
      <c r="A451" s="175"/>
      <c r="B451" s="176"/>
      <c r="C451" s="176"/>
      <c r="D451" s="193"/>
      <c r="E451" s="198"/>
      <c r="F451" s="195"/>
      <c r="G451" s="279" t="s">
        <v>163</v>
      </c>
      <c r="H451" s="186" t="s">
        <v>37</v>
      </c>
      <c r="I451" s="339">
        <f ca="1">IFERROR(__xludf.DUMMYFUNCTION("IMPORTRANGE(""https://docs.google.com/spreadsheets/d/11923uPwbBZFjjGgGUA6NLw09EwE0CqkOc4q9oUmW1yo/edit?usp=sharing"",""อุทัยธานี!I346"")"),0)</f>
        <v>0</v>
      </c>
      <c r="J451" s="187">
        <f ca="1">IFERROR(__xludf.DUMMYFUNCTION("IMPORTRANGE(""https://docs.google.com/spreadsheets/d/11923uPwbBZFjjGgGUA6NLw09EwE0CqkOc4q9oUmW1yo/edit?usp=sharing"",""อุทัยธานี!J346"")"),0)</f>
        <v>0</v>
      </c>
      <c r="K451" s="163">
        <f t="shared" ca="1" si="115"/>
        <v>0</v>
      </c>
      <c r="L451" s="181"/>
      <c r="M451" s="181"/>
      <c r="N451" s="181"/>
      <c r="O451" s="181"/>
      <c r="P451" s="181"/>
    </row>
    <row r="452" spans="1:16" ht="21.75" customHeight="1" x14ac:dyDescent="0.3">
      <c r="A452" s="175"/>
      <c r="B452" s="176"/>
      <c r="C452" s="176"/>
      <c r="D452" s="193"/>
      <c r="E452" s="198"/>
      <c r="F452" s="195"/>
      <c r="G452" s="196" t="s">
        <v>164</v>
      </c>
      <c r="H452" s="186" t="s">
        <v>37</v>
      </c>
      <c r="I452" s="187">
        <f ca="1">IFERROR(__xludf.DUMMYFUNCTION("IMPORTRANGE(""https://docs.google.com/spreadsheets/d/11923uPwbBZFjjGgGUA6NLw09EwE0CqkOc4q9oUmW1yo/edit?usp=sharing"",""อุทัยธานี!I347"")"),0)</f>
        <v>0</v>
      </c>
      <c r="J452" s="187">
        <f ca="1">IFERROR(__xludf.DUMMYFUNCTION("IMPORTRANGE(""https://docs.google.com/spreadsheets/d/11923uPwbBZFjjGgGUA6NLw09EwE0CqkOc4q9oUmW1yo/edit?usp=sharing"",""อุทัยธานี!J347"")"),0)</f>
        <v>0</v>
      </c>
      <c r="K452" s="163">
        <f t="shared" ca="1" si="115"/>
        <v>0</v>
      </c>
      <c r="L452" s="181"/>
      <c r="M452" s="181"/>
      <c r="N452" s="181"/>
      <c r="O452" s="181"/>
      <c r="P452" s="181"/>
    </row>
    <row r="453" spans="1:16" ht="21.75" customHeight="1" x14ac:dyDescent="0.3">
      <c r="A453" s="175"/>
      <c r="B453" s="176"/>
      <c r="C453" s="176"/>
      <c r="D453" s="193"/>
      <c r="E453" s="194" t="s">
        <v>54</v>
      </c>
      <c r="F453" s="195"/>
      <c r="G453" s="196"/>
      <c r="H453" s="186"/>
      <c r="I453" s="187"/>
      <c r="J453" s="197">
        <f ca="1">IFERROR(__xludf.DUMMYFUNCTION("IMPORTRANGE(""https://docs.google.com/spreadsheets/d/11923uPwbBZFjjGgGUA6NLw09EwE0CqkOc4q9oUmW1yo/edit?usp=sharing"",""อุทัยธานี!J348"")"),0)</f>
        <v>0</v>
      </c>
      <c r="K453" s="163"/>
      <c r="L453" s="181"/>
      <c r="M453" s="181"/>
      <c r="N453" s="181"/>
      <c r="O453" s="181"/>
      <c r="P453" s="181"/>
    </row>
    <row r="454" spans="1:16" ht="21.75" customHeight="1" x14ac:dyDescent="0.3">
      <c r="A454" s="175"/>
      <c r="B454" s="176"/>
      <c r="C454" s="176"/>
      <c r="D454" s="205">
        <v>3</v>
      </c>
      <c r="E454" s="206" t="s">
        <v>55</v>
      </c>
      <c r="F454" s="207"/>
      <c r="G454" s="208"/>
      <c r="H454" s="186"/>
      <c r="I454" s="187"/>
      <c r="J454" s="209">
        <f ca="1">IFERROR(__xludf.DUMMYFUNCTION("IMPORTRANGE(""https://docs.google.com/spreadsheets/d/11923uPwbBZFjjGgGUA6NLw09EwE0CqkOc4q9oUmW1yo/edit?usp=sharing"",""อุทัยธานี!J349"")"),0)</f>
        <v>0</v>
      </c>
      <c r="K454" s="163"/>
      <c r="L454" s="181"/>
      <c r="M454" s="181"/>
      <c r="N454" s="181"/>
      <c r="O454" s="181"/>
      <c r="P454" s="181"/>
    </row>
    <row r="455" spans="1:16" ht="21.75" customHeight="1" x14ac:dyDescent="0.3">
      <c r="A455" s="364"/>
      <c r="B455" s="365">
        <v>5</v>
      </c>
      <c r="C455" s="366" t="s">
        <v>165</v>
      </c>
      <c r="D455" s="366"/>
      <c r="E455" s="366"/>
      <c r="F455" s="366"/>
      <c r="G455" s="367"/>
      <c r="H455" s="368" t="s">
        <v>122</v>
      </c>
      <c r="I455" s="369">
        <f ca="1">IFERROR(__xludf.DUMMYFUNCTION("IMPORTRANGE(""https://docs.google.com/spreadsheets/d/11923uPwbBZFjjGgGUA6NLw09EwE0CqkOc4q9oUmW1yo/edit?usp=sharing"",""อุทัยธานี!I350"")"),24034)</f>
        <v>24034</v>
      </c>
      <c r="J455" s="369">
        <f ca="1">IFERROR(__xludf.DUMMYFUNCTION("IMPORTRANGE(""https://docs.google.com/spreadsheets/d/11923uPwbBZFjjGgGUA6NLw09EwE0CqkOc4q9oUmW1yo/edit?usp=sharing"",""อุทัยธานี!J350"")"),0)</f>
        <v>0</v>
      </c>
      <c r="K455" s="370">
        <f ca="1">IF(I455&gt;0,J455*100/I455,0)</f>
        <v>0</v>
      </c>
      <c r="L455" s="371">
        <f ca="1">IFERROR(__xludf.DUMMYFUNCTION("IMPORTRANGE(""https://docs.google.com/spreadsheets/d/11923uPwbBZFjjGgGUA6NLw09EwE0CqkOc4q9oUmW1yo/edit?usp=sharing"",""อุทัยธานี!L350"")"),296488)</f>
        <v>296488</v>
      </c>
      <c r="M455" s="371"/>
      <c r="N455" s="371">
        <f ca="1">IFERROR(__xludf.DUMMYFUNCTION("IMPORTRANGE(""https://docs.google.com/spreadsheets/d/11923uPwbBZFjjGgGUA6NLw09EwE0CqkOc4q9oUmW1yo/edit?usp=sharing"",""อุทัยธานี!M350"")"),14395)</f>
        <v>14395</v>
      </c>
      <c r="O455" s="371">
        <f t="shared" ref="O455:O459" ca="1" si="116">+IF(L455&gt;0,N455*100/L455,0)</f>
        <v>4.8551712042308628</v>
      </c>
      <c r="P455" s="371"/>
    </row>
    <row r="456" spans="1:16" ht="21.75" customHeight="1" x14ac:dyDescent="0.3">
      <c r="A456" s="156"/>
      <c r="B456" s="157"/>
      <c r="C456" s="157" t="s">
        <v>16</v>
      </c>
      <c r="D456" s="158" t="s">
        <v>38</v>
      </c>
      <c r="E456" s="159"/>
      <c r="F456" s="159"/>
      <c r="G456" s="160" t="s">
        <v>39</v>
      </c>
      <c r="H456" s="161" t="s">
        <v>12</v>
      </c>
      <c r="I456" s="162" t="s">
        <v>40</v>
      </c>
      <c r="J456" s="162"/>
      <c r="K456" s="163"/>
      <c r="L456" s="164">
        <f ca="1">IFERROR(__xludf.DUMMYFUNCTION("IMPORTRANGE(""https://docs.google.com/spreadsheets/d/11923uPwbBZFjjGgGUA6NLw09EwE0CqkOc4q9oUmW1yo/edit?usp=sharing"",""อุทัยธานี!L351"")"),0)</f>
        <v>0</v>
      </c>
      <c r="M456" s="164"/>
      <c r="N456" s="168">
        <f ca="1">IFERROR(__xludf.DUMMYFUNCTION("IMPORTRANGE(""https://docs.google.com/spreadsheets/d/11923uPwbBZFjjGgGUA6NLw09EwE0CqkOc4q9oUmW1yo/edit?usp=sharing"",""อุทัยธานี!M351"")"),0)</f>
        <v>0</v>
      </c>
      <c r="O456" s="168">
        <f t="shared" ca="1" si="116"/>
        <v>0</v>
      </c>
      <c r="P456" s="168"/>
    </row>
    <row r="457" spans="1:16" ht="21.75" customHeight="1" x14ac:dyDescent="0.3">
      <c r="A457" s="156"/>
      <c r="B457" s="157"/>
      <c r="C457" s="157"/>
      <c r="D457" s="166"/>
      <c r="E457" s="159"/>
      <c r="F457" s="159" t="s">
        <v>40</v>
      </c>
      <c r="G457" s="160" t="s">
        <v>41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IFERROR(__xludf.DUMMYFUNCTION("IMPORTRANGE(""https://docs.google.com/spreadsheets/d/11923uPwbBZFjjGgGUA6NLw09EwE0CqkOc4q9oUmW1yo/edit?usp=sharing"",""อุทัยธานี!L352"")"),296488)</f>
        <v>296488</v>
      </c>
      <c r="M457" s="165"/>
      <c r="N457" s="168">
        <f ca="1">IFERROR(__xludf.DUMMYFUNCTION("IMPORTRANGE(""https://docs.google.com/spreadsheets/d/11923uPwbBZFjjGgGUA6NLw09EwE0CqkOc4q9oUmW1yo/edit?usp=sharing"",""อุทัยธานี!M352"")"),14395)</f>
        <v>14395</v>
      </c>
      <c r="O457" s="168">
        <f t="shared" ca="1" si="116"/>
        <v>4.8551712042308628</v>
      </c>
      <c r="P457" s="168"/>
    </row>
    <row r="458" spans="1:16" ht="21.75" customHeight="1" x14ac:dyDescent="0.3">
      <c r="A458" s="156"/>
      <c r="B458" s="157"/>
      <c r="C458" s="157"/>
      <c r="D458" s="166"/>
      <c r="E458" s="159"/>
      <c r="F458" s="159"/>
      <c r="G458" s="372" t="s">
        <v>129</v>
      </c>
      <c r="H458" s="161" t="s">
        <v>12</v>
      </c>
      <c r="I458" s="162"/>
      <c r="J458" s="162"/>
      <c r="K458" s="163"/>
      <c r="L458" s="168">
        <f ca="1">IFERROR(__xludf.DUMMYFUNCTION("IMPORTRANGE(""https://docs.google.com/spreadsheets/d/11923uPwbBZFjjGgGUA6NLw09EwE0CqkOc4q9oUmW1yo/edit?usp=sharing"",""อุทัยธานี!L353"")"),0)</f>
        <v>0</v>
      </c>
      <c r="M458" s="168"/>
      <c r="N458" s="168">
        <f ca="1">IFERROR(__xludf.DUMMYFUNCTION("IMPORTRANGE(""https://docs.google.com/spreadsheets/d/11923uPwbBZFjjGgGUA6NLw09EwE0CqkOc4q9oUmW1yo/edit?usp=sharing"",""อุทัยธานี!M353"")"),0)</f>
        <v>0</v>
      </c>
      <c r="O458" s="168">
        <f t="shared" ca="1" si="116"/>
        <v>0</v>
      </c>
      <c r="P458" s="168"/>
    </row>
    <row r="459" spans="1:16" ht="21.75" customHeight="1" x14ac:dyDescent="0.3">
      <c r="A459" s="156"/>
      <c r="B459" s="157"/>
      <c r="C459" s="157"/>
      <c r="D459" s="166"/>
      <c r="E459" s="159"/>
      <c r="F459" s="159"/>
      <c r="G459" s="372" t="s">
        <v>130</v>
      </c>
      <c r="H459" s="161" t="s">
        <v>12</v>
      </c>
      <c r="I459" s="162"/>
      <c r="J459" s="162"/>
      <c r="K459" s="163"/>
      <c r="L459" s="168">
        <f ca="1">IFERROR(__xludf.DUMMYFUNCTION("IMPORTRANGE(""https://docs.google.com/spreadsheets/d/11923uPwbBZFjjGgGUA6NLw09EwE0CqkOc4q9oUmW1yo/edit?usp=sharing"",""อุทัยธานี!L354"")"),296488)</f>
        <v>296488</v>
      </c>
      <c r="M459" s="168"/>
      <c r="N459" s="168">
        <f ca="1">IFERROR(__xludf.DUMMYFUNCTION("IMPORTRANGE(""https://docs.google.com/spreadsheets/d/11923uPwbBZFjjGgGUA6NLw09EwE0CqkOc4q9oUmW1yo/edit?usp=sharing"",""อุทัยธานี!M354"")"),14395)</f>
        <v>14395</v>
      </c>
      <c r="O459" s="168">
        <f t="shared" ca="1" si="116"/>
        <v>4.8551712042308628</v>
      </c>
      <c r="P459" s="168"/>
    </row>
    <row r="460" spans="1:16" ht="21.75" customHeight="1" x14ac:dyDescent="0.3">
      <c r="A460" s="373"/>
      <c r="B460" s="374"/>
      <c r="C460" s="157"/>
      <c r="D460" s="375"/>
      <c r="E460" s="159"/>
      <c r="F460" s="159"/>
      <c r="G460" s="376" t="s">
        <v>131</v>
      </c>
      <c r="H460" s="161" t="s">
        <v>12</v>
      </c>
      <c r="I460" s="187"/>
      <c r="J460" s="187"/>
      <c r="K460" s="223"/>
      <c r="L460" s="168"/>
      <c r="M460" s="168"/>
      <c r="N460" s="167">
        <f ca="1">IFERROR(__xludf.DUMMYFUNCTION("IMPORTRANGE(""https://docs.google.com/spreadsheets/d/11923uPwbBZFjjGgGUA6NLw09EwE0CqkOc4q9oUmW1yo/edit?usp=sharing"",""อุทัยธานี!M355"")"),0)</f>
        <v>0</v>
      </c>
      <c r="O460" s="168"/>
      <c r="P460" s="168"/>
    </row>
    <row r="461" spans="1:16" ht="21.75" customHeight="1" x14ac:dyDescent="0.3">
      <c r="A461" s="373"/>
      <c r="B461" s="374"/>
      <c r="C461" s="157"/>
      <c r="D461" s="375"/>
      <c r="E461" s="159"/>
      <c r="F461" s="159"/>
      <c r="G461" s="376" t="s">
        <v>132</v>
      </c>
      <c r="H461" s="161" t="s">
        <v>12</v>
      </c>
      <c r="I461" s="187"/>
      <c r="J461" s="187"/>
      <c r="K461" s="223"/>
      <c r="L461" s="168"/>
      <c r="M461" s="168"/>
      <c r="N461" s="167">
        <f ca="1">IFERROR(__xludf.DUMMYFUNCTION("IMPORTRANGE(""https://docs.google.com/spreadsheets/d/11923uPwbBZFjjGgGUA6NLw09EwE0CqkOc4q9oUmW1yo/edit?usp=sharing"",""อุทัยธานี!M356"")"),0)</f>
        <v>0</v>
      </c>
      <c r="O461" s="168"/>
      <c r="P461" s="168"/>
    </row>
    <row r="462" spans="1:16" ht="21.75" customHeight="1" x14ac:dyDescent="0.3">
      <c r="A462" s="373"/>
      <c r="B462" s="374"/>
      <c r="C462" s="157"/>
      <c r="D462" s="375"/>
      <c r="E462" s="159"/>
      <c r="F462" s="159"/>
      <c r="G462" s="376" t="s">
        <v>133</v>
      </c>
      <c r="H462" s="161" t="s">
        <v>12</v>
      </c>
      <c r="I462" s="187"/>
      <c r="J462" s="187"/>
      <c r="K462" s="223"/>
      <c r="L462" s="168"/>
      <c r="M462" s="168"/>
      <c r="N462" s="377">
        <f ca="1">IFERROR(__xludf.DUMMYFUNCTION("IMPORTRANGE(""https://docs.google.com/spreadsheets/d/11923uPwbBZFjjGgGUA6NLw09EwE0CqkOc4q9oUmW1yo/edit?usp=sharing"",""อุทัยธานี!M357"")"),0)</f>
        <v>0</v>
      </c>
      <c r="O462" s="168"/>
      <c r="P462" s="168"/>
    </row>
    <row r="463" spans="1:16" ht="21.75" customHeight="1" x14ac:dyDescent="0.3">
      <c r="A463" s="373"/>
      <c r="B463" s="374"/>
      <c r="C463" s="157"/>
      <c r="D463" s="375"/>
      <c r="E463" s="159"/>
      <c r="F463" s="159"/>
      <c r="G463" s="376" t="s">
        <v>134</v>
      </c>
      <c r="H463" s="161" t="s">
        <v>12</v>
      </c>
      <c r="I463" s="187"/>
      <c r="J463" s="187"/>
      <c r="K463" s="223"/>
      <c r="L463" s="168"/>
      <c r="M463" s="168"/>
      <c r="N463" s="377">
        <f ca="1">IFERROR(__xludf.DUMMYFUNCTION("IMPORTRANGE(""https://docs.google.com/spreadsheets/d/11923uPwbBZFjjGgGUA6NLw09EwE0CqkOc4q9oUmW1yo/edit?usp=sharing"",""อุทัยธานี!M358"")"),14395)</f>
        <v>14395</v>
      </c>
      <c r="O463" s="168"/>
      <c r="P463" s="168"/>
    </row>
    <row r="464" spans="1:16" ht="21.75" customHeight="1" x14ac:dyDescent="0.3">
      <c r="A464" s="175"/>
      <c r="B464" s="176"/>
      <c r="C464" s="413" t="s">
        <v>166</v>
      </c>
      <c r="D464" s="413"/>
      <c r="E464" s="414"/>
      <c r="F464" s="414"/>
      <c r="G464" s="415"/>
      <c r="H464" s="265" t="s">
        <v>122</v>
      </c>
      <c r="I464" s="266">
        <f ca="1">IFERROR(__xludf.DUMMYFUNCTION("IMPORTRANGE(""https://docs.google.com/spreadsheets/d/11923uPwbBZFjjGgGUA6NLw09EwE0CqkOc4q9oUmW1yo/edit?usp=sharing"",""อุทัยธานี!I359"")"),24034)</f>
        <v>24034</v>
      </c>
      <c r="J464" s="266">
        <f ca="1">IFERROR(__xludf.DUMMYFUNCTION("IMPORTRANGE(""https://docs.google.com/spreadsheets/d/11923uPwbBZFjjGgGUA6NLw09EwE0CqkOc4q9oUmW1yo/edit?usp=sharing"",""อุทัยธานี!J359"")"),0)</f>
        <v>0</v>
      </c>
      <c r="K464" s="267">
        <f t="shared" ref="K464:K515" ca="1" si="117">IF(I464&gt;0,J464*100/I464,0)</f>
        <v>0</v>
      </c>
      <c r="L464" s="290"/>
      <c r="M464" s="290"/>
      <c r="N464" s="290"/>
      <c r="O464" s="290"/>
      <c r="P464" s="290"/>
    </row>
    <row r="465" spans="1:16" ht="21.75" customHeight="1" x14ac:dyDescent="0.3">
      <c r="A465" s="400"/>
      <c r="B465" s="401"/>
      <c r="C465" s="401"/>
      <c r="D465" s="402"/>
      <c r="E465" s="193" t="s">
        <v>167</v>
      </c>
      <c r="F465" s="195"/>
      <c r="G465" s="196"/>
      <c r="H465" s="416" t="s">
        <v>122</v>
      </c>
      <c r="I465" s="417">
        <f ca="1">IFERROR(__xludf.DUMMYFUNCTION("IMPORTRANGE(""https://docs.google.com/spreadsheets/d/11923uPwbBZFjjGgGUA6NLw09EwE0CqkOc4q9oUmW1yo/edit?usp=sharing"",""อุทัยธานี!I360"")"),24034)</f>
        <v>24034</v>
      </c>
      <c r="J465" s="418">
        <f ca="1">IFERROR(__xludf.DUMMYFUNCTION("IMPORTRANGE(""https://docs.google.com/spreadsheets/d/11923uPwbBZFjjGgGUA6NLw09EwE0CqkOc4q9oUmW1yo/edit?usp=sharing"",""อุทัยธานี!J360"")"),22969)</f>
        <v>22969</v>
      </c>
      <c r="K465" s="201">
        <f t="shared" ca="1" si="117"/>
        <v>95.568777565116079</v>
      </c>
      <c r="L465" s="181"/>
      <c r="M465" s="181"/>
      <c r="N465" s="181"/>
      <c r="O465" s="181"/>
      <c r="P465" s="181"/>
    </row>
    <row r="466" spans="1:16" ht="21.75" customHeight="1" x14ac:dyDescent="0.3">
      <c r="A466" s="400"/>
      <c r="B466" s="401"/>
      <c r="C466" s="401"/>
      <c r="D466" s="402"/>
      <c r="E466" s="195"/>
      <c r="F466" s="195"/>
      <c r="G466" s="196"/>
      <c r="H466" s="416" t="s">
        <v>36</v>
      </c>
      <c r="I466" s="417">
        <f ca="1">IFERROR(__xludf.DUMMYFUNCTION("IMPORTRANGE(""https://docs.google.com/spreadsheets/d/11923uPwbBZFjjGgGUA6NLw09EwE0CqkOc4q9oUmW1yo/edit?usp=sharing"",""อุทัยธานี!I361"")"),2600)</f>
        <v>2600</v>
      </c>
      <c r="J466" s="418">
        <f ca="1">IFERROR(__xludf.DUMMYFUNCTION("IMPORTRANGE(""https://docs.google.com/spreadsheets/d/11923uPwbBZFjjGgGUA6NLw09EwE0CqkOc4q9oUmW1yo/edit?usp=sharing"",""อุทัยธานี!J361"")"),2486)</f>
        <v>2486</v>
      </c>
      <c r="K466" s="201">
        <f t="shared" ca="1" si="117"/>
        <v>95.615384615384613</v>
      </c>
      <c r="L466" s="181"/>
      <c r="M466" s="181"/>
      <c r="N466" s="181"/>
      <c r="O466" s="181"/>
      <c r="P466" s="181"/>
    </row>
    <row r="467" spans="1:16" ht="21.75" customHeight="1" x14ac:dyDescent="0.3">
      <c r="A467" s="400"/>
      <c r="B467" s="401"/>
      <c r="C467" s="401"/>
      <c r="D467" s="402"/>
      <c r="E467" s="195"/>
      <c r="F467" s="388" t="s">
        <v>168</v>
      </c>
      <c r="G467" s="419"/>
      <c r="H467" s="420" t="s">
        <v>122</v>
      </c>
      <c r="I467" s="202">
        <f ca="1">IFERROR(__xludf.DUMMYFUNCTION("IMPORTRANGE(""https://docs.google.com/spreadsheets/d/11923uPwbBZFjjGgGUA6NLw09EwE0CqkOc4q9oUmW1yo/edit?usp=sharing"",""อุทัยธานี!I362"")"),0)</f>
        <v>0</v>
      </c>
      <c r="J467" s="188">
        <f ca="1">IFERROR(__xludf.DUMMYFUNCTION("IMPORTRANGE(""https://docs.google.com/spreadsheets/d/11923uPwbBZFjjGgGUA6NLw09EwE0CqkOc4q9oUmW1yo/edit?usp=sharing"",""อุทัยธานี!J362"")"),17173)</f>
        <v>17173</v>
      </c>
      <c r="K467" s="163">
        <f t="shared" ca="1" si="117"/>
        <v>0</v>
      </c>
      <c r="L467" s="181"/>
      <c r="M467" s="181"/>
      <c r="N467" s="181"/>
      <c r="O467" s="181"/>
      <c r="P467" s="181"/>
    </row>
    <row r="468" spans="1:16" ht="21.75" customHeight="1" x14ac:dyDescent="0.3">
      <c r="A468" s="400"/>
      <c r="B468" s="401"/>
      <c r="C468" s="401"/>
      <c r="D468" s="402"/>
      <c r="E468" s="195"/>
      <c r="F468" s="195"/>
      <c r="G468" s="419"/>
      <c r="H468" s="420" t="s">
        <v>36</v>
      </c>
      <c r="I468" s="202">
        <f ca="1">IFERROR(__xludf.DUMMYFUNCTION("IMPORTRANGE(""https://docs.google.com/spreadsheets/d/11923uPwbBZFjjGgGUA6NLw09EwE0CqkOc4q9oUmW1yo/edit?usp=sharing"",""อุทัยธานี!I363"")"),0)</f>
        <v>0</v>
      </c>
      <c r="J468" s="188">
        <f ca="1">IFERROR(__xludf.DUMMYFUNCTION("IMPORTRANGE(""https://docs.google.com/spreadsheets/d/11923uPwbBZFjjGgGUA6NLw09EwE0CqkOc4q9oUmW1yo/edit?usp=sharing"",""อุทัยธานี!J363"")"),2049)</f>
        <v>2049</v>
      </c>
      <c r="K468" s="163">
        <f t="shared" ca="1" si="117"/>
        <v>0</v>
      </c>
      <c r="L468" s="181"/>
      <c r="M468" s="181"/>
      <c r="N468" s="181"/>
      <c r="O468" s="181"/>
      <c r="P468" s="181"/>
    </row>
    <row r="469" spans="1:16" ht="21.75" customHeight="1" x14ac:dyDescent="0.3">
      <c r="A469" s="400"/>
      <c r="B469" s="401"/>
      <c r="C469" s="401"/>
      <c r="D469" s="402"/>
      <c r="E469" s="195"/>
      <c r="F469" s="388" t="s">
        <v>169</v>
      </c>
      <c r="G469" s="419"/>
      <c r="H469" s="420" t="s">
        <v>122</v>
      </c>
      <c r="I469" s="202">
        <f ca="1">IFERROR(__xludf.DUMMYFUNCTION("IMPORTRANGE(""https://docs.google.com/spreadsheets/d/11923uPwbBZFjjGgGUA6NLw09EwE0CqkOc4q9oUmW1yo/edit?usp=sharing"",""อุทัยธานี!I364"")"),0)</f>
        <v>0</v>
      </c>
      <c r="J469" s="188">
        <f ca="1">IFERROR(__xludf.DUMMYFUNCTION("IMPORTRANGE(""https://docs.google.com/spreadsheets/d/11923uPwbBZFjjGgGUA6NLw09EwE0CqkOc4q9oUmW1yo/edit?usp=sharing"",""อุทัยธานี!J364"")"),4649)</f>
        <v>4649</v>
      </c>
      <c r="K469" s="163">
        <f t="shared" ca="1" si="117"/>
        <v>0</v>
      </c>
      <c r="L469" s="181"/>
      <c r="M469" s="181"/>
      <c r="N469" s="181"/>
      <c r="O469" s="181"/>
      <c r="P469" s="181"/>
    </row>
    <row r="470" spans="1:16" ht="21.75" customHeight="1" x14ac:dyDescent="0.3">
      <c r="A470" s="400"/>
      <c r="B470" s="401"/>
      <c r="C470" s="401"/>
      <c r="D470" s="402"/>
      <c r="E470" s="195"/>
      <c r="F470" s="195"/>
      <c r="G470" s="419"/>
      <c r="H470" s="420" t="s">
        <v>36</v>
      </c>
      <c r="I470" s="202">
        <f ca="1">IFERROR(__xludf.DUMMYFUNCTION("IMPORTRANGE(""https://docs.google.com/spreadsheets/d/11923uPwbBZFjjGgGUA6NLw09EwE0CqkOc4q9oUmW1yo/edit?usp=sharing"",""อุทัยธานี!I365"")"),0)</f>
        <v>0</v>
      </c>
      <c r="J470" s="188">
        <f ca="1">IFERROR(__xludf.DUMMYFUNCTION("IMPORTRANGE(""https://docs.google.com/spreadsheets/d/11923uPwbBZFjjGgGUA6NLw09EwE0CqkOc4q9oUmW1yo/edit?usp=sharing"",""อุทัยธานี!J365"")"),311)</f>
        <v>311</v>
      </c>
      <c r="K470" s="163">
        <f t="shared" ca="1" si="117"/>
        <v>0</v>
      </c>
      <c r="L470" s="181"/>
      <c r="M470" s="181"/>
      <c r="N470" s="181"/>
      <c r="O470" s="181"/>
      <c r="P470" s="181"/>
    </row>
    <row r="471" spans="1:16" ht="21.75" customHeight="1" x14ac:dyDescent="0.3">
      <c r="A471" s="400"/>
      <c r="B471" s="401"/>
      <c r="C471" s="401"/>
      <c r="D471" s="402"/>
      <c r="E471" s="195"/>
      <c r="F471" s="388" t="s">
        <v>170</v>
      </c>
      <c r="G471" s="419"/>
      <c r="H471" s="420" t="s">
        <v>122</v>
      </c>
      <c r="I471" s="202">
        <f ca="1">IFERROR(__xludf.DUMMYFUNCTION("IMPORTRANGE(""https://docs.google.com/spreadsheets/d/11923uPwbBZFjjGgGUA6NLw09EwE0CqkOc4q9oUmW1yo/edit?usp=sharing"",""อุทัยธานี!I366"")"),0)</f>
        <v>0</v>
      </c>
      <c r="J471" s="188">
        <f ca="1">IFERROR(__xludf.DUMMYFUNCTION("IMPORTRANGE(""https://docs.google.com/spreadsheets/d/11923uPwbBZFjjGgGUA6NLw09EwE0CqkOc4q9oUmW1yo/edit?usp=sharing"",""อุทัยธานี!J366"")"),1147)</f>
        <v>1147</v>
      </c>
      <c r="K471" s="163">
        <f t="shared" ca="1" si="117"/>
        <v>0</v>
      </c>
      <c r="L471" s="181"/>
      <c r="M471" s="181"/>
      <c r="N471" s="181"/>
      <c r="O471" s="181"/>
      <c r="P471" s="181"/>
    </row>
    <row r="472" spans="1:16" ht="21.75" customHeight="1" x14ac:dyDescent="0.3">
      <c r="A472" s="400"/>
      <c r="B472" s="401"/>
      <c r="C472" s="401"/>
      <c r="D472" s="402"/>
      <c r="E472" s="195"/>
      <c r="F472" s="195"/>
      <c r="G472" s="195"/>
      <c r="H472" s="420" t="s">
        <v>36</v>
      </c>
      <c r="I472" s="202">
        <f ca="1">IFERROR(__xludf.DUMMYFUNCTION("IMPORTRANGE(""https://docs.google.com/spreadsheets/d/11923uPwbBZFjjGgGUA6NLw09EwE0CqkOc4q9oUmW1yo/edit?usp=sharing"",""อุทัยธานี!I367"")"),0)</f>
        <v>0</v>
      </c>
      <c r="J472" s="188">
        <f ca="1">IFERROR(__xludf.DUMMYFUNCTION("IMPORTRANGE(""https://docs.google.com/spreadsheets/d/11923uPwbBZFjjGgGUA6NLw09EwE0CqkOc4q9oUmW1yo/edit?usp=sharing"",""อุทัยธานี!J367"")"),126)</f>
        <v>126</v>
      </c>
      <c r="K472" s="163">
        <f t="shared" ca="1" si="117"/>
        <v>0</v>
      </c>
      <c r="L472" s="181"/>
      <c r="M472" s="181"/>
      <c r="N472" s="181"/>
      <c r="O472" s="181"/>
      <c r="P472" s="181"/>
    </row>
    <row r="473" spans="1:16" ht="21.75" customHeight="1" x14ac:dyDescent="0.3">
      <c r="A473" s="400"/>
      <c r="B473" s="401"/>
      <c r="C473" s="401"/>
      <c r="D473" s="402"/>
      <c r="E473" s="289" t="s">
        <v>171</v>
      </c>
      <c r="F473" s="195"/>
      <c r="G473" s="196"/>
      <c r="H473" s="416" t="s">
        <v>122</v>
      </c>
      <c r="I473" s="418">
        <f ca="1">IFERROR(__xludf.DUMMYFUNCTION("IMPORTRANGE(""https://docs.google.com/spreadsheets/d/11923uPwbBZFjjGgGUA6NLw09EwE0CqkOc4q9oUmW1yo/edit?usp=sharing"",""อุทัยธานี!I368"")"),24034)</f>
        <v>24034</v>
      </c>
      <c r="J473" s="418">
        <f ca="1">IFERROR(__xludf.DUMMYFUNCTION("IMPORTRANGE(""https://docs.google.com/spreadsheets/d/11923uPwbBZFjjGgGUA6NLw09EwE0CqkOc4q9oUmW1yo/edit?usp=sharing"",""อุทัยธานี!J368"")"),0)</f>
        <v>0</v>
      </c>
      <c r="K473" s="201">
        <f t="shared" ca="1" si="117"/>
        <v>0</v>
      </c>
      <c r="L473" s="181"/>
      <c r="M473" s="181"/>
      <c r="N473" s="181"/>
      <c r="O473" s="181"/>
      <c r="P473" s="181"/>
    </row>
    <row r="474" spans="1:16" ht="21.75" customHeight="1" x14ac:dyDescent="0.3">
      <c r="A474" s="400"/>
      <c r="B474" s="401"/>
      <c r="C474" s="401"/>
      <c r="D474" s="402"/>
      <c r="E474" s="195"/>
      <c r="F474" s="195"/>
      <c r="G474" s="196"/>
      <c r="H474" s="416" t="s">
        <v>36</v>
      </c>
      <c r="I474" s="417">
        <f ca="1">IFERROR(__xludf.DUMMYFUNCTION("IMPORTRANGE(""https://docs.google.com/spreadsheets/d/11923uPwbBZFjjGgGUA6NLw09EwE0CqkOc4q9oUmW1yo/edit?usp=sharing"",""อุทัยธานี!I369"")"),2600)</f>
        <v>2600</v>
      </c>
      <c r="J474" s="418">
        <f ca="1">IFERROR(__xludf.DUMMYFUNCTION("IMPORTRANGE(""https://docs.google.com/spreadsheets/d/11923uPwbBZFjjGgGUA6NLw09EwE0CqkOc4q9oUmW1yo/edit?usp=sharing"",""อุทัยธานี!J369"")"),0)</f>
        <v>0</v>
      </c>
      <c r="K474" s="163">
        <f t="shared" ca="1" si="117"/>
        <v>0</v>
      </c>
      <c r="L474" s="181"/>
      <c r="M474" s="181"/>
      <c r="N474" s="181"/>
      <c r="O474" s="181"/>
      <c r="P474" s="181"/>
    </row>
    <row r="475" spans="1:16" ht="21.75" customHeight="1" x14ac:dyDescent="0.3">
      <c r="A475" s="400"/>
      <c r="B475" s="401"/>
      <c r="C475" s="401"/>
      <c r="D475" s="402"/>
      <c r="E475" s="195"/>
      <c r="F475" s="194" t="s">
        <v>172</v>
      </c>
      <c r="G475" s="419"/>
      <c r="H475" s="420" t="s">
        <v>122</v>
      </c>
      <c r="I475" s="202">
        <f ca="1">IFERROR(__xludf.DUMMYFUNCTION("IMPORTRANGE(""https://docs.google.com/spreadsheets/d/11923uPwbBZFjjGgGUA6NLw09EwE0CqkOc4q9oUmW1yo/edit?usp=sharing"",""อุทัยธานี!I370"")"),0)</f>
        <v>0</v>
      </c>
      <c r="J475" s="188">
        <f ca="1">IFERROR(__xludf.DUMMYFUNCTION("IMPORTRANGE(""https://docs.google.com/spreadsheets/d/11923uPwbBZFjjGgGUA6NLw09EwE0CqkOc4q9oUmW1yo/edit?usp=sharing"",""อุทัยธานี!J370"")"),0)</f>
        <v>0</v>
      </c>
      <c r="K475" s="163">
        <f t="shared" ca="1" si="117"/>
        <v>0</v>
      </c>
      <c r="L475" s="181"/>
      <c r="M475" s="181"/>
      <c r="N475" s="181"/>
      <c r="O475" s="181"/>
      <c r="P475" s="181"/>
    </row>
    <row r="476" spans="1:16" ht="21.75" customHeight="1" x14ac:dyDescent="0.3">
      <c r="A476" s="400"/>
      <c r="B476" s="401"/>
      <c r="C476" s="401"/>
      <c r="D476" s="402"/>
      <c r="E476" s="195"/>
      <c r="F476" s="195"/>
      <c r="G476" s="419"/>
      <c r="H476" s="420" t="s">
        <v>36</v>
      </c>
      <c r="I476" s="202">
        <f ca="1">IFERROR(__xludf.DUMMYFUNCTION("IMPORTRANGE(""https://docs.google.com/spreadsheets/d/11923uPwbBZFjjGgGUA6NLw09EwE0CqkOc4q9oUmW1yo/edit?usp=sharing"",""อุทัยธานี!I371"")"),0)</f>
        <v>0</v>
      </c>
      <c r="J476" s="188">
        <f ca="1">IFERROR(__xludf.DUMMYFUNCTION("IMPORTRANGE(""https://docs.google.com/spreadsheets/d/11923uPwbBZFjjGgGUA6NLw09EwE0CqkOc4q9oUmW1yo/edit?usp=sharing"",""อุทัยธานี!J371"")"),0)</f>
        <v>0</v>
      </c>
      <c r="K476" s="163">
        <f t="shared" ca="1" si="117"/>
        <v>0</v>
      </c>
      <c r="L476" s="181"/>
      <c r="M476" s="181"/>
      <c r="N476" s="181"/>
      <c r="O476" s="181"/>
      <c r="P476" s="181"/>
    </row>
    <row r="477" spans="1:16" ht="21.75" customHeight="1" x14ac:dyDescent="0.3">
      <c r="A477" s="400"/>
      <c r="B477" s="401"/>
      <c r="C477" s="401"/>
      <c r="D477" s="402"/>
      <c r="E477" s="195"/>
      <c r="F477" s="194" t="s">
        <v>173</v>
      </c>
      <c r="G477" s="419"/>
      <c r="H477" s="420" t="s">
        <v>122</v>
      </c>
      <c r="I477" s="202">
        <f ca="1">IFERROR(__xludf.DUMMYFUNCTION("IMPORTRANGE(""https://docs.google.com/spreadsheets/d/11923uPwbBZFjjGgGUA6NLw09EwE0CqkOc4q9oUmW1yo/edit?usp=sharing"",""อุทัยธานี!I372"")"),0)</f>
        <v>0</v>
      </c>
      <c r="J477" s="188">
        <f ca="1">IFERROR(__xludf.DUMMYFUNCTION("IMPORTRANGE(""https://docs.google.com/spreadsheets/d/11923uPwbBZFjjGgGUA6NLw09EwE0CqkOc4q9oUmW1yo/edit?usp=sharing"",""อุทัยธานี!J372"")"),0)</f>
        <v>0</v>
      </c>
      <c r="K477" s="163">
        <f t="shared" ca="1" si="117"/>
        <v>0</v>
      </c>
      <c r="L477" s="181"/>
      <c r="M477" s="181"/>
      <c r="N477" s="181"/>
      <c r="O477" s="181"/>
      <c r="P477" s="181"/>
    </row>
    <row r="478" spans="1:16" ht="21.75" customHeight="1" x14ac:dyDescent="0.3">
      <c r="A478" s="400"/>
      <c r="B478" s="401"/>
      <c r="C478" s="401"/>
      <c r="D478" s="402"/>
      <c r="E478" s="195"/>
      <c r="F478" s="195"/>
      <c r="G478" s="419"/>
      <c r="H478" s="420" t="s">
        <v>36</v>
      </c>
      <c r="I478" s="202">
        <f ca="1">IFERROR(__xludf.DUMMYFUNCTION("IMPORTRANGE(""https://docs.google.com/spreadsheets/d/11923uPwbBZFjjGgGUA6NLw09EwE0CqkOc4q9oUmW1yo/edit?usp=sharing"",""อุทัยธานี!I373"")"),0)</f>
        <v>0</v>
      </c>
      <c r="J478" s="188">
        <f ca="1">IFERROR(__xludf.DUMMYFUNCTION("IMPORTRANGE(""https://docs.google.com/spreadsheets/d/11923uPwbBZFjjGgGUA6NLw09EwE0CqkOc4q9oUmW1yo/edit?usp=sharing"",""อุทัยธานี!J373"")"),0)</f>
        <v>0</v>
      </c>
      <c r="K478" s="163">
        <f t="shared" ca="1" si="117"/>
        <v>0</v>
      </c>
      <c r="L478" s="181"/>
      <c r="M478" s="181"/>
      <c r="N478" s="181"/>
      <c r="O478" s="181"/>
      <c r="P478" s="181"/>
    </row>
    <row r="479" spans="1:16" ht="21.75" customHeight="1" x14ac:dyDescent="0.3">
      <c r="A479" s="400"/>
      <c r="B479" s="401"/>
      <c r="C479" s="401"/>
      <c r="D479" s="402"/>
      <c r="E479" s="195"/>
      <c r="F479" s="194" t="s">
        <v>174</v>
      </c>
      <c r="G479" s="419"/>
      <c r="H479" s="420" t="s">
        <v>122</v>
      </c>
      <c r="I479" s="202">
        <f ca="1">IFERROR(__xludf.DUMMYFUNCTION("IMPORTRANGE(""https://docs.google.com/spreadsheets/d/11923uPwbBZFjjGgGUA6NLw09EwE0CqkOc4q9oUmW1yo/edit?usp=sharing"",""อุทัยธานี!I374"")"),0)</f>
        <v>0</v>
      </c>
      <c r="J479" s="188">
        <f ca="1">IFERROR(__xludf.DUMMYFUNCTION("IMPORTRANGE(""https://docs.google.com/spreadsheets/d/11923uPwbBZFjjGgGUA6NLw09EwE0CqkOc4q9oUmW1yo/edit?usp=sharing"",""อุทัยธานี!J374"")"),0)</f>
        <v>0</v>
      </c>
      <c r="K479" s="163">
        <f t="shared" ca="1" si="117"/>
        <v>0</v>
      </c>
      <c r="L479" s="181"/>
      <c r="M479" s="181"/>
      <c r="N479" s="181"/>
      <c r="O479" s="181"/>
      <c r="P479" s="181"/>
    </row>
    <row r="480" spans="1:16" ht="21.75" customHeight="1" x14ac:dyDescent="0.3">
      <c r="A480" s="400"/>
      <c r="B480" s="401"/>
      <c r="C480" s="401"/>
      <c r="D480" s="402"/>
      <c r="E480" s="195"/>
      <c r="F480" s="195"/>
      <c r="G480" s="196"/>
      <c r="H480" s="420" t="s">
        <v>36</v>
      </c>
      <c r="I480" s="202">
        <f ca="1">IFERROR(__xludf.DUMMYFUNCTION("IMPORTRANGE(""https://docs.google.com/spreadsheets/d/11923uPwbBZFjjGgGUA6NLw09EwE0CqkOc4q9oUmW1yo/edit?usp=sharing"",""อุทัยธานี!I375"")"),0)</f>
        <v>0</v>
      </c>
      <c r="J480" s="188">
        <f ca="1">IFERROR(__xludf.DUMMYFUNCTION("IMPORTRANGE(""https://docs.google.com/spreadsheets/d/11923uPwbBZFjjGgGUA6NLw09EwE0CqkOc4q9oUmW1yo/edit?usp=sharing"",""อุทัยธานี!J375"")"),0)</f>
        <v>0</v>
      </c>
      <c r="K480" s="163">
        <f t="shared" ca="1" si="117"/>
        <v>0</v>
      </c>
      <c r="L480" s="181"/>
      <c r="M480" s="181"/>
      <c r="N480" s="181"/>
      <c r="O480" s="181"/>
      <c r="P480" s="181"/>
    </row>
    <row r="481" spans="1:16" ht="21.75" customHeight="1" x14ac:dyDescent="0.3">
      <c r="A481" s="421"/>
      <c r="B481" s="422"/>
      <c r="C481" s="422"/>
      <c r="D481" s="423"/>
      <c r="E481" s="424" t="s">
        <v>175</v>
      </c>
      <c r="F481" s="425"/>
      <c r="G481" s="426"/>
      <c r="H481" s="427" t="s">
        <v>122</v>
      </c>
      <c r="I481" s="418">
        <f ca="1">IFERROR(__xludf.DUMMYFUNCTION("IMPORTRANGE(""https://docs.google.com/spreadsheets/d/11923uPwbBZFjjGgGUA6NLw09EwE0CqkOc4q9oUmW1yo/edit?usp=sharing"",""อุทัยธานี!I376"")"),24034)</f>
        <v>24034</v>
      </c>
      <c r="J481" s="418">
        <f ca="1">IFERROR(__xludf.DUMMYFUNCTION("IMPORTRANGE(""https://docs.google.com/spreadsheets/d/11923uPwbBZFjjGgGUA6NLw09EwE0CqkOc4q9oUmW1yo/edit?usp=sharing"",""อุทัยธานี!J376"")"),0)</f>
        <v>0</v>
      </c>
      <c r="K481" s="201">
        <f t="shared" ca="1" si="117"/>
        <v>0</v>
      </c>
      <c r="L481" s="428"/>
      <c r="M481" s="428"/>
      <c r="N481" s="428"/>
      <c r="O481" s="428"/>
      <c r="P481" s="428"/>
    </row>
    <row r="482" spans="1:16" ht="21.75" customHeight="1" x14ac:dyDescent="0.3">
      <c r="A482" s="400"/>
      <c r="B482" s="401"/>
      <c r="C482" s="401"/>
      <c r="D482" s="402"/>
      <c r="E482" s="195"/>
      <c r="F482" s="195"/>
      <c r="G482" s="196"/>
      <c r="H482" s="416" t="s">
        <v>36</v>
      </c>
      <c r="I482" s="417">
        <f ca="1">IFERROR(__xludf.DUMMYFUNCTION("IMPORTRANGE(""https://docs.google.com/spreadsheets/d/11923uPwbBZFjjGgGUA6NLw09EwE0CqkOc4q9oUmW1yo/edit?usp=sharing"",""อุทัยธานี!I377"")"),2600)</f>
        <v>2600</v>
      </c>
      <c r="J482" s="418">
        <f ca="1">IFERROR(__xludf.DUMMYFUNCTION("IMPORTRANGE(""https://docs.google.com/spreadsheets/d/11923uPwbBZFjjGgGUA6NLw09EwE0CqkOc4q9oUmW1yo/edit?usp=sharing"",""อุทัยธานี!J377"")"),0)</f>
        <v>0</v>
      </c>
      <c r="K482" s="163">
        <f t="shared" ca="1" si="117"/>
        <v>0</v>
      </c>
      <c r="L482" s="181"/>
      <c r="M482" s="181"/>
      <c r="N482" s="181"/>
      <c r="O482" s="181"/>
      <c r="P482" s="181"/>
    </row>
    <row r="483" spans="1:16" ht="21.75" customHeight="1" x14ac:dyDescent="0.3">
      <c r="A483" s="400"/>
      <c r="B483" s="401"/>
      <c r="C483" s="401"/>
      <c r="D483" s="402"/>
      <c r="E483" s="195"/>
      <c r="F483" s="194" t="s">
        <v>176</v>
      </c>
      <c r="G483" s="419"/>
      <c r="H483" s="420" t="s">
        <v>122</v>
      </c>
      <c r="I483" s="202">
        <f ca="1">IFERROR(__xludf.DUMMYFUNCTION("IMPORTRANGE(""https://docs.google.com/spreadsheets/d/11923uPwbBZFjjGgGUA6NLw09EwE0CqkOc4q9oUmW1yo/edit?usp=sharing"",""อุทัยธานี!I378"")"),0)</f>
        <v>0</v>
      </c>
      <c r="J483" s="188">
        <f ca="1">IFERROR(__xludf.DUMMYFUNCTION("IMPORTRANGE(""https://docs.google.com/spreadsheets/d/11923uPwbBZFjjGgGUA6NLw09EwE0CqkOc4q9oUmW1yo/edit?usp=sharing"",""อุทัยธานี!J378"")"),0)</f>
        <v>0</v>
      </c>
      <c r="K483" s="163">
        <f t="shared" ca="1" si="117"/>
        <v>0</v>
      </c>
      <c r="L483" s="181"/>
      <c r="M483" s="181"/>
      <c r="N483" s="181"/>
      <c r="O483" s="181"/>
      <c r="P483" s="181"/>
    </row>
    <row r="484" spans="1:16" ht="21.75" customHeight="1" x14ac:dyDescent="0.3">
      <c r="A484" s="400"/>
      <c r="B484" s="401"/>
      <c r="C484" s="401"/>
      <c r="D484" s="402"/>
      <c r="E484" s="195"/>
      <c r="F484" s="195"/>
      <c r="G484" s="419"/>
      <c r="H484" s="420" t="s">
        <v>36</v>
      </c>
      <c r="I484" s="202">
        <f ca="1">IFERROR(__xludf.DUMMYFUNCTION("IMPORTRANGE(""https://docs.google.com/spreadsheets/d/11923uPwbBZFjjGgGUA6NLw09EwE0CqkOc4q9oUmW1yo/edit?usp=sharing"",""อุทัยธานี!I379"")"),0)</f>
        <v>0</v>
      </c>
      <c r="J484" s="188">
        <f ca="1">IFERROR(__xludf.DUMMYFUNCTION("IMPORTRANGE(""https://docs.google.com/spreadsheets/d/11923uPwbBZFjjGgGUA6NLw09EwE0CqkOc4q9oUmW1yo/edit?usp=sharing"",""อุทัยธานี!J379"")"),0)</f>
        <v>0</v>
      </c>
      <c r="K484" s="163">
        <f t="shared" ca="1" si="117"/>
        <v>0</v>
      </c>
      <c r="L484" s="181"/>
      <c r="M484" s="181"/>
      <c r="N484" s="181"/>
      <c r="O484" s="181"/>
      <c r="P484" s="181"/>
    </row>
    <row r="485" spans="1:16" ht="21.75" customHeight="1" x14ac:dyDescent="0.3">
      <c r="A485" s="400"/>
      <c r="B485" s="401"/>
      <c r="C485" s="401"/>
      <c r="D485" s="402"/>
      <c r="E485" s="195"/>
      <c r="F485" s="194" t="s">
        <v>177</v>
      </c>
      <c r="G485" s="419"/>
      <c r="H485" s="420" t="s">
        <v>122</v>
      </c>
      <c r="I485" s="202">
        <f ca="1">IFERROR(__xludf.DUMMYFUNCTION("IMPORTRANGE(""https://docs.google.com/spreadsheets/d/11923uPwbBZFjjGgGUA6NLw09EwE0CqkOc4q9oUmW1yo/edit?usp=sharing"",""อุทัยธานี!I380"")"),0)</f>
        <v>0</v>
      </c>
      <c r="J485" s="188">
        <f ca="1">IFERROR(__xludf.DUMMYFUNCTION("IMPORTRANGE(""https://docs.google.com/spreadsheets/d/11923uPwbBZFjjGgGUA6NLw09EwE0CqkOc4q9oUmW1yo/edit?usp=sharing"",""อุทัยธานี!J380"")"),0)</f>
        <v>0</v>
      </c>
      <c r="K485" s="163">
        <f t="shared" ca="1" si="117"/>
        <v>0</v>
      </c>
      <c r="L485" s="181"/>
      <c r="M485" s="181"/>
      <c r="N485" s="181"/>
      <c r="O485" s="181"/>
      <c r="P485" s="181"/>
    </row>
    <row r="486" spans="1:16" ht="21.75" customHeight="1" x14ac:dyDescent="0.3">
      <c r="A486" s="400"/>
      <c r="B486" s="401"/>
      <c r="C486" s="401"/>
      <c r="D486" s="402"/>
      <c r="E486" s="195"/>
      <c r="F486" s="195"/>
      <c r="G486" s="419"/>
      <c r="H486" s="420" t="s">
        <v>36</v>
      </c>
      <c r="I486" s="202">
        <f ca="1">IFERROR(__xludf.DUMMYFUNCTION("IMPORTRANGE(""https://docs.google.com/spreadsheets/d/11923uPwbBZFjjGgGUA6NLw09EwE0CqkOc4q9oUmW1yo/edit?usp=sharing"",""อุทัยธานี!I381"")"),0)</f>
        <v>0</v>
      </c>
      <c r="J486" s="188">
        <f ca="1">IFERROR(__xludf.DUMMYFUNCTION("IMPORTRANGE(""https://docs.google.com/spreadsheets/d/11923uPwbBZFjjGgGUA6NLw09EwE0CqkOc4q9oUmW1yo/edit?usp=sharing"",""อุทัยธานี!J381"")"),0)</f>
        <v>0</v>
      </c>
      <c r="K486" s="163">
        <f t="shared" ca="1" si="117"/>
        <v>0</v>
      </c>
      <c r="L486" s="181"/>
      <c r="M486" s="181"/>
      <c r="N486" s="181"/>
      <c r="O486" s="181"/>
      <c r="P486" s="181"/>
    </row>
    <row r="487" spans="1:16" ht="21.75" customHeight="1" x14ac:dyDescent="0.3">
      <c r="A487" s="400"/>
      <c r="B487" s="401"/>
      <c r="C487" s="401"/>
      <c r="D487" s="402"/>
      <c r="E487" s="195"/>
      <c r="F487" s="194" t="s">
        <v>178</v>
      </c>
      <c r="G487" s="419"/>
      <c r="H487" s="420" t="s">
        <v>122</v>
      </c>
      <c r="I487" s="202">
        <f ca="1">IFERROR(__xludf.DUMMYFUNCTION("IMPORTRANGE(""https://docs.google.com/spreadsheets/d/11923uPwbBZFjjGgGUA6NLw09EwE0CqkOc4q9oUmW1yo/edit?usp=sharing"",""อุทัยธานี!I382"")"),0)</f>
        <v>0</v>
      </c>
      <c r="J487" s="418">
        <f ca="1">IFERROR(__xludf.DUMMYFUNCTION("IMPORTRANGE(""https://docs.google.com/spreadsheets/d/11923uPwbBZFjjGgGUA6NLw09EwE0CqkOc4q9oUmW1yo/edit?usp=sharing"",""อุทัยธานี!J382"")"),0)</f>
        <v>0</v>
      </c>
      <c r="K487" s="163">
        <f t="shared" ca="1" si="117"/>
        <v>0</v>
      </c>
      <c r="L487" s="181"/>
      <c r="M487" s="181"/>
      <c r="N487" s="181"/>
      <c r="O487" s="181"/>
      <c r="P487" s="181"/>
    </row>
    <row r="488" spans="1:16" ht="21.75" customHeight="1" x14ac:dyDescent="0.3">
      <c r="A488" s="400"/>
      <c r="B488" s="401"/>
      <c r="C488" s="401"/>
      <c r="D488" s="402"/>
      <c r="E488" s="195"/>
      <c r="F488" s="195"/>
      <c r="G488" s="195"/>
      <c r="H488" s="420" t="s">
        <v>36</v>
      </c>
      <c r="I488" s="202">
        <f ca="1">IFERROR(__xludf.DUMMYFUNCTION("IMPORTRANGE(""https://docs.google.com/spreadsheets/d/11923uPwbBZFjjGgGUA6NLw09EwE0CqkOc4q9oUmW1yo/edit?usp=sharing"",""อุทัยธานี!I383"")"),0)</f>
        <v>0</v>
      </c>
      <c r="J488" s="418">
        <f ca="1">IFERROR(__xludf.DUMMYFUNCTION("IMPORTRANGE(""https://docs.google.com/spreadsheets/d/11923uPwbBZFjjGgGUA6NLw09EwE0CqkOc4q9oUmW1yo/edit?usp=sharing"",""อุทัยธานี!J383"")"),0)</f>
        <v>0</v>
      </c>
      <c r="K488" s="163">
        <f t="shared" ca="1" si="117"/>
        <v>0</v>
      </c>
      <c r="L488" s="181"/>
      <c r="M488" s="181"/>
      <c r="N488" s="181"/>
      <c r="O488" s="181"/>
      <c r="P488" s="181"/>
    </row>
    <row r="489" spans="1:16" ht="21.75" customHeight="1" x14ac:dyDescent="0.3">
      <c r="A489" s="400"/>
      <c r="B489" s="401"/>
      <c r="C489" s="401"/>
      <c r="D489" s="402"/>
      <c r="E489" s="195"/>
      <c r="F489" s="195"/>
      <c r="G489" s="194" t="s">
        <v>179</v>
      </c>
      <c r="H489" s="420" t="s">
        <v>122</v>
      </c>
      <c r="I489" s="202">
        <f ca="1">IFERROR(__xludf.DUMMYFUNCTION("IMPORTRANGE(""https://docs.google.com/spreadsheets/d/11923uPwbBZFjjGgGUA6NLw09EwE0CqkOc4q9oUmW1yo/edit?usp=sharing"",""อุทัยธานี!I384"")"),0)</f>
        <v>0</v>
      </c>
      <c r="J489" s="188">
        <f ca="1">IFERROR(__xludf.DUMMYFUNCTION("IMPORTRANGE(""https://docs.google.com/spreadsheets/d/11923uPwbBZFjjGgGUA6NLw09EwE0CqkOc4q9oUmW1yo/edit?usp=sharing"",""อุทัยธานี!J384"")"),0)</f>
        <v>0</v>
      </c>
      <c r="K489" s="163">
        <f t="shared" ca="1" si="117"/>
        <v>0</v>
      </c>
      <c r="L489" s="181"/>
      <c r="M489" s="181"/>
      <c r="N489" s="181"/>
      <c r="O489" s="181"/>
      <c r="P489" s="181"/>
    </row>
    <row r="490" spans="1:16" ht="21.75" customHeight="1" x14ac:dyDescent="0.3">
      <c r="A490" s="400"/>
      <c r="B490" s="401"/>
      <c r="C490" s="401"/>
      <c r="D490" s="402"/>
      <c r="E490" s="195"/>
      <c r="F490" s="195"/>
      <c r="G490" s="195"/>
      <c r="H490" s="420" t="s">
        <v>36</v>
      </c>
      <c r="I490" s="202">
        <f ca="1">IFERROR(__xludf.DUMMYFUNCTION("IMPORTRANGE(""https://docs.google.com/spreadsheets/d/11923uPwbBZFjjGgGUA6NLw09EwE0CqkOc4q9oUmW1yo/edit?usp=sharing"",""อุทัยธานี!I385"")"),0)</f>
        <v>0</v>
      </c>
      <c r="J490" s="188">
        <f ca="1">IFERROR(__xludf.DUMMYFUNCTION("IMPORTRANGE(""https://docs.google.com/spreadsheets/d/11923uPwbBZFjjGgGUA6NLw09EwE0CqkOc4q9oUmW1yo/edit?usp=sharing"",""อุทัยธานี!J385"")"),0)</f>
        <v>0</v>
      </c>
      <c r="K490" s="163">
        <f t="shared" ca="1" si="117"/>
        <v>0</v>
      </c>
      <c r="L490" s="181"/>
      <c r="M490" s="181"/>
      <c r="N490" s="181"/>
      <c r="O490" s="181"/>
      <c r="P490" s="181"/>
    </row>
    <row r="491" spans="1:16" ht="21.75" customHeight="1" x14ac:dyDescent="0.3">
      <c r="A491" s="400"/>
      <c r="B491" s="401"/>
      <c r="C491" s="401"/>
      <c r="D491" s="402"/>
      <c r="E491" s="195"/>
      <c r="F491" s="195"/>
      <c r="G491" s="194" t="s">
        <v>180</v>
      </c>
      <c r="H491" s="420" t="s">
        <v>122</v>
      </c>
      <c r="I491" s="202">
        <f ca="1">IFERROR(__xludf.DUMMYFUNCTION("IMPORTRANGE(""https://docs.google.com/spreadsheets/d/11923uPwbBZFjjGgGUA6NLw09EwE0CqkOc4q9oUmW1yo/edit?usp=sharing"",""อุทัยธานี!I386"")"),0)</f>
        <v>0</v>
      </c>
      <c r="J491" s="188">
        <f ca="1">IFERROR(__xludf.DUMMYFUNCTION("IMPORTRANGE(""https://docs.google.com/spreadsheets/d/11923uPwbBZFjjGgGUA6NLw09EwE0CqkOc4q9oUmW1yo/edit?usp=sharing"",""อุทัยธานี!J386"")"),0)</f>
        <v>0</v>
      </c>
      <c r="K491" s="163">
        <f t="shared" ca="1" si="117"/>
        <v>0</v>
      </c>
      <c r="L491" s="181"/>
      <c r="M491" s="181"/>
      <c r="N491" s="181"/>
      <c r="O491" s="181"/>
      <c r="P491" s="181"/>
    </row>
    <row r="492" spans="1:16" ht="21.75" customHeight="1" x14ac:dyDescent="0.3">
      <c r="A492" s="400"/>
      <c r="B492" s="401"/>
      <c r="C492" s="401"/>
      <c r="D492" s="402"/>
      <c r="E492" s="195"/>
      <c r="F492" s="195"/>
      <c r="G492" s="196"/>
      <c r="H492" s="420" t="s">
        <v>36</v>
      </c>
      <c r="I492" s="202">
        <f ca="1">IFERROR(__xludf.DUMMYFUNCTION("IMPORTRANGE(""https://docs.google.com/spreadsheets/d/11923uPwbBZFjjGgGUA6NLw09EwE0CqkOc4q9oUmW1yo/edit?usp=sharing"",""อุทัยธานี!I387"")"),0)</f>
        <v>0</v>
      </c>
      <c r="J492" s="188">
        <f ca="1">IFERROR(__xludf.DUMMYFUNCTION("IMPORTRANGE(""https://docs.google.com/spreadsheets/d/11923uPwbBZFjjGgGUA6NLw09EwE0CqkOc4q9oUmW1yo/edit?usp=sharing"",""อุทัยธานี!J387"")"),0)</f>
        <v>0</v>
      </c>
      <c r="K492" s="163">
        <f t="shared" ca="1" si="117"/>
        <v>0</v>
      </c>
      <c r="L492" s="181"/>
      <c r="M492" s="181"/>
      <c r="N492" s="181"/>
      <c r="O492" s="181"/>
      <c r="P492" s="181"/>
    </row>
    <row r="493" spans="1:16" ht="21.75" customHeight="1" x14ac:dyDescent="0.3">
      <c r="A493" s="400"/>
      <c r="B493" s="401"/>
      <c r="C493" s="401"/>
      <c r="D493" s="402"/>
      <c r="E493" s="195"/>
      <c r="F493" s="194" t="s">
        <v>181</v>
      </c>
      <c r="G493" s="419"/>
      <c r="H493" s="420" t="s">
        <v>122</v>
      </c>
      <c r="I493" s="202">
        <f ca="1">IFERROR(__xludf.DUMMYFUNCTION("IMPORTRANGE(""https://docs.google.com/spreadsheets/d/11923uPwbBZFjjGgGUA6NLw09EwE0CqkOc4q9oUmW1yo/edit?usp=sharing"",""อุทัยธานี!I388"")"),0)</f>
        <v>0</v>
      </c>
      <c r="J493" s="188">
        <f ca="1">IFERROR(__xludf.DUMMYFUNCTION("IMPORTRANGE(""https://docs.google.com/spreadsheets/d/11923uPwbBZFjjGgGUA6NLw09EwE0CqkOc4q9oUmW1yo/edit?usp=sharing"",""อุทัยธานี!J388"")"),0)</f>
        <v>0</v>
      </c>
      <c r="K493" s="163">
        <f t="shared" ca="1" si="117"/>
        <v>0</v>
      </c>
      <c r="L493" s="181"/>
      <c r="M493" s="181"/>
      <c r="N493" s="181"/>
      <c r="O493" s="181"/>
      <c r="P493" s="181"/>
    </row>
    <row r="494" spans="1:16" ht="21.75" customHeight="1" x14ac:dyDescent="0.3">
      <c r="A494" s="429"/>
      <c r="B494" s="430"/>
      <c r="C494" s="430"/>
      <c r="D494" s="431"/>
      <c r="E494" s="345"/>
      <c r="F494" s="345"/>
      <c r="G494" s="345"/>
      <c r="H494" s="432" t="s">
        <v>36</v>
      </c>
      <c r="I494" s="433">
        <f ca="1">IFERROR(__xludf.DUMMYFUNCTION("IMPORTRANGE(""https://docs.google.com/spreadsheets/d/11923uPwbBZFjjGgGUA6NLw09EwE0CqkOc4q9oUmW1yo/edit?usp=sharing"",""อุทัยธานี!I389"")"),0)</f>
        <v>0</v>
      </c>
      <c r="J494" s="434">
        <f ca="1">IFERROR(__xludf.DUMMYFUNCTION("IMPORTRANGE(""https://docs.google.com/spreadsheets/d/11923uPwbBZFjjGgGUA6NLw09EwE0CqkOc4q9oUmW1yo/edit?usp=sharing"",""อุทัยธานี!J389"")"),0)</f>
        <v>0</v>
      </c>
      <c r="K494" s="286">
        <f t="shared" ca="1" si="117"/>
        <v>0</v>
      </c>
      <c r="L494" s="244"/>
      <c r="M494" s="244"/>
      <c r="N494" s="244"/>
      <c r="O494" s="244"/>
      <c r="P494" s="244"/>
    </row>
    <row r="495" spans="1:16" ht="21.75" customHeight="1" x14ac:dyDescent="0.3">
      <c r="A495" s="400"/>
      <c r="B495" s="401"/>
      <c r="C495" s="401"/>
      <c r="D495" s="402"/>
      <c r="E495" s="195"/>
      <c r="F495" s="195">
        <v>3.5</v>
      </c>
      <c r="G495" s="419" t="s">
        <v>182</v>
      </c>
      <c r="H495" s="420" t="s">
        <v>122</v>
      </c>
      <c r="I495" s="433">
        <f ca="1">IFERROR(__xludf.DUMMYFUNCTION("IMPORTRANGE(""https://docs.google.com/spreadsheets/d/11923uPwbBZFjjGgGUA6NLw09EwE0CqkOc4q9oUmW1yo/edit?usp=sharing"",""อุทัยธานี!I390"")"),0)</f>
        <v>0</v>
      </c>
      <c r="J495" s="434">
        <f ca="1">IFERROR(__xludf.DUMMYFUNCTION("IMPORTRANGE(""https://docs.google.com/spreadsheets/d/11923uPwbBZFjjGgGUA6NLw09EwE0CqkOc4q9oUmW1yo/edit?usp=sharing"",""อุทัยธานี!J390"")"),0)</f>
        <v>0</v>
      </c>
      <c r="K495" s="163">
        <f t="shared" ca="1" si="117"/>
        <v>0</v>
      </c>
      <c r="L495" s="181"/>
      <c r="M495" s="181"/>
      <c r="N495" s="181"/>
      <c r="O495" s="181"/>
      <c r="P495" s="181"/>
    </row>
    <row r="496" spans="1:16" ht="21.75" customHeight="1" x14ac:dyDescent="0.3">
      <c r="A496" s="429"/>
      <c r="B496" s="430"/>
      <c r="C496" s="430"/>
      <c r="D496" s="431"/>
      <c r="E496" s="345"/>
      <c r="F496" s="345"/>
      <c r="G496" s="345"/>
      <c r="H496" s="432" t="s">
        <v>36</v>
      </c>
      <c r="I496" s="433">
        <f ca="1">IFERROR(__xludf.DUMMYFUNCTION("IMPORTRANGE(""https://docs.google.com/spreadsheets/d/11923uPwbBZFjjGgGUA6NLw09EwE0CqkOc4q9oUmW1yo/edit?usp=sharing"",""อุทัยธานี!I391"")"),0)</f>
        <v>0</v>
      </c>
      <c r="J496" s="434">
        <f ca="1">IFERROR(__xludf.DUMMYFUNCTION("IMPORTRANGE(""https://docs.google.com/spreadsheets/d/11923uPwbBZFjjGgGUA6NLw09EwE0CqkOc4q9oUmW1yo/edit?usp=sharing"",""อุทัยธานี!J391"")"),0)</f>
        <v>0</v>
      </c>
      <c r="K496" s="286">
        <f t="shared" ca="1" si="117"/>
        <v>0</v>
      </c>
      <c r="L496" s="244"/>
      <c r="M496" s="244"/>
      <c r="N496" s="244"/>
      <c r="O496" s="244"/>
      <c r="P496" s="244"/>
    </row>
    <row r="497" spans="1:16" ht="21.75" customHeight="1" x14ac:dyDescent="0.3">
      <c r="A497" s="435"/>
      <c r="B497" s="436"/>
      <c r="C497" s="437" t="s">
        <v>183</v>
      </c>
      <c r="D497" s="437"/>
      <c r="E497" s="438"/>
      <c r="F497" s="438"/>
      <c r="G497" s="439"/>
      <c r="H497" s="440" t="s">
        <v>122</v>
      </c>
      <c r="I497" s="441">
        <f ca="1">IFERROR(__xludf.DUMMYFUNCTION("IMPORTRANGE(""https://docs.google.com/spreadsheets/d/11923uPwbBZFjjGgGUA6NLw09EwE0CqkOc4q9oUmW1yo/edit?usp=sharing"",""อุทัยธานี!I392"")"),7373)</f>
        <v>7373</v>
      </c>
      <c r="J497" s="441">
        <f ca="1">IFERROR(__xludf.DUMMYFUNCTION("IMPORTRANGE(""https://docs.google.com/spreadsheets/d/11923uPwbBZFjjGgGUA6NLw09EwE0CqkOc4q9oUmW1yo/edit?usp=sharing"",""อุทัยธานี!J392"")"),303)</f>
        <v>303</v>
      </c>
      <c r="K497" s="442">
        <f t="shared" ca="1" si="117"/>
        <v>4.1095890410958908</v>
      </c>
      <c r="L497" s="443"/>
      <c r="M497" s="443"/>
      <c r="N497" s="443"/>
      <c r="O497" s="443"/>
      <c r="P497" s="443"/>
    </row>
    <row r="498" spans="1:16" ht="21.75" customHeight="1" x14ac:dyDescent="0.3">
      <c r="A498" s="175"/>
      <c r="B498" s="176"/>
      <c r="C498" s="176"/>
      <c r="D498" s="402"/>
      <c r="E498" s="444" t="s">
        <v>184</v>
      </c>
      <c r="F498" s="445"/>
      <c r="G498" s="446"/>
      <c r="H498" s="447" t="s">
        <v>122</v>
      </c>
      <c r="I498" s="418">
        <f ca="1">IFERROR(__xludf.DUMMYFUNCTION("IMPORTRANGE(""https://docs.google.com/spreadsheets/d/11923uPwbBZFjjGgGUA6NLw09EwE0CqkOc4q9oUmW1yo/edit?usp=sharing"",""อุทัยธานี!I393"")"),7373)</f>
        <v>7373</v>
      </c>
      <c r="J498" s="418">
        <f ca="1">IFERROR(__xludf.DUMMYFUNCTION("IMPORTRANGE(""https://docs.google.com/spreadsheets/d/11923uPwbBZFjjGgGUA6NLw09EwE0CqkOc4q9oUmW1yo/edit?usp=sharing"",""อุทัยธานี!J393"")"),303)</f>
        <v>303</v>
      </c>
      <c r="K498" s="163">
        <f t="shared" ca="1" si="117"/>
        <v>4.1095890410958908</v>
      </c>
      <c r="L498" s="181"/>
      <c r="M498" s="181"/>
      <c r="N498" s="181"/>
      <c r="O498" s="181"/>
      <c r="P498" s="181"/>
    </row>
    <row r="499" spans="1:16" ht="21.75" customHeight="1" x14ac:dyDescent="0.3">
      <c r="A499" s="175"/>
      <c r="B499" s="176"/>
      <c r="C499" s="176"/>
      <c r="D499" s="193"/>
      <c r="E499" s="445"/>
      <c r="F499" s="445"/>
      <c r="G499" s="446"/>
      <c r="H499" s="447" t="s">
        <v>36</v>
      </c>
      <c r="I499" s="418">
        <f ca="1">IFERROR(__xludf.DUMMYFUNCTION("IMPORTRANGE(""https://docs.google.com/spreadsheets/d/11923uPwbBZFjjGgGUA6NLw09EwE0CqkOc4q9oUmW1yo/edit?usp=sharing"",""อุทัยธานี!I394"")"),412)</f>
        <v>412</v>
      </c>
      <c r="J499" s="418">
        <f ca="1">IFERROR(__xludf.DUMMYFUNCTION("IMPORTRANGE(""https://docs.google.com/spreadsheets/d/11923uPwbBZFjjGgGUA6NLw09EwE0CqkOc4q9oUmW1yo/edit?usp=sharing"",""อุทัยธานี!J394"")"),21)</f>
        <v>21</v>
      </c>
      <c r="K499" s="201">
        <f t="shared" ca="1" si="117"/>
        <v>5.0970873786407767</v>
      </c>
      <c r="L499" s="181"/>
      <c r="M499" s="181"/>
      <c r="N499" s="181"/>
      <c r="O499" s="181"/>
      <c r="P499" s="181"/>
    </row>
    <row r="500" spans="1:16" ht="21.75" customHeight="1" x14ac:dyDescent="0.3">
      <c r="A500" s="175"/>
      <c r="B500" s="176"/>
      <c r="C500" s="176"/>
      <c r="D500" s="402"/>
      <c r="E500" s="402" t="s">
        <v>185</v>
      </c>
      <c r="F500" s="195"/>
      <c r="G500" s="196"/>
      <c r="H500" s="420" t="s">
        <v>122</v>
      </c>
      <c r="I500" s="202">
        <f ca="1">IFERROR(__xludf.DUMMYFUNCTION("IMPORTRANGE(""https://docs.google.com/spreadsheets/d/11923uPwbBZFjjGgGUA6NLw09EwE0CqkOc4q9oUmW1yo/edit?usp=sharing"",""อุทัยธานี!I395"")"),0)</f>
        <v>0</v>
      </c>
      <c r="J500" s="162">
        <f ca="1">IFERROR(__xludf.DUMMYFUNCTION("IMPORTRANGE(""https://docs.google.com/spreadsheets/d/11923uPwbBZFjjGgGUA6NLw09EwE0CqkOc4q9oUmW1yo/edit?usp=sharing"",""อุทัยธานี!J395"")"),303)</f>
        <v>303</v>
      </c>
      <c r="K500" s="163">
        <f t="shared" ca="1" si="117"/>
        <v>0</v>
      </c>
      <c r="L500" s="181"/>
      <c r="M500" s="181"/>
      <c r="N500" s="181"/>
      <c r="O500" s="181"/>
      <c r="P500" s="181"/>
    </row>
    <row r="501" spans="1:16" ht="21.75" customHeight="1" x14ac:dyDescent="0.3">
      <c r="A501" s="175"/>
      <c r="B501" s="176"/>
      <c r="C501" s="176"/>
      <c r="D501" s="193"/>
      <c r="E501" s="195"/>
      <c r="F501" s="195"/>
      <c r="G501" s="196"/>
      <c r="H501" s="420" t="s">
        <v>36</v>
      </c>
      <c r="I501" s="202">
        <f ca="1">IFERROR(__xludf.DUMMYFUNCTION("IMPORTRANGE(""https://docs.google.com/spreadsheets/d/11923uPwbBZFjjGgGUA6NLw09EwE0CqkOc4q9oUmW1yo/edit?usp=sharing"",""อุทัยธานี!I396"")"),0)</f>
        <v>0</v>
      </c>
      <c r="J501" s="162">
        <f ca="1">IFERROR(__xludf.DUMMYFUNCTION("IMPORTRANGE(""https://docs.google.com/spreadsheets/d/11923uPwbBZFjjGgGUA6NLw09EwE0CqkOc4q9oUmW1yo/edit?usp=sharing"",""อุทัยธานี!J396"")"),21)</f>
        <v>21</v>
      </c>
      <c r="K501" s="163">
        <f t="shared" ca="1" si="117"/>
        <v>0</v>
      </c>
      <c r="L501" s="181"/>
      <c r="M501" s="181"/>
      <c r="N501" s="181"/>
      <c r="O501" s="181"/>
      <c r="P501" s="181"/>
    </row>
    <row r="502" spans="1:16" ht="21.75" customHeight="1" x14ac:dyDescent="0.3">
      <c r="A502" s="175"/>
      <c r="B502" s="176"/>
      <c r="C502" s="176"/>
      <c r="D502" s="193"/>
      <c r="E502" s="195"/>
      <c r="F502" s="397" t="s">
        <v>186</v>
      </c>
      <c r="G502" s="419"/>
      <c r="H502" s="420" t="s">
        <v>122</v>
      </c>
      <c r="I502" s="202">
        <f ca="1">IFERROR(__xludf.DUMMYFUNCTION("IMPORTRANGE(""https://docs.google.com/spreadsheets/d/11923uPwbBZFjjGgGUA6NLw09EwE0CqkOc4q9oUmW1yo/edit?usp=sharing"",""อุทัยธานี!I397"")"),0)</f>
        <v>0</v>
      </c>
      <c r="J502" s="188">
        <f ca="1">IFERROR(__xludf.DUMMYFUNCTION("IMPORTRANGE(""https://docs.google.com/spreadsheets/d/11923uPwbBZFjjGgGUA6NLw09EwE0CqkOc4q9oUmW1yo/edit?usp=sharing"",""อุทัยธานี!J397"")"),277)</f>
        <v>277</v>
      </c>
      <c r="K502" s="163">
        <f t="shared" ca="1" si="117"/>
        <v>0</v>
      </c>
      <c r="L502" s="181"/>
      <c r="M502" s="181"/>
      <c r="N502" s="181"/>
      <c r="O502" s="181"/>
      <c r="P502" s="181"/>
    </row>
    <row r="503" spans="1:16" ht="21.75" customHeight="1" x14ac:dyDescent="0.3">
      <c r="A503" s="175"/>
      <c r="B503" s="176"/>
      <c r="C503" s="176"/>
      <c r="D503" s="193"/>
      <c r="E503" s="195"/>
      <c r="F503" s="195"/>
      <c r="G503" s="419"/>
      <c r="H503" s="420" t="s">
        <v>36</v>
      </c>
      <c r="I503" s="187">
        <f ca="1">IFERROR(__xludf.DUMMYFUNCTION("IMPORTRANGE(""https://docs.google.com/spreadsheets/d/11923uPwbBZFjjGgGUA6NLw09EwE0CqkOc4q9oUmW1yo/edit?usp=sharing"",""อุทัยธานี!I398"")"),0)</f>
        <v>0</v>
      </c>
      <c r="J503" s="197">
        <f ca="1">IFERROR(__xludf.DUMMYFUNCTION("IMPORTRANGE(""https://docs.google.com/spreadsheets/d/11923uPwbBZFjjGgGUA6NLw09EwE0CqkOc4q9oUmW1yo/edit?usp=sharing"",""อุทัยธานี!J398"")"),20)</f>
        <v>20</v>
      </c>
      <c r="K503" s="163">
        <f t="shared" ca="1" si="117"/>
        <v>0</v>
      </c>
      <c r="L503" s="181"/>
      <c r="M503" s="181"/>
      <c r="N503" s="181"/>
      <c r="O503" s="181"/>
      <c r="P503" s="181"/>
    </row>
    <row r="504" spans="1:16" ht="21.75" customHeight="1" x14ac:dyDescent="0.3">
      <c r="A504" s="175"/>
      <c r="B504" s="176"/>
      <c r="C504" s="176"/>
      <c r="D504" s="193"/>
      <c r="E504" s="195"/>
      <c r="F504" s="388" t="s">
        <v>187</v>
      </c>
      <c r="G504" s="419"/>
      <c r="H504" s="420" t="s">
        <v>122</v>
      </c>
      <c r="I504" s="203">
        <f ca="1">IFERROR(__xludf.DUMMYFUNCTION("IMPORTRANGE(""https://docs.google.com/spreadsheets/d/11923uPwbBZFjjGgGUA6NLw09EwE0CqkOc4q9oUmW1yo/edit?usp=sharing"",""อุทัยธานี!I399"")"),0)</f>
        <v>0</v>
      </c>
      <c r="J504" s="188">
        <f ca="1">IFERROR(__xludf.DUMMYFUNCTION("IMPORTRANGE(""https://docs.google.com/spreadsheets/d/11923uPwbBZFjjGgGUA6NLw09EwE0CqkOc4q9oUmW1yo/edit?usp=sharing"",""อุทัยธานี!J399"")"),0)</f>
        <v>0</v>
      </c>
      <c r="K504" s="163">
        <f t="shared" ca="1" si="117"/>
        <v>0</v>
      </c>
      <c r="L504" s="181"/>
      <c r="M504" s="181"/>
      <c r="N504" s="181"/>
      <c r="O504" s="181"/>
      <c r="P504" s="181"/>
    </row>
    <row r="505" spans="1:16" ht="21.75" customHeight="1" x14ac:dyDescent="0.3">
      <c r="A505" s="175"/>
      <c r="B505" s="176"/>
      <c r="C505" s="176"/>
      <c r="D505" s="193"/>
      <c r="E505" s="195"/>
      <c r="F505" s="195"/>
      <c r="G505" s="419"/>
      <c r="H505" s="420" t="s">
        <v>36</v>
      </c>
      <c r="I505" s="187">
        <f ca="1">IFERROR(__xludf.DUMMYFUNCTION("IMPORTRANGE(""https://docs.google.com/spreadsheets/d/11923uPwbBZFjjGgGUA6NLw09EwE0CqkOc4q9oUmW1yo/edit?usp=sharing"",""อุทัยธานี!I400"")"),0)</f>
        <v>0</v>
      </c>
      <c r="J505" s="197">
        <f ca="1">IFERROR(__xludf.DUMMYFUNCTION("IMPORTRANGE(""https://docs.google.com/spreadsheets/d/11923uPwbBZFjjGgGUA6NLw09EwE0CqkOc4q9oUmW1yo/edit?usp=sharing"",""อุทัยธานี!J400"")"),0)</f>
        <v>0</v>
      </c>
      <c r="K505" s="163">
        <f t="shared" ca="1" si="117"/>
        <v>0</v>
      </c>
      <c r="L505" s="181"/>
      <c r="M505" s="181"/>
      <c r="N505" s="181"/>
      <c r="O505" s="181"/>
      <c r="P505" s="181"/>
    </row>
    <row r="506" spans="1:16" ht="21.75" customHeight="1" x14ac:dyDescent="0.3">
      <c r="A506" s="175"/>
      <c r="B506" s="176"/>
      <c r="C506" s="176"/>
      <c r="D506" s="193"/>
      <c r="E506" s="195"/>
      <c r="F506" s="397" t="s">
        <v>188</v>
      </c>
      <c r="G506" s="419"/>
      <c r="H506" s="420" t="s">
        <v>122</v>
      </c>
      <c r="I506" s="203">
        <f ca="1">IFERROR(__xludf.DUMMYFUNCTION("IMPORTRANGE(""https://docs.google.com/spreadsheets/d/11923uPwbBZFjjGgGUA6NLw09EwE0CqkOc4q9oUmW1yo/edit?usp=sharing"",""อุทัยธานี!I401"")"),0)</f>
        <v>0</v>
      </c>
      <c r="J506" s="188">
        <f ca="1">IFERROR(__xludf.DUMMYFUNCTION("IMPORTRANGE(""https://docs.google.com/spreadsheets/d/11923uPwbBZFjjGgGUA6NLw09EwE0CqkOc4q9oUmW1yo/edit?usp=sharing"",""อุทัยธานี!J401"")"),26)</f>
        <v>26</v>
      </c>
      <c r="K506" s="163">
        <f t="shared" ca="1" si="117"/>
        <v>0</v>
      </c>
      <c r="L506" s="181"/>
      <c r="M506" s="181"/>
      <c r="N506" s="181"/>
      <c r="O506" s="181"/>
      <c r="P506" s="181"/>
    </row>
    <row r="507" spans="1:16" ht="21.75" customHeight="1" x14ac:dyDescent="0.3">
      <c r="A507" s="175"/>
      <c r="B507" s="176"/>
      <c r="C507" s="176"/>
      <c r="D507" s="193"/>
      <c r="E507" s="195"/>
      <c r="F507" s="195"/>
      <c r="G507" s="195"/>
      <c r="H507" s="420" t="s">
        <v>36</v>
      </c>
      <c r="I507" s="187">
        <f ca="1">IFERROR(__xludf.DUMMYFUNCTION("IMPORTRANGE(""https://docs.google.com/spreadsheets/d/11923uPwbBZFjjGgGUA6NLw09EwE0CqkOc4q9oUmW1yo/edit?usp=sharing"",""อุทัยธานี!I402"")"),0)</f>
        <v>0</v>
      </c>
      <c r="J507" s="197">
        <f ca="1">IFERROR(__xludf.DUMMYFUNCTION("IMPORTRANGE(""https://docs.google.com/spreadsheets/d/11923uPwbBZFjjGgGUA6NLw09EwE0CqkOc4q9oUmW1yo/edit?usp=sharing"",""อุทัยธานี!J402"")"),1)</f>
        <v>1</v>
      </c>
      <c r="K507" s="163">
        <f t="shared" ca="1" si="117"/>
        <v>0</v>
      </c>
      <c r="L507" s="181"/>
      <c r="M507" s="181"/>
      <c r="N507" s="181"/>
      <c r="O507" s="181"/>
      <c r="P507" s="181"/>
    </row>
    <row r="508" spans="1:16" ht="21.75" customHeight="1" x14ac:dyDescent="0.3">
      <c r="A508" s="175"/>
      <c r="B508" s="176"/>
      <c r="C508" s="176"/>
      <c r="D508" s="193"/>
      <c r="E508" s="194" t="s">
        <v>189</v>
      </c>
      <c r="F508" s="195"/>
      <c r="G508" s="419"/>
      <c r="H508" s="420" t="s">
        <v>122</v>
      </c>
      <c r="I508" s="187">
        <f ca="1">IFERROR(__xludf.DUMMYFUNCTION("IMPORTRANGE(""https://docs.google.com/spreadsheets/d/11923uPwbBZFjjGgGUA6NLw09EwE0CqkOc4q9oUmW1yo/edit?usp=sharing"",""อุทัยธานี!I403"")"),0)</f>
        <v>0</v>
      </c>
      <c r="J508" s="162">
        <f ca="1">IFERROR(__xludf.DUMMYFUNCTION("IMPORTRANGE(""https://docs.google.com/spreadsheets/d/11923uPwbBZFjjGgGUA6NLw09EwE0CqkOc4q9oUmW1yo/edit?usp=sharing"",""อุทัยธานี!J403"")"),0)</f>
        <v>0</v>
      </c>
      <c r="K508" s="163">
        <f t="shared" ca="1" si="117"/>
        <v>0</v>
      </c>
      <c r="L508" s="181"/>
      <c r="M508" s="181"/>
      <c r="N508" s="181"/>
      <c r="O508" s="181"/>
      <c r="P508" s="181"/>
    </row>
    <row r="509" spans="1:16" ht="21.75" customHeight="1" x14ac:dyDescent="0.3">
      <c r="A509" s="175"/>
      <c r="B509" s="176"/>
      <c r="C509" s="176"/>
      <c r="D509" s="193"/>
      <c r="E509" s="195"/>
      <c r="F509" s="195"/>
      <c r="G509" s="195"/>
      <c r="H509" s="420" t="s">
        <v>36</v>
      </c>
      <c r="I509" s="187">
        <f ca="1">IFERROR(__xludf.DUMMYFUNCTION("IMPORTRANGE(""https://docs.google.com/spreadsheets/d/11923uPwbBZFjjGgGUA6NLw09EwE0CqkOc4q9oUmW1yo/edit?usp=sharing"",""อุทัยธานี!I404"")"),0)</f>
        <v>0</v>
      </c>
      <c r="J509" s="162">
        <f ca="1">IFERROR(__xludf.DUMMYFUNCTION("IMPORTRANGE(""https://docs.google.com/spreadsheets/d/11923uPwbBZFjjGgGUA6NLw09EwE0CqkOc4q9oUmW1yo/edit?usp=sharing"",""อุทัยธานี!J404"")"),0)</f>
        <v>0</v>
      </c>
      <c r="K509" s="163">
        <f t="shared" ca="1" si="117"/>
        <v>0</v>
      </c>
      <c r="L509" s="181"/>
      <c r="M509" s="181"/>
      <c r="N509" s="181"/>
      <c r="O509" s="181"/>
      <c r="P509" s="181"/>
    </row>
    <row r="510" spans="1:16" ht="21.75" customHeight="1" x14ac:dyDescent="0.3">
      <c r="A510" s="175"/>
      <c r="B510" s="176"/>
      <c r="C510" s="176"/>
      <c r="D510" s="193"/>
      <c r="E510" s="195"/>
      <c r="F510" s="194" t="s">
        <v>190</v>
      </c>
      <c r="G510" s="195"/>
      <c r="H510" s="420" t="s">
        <v>122</v>
      </c>
      <c r="I510" s="187">
        <f ca="1">IFERROR(__xludf.DUMMYFUNCTION("IMPORTRANGE(""https://docs.google.com/spreadsheets/d/11923uPwbBZFjjGgGUA6NLw09EwE0CqkOc4q9oUmW1yo/edit?usp=sharing"",""อุทัยธานี!I405"")"),0)</f>
        <v>0</v>
      </c>
      <c r="J510" s="197">
        <f ca="1">IFERROR(__xludf.DUMMYFUNCTION("IMPORTRANGE(""https://docs.google.com/spreadsheets/d/11923uPwbBZFjjGgGUA6NLw09EwE0CqkOc4q9oUmW1yo/edit?usp=sharing"",""อุทัยธานี!J405"")"),0)</f>
        <v>0</v>
      </c>
      <c r="K510" s="163">
        <f t="shared" ca="1" si="117"/>
        <v>0</v>
      </c>
      <c r="L510" s="181"/>
      <c r="M510" s="181"/>
      <c r="N510" s="181"/>
      <c r="O510" s="181"/>
      <c r="P510" s="181"/>
    </row>
    <row r="511" spans="1:16" ht="21.75" customHeight="1" x14ac:dyDescent="0.3">
      <c r="A511" s="175"/>
      <c r="B511" s="176"/>
      <c r="C511" s="176"/>
      <c r="D511" s="193"/>
      <c r="E511" s="195"/>
      <c r="F511" s="195"/>
      <c r="G511" s="195"/>
      <c r="H511" s="420" t="s">
        <v>36</v>
      </c>
      <c r="I511" s="187">
        <f ca="1">IFERROR(__xludf.DUMMYFUNCTION("IMPORTRANGE(""https://docs.google.com/spreadsheets/d/11923uPwbBZFjjGgGUA6NLw09EwE0CqkOc4q9oUmW1yo/edit?usp=sharing"",""อุทัยธานี!I406"")"),0)</f>
        <v>0</v>
      </c>
      <c r="J511" s="197">
        <f ca="1">IFERROR(__xludf.DUMMYFUNCTION("IMPORTRANGE(""https://docs.google.com/spreadsheets/d/11923uPwbBZFjjGgGUA6NLw09EwE0CqkOc4q9oUmW1yo/edit?usp=sharing"",""อุทัยธานี!J406"")"),0)</f>
        <v>0</v>
      </c>
      <c r="K511" s="163">
        <f t="shared" ca="1" si="117"/>
        <v>0</v>
      </c>
      <c r="L511" s="181"/>
      <c r="M511" s="181"/>
      <c r="N511" s="181"/>
      <c r="O511" s="181"/>
      <c r="P511" s="181"/>
    </row>
    <row r="512" spans="1:16" ht="21.75" customHeight="1" x14ac:dyDescent="0.3">
      <c r="A512" s="175"/>
      <c r="B512" s="176"/>
      <c r="C512" s="176"/>
      <c r="D512" s="193"/>
      <c r="E512" s="195"/>
      <c r="F512" s="194" t="s">
        <v>191</v>
      </c>
      <c r="G512" s="195"/>
      <c r="H512" s="420" t="s">
        <v>122</v>
      </c>
      <c r="I512" s="187">
        <f ca="1">IFERROR(__xludf.DUMMYFUNCTION("IMPORTRANGE(""https://docs.google.com/spreadsheets/d/11923uPwbBZFjjGgGUA6NLw09EwE0CqkOc4q9oUmW1yo/edit?usp=sharing"",""อุทัยธานี!I407"")"),0)</f>
        <v>0</v>
      </c>
      <c r="J512" s="197">
        <f ca="1">IFERROR(__xludf.DUMMYFUNCTION("IMPORTRANGE(""https://docs.google.com/spreadsheets/d/11923uPwbBZFjjGgGUA6NLw09EwE0CqkOc4q9oUmW1yo/edit?usp=sharing"",""อุทัยธานี!J407"")"),0)</f>
        <v>0</v>
      </c>
      <c r="K512" s="163">
        <f t="shared" ca="1" si="117"/>
        <v>0</v>
      </c>
      <c r="L512" s="181"/>
      <c r="M512" s="181"/>
      <c r="N512" s="181"/>
      <c r="O512" s="181"/>
      <c r="P512" s="181"/>
    </row>
    <row r="513" spans="1:16" ht="21.75" customHeight="1" x14ac:dyDescent="0.3">
      <c r="A513" s="175"/>
      <c r="B513" s="176"/>
      <c r="C513" s="176"/>
      <c r="D513" s="193"/>
      <c r="E513" s="195"/>
      <c r="F513" s="195"/>
      <c r="G513" s="196"/>
      <c r="H513" s="420" t="s">
        <v>36</v>
      </c>
      <c r="I513" s="187">
        <f ca="1">IFERROR(__xludf.DUMMYFUNCTION("IMPORTRANGE(""https://docs.google.com/spreadsheets/d/11923uPwbBZFjjGgGUA6NLw09EwE0CqkOc4q9oUmW1yo/edit?usp=sharing"",""อุทัยธานี!I408"")"),0)</f>
        <v>0</v>
      </c>
      <c r="J513" s="197">
        <f ca="1">IFERROR(__xludf.DUMMYFUNCTION("IMPORTRANGE(""https://docs.google.com/spreadsheets/d/11923uPwbBZFjjGgGUA6NLw09EwE0CqkOc4q9oUmW1yo/edit?usp=sharing"",""อุทัยธานี!J408"")"),0)</f>
        <v>0</v>
      </c>
      <c r="K513" s="163">
        <f t="shared" ca="1" si="117"/>
        <v>0</v>
      </c>
      <c r="L513" s="181"/>
      <c r="M513" s="181"/>
      <c r="N513" s="181"/>
      <c r="O513" s="181"/>
      <c r="P513" s="181"/>
    </row>
    <row r="514" spans="1:16" ht="21.75" customHeight="1" x14ac:dyDescent="0.3">
      <c r="A514" s="175"/>
      <c r="B514" s="176"/>
      <c r="C514" s="176"/>
      <c r="D514" s="402"/>
      <c r="E514" s="448" t="s">
        <v>192</v>
      </c>
      <c r="F514" s="195"/>
      <c r="G514" s="196"/>
      <c r="H514" s="420" t="s">
        <v>122</v>
      </c>
      <c r="I514" s="187">
        <f ca="1">IFERROR(__xludf.DUMMYFUNCTION("IMPORTRANGE(""https://docs.google.com/spreadsheets/d/11923uPwbBZFjjGgGUA6NLw09EwE0CqkOc4q9oUmW1yo/edit?usp=sharing"",""อุทัยธานี!I409"")"),0)</f>
        <v>0</v>
      </c>
      <c r="J514" s="197">
        <f ca="1">IFERROR(__xludf.DUMMYFUNCTION("IMPORTRANGE(""https://docs.google.com/spreadsheets/d/11923uPwbBZFjjGgGUA6NLw09EwE0CqkOc4q9oUmW1yo/edit?usp=sharing"",""อุทัยธานี!J409"")"),0)</f>
        <v>0</v>
      </c>
      <c r="K514" s="163">
        <f t="shared" ca="1" si="117"/>
        <v>0</v>
      </c>
      <c r="L514" s="181"/>
      <c r="M514" s="181"/>
      <c r="N514" s="181"/>
      <c r="O514" s="181"/>
      <c r="P514" s="181"/>
    </row>
    <row r="515" spans="1:16" ht="21.75" customHeight="1" x14ac:dyDescent="0.3">
      <c r="A515" s="175"/>
      <c r="B515" s="176"/>
      <c r="C515" s="176"/>
      <c r="D515" s="193"/>
      <c r="E515" s="195"/>
      <c r="F515" s="195"/>
      <c r="G515" s="196"/>
      <c r="H515" s="420" t="s">
        <v>36</v>
      </c>
      <c r="I515" s="187">
        <f ca="1">IFERROR(__xludf.DUMMYFUNCTION("IMPORTRANGE(""https://docs.google.com/spreadsheets/d/11923uPwbBZFjjGgGUA6NLw09EwE0CqkOc4q9oUmW1yo/edit?usp=sharing"",""อุทัยธานี!I410"")"),0)</f>
        <v>0</v>
      </c>
      <c r="J515" s="197">
        <f ca="1">IFERROR(__xludf.DUMMYFUNCTION("IMPORTRANGE(""https://docs.google.com/spreadsheets/d/11923uPwbBZFjjGgGUA6NLw09EwE0CqkOc4q9oUmW1yo/edit?usp=sharing"",""อุทัยธานี!J410"")"),0)</f>
        <v>0</v>
      </c>
      <c r="K515" s="163">
        <f t="shared" ca="1" si="117"/>
        <v>0</v>
      </c>
      <c r="L515" s="181"/>
      <c r="M515" s="181"/>
      <c r="N515" s="181"/>
      <c r="O515" s="181"/>
      <c r="P515" s="181"/>
    </row>
    <row r="516" spans="1:16" ht="21.75" customHeight="1" x14ac:dyDescent="0.3">
      <c r="A516" s="175"/>
      <c r="B516" s="176"/>
      <c r="C516" s="413" t="s">
        <v>193</v>
      </c>
      <c r="D516" s="413"/>
      <c r="E516" s="449"/>
      <c r="F516" s="449"/>
      <c r="G516" s="450"/>
      <c r="H516" s="451" t="s">
        <v>122</v>
      </c>
      <c r="I516" s="266">
        <f ca="1">IFERROR(__xludf.DUMMYFUNCTION("IMPORTRANGE(""https://docs.google.com/spreadsheets/d/11923uPwbBZFjjGgGUA6NLw09EwE0CqkOc4q9oUmW1yo/edit?usp=sharing"",""อุทัยธานี!I411"")"),0)</f>
        <v>0</v>
      </c>
      <c r="J516" s="266">
        <f ca="1">IFERROR(__xludf.DUMMYFUNCTION("IMPORTRANGE(""https://docs.google.com/spreadsheets/d/11923uPwbBZFjjGgGUA6NLw09EwE0CqkOc4q9oUmW1yo/edit?usp=sharing"",""อุทัยธานี!J411"")"),0)</f>
        <v>0</v>
      </c>
      <c r="K516" s="267">
        <v>0</v>
      </c>
      <c r="L516" s="181"/>
      <c r="M516" s="181"/>
      <c r="N516" s="181"/>
      <c r="O516" s="181"/>
      <c r="P516" s="181"/>
    </row>
    <row r="517" spans="1:16" ht="21.75" customHeight="1" x14ac:dyDescent="0.3">
      <c r="A517" s="175"/>
      <c r="B517" s="176"/>
      <c r="C517" s="452"/>
      <c r="D517" s="452"/>
      <c r="E517" s="452" t="s">
        <v>194</v>
      </c>
      <c r="F517" s="453"/>
      <c r="G517" s="454"/>
      <c r="H517" s="455" t="s">
        <v>122</v>
      </c>
      <c r="I517" s="282">
        <f ca="1">IFERROR(__xludf.DUMMYFUNCTION("IMPORTRANGE(""https://docs.google.com/spreadsheets/d/11923uPwbBZFjjGgGUA6NLw09EwE0CqkOc4q9oUmW1yo/edit?usp=sharing"",""อุทัยธานี!I412"")"),0)</f>
        <v>0</v>
      </c>
      <c r="J517" s="282">
        <f ca="1">IFERROR(__xludf.DUMMYFUNCTION("IMPORTRANGE(""https://docs.google.com/spreadsheets/d/11923uPwbBZFjjGgGUA6NLw09EwE0CqkOc4q9oUmW1yo/edit?usp=sharing"",""อุทัยธานี!J412"")"),0)</f>
        <v>0</v>
      </c>
      <c r="K517" s="283">
        <v>0</v>
      </c>
      <c r="L517" s="181"/>
      <c r="M517" s="181"/>
      <c r="N517" s="181"/>
      <c r="O517" s="181"/>
      <c r="P517" s="181"/>
    </row>
    <row r="518" spans="1:16" ht="21.75" customHeight="1" x14ac:dyDescent="0.3">
      <c r="A518" s="175"/>
      <c r="B518" s="176"/>
      <c r="C518" s="452"/>
      <c r="D518" s="452"/>
      <c r="E518" s="452" t="s">
        <v>195</v>
      </c>
      <c r="F518" s="453"/>
      <c r="G518" s="454"/>
      <c r="H518" s="455" t="s">
        <v>36</v>
      </c>
      <c r="I518" s="282">
        <f ca="1">IFERROR(__xludf.DUMMYFUNCTION("IMPORTRANGE(""https://docs.google.com/spreadsheets/d/11923uPwbBZFjjGgGUA6NLw09EwE0CqkOc4q9oUmW1yo/edit?usp=sharing"",""อุทัยธานี!I413"")"),0)</f>
        <v>0</v>
      </c>
      <c r="J518" s="282">
        <f ca="1">IFERROR(__xludf.DUMMYFUNCTION("IMPORTRANGE(""https://docs.google.com/spreadsheets/d/11923uPwbBZFjjGgGUA6NLw09EwE0CqkOc4q9oUmW1yo/edit?usp=sharing"",""อุทัยธานี!J413"")"),0)</f>
        <v>0</v>
      </c>
      <c r="K518" s="283">
        <v>0</v>
      </c>
      <c r="L518" s="181"/>
      <c r="M518" s="181"/>
      <c r="N518" s="181"/>
      <c r="O518" s="181"/>
      <c r="P518" s="181"/>
    </row>
    <row r="519" spans="1:16" ht="21.75" customHeight="1" x14ac:dyDescent="0.3">
      <c r="A519" s="175"/>
      <c r="B519" s="176"/>
      <c r="C519" s="176"/>
      <c r="D519" s="193"/>
      <c r="E519" s="195"/>
      <c r="F519" s="195"/>
      <c r="G519" s="225" t="s">
        <v>196</v>
      </c>
      <c r="H519" s="420" t="s">
        <v>122</v>
      </c>
      <c r="I519" s="187">
        <f ca="1">IFERROR(__xludf.DUMMYFUNCTION("IMPORTRANGE(""https://docs.google.com/spreadsheets/d/11923uPwbBZFjjGgGUA6NLw09EwE0CqkOc4q9oUmW1yo/edit?usp=sharing"",""อุทัยธานี!I414"")"),0)</f>
        <v>0</v>
      </c>
      <c r="J519" s="187">
        <f ca="1">IFERROR(__xludf.DUMMYFUNCTION("IMPORTRANGE(""https://docs.google.com/spreadsheets/d/11923uPwbBZFjjGgGUA6NLw09EwE0CqkOc4q9oUmW1yo/edit?usp=sharing"",""อุทัยธานี!J414"")"),0)</f>
        <v>0</v>
      </c>
      <c r="K519" s="163">
        <v>0</v>
      </c>
      <c r="L519" s="181"/>
      <c r="M519" s="181"/>
      <c r="N519" s="181"/>
      <c r="O519" s="181"/>
      <c r="P519" s="181"/>
    </row>
    <row r="520" spans="1:16" ht="21.75" customHeight="1" x14ac:dyDescent="0.3">
      <c r="A520" s="175"/>
      <c r="B520" s="176"/>
      <c r="C520" s="176"/>
      <c r="D520" s="193"/>
      <c r="E520" s="195"/>
      <c r="F520" s="195"/>
      <c r="G520" s="196"/>
      <c r="H520" s="420" t="s">
        <v>36</v>
      </c>
      <c r="I520" s="187">
        <f ca="1">IFERROR(__xludf.DUMMYFUNCTION("IMPORTRANGE(""https://docs.google.com/spreadsheets/d/11923uPwbBZFjjGgGUA6NLw09EwE0CqkOc4q9oUmW1yo/edit?usp=sharing"",""อุทัยธานี!I415"")"),0)</f>
        <v>0</v>
      </c>
      <c r="J520" s="187">
        <f ca="1">IFERROR(__xludf.DUMMYFUNCTION("IMPORTRANGE(""https://docs.google.com/spreadsheets/d/11923uPwbBZFjjGgGUA6NLw09EwE0CqkOc4q9oUmW1yo/edit?usp=sharing"",""อุทัยธานี!J415"")"),0)</f>
        <v>0</v>
      </c>
      <c r="K520" s="163">
        <v>0</v>
      </c>
      <c r="L520" s="181"/>
      <c r="M520" s="181"/>
      <c r="N520" s="181"/>
      <c r="O520" s="181"/>
      <c r="P520" s="181"/>
    </row>
    <row r="521" spans="1:16" ht="21.75" customHeight="1" x14ac:dyDescent="0.3">
      <c r="A521" s="175"/>
      <c r="B521" s="176"/>
      <c r="C521" s="176"/>
      <c r="D521" s="193"/>
      <c r="E521" s="195"/>
      <c r="F521" s="195"/>
      <c r="G521" s="225" t="s">
        <v>197</v>
      </c>
      <c r="H521" s="420" t="s">
        <v>122</v>
      </c>
      <c r="I521" s="187">
        <f ca="1">IFERROR(__xludf.DUMMYFUNCTION("IMPORTRANGE(""https://docs.google.com/spreadsheets/d/11923uPwbBZFjjGgGUA6NLw09EwE0CqkOc4q9oUmW1yo/edit?usp=sharing"",""อุทัยธานี!I416"")"),0)</f>
        <v>0</v>
      </c>
      <c r="J521" s="187">
        <f ca="1">IFERROR(__xludf.DUMMYFUNCTION("IMPORTRANGE(""https://docs.google.com/spreadsheets/d/11923uPwbBZFjjGgGUA6NLw09EwE0CqkOc4q9oUmW1yo/edit?usp=sharing"",""อุทัยธานี!J416"")"),0)</f>
        <v>0</v>
      </c>
      <c r="K521" s="163">
        <v>0</v>
      </c>
      <c r="L521" s="181"/>
      <c r="M521" s="181"/>
      <c r="N521" s="181"/>
      <c r="O521" s="181"/>
      <c r="P521" s="181"/>
    </row>
    <row r="522" spans="1:16" ht="21.75" customHeight="1" x14ac:dyDescent="0.3">
      <c r="A522" s="175"/>
      <c r="B522" s="176"/>
      <c r="C522" s="176"/>
      <c r="D522" s="193"/>
      <c r="E522" s="195"/>
      <c r="F522" s="195"/>
      <c r="G522" s="196"/>
      <c r="H522" s="420" t="s">
        <v>36</v>
      </c>
      <c r="I522" s="187">
        <f ca="1">IFERROR(__xludf.DUMMYFUNCTION("IMPORTRANGE(""https://docs.google.com/spreadsheets/d/11923uPwbBZFjjGgGUA6NLw09EwE0CqkOc4q9oUmW1yo/edit?usp=sharing"",""อุทัยธานี!I417"")"),0)</f>
        <v>0</v>
      </c>
      <c r="J522" s="187">
        <f ca="1">IFERROR(__xludf.DUMMYFUNCTION("IMPORTRANGE(""https://docs.google.com/spreadsheets/d/11923uPwbBZFjjGgGUA6NLw09EwE0CqkOc4q9oUmW1yo/edit?usp=sharing"",""อุทัยธานี!J417"")"),0)</f>
        <v>0</v>
      </c>
      <c r="K522" s="163">
        <v>0</v>
      </c>
      <c r="L522" s="181"/>
      <c r="M522" s="181"/>
      <c r="N522" s="181"/>
      <c r="O522" s="181"/>
      <c r="P522" s="181"/>
    </row>
    <row r="523" spans="1:16" ht="21.75" customHeight="1" x14ac:dyDescent="0.3">
      <c r="A523" s="175"/>
      <c r="B523" s="176"/>
      <c r="C523" s="176"/>
      <c r="D523" s="193"/>
      <c r="E523" s="195"/>
      <c r="F523" s="195"/>
      <c r="G523" s="456" t="s">
        <v>198</v>
      </c>
      <c r="H523" s="420" t="s">
        <v>122</v>
      </c>
      <c r="I523" s="187">
        <f ca="1">IFERROR(__xludf.DUMMYFUNCTION("IMPORTRANGE(""https://docs.google.com/spreadsheets/d/11923uPwbBZFjjGgGUA6NLw09EwE0CqkOc4q9oUmW1yo/edit?usp=sharing"",""อุทัยธานี!I418"")"),0)</f>
        <v>0</v>
      </c>
      <c r="J523" s="187">
        <f ca="1">IFERROR(__xludf.DUMMYFUNCTION("IMPORTRANGE(""https://docs.google.com/spreadsheets/d/11923uPwbBZFjjGgGUA6NLw09EwE0CqkOc4q9oUmW1yo/edit?usp=sharing"",""อุทัยธานี!J418"")"),0)</f>
        <v>0</v>
      </c>
      <c r="K523" s="163">
        <v>0</v>
      </c>
      <c r="L523" s="181"/>
      <c r="M523" s="181"/>
      <c r="N523" s="181"/>
      <c r="O523" s="181"/>
      <c r="P523" s="181"/>
    </row>
    <row r="524" spans="1:16" ht="21.75" customHeight="1" x14ac:dyDescent="0.3">
      <c r="A524" s="175"/>
      <c r="B524" s="176"/>
      <c r="C524" s="176"/>
      <c r="D524" s="193"/>
      <c r="E524" s="195"/>
      <c r="F524" s="195"/>
      <c r="G524" s="196"/>
      <c r="H524" s="420" t="s">
        <v>36</v>
      </c>
      <c r="I524" s="187">
        <f ca="1">IFERROR(__xludf.DUMMYFUNCTION("IMPORTRANGE(""https://docs.google.com/spreadsheets/d/11923uPwbBZFjjGgGUA6NLw09EwE0CqkOc4q9oUmW1yo/edit?usp=sharing"",""อุทัยธานี!I419"")"),0)</f>
        <v>0</v>
      </c>
      <c r="J524" s="187">
        <f ca="1">IFERROR(__xludf.DUMMYFUNCTION("IMPORTRANGE(""https://docs.google.com/spreadsheets/d/11923uPwbBZFjjGgGUA6NLw09EwE0CqkOc4q9oUmW1yo/edit?usp=sharing"",""อุทัยธานี!J419"")"),0)</f>
        <v>0</v>
      </c>
      <c r="K524" s="163">
        <v>0</v>
      </c>
      <c r="L524" s="181"/>
      <c r="M524" s="181"/>
      <c r="N524" s="181"/>
      <c r="O524" s="181"/>
      <c r="P524" s="181"/>
    </row>
    <row r="525" spans="1:16" ht="21.75" customHeight="1" x14ac:dyDescent="0.3">
      <c r="A525" s="175"/>
      <c r="B525" s="176"/>
      <c r="C525" s="452"/>
      <c r="D525" s="452"/>
      <c r="E525" s="452" t="s">
        <v>199</v>
      </c>
      <c r="F525" s="453"/>
      <c r="G525" s="454"/>
      <c r="H525" s="455" t="s">
        <v>122</v>
      </c>
      <c r="I525" s="282">
        <f ca="1">IFERROR(__xludf.DUMMYFUNCTION("IMPORTRANGE(""https://docs.google.com/spreadsheets/d/11923uPwbBZFjjGgGUA6NLw09EwE0CqkOc4q9oUmW1yo/edit?usp=sharing"",""อุทัยธานี!I420"")"),0)</f>
        <v>0</v>
      </c>
      <c r="J525" s="282">
        <f ca="1">IFERROR(__xludf.DUMMYFUNCTION("IMPORTRANGE(""https://docs.google.com/spreadsheets/d/11923uPwbBZFjjGgGUA6NLw09EwE0CqkOc4q9oUmW1yo/edit?usp=sharing"",""อุทัยธานี!J420"")"),0)</f>
        <v>0</v>
      </c>
      <c r="K525" s="283">
        <v>0</v>
      </c>
      <c r="L525" s="181"/>
      <c r="M525" s="181"/>
      <c r="N525" s="181"/>
      <c r="O525" s="181"/>
      <c r="P525" s="181"/>
    </row>
    <row r="526" spans="1:16" ht="21.75" customHeight="1" x14ac:dyDescent="0.3">
      <c r="A526" s="175"/>
      <c r="B526" s="176"/>
      <c r="C526" s="452"/>
      <c r="D526" s="452"/>
      <c r="E526" s="452" t="s">
        <v>200</v>
      </c>
      <c r="F526" s="453"/>
      <c r="G526" s="454"/>
      <c r="H526" s="455" t="s">
        <v>36</v>
      </c>
      <c r="I526" s="282">
        <f ca="1">IFERROR(__xludf.DUMMYFUNCTION("IMPORTRANGE(""https://docs.google.com/spreadsheets/d/11923uPwbBZFjjGgGUA6NLw09EwE0CqkOc4q9oUmW1yo/edit?usp=sharing"",""อุทัยธานี!I421"")"),0)</f>
        <v>0</v>
      </c>
      <c r="J526" s="282">
        <f ca="1">IFERROR(__xludf.DUMMYFUNCTION("IMPORTRANGE(""https://docs.google.com/spreadsheets/d/11923uPwbBZFjjGgGUA6NLw09EwE0CqkOc4q9oUmW1yo/edit?usp=sharing"",""อุทัยธานี!J421"")"),0)</f>
        <v>0</v>
      </c>
      <c r="K526" s="283">
        <v>0</v>
      </c>
      <c r="L526" s="181"/>
      <c r="M526" s="181"/>
      <c r="N526" s="181"/>
      <c r="O526" s="181"/>
      <c r="P526" s="181"/>
    </row>
    <row r="527" spans="1:16" ht="21.75" customHeight="1" x14ac:dyDescent="0.3">
      <c r="A527" s="175"/>
      <c r="B527" s="176"/>
      <c r="C527" s="176"/>
      <c r="D527" s="193"/>
      <c r="E527" s="195"/>
      <c r="F527" s="195"/>
      <c r="G527" s="225" t="s">
        <v>196</v>
      </c>
      <c r="H527" s="420" t="s">
        <v>122</v>
      </c>
      <c r="I527" s="187">
        <f ca="1">IFERROR(__xludf.DUMMYFUNCTION("IMPORTRANGE(""https://docs.google.com/spreadsheets/d/11923uPwbBZFjjGgGUA6NLw09EwE0CqkOc4q9oUmW1yo/edit?usp=sharing"",""อุทัยธานี!I422"")"),0)</f>
        <v>0</v>
      </c>
      <c r="J527" s="197">
        <f ca="1">IFERROR(__xludf.DUMMYFUNCTION("IMPORTRANGE(""https://docs.google.com/spreadsheets/d/11923uPwbBZFjjGgGUA6NLw09EwE0CqkOc4q9oUmW1yo/edit?usp=sharing"",""อุทัยธานี!J422"")"),0)</f>
        <v>0</v>
      </c>
      <c r="K527" s="163">
        <v>0</v>
      </c>
      <c r="L527" s="181"/>
      <c r="M527" s="181"/>
      <c r="N527" s="181"/>
      <c r="O527" s="181"/>
      <c r="P527" s="181"/>
    </row>
    <row r="528" spans="1:16" ht="21.75" customHeight="1" x14ac:dyDescent="0.3">
      <c r="A528" s="175"/>
      <c r="B528" s="176"/>
      <c r="C528" s="176"/>
      <c r="D528" s="193"/>
      <c r="E528" s="195"/>
      <c r="F528" s="195"/>
      <c r="G528" s="196"/>
      <c r="H528" s="420" t="s">
        <v>36</v>
      </c>
      <c r="I528" s="187">
        <f ca="1">IFERROR(__xludf.DUMMYFUNCTION("IMPORTRANGE(""https://docs.google.com/spreadsheets/d/11923uPwbBZFjjGgGUA6NLw09EwE0CqkOc4q9oUmW1yo/edit?usp=sharing"",""อุทัยธานี!I423"")"),0)</f>
        <v>0</v>
      </c>
      <c r="J528" s="197">
        <f ca="1">IFERROR(__xludf.DUMMYFUNCTION("IMPORTRANGE(""https://docs.google.com/spreadsheets/d/11923uPwbBZFjjGgGUA6NLw09EwE0CqkOc4q9oUmW1yo/edit?usp=sharing"",""อุทัยธานี!J423"")"),0)</f>
        <v>0</v>
      </c>
      <c r="K528" s="163">
        <v>0</v>
      </c>
      <c r="L528" s="181"/>
      <c r="M528" s="181"/>
      <c r="N528" s="181"/>
      <c r="O528" s="181"/>
      <c r="P528" s="181"/>
    </row>
    <row r="529" spans="1:16" ht="21.75" customHeight="1" x14ac:dyDescent="0.3">
      <c r="A529" s="175"/>
      <c r="B529" s="176"/>
      <c r="C529" s="176"/>
      <c r="D529" s="193"/>
      <c r="E529" s="195"/>
      <c r="F529" s="195"/>
      <c r="G529" s="225" t="s">
        <v>197</v>
      </c>
      <c r="H529" s="420" t="s">
        <v>122</v>
      </c>
      <c r="I529" s="187">
        <f ca="1">IFERROR(__xludf.DUMMYFUNCTION("IMPORTRANGE(""https://docs.google.com/spreadsheets/d/11923uPwbBZFjjGgGUA6NLw09EwE0CqkOc4q9oUmW1yo/edit?usp=sharing"",""อุทัยธานี!I424"")"),0)</f>
        <v>0</v>
      </c>
      <c r="J529" s="197">
        <f ca="1">IFERROR(__xludf.DUMMYFUNCTION("IMPORTRANGE(""https://docs.google.com/spreadsheets/d/11923uPwbBZFjjGgGUA6NLw09EwE0CqkOc4q9oUmW1yo/edit?usp=sharing"",""อุทัยธานี!J424"")"),0)</f>
        <v>0</v>
      </c>
      <c r="K529" s="163">
        <v>0</v>
      </c>
      <c r="L529" s="181"/>
      <c r="M529" s="181"/>
      <c r="N529" s="181"/>
      <c r="O529" s="181"/>
      <c r="P529" s="181"/>
    </row>
    <row r="530" spans="1:16" ht="21.75" customHeight="1" x14ac:dyDescent="0.3">
      <c r="A530" s="175"/>
      <c r="B530" s="176"/>
      <c r="C530" s="176"/>
      <c r="D530" s="193"/>
      <c r="E530" s="195"/>
      <c r="F530" s="195"/>
      <c r="G530" s="196"/>
      <c r="H530" s="420" t="s">
        <v>36</v>
      </c>
      <c r="I530" s="187">
        <f ca="1">IFERROR(__xludf.DUMMYFUNCTION("IMPORTRANGE(""https://docs.google.com/spreadsheets/d/11923uPwbBZFjjGgGUA6NLw09EwE0CqkOc4q9oUmW1yo/edit?usp=sharing"",""อุทัยธานี!I425"")"),0)</f>
        <v>0</v>
      </c>
      <c r="J530" s="197">
        <f ca="1">IFERROR(__xludf.DUMMYFUNCTION("IMPORTRANGE(""https://docs.google.com/spreadsheets/d/11923uPwbBZFjjGgGUA6NLw09EwE0CqkOc4q9oUmW1yo/edit?usp=sharing"",""อุทัยธานี!J425"")"),0)</f>
        <v>0</v>
      </c>
      <c r="K530" s="163">
        <v>0</v>
      </c>
      <c r="L530" s="181"/>
      <c r="M530" s="181"/>
      <c r="N530" s="181"/>
      <c r="O530" s="181"/>
      <c r="P530" s="181"/>
    </row>
    <row r="531" spans="1:16" ht="21.75" customHeight="1" x14ac:dyDescent="0.3">
      <c r="A531" s="175"/>
      <c r="B531" s="176"/>
      <c r="C531" s="176"/>
      <c r="D531" s="193"/>
      <c r="E531" s="195"/>
      <c r="F531" s="195"/>
      <c r="G531" s="225" t="s">
        <v>201</v>
      </c>
      <c r="H531" s="420" t="s">
        <v>122</v>
      </c>
      <c r="I531" s="187">
        <f ca="1">IFERROR(__xludf.DUMMYFUNCTION("IMPORTRANGE(""https://docs.google.com/spreadsheets/d/11923uPwbBZFjjGgGUA6NLw09EwE0CqkOc4q9oUmW1yo/edit?usp=sharing"",""อุทัยธานี!I426"")"),0)</f>
        <v>0</v>
      </c>
      <c r="J531" s="197">
        <f ca="1">IFERROR(__xludf.DUMMYFUNCTION("IMPORTRANGE(""https://docs.google.com/spreadsheets/d/11923uPwbBZFjjGgGUA6NLw09EwE0CqkOc4q9oUmW1yo/edit?usp=sharing"",""อุทัยธานี!J426"")"),0)</f>
        <v>0</v>
      </c>
      <c r="K531" s="163">
        <v>0</v>
      </c>
      <c r="L531" s="181"/>
      <c r="M531" s="181"/>
      <c r="N531" s="181"/>
      <c r="O531" s="181"/>
      <c r="P531" s="181"/>
    </row>
    <row r="532" spans="1:16" ht="21.75" customHeight="1" x14ac:dyDescent="0.3">
      <c r="A532" s="457"/>
      <c r="B532" s="458"/>
      <c r="C532" s="458"/>
      <c r="D532" s="459"/>
      <c r="E532" s="460"/>
      <c r="F532" s="460"/>
      <c r="G532" s="461"/>
      <c r="H532" s="462" t="s">
        <v>36</v>
      </c>
      <c r="I532" s="463">
        <f ca="1">IFERROR(__xludf.DUMMYFUNCTION("IMPORTRANGE(""https://docs.google.com/spreadsheets/d/11923uPwbBZFjjGgGUA6NLw09EwE0CqkOc4q9oUmW1yo/edit?usp=sharing"",""อุทัยธานี!I427"")"),0)</f>
        <v>0</v>
      </c>
      <c r="J532" s="464">
        <f ca="1">IFERROR(__xludf.DUMMYFUNCTION("IMPORTRANGE(""https://docs.google.com/spreadsheets/d/11923uPwbBZFjjGgGUA6NLw09EwE0CqkOc4q9oUmW1yo/edit?usp=sharing"",""อุทัยธานี!J427"")"),0)</f>
        <v>0</v>
      </c>
      <c r="K532" s="465">
        <v>0</v>
      </c>
      <c r="L532" s="466"/>
      <c r="M532" s="466"/>
      <c r="N532" s="466"/>
      <c r="O532" s="466"/>
      <c r="P532" s="466"/>
    </row>
    <row r="533" spans="1:16" ht="21.75" customHeight="1" x14ac:dyDescent="0.3">
      <c r="A533" s="403"/>
      <c r="B533" s="404">
        <v>6</v>
      </c>
      <c r="C533" s="405" t="s">
        <v>202</v>
      </c>
      <c r="D533" s="405"/>
      <c r="E533" s="405"/>
      <c r="F533" s="405"/>
      <c r="G533" s="406"/>
      <c r="H533" s="407" t="s">
        <v>37</v>
      </c>
      <c r="I533" s="408">
        <f ca="1">IFERROR(__xludf.DUMMYFUNCTION("IMPORTRANGE(""https://docs.google.com/spreadsheets/d/11923uPwbBZFjjGgGUA6NLw09EwE0CqkOc4q9oUmW1yo/edit?usp=sharing"",""อุทัยธานี!I428"")"),24)</f>
        <v>24</v>
      </c>
      <c r="J533" s="408">
        <f ca="1">IFERROR(__xludf.DUMMYFUNCTION("IMPORTRANGE(""https://docs.google.com/spreadsheets/d/11923uPwbBZFjjGgGUA6NLw09EwE0CqkOc4q9oUmW1yo/edit?usp=sharing"",""อุทัยธานี!J428"")"),24)</f>
        <v>24</v>
      </c>
      <c r="K533" s="409">
        <f ca="1">IF(I533&gt;0,J533*100/I533,0)</f>
        <v>100</v>
      </c>
      <c r="L533" s="410">
        <f ca="1">IFERROR(__xludf.DUMMYFUNCTION("IMPORTRANGE(""https://docs.google.com/spreadsheets/d/11923uPwbBZFjjGgGUA6NLw09EwE0CqkOc4q9oUmW1yo/edit?usp=sharing"",""อุทัยธานี!L428"")"),36040)</f>
        <v>36040</v>
      </c>
      <c r="M533" s="410"/>
      <c r="N533" s="410">
        <f ca="1">IFERROR(__xludf.DUMMYFUNCTION("IMPORTRANGE(""https://docs.google.com/spreadsheets/d/11923uPwbBZFjjGgGUA6NLw09EwE0CqkOc4q9oUmW1yo/edit?usp=sharing"",""อุทัยธานี!M428"")"),30290)</f>
        <v>30290</v>
      </c>
      <c r="O533" s="410">
        <f t="shared" ref="O533:O537" ca="1" si="118">+IF(L533&gt;0,N533*100/L533,0)</f>
        <v>84.04550499445061</v>
      </c>
      <c r="P533" s="410"/>
    </row>
    <row r="534" spans="1:16" ht="21.75" customHeight="1" x14ac:dyDescent="0.3">
      <c r="A534" s="156"/>
      <c r="B534" s="157"/>
      <c r="C534" s="157" t="s">
        <v>16</v>
      </c>
      <c r="D534" s="158" t="s">
        <v>38</v>
      </c>
      <c r="E534" s="159"/>
      <c r="F534" s="159"/>
      <c r="G534" s="160" t="s">
        <v>39</v>
      </c>
      <c r="H534" s="161" t="s">
        <v>12</v>
      </c>
      <c r="I534" s="162" t="s">
        <v>40</v>
      </c>
      <c r="J534" s="162"/>
      <c r="K534" s="163"/>
      <c r="L534" s="164">
        <f ca="1">IFERROR(__xludf.DUMMYFUNCTION("IMPORTRANGE(""https://docs.google.com/spreadsheets/d/11923uPwbBZFjjGgGUA6NLw09EwE0CqkOc4q9oUmW1yo/edit?usp=sharing"",""อุทัยธานี!L429"")"),0)</f>
        <v>0</v>
      </c>
      <c r="M534" s="164"/>
      <c r="N534" s="168">
        <f ca="1">IFERROR(__xludf.DUMMYFUNCTION("IMPORTRANGE(""https://docs.google.com/spreadsheets/d/11923uPwbBZFjjGgGUA6NLw09EwE0CqkOc4q9oUmW1yo/edit?usp=sharing"",""อุทัยธานี!M429"")"),0)</f>
        <v>0</v>
      </c>
      <c r="O534" s="168">
        <f t="shared" ca="1" si="118"/>
        <v>0</v>
      </c>
      <c r="P534" s="168"/>
    </row>
    <row r="535" spans="1:16" ht="21.75" customHeight="1" x14ac:dyDescent="0.3">
      <c r="A535" s="156"/>
      <c r="B535" s="157"/>
      <c r="C535" s="157"/>
      <c r="D535" s="166"/>
      <c r="E535" s="159"/>
      <c r="F535" s="159" t="s">
        <v>40</v>
      </c>
      <c r="G535" s="160" t="s">
        <v>41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IFERROR(__xludf.DUMMYFUNCTION("IMPORTRANGE(""https://docs.google.com/spreadsheets/d/11923uPwbBZFjjGgGUA6NLw09EwE0CqkOc4q9oUmW1yo/edit?usp=sharing"",""อุทัยธานี!L430"")"),36040)</f>
        <v>36040</v>
      </c>
      <c r="M535" s="165"/>
      <c r="N535" s="168">
        <f ca="1">IFERROR(__xludf.DUMMYFUNCTION("IMPORTRANGE(""https://docs.google.com/spreadsheets/d/11923uPwbBZFjjGgGUA6NLw09EwE0CqkOc4q9oUmW1yo/edit?usp=sharing"",""อุทัยธานี!M430"")"),30290)</f>
        <v>30290</v>
      </c>
      <c r="O535" s="168">
        <f t="shared" ca="1" si="118"/>
        <v>84.04550499445061</v>
      </c>
      <c r="P535" s="168"/>
    </row>
    <row r="536" spans="1:16" ht="21.75" customHeight="1" x14ac:dyDescent="0.3">
      <c r="A536" s="156"/>
      <c r="B536" s="157"/>
      <c r="C536" s="157"/>
      <c r="D536" s="166"/>
      <c r="E536" s="159"/>
      <c r="F536" s="159"/>
      <c r="G536" s="372" t="s">
        <v>129</v>
      </c>
      <c r="H536" s="161" t="s">
        <v>12</v>
      </c>
      <c r="I536" s="162"/>
      <c r="J536" s="162"/>
      <c r="K536" s="163"/>
      <c r="L536" s="168">
        <f ca="1">IFERROR(__xludf.DUMMYFUNCTION("IMPORTRANGE(""https://docs.google.com/spreadsheets/d/11923uPwbBZFjjGgGUA6NLw09EwE0CqkOc4q9oUmW1yo/edit?usp=sharing"",""อุทัยธานี!L431"")"),0)</f>
        <v>0</v>
      </c>
      <c r="M536" s="168"/>
      <c r="N536" s="168">
        <f ca="1">IFERROR(__xludf.DUMMYFUNCTION("IMPORTRANGE(""https://docs.google.com/spreadsheets/d/11923uPwbBZFjjGgGUA6NLw09EwE0CqkOc4q9oUmW1yo/edit?usp=sharing"",""อุทัยธานี!M431"")"),0)</f>
        <v>0</v>
      </c>
      <c r="O536" s="168">
        <f t="shared" ca="1" si="118"/>
        <v>0</v>
      </c>
      <c r="P536" s="168"/>
    </row>
    <row r="537" spans="1:16" ht="21.75" customHeight="1" x14ac:dyDescent="0.3">
      <c r="A537" s="156"/>
      <c r="B537" s="157"/>
      <c r="C537" s="157"/>
      <c r="D537" s="166"/>
      <c r="E537" s="159"/>
      <c r="F537" s="159"/>
      <c r="G537" s="372" t="s">
        <v>130</v>
      </c>
      <c r="H537" s="161" t="s">
        <v>12</v>
      </c>
      <c r="I537" s="162"/>
      <c r="J537" s="162"/>
      <c r="K537" s="163"/>
      <c r="L537" s="168">
        <f ca="1">IFERROR(__xludf.DUMMYFUNCTION("IMPORTRANGE(""https://docs.google.com/spreadsheets/d/11923uPwbBZFjjGgGUA6NLw09EwE0CqkOc4q9oUmW1yo/edit?usp=sharing"",""อุทัยธานี!L432"")"),36040)</f>
        <v>36040</v>
      </c>
      <c r="M537" s="168"/>
      <c r="N537" s="168">
        <f ca="1">IFERROR(__xludf.DUMMYFUNCTION("IMPORTRANGE(""https://docs.google.com/spreadsheets/d/11923uPwbBZFjjGgGUA6NLw09EwE0CqkOc4q9oUmW1yo/edit?usp=sharing"",""อุทัยธานี!M432"")"),30290)</f>
        <v>30290</v>
      </c>
      <c r="O537" s="168">
        <f t="shared" ca="1" si="118"/>
        <v>84.04550499445061</v>
      </c>
      <c r="P537" s="168"/>
    </row>
    <row r="538" spans="1:16" ht="21.75" customHeight="1" x14ac:dyDescent="0.3">
      <c r="A538" s="373"/>
      <c r="B538" s="374"/>
      <c r="C538" s="157"/>
      <c r="D538" s="375"/>
      <c r="E538" s="159"/>
      <c r="F538" s="159"/>
      <c r="G538" s="376" t="s">
        <v>131</v>
      </c>
      <c r="H538" s="161" t="s">
        <v>12</v>
      </c>
      <c r="I538" s="187"/>
      <c r="J538" s="187"/>
      <c r="K538" s="223"/>
      <c r="L538" s="168"/>
      <c r="M538" s="168"/>
      <c r="N538" s="377">
        <f ca="1">IFERROR(__xludf.DUMMYFUNCTION("IMPORTRANGE(""https://docs.google.com/spreadsheets/d/11923uPwbBZFjjGgGUA6NLw09EwE0CqkOc4q9oUmW1yo/edit?usp=sharing"",""อุทัยธานี!M433"")"),20440)</f>
        <v>20440</v>
      </c>
      <c r="O538" s="168"/>
      <c r="P538" s="168"/>
    </row>
    <row r="539" spans="1:16" ht="21.75" customHeight="1" x14ac:dyDescent="0.3">
      <c r="A539" s="373"/>
      <c r="B539" s="374"/>
      <c r="C539" s="157"/>
      <c r="D539" s="375"/>
      <c r="E539" s="159"/>
      <c r="F539" s="159"/>
      <c r="G539" s="376" t="s">
        <v>132</v>
      </c>
      <c r="H539" s="161" t="s">
        <v>12</v>
      </c>
      <c r="I539" s="187"/>
      <c r="J539" s="187"/>
      <c r="K539" s="223"/>
      <c r="L539" s="168"/>
      <c r="M539" s="168"/>
      <c r="N539" s="377">
        <f ca="1">IFERROR(__xludf.DUMMYFUNCTION("IMPORTRANGE(""https://docs.google.com/spreadsheets/d/11923uPwbBZFjjGgGUA6NLw09EwE0CqkOc4q9oUmW1yo/edit?usp=sharing"",""อุทัยธานี!M434"")"),0)</f>
        <v>0</v>
      </c>
      <c r="O539" s="168"/>
      <c r="P539" s="168"/>
    </row>
    <row r="540" spans="1:16" ht="21.75" customHeight="1" x14ac:dyDescent="0.3">
      <c r="A540" s="373"/>
      <c r="B540" s="374"/>
      <c r="C540" s="157"/>
      <c r="D540" s="375"/>
      <c r="E540" s="159"/>
      <c r="F540" s="159"/>
      <c r="G540" s="376" t="s">
        <v>133</v>
      </c>
      <c r="H540" s="161" t="s">
        <v>12</v>
      </c>
      <c r="I540" s="187"/>
      <c r="J540" s="187"/>
      <c r="K540" s="223"/>
      <c r="L540" s="168"/>
      <c r="M540" s="168"/>
      <c r="N540" s="377">
        <f ca="1">IFERROR(__xludf.DUMMYFUNCTION("IMPORTRANGE(""https://docs.google.com/spreadsheets/d/11923uPwbBZFjjGgGUA6NLw09EwE0CqkOc4q9oUmW1yo/edit?usp=sharing"",""อุทัยธานี!M435"")"),0)</f>
        <v>0</v>
      </c>
      <c r="O540" s="168"/>
      <c r="P540" s="168"/>
    </row>
    <row r="541" spans="1:16" ht="21.75" customHeight="1" x14ac:dyDescent="0.3">
      <c r="A541" s="373"/>
      <c r="B541" s="374"/>
      <c r="C541" s="157"/>
      <c r="D541" s="375"/>
      <c r="E541" s="159"/>
      <c r="F541" s="159"/>
      <c r="G541" s="376" t="s">
        <v>134</v>
      </c>
      <c r="H541" s="161" t="s">
        <v>12</v>
      </c>
      <c r="I541" s="187"/>
      <c r="J541" s="187"/>
      <c r="K541" s="223"/>
      <c r="L541" s="168"/>
      <c r="M541" s="168"/>
      <c r="N541" s="377">
        <f ca="1">IFERROR(__xludf.DUMMYFUNCTION("IMPORTRANGE(""https://docs.google.com/spreadsheets/d/11923uPwbBZFjjGgGUA6NLw09EwE0CqkOc4q9oUmW1yo/edit?usp=sharing"",""อุทัยธานี!M436"")"),9850)</f>
        <v>9850</v>
      </c>
      <c r="O541" s="168"/>
      <c r="P541" s="168"/>
    </row>
    <row r="542" spans="1:16" ht="21.75" customHeight="1" x14ac:dyDescent="0.3">
      <c r="A542" s="175"/>
      <c r="B542" s="176"/>
      <c r="C542" s="157" t="s">
        <v>16</v>
      </c>
      <c r="D542" s="177" t="s">
        <v>44</v>
      </c>
      <c r="E542" s="178"/>
      <c r="F542" s="178"/>
      <c r="G542" s="179"/>
      <c r="H542" s="180"/>
      <c r="I542" s="162"/>
      <c r="J542" s="162"/>
      <c r="K542" s="163"/>
      <c r="L542" s="181"/>
      <c r="M542" s="181"/>
      <c r="N542" s="181"/>
      <c r="O542" s="181"/>
      <c r="P542" s="181"/>
    </row>
    <row r="543" spans="1:16" ht="21.75" customHeight="1" x14ac:dyDescent="0.3">
      <c r="A543" s="175"/>
      <c r="B543" s="176"/>
      <c r="C543" s="176"/>
      <c r="D543" s="182">
        <v>1</v>
      </c>
      <c r="E543" s="183" t="s">
        <v>45</v>
      </c>
      <c r="F543" s="184"/>
      <c r="G543" s="185"/>
      <c r="H543" s="186"/>
      <c r="I543" s="187"/>
      <c r="J543" s="197">
        <f ca="1">IFERROR(__xludf.DUMMYFUNCTION("IMPORTRANGE(""https://docs.google.com/spreadsheets/d/11923uPwbBZFjjGgGUA6NLw09EwE0CqkOc4q9oUmW1yo/edit?usp=sharing"",""อุทัยธานี!J438"")"),0)</f>
        <v>0</v>
      </c>
      <c r="K543" s="163"/>
      <c r="L543" s="181"/>
      <c r="M543" s="181"/>
      <c r="N543" s="181"/>
      <c r="O543" s="181"/>
      <c r="P543" s="181"/>
    </row>
    <row r="544" spans="1:16" ht="21.75" customHeight="1" x14ac:dyDescent="0.3">
      <c r="A544" s="175"/>
      <c r="B544" s="176"/>
      <c r="C544" s="176"/>
      <c r="D544" s="189">
        <v>2</v>
      </c>
      <c r="E544" s="190" t="s">
        <v>46</v>
      </c>
      <c r="F544" s="191"/>
      <c r="G544" s="192"/>
      <c r="H544" s="186"/>
      <c r="I544" s="187"/>
      <c r="J544" s="188">
        <f ca="1">IFERROR(__xludf.DUMMYFUNCTION("IMPORTRANGE(""https://docs.google.com/spreadsheets/d/11923uPwbBZFjjGgGUA6NLw09EwE0CqkOc4q9oUmW1yo/edit?usp=sharing"",""อุทัยธานี!J439"")"),1)</f>
        <v>1</v>
      </c>
      <c r="K544" s="163"/>
      <c r="L544" s="181" t="s">
        <v>40</v>
      </c>
      <c r="M544" s="181"/>
      <c r="N544" s="181" t="s">
        <v>40</v>
      </c>
      <c r="O544" s="181"/>
      <c r="P544" s="181"/>
    </row>
    <row r="545" spans="1:16" ht="21.75" customHeight="1" x14ac:dyDescent="0.3">
      <c r="A545" s="175"/>
      <c r="B545" s="176"/>
      <c r="C545" s="176"/>
      <c r="D545" s="193"/>
      <c r="E545" s="194" t="s">
        <v>47</v>
      </c>
      <c r="F545" s="195"/>
      <c r="G545" s="196"/>
      <c r="H545" s="186"/>
      <c r="I545" s="187"/>
      <c r="J545" s="188">
        <f ca="1">IFERROR(__xludf.DUMMYFUNCTION("IMPORTRANGE(""https://docs.google.com/spreadsheets/d/11923uPwbBZFjjGgGUA6NLw09EwE0CqkOc4q9oUmW1yo/edit?usp=sharing"",""อุทัยธานี!J440"")"),1)</f>
        <v>1</v>
      </c>
      <c r="K545" s="163"/>
      <c r="L545" s="181"/>
      <c r="M545" s="181"/>
      <c r="N545" s="181"/>
      <c r="O545" s="181"/>
      <c r="P545" s="181"/>
    </row>
    <row r="546" spans="1:16" ht="21.75" customHeight="1" x14ac:dyDescent="0.3">
      <c r="A546" s="175"/>
      <c r="B546" s="176"/>
      <c r="C546" s="176"/>
      <c r="D546" s="193"/>
      <c r="E546" s="194" t="s">
        <v>48</v>
      </c>
      <c r="F546" s="195"/>
      <c r="G546" s="196"/>
      <c r="H546" s="186"/>
      <c r="I546" s="187"/>
      <c r="J546" s="197">
        <f ca="1">IFERROR(__xludf.DUMMYFUNCTION("IMPORTRANGE(""https://docs.google.com/spreadsheets/d/11923uPwbBZFjjGgGUA6NLw09EwE0CqkOc4q9oUmW1yo/edit?usp=sharing"",""อุทัยธานี!J441"")"),1)</f>
        <v>1</v>
      </c>
      <c r="K546" s="163"/>
      <c r="L546" s="181"/>
      <c r="M546" s="181"/>
      <c r="N546" s="181"/>
      <c r="O546" s="181"/>
      <c r="P546" s="181"/>
    </row>
    <row r="547" spans="1:16" ht="21.75" customHeight="1" x14ac:dyDescent="0.3">
      <c r="A547" s="175"/>
      <c r="B547" s="176"/>
      <c r="C547" s="176"/>
      <c r="D547" s="193"/>
      <c r="E547" s="198"/>
      <c r="F547" s="195"/>
      <c r="G547" s="225" t="s">
        <v>203</v>
      </c>
      <c r="H547" s="186" t="s">
        <v>37</v>
      </c>
      <c r="I547" s="203">
        <f ca="1">IFERROR(__xludf.DUMMYFUNCTION("IMPORTRANGE(""https://docs.google.com/spreadsheets/d/11923uPwbBZFjjGgGUA6NLw09EwE0CqkOc4q9oUmW1yo/edit?usp=sharing"",""อุทัยธานี!I442"")"),24)</f>
        <v>24</v>
      </c>
      <c r="J547" s="188">
        <f ca="1">IFERROR(__xludf.DUMMYFUNCTION("IMPORTRANGE(""https://docs.google.com/spreadsheets/d/11923uPwbBZFjjGgGUA6NLw09EwE0CqkOc4q9oUmW1yo/edit?usp=sharing"",""อุทัยธานี!J442"")"),24)</f>
        <v>24</v>
      </c>
      <c r="K547" s="163">
        <f t="shared" ref="K547:K548" ca="1" si="119">IF(I547&gt;0,J547*100/I547,0)</f>
        <v>100</v>
      </c>
      <c r="L547" s="181"/>
      <c r="M547" s="181"/>
      <c r="N547" s="181"/>
      <c r="O547" s="181"/>
      <c r="P547" s="181"/>
    </row>
    <row r="548" spans="1:16" ht="21.75" hidden="1" customHeight="1" x14ac:dyDescent="0.3">
      <c r="A548" s="175"/>
      <c r="B548" s="176"/>
      <c r="C548" s="176"/>
      <c r="D548" s="193"/>
      <c r="E548" s="198"/>
      <c r="F548" s="195"/>
      <c r="G548" s="225" t="s">
        <v>204</v>
      </c>
      <c r="H548" s="186" t="s">
        <v>37</v>
      </c>
      <c r="I548" s="339">
        <f ca="1">IFERROR(__xludf.DUMMYFUNCTION("IMPORTRANGE(""https://docs.google.com/spreadsheets/d/1C3CXT74ZlgGe6_JY_1olB1XN4rF0dxEuIIF-xsYjHgg/edit?usp=sharing"",""งบกองทุน!dr63"")"),0)</f>
        <v>0</v>
      </c>
      <c r="J548" s="197">
        <f ca="1">IFERROR(__xludf.DUMMYFUNCTION("IMPORTRANGE(""https://docs.google.com/spreadsheets/d/11923uPwbBZFjjGgGUA6NLw09EwE0CqkOc4q9oUmW1yo/edit?usp=sharing"",""อุทัยธานี!J166"")"),0)</f>
        <v>0</v>
      </c>
      <c r="K548" s="163">
        <f t="shared" ca="1" si="119"/>
        <v>0</v>
      </c>
      <c r="L548" s="181"/>
      <c r="M548" s="181"/>
      <c r="N548" s="181"/>
      <c r="O548" s="181"/>
      <c r="P548" s="181"/>
    </row>
    <row r="549" spans="1:16" ht="21.75" customHeight="1" x14ac:dyDescent="0.3">
      <c r="A549" s="175"/>
      <c r="B549" s="176"/>
      <c r="C549" s="176"/>
      <c r="D549" s="193"/>
      <c r="E549" s="194" t="s">
        <v>54</v>
      </c>
      <c r="F549" s="195"/>
      <c r="G549" s="196"/>
      <c r="H549" s="186"/>
      <c r="I549" s="187"/>
      <c r="J549" s="197">
        <f ca="1">IFERROR(__xludf.DUMMYFUNCTION("IMPORTRANGE(""https://docs.google.com/spreadsheets/d/11923uPwbBZFjjGgGUA6NLw09EwE0CqkOc4q9oUmW1yo/edit?usp=sharing"",""อุทัยธานี!J444"")"),0)</f>
        <v>0</v>
      </c>
      <c r="K549" s="163"/>
      <c r="L549" s="181"/>
      <c r="M549" s="181"/>
      <c r="N549" s="181"/>
      <c r="O549" s="181"/>
      <c r="P549" s="181"/>
    </row>
    <row r="550" spans="1:16" ht="21.75" customHeight="1" x14ac:dyDescent="0.3">
      <c r="A550" s="457"/>
      <c r="B550" s="458"/>
      <c r="C550" s="458"/>
      <c r="D550" s="467">
        <v>3</v>
      </c>
      <c r="E550" s="468" t="s">
        <v>55</v>
      </c>
      <c r="F550" s="469"/>
      <c r="G550" s="470"/>
      <c r="H550" s="471"/>
      <c r="I550" s="463"/>
      <c r="J550" s="472">
        <f ca="1">IFERROR(__xludf.DUMMYFUNCTION("IMPORTRANGE(""https://docs.google.com/spreadsheets/d/11923uPwbBZFjjGgGUA6NLw09EwE0CqkOc4q9oUmW1yo/edit?usp=sharing"",""อุทัยธานี!J445"")"),0)</f>
        <v>0</v>
      </c>
      <c r="K550" s="465"/>
      <c r="L550" s="466"/>
      <c r="M550" s="466"/>
      <c r="N550" s="466"/>
      <c r="O550" s="466"/>
      <c r="P550" s="466"/>
    </row>
    <row r="551" spans="1:16" ht="21.75" customHeight="1" x14ac:dyDescent="0.3">
      <c r="A551" s="403"/>
      <c r="B551" s="404">
        <v>7</v>
      </c>
      <c r="C551" s="405" t="s">
        <v>205</v>
      </c>
      <c r="D551" s="405"/>
      <c r="E551" s="405"/>
      <c r="F551" s="405"/>
      <c r="G551" s="406"/>
      <c r="H551" s="407" t="s">
        <v>122</v>
      </c>
      <c r="I551" s="408">
        <f ca="1">IFERROR(__xludf.DUMMYFUNCTION("IMPORTRANGE(""https://docs.google.com/spreadsheets/d/11923uPwbBZFjjGgGUA6NLw09EwE0CqkOc4q9oUmW1yo/edit?usp=sharing"",""อุทัยธานี!I446"")"),0)</f>
        <v>0</v>
      </c>
      <c r="J551" s="408">
        <f ca="1">IFERROR(__xludf.DUMMYFUNCTION("IMPORTRANGE(""https://docs.google.com/spreadsheets/d/11923uPwbBZFjjGgGUA6NLw09EwE0CqkOc4q9oUmW1yo/edit?usp=sharing"",""อุทัยธานี!J446"")"),0)</f>
        <v>0</v>
      </c>
      <c r="K551" s="409">
        <f ca="1">IF(I551&gt;0,J551*100/I551,0)</f>
        <v>0</v>
      </c>
      <c r="L551" s="410">
        <f ca="1">IFERROR(__xludf.DUMMYFUNCTION("IMPORTRANGE(""https://docs.google.com/spreadsheets/d/11923uPwbBZFjjGgGUA6NLw09EwE0CqkOc4q9oUmW1yo/edit?usp=sharing"",""อุทัยธานี!L446"")"),0)</f>
        <v>0</v>
      </c>
      <c r="M551" s="410"/>
      <c r="N551" s="410">
        <f ca="1">IFERROR(__xludf.DUMMYFUNCTION("IMPORTRANGE(""https://docs.google.com/spreadsheets/d/11923uPwbBZFjjGgGUA6NLw09EwE0CqkOc4q9oUmW1yo/edit?usp=sharing"",""อุทัยธานี!M446"")"),0)</f>
        <v>0</v>
      </c>
      <c r="O551" s="410">
        <f t="shared" ref="O551:O555" ca="1" si="120">+IF(L551&gt;0,N551*100/L551,0)</f>
        <v>0</v>
      </c>
      <c r="P551" s="410"/>
    </row>
    <row r="552" spans="1:16" ht="21.75" customHeight="1" x14ac:dyDescent="0.3">
      <c r="A552" s="156"/>
      <c r="B552" s="157"/>
      <c r="C552" s="157" t="s">
        <v>16</v>
      </c>
      <c r="D552" s="158" t="s">
        <v>38</v>
      </c>
      <c r="E552" s="159"/>
      <c r="F552" s="159"/>
      <c r="G552" s="160" t="s">
        <v>39</v>
      </c>
      <c r="H552" s="161" t="s">
        <v>12</v>
      </c>
      <c r="I552" s="162" t="s">
        <v>40</v>
      </c>
      <c r="J552" s="162"/>
      <c r="K552" s="163"/>
      <c r="L552" s="164">
        <f ca="1">IFERROR(__xludf.DUMMYFUNCTION("IMPORTRANGE(""https://docs.google.com/spreadsheets/d/11923uPwbBZFjjGgGUA6NLw09EwE0CqkOc4q9oUmW1yo/edit?usp=sharing"",""อุทัยธานี!L447"")"),0)</f>
        <v>0</v>
      </c>
      <c r="M552" s="164"/>
      <c r="N552" s="168">
        <f ca="1">IFERROR(__xludf.DUMMYFUNCTION("IMPORTRANGE(""https://docs.google.com/spreadsheets/d/11923uPwbBZFjjGgGUA6NLw09EwE0CqkOc4q9oUmW1yo/edit?usp=sharing"",""อุทัยธานี!M447"")"),0)</f>
        <v>0</v>
      </c>
      <c r="O552" s="168">
        <f t="shared" ca="1" si="120"/>
        <v>0</v>
      </c>
      <c r="P552" s="168"/>
    </row>
    <row r="553" spans="1:16" ht="21.75" customHeight="1" x14ac:dyDescent="0.3">
      <c r="A553" s="156"/>
      <c r="B553" s="157"/>
      <c r="C553" s="157"/>
      <c r="D553" s="166"/>
      <c r="E553" s="159"/>
      <c r="F553" s="159" t="s">
        <v>40</v>
      </c>
      <c r="G553" s="160" t="s">
        <v>41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IFERROR(__xludf.DUMMYFUNCTION("IMPORTRANGE(""https://docs.google.com/spreadsheets/d/11923uPwbBZFjjGgGUA6NLw09EwE0CqkOc4q9oUmW1yo/edit?usp=sharing"",""อุทัยธานี!L448"")"),0)</f>
        <v>0</v>
      </c>
      <c r="M553" s="165"/>
      <c r="N553" s="168">
        <f ca="1">IFERROR(__xludf.DUMMYFUNCTION("IMPORTRANGE(""https://docs.google.com/spreadsheets/d/11923uPwbBZFjjGgGUA6NLw09EwE0CqkOc4q9oUmW1yo/edit?usp=sharing"",""อุทัยธานี!M448"")"),0)</f>
        <v>0</v>
      </c>
      <c r="O553" s="168">
        <f t="shared" ca="1" si="120"/>
        <v>0</v>
      </c>
      <c r="P553" s="168"/>
    </row>
    <row r="554" spans="1:16" ht="21.75" customHeight="1" x14ac:dyDescent="0.3">
      <c r="A554" s="156"/>
      <c r="B554" s="157"/>
      <c r="C554" s="157"/>
      <c r="D554" s="166"/>
      <c r="E554" s="159"/>
      <c r="F554" s="159"/>
      <c r="G554" s="372" t="s">
        <v>129</v>
      </c>
      <c r="H554" s="161" t="s">
        <v>12</v>
      </c>
      <c r="I554" s="162"/>
      <c r="J554" s="162"/>
      <c r="K554" s="163"/>
      <c r="L554" s="168">
        <f ca="1">IFERROR(__xludf.DUMMYFUNCTION("IMPORTRANGE(""https://docs.google.com/spreadsheets/d/11923uPwbBZFjjGgGUA6NLw09EwE0CqkOc4q9oUmW1yo/edit?usp=sharing"",""อุทัยธานี!L449"")"),0)</f>
        <v>0</v>
      </c>
      <c r="M554" s="168"/>
      <c r="N554" s="168">
        <f ca="1">IFERROR(__xludf.DUMMYFUNCTION("IMPORTRANGE(""https://docs.google.com/spreadsheets/d/11923uPwbBZFjjGgGUA6NLw09EwE0CqkOc4q9oUmW1yo/edit?usp=sharing"",""อุทัยธานี!M449"")"),0)</f>
        <v>0</v>
      </c>
      <c r="O554" s="168">
        <f t="shared" ca="1" si="120"/>
        <v>0</v>
      </c>
      <c r="P554" s="168"/>
    </row>
    <row r="555" spans="1:16" ht="21.75" customHeight="1" x14ac:dyDescent="0.3">
      <c r="A555" s="156"/>
      <c r="B555" s="157"/>
      <c r="C555" s="157"/>
      <c r="D555" s="166"/>
      <c r="E555" s="159"/>
      <c r="F555" s="159"/>
      <c r="G555" s="372" t="s">
        <v>130</v>
      </c>
      <c r="H555" s="161" t="s">
        <v>12</v>
      </c>
      <c r="I555" s="162"/>
      <c r="J555" s="162"/>
      <c r="K555" s="163"/>
      <c r="L555" s="168">
        <f ca="1">IFERROR(__xludf.DUMMYFUNCTION("IMPORTRANGE(""https://docs.google.com/spreadsheets/d/11923uPwbBZFjjGgGUA6NLw09EwE0CqkOc4q9oUmW1yo/edit?usp=sharing"",""อุทัยธานี!L450"")"),0)</f>
        <v>0</v>
      </c>
      <c r="M555" s="168"/>
      <c r="N555" s="168">
        <f ca="1">IFERROR(__xludf.DUMMYFUNCTION("IMPORTRANGE(""https://docs.google.com/spreadsheets/d/11923uPwbBZFjjGgGUA6NLw09EwE0CqkOc4q9oUmW1yo/edit?usp=sharing"",""อุทัยธานี!M450"")"),0)</f>
        <v>0</v>
      </c>
      <c r="O555" s="168">
        <f t="shared" ca="1" si="120"/>
        <v>0</v>
      </c>
      <c r="P555" s="168"/>
    </row>
    <row r="556" spans="1:16" ht="21.75" customHeight="1" x14ac:dyDescent="0.3">
      <c r="A556" s="373"/>
      <c r="B556" s="374"/>
      <c r="C556" s="157"/>
      <c r="D556" s="375"/>
      <c r="E556" s="159"/>
      <c r="F556" s="159"/>
      <c r="G556" s="376" t="s">
        <v>131</v>
      </c>
      <c r="H556" s="161" t="s">
        <v>12</v>
      </c>
      <c r="I556" s="187"/>
      <c r="J556" s="187"/>
      <c r="K556" s="223"/>
      <c r="L556" s="168"/>
      <c r="M556" s="168"/>
      <c r="N556" s="167">
        <f ca="1">IFERROR(__xludf.DUMMYFUNCTION("IMPORTRANGE(""https://docs.google.com/spreadsheets/d/11923uPwbBZFjjGgGUA6NLw09EwE0CqkOc4q9oUmW1yo/edit?usp=sharing"",""อุทัยธานี!M451"")"),0)</f>
        <v>0</v>
      </c>
      <c r="O556" s="168"/>
      <c r="P556" s="168"/>
    </row>
    <row r="557" spans="1:16" ht="21.75" customHeight="1" x14ac:dyDescent="0.3">
      <c r="A557" s="373"/>
      <c r="B557" s="374"/>
      <c r="C557" s="157"/>
      <c r="D557" s="375"/>
      <c r="E557" s="159"/>
      <c r="F557" s="159"/>
      <c r="G557" s="376" t="s">
        <v>132</v>
      </c>
      <c r="H557" s="161" t="s">
        <v>12</v>
      </c>
      <c r="I557" s="187"/>
      <c r="J557" s="187"/>
      <c r="K557" s="223"/>
      <c r="L557" s="168"/>
      <c r="M557" s="168"/>
      <c r="N557" s="167">
        <f ca="1">IFERROR(__xludf.DUMMYFUNCTION("IMPORTRANGE(""https://docs.google.com/spreadsheets/d/11923uPwbBZFjjGgGUA6NLw09EwE0CqkOc4q9oUmW1yo/edit?usp=sharing"",""อุทัยธานี!M452"")"),0)</f>
        <v>0</v>
      </c>
      <c r="O557" s="168"/>
      <c r="P557" s="168"/>
    </row>
    <row r="558" spans="1:16" ht="21.75" customHeight="1" x14ac:dyDescent="0.3">
      <c r="A558" s="373"/>
      <c r="B558" s="374"/>
      <c r="C558" s="157"/>
      <c r="D558" s="375"/>
      <c r="E558" s="159"/>
      <c r="F558" s="159"/>
      <c r="G558" s="376" t="s">
        <v>133</v>
      </c>
      <c r="H558" s="161" t="s">
        <v>12</v>
      </c>
      <c r="I558" s="187"/>
      <c r="J558" s="187"/>
      <c r="K558" s="223"/>
      <c r="L558" s="168"/>
      <c r="M558" s="168"/>
      <c r="N558" s="167">
        <f ca="1">IFERROR(__xludf.DUMMYFUNCTION("IMPORTRANGE(""https://docs.google.com/spreadsheets/d/11923uPwbBZFjjGgGUA6NLw09EwE0CqkOc4q9oUmW1yo/edit?usp=sharing"",""อุทัยธานี!M453"")"),0)</f>
        <v>0</v>
      </c>
      <c r="O558" s="168"/>
      <c r="P558" s="168"/>
    </row>
    <row r="559" spans="1:16" ht="21.75" customHeight="1" x14ac:dyDescent="0.3">
      <c r="A559" s="373"/>
      <c r="B559" s="374"/>
      <c r="C559" s="157"/>
      <c r="D559" s="375"/>
      <c r="E559" s="159"/>
      <c r="F559" s="159"/>
      <c r="G559" s="376" t="s">
        <v>134</v>
      </c>
      <c r="H559" s="161" t="s">
        <v>12</v>
      </c>
      <c r="I559" s="187"/>
      <c r="J559" s="187"/>
      <c r="K559" s="223"/>
      <c r="L559" s="168"/>
      <c r="M559" s="168"/>
      <c r="N559" s="167">
        <f ca="1">IFERROR(__xludf.DUMMYFUNCTION("IMPORTRANGE(""https://docs.google.com/spreadsheets/d/11923uPwbBZFjjGgGUA6NLw09EwE0CqkOc4q9oUmW1yo/edit?usp=sharing"",""อุทัยธานี!M454"")"),0)</f>
        <v>0</v>
      </c>
      <c r="O559" s="168"/>
      <c r="P559" s="168"/>
    </row>
    <row r="560" spans="1:16" ht="21.75" customHeight="1" x14ac:dyDescent="0.3">
      <c r="A560" s="175"/>
      <c r="B560" s="176"/>
      <c r="C560" s="176"/>
      <c r="D560" s="193"/>
      <c r="E560" s="195"/>
      <c r="F560" s="277" t="s">
        <v>206</v>
      </c>
      <c r="G560" s="196"/>
      <c r="H560" s="473" t="s">
        <v>122</v>
      </c>
      <c r="I560" s="162">
        <f ca="1">IFERROR(__xludf.DUMMYFUNCTION("IMPORTRANGE(""https://docs.google.com/spreadsheets/d/11923uPwbBZFjjGgGUA6NLw09EwE0CqkOc4q9oUmW1yo/edit?usp=sharing"",""อุทัยธานี!I455"")"),0)</f>
        <v>0</v>
      </c>
      <c r="J560" s="162">
        <f ca="1">IFERROR(__xludf.DUMMYFUNCTION("IMPORTRANGE(""https://docs.google.com/spreadsheets/d/11923uPwbBZFjjGgGUA6NLw09EwE0CqkOc4q9oUmW1yo/edit?usp=sharing"",""อุทัยธานี!J455"")"),0)</f>
        <v>0</v>
      </c>
      <c r="K560" s="223">
        <f t="shared" ref="K560:K564" ca="1" si="121">IF(I560&gt;0,J560*100/I560,0)</f>
        <v>0</v>
      </c>
      <c r="L560" s="168"/>
      <c r="M560" s="168"/>
      <c r="N560" s="168"/>
      <c r="O560" s="181"/>
      <c r="P560" s="181"/>
    </row>
    <row r="561" spans="1:16" ht="21.75" customHeight="1" x14ac:dyDescent="0.3">
      <c r="A561" s="175"/>
      <c r="B561" s="176"/>
      <c r="C561" s="176"/>
      <c r="D561" s="193"/>
      <c r="E561" s="195"/>
      <c r="F561" s="195"/>
      <c r="G561" s="196"/>
      <c r="H561" s="473" t="s">
        <v>36</v>
      </c>
      <c r="I561" s="162">
        <f ca="1">IFERROR(__xludf.DUMMYFUNCTION("IMPORTRANGE(""https://docs.google.com/spreadsheets/d/11923uPwbBZFjjGgGUA6NLw09EwE0CqkOc4q9oUmW1yo/edit?usp=sharing"",""อุทัยธานี!I456"")"),0)</f>
        <v>0</v>
      </c>
      <c r="J561" s="203">
        <f ca="1">IFERROR(__xludf.DUMMYFUNCTION("IMPORTRANGE(""https://docs.google.com/spreadsheets/d/11923uPwbBZFjjGgGUA6NLw09EwE0CqkOc4q9oUmW1yo/edit?usp=sharing"",""อุทัยธานี!J456"")"),0)</f>
        <v>0</v>
      </c>
      <c r="K561" s="223">
        <f t="shared" ca="1" si="121"/>
        <v>0</v>
      </c>
      <c r="L561" s="168"/>
      <c r="M561" s="168"/>
      <c r="N561" s="168"/>
      <c r="O561" s="181"/>
      <c r="P561" s="181"/>
    </row>
    <row r="562" spans="1:16" ht="21.75" customHeight="1" x14ac:dyDescent="0.3">
      <c r="A562" s="175"/>
      <c r="B562" s="176"/>
      <c r="C562" s="176"/>
      <c r="D562" s="193"/>
      <c r="E562" s="195"/>
      <c r="F562" s="195" t="s">
        <v>207</v>
      </c>
      <c r="G562" s="196"/>
      <c r="H562" s="473" t="s">
        <v>122</v>
      </c>
      <c r="I562" s="162">
        <v>0</v>
      </c>
      <c r="J562" s="203" t="str">
        <f ca="1">IFERROR(__xludf.DUMMYFUNCTION("IMPORTRANGE(""https://docs.google.com/spreadsheets/d/11923uPwbBZFjjGgGUA6NLw09EwE0CqkOc4q9oUmW1yo/edit?usp=sharing"",""อุทัยธานี!J457"")"),"")</f>
        <v/>
      </c>
      <c r="K562" s="163">
        <f t="shared" si="121"/>
        <v>0</v>
      </c>
      <c r="L562" s="181"/>
      <c r="M562" s="181"/>
      <c r="N562" s="181"/>
      <c r="O562" s="181"/>
      <c r="P562" s="181"/>
    </row>
    <row r="563" spans="1:16" ht="21.75" customHeight="1" x14ac:dyDescent="0.3">
      <c r="A563" s="175"/>
      <c r="B563" s="176"/>
      <c r="C563" s="176"/>
      <c r="D563" s="193"/>
      <c r="E563" s="195"/>
      <c r="F563" s="195"/>
      <c r="G563" s="196"/>
      <c r="H563" s="473" t="s">
        <v>36</v>
      </c>
      <c r="I563" s="162">
        <v>0</v>
      </c>
      <c r="J563" s="187" t="str">
        <f ca="1">IFERROR(__xludf.DUMMYFUNCTION("IMPORTRANGE(""https://docs.google.com/spreadsheets/d/11923uPwbBZFjjGgGUA6NLw09EwE0CqkOc4q9oUmW1yo/edit?usp=sharing"",""อุทัยธานี!J458"")"),"")</f>
        <v/>
      </c>
      <c r="K563" s="163">
        <f t="shared" si="121"/>
        <v>0</v>
      </c>
      <c r="L563" s="181"/>
      <c r="M563" s="181"/>
      <c r="N563" s="181"/>
      <c r="O563" s="181"/>
      <c r="P563" s="181"/>
    </row>
    <row r="564" spans="1:16" ht="21.75" customHeight="1" x14ac:dyDescent="0.3">
      <c r="A564" s="364"/>
      <c r="B564" s="365">
        <v>8</v>
      </c>
      <c r="C564" s="366" t="s">
        <v>208</v>
      </c>
      <c r="D564" s="366"/>
      <c r="E564" s="366"/>
      <c r="F564" s="366"/>
      <c r="G564" s="367"/>
      <c r="H564" s="368" t="s">
        <v>37</v>
      </c>
      <c r="I564" s="369">
        <f ca="1">IFERROR(__xludf.DUMMYFUNCTION("IMPORTRANGE(""https://docs.google.com/spreadsheets/d/11923uPwbBZFjjGgGUA6NLw09EwE0CqkOc4q9oUmW1yo/edit?usp=sharing"",""อุทัยธานี!I459"")"),1550)</f>
        <v>1550</v>
      </c>
      <c r="J564" s="369">
        <f ca="1">IFERROR(__xludf.DUMMYFUNCTION("IMPORTRANGE(""https://docs.google.com/spreadsheets/d/11923uPwbBZFjjGgGUA6NLw09EwE0CqkOc4q9oUmW1yo/edit?usp=sharing"",""อุทัยธานี!J459"")"),975)</f>
        <v>975</v>
      </c>
      <c r="K564" s="370">
        <f t="shared" ca="1" si="121"/>
        <v>62.903225806451616</v>
      </c>
      <c r="L564" s="371">
        <f ca="1">IFERROR(__xludf.DUMMYFUNCTION("IMPORTRANGE(""https://docs.google.com/spreadsheets/d/11923uPwbBZFjjGgGUA6NLw09EwE0CqkOc4q9oUmW1yo/edit?usp=sharing"",""อุทัยธานี!L459"")"),136880)</f>
        <v>136880</v>
      </c>
      <c r="M564" s="371"/>
      <c r="N564" s="371">
        <f ca="1">IFERROR(__xludf.DUMMYFUNCTION("IMPORTRANGE(""https://docs.google.com/spreadsheets/d/11923uPwbBZFjjGgGUA6NLw09EwE0CqkOc4q9oUmW1yo/edit?usp=sharing"",""อุทัยธานี!M459"")"),31735.33)</f>
        <v>31735.33</v>
      </c>
      <c r="O564" s="371">
        <f t="shared" ref="O564:O568" ca="1" si="122">+IF(L564&gt;0,N564*100/L564,0)</f>
        <v>23.184782291057861</v>
      </c>
      <c r="P564" s="371"/>
    </row>
    <row r="565" spans="1:16" ht="21.75" customHeight="1" x14ac:dyDescent="0.3">
      <c r="A565" s="156"/>
      <c r="B565" s="157"/>
      <c r="C565" s="157" t="s">
        <v>16</v>
      </c>
      <c r="D565" s="158" t="s">
        <v>38</v>
      </c>
      <c r="E565" s="159"/>
      <c r="F565" s="159"/>
      <c r="G565" s="160" t="s">
        <v>39</v>
      </c>
      <c r="H565" s="161" t="s">
        <v>12</v>
      </c>
      <c r="I565" s="162" t="s">
        <v>40</v>
      </c>
      <c r="J565" s="162"/>
      <c r="K565" s="163"/>
      <c r="L565" s="164">
        <f ca="1">IFERROR(__xludf.DUMMYFUNCTION("IMPORTRANGE(""https://docs.google.com/spreadsheets/d/11923uPwbBZFjjGgGUA6NLw09EwE0CqkOc4q9oUmW1yo/edit?usp=sharing"",""อุทัยธานี!L460"")"),0)</f>
        <v>0</v>
      </c>
      <c r="M565" s="164"/>
      <c r="N565" s="168">
        <f ca="1">IFERROR(__xludf.DUMMYFUNCTION("IMPORTRANGE(""https://docs.google.com/spreadsheets/d/11923uPwbBZFjjGgGUA6NLw09EwE0CqkOc4q9oUmW1yo/edit?usp=sharing"",""อุทัยธานี!M460"")"),0)</f>
        <v>0</v>
      </c>
      <c r="O565" s="168">
        <f t="shared" ca="1" si="122"/>
        <v>0</v>
      </c>
      <c r="P565" s="168"/>
    </row>
    <row r="566" spans="1:16" ht="21.75" customHeight="1" x14ac:dyDescent="0.3">
      <c r="A566" s="156"/>
      <c r="B566" s="157"/>
      <c r="C566" s="157"/>
      <c r="D566" s="166"/>
      <c r="E566" s="159"/>
      <c r="F566" s="159" t="s">
        <v>40</v>
      </c>
      <c r="G566" s="160" t="s">
        <v>41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IFERROR(__xludf.DUMMYFUNCTION("IMPORTRANGE(""https://docs.google.com/spreadsheets/d/11923uPwbBZFjjGgGUA6NLw09EwE0CqkOc4q9oUmW1yo/edit?usp=sharing"",""อุทัยธานี!L461"")"),136880)</f>
        <v>136880</v>
      </c>
      <c r="M566" s="165"/>
      <c r="N566" s="168">
        <f ca="1">IFERROR(__xludf.DUMMYFUNCTION("IMPORTRANGE(""https://docs.google.com/spreadsheets/d/11923uPwbBZFjjGgGUA6NLw09EwE0CqkOc4q9oUmW1yo/edit?usp=sharing"",""อุทัยธานี!M461"")"),31735.33)</f>
        <v>31735.33</v>
      </c>
      <c r="O566" s="168">
        <f t="shared" ca="1" si="122"/>
        <v>23.184782291057861</v>
      </c>
      <c r="P566" s="168"/>
    </row>
    <row r="567" spans="1:16" ht="21.75" customHeight="1" x14ac:dyDescent="0.3">
      <c r="A567" s="156"/>
      <c r="B567" s="157"/>
      <c r="C567" s="157"/>
      <c r="D567" s="166"/>
      <c r="E567" s="159"/>
      <c r="F567" s="159"/>
      <c r="G567" s="372" t="s">
        <v>129</v>
      </c>
      <c r="H567" s="161" t="s">
        <v>12</v>
      </c>
      <c r="I567" s="162"/>
      <c r="J567" s="162"/>
      <c r="K567" s="163"/>
      <c r="L567" s="168">
        <f ca="1">IFERROR(__xludf.DUMMYFUNCTION("IMPORTRANGE(""https://docs.google.com/spreadsheets/d/11923uPwbBZFjjGgGUA6NLw09EwE0CqkOc4q9oUmW1yo/edit?usp=sharing"",""อุทัยธานี!L462"")"),0)</f>
        <v>0</v>
      </c>
      <c r="M567" s="168"/>
      <c r="N567" s="168">
        <f ca="1">IFERROR(__xludf.DUMMYFUNCTION("IMPORTRANGE(""https://docs.google.com/spreadsheets/d/11923uPwbBZFjjGgGUA6NLw09EwE0CqkOc4q9oUmW1yo/edit?usp=sharing"",""อุทัยธานี!M462"")"),0)</f>
        <v>0</v>
      </c>
      <c r="O567" s="168">
        <f t="shared" ca="1" si="122"/>
        <v>0</v>
      </c>
      <c r="P567" s="168"/>
    </row>
    <row r="568" spans="1:16" ht="21.75" customHeight="1" x14ac:dyDescent="0.3">
      <c r="A568" s="156"/>
      <c r="B568" s="157"/>
      <c r="C568" s="157"/>
      <c r="D568" s="166"/>
      <c r="E568" s="159"/>
      <c r="F568" s="159"/>
      <c r="G568" s="372" t="s">
        <v>130</v>
      </c>
      <c r="H568" s="161" t="s">
        <v>12</v>
      </c>
      <c r="I568" s="162"/>
      <c r="J568" s="162"/>
      <c r="K568" s="163"/>
      <c r="L568" s="168">
        <f ca="1">IFERROR(__xludf.DUMMYFUNCTION("IMPORTRANGE(""https://docs.google.com/spreadsheets/d/11923uPwbBZFjjGgGUA6NLw09EwE0CqkOc4q9oUmW1yo/edit?usp=sharing"",""อุทัยธานี!L463"")"),136880)</f>
        <v>136880</v>
      </c>
      <c r="M568" s="168"/>
      <c r="N568" s="168">
        <f ca="1">IFERROR(__xludf.DUMMYFUNCTION("IMPORTRANGE(""https://docs.google.com/spreadsheets/d/11923uPwbBZFjjGgGUA6NLw09EwE0CqkOc4q9oUmW1yo/edit?usp=sharing"",""อุทัยธานี!M463"")"),31735.33)</f>
        <v>31735.33</v>
      </c>
      <c r="O568" s="168">
        <f t="shared" ca="1" si="122"/>
        <v>23.184782291057861</v>
      </c>
      <c r="P568" s="168"/>
    </row>
    <row r="569" spans="1:16" ht="21.75" customHeight="1" x14ac:dyDescent="0.3">
      <c r="A569" s="373"/>
      <c r="B569" s="374"/>
      <c r="C569" s="157"/>
      <c r="D569" s="375"/>
      <c r="E569" s="159"/>
      <c r="F569" s="159"/>
      <c r="G569" s="376" t="s">
        <v>131</v>
      </c>
      <c r="H569" s="161" t="s">
        <v>12</v>
      </c>
      <c r="I569" s="187"/>
      <c r="J569" s="187"/>
      <c r="K569" s="223"/>
      <c r="L569" s="168"/>
      <c r="M569" s="168"/>
      <c r="N569" s="167">
        <f ca="1">IFERROR(__xludf.DUMMYFUNCTION("IMPORTRANGE(""https://docs.google.com/spreadsheets/d/11923uPwbBZFjjGgGUA6NLw09EwE0CqkOc4q9oUmW1yo/edit?usp=sharing"",""อุทัยธานี!M464"")"),0)</f>
        <v>0</v>
      </c>
      <c r="O569" s="168"/>
      <c r="P569" s="168"/>
    </row>
    <row r="570" spans="1:16" ht="21.75" customHeight="1" x14ac:dyDescent="0.3">
      <c r="A570" s="373"/>
      <c r="B570" s="374"/>
      <c r="C570" s="157"/>
      <c r="D570" s="375"/>
      <c r="E570" s="159"/>
      <c r="F570" s="159"/>
      <c r="G570" s="376" t="s">
        <v>132</v>
      </c>
      <c r="H570" s="161" t="s">
        <v>12</v>
      </c>
      <c r="I570" s="187"/>
      <c r="J570" s="187"/>
      <c r="K570" s="223"/>
      <c r="L570" s="168"/>
      <c r="M570" s="168"/>
      <c r="N570" s="167">
        <f ca="1">IFERROR(__xludf.DUMMYFUNCTION("IMPORTRANGE(""https://docs.google.com/spreadsheets/d/11923uPwbBZFjjGgGUA6NLw09EwE0CqkOc4q9oUmW1yo/edit?usp=sharing"",""อุทัยธานี!M465"")"),0)</f>
        <v>0</v>
      </c>
      <c r="O570" s="168"/>
      <c r="P570" s="168"/>
    </row>
    <row r="571" spans="1:16" ht="21.75" customHeight="1" x14ac:dyDescent="0.3">
      <c r="A571" s="373"/>
      <c r="B571" s="374"/>
      <c r="C571" s="157"/>
      <c r="D571" s="375"/>
      <c r="E571" s="159"/>
      <c r="F571" s="159"/>
      <c r="G571" s="376" t="s">
        <v>133</v>
      </c>
      <c r="H571" s="161" t="s">
        <v>12</v>
      </c>
      <c r="I571" s="187"/>
      <c r="J571" s="187"/>
      <c r="K571" s="223"/>
      <c r="L571" s="168"/>
      <c r="M571" s="168"/>
      <c r="N571" s="377">
        <f ca="1">IFERROR(__xludf.DUMMYFUNCTION("IMPORTRANGE(""https://docs.google.com/spreadsheets/d/11923uPwbBZFjjGgGUA6NLw09EwE0CqkOc4q9oUmW1yo/edit?usp=sharing"",""อุทัยธานี!M466"")"),19122.33)</f>
        <v>19122.330000000002</v>
      </c>
      <c r="O571" s="168"/>
      <c r="P571" s="168"/>
    </row>
    <row r="572" spans="1:16" ht="21.75" customHeight="1" x14ac:dyDescent="0.3">
      <c r="A572" s="373"/>
      <c r="B572" s="374"/>
      <c r="C572" s="157"/>
      <c r="D572" s="375"/>
      <c r="E572" s="159"/>
      <c r="F572" s="159"/>
      <c r="G572" s="376" t="s">
        <v>134</v>
      </c>
      <c r="H572" s="161" t="s">
        <v>12</v>
      </c>
      <c r="I572" s="187"/>
      <c r="J572" s="187"/>
      <c r="K572" s="223"/>
      <c r="L572" s="168"/>
      <c r="M572" s="168"/>
      <c r="N572" s="377">
        <f ca="1">IFERROR(__xludf.DUMMYFUNCTION("IMPORTRANGE(""https://docs.google.com/spreadsheets/d/11923uPwbBZFjjGgGUA6NLw09EwE0CqkOc4q9oUmW1yo/edit?usp=sharing"",""อุทัยธานี!M467"")"),12613)</f>
        <v>12613</v>
      </c>
      <c r="O572" s="168"/>
      <c r="P572" s="168"/>
    </row>
    <row r="573" spans="1:16" ht="21.75" customHeight="1" x14ac:dyDescent="0.3">
      <c r="A573" s="175"/>
      <c r="B573" s="176"/>
      <c r="C573" s="176"/>
      <c r="D573" s="195"/>
      <c r="E573" s="194" t="s">
        <v>40</v>
      </c>
      <c r="F573" s="412" t="s">
        <v>209</v>
      </c>
      <c r="G573" s="386"/>
      <c r="H573" s="474" t="s">
        <v>37</v>
      </c>
      <c r="I573" s="418">
        <f ca="1">IFERROR(__xludf.DUMMYFUNCTION("IMPORTRANGE(""https://docs.google.com/spreadsheets/d/11923uPwbBZFjjGgGUA6NLw09EwE0CqkOc4q9oUmW1yo/edit?usp=sharing"",""อุทัยธานี!I468"")"),1550)</f>
        <v>1550</v>
      </c>
      <c r="J573" s="418">
        <f ca="1">IFERROR(__xludf.DUMMYFUNCTION("IMPORTRANGE(""https://docs.google.com/spreadsheets/d/11923uPwbBZFjjGgGUA6NLw09EwE0CqkOc4q9oUmW1yo/edit?usp=sharing"",""อุทัยธานี!J468"")"),975)</f>
        <v>975</v>
      </c>
      <c r="K573" s="201">
        <f ca="1">IF(I573&gt;0,J573*100/I573,0)</f>
        <v>62.903225806451616</v>
      </c>
      <c r="L573" s="181"/>
      <c r="M573" s="181"/>
      <c r="N573" s="181"/>
      <c r="O573" s="181"/>
      <c r="P573" s="181"/>
    </row>
    <row r="574" spans="1:16" ht="21.75" customHeight="1" x14ac:dyDescent="0.3">
      <c r="A574" s="175"/>
      <c r="B574" s="176"/>
      <c r="C574" s="176"/>
      <c r="D574" s="195"/>
      <c r="E574" s="195"/>
      <c r="F574" s="194" t="s">
        <v>210</v>
      </c>
      <c r="G574" s="196"/>
      <c r="H574" s="473"/>
      <c r="I574" s="162"/>
      <c r="J574" s="162"/>
      <c r="K574" s="163"/>
      <c r="L574" s="181"/>
      <c r="M574" s="181"/>
      <c r="N574" s="181"/>
      <c r="O574" s="181"/>
      <c r="P574" s="181"/>
    </row>
    <row r="575" spans="1:16" ht="21.75" customHeight="1" x14ac:dyDescent="0.3">
      <c r="A575" s="175"/>
      <c r="B575" s="176"/>
      <c r="C575" s="176"/>
      <c r="D575" s="195"/>
      <c r="E575" s="194" t="s">
        <v>40</v>
      </c>
      <c r="F575" s="194" t="s">
        <v>211</v>
      </c>
      <c r="G575" s="196"/>
      <c r="H575" s="473" t="s">
        <v>77</v>
      </c>
      <c r="I575" s="202">
        <f ca="1">IFERROR(__xludf.DUMMYFUNCTION("IMPORTRANGE(""https://docs.google.com/spreadsheets/d/11923uPwbBZFjjGgGUA6NLw09EwE0CqkOc4q9oUmW1yo/edit?usp=sharing"",""อุทัยธานี!I470"")"),0)</f>
        <v>0</v>
      </c>
      <c r="J575" s="197">
        <f ca="1">IFERROR(__xludf.DUMMYFUNCTION("IMPORTRANGE(""https://docs.google.com/spreadsheets/d/11923uPwbBZFjjGgGUA6NLw09EwE0CqkOc4q9oUmW1yo/edit?usp=sharing"",""อุทัยธานี!J470"")"),4)</f>
        <v>4</v>
      </c>
      <c r="K575" s="163">
        <f t="shared" ref="K575:K579" ca="1" si="123">IF(I575&gt;0,J575*100/I575,0)</f>
        <v>0</v>
      </c>
      <c r="L575" s="181"/>
      <c r="M575" s="181"/>
      <c r="N575" s="181"/>
      <c r="O575" s="181"/>
      <c r="P575" s="181"/>
    </row>
    <row r="576" spans="1:16" ht="21.75" customHeight="1" x14ac:dyDescent="0.3">
      <c r="A576" s="175"/>
      <c r="B576" s="176"/>
      <c r="C576" s="176"/>
      <c r="D576" s="195"/>
      <c r="E576" s="195"/>
      <c r="F576" s="194" t="s">
        <v>212</v>
      </c>
      <c r="G576" s="196"/>
      <c r="H576" s="473" t="s">
        <v>37</v>
      </c>
      <c r="I576" s="202">
        <f ca="1">IFERROR(__xludf.DUMMYFUNCTION("IMPORTRANGE(""https://docs.google.com/spreadsheets/d/11923uPwbBZFjjGgGUA6NLw09EwE0CqkOc4q9oUmW1yo/edit?usp=sharing"",""อุทัยธานี!I471"")"),0)</f>
        <v>0</v>
      </c>
      <c r="J576" s="197">
        <f ca="1">IFERROR(__xludf.DUMMYFUNCTION("IMPORTRANGE(""https://docs.google.com/spreadsheets/d/11923uPwbBZFjjGgGUA6NLw09EwE0CqkOc4q9oUmW1yo/edit?usp=sharing"",""อุทัยธานี!J471"")"),225)</f>
        <v>225</v>
      </c>
      <c r="K576" s="163">
        <f t="shared" ca="1" si="123"/>
        <v>0</v>
      </c>
      <c r="L576" s="181"/>
      <c r="M576" s="181"/>
      <c r="N576" s="181"/>
      <c r="O576" s="181"/>
      <c r="P576" s="181"/>
    </row>
    <row r="577" spans="1:16" ht="21.75" customHeight="1" x14ac:dyDescent="0.3">
      <c r="A577" s="175"/>
      <c r="B577" s="176"/>
      <c r="C577" s="176"/>
      <c r="D577" s="195"/>
      <c r="E577" s="195"/>
      <c r="F577" s="194" t="s">
        <v>213</v>
      </c>
      <c r="G577" s="196"/>
      <c r="H577" s="473" t="s">
        <v>37</v>
      </c>
      <c r="I577" s="202">
        <f ca="1">IFERROR(__xludf.DUMMYFUNCTION("IMPORTRANGE(""https://docs.google.com/spreadsheets/d/11923uPwbBZFjjGgGUA6NLw09EwE0CqkOc4q9oUmW1yo/edit?usp=sharing"",""อุทัยธานี!I472"")"),0)</f>
        <v>0</v>
      </c>
      <c r="J577" s="188">
        <f ca="1">IFERROR(__xludf.DUMMYFUNCTION("IMPORTRANGE(""https://docs.google.com/spreadsheets/d/11923uPwbBZFjjGgGUA6NLw09EwE0CqkOc4q9oUmW1yo/edit?usp=sharing"",""อุทัยธานี!J472"")"),750)</f>
        <v>750</v>
      </c>
      <c r="K577" s="163">
        <f t="shared" ca="1" si="123"/>
        <v>0</v>
      </c>
      <c r="L577" s="181"/>
      <c r="M577" s="181"/>
      <c r="N577" s="181"/>
      <c r="O577" s="181"/>
      <c r="P577" s="181"/>
    </row>
    <row r="578" spans="1:16" ht="21.75" customHeight="1" x14ac:dyDescent="0.3">
      <c r="A578" s="175"/>
      <c r="B578" s="176"/>
      <c r="C578" s="176"/>
      <c r="D578" s="195"/>
      <c r="E578" s="195"/>
      <c r="F578" s="194" t="s">
        <v>214</v>
      </c>
      <c r="G578" s="419"/>
      <c r="H578" s="473" t="s">
        <v>37</v>
      </c>
      <c r="I578" s="202">
        <f ca="1">IFERROR(__xludf.DUMMYFUNCTION("IMPORTRANGE(""https://docs.google.com/spreadsheets/d/11923uPwbBZFjjGgGUA6NLw09EwE0CqkOc4q9oUmW1yo/edit?usp=sharing"",""อุทัยธานี!I473"")"),0)</f>
        <v>0</v>
      </c>
      <c r="J578" s="197">
        <f ca="1">IFERROR(__xludf.DUMMYFUNCTION("IMPORTRANGE(""https://docs.google.com/spreadsheets/d/11923uPwbBZFjjGgGUA6NLw09EwE0CqkOc4q9oUmW1yo/edit?usp=sharing"",""อุทัยธานี!J473"")"),0)</f>
        <v>0</v>
      </c>
      <c r="K578" s="163">
        <f t="shared" ca="1" si="123"/>
        <v>0</v>
      </c>
      <c r="L578" s="181"/>
      <c r="M578" s="181"/>
      <c r="N578" s="181"/>
      <c r="O578" s="181"/>
      <c r="P578" s="181"/>
    </row>
    <row r="579" spans="1:16" ht="21.75" customHeight="1" x14ac:dyDescent="0.3">
      <c r="A579" s="175"/>
      <c r="B579" s="176"/>
      <c r="C579" s="176"/>
      <c r="D579" s="195"/>
      <c r="E579" s="195"/>
      <c r="F579" s="194" t="s">
        <v>215</v>
      </c>
      <c r="G579" s="419"/>
      <c r="H579" s="473" t="s">
        <v>37</v>
      </c>
      <c r="I579" s="202">
        <f ca="1">IFERROR(__xludf.DUMMYFUNCTION("IMPORTRANGE(""https://docs.google.com/spreadsheets/d/11923uPwbBZFjjGgGUA6NLw09EwE0CqkOc4q9oUmW1yo/edit?usp=sharing"",""อุทัยธานี!I474"")"),0)</f>
        <v>0</v>
      </c>
      <c r="J579" s="197">
        <f ca="1">IFERROR(__xludf.DUMMYFUNCTION("IMPORTRANGE(""https://docs.google.com/spreadsheets/d/11923uPwbBZFjjGgGUA6NLw09EwE0CqkOc4q9oUmW1yo/edit?usp=sharing"",""อุทัยธานี!J474"")"),0)</f>
        <v>0</v>
      </c>
      <c r="K579" s="163">
        <f t="shared" ca="1" si="123"/>
        <v>0</v>
      </c>
      <c r="L579" s="181"/>
      <c r="M579" s="181"/>
      <c r="N579" s="181"/>
      <c r="O579" s="181"/>
      <c r="P579" s="181"/>
    </row>
    <row r="580" spans="1:16" ht="21.75" customHeight="1" x14ac:dyDescent="0.3">
      <c r="A580" s="364"/>
      <c r="B580" s="365">
        <v>9</v>
      </c>
      <c r="C580" s="475" t="s">
        <v>216</v>
      </c>
      <c r="D580" s="366"/>
      <c r="E580" s="366"/>
      <c r="F580" s="366"/>
      <c r="G580" s="367"/>
      <c r="H580" s="368" t="s">
        <v>37</v>
      </c>
      <c r="I580" s="369">
        <f ca="1">IFERROR(__xludf.DUMMYFUNCTION("IMPORTRANGE(""https://docs.google.com/spreadsheets/d/11923uPwbBZFjjGgGUA6NLw09EwE0CqkOc4q9oUmW1yo/edit?usp=sharing"",""อุทัยธานี!I475"")"),7)</f>
        <v>7</v>
      </c>
      <c r="J580" s="369">
        <f ca="1">IFERROR(__xludf.DUMMYFUNCTION("IMPORTRANGE(""https://docs.google.com/spreadsheets/d/11923uPwbBZFjjGgGUA6NLw09EwE0CqkOc4q9oUmW1yo/edit?usp=sharing"",""อุทัยธานี!J475"")"),2)</f>
        <v>2</v>
      </c>
      <c r="K580" s="370">
        <f ca="1">IF(I580&gt;0,J580*100/I580,0)</f>
        <v>28.571428571428573</v>
      </c>
      <c r="L580" s="371">
        <f ca="1">IFERROR(__xludf.DUMMYFUNCTION("IMPORTRANGE(""https://docs.google.com/spreadsheets/d/11923uPwbBZFjjGgGUA6NLw09EwE0CqkOc4q9oUmW1yo/edit?usp=sharing"",""อุทัยธานี!L475"")"),111857)</f>
        <v>111857</v>
      </c>
      <c r="M580" s="371"/>
      <c r="N580" s="371">
        <f ca="1">IFERROR(__xludf.DUMMYFUNCTION("IMPORTRANGE(""https://docs.google.com/spreadsheets/d/11923uPwbBZFjjGgGUA6NLw09EwE0CqkOc4q9oUmW1yo/edit?usp=sharing"",""อุทัยธานี!M475"")"),3350)</f>
        <v>3350</v>
      </c>
      <c r="O580" s="371">
        <f t="shared" ref="O580:O584" ca="1" si="124">+IF(L580&gt;0,N580*100/L580,0)</f>
        <v>2.9948952680654766</v>
      </c>
      <c r="P580" s="371"/>
    </row>
    <row r="581" spans="1:16" ht="21.75" customHeight="1" x14ac:dyDescent="0.3">
      <c r="A581" s="156"/>
      <c r="B581" s="157"/>
      <c r="C581" s="157" t="s">
        <v>16</v>
      </c>
      <c r="D581" s="158" t="s">
        <v>38</v>
      </c>
      <c r="E581" s="159"/>
      <c r="F581" s="159"/>
      <c r="G581" s="160" t="s">
        <v>39</v>
      </c>
      <c r="H581" s="161" t="s">
        <v>12</v>
      </c>
      <c r="I581" s="162" t="s">
        <v>40</v>
      </c>
      <c r="J581" s="162"/>
      <c r="K581" s="163"/>
      <c r="L581" s="164">
        <f ca="1">IFERROR(__xludf.DUMMYFUNCTION("IMPORTRANGE(""https://docs.google.com/spreadsheets/d/11923uPwbBZFjjGgGUA6NLw09EwE0CqkOc4q9oUmW1yo/edit?usp=sharing"",""อุทัยธานี!L476"")"),0)</f>
        <v>0</v>
      </c>
      <c r="M581" s="164"/>
      <c r="N581" s="168">
        <f ca="1">IFERROR(__xludf.DUMMYFUNCTION("IMPORTRANGE(""https://docs.google.com/spreadsheets/d/11923uPwbBZFjjGgGUA6NLw09EwE0CqkOc4q9oUmW1yo/edit?usp=sharing"",""อุทัยธานี!M476"")"),0)</f>
        <v>0</v>
      </c>
      <c r="O581" s="168">
        <f t="shared" ca="1" si="124"/>
        <v>0</v>
      </c>
      <c r="P581" s="168"/>
    </row>
    <row r="582" spans="1:16" ht="21.75" customHeight="1" x14ac:dyDescent="0.3">
      <c r="A582" s="156"/>
      <c r="B582" s="157"/>
      <c r="C582" s="157"/>
      <c r="D582" s="166"/>
      <c r="E582" s="159"/>
      <c r="F582" s="159" t="s">
        <v>40</v>
      </c>
      <c r="G582" s="160" t="s">
        <v>41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IFERROR(__xludf.DUMMYFUNCTION("IMPORTRANGE(""https://docs.google.com/spreadsheets/d/11923uPwbBZFjjGgGUA6NLw09EwE0CqkOc4q9oUmW1yo/edit?usp=sharing"",""อุทัยธานี!L477"")"),111857)</f>
        <v>111857</v>
      </c>
      <c r="M582" s="165"/>
      <c r="N582" s="168">
        <f ca="1">IFERROR(__xludf.DUMMYFUNCTION("IMPORTRANGE(""https://docs.google.com/spreadsheets/d/11923uPwbBZFjjGgGUA6NLw09EwE0CqkOc4q9oUmW1yo/edit?usp=sharing"",""อุทัยธานี!M477"")"),3350)</f>
        <v>3350</v>
      </c>
      <c r="O582" s="168">
        <f t="shared" ca="1" si="124"/>
        <v>2.9948952680654766</v>
      </c>
      <c r="P582" s="168"/>
    </row>
    <row r="583" spans="1:16" ht="21.75" customHeight="1" x14ac:dyDescent="0.3">
      <c r="A583" s="156"/>
      <c r="B583" s="157"/>
      <c r="C583" s="157"/>
      <c r="D583" s="166"/>
      <c r="E583" s="159"/>
      <c r="F583" s="159"/>
      <c r="G583" s="372" t="s">
        <v>129</v>
      </c>
      <c r="H583" s="161" t="s">
        <v>12</v>
      </c>
      <c r="I583" s="162"/>
      <c r="J583" s="162"/>
      <c r="K583" s="163"/>
      <c r="L583" s="168">
        <f ca="1">IFERROR(__xludf.DUMMYFUNCTION("IMPORTRANGE(""https://docs.google.com/spreadsheets/d/11923uPwbBZFjjGgGUA6NLw09EwE0CqkOc4q9oUmW1yo/edit?usp=sharing"",""อุทัยธานี!L478"")"),0)</f>
        <v>0</v>
      </c>
      <c r="M583" s="168"/>
      <c r="N583" s="168">
        <f ca="1">IFERROR(__xludf.DUMMYFUNCTION("IMPORTRANGE(""https://docs.google.com/spreadsheets/d/11923uPwbBZFjjGgGUA6NLw09EwE0CqkOc4q9oUmW1yo/edit?usp=sharing"",""อุทัยธานี!M478"")"),0)</f>
        <v>0</v>
      </c>
      <c r="O583" s="168">
        <f t="shared" ca="1" si="124"/>
        <v>0</v>
      </c>
      <c r="P583" s="168"/>
    </row>
    <row r="584" spans="1:16" ht="21.75" customHeight="1" x14ac:dyDescent="0.3">
      <c r="A584" s="156"/>
      <c r="B584" s="157"/>
      <c r="C584" s="157"/>
      <c r="D584" s="166"/>
      <c r="E584" s="159"/>
      <c r="F584" s="159"/>
      <c r="G584" s="372" t="s">
        <v>130</v>
      </c>
      <c r="H584" s="161" t="s">
        <v>12</v>
      </c>
      <c r="I584" s="162"/>
      <c r="J584" s="162"/>
      <c r="K584" s="163"/>
      <c r="L584" s="168">
        <f ca="1">IFERROR(__xludf.DUMMYFUNCTION("IMPORTRANGE(""https://docs.google.com/spreadsheets/d/11923uPwbBZFjjGgGUA6NLw09EwE0CqkOc4q9oUmW1yo/edit?usp=sharing"",""อุทัยธานี!L479"")"),111857)</f>
        <v>111857</v>
      </c>
      <c r="M584" s="168"/>
      <c r="N584" s="168">
        <f ca="1">IFERROR(__xludf.DUMMYFUNCTION("IMPORTRANGE(""https://docs.google.com/spreadsheets/d/11923uPwbBZFjjGgGUA6NLw09EwE0CqkOc4q9oUmW1yo/edit?usp=sharing"",""อุทัยธานี!M479"")"),3350)</f>
        <v>3350</v>
      </c>
      <c r="O584" s="168">
        <f t="shared" ca="1" si="124"/>
        <v>2.9948952680654766</v>
      </c>
      <c r="P584" s="168"/>
    </row>
    <row r="585" spans="1:16" ht="21.75" customHeight="1" x14ac:dyDescent="0.3">
      <c r="A585" s="373"/>
      <c r="B585" s="374"/>
      <c r="C585" s="157"/>
      <c r="D585" s="375"/>
      <c r="E585" s="159"/>
      <c r="F585" s="159"/>
      <c r="G585" s="376" t="s">
        <v>131</v>
      </c>
      <c r="H585" s="161" t="s">
        <v>12</v>
      </c>
      <c r="I585" s="187"/>
      <c r="J585" s="187"/>
      <c r="K585" s="223"/>
      <c r="L585" s="168"/>
      <c r="M585" s="168"/>
      <c r="N585" s="167">
        <f ca="1">IFERROR(__xludf.DUMMYFUNCTION("IMPORTRANGE(""https://docs.google.com/spreadsheets/d/11923uPwbBZFjjGgGUA6NLw09EwE0CqkOc4q9oUmW1yo/edit?usp=sharing"",""อุทัยธานี!M480"")"),0)</f>
        <v>0</v>
      </c>
      <c r="O585" s="168"/>
      <c r="P585" s="168"/>
    </row>
    <row r="586" spans="1:16" ht="21.75" customHeight="1" x14ac:dyDescent="0.3">
      <c r="A586" s="373"/>
      <c r="B586" s="374"/>
      <c r="C586" s="157"/>
      <c r="D586" s="375"/>
      <c r="E586" s="159"/>
      <c r="F586" s="159"/>
      <c r="G586" s="376" t="s">
        <v>132</v>
      </c>
      <c r="H586" s="161" t="s">
        <v>12</v>
      </c>
      <c r="I586" s="187"/>
      <c r="J586" s="187"/>
      <c r="K586" s="223"/>
      <c r="L586" s="168"/>
      <c r="M586" s="168"/>
      <c r="N586" s="167">
        <f ca="1">IFERROR(__xludf.DUMMYFUNCTION("IMPORTRANGE(""https://docs.google.com/spreadsheets/d/11923uPwbBZFjjGgGUA6NLw09EwE0CqkOc4q9oUmW1yo/edit?usp=sharing"",""อุทัยธานี!M481"")"),0)</f>
        <v>0</v>
      </c>
      <c r="O586" s="168"/>
      <c r="P586" s="168"/>
    </row>
    <row r="587" spans="1:16" ht="21.75" customHeight="1" x14ac:dyDescent="0.3">
      <c r="A587" s="373"/>
      <c r="B587" s="374"/>
      <c r="C587" s="157"/>
      <c r="D587" s="375"/>
      <c r="E587" s="159"/>
      <c r="F587" s="159"/>
      <c r="G587" s="376" t="s">
        <v>133</v>
      </c>
      <c r="H587" s="161" t="s">
        <v>12</v>
      </c>
      <c r="I587" s="187"/>
      <c r="J587" s="187"/>
      <c r="K587" s="223"/>
      <c r="L587" s="168"/>
      <c r="M587" s="168"/>
      <c r="N587" s="167">
        <f ca="1">IFERROR(__xludf.DUMMYFUNCTION("IMPORTRANGE(""https://docs.google.com/spreadsheets/d/11923uPwbBZFjjGgGUA6NLw09EwE0CqkOc4q9oUmW1yo/edit?usp=sharing"",""อุทัยธานี!M482"")"),0)</f>
        <v>0</v>
      </c>
      <c r="O587" s="168"/>
      <c r="P587" s="168"/>
    </row>
    <row r="588" spans="1:16" ht="21.75" customHeight="1" x14ac:dyDescent="0.3">
      <c r="A588" s="373"/>
      <c r="B588" s="374"/>
      <c r="C588" s="157"/>
      <c r="D588" s="375"/>
      <c r="E588" s="159"/>
      <c r="F588" s="159"/>
      <c r="G588" s="376" t="s">
        <v>134</v>
      </c>
      <c r="H588" s="161" t="s">
        <v>12</v>
      </c>
      <c r="I588" s="187"/>
      <c r="J588" s="187"/>
      <c r="K588" s="223"/>
      <c r="L588" s="168"/>
      <c r="M588" s="168"/>
      <c r="N588" s="167">
        <f ca="1">IFERROR(__xludf.DUMMYFUNCTION("IMPORTRANGE(""https://docs.google.com/spreadsheets/d/11923uPwbBZFjjGgGUA6NLw09EwE0CqkOc4q9oUmW1yo/edit?usp=sharing"",""อุทัยธานี!M483"")"),3350)</f>
        <v>3350</v>
      </c>
      <c r="O588" s="168"/>
      <c r="P588" s="168"/>
    </row>
    <row r="589" spans="1:16" ht="21.75" customHeight="1" x14ac:dyDescent="0.3">
      <c r="A589" s="476"/>
      <c r="B589" s="166"/>
      <c r="C589" s="157"/>
      <c r="D589" s="289"/>
      <c r="E589" s="194" t="s">
        <v>217</v>
      </c>
      <c r="F589" s="195"/>
      <c r="G589" s="196"/>
      <c r="H589" s="180" t="s">
        <v>36</v>
      </c>
      <c r="I589" s="339">
        <f ca="1">IFERROR(__xludf.DUMMYFUNCTION("IMPORTRANGE(""https://docs.google.com/spreadsheets/d/11923uPwbBZFjjGgGUA6NLw09EwE0CqkOc4q9oUmW1yo/edit?usp=sharing"",""อุทัยธานี!I484"")"),7)</f>
        <v>7</v>
      </c>
      <c r="J589" s="187">
        <f ca="1">IFERROR(__xludf.DUMMYFUNCTION("IMPORTRANGE(""https://docs.google.com/spreadsheets/d/11923uPwbBZFjjGgGUA6NLw09EwE0CqkOc4q9oUmW1yo/edit?usp=sharing"",""อุทัยธานี!J484"")"),4)</f>
        <v>4</v>
      </c>
      <c r="K589" s="163">
        <f t="shared" ref="K589:K596" ca="1" si="125">IF(I589&gt;0,J589*100/I589,0)</f>
        <v>57.142857142857146</v>
      </c>
      <c r="L589" s="181"/>
      <c r="M589" s="181"/>
      <c r="N589" s="168"/>
      <c r="O589" s="181"/>
      <c r="P589" s="181"/>
    </row>
    <row r="590" spans="1:16" ht="21.75" customHeight="1" x14ac:dyDescent="0.3">
      <c r="A590" s="476"/>
      <c r="B590" s="166"/>
      <c r="C590" s="157"/>
      <c r="D590" s="289"/>
      <c r="E590" s="195"/>
      <c r="F590" s="195"/>
      <c r="G590" s="196"/>
      <c r="H590" s="180" t="s">
        <v>122</v>
      </c>
      <c r="I590" s="343">
        <f ca="1">IFERROR(__xludf.DUMMYFUNCTION("IMPORTRANGE(""https://docs.google.com/spreadsheets/d/11923uPwbBZFjjGgGUA6NLw09EwE0CqkOc4q9oUmW1yo/edit?usp=sharing"",""อุทัยธานี!I485"")"),0)</f>
        <v>0</v>
      </c>
      <c r="J590" s="187">
        <f ca="1">IFERROR(__xludf.DUMMYFUNCTION("IMPORTRANGE(""https://docs.google.com/spreadsheets/d/11923uPwbBZFjjGgGUA6NLw09EwE0CqkOc4q9oUmW1yo/edit?usp=sharing"",""อุทัยธานี!J485"")"),3.02)</f>
        <v>3.02</v>
      </c>
      <c r="K590" s="477">
        <f t="shared" ca="1" si="125"/>
        <v>0</v>
      </c>
      <c r="L590" s="181"/>
      <c r="M590" s="181"/>
      <c r="N590" s="168"/>
      <c r="O590" s="181"/>
      <c r="P590" s="181"/>
    </row>
    <row r="591" spans="1:16" ht="21.75" customHeight="1" x14ac:dyDescent="0.3">
      <c r="A591" s="476"/>
      <c r="B591" s="166"/>
      <c r="C591" s="157"/>
      <c r="D591" s="289"/>
      <c r="E591" s="194" t="s">
        <v>123</v>
      </c>
      <c r="F591" s="195"/>
      <c r="G591" s="196"/>
      <c r="H591" s="180" t="s">
        <v>37</v>
      </c>
      <c r="I591" s="339">
        <f ca="1">IFERROR(__xludf.DUMMYFUNCTION("IMPORTRANGE(""https://docs.google.com/spreadsheets/d/11923uPwbBZFjjGgGUA6NLw09EwE0CqkOc4q9oUmW1yo/edit?usp=sharing"",""อุทัยธานี!I486"")"),7)</f>
        <v>7</v>
      </c>
      <c r="J591" s="187">
        <f ca="1">IFERROR(__xludf.DUMMYFUNCTION("IMPORTRANGE(""https://docs.google.com/spreadsheets/d/11923uPwbBZFjjGgGUA6NLw09EwE0CqkOc4q9oUmW1yo/edit?usp=sharing"",""อุทัยธานี!J486"")"),6)</f>
        <v>6</v>
      </c>
      <c r="K591" s="163">
        <f t="shared" ca="1" si="125"/>
        <v>85.714285714285708</v>
      </c>
      <c r="L591" s="181"/>
      <c r="M591" s="181"/>
      <c r="N591" s="181"/>
      <c r="O591" s="181"/>
      <c r="P591" s="181"/>
    </row>
    <row r="592" spans="1:16" ht="21.75" customHeight="1" x14ac:dyDescent="0.3">
      <c r="A592" s="476"/>
      <c r="B592" s="166"/>
      <c r="C592" s="157"/>
      <c r="D592" s="289"/>
      <c r="E592" s="195"/>
      <c r="F592" s="195"/>
      <c r="G592" s="196"/>
      <c r="H592" s="180" t="s">
        <v>122</v>
      </c>
      <c r="I592" s="343">
        <f ca="1">IFERROR(__xludf.DUMMYFUNCTION("IMPORTRANGE(""https://docs.google.com/spreadsheets/d/11923uPwbBZFjjGgGUA6NLw09EwE0CqkOc4q9oUmW1yo/edit?usp=sharing"",""อุทัยธานี!I487"")"),0)</f>
        <v>0</v>
      </c>
      <c r="J592" s="187">
        <f ca="1">IFERROR(__xludf.DUMMYFUNCTION("IMPORTRANGE(""https://docs.google.com/spreadsheets/d/11923uPwbBZFjjGgGUA6NLw09EwE0CqkOc4q9oUmW1yo/edit?usp=sharing"",""อุทัยธานี!J487"")"),4.33)</f>
        <v>4.33</v>
      </c>
      <c r="K592" s="340">
        <f t="shared" ca="1" si="125"/>
        <v>0</v>
      </c>
      <c r="L592" s="181"/>
      <c r="M592" s="181"/>
      <c r="N592" s="181"/>
      <c r="O592" s="181"/>
      <c r="P592" s="181"/>
    </row>
    <row r="593" spans="1:16" ht="21.75" customHeight="1" x14ac:dyDescent="0.3">
      <c r="A593" s="476"/>
      <c r="B593" s="166"/>
      <c r="C593" s="157"/>
      <c r="D593" s="289"/>
      <c r="E593" s="194" t="s">
        <v>124</v>
      </c>
      <c r="F593" s="195"/>
      <c r="G593" s="196"/>
      <c r="H593" s="180" t="s">
        <v>37</v>
      </c>
      <c r="I593" s="339">
        <f ca="1">IFERROR(__xludf.DUMMYFUNCTION("IMPORTRANGE(""https://docs.google.com/spreadsheets/d/11923uPwbBZFjjGgGUA6NLw09EwE0CqkOc4q9oUmW1yo/edit?usp=sharing"",""อุทัยธานี!I488"")"),7)</f>
        <v>7</v>
      </c>
      <c r="J593" s="187">
        <f ca="1">IFERROR(__xludf.DUMMYFUNCTION("IMPORTRANGE(""https://docs.google.com/spreadsheets/d/11923uPwbBZFjjGgGUA6NLw09EwE0CqkOc4q9oUmW1yo/edit?usp=sharing"",""อุทัยธานี!J488"")"),4)</f>
        <v>4</v>
      </c>
      <c r="K593" s="163">
        <f t="shared" ca="1" si="125"/>
        <v>57.142857142857146</v>
      </c>
      <c r="L593" s="181"/>
      <c r="M593" s="181"/>
      <c r="N593" s="181"/>
      <c r="O593" s="181"/>
      <c r="P593" s="181"/>
    </row>
    <row r="594" spans="1:16" ht="21.75" customHeight="1" x14ac:dyDescent="0.3">
      <c r="A594" s="476"/>
      <c r="B594" s="166"/>
      <c r="C594" s="157"/>
      <c r="D594" s="289"/>
      <c r="E594" s="195"/>
      <c r="F594" s="195"/>
      <c r="G594" s="196"/>
      <c r="H594" s="180" t="s">
        <v>122</v>
      </c>
      <c r="I594" s="343">
        <f ca="1">IFERROR(__xludf.DUMMYFUNCTION("IMPORTRANGE(""https://docs.google.com/spreadsheets/d/11923uPwbBZFjjGgGUA6NLw09EwE0CqkOc4q9oUmW1yo/edit?usp=sharing"",""อุทัยธานี!I489"")"),0)</f>
        <v>0</v>
      </c>
      <c r="J594" s="187">
        <f ca="1">IFERROR(__xludf.DUMMYFUNCTION("IMPORTRANGE(""https://docs.google.com/spreadsheets/d/11923uPwbBZFjjGgGUA6NLw09EwE0CqkOc4q9oUmW1yo/edit?usp=sharing"",""อุทัยธานี!J489"")"),3.07)</f>
        <v>3.07</v>
      </c>
      <c r="K594" s="340">
        <f t="shared" ca="1" si="125"/>
        <v>0</v>
      </c>
      <c r="L594" s="181"/>
      <c r="M594" s="181"/>
      <c r="N594" s="181"/>
      <c r="O594" s="181"/>
      <c r="P594" s="181"/>
    </row>
    <row r="595" spans="1:16" ht="21.75" customHeight="1" x14ac:dyDescent="0.3">
      <c r="A595" s="476"/>
      <c r="B595" s="166"/>
      <c r="C595" s="157"/>
      <c r="D595" s="289"/>
      <c r="E595" s="194" t="s">
        <v>125</v>
      </c>
      <c r="F595" s="195"/>
      <c r="G595" s="196"/>
      <c r="H595" s="180" t="s">
        <v>37</v>
      </c>
      <c r="I595" s="339">
        <f ca="1">IFERROR(__xludf.DUMMYFUNCTION("IMPORTRANGE(""https://docs.google.com/spreadsheets/d/11923uPwbBZFjjGgGUA6NLw09EwE0CqkOc4q9oUmW1yo/edit?usp=sharing"",""อุทัยธานี!I490"")"),7)</f>
        <v>7</v>
      </c>
      <c r="J595" s="187">
        <f ca="1">IFERROR(__xludf.DUMMYFUNCTION("IMPORTRANGE(""https://docs.google.com/spreadsheets/d/11923uPwbBZFjjGgGUA6NLw09EwE0CqkOc4q9oUmW1yo/edit?usp=sharing"",""อุทัยธานี!J490"")"),2)</f>
        <v>2</v>
      </c>
      <c r="K595" s="163">
        <f t="shared" ca="1" si="125"/>
        <v>28.571428571428573</v>
      </c>
      <c r="L595" s="181"/>
      <c r="M595" s="181"/>
      <c r="N595" s="181"/>
      <c r="O595" s="181"/>
      <c r="P595" s="181"/>
    </row>
    <row r="596" spans="1:16" ht="21.75" customHeight="1" x14ac:dyDescent="0.3">
      <c r="A596" s="478"/>
      <c r="B596" s="479"/>
      <c r="C596" s="480"/>
      <c r="D596" s="481"/>
      <c r="E596" s="460"/>
      <c r="F596" s="460"/>
      <c r="G596" s="461"/>
      <c r="H596" s="482" t="s">
        <v>122</v>
      </c>
      <c r="I596" s="483">
        <f ca="1">IFERROR(__xludf.DUMMYFUNCTION("IMPORTRANGE(""https://docs.google.com/spreadsheets/d/11923uPwbBZFjjGgGUA6NLw09EwE0CqkOc4q9oUmW1yo/edit?usp=sharing"",""อุทัยธานี!I491"")"),0)</f>
        <v>0</v>
      </c>
      <c r="J596" s="240">
        <f ca="1">IFERROR(__xludf.DUMMYFUNCTION("IMPORTRANGE(""https://docs.google.com/spreadsheets/d/11923uPwbBZFjjGgGUA6NLw09EwE0CqkOc4q9oUmW1yo/edit?usp=sharing"",""อุทัยธานี!J491"")"),1.26)</f>
        <v>1.26</v>
      </c>
      <c r="K596" s="484">
        <f t="shared" ca="1" si="125"/>
        <v>0</v>
      </c>
      <c r="L596" s="466"/>
      <c r="M596" s="466"/>
      <c r="N596" s="466"/>
      <c r="O596" s="466"/>
      <c r="P596" s="466"/>
    </row>
    <row r="597" spans="1:16" ht="21.75" customHeight="1" x14ac:dyDescent="0.3">
      <c r="A597" s="403"/>
      <c r="B597" s="404">
        <v>10</v>
      </c>
      <c r="C597" s="405" t="s">
        <v>218</v>
      </c>
      <c r="D597" s="405"/>
      <c r="E597" s="405"/>
      <c r="F597" s="405"/>
      <c r="G597" s="406"/>
      <c r="H597" s="407" t="s">
        <v>122</v>
      </c>
      <c r="I597" s="408">
        <f ca="1">IFERROR(__xludf.DUMMYFUNCTION("IMPORTRANGE(""https://docs.google.com/spreadsheets/d/11923uPwbBZFjjGgGUA6NLw09EwE0CqkOc4q9oUmW1yo/edit?usp=sharing"",""อุทัยธานี!I492"")"),50)</f>
        <v>50</v>
      </c>
      <c r="J597" s="485">
        <f ca="1">IFERROR(__xludf.DUMMYFUNCTION("IMPORTRANGE(""https://docs.google.com/spreadsheets/d/11923uPwbBZFjjGgGUA6NLw09EwE0CqkOc4q9oUmW1yo/edit?usp=sharing"",""อุทัยธานี!J492"")"),0)</f>
        <v>0</v>
      </c>
      <c r="K597" s="409">
        <f ca="1">IF(I597&gt;0,J597*100/I597,0)</f>
        <v>0</v>
      </c>
      <c r="L597" s="410">
        <f ca="1">IFERROR(__xludf.DUMMYFUNCTION("IMPORTRANGE(""https://docs.google.com/spreadsheets/d/11923uPwbBZFjjGgGUA6NLw09EwE0CqkOc4q9oUmW1yo/edit?usp=sharing"",""อุทัยธานี!L492"")"),8550)</f>
        <v>8550</v>
      </c>
      <c r="M597" s="410"/>
      <c r="N597" s="410">
        <f ca="1">IFERROR(__xludf.DUMMYFUNCTION("IMPORTRANGE(""https://docs.google.com/spreadsheets/d/11923uPwbBZFjjGgGUA6NLw09EwE0CqkOc4q9oUmW1yo/edit?usp=sharing"",""อุทัยธานี!M492"")"),5800)</f>
        <v>5800</v>
      </c>
      <c r="O597" s="410">
        <f t="shared" ref="O597:O601" ca="1" si="126">+IF(L597&gt;0,N597*100/L597,0)</f>
        <v>67.836257309941516</v>
      </c>
      <c r="P597" s="410"/>
    </row>
    <row r="598" spans="1:16" ht="21.75" customHeight="1" x14ac:dyDescent="0.3">
      <c r="A598" s="156"/>
      <c r="B598" s="157"/>
      <c r="C598" s="157" t="s">
        <v>16</v>
      </c>
      <c r="D598" s="158" t="s">
        <v>38</v>
      </c>
      <c r="E598" s="159"/>
      <c r="F598" s="159"/>
      <c r="G598" s="160" t="s">
        <v>39</v>
      </c>
      <c r="H598" s="161" t="s">
        <v>12</v>
      </c>
      <c r="I598" s="162" t="s">
        <v>40</v>
      </c>
      <c r="J598" s="162"/>
      <c r="K598" s="163"/>
      <c r="L598" s="164">
        <f ca="1">IFERROR(__xludf.DUMMYFUNCTION("IMPORTRANGE(""https://docs.google.com/spreadsheets/d/11923uPwbBZFjjGgGUA6NLw09EwE0CqkOc4q9oUmW1yo/edit?usp=sharing"",""อุทัยธานี!L493"")"),0)</f>
        <v>0</v>
      </c>
      <c r="M598" s="164"/>
      <c r="N598" s="168">
        <f ca="1">IFERROR(__xludf.DUMMYFUNCTION("IMPORTRANGE(""https://docs.google.com/spreadsheets/d/11923uPwbBZFjjGgGUA6NLw09EwE0CqkOc4q9oUmW1yo/edit?usp=sharing"",""อุทัยธานี!M493"")"),0)</f>
        <v>0</v>
      </c>
      <c r="O598" s="168">
        <f t="shared" ca="1" si="126"/>
        <v>0</v>
      </c>
      <c r="P598" s="168"/>
    </row>
    <row r="599" spans="1:16" ht="21.75" customHeight="1" x14ac:dyDescent="0.3">
      <c r="A599" s="156"/>
      <c r="B599" s="157"/>
      <c r="C599" s="157"/>
      <c r="D599" s="166"/>
      <c r="E599" s="159"/>
      <c r="F599" s="159" t="s">
        <v>40</v>
      </c>
      <c r="G599" s="160" t="s">
        <v>41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IFERROR(__xludf.DUMMYFUNCTION("IMPORTRANGE(""https://docs.google.com/spreadsheets/d/11923uPwbBZFjjGgGUA6NLw09EwE0CqkOc4q9oUmW1yo/edit?usp=sharing"",""อุทัยธานี!L494"")"),8550)</f>
        <v>8550</v>
      </c>
      <c r="M599" s="165"/>
      <c r="N599" s="168">
        <f ca="1">IFERROR(__xludf.DUMMYFUNCTION("IMPORTRANGE(""https://docs.google.com/spreadsheets/d/11923uPwbBZFjjGgGUA6NLw09EwE0CqkOc4q9oUmW1yo/edit?usp=sharing"",""อุทัยธานี!M494"")"),5800)</f>
        <v>5800</v>
      </c>
      <c r="O599" s="168">
        <f t="shared" ca="1" si="126"/>
        <v>67.836257309941516</v>
      </c>
      <c r="P599" s="168"/>
    </row>
    <row r="600" spans="1:16" ht="21.75" customHeight="1" x14ac:dyDescent="0.3">
      <c r="A600" s="156"/>
      <c r="B600" s="157"/>
      <c r="C600" s="157"/>
      <c r="D600" s="166"/>
      <c r="E600" s="159"/>
      <c r="F600" s="159"/>
      <c r="G600" s="372" t="s">
        <v>129</v>
      </c>
      <c r="H600" s="161" t="s">
        <v>12</v>
      </c>
      <c r="I600" s="162"/>
      <c r="J600" s="162"/>
      <c r="K600" s="163"/>
      <c r="L600" s="168">
        <f ca="1">IFERROR(__xludf.DUMMYFUNCTION("IMPORTRANGE(""https://docs.google.com/spreadsheets/d/11923uPwbBZFjjGgGUA6NLw09EwE0CqkOc4q9oUmW1yo/edit?usp=sharing"",""อุทัยธานี!L495"")"),0)</f>
        <v>0</v>
      </c>
      <c r="M600" s="168"/>
      <c r="N600" s="168">
        <f ca="1">IFERROR(__xludf.DUMMYFUNCTION("IMPORTRANGE(""https://docs.google.com/spreadsheets/d/11923uPwbBZFjjGgGUA6NLw09EwE0CqkOc4q9oUmW1yo/edit?usp=sharing"",""อุทัยธานี!M495"")"),0)</f>
        <v>0</v>
      </c>
      <c r="O600" s="168">
        <f t="shared" ca="1" si="126"/>
        <v>0</v>
      </c>
      <c r="P600" s="168"/>
    </row>
    <row r="601" spans="1:16" ht="21.75" customHeight="1" x14ac:dyDescent="0.3">
      <c r="A601" s="156"/>
      <c r="B601" s="157"/>
      <c r="C601" s="157"/>
      <c r="D601" s="166"/>
      <c r="E601" s="159"/>
      <c r="F601" s="159"/>
      <c r="G601" s="372" t="s">
        <v>130</v>
      </c>
      <c r="H601" s="161" t="s">
        <v>12</v>
      </c>
      <c r="I601" s="162"/>
      <c r="J601" s="162"/>
      <c r="K601" s="163"/>
      <c r="L601" s="168">
        <f ca="1">IFERROR(__xludf.DUMMYFUNCTION("IMPORTRANGE(""https://docs.google.com/spreadsheets/d/11923uPwbBZFjjGgGUA6NLw09EwE0CqkOc4q9oUmW1yo/edit?usp=sharing"",""อุทัยธานี!L496"")"),8550)</f>
        <v>8550</v>
      </c>
      <c r="M601" s="168"/>
      <c r="N601" s="168">
        <f ca="1">IFERROR(__xludf.DUMMYFUNCTION("IMPORTRANGE(""https://docs.google.com/spreadsheets/d/11923uPwbBZFjjGgGUA6NLw09EwE0CqkOc4q9oUmW1yo/edit?usp=sharing"",""อุทัยธานี!M496"")"),5800)</f>
        <v>5800</v>
      </c>
      <c r="O601" s="168">
        <f t="shared" ca="1" si="126"/>
        <v>67.836257309941516</v>
      </c>
      <c r="P601" s="168"/>
    </row>
    <row r="602" spans="1:16" ht="21.75" customHeight="1" x14ac:dyDescent="0.3">
      <c r="A602" s="373"/>
      <c r="B602" s="374"/>
      <c r="C602" s="157"/>
      <c r="D602" s="375"/>
      <c r="E602" s="159"/>
      <c r="F602" s="159"/>
      <c r="G602" s="376" t="s">
        <v>131</v>
      </c>
      <c r="H602" s="161" t="s">
        <v>12</v>
      </c>
      <c r="I602" s="187"/>
      <c r="J602" s="187"/>
      <c r="K602" s="223"/>
      <c r="L602" s="168"/>
      <c r="M602" s="168"/>
      <c r="N602" s="167">
        <f ca="1">IFERROR(__xludf.DUMMYFUNCTION("IMPORTRANGE(""https://docs.google.com/spreadsheets/d/11923uPwbBZFjjGgGUA6NLw09EwE0CqkOc4q9oUmW1yo/edit?usp=sharing"",""อุทัยธานี!M497"")"),0)</f>
        <v>0</v>
      </c>
      <c r="O602" s="168"/>
      <c r="P602" s="168"/>
    </row>
    <row r="603" spans="1:16" ht="21.75" customHeight="1" x14ac:dyDescent="0.3">
      <c r="A603" s="373"/>
      <c r="B603" s="374"/>
      <c r="C603" s="157"/>
      <c r="D603" s="375"/>
      <c r="E603" s="159"/>
      <c r="F603" s="159"/>
      <c r="G603" s="376" t="s">
        <v>132</v>
      </c>
      <c r="H603" s="161" t="s">
        <v>12</v>
      </c>
      <c r="I603" s="187"/>
      <c r="J603" s="187"/>
      <c r="K603" s="223"/>
      <c r="L603" s="168"/>
      <c r="M603" s="168"/>
      <c r="N603" s="167">
        <f ca="1">IFERROR(__xludf.DUMMYFUNCTION("IMPORTRANGE(""https://docs.google.com/spreadsheets/d/11923uPwbBZFjjGgGUA6NLw09EwE0CqkOc4q9oUmW1yo/edit?usp=sharing"",""อุทัยธานี!M498"")"),0)</f>
        <v>0</v>
      </c>
      <c r="O603" s="168"/>
      <c r="P603" s="168"/>
    </row>
    <row r="604" spans="1:16" ht="21.75" customHeight="1" x14ac:dyDescent="0.3">
      <c r="A604" s="373"/>
      <c r="B604" s="374"/>
      <c r="C604" s="157"/>
      <c r="D604" s="375"/>
      <c r="E604" s="159"/>
      <c r="F604" s="159"/>
      <c r="G604" s="376" t="s">
        <v>133</v>
      </c>
      <c r="H604" s="161" t="s">
        <v>12</v>
      </c>
      <c r="I604" s="187"/>
      <c r="J604" s="187"/>
      <c r="K604" s="223"/>
      <c r="L604" s="168"/>
      <c r="M604" s="168"/>
      <c r="N604" s="377">
        <f ca="1">IFERROR(__xludf.DUMMYFUNCTION("IMPORTRANGE(""https://docs.google.com/spreadsheets/d/11923uPwbBZFjjGgGUA6NLw09EwE0CqkOc4q9oUmW1yo/edit?usp=sharing"",""อุทัยธานี!M499"")"),0)</f>
        <v>0</v>
      </c>
      <c r="O604" s="168"/>
      <c r="P604" s="168"/>
    </row>
    <row r="605" spans="1:16" ht="21.75" customHeight="1" x14ac:dyDescent="0.3">
      <c r="A605" s="373"/>
      <c r="B605" s="374"/>
      <c r="C605" s="157"/>
      <c r="D605" s="375"/>
      <c r="E605" s="159"/>
      <c r="F605" s="159"/>
      <c r="G605" s="376" t="s">
        <v>134</v>
      </c>
      <c r="H605" s="161" t="s">
        <v>12</v>
      </c>
      <c r="I605" s="187"/>
      <c r="J605" s="187"/>
      <c r="K605" s="223"/>
      <c r="L605" s="168"/>
      <c r="M605" s="168"/>
      <c r="N605" s="377">
        <f ca="1">IFERROR(__xludf.DUMMYFUNCTION("IMPORTRANGE(""https://docs.google.com/spreadsheets/d/11923uPwbBZFjjGgGUA6NLw09EwE0CqkOc4q9oUmW1yo/edit?usp=sharing"",""อุทัยธานี!M500"")"),5800)</f>
        <v>5800</v>
      </c>
      <c r="O605" s="168"/>
      <c r="P605" s="168"/>
    </row>
    <row r="606" spans="1:16" ht="21.75" customHeight="1" x14ac:dyDescent="0.3">
      <c r="A606" s="175"/>
      <c r="B606" s="176"/>
      <c r="C606" s="157" t="s">
        <v>16</v>
      </c>
      <c r="D606" s="177" t="s">
        <v>44</v>
      </c>
      <c r="E606" s="178"/>
      <c r="F606" s="178"/>
      <c r="G606" s="179"/>
      <c r="H606" s="180"/>
      <c r="I606" s="162"/>
      <c r="J606" s="162"/>
      <c r="K606" s="163"/>
      <c r="L606" s="181"/>
      <c r="M606" s="181"/>
      <c r="N606" s="181"/>
      <c r="O606" s="181"/>
      <c r="P606" s="181"/>
    </row>
    <row r="607" spans="1:16" ht="21.75" customHeight="1" x14ac:dyDescent="0.3">
      <c r="A607" s="175"/>
      <c r="B607" s="176"/>
      <c r="C607" s="176"/>
      <c r="D607" s="182">
        <v>1</v>
      </c>
      <c r="E607" s="183" t="s">
        <v>45</v>
      </c>
      <c r="F607" s="184"/>
      <c r="G607" s="185"/>
      <c r="H607" s="186"/>
      <c r="I607" s="187"/>
      <c r="J607" s="197">
        <f ca="1">IFERROR(__xludf.DUMMYFUNCTION("IMPORTRANGE(""https://docs.google.com/spreadsheets/d/11923uPwbBZFjjGgGUA6NLw09EwE0CqkOc4q9oUmW1yo/edit?usp=sharing"",""อุทัยธานี!J502"")"),0)</f>
        <v>0</v>
      </c>
      <c r="K607" s="163"/>
      <c r="L607" s="181"/>
      <c r="M607" s="181"/>
      <c r="N607" s="181"/>
      <c r="O607" s="181"/>
      <c r="P607" s="181"/>
    </row>
    <row r="608" spans="1:16" ht="21.75" customHeight="1" x14ac:dyDescent="0.3">
      <c r="A608" s="175"/>
      <c r="B608" s="176"/>
      <c r="C608" s="176"/>
      <c r="D608" s="189">
        <v>2</v>
      </c>
      <c r="E608" s="190" t="s">
        <v>46</v>
      </c>
      <c r="F608" s="191"/>
      <c r="G608" s="192"/>
      <c r="H608" s="186"/>
      <c r="I608" s="187"/>
      <c r="J608" s="197">
        <f ca="1">IFERROR(__xludf.DUMMYFUNCTION("IMPORTRANGE(""https://docs.google.com/spreadsheets/d/11923uPwbBZFjjGgGUA6NLw09EwE0CqkOc4q9oUmW1yo/edit?usp=sharing"",""อุทัยธานี!J503"")"),1)</f>
        <v>1</v>
      </c>
      <c r="K608" s="163"/>
      <c r="L608" s="181" t="s">
        <v>40</v>
      </c>
      <c r="M608" s="181"/>
      <c r="N608" s="181" t="s">
        <v>40</v>
      </c>
      <c r="O608" s="181"/>
      <c r="P608" s="181"/>
    </row>
    <row r="609" spans="1:16" ht="21.75" hidden="1" customHeight="1" x14ac:dyDescent="0.3">
      <c r="A609" s="373"/>
      <c r="B609" s="374"/>
      <c r="C609" s="374"/>
      <c r="D609" s="486"/>
      <c r="E609" s="487" t="s">
        <v>47</v>
      </c>
      <c r="F609" s="488"/>
      <c r="G609" s="379"/>
      <c r="H609" s="186"/>
      <c r="I609" s="187"/>
      <c r="J609" s="187">
        <f ca="1">IFERROR(__xludf.DUMMYFUNCTION("IMPORTRANGE(""https://docs.google.com/spreadsheets/d/11923uPwbBZFjjGgGUA6NLw09EwE0CqkOc4q9oUmW1yo/edit?usp=sharing"",""อุทัยธานี!J166"")"),0)</f>
        <v>0</v>
      </c>
      <c r="K609" s="223"/>
      <c r="L609" s="168"/>
      <c r="M609" s="168"/>
      <c r="N609" s="168"/>
      <c r="O609" s="168"/>
      <c r="P609" s="168"/>
    </row>
    <row r="610" spans="1:16" ht="21.75" hidden="1" customHeight="1" x14ac:dyDescent="0.3">
      <c r="A610" s="373"/>
      <c r="B610" s="374"/>
      <c r="C610" s="374"/>
      <c r="D610" s="486"/>
      <c r="E610" s="487" t="s">
        <v>48</v>
      </c>
      <c r="F610" s="488"/>
      <c r="G610" s="379"/>
      <c r="H610" s="186"/>
      <c r="I610" s="187"/>
      <c r="J610" s="187">
        <f ca="1">IFERROR(__xludf.DUMMYFUNCTION("IMPORTRANGE(""https://docs.google.com/spreadsheets/d/11923uPwbBZFjjGgGUA6NLw09EwE0CqkOc4q9oUmW1yo/edit?usp=sharing"",""อุทัยธานี!J166"")"),0)</f>
        <v>0</v>
      </c>
      <c r="K610" s="223"/>
      <c r="L610" s="168"/>
      <c r="M610" s="168"/>
      <c r="N610" s="168"/>
      <c r="O610" s="168"/>
      <c r="P610" s="168"/>
    </row>
    <row r="611" spans="1:16" ht="21.75" customHeight="1" x14ac:dyDescent="0.3">
      <c r="A611" s="175"/>
      <c r="B611" s="176"/>
      <c r="C611" s="176"/>
      <c r="D611" s="193"/>
      <c r="E611" s="195"/>
      <c r="F611" s="195" t="s">
        <v>219</v>
      </c>
      <c r="G611" s="196"/>
      <c r="H611" s="180" t="s">
        <v>122</v>
      </c>
      <c r="I611" s="187">
        <f ca="1">IFERROR(__xludf.DUMMYFUNCTION("IMPORTRANGE(""https://docs.google.com/spreadsheets/d/11923uPwbBZFjjGgGUA6NLw09EwE0CqkOc4q9oUmW1yo/edit?usp=sharing"",""อุทัยธานี!I506"")"),50)</f>
        <v>50</v>
      </c>
      <c r="J611" s="162">
        <f ca="1">IFERROR(__xludf.DUMMYFUNCTION("IMPORTRANGE(""https://docs.google.com/spreadsheets/d/11923uPwbBZFjjGgGUA6NLw09EwE0CqkOc4q9oUmW1yo/edit?usp=sharing"",""อุทัยธานี!J506"")"),0)</f>
        <v>0</v>
      </c>
      <c r="K611" s="163">
        <f t="shared" ref="K611:K619" ca="1" si="127">IF(I$611&gt;0,J611*100/I$611,0)</f>
        <v>0</v>
      </c>
      <c r="L611" s="181"/>
      <c r="M611" s="181"/>
      <c r="N611" s="181"/>
      <c r="O611" s="181"/>
      <c r="P611" s="181"/>
    </row>
    <row r="612" spans="1:16" ht="21.75" customHeight="1" x14ac:dyDescent="0.3">
      <c r="A612" s="175"/>
      <c r="B612" s="176"/>
      <c r="C612" s="176"/>
      <c r="D612" s="193"/>
      <c r="E612" s="198"/>
      <c r="F612" s="195"/>
      <c r="G612" s="225" t="s">
        <v>220</v>
      </c>
      <c r="H612" s="180" t="s">
        <v>122</v>
      </c>
      <c r="I612" s="203">
        <f ca="1">IFERROR(__xludf.DUMMYFUNCTION("IMPORTRANGE(""https://docs.google.com/spreadsheets/d/11923uPwbBZFjjGgGUA6NLw09EwE0CqkOc4q9oUmW1yo/edit?usp=sharing"",""อุทัยธานี!I507"")"),0)</f>
        <v>0</v>
      </c>
      <c r="J612" s="197">
        <f ca="1">IFERROR(__xludf.DUMMYFUNCTION("IMPORTRANGE(""https://docs.google.com/spreadsheets/d/11923uPwbBZFjjGgGUA6NLw09EwE0CqkOc4q9oUmW1yo/edit?usp=sharing"",""อุทัยธานี!J507"")"),0)</f>
        <v>0</v>
      </c>
      <c r="K612" s="163">
        <f t="shared" ca="1" si="127"/>
        <v>0</v>
      </c>
      <c r="L612" s="181"/>
      <c r="M612" s="181"/>
      <c r="N612" s="181"/>
      <c r="O612" s="181"/>
      <c r="P612" s="181"/>
    </row>
    <row r="613" spans="1:16" ht="21.75" customHeight="1" x14ac:dyDescent="0.3">
      <c r="A613" s="175"/>
      <c r="B613" s="176"/>
      <c r="C613" s="176"/>
      <c r="D613" s="193"/>
      <c r="E613" s="198"/>
      <c r="F613" s="195"/>
      <c r="G613" s="225" t="s">
        <v>221</v>
      </c>
      <c r="H613" s="180" t="s">
        <v>122</v>
      </c>
      <c r="I613" s="203">
        <f ca="1">IFERROR(__xludf.DUMMYFUNCTION("IMPORTRANGE(""https://docs.google.com/spreadsheets/d/11923uPwbBZFjjGgGUA6NLw09EwE0CqkOc4q9oUmW1yo/edit?usp=sharing"",""อุทัยธานี!I508"")"),0)</f>
        <v>0</v>
      </c>
      <c r="J613" s="197">
        <f ca="1">IFERROR(__xludf.DUMMYFUNCTION("IMPORTRANGE(""https://docs.google.com/spreadsheets/d/11923uPwbBZFjjGgGUA6NLw09EwE0CqkOc4q9oUmW1yo/edit?usp=sharing"",""อุทัยธานี!J508"")"),0)</f>
        <v>0</v>
      </c>
      <c r="K613" s="163">
        <f t="shared" ca="1" si="127"/>
        <v>0</v>
      </c>
      <c r="L613" s="181"/>
      <c r="M613" s="181"/>
      <c r="N613" s="181"/>
      <c r="O613" s="181"/>
      <c r="P613" s="181"/>
    </row>
    <row r="614" spans="1:16" ht="21.75" customHeight="1" x14ac:dyDescent="0.3">
      <c r="A614" s="175"/>
      <c r="B614" s="176"/>
      <c r="C614" s="176"/>
      <c r="D614" s="193"/>
      <c r="E614" s="198"/>
      <c r="F614" s="195"/>
      <c r="G614" s="225" t="s">
        <v>222</v>
      </c>
      <c r="H614" s="180" t="s">
        <v>122</v>
      </c>
      <c r="I614" s="203">
        <f ca="1">IFERROR(__xludf.DUMMYFUNCTION("IMPORTRANGE(""https://docs.google.com/spreadsheets/d/11923uPwbBZFjjGgGUA6NLw09EwE0CqkOc4q9oUmW1yo/edit?usp=sharing"",""อุทัยธานี!I509"")"),0)</f>
        <v>0</v>
      </c>
      <c r="J614" s="197">
        <f ca="1">IFERROR(__xludf.DUMMYFUNCTION("IMPORTRANGE(""https://docs.google.com/spreadsheets/d/11923uPwbBZFjjGgGUA6NLw09EwE0CqkOc4q9oUmW1yo/edit?usp=sharing"",""อุทัยธานี!J509"")"),0)</f>
        <v>0</v>
      </c>
      <c r="K614" s="163">
        <f t="shared" ca="1" si="127"/>
        <v>0</v>
      </c>
      <c r="L614" s="181"/>
      <c r="M614" s="181"/>
      <c r="N614" s="181"/>
      <c r="O614" s="181"/>
      <c r="P614" s="181"/>
    </row>
    <row r="615" spans="1:16" ht="21.75" customHeight="1" x14ac:dyDescent="0.3">
      <c r="A615" s="175"/>
      <c r="B615" s="176"/>
      <c r="C615" s="176"/>
      <c r="D615" s="193"/>
      <c r="E615" s="198"/>
      <c r="F615" s="195"/>
      <c r="G615" s="225" t="s">
        <v>223</v>
      </c>
      <c r="H615" s="180" t="s">
        <v>122</v>
      </c>
      <c r="I615" s="203">
        <f ca="1">IFERROR(__xludf.DUMMYFUNCTION("IMPORTRANGE(""https://docs.google.com/spreadsheets/d/11923uPwbBZFjjGgGUA6NLw09EwE0CqkOc4q9oUmW1yo/edit?usp=sharing"",""อุทัยธานี!I510"")"),0)</f>
        <v>0</v>
      </c>
      <c r="J615" s="197">
        <f ca="1">IFERROR(__xludf.DUMMYFUNCTION("IMPORTRANGE(""https://docs.google.com/spreadsheets/d/11923uPwbBZFjjGgGUA6NLw09EwE0CqkOc4q9oUmW1yo/edit?usp=sharing"",""อุทัยธานี!J510"")"),0)</f>
        <v>0</v>
      </c>
      <c r="K615" s="163">
        <f t="shared" ca="1" si="127"/>
        <v>0</v>
      </c>
      <c r="L615" s="181"/>
      <c r="M615" s="181"/>
      <c r="N615" s="181"/>
      <c r="O615" s="181"/>
      <c r="P615" s="181"/>
    </row>
    <row r="616" spans="1:16" ht="21.75" customHeight="1" x14ac:dyDescent="0.3">
      <c r="A616" s="175"/>
      <c r="B616" s="176"/>
      <c r="C616" s="176"/>
      <c r="D616" s="193"/>
      <c r="E616" s="198"/>
      <c r="F616" s="195"/>
      <c r="G616" s="194" t="s">
        <v>224</v>
      </c>
      <c r="H616" s="180" t="s">
        <v>122</v>
      </c>
      <c r="I616" s="203">
        <f ca="1">IFERROR(__xludf.DUMMYFUNCTION("IMPORTRANGE(""https://docs.google.com/spreadsheets/d/11923uPwbBZFjjGgGUA6NLw09EwE0CqkOc4q9oUmW1yo/edit?usp=sharing"",""อุทัยธานี!I511"")"),0)</f>
        <v>0</v>
      </c>
      <c r="J616" s="197">
        <f ca="1">IFERROR(__xludf.DUMMYFUNCTION("IMPORTRANGE(""https://docs.google.com/spreadsheets/d/11923uPwbBZFjjGgGUA6NLw09EwE0CqkOc4q9oUmW1yo/edit?usp=sharing"",""อุทัยธานี!J511"")"),0)</f>
        <v>0</v>
      </c>
      <c r="K616" s="163">
        <f t="shared" ca="1" si="127"/>
        <v>0</v>
      </c>
      <c r="L616" s="181"/>
      <c r="M616" s="181"/>
      <c r="N616" s="181"/>
      <c r="O616" s="181"/>
      <c r="P616" s="181"/>
    </row>
    <row r="617" spans="1:16" ht="21.75" customHeight="1" x14ac:dyDescent="0.3">
      <c r="A617" s="175"/>
      <c r="B617" s="176"/>
      <c r="C617" s="176"/>
      <c r="D617" s="193"/>
      <c r="E617" s="198"/>
      <c r="F617" s="195"/>
      <c r="G617" s="194" t="s">
        <v>225</v>
      </c>
      <c r="H617" s="180" t="s">
        <v>122</v>
      </c>
      <c r="I617" s="187">
        <f ca="1">IFERROR(__xludf.DUMMYFUNCTION("IMPORTRANGE(""https://docs.google.com/spreadsheets/d/11923uPwbBZFjjGgGUA6NLw09EwE0CqkOc4q9oUmW1yo/edit?usp=sharing"",""อุทัยธานี!I512"")"),0)</f>
        <v>0</v>
      </c>
      <c r="J617" s="187">
        <f ca="1">IFERROR(__xludf.DUMMYFUNCTION("IMPORTRANGE(""https://docs.google.com/spreadsheets/d/11923uPwbBZFjjGgGUA6NLw09EwE0CqkOc4q9oUmW1yo/edit?usp=sharing"",""อุทัยธานี!J512"")"),0)</f>
        <v>0</v>
      </c>
      <c r="K617" s="163">
        <f t="shared" ca="1" si="127"/>
        <v>0</v>
      </c>
      <c r="L617" s="181"/>
      <c r="M617" s="181"/>
      <c r="N617" s="181"/>
      <c r="O617" s="181"/>
      <c r="P617" s="181"/>
    </row>
    <row r="618" spans="1:16" ht="21.75" customHeight="1" x14ac:dyDescent="0.3">
      <c r="A618" s="175"/>
      <c r="B618" s="176"/>
      <c r="C618" s="176"/>
      <c r="D618" s="193"/>
      <c r="E618" s="198"/>
      <c r="F618" s="195"/>
      <c r="G618" s="489" t="s">
        <v>226</v>
      </c>
      <c r="H618" s="180" t="s">
        <v>122</v>
      </c>
      <c r="I618" s="203">
        <f ca="1">IFERROR(__xludf.DUMMYFUNCTION("IMPORTRANGE(""https://docs.google.com/spreadsheets/d/11923uPwbBZFjjGgGUA6NLw09EwE0CqkOc4q9oUmW1yo/edit?usp=sharing"",""อุทัยธานี!I513"")"),0)</f>
        <v>0</v>
      </c>
      <c r="J618" s="188">
        <f ca="1">IFERROR(__xludf.DUMMYFUNCTION("IMPORTRANGE(""https://docs.google.com/spreadsheets/d/11923uPwbBZFjjGgGUA6NLw09EwE0CqkOc4q9oUmW1yo/edit?usp=sharing"",""อุทัยธานี!J513"")"),0)</f>
        <v>0</v>
      </c>
      <c r="K618" s="163">
        <f t="shared" ca="1" si="127"/>
        <v>0</v>
      </c>
      <c r="L618" s="181"/>
      <c r="M618" s="181"/>
      <c r="N618" s="181"/>
      <c r="O618" s="181"/>
      <c r="P618" s="181"/>
    </row>
    <row r="619" spans="1:16" ht="21.75" customHeight="1" x14ac:dyDescent="0.3">
      <c r="A619" s="175"/>
      <c r="B619" s="176"/>
      <c r="C619" s="176"/>
      <c r="D619" s="193"/>
      <c r="E619" s="198"/>
      <c r="F619" s="195"/>
      <c r="G619" s="489" t="s">
        <v>227</v>
      </c>
      <c r="H619" s="180" t="s">
        <v>122</v>
      </c>
      <c r="I619" s="203">
        <f ca="1">IFERROR(__xludf.DUMMYFUNCTION("IMPORTRANGE(""https://docs.google.com/spreadsheets/d/11923uPwbBZFjjGgGUA6NLw09EwE0CqkOc4q9oUmW1yo/edit?usp=sharing"",""อุทัยธานี!I514"")"),0)</f>
        <v>0</v>
      </c>
      <c r="J619" s="188">
        <f ca="1">IFERROR(__xludf.DUMMYFUNCTION("IMPORTRANGE(""https://docs.google.com/spreadsheets/d/11923uPwbBZFjjGgGUA6NLw09EwE0CqkOc4q9oUmW1yo/edit?usp=sharing"",""อุทัยธานี!J514"")"),0)</f>
        <v>0</v>
      </c>
      <c r="K619" s="163">
        <f t="shared" ca="1" si="127"/>
        <v>0</v>
      </c>
      <c r="L619" s="181"/>
      <c r="M619" s="181"/>
      <c r="N619" s="181"/>
      <c r="O619" s="181"/>
      <c r="P619" s="181"/>
    </row>
    <row r="620" spans="1:16" ht="21.75" customHeight="1" x14ac:dyDescent="0.3">
      <c r="A620" s="175"/>
      <c r="B620" s="176"/>
      <c r="C620" s="176"/>
      <c r="D620" s="193"/>
      <c r="E620" s="195"/>
      <c r="F620" s="194" t="s">
        <v>228</v>
      </c>
      <c r="G620" s="196"/>
      <c r="H620" s="180" t="s">
        <v>122</v>
      </c>
      <c r="I620" s="187">
        <f ca="1">IFERROR(__xludf.DUMMYFUNCTION("IMPORTRANGE(""https://docs.google.com/spreadsheets/d/11923uPwbBZFjjGgGUA6NLw09EwE0CqkOc4q9oUmW1yo/edit?usp=sharing"",""อุทัยธานี!I515"")"),0)</f>
        <v>0</v>
      </c>
      <c r="J620" s="202">
        <f ca="1">IFERROR(__xludf.DUMMYFUNCTION("IMPORTRANGE(""https://docs.google.com/spreadsheets/d/11923uPwbBZFjjGgGUA6NLw09EwE0CqkOc4q9oUmW1yo/edit?usp=sharing"",""อุทัยธานี!J515"")"),0)</f>
        <v>0</v>
      </c>
      <c r="K620" s="163">
        <f t="shared" ref="K620:K626" ca="1" si="128">IF(I$620&gt;0,J620*100/I$620,0)</f>
        <v>0</v>
      </c>
      <c r="L620" s="181"/>
      <c r="M620" s="181"/>
      <c r="N620" s="181"/>
      <c r="O620" s="181"/>
      <c r="P620" s="181"/>
    </row>
    <row r="621" spans="1:16" ht="21.75" customHeight="1" x14ac:dyDescent="0.3">
      <c r="A621" s="175"/>
      <c r="B621" s="176"/>
      <c r="C621" s="176"/>
      <c r="D621" s="193"/>
      <c r="E621" s="198"/>
      <c r="F621" s="195"/>
      <c r="G621" s="225" t="s">
        <v>225</v>
      </c>
      <c r="H621" s="180" t="s">
        <v>122</v>
      </c>
      <c r="I621" s="202">
        <f ca="1">IFERROR(__xludf.DUMMYFUNCTION("IMPORTRANGE(""https://docs.google.com/spreadsheets/d/11923uPwbBZFjjGgGUA6NLw09EwE0CqkOc4q9oUmW1yo/edit?usp=sharing"",""อุทัยธานี!I516"")"),0)</f>
        <v>0</v>
      </c>
      <c r="J621" s="202">
        <f ca="1">IFERROR(__xludf.DUMMYFUNCTION("IMPORTRANGE(""https://docs.google.com/spreadsheets/d/11923uPwbBZFjjGgGUA6NLw09EwE0CqkOc4q9oUmW1yo/edit?usp=sharing"",""อุทัยธานี!J516"")"),0)</f>
        <v>0</v>
      </c>
      <c r="K621" s="163">
        <f t="shared" ca="1" si="128"/>
        <v>0</v>
      </c>
      <c r="L621" s="181"/>
      <c r="M621" s="181"/>
      <c r="N621" s="181"/>
      <c r="O621" s="181"/>
      <c r="P621" s="181"/>
    </row>
    <row r="622" spans="1:16" ht="21.75" customHeight="1" x14ac:dyDescent="0.3">
      <c r="A622" s="175"/>
      <c r="B622" s="176"/>
      <c r="C622" s="176"/>
      <c r="D622" s="193"/>
      <c r="E622" s="198"/>
      <c r="F622" s="195"/>
      <c r="G622" s="489" t="s">
        <v>226</v>
      </c>
      <c r="H622" s="180" t="s">
        <v>122</v>
      </c>
      <c r="I622" s="203">
        <f ca="1">IFERROR(__xludf.DUMMYFUNCTION("IMPORTRANGE(""https://docs.google.com/spreadsheets/d/11923uPwbBZFjjGgGUA6NLw09EwE0CqkOc4q9oUmW1yo/edit?usp=sharing"",""อุทัยธานี!I517"")"),0)</f>
        <v>0</v>
      </c>
      <c r="J622" s="188">
        <f ca="1">IFERROR(__xludf.DUMMYFUNCTION("IMPORTRANGE(""https://docs.google.com/spreadsheets/d/11923uPwbBZFjjGgGUA6NLw09EwE0CqkOc4q9oUmW1yo/edit?usp=sharing"",""อุทัยธานี!J517"")"),0)</f>
        <v>0</v>
      </c>
      <c r="K622" s="163">
        <f t="shared" ca="1" si="128"/>
        <v>0</v>
      </c>
      <c r="L622" s="181"/>
      <c r="M622" s="181"/>
      <c r="N622" s="181"/>
      <c r="O622" s="181"/>
      <c r="P622" s="181"/>
    </row>
    <row r="623" spans="1:16" ht="21.75" customHeight="1" x14ac:dyDescent="0.3">
      <c r="A623" s="175"/>
      <c r="B623" s="176"/>
      <c r="C623" s="176"/>
      <c r="D623" s="193"/>
      <c r="E623" s="198"/>
      <c r="F623" s="195"/>
      <c r="G623" s="489" t="s">
        <v>227</v>
      </c>
      <c r="H623" s="180" t="s">
        <v>122</v>
      </c>
      <c r="I623" s="203">
        <f ca="1">IFERROR(__xludf.DUMMYFUNCTION("IMPORTRANGE(""https://docs.google.com/spreadsheets/d/11923uPwbBZFjjGgGUA6NLw09EwE0CqkOc4q9oUmW1yo/edit?usp=sharing"",""อุทัยธานี!I518"")"),0)</f>
        <v>0</v>
      </c>
      <c r="J623" s="188">
        <f ca="1">IFERROR(__xludf.DUMMYFUNCTION("IMPORTRANGE(""https://docs.google.com/spreadsheets/d/11923uPwbBZFjjGgGUA6NLw09EwE0CqkOc4q9oUmW1yo/edit?usp=sharing"",""อุทัยธานี!J518"")"),0)</f>
        <v>0</v>
      </c>
      <c r="K623" s="163">
        <f t="shared" ca="1" si="128"/>
        <v>0</v>
      </c>
      <c r="L623" s="181"/>
      <c r="M623" s="181"/>
      <c r="N623" s="181"/>
      <c r="O623" s="181"/>
      <c r="P623" s="181"/>
    </row>
    <row r="624" spans="1:16" ht="21.75" customHeight="1" x14ac:dyDescent="0.3">
      <c r="A624" s="175"/>
      <c r="B624" s="176"/>
      <c r="C624" s="176"/>
      <c r="D624" s="193"/>
      <c r="E624" s="198"/>
      <c r="F624" s="195"/>
      <c r="G624" s="225" t="s">
        <v>229</v>
      </c>
      <c r="H624" s="180" t="s">
        <v>122</v>
      </c>
      <c r="I624" s="187">
        <f ca="1">IFERROR(__xludf.DUMMYFUNCTION("IMPORTRANGE(""https://docs.google.com/spreadsheets/d/11923uPwbBZFjjGgGUA6NLw09EwE0CqkOc4q9oUmW1yo/edit?usp=sharing"",""อุทัยธานี!I519"")"),0)</f>
        <v>0</v>
      </c>
      <c r="J624" s="187">
        <f ca="1">IFERROR(__xludf.DUMMYFUNCTION("IMPORTRANGE(""https://docs.google.com/spreadsheets/d/11923uPwbBZFjjGgGUA6NLw09EwE0CqkOc4q9oUmW1yo/edit?usp=sharing"",""อุทัยธานี!J519"")"),0)</f>
        <v>0</v>
      </c>
      <c r="K624" s="163">
        <f t="shared" ca="1" si="128"/>
        <v>0</v>
      </c>
      <c r="L624" s="181"/>
      <c r="M624" s="181"/>
      <c r="N624" s="181"/>
      <c r="O624" s="181"/>
      <c r="P624" s="181"/>
    </row>
    <row r="625" spans="1:16" ht="21.75" customHeight="1" x14ac:dyDescent="0.3">
      <c r="A625" s="175"/>
      <c r="B625" s="176"/>
      <c r="C625" s="176"/>
      <c r="D625" s="193"/>
      <c r="E625" s="198"/>
      <c r="F625" s="195"/>
      <c r="G625" s="489" t="s">
        <v>230</v>
      </c>
      <c r="H625" s="180" t="s">
        <v>122</v>
      </c>
      <c r="I625" s="203">
        <f ca="1">IFERROR(__xludf.DUMMYFUNCTION("IMPORTRANGE(""https://docs.google.com/spreadsheets/d/11923uPwbBZFjjGgGUA6NLw09EwE0CqkOc4q9oUmW1yo/edit?usp=sharing"",""อุทัยธานี!I520"")"),0)</f>
        <v>0</v>
      </c>
      <c r="J625" s="188">
        <f ca="1">IFERROR(__xludf.DUMMYFUNCTION("IMPORTRANGE(""https://docs.google.com/spreadsheets/d/11923uPwbBZFjjGgGUA6NLw09EwE0CqkOc4q9oUmW1yo/edit?usp=sharing"",""อุทัยธานี!J520"")"),0)</f>
        <v>0</v>
      </c>
      <c r="K625" s="163">
        <f t="shared" ca="1" si="128"/>
        <v>0</v>
      </c>
      <c r="L625" s="181"/>
      <c r="M625" s="181"/>
      <c r="N625" s="181"/>
      <c r="O625" s="181"/>
      <c r="P625" s="181"/>
    </row>
    <row r="626" spans="1:16" ht="21.75" customHeight="1" x14ac:dyDescent="0.3">
      <c r="A626" s="175"/>
      <c r="B626" s="176"/>
      <c r="C626" s="176"/>
      <c r="D626" s="193"/>
      <c r="E626" s="198"/>
      <c r="F626" s="195"/>
      <c r="G626" s="489" t="s">
        <v>231</v>
      </c>
      <c r="H626" s="180" t="s">
        <v>122</v>
      </c>
      <c r="I626" s="203">
        <f ca="1">IFERROR(__xludf.DUMMYFUNCTION("IMPORTRANGE(""https://docs.google.com/spreadsheets/d/11923uPwbBZFjjGgGUA6NLw09EwE0CqkOc4q9oUmW1yo/edit?usp=sharing"",""อุทัยธานี!I521"")"),0)</f>
        <v>0</v>
      </c>
      <c r="J626" s="188">
        <f ca="1">IFERROR(__xludf.DUMMYFUNCTION("IMPORTRANGE(""https://docs.google.com/spreadsheets/d/11923uPwbBZFjjGgGUA6NLw09EwE0CqkOc4q9oUmW1yo/edit?usp=sharing"",""อุทัยธานี!J521"")"),0)</f>
        <v>0</v>
      </c>
      <c r="K626" s="163">
        <f t="shared" ca="1" si="128"/>
        <v>0</v>
      </c>
      <c r="L626" s="181"/>
      <c r="M626" s="181"/>
      <c r="N626" s="181"/>
      <c r="O626" s="181"/>
      <c r="P626" s="181"/>
    </row>
    <row r="627" spans="1:16" ht="21.75" customHeight="1" x14ac:dyDescent="0.3">
      <c r="A627" s="490" t="s">
        <v>232</v>
      </c>
      <c r="B627" s="491"/>
      <c r="C627" s="491"/>
      <c r="D627" s="491"/>
      <c r="E627" s="491"/>
      <c r="F627" s="491"/>
      <c r="G627" s="492"/>
      <c r="H627" s="493"/>
      <c r="I627" s="494"/>
      <c r="J627" s="494"/>
      <c r="K627" s="495"/>
      <c r="L627" s="495"/>
      <c r="M627" s="495"/>
      <c r="N627" s="495"/>
      <c r="O627" s="496"/>
      <c r="P627" s="496"/>
    </row>
    <row r="628" spans="1:16" ht="21.75" customHeight="1" x14ac:dyDescent="0.3">
      <c r="A628" s="476"/>
      <c r="B628" s="497" t="s">
        <v>233</v>
      </c>
      <c r="C628" s="157"/>
      <c r="D628" s="166"/>
      <c r="E628" s="159"/>
      <c r="F628" s="159"/>
      <c r="G628" s="160"/>
      <c r="H628" s="498" t="s">
        <v>12</v>
      </c>
      <c r="I628" s="339">
        <f ca="1">IFERROR(__xludf.DUMMYFUNCTION("IMPORTRANGE(""https://docs.google.com/spreadsheets/d/11923uPwbBZFjjGgGUA6NLw09EwE0CqkOc4q9oUmW1yo/edit?usp=sharing"",""อุทัยธานี!I523"")"),1955020.27)</f>
        <v>1955020.27</v>
      </c>
      <c r="J628" s="339">
        <f ca="1">IFERROR(__xludf.DUMMYFUNCTION("IMPORTRANGE(""https://docs.google.com/spreadsheets/d/11923uPwbBZFjjGgGUA6NLw09EwE0CqkOc4q9oUmW1yo/edit?usp=sharing"",""อุทัยธานี!J523"")"),100500)</f>
        <v>100500</v>
      </c>
      <c r="K628" s="340">
        <f t="shared" ref="K628:K635" ca="1" si="129">IF(I628&gt;0,J628*100/I628,0)</f>
        <v>5.1406116623026117</v>
      </c>
      <c r="L628" s="340"/>
      <c r="M628" s="340"/>
      <c r="N628" s="340"/>
      <c r="O628" s="168"/>
      <c r="P628" s="168"/>
    </row>
    <row r="629" spans="1:16" ht="21.75" customHeight="1" x14ac:dyDescent="0.3">
      <c r="A629" s="476"/>
      <c r="B629" s="157"/>
      <c r="C629" s="157"/>
      <c r="D629" s="166"/>
      <c r="E629" s="159"/>
      <c r="F629" s="159"/>
      <c r="G629" s="160"/>
      <c r="H629" s="498" t="s">
        <v>37</v>
      </c>
      <c r="I629" s="339">
        <f ca="1">IFERROR(__xludf.DUMMYFUNCTION("IMPORTRANGE(""https://docs.google.com/spreadsheets/d/11923uPwbBZFjjGgGUA6NLw09EwE0CqkOc4q9oUmW1yo/edit?usp=sharing"",""อุทัยธานี!I524"")"),111)</f>
        <v>111</v>
      </c>
      <c r="J629" s="339">
        <f ca="1">IFERROR(__xludf.DUMMYFUNCTION("IMPORTRANGE(""https://docs.google.com/spreadsheets/d/11923uPwbBZFjjGgGUA6NLw09EwE0CqkOc4q9oUmW1yo/edit?usp=sharing"",""อุทัยธานี!J524"")"),12)</f>
        <v>12</v>
      </c>
      <c r="K629" s="340">
        <f t="shared" ca="1" si="129"/>
        <v>10.810810810810811</v>
      </c>
      <c r="L629" s="340"/>
      <c r="M629" s="340"/>
      <c r="N629" s="340"/>
      <c r="O629" s="168"/>
      <c r="P629" s="168"/>
    </row>
    <row r="630" spans="1:16" ht="21.75" customHeight="1" x14ac:dyDescent="0.3">
      <c r="A630" s="476"/>
      <c r="B630" s="497" t="s">
        <v>234</v>
      </c>
      <c r="C630" s="157"/>
      <c r="D630" s="166"/>
      <c r="E630" s="159"/>
      <c r="F630" s="159"/>
      <c r="G630" s="160"/>
      <c r="H630" s="498" t="s">
        <v>12</v>
      </c>
      <c r="I630" s="339">
        <f ca="1">IFERROR(__xludf.DUMMYFUNCTION("IMPORTRANGE(""https://docs.google.com/spreadsheets/d/11923uPwbBZFjjGgGUA6NLw09EwE0CqkOc4q9oUmW1yo/edit?usp=sharing"",""อุทัยธานี!I525"")"),12295447.98)</f>
        <v>12295447.98</v>
      </c>
      <c r="J630" s="339">
        <f ca="1">IFERROR(__xludf.DUMMYFUNCTION("IMPORTRANGE(""https://docs.google.com/spreadsheets/d/11923uPwbBZFjjGgGUA6NLw09EwE0CqkOc4q9oUmW1yo/edit?usp=sharing"",""อุทัยธานี!J525"")"),929964.17)</f>
        <v>929964.17</v>
      </c>
      <c r="K630" s="340">
        <f t="shared" ca="1" si="129"/>
        <v>7.5634834250260479</v>
      </c>
      <c r="L630" s="340"/>
      <c r="M630" s="340"/>
      <c r="N630" s="340"/>
      <c r="O630" s="168"/>
      <c r="P630" s="168"/>
    </row>
    <row r="631" spans="1:16" ht="21.75" customHeight="1" x14ac:dyDescent="0.3">
      <c r="A631" s="476"/>
      <c r="B631" s="157"/>
      <c r="C631" s="157"/>
      <c r="D631" s="166"/>
      <c r="E631" s="159"/>
      <c r="F631" s="159"/>
      <c r="G631" s="160"/>
      <c r="H631" s="498" t="s">
        <v>37</v>
      </c>
      <c r="I631" s="339">
        <f ca="1">IFERROR(__xludf.DUMMYFUNCTION("IMPORTRANGE(""https://docs.google.com/spreadsheets/d/11923uPwbBZFjjGgGUA6NLw09EwE0CqkOc4q9oUmW1yo/edit?usp=sharing"",""อุทัยธานี!I526"")"),678)</f>
        <v>678</v>
      </c>
      <c r="J631" s="339">
        <f ca="1">IFERROR(__xludf.DUMMYFUNCTION("IMPORTRANGE(""https://docs.google.com/spreadsheets/d/11923uPwbBZFjjGgGUA6NLw09EwE0CqkOc4q9oUmW1yo/edit?usp=sharing"",""อุทัยธานี!J526"")"),156)</f>
        <v>156</v>
      </c>
      <c r="K631" s="340">
        <f t="shared" ca="1" si="129"/>
        <v>23.008849557522122</v>
      </c>
      <c r="L631" s="340"/>
      <c r="M631" s="340"/>
      <c r="N631" s="340"/>
      <c r="O631" s="168"/>
      <c r="P631" s="168"/>
    </row>
    <row r="632" spans="1:16" ht="21.75" customHeight="1" x14ac:dyDescent="0.3">
      <c r="A632" s="476"/>
      <c r="B632" s="497" t="s">
        <v>235</v>
      </c>
      <c r="C632" s="157"/>
      <c r="D632" s="166"/>
      <c r="E632" s="159"/>
      <c r="F632" s="159"/>
      <c r="G632" s="160"/>
      <c r="H632" s="498" t="s">
        <v>12</v>
      </c>
      <c r="I632" s="339">
        <f ca="1">IFERROR(__xludf.DUMMYFUNCTION("IMPORTRANGE(""https://docs.google.com/spreadsheets/d/11923uPwbBZFjjGgGUA6NLw09EwE0CqkOc4q9oUmW1yo/edit?usp=sharing"",""อุทัยธานี!I527"")"),3981171.91)</f>
        <v>3981171.91</v>
      </c>
      <c r="J632" s="339">
        <f ca="1">IFERROR(__xludf.DUMMYFUNCTION("IMPORTRANGE(""https://docs.google.com/spreadsheets/d/11923uPwbBZFjjGgGUA6NLw09EwE0CqkOc4q9oUmW1yo/edit?usp=sharing"",""อุทัยธานี!J527"")"),856393.98)</f>
        <v>856393.98</v>
      </c>
      <c r="K632" s="340">
        <f t="shared" ca="1" si="129"/>
        <v>21.511102744618732</v>
      </c>
      <c r="L632" s="340"/>
      <c r="M632" s="340"/>
      <c r="N632" s="340"/>
      <c r="O632" s="168"/>
      <c r="P632" s="168"/>
    </row>
    <row r="633" spans="1:16" ht="21.75" customHeight="1" x14ac:dyDescent="0.3">
      <c r="A633" s="476"/>
      <c r="B633" s="497"/>
      <c r="C633" s="157"/>
      <c r="D633" s="166"/>
      <c r="E633" s="159"/>
      <c r="F633" s="159"/>
      <c r="G633" s="160"/>
      <c r="H633" s="498" t="s">
        <v>37</v>
      </c>
      <c r="I633" s="339">
        <f ca="1">IFERROR(__xludf.DUMMYFUNCTION("IMPORTRANGE(""https://docs.google.com/spreadsheets/d/11923uPwbBZFjjGgGUA6NLw09EwE0CqkOc4q9oUmW1yo/edit?usp=sharing"",""อุทัยธานี!I528"")"),248)</f>
        <v>248</v>
      </c>
      <c r="J633" s="339">
        <f ca="1">IFERROR(__xludf.DUMMYFUNCTION("IMPORTRANGE(""https://docs.google.com/spreadsheets/d/11923uPwbBZFjjGgGUA6NLw09EwE0CqkOc4q9oUmW1yo/edit?usp=sharing"",""อุทัยธานี!J528"")"),77)</f>
        <v>77</v>
      </c>
      <c r="K633" s="340">
        <f t="shared" ca="1" si="129"/>
        <v>31.048387096774192</v>
      </c>
      <c r="L633" s="340"/>
      <c r="M633" s="340"/>
      <c r="N633" s="340"/>
      <c r="O633" s="168"/>
      <c r="P633" s="168"/>
    </row>
    <row r="634" spans="1:16" ht="21.75" customHeight="1" x14ac:dyDescent="0.3">
      <c r="A634" s="476"/>
      <c r="B634" s="497" t="s">
        <v>236</v>
      </c>
      <c r="C634" s="157"/>
      <c r="D634" s="166"/>
      <c r="E634" s="159"/>
      <c r="F634" s="159"/>
      <c r="G634" s="160"/>
      <c r="H634" s="498" t="s">
        <v>12</v>
      </c>
      <c r="I634" s="339">
        <f ca="1">IFERROR(__xludf.DUMMYFUNCTION("IMPORTRANGE(""https://docs.google.com/spreadsheets/d/11923uPwbBZFjjGgGUA6NLw09EwE0CqkOc4q9oUmW1yo/edit?usp=sharing"",""อุทัยธานี!I529"")"),1000000)</f>
        <v>1000000</v>
      </c>
      <c r="J634" s="339">
        <f ca="1">IFERROR(__xludf.DUMMYFUNCTION("IMPORTRANGE(""https://docs.google.com/spreadsheets/d/11923uPwbBZFjjGgGUA6NLw09EwE0CqkOc4q9oUmW1yo/edit?usp=sharing"",""อุทัยธานี!J529"")"),0)</f>
        <v>0</v>
      </c>
      <c r="K634" s="340">
        <f t="shared" ca="1" si="129"/>
        <v>0</v>
      </c>
      <c r="L634" s="340"/>
      <c r="M634" s="340"/>
      <c r="N634" s="340"/>
      <c r="O634" s="168"/>
      <c r="P634" s="168"/>
    </row>
    <row r="635" spans="1:16" ht="21.75" customHeight="1" x14ac:dyDescent="0.3">
      <c r="A635" s="478"/>
      <c r="B635" s="480"/>
      <c r="C635" s="480"/>
      <c r="D635" s="479"/>
      <c r="E635" s="499"/>
      <c r="F635" s="499"/>
      <c r="G635" s="500"/>
      <c r="H635" s="501" t="s">
        <v>37</v>
      </c>
      <c r="I635" s="502">
        <f ca="1">IFERROR(__xludf.DUMMYFUNCTION("IMPORTRANGE(""https://docs.google.com/spreadsheets/d/11923uPwbBZFjjGgGUA6NLw09EwE0CqkOc4q9oUmW1yo/edit?usp=sharing"",""อุทัยธานี!I530"")"),50)</f>
        <v>50</v>
      </c>
      <c r="J635" s="502">
        <f ca="1">IFERROR(__xludf.DUMMYFUNCTION("IMPORTRANGE(""https://docs.google.com/spreadsheets/d/11923uPwbBZFjjGgGUA6NLw09EwE0CqkOc4q9oUmW1yo/edit?usp=sharing"",""อุทัยธานี!J530"")"),0)</f>
        <v>0</v>
      </c>
      <c r="K635" s="484">
        <f t="shared" ca="1" si="129"/>
        <v>0</v>
      </c>
      <c r="L635" s="484"/>
      <c r="M635" s="484"/>
      <c r="N635" s="484"/>
      <c r="O635" s="503"/>
      <c r="P635" s="503"/>
    </row>
    <row r="636" spans="1:16" ht="21.75" customHeight="1" x14ac:dyDescent="0.3">
      <c r="A636" s="504"/>
      <c r="B636" s="504"/>
      <c r="C636" s="504"/>
      <c r="D636" s="504"/>
      <c r="E636" s="505" t="s">
        <v>237</v>
      </c>
      <c r="F636" s="505"/>
      <c r="G636" s="505"/>
      <c r="H636" s="506"/>
      <c r="I636" s="506"/>
      <c r="J636" s="506"/>
      <c r="K636" s="507"/>
      <c r="L636" s="508"/>
      <c r="M636" s="508"/>
      <c r="N636" s="508"/>
      <c r="O636" s="509"/>
      <c r="P636" s="509"/>
    </row>
    <row r="637" spans="1:16" ht="21.75" customHeight="1" x14ac:dyDescent="0.3">
      <c r="A637" s="504"/>
      <c r="B637" s="504"/>
      <c r="C637" s="504"/>
      <c r="D637" s="504"/>
      <c r="E637" s="506"/>
      <c r="F637" s="506"/>
      <c r="G637" s="506"/>
      <c r="H637" s="506"/>
      <c r="I637" s="506"/>
      <c r="J637" s="506"/>
      <c r="K637" s="507"/>
      <c r="L637" s="508"/>
      <c r="M637" s="508"/>
      <c r="N637" s="508"/>
      <c r="O637" s="509"/>
      <c r="P637" s="509"/>
    </row>
    <row r="638" spans="1:16" ht="21.75" customHeight="1" x14ac:dyDescent="0.3">
      <c r="A638" s="504"/>
      <c r="B638" s="504"/>
      <c r="C638" s="504"/>
      <c r="D638" s="504"/>
      <c r="E638" s="506"/>
      <c r="F638" s="506"/>
      <c r="G638" s="506"/>
      <c r="H638" s="506"/>
      <c r="I638" s="506"/>
      <c r="J638" s="506"/>
      <c r="K638" s="507"/>
      <c r="L638" s="508"/>
      <c r="M638" s="508"/>
      <c r="N638" s="508"/>
      <c r="O638" s="509"/>
      <c r="P638" s="509"/>
    </row>
    <row r="639" spans="1:16" ht="21.75" customHeight="1" x14ac:dyDescent="0.3">
      <c r="A639" s="504"/>
      <c r="B639" s="504"/>
      <c r="C639" s="504"/>
      <c r="D639" s="504"/>
      <c r="E639" s="506"/>
      <c r="F639" s="506"/>
      <c r="G639" s="506"/>
      <c r="H639" s="506"/>
      <c r="I639" s="506"/>
      <c r="J639" s="506"/>
      <c r="K639" s="507"/>
      <c r="L639" s="508"/>
      <c r="M639" s="508"/>
      <c r="N639" s="508"/>
      <c r="O639" s="509"/>
      <c r="P639" s="509"/>
    </row>
    <row r="640" spans="1:16" ht="21.75" customHeight="1" x14ac:dyDescent="0.3">
      <c r="A640" s="504"/>
      <c r="B640" s="504"/>
      <c r="C640" s="504"/>
      <c r="D640" s="504"/>
      <c r="E640" s="506"/>
      <c r="F640" s="506"/>
      <c r="G640" s="506"/>
      <c r="H640" s="506"/>
      <c r="I640" s="506"/>
      <c r="J640" s="506"/>
      <c r="K640" s="507"/>
      <c r="L640" s="508"/>
      <c r="M640" s="508"/>
      <c r="N640" s="508"/>
      <c r="O640" s="509"/>
      <c r="P640" s="509"/>
    </row>
    <row r="641" spans="1:16" ht="21.75" customHeight="1" x14ac:dyDescent="0.3">
      <c r="A641" s="504"/>
      <c r="B641" s="504"/>
      <c r="C641" s="504"/>
      <c r="D641" s="504"/>
      <c r="E641" s="506"/>
      <c r="F641" s="506"/>
      <c r="G641" s="506"/>
      <c r="H641" s="506"/>
      <c r="I641" s="506"/>
      <c r="J641" s="506"/>
      <c r="K641" s="507"/>
      <c r="L641" s="508"/>
      <c r="M641" s="508"/>
      <c r="N641" s="508"/>
      <c r="O641" s="509"/>
      <c r="P641" s="509"/>
    </row>
    <row r="642" spans="1:16" ht="21.75" customHeight="1" x14ac:dyDescent="0.3">
      <c r="A642" s="504"/>
      <c r="B642" s="504"/>
      <c r="C642" s="504"/>
      <c r="D642" s="504"/>
      <c r="E642" s="506"/>
      <c r="F642" s="506"/>
      <c r="G642" s="506"/>
      <c r="H642" s="506"/>
      <c r="I642" s="506"/>
      <c r="J642" s="506"/>
      <c r="K642" s="507"/>
      <c r="L642" s="508"/>
      <c r="M642" s="508"/>
      <c r="N642" s="508"/>
      <c r="O642" s="509"/>
      <c r="P642" s="509"/>
    </row>
    <row r="643" spans="1:16" ht="21.75" customHeight="1" x14ac:dyDescent="0.3">
      <c r="A643" s="504"/>
      <c r="B643" s="504"/>
      <c r="C643" s="504"/>
      <c r="D643" s="504"/>
      <c r="E643" s="506"/>
      <c r="F643" s="506"/>
      <c r="G643" s="506"/>
      <c r="H643" s="506"/>
      <c r="I643" s="506"/>
      <c r="J643" s="506"/>
      <c r="K643" s="507"/>
      <c r="L643" s="508"/>
      <c r="M643" s="508"/>
      <c r="N643" s="508"/>
      <c r="O643" s="509"/>
      <c r="P643" s="509"/>
    </row>
    <row r="644" spans="1:16" ht="21.75" customHeight="1" x14ac:dyDescent="0.3">
      <c r="A644" s="504"/>
      <c r="B644" s="504"/>
      <c r="C644" s="504"/>
      <c r="D644" s="504"/>
      <c r="E644" s="506"/>
      <c r="F644" s="506"/>
      <c r="G644" s="506"/>
      <c r="H644" s="506"/>
      <c r="I644" s="506"/>
      <c r="J644" s="506"/>
      <c r="K644" s="507"/>
      <c r="L644" s="508"/>
      <c r="M644" s="508"/>
      <c r="N644" s="508"/>
      <c r="O644" s="509"/>
      <c r="P644" s="509"/>
    </row>
    <row r="645" spans="1:16" ht="21.75" customHeight="1" x14ac:dyDescent="0.3">
      <c r="A645" s="504"/>
      <c r="B645" s="504"/>
      <c r="C645" s="504"/>
      <c r="D645" s="504"/>
      <c r="E645" s="506"/>
      <c r="F645" s="506"/>
      <c r="G645" s="506"/>
      <c r="H645" s="506"/>
      <c r="I645" s="506"/>
      <c r="J645" s="506"/>
      <c r="K645" s="507"/>
      <c r="L645" s="508"/>
      <c r="M645" s="508"/>
      <c r="N645" s="508"/>
      <c r="O645" s="509"/>
      <c r="P645" s="509"/>
    </row>
    <row r="646" spans="1:16" ht="21.75" customHeight="1" x14ac:dyDescent="0.3">
      <c r="A646" s="504"/>
      <c r="B646" s="504"/>
      <c r="C646" s="504"/>
      <c r="D646" s="504"/>
      <c r="E646" s="506"/>
      <c r="F646" s="506"/>
      <c r="G646" s="506"/>
      <c r="H646" s="506"/>
      <c r="I646" s="506"/>
      <c r="J646" s="506"/>
      <c r="K646" s="507"/>
      <c r="L646" s="508"/>
      <c r="M646" s="508"/>
      <c r="N646" s="508"/>
      <c r="O646" s="509"/>
      <c r="P646" s="509"/>
    </row>
    <row r="647" spans="1:16" ht="21.75" customHeight="1" x14ac:dyDescent="0.3">
      <c r="A647" s="504"/>
      <c r="B647" s="504"/>
      <c r="C647" s="504"/>
      <c r="D647" s="504"/>
      <c r="E647" s="506"/>
      <c r="F647" s="506"/>
      <c r="G647" s="506"/>
      <c r="H647" s="506"/>
      <c r="I647" s="506"/>
      <c r="J647" s="506"/>
      <c r="K647" s="507"/>
      <c r="L647" s="508"/>
      <c r="M647" s="508"/>
      <c r="N647" s="508"/>
      <c r="O647" s="509"/>
      <c r="P647" s="509"/>
    </row>
    <row r="648" spans="1:16" ht="21.75" customHeight="1" x14ac:dyDescent="0.3">
      <c r="A648" s="504"/>
      <c r="B648" s="504"/>
      <c r="C648" s="504"/>
      <c r="D648" s="504"/>
      <c r="E648" s="506"/>
      <c r="F648" s="506"/>
      <c r="G648" s="506"/>
      <c r="H648" s="506"/>
      <c r="I648" s="506"/>
      <c r="J648" s="506"/>
      <c r="K648" s="507"/>
      <c r="L648" s="508"/>
      <c r="M648" s="508"/>
      <c r="N648" s="508"/>
      <c r="O648" s="509"/>
      <c r="P648" s="509"/>
    </row>
    <row r="649" spans="1:16" ht="21.75" customHeight="1" x14ac:dyDescent="0.3">
      <c r="A649" s="504"/>
      <c r="B649" s="504"/>
      <c r="C649" s="504"/>
      <c r="D649" s="504"/>
      <c r="E649" s="506"/>
      <c r="F649" s="506"/>
      <c r="G649" s="506"/>
      <c r="H649" s="506"/>
      <c r="I649" s="506"/>
      <c r="J649" s="506"/>
      <c r="K649" s="507"/>
      <c r="L649" s="508"/>
      <c r="M649" s="508"/>
      <c r="N649" s="508"/>
      <c r="O649" s="509"/>
      <c r="P649" s="509"/>
    </row>
    <row r="650" spans="1:16" ht="21.75" customHeight="1" x14ac:dyDescent="0.3">
      <c r="A650" s="504"/>
      <c r="B650" s="504"/>
      <c r="C650" s="504"/>
      <c r="D650" s="504"/>
      <c r="E650" s="506"/>
      <c r="F650" s="506"/>
      <c r="G650" s="506"/>
      <c r="H650" s="506"/>
      <c r="I650" s="506"/>
      <c r="J650" s="506"/>
      <c r="K650" s="507"/>
      <c r="L650" s="508"/>
      <c r="M650" s="508"/>
      <c r="N650" s="508"/>
      <c r="O650" s="509"/>
      <c r="P650" s="509"/>
    </row>
    <row r="651" spans="1:16" ht="21.75" customHeight="1" x14ac:dyDescent="0.3">
      <c r="A651" s="504"/>
      <c r="B651" s="504"/>
      <c r="C651" s="504"/>
      <c r="D651" s="504"/>
      <c r="E651" s="506"/>
      <c r="F651" s="506"/>
      <c r="G651" s="506"/>
      <c r="H651" s="506"/>
      <c r="I651" s="506"/>
      <c r="J651" s="506"/>
      <c r="K651" s="507"/>
      <c r="L651" s="508"/>
      <c r="M651" s="508"/>
      <c r="N651" s="508"/>
      <c r="O651" s="509"/>
      <c r="P651" s="509"/>
    </row>
    <row r="652" spans="1:16" ht="21.75" customHeight="1" x14ac:dyDescent="0.3">
      <c r="A652" s="504"/>
      <c r="B652" s="504"/>
      <c r="C652" s="504"/>
      <c r="D652" s="504"/>
      <c r="E652" s="506"/>
      <c r="F652" s="506"/>
      <c r="G652" s="506"/>
      <c r="H652" s="506"/>
      <c r="I652" s="506"/>
      <c r="J652" s="506"/>
      <c r="K652" s="507"/>
      <c r="L652" s="508"/>
      <c r="M652" s="508"/>
      <c r="N652" s="508"/>
      <c r="O652" s="509"/>
      <c r="P652" s="509"/>
    </row>
    <row r="653" spans="1:16" ht="21.75" customHeight="1" x14ac:dyDescent="0.3">
      <c r="A653" s="504"/>
      <c r="B653" s="504"/>
      <c r="C653" s="504"/>
      <c r="D653" s="504"/>
      <c r="E653" s="506"/>
      <c r="F653" s="506"/>
      <c r="G653" s="506"/>
      <c r="H653" s="506"/>
      <c r="I653" s="506"/>
      <c r="J653" s="506"/>
      <c r="K653" s="507"/>
      <c r="L653" s="508"/>
      <c r="M653" s="508"/>
      <c r="N653" s="508"/>
      <c r="O653" s="509"/>
      <c r="P653" s="509"/>
    </row>
    <row r="654" spans="1:16" ht="21.75" customHeight="1" x14ac:dyDescent="0.3">
      <c r="A654" s="504"/>
      <c r="B654" s="504"/>
      <c r="C654" s="504"/>
      <c r="D654" s="504"/>
      <c r="E654" s="506"/>
      <c r="F654" s="506"/>
      <c r="G654" s="506"/>
      <c r="H654" s="506"/>
      <c r="I654" s="506"/>
      <c r="J654" s="506"/>
      <c r="K654" s="507"/>
      <c r="L654" s="508"/>
      <c r="M654" s="508"/>
      <c r="N654" s="508"/>
      <c r="O654" s="509"/>
      <c r="P654" s="509"/>
    </row>
    <row r="655" spans="1:16" ht="21.75" customHeight="1" x14ac:dyDescent="0.3">
      <c r="A655" s="504"/>
      <c r="B655" s="504"/>
      <c r="C655" s="504"/>
      <c r="D655" s="504"/>
      <c r="E655" s="506"/>
      <c r="F655" s="506"/>
      <c r="G655" s="506"/>
      <c r="H655" s="506"/>
      <c r="I655" s="506"/>
      <c r="J655" s="506"/>
      <c r="K655" s="507"/>
      <c r="L655" s="508"/>
      <c r="M655" s="508"/>
      <c r="N655" s="508"/>
      <c r="O655" s="509"/>
      <c r="P655" s="509"/>
    </row>
    <row r="656" spans="1:16" ht="21.75" customHeight="1" x14ac:dyDescent="0.3">
      <c r="A656" s="504"/>
      <c r="B656" s="504"/>
      <c r="C656" s="504"/>
      <c r="D656" s="504"/>
      <c r="E656" s="506"/>
      <c r="F656" s="506"/>
      <c r="G656" s="506"/>
      <c r="H656" s="506"/>
      <c r="I656" s="506"/>
      <c r="J656" s="506"/>
      <c r="K656" s="507"/>
      <c r="L656" s="508"/>
      <c r="M656" s="508"/>
      <c r="N656" s="508"/>
      <c r="O656" s="509"/>
      <c r="P656" s="509"/>
    </row>
    <row r="657" spans="1:16" ht="21.75" customHeight="1" x14ac:dyDescent="0.3">
      <c r="A657" s="504"/>
      <c r="B657" s="504"/>
      <c r="C657" s="504"/>
      <c r="D657" s="504"/>
      <c r="E657" s="506"/>
      <c r="F657" s="506"/>
      <c r="G657" s="506"/>
      <c r="H657" s="506"/>
      <c r="I657" s="506"/>
      <c r="J657" s="506"/>
      <c r="K657" s="507"/>
      <c r="L657" s="508"/>
      <c r="M657" s="508"/>
      <c r="N657" s="508"/>
      <c r="O657" s="509"/>
      <c r="P657" s="509"/>
    </row>
    <row r="658" spans="1:16" ht="21.75" customHeight="1" x14ac:dyDescent="0.3">
      <c r="A658" s="504"/>
      <c r="B658" s="504"/>
      <c r="C658" s="504"/>
      <c r="D658" s="504"/>
      <c r="E658" s="506"/>
      <c r="F658" s="506"/>
      <c r="G658" s="506"/>
      <c r="H658" s="506"/>
      <c r="I658" s="506"/>
      <c r="J658" s="506"/>
      <c r="K658" s="507"/>
      <c r="L658" s="508"/>
      <c r="M658" s="508"/>
      <c r="N658" s="508"/>
      <c r="O658" s="509"/>
      <c r="P658" s="509"/>
    </row>
    <row r="659" spans="1:16" ht="21.75" customHeight="1" x14ac:dyDescent="0.3">
      <c r="A659" s="504"/>
      <c r="B659" s="504"/>
      <c r="C659" s="504"/>
      <c r="D659" s="504"/>
      <c r="E659" s="506"/>
      <c r="F659" s="506"/>
      <c r="G659" s="506"/>
      <c r="H659" s="506"/>
      <c r="I659" s="506"/>
      <c r="J659" s="506"/>
      <c r="K659" s="507"/>
      <c r="L659" s="508"/>
      <c r="M659" s="508"/>
      <c r="N659" s="508"/>
      <c r="O659" s="509"/>
      <c r="P659" s="509"/>
    </row>
    <row r="660" spans="1:16" ht="21.75" customHeight="1" x14ac:dyDescent="0.3">
      <c r="A660" s="504"/>
      <c r="B660" s="504"/>
      <c r="C660" s="504"/>
      <c r="D660" s="504"/>
      <c r="E660" s="506"/>
      <c r="F660" s="506"/>
      <c r="G660" s="506"/>
      <c r="H660" s="506"/>
      <c r="I660" s="506"/>
      <c r="J660" s="506"/>
      <c r="K660" s="507"/>
      <c r="L660" s="508"/>
      <c r="M660" s="508"/>
      <c r="N660" s="508"/>
      <c r="O660" s="509"/>
      <c r="P660" s="509"/>
    </row>
    <row r="661" spans="1:16" ht="21.75" customHeight="1" x14ac:dyDescent="0.3">
      <c r="A661" s="504"/>
      <c r="B661" s="504"/>
      <c r="C661" s="504"/>
      <c r="D661" s="504"/>
      <c r="E661" s="506"/>
      <c r="F661" s="506"/>
      <c r="G661" s="506"/>
      <c r="H661" s="506"/>
      <c r="I661" s="506"/>
      <c r="J661" s="506"/>
      <c r="K661" s="507"/>
      <c r="L661" s="508"/>
      <c r="M661" s="508"/>
      <c r="N661" s="508"/>
      <c r="O661" s="509"/>
      <c r="P661" s="509"/>
    </row>
    <row r="662" spans="1:16" ht="21.75" customHeight="1" x14ac:dyDescent="0.3">
      <c r="A662" s="504"/>
      <c r="B662" s="504"/>
      <c r="C662" s="504"/>
      <c r="D662" s="504"/>
      <c r="E662" s="506"/>
      <c r="F662" s="506"/>
      <c r="G662" s="506"/>
      <c r="H662" s="506"/>
      <c r="I662" s="506"/>
      <c r="J662" s="506"/>
      <c r="K662" s="507"/>
      <c r="L662" s="508"/>
      <c r="M662" s="508"/>
      <c r="N662" s="508"/>
      <c r="O662" s="509"/>
      <c r="P662" s="509"/>
    </row>
    <row r="663" spans="1:16" ht="21.75" customHeight="1" x14ac:dyDescent="0.3">
      <c r="A663" s="504"/>
      <c r="B663" s="504"/>
      <c r="C663" s="504"/>
      <c r="D663" s="504"/>
      <c r="E663" s="506"/>
      <c r="F663" s="506"/>
      <c r="G663" s="506"/>
      <c r="H663" s="506"/>
      <c r="I663" s="506"/>
      <c r="J663" s="506"/>
      <c r="K663" s="507"/>
      <c r="L663" s="508"/>
      <c r="M663" s="508"/>
      <c r="N663" s="508"/>
      <c r="O663" s="509"/>
      <c r="P663" s="509"/>
    </row>
    <row r="664" spans="1:16" ht="21.75" customHeight="1" x14ac:dyDescent="0.3">
      <c r="A664" s="504"/>
      <c r="B664" s="504"/>
      <c r="C664" s="504"/>
      <c r="D664" s="504"/>
      <c r="E664" s="506"/>
      <c r="F664" s="506"/>
      <c r="G664" s="506"/>
      <c r="H664" s="506"/>
      <c r="I664" s="506"/>
      <c r="J664" s="506"/>
      <c r="K664" s="507"/>
      <c r="L664" s="508"/>
      <c r="M664" s="508"/>
      <c r="N664" s="508"/>
      <c r="O664" s="509"/>
      <c r="P664" s="509"/>
    </row>
    <row r="665" spans="1:16" ht="21.75" customHeight="1" x14ac:dyDescent="0.3">
      <c r="A665" s="504"/>
      <c r="B665" s="504"/>
      <c r="C665" s="504"/>
      <c r="D665" s="504"/>
      <c r="E665" s="506"/>
      <c r="F665" s="506"/>
      <c r="G665" s="506"/>
      <c r="H665" s="506"/>
      <c r="I665" s="506"/>
      <c r="J665" s="506"/>
      <c r="K665" s="507"/>
      <c r="L665" s="508"/>
      <c r="M665" s="508"/>
      <c r="N665" s="508"/>
      <c r="O665" s="509"/>
      <c r="P665" s="509"/>
    </row>
    <row r="666" spans="1:16" ht="21.75" customHeight="1" x14ac:dyDescent="0.3">
      <c r="A666" s="504"/>
      <c r="B666" s="504"/>
      <c r="C666" s="504"/>
      <c r="D666" s="504"/>
      <c r="E666" s="506"/>
      <c r="F666" s="506"/>
      <c r="G666" s="506"/>
      <c r="H666" s="506"/>
      <c r="I666" s="506"/>
      <c r="J666" s="506"/>
      <c r="K666" s="507"/>
      <c r="L666" s="508"/>
      <c r="M666" s="508"/>
      <c r="N666" s="508"/>
      <c r="O666" s="509"/>
      <c r="P666" s="509"/>
    </row>
    <row r="667" spans="1:16" ht="21.75" customHeight="1" x14ac:dyDescent="0.3">
      <c r="A667" s="504"/>
      <c r="B667" s="504"/>
      <c r="C667" s="504"/>
      <c r="D667" s="504"/>
      <c r="E667" s="506"/>
      <c r="F667" s="506"/>
      <c r="G667" s="506"/>
      <c r="H667" s="506"/>
      <c r="I667" s="506"/>
      <c r="J667" s="506"/>
      <c r="K667" s="507"/>
      <c r="L667" s="508"/>
      <c r="M667" s="508"/>
      <c r="N667" s="508"/>
      <c r="O667" s="509"/>
      <c r="P667" s="509"/>
    </row>
    <row r="668" spans="1:16" ht="21.75" customHeight="1" x14ac:dyDescent="0.3">
      <c r="A668" s="504"/>
      <c r="B668" s="504"/>
      <c r="C668" s="504"/>
      <c r="D668" s="504"/>
      <c r="E668" s="506"/>
      <c r="F668" s="506"/>
      <c r="G668" s="506"/>
      <c r="H668" s="506"/>
      <c r="I668" s="506"/>
      <c r="J668" s="506"/>
      <c r="K668" s="507"/>
      <c r="L668" s="508"/>
      <c r="M668" s="508"/>
      <c r="N668" s="508"/>
      <c r="O668" s="509"/>
      <c r="P668" s="509"/>
    </row>
    <row r="669" spans="1:16" ht="21.75" customHeight="1" x14ac:dyDescent="0.3">
      <c r="A669" s="504"/>
      <c r="B669" s="504"/>
      <c r="C669" s="504"/>
      <c r="D669" s="504"/>
      <c r="E669" s="506"/>
      <c r="F669" s="506"/>
      <c r="G669" s="506"/>
      <c r="H669" s="506"/>
      <c r="I669" s="506"/>
      <c r="J669" s="506"/>
      <c r="K669" s="507"/>
      <c r="L669" s="508"/>
      <c r="M669" s="508"/>
      <c r="N669" s="508"/>
      <c r="O669" s="509"/>
      <c r="P669" s="509"/>
    </row>
    <row r="670" spans="1:16" ht="21.75" customHeight="1" x14ac:dyDescent="0.3">
      <c r="A670" s="504"/>
      <c r="B670" s="504"/>
      <c r="C670" s="504"/>
      <c r="D670" s="504"/>
      <c r="E670" s="506"/>
      <c r="F670" s="506"/>
      <c r="G670" s="506"/>
      <c r="H670" s="506"/>
      <c r="I670" s="506"/>
      <c r="J670" s="506"/>
      <c r="K670" s="507"/>
      <c r="L670" s="508"/>
      <c r="M670" s="508"/>
      <c r="N670" s="508"/>
      <c r="O670" s="509"/>
      <c r="P670" s="509"/>
    </row>
    <row r="671" spans="1:16" ht="21.75" customHeight="1" x14ac:dyDescent="0.3">
      <c r="A671" s="504"/>
      <c r="B671" s="504"/>
      <c r="C671" s="504"/>
      <c r="D671" s="504"/>
      <c r="E671" s="506"/>
      <c r="F671" s="506"/>
      <c r="G671" s="506"/>
      <c r="H671" s="506"/>
      <c r="I671" s="506"/>
      <c r="J671" s="506"/>
      <c r="K671" s="507"/>
      <c r="L671" s="508"/>
      <c r="M671" s="508"/>
      <c r="N671" s="508"/>
      <c r="O671" s="509"/>
      <c r="P671" s="509"/>
    </row>
    <row r="672" spans="1:16" ht="21.75" customHeight="1" x14ac:dyDescent="0.3">
      <c r="A672" s="504"/>
      <c r="B672" s="504"/>
      <c r="C672" s="504"/>
      <c r="D672" s="504"/>
      <c r="E672" s="506"/>
      <c r="F672" s="506"/>
      <c r="G672" s="506"/>
      <c r="H672" s="506"/>
      <c r="I672" s="506"/>
      <c r="J672" s="506"/>
      <c r="K672" s="507"/>
      <c r="L672" s="508"/>
      <c r="M672" s="508"/>
      <c r="N672" s="508"/>
      <c r="O672" s="509"/>
      <c r="P672" s="509"/>
    </row>
    <row r="673" spans="1:16" ht="21.75" customHeight="1" x14ac:dyDescent="0.3">
      <c r="A673" s="504"/>
      <c r="B673" s="504"/>
      <c r="C673" s="504"/>
      <c r="D673" s="504"/>
      <c r="E673" s="506"/>
      <c r="F673" s="506"/>
      <c r="G673" s="506"/>
      <c r="H673" s="506"/>
      <c r="I673" s="506"/>
      <c r="J673" s="506"/>
      <c r="K673" s="507"/>
      <c r="L673" s="508"/>
      <c r="M673" s="508"/>
      <c r="N673" s="508"/>
      <c r="O673" s="509"/>
      <c r="P673" s="509"/>
    </row>
    <row r="674" spans="1:16" ht="21.75" customHeight="1" x14ac:dyDescent="0.3">
      <c r="A674" s="504"/>
      <c r="B674" s="504"/>
      <c r="C674" s="504"/>
      <c r="D674" s="504"/>
      <c r="E674" s="506"/>
      <c r="F674" s="506"/>
      <c r="G674" s="506"/>
      <c r="H674" s="506"/>
      <c r="I674" s="506"/>
      <c r="J674" s="506"/>
      <c r="K674" s="507"/>
      <c r="L674" s="508"/>
      <c r="M674" s="508"/>
      <c r="N674" s="508"/>
      <c r="O674" s="509"/>
      <c r="P674" s="509"/>
    </row>
    <row r="675" spans="1:16" ht="21.75" customHeight="1" x14ac:dyDescent="0.3">
      <c r="A675" s="504"/>
      <c r="B675" s="504"/>
      <c r="C675" s="504"/>
      <c r="D675" s="504"/>
      <c r="E675" s="506"/>
      <c r="F675" s="506"/>
      <c r="G675" s="506"/>
      <c r="H675" s="506"/>
      <c r="I675" s="506"/>
      <c r="J675" s="506"/>
      <c r="K675" s="507"/>
      <c r="L675" s="508"/>
      <c r="M675" s="508"/>
      <c r="N675" s="508"/>
      <c r="O675" s="509"/>
      <c r="P675" s="509"/>
    </row>
    <row r="676" spans="1:16" ht="21.75" customHeight="1" x14ac:dyDescent="0.3">
      <c r="A676" s="504"/>
      <c r="B676" s="504"/>
      <c r="C676" s="504"/>
      <c r="D676" s="504"/>
      <c r="E676" s="506"/>
      <c r="F676" s="506"/>
      <c r="G676" s="506"/>
      <c r="H676" s="506"/>
      <c r="I676" s="506"/>
      <c r="J676" s="506"/>
      <c r="K676" s="507"/>
      <c r="L676" s="508"/>
      <c r="M676" s="508"/>
      <c r="N676" s="508"/>
      <c r="O676" s="509"/>
      <c r="P676" s="509"/>
    </row>
    <row r="677" spans="1:16" ht="21.75" customHeight="1" x14ac:dyDescent="0.3">
      <c r="A677" s="504"/>
      <c r="B677" s="504"/>
      <c r="C677" s="504"/>
      <c r="D677" s="504"/>
      <c r="E677" s="506"/>
      <c r="F677" s="506"/>
      <c r="G677" s="506"/>
      <c r="H677" s="506"/>
      <c r="I677" s="506"/>
      <c r="J677" s="506"/>
      <c r="K677" s="507"/>
      <c r="L677" s="508"/>
      <c r="M677" s="508"/>
      <c r="N677" s="508"/>
      <c r="O677" s="509"/>
      <c r="P677" s="509"/>
    </row>
    <row r="678" spans="1:16" ht="21.75" customHeight="1" x14ac:dyDescent="0.3">
      <c r="A678" s="504"/>
      <c r="B678" s="504"/>
      <c r="C678" s="504"/>
      <c r="D678" s="504"/>
      <c r="E678" s="506"/>
      <c r="F678" s="506"/>
      <c r="G678" s="506"/>
      <c r="H678" s="506"/>
      <c r="I678" s="506"/>
      <c r="J678" s="506"/>
      <c r="K678" s="507"/>
      <c r="L678" s="508"/>
      <c r="M678" s="508"/>
      <c r="N678" s="508"/>
      <c r="O678" s="509"/>
      <c r="P678" s="509"/>
    </row>
    <row r="679" spans="1:16" ht="21.75" customHeight="1" x14ac:dyDescent="0.3">
      <c r="A679" s="504"/>
      <c r="B679" s="504"/>
      <c r="C679" s="504"/>
      <c r="D679" s="504"/>
      <c r="E679" s="506"/>
      <c r="F679" s="506"/>
      <c r="G679" s="506"/>
      <c r="H679" s="506"/>
      <c r="I679" s="506"/>
      <c r="J679" s="506"/>
      <c r="K679" s="507"/>
      <c r="L679" s="508"/>
      <c r="M679" s="508"/>
      <c r="N679" s="508"/>
      <c r="O679" s="509"/>
      <c r="P679" s="509"/>
    </row>
    <row r="680" spans="1:16" ht="21.75" customHeight="1" x14ac:dyDescent="0.3">
      <c r="A680" s="504"/>
      <c r="B680" s="504"/>
      <c r="C680" s="504"/>
      <c r="D680" s="504"/>
      <c r="E680" s="506"/>
      <c r="F680" s="506"/>
      <c r="G680" s="506"/>
      <c r="H680" s="506"/>
      <c r="I680" s="506"/>
      <c r="J680" s="506"/>
      <c r="K680" s="507"/>
      <c r="L680" s="508"/>
      <c r="M680" s="508"/>
      <c r="N680" s="508"/>
      <c r="O680" s="509"/>
      <c r="P680" s="509"/>
    </row>
    <row r="681" spans="1:16" ht="21.75" customHeight="1" x14ac:dyDescent="0.3">
      <c r="A681" s="504"/>
      <c r="B681" s="504"/>
      <c r="C681" s="504"/>
      <c r="D681" s="504"/>
      <c r="E681" s="506"/>
      <c r="F681" s="506"/>
      <c r="G681" s="506"/>
      <c r="H681" s="506"/>
      <c r="I681" s="506"/>
      <c r="J681" s="506"/>
      <c r="K681" s="507"/>
      <c r="L681" s="508"/>
      <c r="M681" s="508"/>
      <c r="N681" s="508"/>
      <c r="O681" s="509"/>
      <c r="P681" s="509"/>
    </row>
    <row r="682" spans="1:16" ht="21.75" customHeight="1" x14ac:dyDescent="0.3">
      <c r="A682" s="504"/>
      <c r="B682" s="504"/>
      <c r="C682" s="504"/>
      <c r="D682" s="504"/>
      <c r="E682" s="506"/>
      <c r="F682" s="506"/>
      <c r="G682" s="506"/>
      <c r="H682" s="506"/>
      <c r="I682" s="506"/>
      <c r="J682" s="506"/>
      <c r="K682" s="507"/>
      <c r="L682" s="508"/>
      <c r="M682" s="508"/>
      <c r="N682" s="508"/>
      <c r="O682" s="509"/>
      <c r="P682" s="509"/>
    </row>
    <row r="683" spans="1:16" ht="21.75" customHeight="1" x14ac:dyDescent="0.3">
      <c r="A683" s="504"/>
      <c r="B683" s="504"/>
      <c r="C683" s="504"/>
      <c r="D683" s="504"/>
      <c r="E683" s="506"/>
      <c r="F683" s="506"/>
      <c r="G683" s="506"/>
      <c r="H683" s="506"/>
      <c r="I683" s="506"/>
      <c r="J683" s="506"/>
      <c r="K683" s="507"/>
      <c r="L683" s="508"/>
      <c r="M683" s="508"/>
      <c r="N683" s="508"/>
      <c r="O683" s="509"/>
      <c r="P683" s="509"/>
    </row>
    <row r="684" spans="1:16" ht="21.75" customHeight="1" x14ac:dyDescent="0.3">
      <c r="A684" s="504"/>
      <c r="B684" s="504"/>
      <c r="C684" s="504"/>
      <c r="D684" s="504"/>
      <c r="E684" s="506"/>
      <c r="F684" s="506"/>
      <c r="G684" s="506"/>
      <c r="H684" s="506"/>
      <c r="I684" s="506"/>
      <c r="J684" s="506"/>
      <c r="K684" s="507"/>
      <c r="L684" s="508"/>
      <c r="M684" s="508"/>
      <c r="N684" s="508"/>
      <c r="O684" s="509"/>
      <c r="P684" s="509"/>
    </row>
    <row r="685" spans="1:16" ht="21.75" customHeight="1" x14ac:dyDescent="0.3">
      <c r="A685" s="504"/>
      <c r="B685" s="504"/>
      <c r="C685" s="504"/>
      <c r="D685" s="504"/>
      <c r="E685" s="506"/>
      <c r="F685" s="506"/>
      <c r="G685" s="506"/>
      <c r="H685" s="506"/>
      <c r="I685" s="506"/>
      <c r="J685" s="506"/>
      <c r="K685" s="507"/>
      <c r="L685" s="508"/>
      <c r="M685" s="508"/>
      <c r="N685" s="508"/>
      <c r="O685" s="509"/>
      <c r="P685" s="509"/>
    </row>
    <row r="686" spans="1:16" ht="21.75" customHeight="1" x14ac:dyDescent="0.3">
      <c r="A686" s="504"/>
      <c r="B686" s="504"/>
      <c r="C686" s="504"/>
      <c r="D686" s="504"/>
      <c r="E686" s="506"/>
      <c r="F686" s="506"/>
      <c r="G686" s="506"/>
      <c r="H686" s="506"/>
      <c r="I686" s="506"/>
      <c r="J686" s="506"/>
      <c r="K686" s="507"/>
      <c r="L686" s="508"/>
      <c r="M686" s="508"/>
      <c r="N686" s="508"/>
      <c r="O686" s="509"/>
      <c r="P686" s="509"/>
    </row>
    <row r="687" spans="1:16" ht="21.75" customHeight="1" x14ac:dyDescent="0.3">
      <c r="A687" s="504"/>
      <c r="B687" s="504"/>
      <c r="C687" s="504"/>
      <c r="D687" s="504"/>
      <c r="E687" s="506"/>
      <c r="F687" s="506"/>
      <c r="G687" s="506"/>
      <c r="H687" s="506"/>
      <c r="I687" s="506"/>
      <c r="J687" s="506"/>
      <c r="K687" s="507"/>
      <c r="L687" s="508"/>
      <c r="M687" s="508"/>
      <c r="N687" s="508"/>
      <c r="O687" s="509"/>
      <c r="P687" s="509"/>
    </row>
    <row r="688" spans="1:16" ht="21.75" customHeight="1" x14ac:dyDescent="0.3">
      <c r="A688" s="504"/>
      <c r="B688" s="504"/>
      <c r="C688" s="504"/>
      <c r="D688" s="504"/>
      <c r="E688" s="506"/>
      <c r="F688" s="506"/>
      <c r="G688" s="506"/>
      <c r="H688" s="506"/>
      <c r="I688" s="506"/>
      <c r="J688" s="506"/>
      <c r="K688" s="507"/>
      <c r="L688" s="508"/>
      <c r="M688" s="508"/>
      <c r="N688" s="508"/>
      <c r="O688" s="509"/>
      <c r="P688" s="509"/>
    </row>
    <row r="689" spans="1:16" ht="21.75" customHeight="1" x14ac:dyDescent="0.3">
      <c r="A689" s="504"/>
      <c r="B689" s="504"/>
      <c r="C689" s="504"/>
      <c r="D689" s="504"/>
      <c r="E689" s="506"/>
      <c r="F689" s="506"/>
      <c r="G689" s="506"/>
      <c r="H689" s="506"/>
      <c r="I689" s="506"/>
      <c r="J689" s="506"/>
      <c r="K689" s="507"/>
      <c r="L689" s="508"/>
      <c r="M689" s="508"/>
      <c r="N689" s="508"/>
      <c r="O689" s="509"/>
      <c r="P689" s="509"/>
    </row>
    <row r="690" spans="1:16" ht="21.75" customHeight="1" x14ac:dyDescent="0.3">
      <c r="A690" s="504"/>
      <c r="B690" s="504"/>
      <c r="C690" s="504"/>
      <c r="D690" s="504"/>
      <c r="E690" s="506"/>
      <c r="F690" s="506"/>
      <c r="G690" s="506"/>
      <c r="H690" s="506"/>
      <c r="I690" s="506"/>
      <c r="J690" s="506"/>
      <c r="K690" s="507"/>
      <c r="L690" s="508"/>
      <c r="M690" s="508"/>
      <c r="N690" s="508"/>
      <c r="O690" s="509"/>
      <c r="P690" s="509"/>
    </row>
    <row r="691" spans="1:16" ht="21.75" customHeight="1" x14ac:dyDescent="0.3">
      <c r="A691" s="504"/>
      <c r="B691" s="504"/>
      <c r="C691" s="504"/>
      <c r="D691" s="504"/>
      <c r="E691" s="506"/>
      <c r="F691" s="506"/>
      <c r="G691" s="506"/>
      <c r="H691" s="506"/>
      <c r="I691" s="506"/>
      <c r="J691" s="506"/>
      <c r="K691" s="507"/>
      <c r="L691" s="508"/>
      <c r="M691" s="508"/>
      <c r="N691" s="508"/>
      <c r="O691" s="509"/>
      <c r="P691" s="509"/>
    </row>
    <row r="692" spans="1:16" ht="21.75" customHeight="1" x14ac:dyDescent="0.3">
      <c r="A692" s="504"/>
      <c r="B692" s="504"/>
      <c r="C692" s="504"/>
      <c r="D692" s="504"/>
      <c r="E692" s="506"/>
      <c r="F692" s="506"/>
      <c r="G692" s="506"/>
      <c r="H692" s="506"/>
      <c r="I692" s="506"/>
      <c r="J692" s="506"/>
      <c r="K692" s="507"/>
      <c r="L692" s="508"/>
      <c r="M692" s="508"/>
      <c r="N692" s="508"/>
      <c r="O692" s="509"/>
      <c r="P692" s="509"/>
    </row>
    <row r="693" spans="1:16" ht="21.75" customHeight="1" x14ac:dyDescent="0.3">
      <c r="A693" s="504"/>
      <c r="B693" s="504"/>
      <c r="C693" s="504"/>
      <c r="D693" s="504"/>
      <c r="E693" s="506"/>
      <c r="F693" s="506"/>
      <c r="G693" s="506"/>
      <c r="H693" s="506"/>
      <c r="I693" s="506"/>
      <c r="J693" s="506"/>
      <c r="K693" s="507"/>
      <c r="L693" s="508"/>
      <c r="M693" s="508"/>
      <c r="N693" s="508"/>
      <c r="O693" s="509"/>
      <c r="P693" s="509"/>
    </row>
    <row r="694" spans="1:16" ht="21.75" customHeight="1" x14ac:dyDescent="0.3">
      <c r="A694" s="504"/>
      <c r="B694" s="504"/>
      <c r="C694" s="504"/>
      <c r="D694" s="504"/>
      <c r="E694" s="506"/>
      <c r="F694" s="506"/>
      <c r="G694" s="506"/>
      <c r="H694" s="506"/>
      <c r="I694" s="506"/>
      <c r="J694" s="506"/>
      <c r="K694" s="507"/>
      <c r="L694" s="508"/>
      <c r="M694" s="508"/>
      <c r="N694" s="508"/>
      <c r="O694" s="509"/>
      <c r="P694" s="509"/>
    </row>
    <row r="695" spans="1:16" ht="21.75" customHeight="1" x14ac:dyDescent="0.3">
      <c r="A695" s="504"/>
      <c r="B695" s="504"/>
      <c r="C695" s="504"/>
      <c r="D695" s="504"/>
      <c r="E695" s="506"/>
      <c r="F695" s="506"/>
      <c r="G695" s="506"/>
      <c r="H695" s="506"/>
      <c r="I695" s="506"/>
      <c r="J695" s="506"/>
      <c r="K695" s="507"/>
      <c r="L695" s="508"/>
      <c r="M695" s="508"/>
      <c r="N695" s="508"/>
      <c r="O695" s="509"/>
      <c r="P695" s="509"/>
    </row>
    <row r="696" spans="1:16" ht="21.75" customHeight="1" x14ac:dyDescent="0.3">
      <c r="A696" s="504"/>
      <c r="B696" s="504"/>
      <c r="C696" s="504"/>
      <c r="D696" s="504"/>
      <c r="E696" s="506"/>
      <c r="F696" s="506"/>
      <c r="G696" s="506"/>
      <c r="H696" s="506"/>
      <c r="I696" s="506"/>
      <c r="J696" s="506"/>
      <c r="K696" s="507"/>
      <c r="L696" s="508"/>
      <c r="M696" s="508"/>
      <c r="N696" s="508"/>
      <c r="O696" s="509"/>
      <c r="P696" s="509"/>
    </row>
    <row r="697" spans="1:16" ht="21.75" customHeight="1" x14ac:dyDescent="0.3">
      <c r="A697" s="504"/>
      <c r="B697" s="504"/>
      <c r="C697" s="504"/>
      <c r="D697" s="504"/>
      <c r="E697" s="506"/>
      <c r="F697" s="506"/>
      <c r="G697" s="506"/>
      <c r="H697" s="506"/>
      <c r="I697" s="506"/>
      <c r="J697" s="506"/>
      <c r="K697" s="507"/>
      <c r="L697" s="508"/>
      <c r="M697" s="508"/>
      <c r="N697" s="508"/>
      <c r="O697" s="509"/>
      <c r="P697" s="509"/>
    </row>
    <row r="698" spans="1:16" ht="21.75" customHeight="1" x14ac:dyDescent="0.3">
      <c r="A698" s="504"/>
      <c r="B698" s="504"/>
      <c r="C698" s="504"/>
      <c r="D698" s="504"/>
      <c r="E698" s="506"/>
      <c r="F698" s="506"/>
      <c r="G698" s="506"/>
      <c r="H698" s="506"/>
      <c r="I698" s="506"/>
      <c r="J698" s="506"/>
      <c r="K698" s="507"/>
      <c r="L698" s="508"/>
      <c r="M698" s="508"/>
      <c r="N698" s="508"/>
      <c r="O698" s="509"/>
      <c r="P698" s="509"/>
    </row>
    <row r="699" spans="1:16" ht="21.75" customHeight="1" x14ac:dyDescent="0.3">
      <c r="A699" s="504"/>
      <c r="B699" s="504"/>
      <c r="C699" s="504"/>
      <c r="D699" s="504"/>
      <c r="E699" s="506"/>
      <c r="F699" s="506"/>
      <c r="G699" s="506"/>
      <c r="H699" s="506"/>
      <c r="I699" s="506"/>
      <c r="J699" s="506"/>
      <c r="K699" s="507"/>
      <c r="L699" s="508"/>
      <c r="M699" s="508"/>
      <c r="N699" s="508"/>
      <c r="O699" s="509"/>
      <c r="P699" s="509"/>
    </row>
    <row r="700" spans="1:16" ht="21.75" customHeight="1" x14ac:dyDescent="0.3">
      <c r="A700" s="504"/>
      <c r="B700" s="504"/>
      <c r="C700" s="504"/>
      <c r="D700" s="504"/>
      <c r="E700" s="506"/>
      <c r="F700" s="506"/>
      <c r="G700" s="506"/>
      <c r="H700" s="506"/>
      <c r="I700" s="506"/>
      <c r="J700" s="506"/>
      <c r="K700" s="507"/>
      <c r="L700" s="508"/>
      <c r="M700" s="508"/>
      <c r="N700" s="508"/>
      <c r="O700" s="509"/>
      <c r="P700" s="509"/>
    </row>
    <row r="701" spans="1:16" ht="21.75" customHeight="1" x14ac:dyDescent="0.3">
      <c r="A701" s="504"/>
      <c r="B701" s="504"/>
      <c r="C701" s="504"/>
      <c r="D701" s="504"/>
      <c r="E701" s="506"/>
      <c r="F701" s="506"/>
      <c r="G701" s="506"/>
      <c r="H701" s="506"/>
      <c r="I701" s="506"/>
      <c r="J701" s="506"/>
      <c r="K701" s="507"/>
      <c r="L701" s="508"/>
      <c r="M701" s="508"/>
      <c r="N701" s="508"/>
      <c r="O701" s="509"/>
      <c r="P701" s="509"/>
    </row>
    <row r="702" spans="1:16" ht="21.75" customHeight="1" x14ac:dyDescent="0.3">
      <c r="A702" s="504"/>
      <c r="B702" s="504"/>
      <c r="C702" s="504"/>
      <c r="D702" s="504"/>
      <c r="E702" s="506"/>
      <c r="F702" s="506"/>
      <c r="G702" s="506"/>
      <c r="H702" s="506"/>
      <c r="I702" s="506"/>
      <c r="J702" s="506"/>
      <c r="K702" s="507"/>
      <c r="L702" s="508"/>
      <c r="M702" s="508"/>
      <c r="N702" s="508"/>
      <c r="O702" s="509"/>
      <c r="P702" s="509"/>
    </row>
    <row r="703" spans="1:16" ht="21.75" customHeight="1" x14ac:dyDescent="0.3">
      <c r="A703" s="504"/>
      <c r="B703" s="504"/>
      <c r="C703" s="504"/>
      <c r="D703" s="504"/>
      <c r="E703" s="506"/>
      <c r="F703" s="506"/>
      <c r="G703" s="506"/>
      <c r="H703" s="506"/>
      <c r="I703" s="506"/>
      <c r="J703" s="506"/>
      <c r="K703" s="507"/>
      <c r="L703" s="508"/>
      <c r="M703" s="508"/>
      <c r="N703" s="508"/>
      <c r="O703" s="509"/>
      <c r="P703" s="509"/>
    </row>
    <row r="704" spans="1:16" ht="21.75" customHeight="1" x14ac:dyDescent="0.3">
      <c r="A704" s="504"/>
      <c r="B704" s="504"/>
      <c r="C704" s="504"/>
      <c r="D704" s="504"/>
      <c r="E704" s="506"/>
      <c r="F704" s="506"/>
      <c r="G704" s="506"/>
      <c r="H704" s="506"/>
      <c r="I704" s="506"/>
      <c r="J704" s="506"/>
      <c r="K704" s="507"/>
      <c r="L704" s="508"/>
      <c r="M704" s="508"/>
      <c r="N704" s="508"/>
      <c r="O704" s="509"/>
      <c r="P704" s="509"/>
    </row>
    <row r="705" spans="1:16" ht="21.75" customHeight="1" x14ac:dyDescent="0.3">
      <c r="A705" s="504"/>
      <c r="B705" s="504"/>
      <c r="C705" s="504"/>
      <c r="D705" s="504"/>
      <c r="E705" s="506"/>
      <c r="F705" s="506"/>
      <c r="G705" s="506"/>
      <c r="H705" s="506"/>
      <c r="I705" s="506"/>
      <c r="J705" s="506"/>
      <c r="K705" s="507"/>
      <c r="L705" s="508"/>
      <c r="M705" s="508"/>
      <c r="N705" s="508"/>
      <c r="O705" s="509"/>
      <c r="P705" s="509"/>
    </row>
    <row r="706" spans="1:16" ht="21.75" customHeight="1" x14ac:dyDescent="0.3">
      <c r="A706" s="504"/>
      <c r="B706" s="504"/>
      <c r="C706" s="504"/>
      <c r="D706" s="504"/>
      <c r="E706" s="506"/>
      <c r="F706" s="506"/>
      <c r="G706" s="506"/>
      <c r="H706" s="506"/>
      <c r="I706" s="506"/>
      <c r="J706" s="506"/>
      <c r="K706" s="507"/>
      <c r="L706" s="508"/>
      <c r="M706" s="508"/>
      <c r="N706" s="508"/>
      <c r="O706" s="509"/>
      <c r="P706" s="509"/>
    </row>
    <row r="707" spans="1:16" ht="21.75" customHeight="1" x14ac:dyDescent="0.3">
      <c r="A707" s="504"/>
      <c r="B707" s="504"/>
      <c r="C707" s="504"/>
      <c r="D707" s="504"/>
      <c r="E707" s="506"/>
      <c r="F707" s="506"/>
      <c r="G707" s="506"/>
      <c r="H707" s="506"/>
      <c r="I707" s="506"/>
      <c r="J707" s="506"/>
      <c r="K707" s="507"/>
      <c r="L707" s="508"/>
      <c r="M707" s="508"/>
      <c r="N707" s="508"/>
      <c r="O707" s="509"/>
      <c r="P707" s="509"/>
    </row>
    <row r="708" spans="1:16" ht="21.75" customHeight="1" x14ac:dyDescent="0.3">
      <c r="A708" s="504"/>
      <c r="B708" s="504"/>
      <c r="C708" s="504"/>
      <c r="D708" s="504"/>
      <c r="E708" s="506"/>
      <c r="F708" s="506"/>
      <c r="G708" s="506"/>
      <c r="H708" s="506"/>
      <c r="I708" s="506"/>
      <c r="J708" s="506"/>
      <c r="K708" s="507"/>
      <c r="L708" s="508"/>
      <c r="M708" s="508"/>
      <c r="N708" s="508"/>
      <c r="O708" s="509"/>
      <c r="P708" s="509"/>
    </row>
    <row r="709" spans="1:16" ht="21.75" customHeight="1" x14ac:dyDescent="0.3">
      <c r="A709" s="504"/>
      <c r="B709" s="504"/>
      <c r="C709" s="504"/>
      <c r="D709" s="504"/>
      <c r="E709" s="506"/>
      <c r="F709" s="506"/>
      <c r="G709" s="506"/>
      <c r="H709" s="506"/>
      <c r="I709" s="506"/>
      <c r="J709" s="506"/>
      <c r="K709" s="507"/>
      <c r="L709" s="508"/>
      <c r="M709" s="508"/>
      <c r="N709" s="508"/>
      <c r="O709" s="509"/>
      <c r="P709" s="509"/>
    </row>
    <row r="710" spans="1:16" ht="21.75" customHeight="1" x14ac:dyDescent="0.3">
      <c r="A710" s="504"/>
      <c r="B710" s="504"/>
      <c r="C710" s="504"/>
      <c r="D710" s="504"/>
      <c r="E710" s="506"/>
      <c r="F710" s="506"/>
      <c r="G710" s="506"/>
      <c r="H710" s="506"/>
      <c r="I710" s="506"/>
      <c r="J710" s="506"/>
      <c r="K710" s="507"/>
      <c r="L710" s="508"/>
      <c r="M710" s="508"/>
      <c r="N710" s="508"/>
      <c r="O710" s="509"/>
      <c r="P710" s="509"/>
    </row>
    <row r="711" spans="1:16" ht="21.75" customHeight="1" x14ac:dyDescent="0.3">
      <c r="A711" s="504"/>
      <c r="B711" s="504"/>
      <c r="C711" s="504"/>
      <c r="D711" s="504"/>
      <c r="E711" s="506"/>
      <c r="F711" s="506"/>
      <c r="G711" s="506"/>
      <c r="H711" s="506"/>
      <c r="I711" s="506"/>
      <c r="J711" s="506"/>
      <c r="K711" s="507"/>
      <c r="L711" s="508"/>
      <c r="M711" s="508"/>
      <c r="N711" s="508"/>
      <c r="O711" s="509"/>
      <c r="P711" s="509"/>
    </row>
    <row r="712" spans="1:16" ht="21.75" customHeight="1" x14ac:dyDescent="0.3">
      <c r="A712" s="504"/>
      <c r="B712" s="504"/>
      <c r="C712" s="504"/>
      <c r="D712" s="504"/>
      <c r="E712" s="506"/>
      <c r="F712" s="506"/>
      <c r="G712" s="506"/>
      <c r="H712" s="506"/>
      <c r="I712" s="506"/>
      <c r="J712" s="506"/>
      <c r="K712" s="507"/>
      <c r="L712" s="508"/>
      <c r="M712" s="508"/>
      <c r="N712" s="508"/>
      <c r="O712" s="509"/>
      <c r="P712" s="509"/>
    </row>
    <row r="713" spans="1:16" ht="21.75" customHeight="1" x14ac:dyDescent="0.3">
      <c r="A713" s="504"/>
      <c r="B713" s="504"/>
      <c r="C713" s="504"/>
      <c r="D713" s="504"/>
      <c r="E713" s="506"/>
      <c r="F713" s="506"/>
      <c r="G713" s="506"/>
      <c r="H713" s="506"/>
      <c r="I713" s="506"/>
      <c r="J713" s="506"/>
      <c r="K713" s="507"/>
      <c r="L713" s="508"/>
      <c r="M713" s="508"/>
      <c r="N713" s="508"/>
      <c r="O713" s="509"/>
      <c r="P713" s="509"/>
    </row>
    <row r="714" spans="1:16" ht="21.75" customHeight="1" x14ac:dyDescent="0.3">
      <c r="A714" s="504"/>
      <c r="B714" s="504"/>
      <c r="C714" s="504"/>
      <c r="D714" s="504"/>
      <c r="E714" s="506"/>
      <c r="F714" s="506"/>
      <c r="G714" s="506"/>
      <c r="H714" s="506"/>
      <c r="I714" s="506"/>
      <c r="J714" s="506"/>
      <c r="K714" s="507"/>
      <c r="L714" s="508"/>
      <c r="M714" s="508"/>
      <c r="N714" s="508"/>
      <c r="O714" s="509"/>
      <c r="P714" s="509"/>
    </row>
    <row r="715" spans="1:16" ht="21.75" customHeight="1" x14ac:dyDescent="0.3">
      <c r="A715" s="504"/>
      <c r="B715" s="504"/>
      <c r="C715" s="504"/>
      <c r="D715" s="504"/>
      <c r="E715" s="506"/>
      <c r="F715" s="506"/>
      <c r="G715" s="506"/>
      <c r="H715" s="506"/>
      <c r="I715" s="506"/>
      <c r="J715" s="506"/>
      <c r="K715" s="507"/>
      <c r="L715" s="508"/>
      <c r="M715" s="508"/>
      <c r="N715" s="508"/>
      <c r="O715" s="509"/>
      <c r="P715" s="509"/>
    </row>
    <row r="716" spans="1:16" ht="21.75" customHeight="1" x14ac:dyDescent="0.3">
      <c r="A716" s="504"/>
      <c r="B716" s="504"/>
      <c r="C716" s="504"/>
      <c r="D716" s="504"/>
      <c r="E716" s="506"/>
      <c r="F716" s="506"/>
      <c r="G716" s="506"/>
      <c r="H716" s="506"/>
      <c r="I716" s="506"/>
      <c r="J716" s="506"/>
      <c r="K716" s="507"/>
      <c r="L716" s="508"/>
      <c r="M716" s="508"/>
      <c r="N716" s="508"/>
      <c r="O716" s="509"/>
      <c r="P716" s="509"/>
    </row>
    <row r="717" spans="1:16" ht="21.75" customHeight="1" x14ac:dyDescent="0.3">
      <c r="A717" s="504"/>
      <c r="B717" s="504"/>
      <c r="C717" s="504"/>
      <c r="D717" s="504"/>
      <c r="E717" s="506"/>
      <c r="F717" s="506"/>
      <c r="G717" s="506"/>
      <c r="H717" s="506"/>
      <c r="I717" s="506"/>
      <c r="J717" s="506"/>
      <c r="K717" s="507"/>
      <c r="L717" s="508"/>
      <c r="M717" s="508"/>
      <c r="N717" s="508"/>
      <c r="O717" s="509"/>
      <c r="P717" s="509"/>
    </row>
    <row r="718" spans="1:16" ht="21.75" customHeight="1" x14ac:dyDescent="0.3">
      <c r="A718" s="504"/>
      <c r="B718" s="504"/>
      <c r="C718" s="504"/>
      <c r="D718" s="504"/>
      <c r="E718" s="506"/>
      <c r="F718" s="506"/>
      <c r="G718" s="506"/>
      <c r="H718" s="506"/>
      <c r="I718" s="506"/>
      <c r="J718" s="506"/>
      <c r="K718" s="507"/>
      <c r="L718" s="508"/>
      <c r="M718" s="508"/>
      <c r="N718" s="508"/>
      <c r="O718" s="509"/>
      <c r="P718" s="509"/>
    </row>
    <row r="719" spans="1:16" ht="21.75" customHeight="1" x14ac:dyDescent="0.3">
      <c r="A719" s="504"/>
      <c r="B719" s="504"/>
      <c r="C719" s="504"/>
      <c r="D719" s="504"/>
      <c r="E719" s="506"/>
      <c r="F719" s="506"/>
      <c r="G719" s="506"/>
      <c r="H719" s="506"/>
      <c r="I719" s="506"/>
      <c r="J719" s="506"/>
      <c r="K719" s="507"/>
      <c r="L719" s="508"/>
      <c r="M719" s="508"/>
      <c r="N719" s="508"/>
      <c r="O719" s="509"/>
      <c r="P719" s="509"/>
    </row>
    <row r="720" spans="1:16" ht="21.75" customHeight="1" x14ac:dyDescent="0.3">
      <c r="A720" s="504"/>
      <c r="B720" s="504"/>
      <c r="C720" s="504"/>
      <c r="D720" s="504"/>
      <c r="E720" s="506"/>
      <c r="F720" s="506"/>
      <c r="G720" s="506"/>
      <c r="H720" s="506"/>
      <c r="I720" s="506"/>
      <c r="J720" s="506"/>
      <c r="K720" s="507"/>
      <c r="L720" s="508"/>
      <c r="M720" s="508"/>
      <c r="N720" s="508"/>
      <c r="O720" s="509"/>
      <c r="P720" s="509"/>
    </row>
    <row r="721" spans="1:16" ht="21.75" customHeight="1" x14ac:dyDescent="0.3">
      <c r="A721" s="504"/>
      <c r="B721" s="504"/>
      <c r="C721" s="504"/>
      <c r="D721" s="504"/>
      <c r="E721" s="506"/>
      <c r="F721" s="506"/>
      <c r="G721" s="506"/>
      <c r="H721" s="506"/>
      <c r="I721" s="506"/>
      <c r="J721" s="506"/>
      <c r="K721" s="507"/>
      <c r="L721" s="508"/>
      <c r="M721" s="508"/>
      <c r="N721" s="508"/>
      <c r="O721" s="509"/>
      <c r="P721" s="509"/>
    </row>
    <row r="722" spans="1:16" ht="21.75" customHeight="1" x14ac:dyDescent="0.3">
      <c r="A722" s="504"/>
      <c r="B722" s="504"/>
      <c r="C722" s="504"/>
      <c r="D722" s="504"/>
      <c r="E722" s="506"/>
      <c r="F722" s="506"/>
      <c r="G722" s="506"/>
      <c r="H722" s="506"/>
      <c r="I722" s="506"/>
      <c r="J722" s="506"/>
      <c r="K722" s="507"/>
      <c r="L722" s="508"/>
      <c r="M722" s="508"/>
      <c r="N722" s="508"/>
      <c r="O722" s="509"/>
      <c r="P722" s="509"/>
    </row>
    <row r="723" spans="1:16" ht="21.75" customHeight="1" x14ac:dyDescent="0.3">
      <c r="A723" s="504"/>
      <c r="B723" s="504"/>
      <c r="C723" s="504"/>
      <c r="D723" s="504"/>
      <c r="E723" s="506"/>
      <c r="F723" s="506"/>
      <c r="G723" s="506"/>
      <c r="H723" s="506"/>
      <c r="I723" s="506"/>
      <c r="J723" s="506"/>
      <c r="K723" s="507"/>
      <c r="L723" s="508"/>
      <c r="M723" s="508"/>
      <c r="N723" s="508"/>
      <c r="O723" s="509"/>
      <c r="P723" s="509"/>
    </row>
    <row r="724" spans="1:16" ht="21.75" customHeight="1" x14ac:dyDescent="0.3">
      <c r="A724" s="504"/>
      <c r="B724" s="504"/>
      <c r="C724" s="504"/>
      <c r="D724" s="504"/>
      <c r="E724" s="506"/>
      <c r="F724" s="506"/>
      <c r="G724" s="506"/>
      <c r="H724" s="506"/>
      <c r="I724" s="506"/>
      <c r="J724" s="506"/>
      <c r="K724" s="507"/>
      <c r="L724" s="508"/>
      <c r="M724" s="508"/>
      <c r="N724" s="508"/>
      <c r="O724" s="509"/>
      <c r="P724" s="509"/>
    </row>
    <row r="725" spans="1:16" ht="21.75" customHeight="1" x14ac:dyDescent="0.3">
      <c r="A725" s="504"/>
      <c r="B725" s="504"/>
      <c r="C725" s="504"/>
      <c r="D725" s="504"/>
      <c r="E725" s="506"/>
      <c r="F725" s="506"/>
      <c r="G725" s="506"/>
      <c r="H725" s="506"/>
      <c r="I725" s="506"/>
      <c r="J725" s="506"/>
      <c r="K725" s="507"/>
      <c r="L725" s="508"/>
      <c r="M725" s="508"/>
      <c r="N725" s="508"/>
      <c r="O725" s="509"/>
      <c r="P725" s="509"/>
    </row>
    <row r="726" spans="1:16" ht="21.75" customHeight="1" x14ac:dyDescent="0.3">
      <c r="A726" s="504"/>
      <c r="B726" s="504"/>
      <c r="C726" s="504"/>
      <c r="D726" s="504"/>
      <c r="E726" s="506"/>
      <c r="F726" s="506"/>
      <c r="G726" s="506"/>
      <c r="H726" s="506"/>
      <c r="I726" s="506"/>
      <c r="J726" s="506"/>
      <c r="K726" s="507"/>
      <c r="L726" s="508"/>
      <c r="M726" s="508"/>
      <c r="N726" s="508"/>
      <c r="O726" s="509"/>
      <c r="P726" s="509"/>
    </row>
    <row r="727" spans="1:16" ht="21.75" customHeight="1" x14ac:dyDescent="0.3">
      <c r="A727" s="504"/>
      <c r="B727" s="504"/>
      <c r="C727" s="504"/>
      <c r="D727" s="504"/>
      <c r="E727" s="506"/>
      <c r="F727" s="506"/>
      <c r="G727" s="506"/>
      <c r="H727" s="506"/>
      <c r="I727" s="506"/>
      <c r="J727" s="506"/>
      <c r="K727" s="507"/>
      <c r="L727" s="508"/>
      <c r="M727" s="508"/>
      <c r="N727" s="508"/>
      <c r="O727" s="509"/>
      <c r="P727" s="509"/>
    </row>
    <row r="728" spans="1:16" ht="21.75" customHeight="1" x14ac:dyDescent="0.3">
      <c r="A728" s="504"/>
      <c r="B728" s="504"/>
      <c r="C728" s="504"/>
      <c r="D728" s="504"/>
      <c r="E728" s="506"/>
      <c r="F728" s="506"/>
      <c r="G728" s="506"/>
      <c r="H728" s="506"/>
      <c r="I728" s="506"/>
      <c r="J728" s="506"/>
      <c r="K728" s="507"/>
      <c r="L728" s="508"/>
      <c r="M728" s="508"/>
      <c r="N728" s="508"/>
      <c r="O728" s="509"/>
      <c r="P728" s="509"/>
    </row>
    <row r="729" spans="1:16" ht="21.75" customHeight="1" x14ac:dyDescent="0.3">
      <c r="A729" s="504"/>
      <c r="B729" s="504"/>
      <c r="C729" s="504"/>
      <c r="D729" s="504"/>
      <c r="E729" s="506"/>
      <c r="F729" s="506"/>
      <c r="G729" s="506"/>
      <c r="H729" s="506"/>
      <c r="I729" s="506"/>
      <c r="J729" s="506"/>
      <c r="K729" s="507"/>
      <c r="L729" s="508"/>
      <c r="M729" s="508"/>
      <c r="N729" s="508"/>
      <c r="O729" s="509"/>
      <c r="P729" s="509"/>
    </row>
    <row r="730" spans="1:16" ht="21.75" customHeight="1" x14ac:dyDescent="0.3">
      <c r="A730" s="504"/>
      <c r="B730" s="504"/>
      <c r="C730" s="504"/>
      <c r="D730" s="504"/>
      <c r="E730" s="506"/>
      <c r="F730" s="506"/>
      <c r="G730" s="506"/>
      <c r="H730" s="506"/>
      <c r="I730" s="506"/>
      <c r="J730" s="506"/>
      <c r="K730" s="507"/>
      <c r="L730" s="508"/>
      <c r="M730" s="508"/>
      <c r="N730" s="508"/>
      <c r="O730" s="509"/>
      <c r="P730" s="509"/>
    </row>
    <row r="731" spans="1:16" ht="21.75" customHeight="1" x14ac:dyDescent="0.3">
      <c r="A731" s="504"/>
      <c r="B731" s="504"/>
      <c r="C731" s="504"/>
      <c r="D731" s="504"/>
      <c r="E731" s="506"/>
      <c r="F731" s="506"/>
      <c r="G731" s="506"/>
      <c r="H731" s="506"/>
      <c r="I731" s="506"/>
      <c r="J731" s="506"/>
      <c r="K731" s="507"/>
      <c r="L731" s="508"/>
      <c r="M731" s="508"/>
      <c r="N731" s="508"/>
      <c r="O731" s="509"/>
      <c r="P731" s="509"/>
    </row>
    <row r="732" spans="1:16" ht="21.75" customHeight="1" x14ac:dyDescent="0.3">
      <c r="A732" s="504"/>
      <c r="B732" s="504"/>
      <c r="C732" s="504"/>
      <c r="D732" s="504"/>
      <c r="E732" s="506"/>
      <c r="F732" s="506"/>
      <c r="G732" s="506"/>
      <c r="H732" s="506"/>
      <c r="I732" s="506"/>
      <c r="J732" s="506"/>
      <c r="K732" s="507"/>
      <c r="L732" s="508"/>
      <c r="M732" s="508"/>
      <c r="N732" s="508"/>
      <c r="O732" s="509"/>
      <c r="P732" s="509"/>
    </row>
    <row r="733" spans="1:16" ht="21.75" customHeight="1" x14ac:dyDescent="0.3">
      <c r="A733" s="504"/>
      <c r="B733" s="504"/>
      <c r="C733" s="504"/>
      <c r="D733" s="504"/>
      <c r="E733" s="506"/>
      <c r="F733" s="506"/>
      <c r="G733" s="506"/>
      <c r="H733" s="506"/>
      <c r="I733" s="506"/>
      <c r="J733" s="506"/>
      <c r="K733" s="507"/>
      <c r="L733" s="508"/>
      <c r="M733" s="508"/>
      <c r="N733" s="508"/>
      <c r="O733" s="509"/>
      <c r="P733" s="509"/>
    </row>
    <row r="734" spans="1:16" ht="21.75" customHeight="1" x14ac:dyDescent="0.3">
      <c r="A734" s="504"/>
      <c r="B734" s="504"/>
      <c r="C734" s="504"/>
      <c r="D734" s="504"/>
      <c r="E734" s="506"/>
      <c r="F734" s="506"/>
      <c r="G734" s="506"/>
      <c r="H734" s="506"/>
      <c r="I734" s="506"/>
      <c r="J734" s="506"/>
      <c r="K734" s="507"/>
      <c r="L734" s="508"/>
      <c r="M734" s="508"/>
      <c r="N734" s="508"/>
      <c r="O734" s="509"/>
      <c r="P734" s="509"/>
    </row>
    <row r="735" spans="1:16" ht="21.75" customHeight="1" x14ac:dyDescent="0.3">
      <c r="A735" s="504"/>
      <c r="B735" s="504"/>
      <c r="C735" s="504"/>
      <c r="D735" s="504"/>
      <c r="E735" s="506"/>
      <c r="F735" s="506"/>
      <c r="G735" s="506"/>
      <c r="H735" s="506"/>
      <c r="I735" s="506"/>
      <c r="J735" s="506"/>
      <c r="K735" s="507"/>
      <c r="L735" s="508"/>
      <c r="M735" s="508"/>
      <c r="N735" s="508"/>
      <c r="O735" s="509"/>
      <c r="P735" s="509"/>
    </row>
    <row r="736" spans="1:16" ht="21.75" customHeight="1" x14ac:dyDescent="0.3">
      <c r="A736" s="504"/>
      <c r="B736" s="504"/>
      <c r="C736" s="504"/>
      <c r="D736" s="504"/>
      <c r="E736" s="506"/>
      <c r="F736" s="506"/>
      <c r="G736" s="506"/>
      <c r="H736" s="506"/>
      <c r="I736" s="506"/>
      <c r="J736" s="506"/>
      <c r="K736" s="507"/>
      <c r="L736" s="508"/>
      <c r="M736" s="508"/>
      <c r="N736" s="508"/>
      <c r="O736" s="509"/>
      <c r="P736" s="509"/>
    </row>
    <row r="737" spans="1:16" ht="21.75" customHeight="1" x14ac:dyDescent="0.3">
      <c r="A737" s="504"/>
      <c r="B737" s="504"/>
      <c r="C737" s="504"/>
      <c r="D737" s="504"/>
      <c r="E737" s="506"/>
      <c r="F737" s="506"/>
      <c r="G737" s="506"/>
      <c r="H737" s="506"/>
      <c r="I737" s="506"/>
      <c r="J737" s="506"/>
      <c r="K737" s="507"/>
      <c r="L737" s="508"/>
      <c r="M737" s="508"/>
      <c r="N737" s="508"/>
      <c r="O737" s="509"/>
      <c r="P737" s="509"/>
    </row>
    <row r="738" spans="1:16" ht="21.75" customHeight="1" x14ac:dyDescent="0.3">
      <c r="A738" s="504"/>
      <c r="B738" s="504"/>
      <c r="C738" s="504"/>
      <c r="D738" s="504"/>
      <c r="E738" s="506"/>
      <c r="F738" s="506"/>
      <c r="G738" s="506"/>
      <c r="H738" s="506"/>
      <c r="I738" s="506"/>
      <c r="J738" s="506"/>
      <c r="K738" s="507"/>
      <c r="L738" s="508"/>
      <c r="M738" s="508"/>
      <c r="N738" s="508"/>
      <c r="O738" s="509"/>
      <c r="P738" s="509"/>
    </row>
    <row r="739" spans="1:16" ht="21.75" customHeight="1" x14ac:dyDescent="0.3">
      <c r="A739" s="504"/>
      <c r="B739" s="504"/>
      <c r="C739" s="504"/>
      <c r="D739" s="504"/>
      <c r="E739" s="506"/>
      <c r="F739" s="506"/>
      <c r="G739" s="506"/>
      <c r="H739" s="506"/>
      <c r="I739" s="506"/>
      <c r="J739" s="506"/>
      <c r="K739" s="507"/>
      <c r="L739" s="508"/>
      <c r="M739" s="508"/>
      <c r="N739" s="508"/>
      <c r="O739" s="509"/>
      <c r="P739" s="509"/>
    </row>
    <row r="740" spans="1:16" ht="21.75" customHeight="1" x14ac:dyDescent="0.3">
      <c r="A740" s="504"/>
      <c r="B740" s="504"/>
      <c r="C740" s="504"/>
      <c r="D740" s="504"/>
      <c r="E740" s="506"/>
      <c r="F740" s="506"/>
      <c r="G740" s="506"/>
      <c r="H740" s="506"/>
      <c r="I740" s="506"/>
      <c r="J740" s="506"/>
      <c r="K740" s="507"/>
      <c r="L740" s="508"/>
      <c r="M740" s="508"/>
      <c r="N740" s="508"/>
      <c r="O740" s="509"/>
      <c r="P740" s="509"/>
    </row>
    <row r="741" spans="1:16" ht="21.75" customHeight="1" x14ac:dyDescent="0.3">
      <c r="A741" s="504"/>
      <c r="B741" s="504"/>
      <c r="C741" s="504"/>
      <c r="D741" s="504"/>
      <c r="E741" s="506"/>
      <c r="F741" s="506"/>
      <c r="G741" s="506"/>
      <c r="H741" s="506"/>
      <c r="I741" s="506"/>
      <c r="J741" s="506"/>
      <c r="K741" s="507"/>
      <c r="L741" s="508"/>
      <c r="M741" s="508"/>
      <c r="N741" s="508"/>
      <c r="O741" s="509"/>
      <c r="P741" s="509"/>
    </row>
    <row r="742" spans="1:16" ht="21.75" customHeight="1" x14ac:dyDescent="0.3">
      <c r="A742" s="504"/>
      <c r="B742" s="504"/>
      <c r="C742" s="504"/>
      <c r="D742" s="504"/>
      <c r="E742" s="506"/>
      <c r="F742" s="506"/>
      <c r="G742" s="506"/>
      <c r="H742" s="506"/>
      <c r="I742" s="506"/>
      <c r="J742" s="506"/>
      <c r="K742" s="507"/>
      <c r="L742" s="508"/>
      <c r="M742" s="508"/>
      <c r="N742" s="508"/>
      <c r="O742" s="509"/>
      <c r="P742" s="509"/>
    </row>
    <row r="743" spans="1:16" ht="21.75" customHeight="1" x14ac:dyDescent="0.3">
      <c r="A743" s="504"/>
      <c r="B743" s="504"/>
      <c r="C743" s="504"/>
      <c r="D743" s="504"/>
      <c r="E743" s="506"/>
      <c r="F743" s="506"/>
      <c r="G743" s="506"/>
      <c r="H743" s="506"/>
      <c r="I743" s="506"/>
      <c r="J743" s="506"/>
      <c r="K743" s="507"/>
      <c r="L743" s="508"/>
      <c r="M743" s="508"/>
      <c r="N743" s="508"/>
      <c r="O743" s="509"/>
      <c r="P743" s="509"/>
    </row>
    <row r="744" spans="1:16" ht="21.75" customHeight="1" x14ac:dyDescent="0.3">
      <c r="A744" s="504"/>
      <c r="B744" s="504"/>
      <c r="C744" s="504"/>
      <c r="D744" s="504"/>
      <c r="E744" s="506"/>
      <c r="F744" s="506"/>
      <c r="G744" s="506"/>
      <c r="H744" s="506"/>
      <c r="I744" s="506"/>
      <c r="J744" s="506"/>
      <c r="K744" s="507"/>
      <c r="L744" s="508"/>
      <c r="M744" s="508"/>
      <c r="N744" s="508"/>
      <c r="O744" s="509"/>
      <c r="P744" s="509"/>
    </row>
    <row r="745" spans="1:16" ht="21.75" customHeight="1" x14ac:dyDescent="0.3">
      <c r="A745" s="504"/>
      <c r="B745" s="504"/>
      <c r="C745" s="504"/>
      <c r="D745" s="504"/>
      <c r="E745" s="506"/>
      <c r="F745" s="506"/>
      <c r="G745" s="506"/>
      <c r="H745" s="506"/>
      <c r="I745" s="506"/>
      <c r="J745" s="506"/>
      <c r="K745" s="507"/>
      <c r="L745" s="508"/>
      <c r="M745" s="508"/>
      <c r="N745" s="508"/>
      <c r="O745" s="509"/>
      <c r="P745" s="509"/>
    </row>
    <row r="746" spans="1:16" ht="21.75" customHeight="1" x14ac:dyDescent="0.3">
      <c r="A746" s="504"/>
      <c r="B746" s="504"/>
      <c r="C746" s="504"/>
      <c r="D746" s="504"/>
      <c r="E746" s="506"/>
      <c r="F746" s="506"/>
      <c r="G746" s="506"/>
      <c r="H746" s="506"/>
      <c r="I746" s="506"/>
      <c r="J746" s="506"/>
      <c r="K746" s="507"/>
      <c r="L746" s="508"/>
      <c r="M746" s="508"/>
      <c r="N746" s="508"/>
      <c r="O746" s="509"/>
      <c r="P746" s="509"/>
    </row>
    <row r="747" spans="1:16" ht="21.75" customHeight="1" x14ac:dyDescent="0.3">
      <c r="A747" s="504"/>
      <c r="B747" s="504"/>
      <c r="C747" s="504"/>
      <c r="D747" s="504"/>
      <c r="E747" s="506"/>
      <c r="F747" s="506"/>
      <c r="G747" s="506"/>
      <c r="H747" s="506"/>
      <c r="I747" s="506"/>
      <c r="J747" s="506"/>
      <c r="K747" s="507"/>
      <c r="L747" s="508"/>
      <c r="M747" s="508"/>
      <c r="N747" s="508"/>
      <c r="O747" s="509"/>
      <c r="P747" s="509"/>
    </row>
    <row r="748" spans="1:16" ht="21.75" customHeight="1" x14ac:dyDescent="0.3">
      <c r="A748" s="504"/>
      <c r="B748" s="504"/>
      <c r="C748" s="504"/>
      <c r="D748" s="504"/>
      <c r="E748" s="506"/>
      <c r="F748" s="506"/>
      <c r="G748" s="506"/>
      <c r="H748" s="506"/>
      <c r="I748" s="506"/>
      <c r="J748" s="506"/>
      <c r="K748" s="507"/>
      <c r="L748" s="508"/>
      <c r="M748" s="508"/>
      <c r="N748" s="508"/>
      <c r="O748" s="509"/>
      <c r="P748" s="509"/>
    </row>
    <row r="749" spans="1:16" ht="21.75" customHeight="1" x14ac:dyDescent="0.3">
      <c r="A749" s="504"/>
      <c r="B749" s="504"/>
      <c r="C749" s="504"/>
      <c r="D749" s="504"/>
      <c r="E749" s="506"/>
      <c r="F749" s="506"/>
      <c r="G749" s="506"/>
      <c r="H749" s="506"/>
      <c r="I749" s="506"/>
      <c r="J749" s="506"/>
      <c r="K749" s="507"/>
      <c r="L749" s="508"/>
      <c r="M749" s="508"/>
      <c r="N749" s="508"/>
      <c r="O749" s="509"/>
      <c r="P749" s="509"/>
    </row>
    <row r="750" spans="1:16" ht="21.75" customHeight="1" x14ac:dyDescent="0.3">
      <c r="A750" s="504"/>
      <c r="B750" s="504"/>
      <c r="C750" s="504"/>
      <c r="D750" s="504"/>
      <c r="E750" s="506"/>
      <c r="F750" s="506"/>
      <c r="G750" s="506"/>
      <c r="H750" s="506"/>
      <c r="I750" s="506"/>
      <c r="J750" s="506"/>
      <c r="K750" s="507"/>
      <c r="L750" s="508"/>
      <c r="M750" s="508"/>
      <c r="N750" s="508"/>
      <c r="O750" s="509"/>
      <c r="P750" s="509"/>
    </row>
    <row r="751" spans="1:16" ht="21.75" customHeight="1" x14ac:dyDescent="0.3">
      <c r="A751" s="504"/>
      <c r="B751" s="504"/>
      <c r="C751" s="504"/>
      <c r="D751" s="504"/>
      <c r="E751" s="506"/>
      <c r="F751" s="506"/>
      <c r="G751" s="506"/>
      <c r="H751" s="506"/>
      <c r="I751" s="506"/>
      <c r="J751" s="506"/>
      <c r="K751" s="507"/>
      <c r="L751" s="508"/>
      <c r="M751" s="508"/>
      <c r="N751" s="508"/>
      <c r="O751" s="509"/>
      <c r="P751" s="509"/>
    </row>
    <row r="752" spans="1:16" ht="21.75" customHeight="1" x14ac:dyDescent="0.3">
      <c r="A752" s="504"/>
      <c r="B752" s="504"/>
      <c r="C752" s="504"/>
      <c r="D752" s="504"/>
      <c r="E752" s="506"/>
      <c r="F752" s="506"/>
      <c r="G752" s="506"/>
      <c r="H752" s="506"/>
      <c r="I752" s="506"/>
      <c r="J752" s="506"/>
      <c r="K752" s="507"/>
      <c r="L752" s="508"/>
      <c r="M752" s="508"/>
      <c r="N752" s="508"/>
      <c r="O752" s="509"/>
      <c r="P752" s="509"/>
    </row>
    <row r="753" spans="1:16" ht="21.75" customHeight="1" x14ac:dyDescent="0.3">
      <c r="A753" s="504"/>
      <c r="B753" s="504"/>
      <c r="C753" s="504"/>
      <c r="D753" s="504"/>
      <c r="E753" s="506"/>
      <c r="F753" s="506"/>
      <c r="G753" s="506"/>
      <c r="H753" s="506"/>
      <c r="I753" s="506"/>
      <c r="J753" s="506"/>
      <c r="K753" s="507"/>
      <c r="L753" s="508"/>
      <c r="M753" s="508"/>
      <c r="N753" s="508"/>
      <c r="O753" s="509"/>
      <c r="P753" s="509"/>
    </row>
    <row r="754" spans="1:16" ht="21.75" customHeight="1" x14ac:dyDescent="0.3">
      <c r="A754" s="504"/>
      <c r="B754" s="504"/>
      <c r="C754" s="504"/>
      <c r="D754" s="504"/>
      <c r="E754" s="506"/>
      <c r="F754" s="506"/>
      <c r="G754" s="506"/>
      <c r="H754" s="506"/>
      <c r="I754" s="506"/>
      <c r="J754" s="506"/>
      <c r="K754" s="507"/>
      <c r="L754" s="508"/>
      <c r="M754" s="508"/>
      <c r="N754" s="508"/>
      <c r="O754" s="509"/>
      <c r="P754" s="509"/>
    </row>
    <row r="755" spans="1:16" ht="21.75" customHeight="1" x14ac:dyDescent="0.3">
      <c r="A755" s="504"/>
      <c r="B755" s="504"/>
      <c r="C755" s="504"/>
      <c r="D755" s="504"/>
      <c r="E755" s="506"/>
      <c r="F755" s="506"/>
      <c r="G755" s="506"/>
      <c r="H755" s="506"/>
      <c r="I755" s="506"/>
      <c r="J755" s="506"/>
      <c r="K755" s="507"/>
      <c r="L755" s="508"/>
      <c r="M755" s="508"/>
      <c r="N755" s="508"/>
      <c r="O755" s="509"/>
      <c r="P755" s="509"/>
    </row>
    <row r="756" spans="1:16" ht="21.75" customHeight="1" x14ac:dyDescent="0.3">
      <c r="A756" s="504"/>
      <c r="B756" s="504"/>
      <c r="C756" s="504"/>
      <c r="D756" s="504"/>
      <c r="E756" s="506"/>
      <c r="F756" s="506"/>
      <c r="G756" s="506"/>
      <c r="H756" s="506"/>
      <c r="I756" s="506"/>
      <c r="J756" s="506"/>
      <c r="K756" s="507"/>
      <c r="L756" s="508"/>
      <c r="M756" s="508"/>
      <c r="N756" s="508"/>
      <c r="O756" s="509"/>
      <c r="P756" s="509"/>
    </row>
    <row r="757" spans="1:16" ht="21.75" customHeight="1" x14ac:dyDescent="0.3">
      <c r="A757" s="504"/>
      <c r="B757" s="504"/>
      <c r="C757" s="504"/>
      <c r="D757" s="504"/>
      <c r="E757" s="506"/>
      <c r="F757" s="506"/>
      <c r="G757" s="506"/>
      <c r="H757" s="506"/>
      <c r="I757" s="506"/>
      <c r="J757" s="506"/>
      <c r="K757" s="507"/>
      <c r="L757" s="508"/>
      <c r="M757" s="508"/>
      <c r="N757" s="508"/>
      <c r="O757" s="509"/>
      <c r="P757" s="509"/>
    </row>
    <row r="758" spans="1:16" ht="21.75" customHeight="1" x14ac:dyDescent="0.3">
      <c r="A758" s="504"/>
      <c r="B758" s="504"/>
      <c r="C758" s="504"/>
      <c r="D758" s="504"/>
      <c r="E758" s="506"/>
      <c r="F758" s="506"/>
      <c r="G758" s="506"/>
      <c r="H758" s="506"/>
      <c r="I758" s="506"/>
      <c r="J758" s="506"/>
      <c r="K758" s="507"/>
      <c r="L758" s="508"/>
      <c r="M758" s="508"/>
      <c r="N758" s="508"/>
      <c r="O758" s="509"/>
      <c r="P758" s="509"/>
    </row>
    <row r="759" spans="1:16" ht="21.75" customHeight="1" x14ac:dyDescent="0.3">
      <c r="A759" s="504"/>
      <c r="B759" s="504"/>
      <c r="C759" s="504"/>
      <c r="D759" s="504"/>
      <c r="E759" s="506"/>
      <c r="F759" s="506"/>
      <c r="G759" s="506"/>
      <c r="H759" s="506"/>
      <c r="I759" s="506"/>
      <c r="J759" s="506"/>
      <c r="K759" s="507"/>
      <c r="L759" s="508"/>
      <c r="M759" s="508"/>
      <c r="N759" s="508"/>
      <c r="O759" s="509"/>
      <c r="P759" s="509"/>
    </row>
    <row r="760" spans="1:16" ht="21.75" customHeight="1" x14ac:dyDescent="0.3">
      <c r="A760" s="504"/>
      <c r="B760" s="504"/>
      <c r="C760" s="504"/>
      <c r="D760" s="504"/>
      <c r="E760" s="506"/>
      <c r="F760" s="506"/>
      <c r="G760" s="506"/>
      <c r="H760" s="506"/>
      <c r="I760" s="506"/>
      <c r="J760" s="506"/>
      <c r="K760" s="507"/>
      <c r="L760" s="508"/>
      <c r="M760" s="508"/>
      <c r="N760" s="508"/>
      <c r="O760" s="509"/>
      <c r="P760" s="509"/>
    </row>
    <row r="761" spans="1:16" ht="21.75" customHeight="1" x14ac:dyDescent="0.3">
      <c r="A761" s="504"/>
      <c r="B761" s="504"/>
      <c r="C761" s="504"/>
      <c r="D761" s="504"/>
      <c r="E761" s="506"/>
      <c r="F761" s="506"/>
      <c r="G761" s="506"/>
      <c r="H761" s="506"/>
      <c r="I761" s="506"/>
      <c r="J761" s="506"/>
      <c r="K761" s="507"/>
      <c r="L761" s="508"/>
      <c r="M761" s="508"/>
      <c r="N761" s="508"/>
      <c r="O761" s="509"/>
      <c r="P761" s="509"/>
    </row>
    <row r="762" spans="1:16" ht="21.75" customHeight="1" x14ac:dyDescent="0.3">
      <c r="A762" s="504"/>
      <c r="B762" s="504"/>
      <c r="C762" s="504"/>
      <c r="D762" s="504"/>
      <c r="E762" s="506"/>
      <c r="F762" s="506"/>
      <c r="G762" s="506"/>
      <c r="H762" s="506"/>
      <c r="I762" s="506"/>
      <c r="J762" s="506"/>
      <c r="K762" s="507"/>
      <c r="L762" s="508"/>
      <c r="M762" s="508"/>
      <c r="N762" s="508"/>
      <c r="O762" s="509"/>
      <c r="P762" s="509"/>
    </row>
    <row r="763" spans="1:16" ht="21.75" customHeight="1" x14ac:dyDescent="0.3">
      <c r="A763" s="504"/>
      <c r="B763" s="504"/>
      <c r="C763" s="504"/>
      <c r="D763" s="504"/>
      <c r="E763" s="506"/>
      <c r="F763" s="506"/>
      <c r="G763" s="506"/>
      <c r="H763" s="506"/>
      <c r="I763" s="506"/>
      <c r="J763" s="506"/>
      <c r="K763" s="507"/>
      <c r="L763" s="508"/>
      <c r="M763" s="508"/>
      <c r="N763" s="508"/>
      <c r="O763" s="509"/>
      <c r="P763" s="509"/>
    </row>
    <row r="764" spans="1:16" ht="21.75" customHeight="1" x14ac:dyDescent="0.3">
      <c r="A764" s="504"/>
      <c r="B764" s="504"/>
      <c r="C764" s="504"/>
      <c r="D764" s="504"/>
      <c r="E764" s="506"/>
      <c r="F764" s="506"/>
      <c r="G764" s="506"/>
      <c r="H764" s="506"/>
      <c r="I764" s="506"/>
      <c r="J764" s="506"/>
      <c r="K764" s="507"/>
      <c r="L764" s="508"/>
      <c r="M764" s="508"/>
      <c r="N764" s="508"/>
      <c r="O764" s="509"/>
      <c r="P764" s="509"/>
    </row>
    <row r="765" spans="1:16" ht="21.75" customHeight="1" x14ac:dyDescent="0.3">
      <c r="A765" s="504"/>
      <c r="B765" s="504"/>
      <c r="C765" s="504"/>
      <c r="D765" s="504"/>
      <c r="E765" s="506"/>
      <c r="F765" s="506"/>
      <c r="G765" s="506"/>
      <c r="H765" s="506"/>
      <c r="I765" s="506"/>
      <c r="J765" s="506"/>
      <c r="K765" s="507"/>
      <c r="L765" s="508"/>
      <c r="M765" s="508"/>
      <c r="N765" s="508"/>
      <c r="O765" s="509"/>
      <c r="P765" s="509"/>
    </row>
    <row r="766" spans="1:16" ht="21.75" customHeight="1" x14ac:dyDescent="0.3">
      <c r="A766" s="504"/>
      <c r="B766" s="504"/>
      <c r="C766" s="504"/>
      <c r="D766" s="504"/>
      <c r="E766" s="506"/>
      <c r="F766" s="506"/>
      <c r="G766" s="506"/>
      <c r="H766" s="506"/>
      <c r="I766" s="506"/>
      <c r="J766" s="506"/>
      <c r="K766" s="507"/>
      <c r="L766" s="508"/>
      <c r="M766" s="508"/>
      <c r="N766" s="508"/>
      <c r="O766" s="509"/>
      <c r="P766" s="509"/>
    </row>
    <row r="767" spans="1:16" ht="21.75" customHeight="1" x14ac:dyDescent="0.3">
      <c r="A767" s="504"/>
      <c r="B767" s="504"/>
      <c r="C767" s="504"/>
      <c r="D767" s="504"/>
      <c r="E767" s="506"/>
      <c r="F767" s="506"/>
      <c r="G767" s="506"/>
      <c r="H767" s="506"/>
      <c r="I767" s="506"/>
      <c r="J767" s="506"/>
      <c r="K767" s="507"/>
      <c r="L767" s="508"/>
      <c r="M767" s="508"/>
      <c r="N767" s="508"/>
      <c r="O767" s="509"/>
      <c r="P767" s="509"/>
    </row>
    <row r="768" spans="1:16" ht="21.75" customHeight="1" x14ac:dyDescent="0.3">
      <c r="A768" s="504"/>
      <c r="B768" s="504"/>
      <c r="C768" s="504"/>
      <c r="D768" s="504"/>
      <c r="E768" s="506"/>
      <c r="F768" s="506"/>
      <c r="G768" s="506"/>
      <c r="H768" s="506"/>
      <c r="I768" s="506"/>
      <c r="J768" s="506"/>
      <c r="K768" s="507"/>
      <c r="L768" s="508"/>
      <c r="M768" s="508"/>
      <c r="N768" s="508"/>
      <c r="O768" s="509"/>
      <c r="P768" s="509"/>
    </row>
    <row r="769" spans="1:16" ht="21.75" customHeight="1" x14ac:dyDescent="0.3">
      <c r="A769" s="504"/>
      <c r="B769" s="504"/>
      <c r="C769" s="504"/>
      <c r="D769" s="504"/>
      <c r="E769" s="506"/>
      <c r="F769" s="506"/>
      <c r="G769" s="506"/>
      <c r="H769" s="506"/>
      <c r="I769" s="506"/>
      <c r="J769" s="506"/>
      <c r="K769" s="507"/>
      <c r="L769" s="508"/>
      <c r="M769" s="508"/>
      <c r="N769" s="508"/>
      <c r="O769" s="509"/>
      <c r="P769" s="509"/>
    </row>
    <row r="770" spans="1:16" ht="21.75" customHeight="1" x14ac:dyDescent="0.3">
      <c r="A770" s="504"/>
      <c r="B770" s="504"/>
      <c r="C770" s="504"/>
      <c r="D770" s="504"/>
      <c r="E770" s="506"/>
      <c r="F770" s="506"/>
      <c r="G770" s="506"/>
      <c r="H770" s="506"/>
      <c r="I770" s="506"/>
      <c r="J770" s="506"/>
      <c r="K770" s="507"/>
      <c r="L770" s="508"/>
      <c r="M770" s="508"/>
      <c r="N770" s="508"/>
      <c r="O770" s="509"/>
      <c r="P770" s="509"/>
    </row>
    <row r="771" spans="1:16" ht="21.75" customHeight="1" x14ac:dyDescent="0.3">
      <c r="A771" s="504"/>
      <c r="B771" s="504"/>
      <c r="C771" s="504"/>
      <c r="D771" s="504"/>
      <c r="E771" s="506"/>
      <c r="F771" s="506"/>
      <c r="G771" s="506"/>
      <c r="H771" s="506"/>
      <c r="I771" s="506"/>
      <c r="J771" s="506"/>
      <c r="K771" s="507"/>
      <c r="L771" s="508"/>
      <c r="M771" s="508"/>
      <c r="N771" s="508"/>
      <c r="O771" s="509"/>
      <c r="P771" s="509"/>
    </row>
    <row r="772" spans="1:16" ht="21.75" customHeight="1" x14ac:dyDescent="0.3">
      <c r="A772" s="504"/>
      <c r="B772" s="504"/>
      <c r="C772" s="504"/>
      <c r="D772" s="504"/>
      <c r="E772" s="506"/>
      <c r="F772" s="506"/>
      <c r="G772" s="506"/>
      <c r="H772" s="506"/>
      <c r="I772" s="506"/>
      <c r="J772" s="506"/>
      <c r="K772" s="507"/>
      <c r="L772" s="508"/>
      <c r="M772" s="508"/>
      <c r="N772" s="508"/>
      <c r="O772" s="509"/>
      <c r="P772" s="509"/>
    </row>
    <row r="773" spans="1:16" ht="21.75" customHeight="1" x14ac:dyDescent="0.3">
      <c r="A773" s="504"/>
      <c r="B773" s="504"/>
      <c r="C773" s="504"/>
      <c r="D773" s="504"/>
      <c r="E773" s="506"/>
      <c r="F773" s="506"/>
      <c r="G773" s="506"/>
      <c r="H773" s="506"/>
      <c r="I773" s="506"/>
      <c r="J773" s="506"/>
      <c r="K773" s="507"/>
      <c r="L773" s="508"/>
      <c r="M773" s="508"/>
      <c r="N773" s="508"/>
      <c r="O773" s="509"/>
      <c r="P773" s="509"/>
    </row>
    <row r="774" spans="1:16" ht="21.75" customHeight="1" x14ac:dyDescent="0.3">
      <c r="A774" s="504"/>
      <c r="B774" s="504"/>
      <c r="C774" s="504"/>
      <c r="D774" s="504"/>
      <c r="E774" s="506"/>
      <c r="F774" s="506"/>
      <c r="G774" s="506"/>
      <c r="H774" s="506"/>
      <c r="I774" s="506"/>
      <c r="J774" s="506"/>
      <c r="K774" s="507"/>
      <c r="L774" s="508"/>
      <c r="M774" s="508"/>
      <c r="N774" s="508"/>
      <c r="O774" s="509"/>
      <c r="P774" s="509"/>
    </row>
    <row r="775" spans="1:16" ht="21.75" customHeight="1" x14ac:dyDescent="0.3">
      <c r="A775" s="504"/>
      <c r="B775" s="504"/>
      <c r="C775" s="504"/>
      <c r="D775" s="504"/>
      <c r="E775" s="506"/>
      <c r="F775" s="506"/>
      <c r="G775" s="506"/>
      <c r="H775" s="506"/>
      <c r="I775" s="506"/>
      <c r="J775" s="506"/>
      <c r="K775" s="507"/>
      <c r="L775" s="508"/>
      <c r="M775" s="508"/>
      <c r="N775" s="508"/>
      <c r="O775" s="509"/>
      <c r="P775" s="509"/>
    </row>
    <row r="776" spans="1:16" ht="21.75" customHeight="1" x14ac:dyDescent="0.3">
      <c r="A776" s="504"/>
      <c r="B776" s="504"/>
      <c r="C776" s="504"/>
      <c r="D776" s="504"/>
      <c r="E776" s="506"/>
      <c r="F776" s="506"/>
      <c r="G776" s="506"/>
      <c r="H776" s="506"/>
      <c r="I776" s="506"/>
      <c r="J776" s="506"/>
      <c r="K776" s="507"/>
      <c r="L776" s="508"/>
      <c r="M776" s="508"/>
      <c r="N776" s="508"/>
      <c r="O776" s="509"/>
      <c r="P776" s="509"/>
    </row>
    <row r="777" spans="1:16" ht="21.75" customHeight="1" x14ac:dyDescent="0.3">
      <c r="A777" s="504"/>
      <c r="B777" s="504"/>
      <c r="C777" s="504"/>
      <c r="D777" s="504"/>
      <c r="E777" s="506"/>
      <c r="F777" s="506"/>
      <c r="G777" s="506"/>
      <c r="H777" s="506"/>
      <c r="I777" s="506"/>
      <c r="J777" s="506"/>
      <c r="K777" s="507"/>
      <c r="L777" s="508"/>
      <c r="M777" s="508"/>
      <c r="N777" s="508"/>
      <c r="O777" s="509"/>
      <c r="P777" s="509"/>
    </row>
    <row r="778" spans="1:16" ht="21.75" customHeight="1" x14ac:dyDescent="0.3">
      <c r="A778" s="504"/>
      <c r="B778" s="504"/>
      <c r="C778" s="504"/>
      <c r="D778" s="504"/>
      <c r="E778" s="506"/>
      <c r="F778" s="506"/>
      <c r="G778" s="506"/>
      <c r="H778" s="506"/>
      <c r="I778" s="506"/>
      <c r="J778" s="506"/>
      <c r="K778" s="507"/>
      <c r="L778" s="508"/>
      <c r="M778" s="508"/>
      <c r="N778" s="508"/>
      <c r="O778" s="509"/>
      <c r="P778" s="509"/>
    </row>
    <row r="779" spans="1:16" ht="21.75" customHeight="1" x14ac:dyDescent="0.3">
      <c r="A779" s="504"/>
      <c r="B779" s="504"/>
      <c r="C779" s="504"/>
      <c r="D779" s="504"/>
      <c r="E779" s="506"/>
      <c r="F779" s="506"/>
      <c r="G779" s="506"/>
      <c r="H779" s="506"/>
      <c r="I779" s="506"/>
      <c r="J779" s="506"/>
      <c r="K779" s="507"/>
      <c r="L779" s="508"/>
      <c r="M779" s="508"/>
      <c r="N779" s="508"/>
      <c r="O779" s="509"/>
      <c r="P779" s="509"/>
    </row>
    <row r="780" spans="1:16" ht="21.75" customHeight="1" x14ac:dyDescent="0.3">
      <c r="A780" s="504"/>
      <c r="B780" s="504"/>
      <c r="C780" s="504"/>
      <c r="D780" s="504"/>
      <c r="E780" s="506"/>
      <c r="F780" s="506"/>
      <c r="G780" s="506"/>
      <c r="H780" s="506"/>
      <c r="I780" s="506"/>
      <c r="J780" s="506"/>
      <c r="K780" s="507"/>
      <c r="L780" s="508"/>
      <c r="M780" s="508"/>
      <c r="N780" s="508"/>
      <c r="O780" s="509"/>
      <c r="P780" s="509"/>
    </row>
    <row r="781" spans="1:16" ht="21.75" customHeight="1" x14ac:dyDescent="0.3">
      <c r="A781" s="504"/>
      <c r="B781" s="504"/>
      <c r="C781" s="504"/>
      <c r="D781" s="504"/>
      <c r="E781" s="506"/>
      <c r="F781" s="506"/>
      <c r="G781" s="506"/>
      <c r="H781" s="506"/>
      <c r="I781" s="506"/>
      <c r="J781" s="506"/>
      <c r="K781" s="507"/>
      <c r="L781" s="508"/>
      <c r="M781" s="508"/>
      <c r="N781" s="508"/>
      <c r="O781" s="509"/>
      <c r="P781" s="509"/>
    </row>
    <row r="782" spans="1:16" ht="21.75" customHeight="1" x14ac:dyDescent="0.3">
      <c r="A782" s="504"/>
      <c r="B782" s="504"/>
      <c r="C782" s="504"/>
      <c r="D782" s="504"/>
      <c r="E782" s="506"/>
      <c r="F782" s="506"/>
      <c r="G782" s="506"/>
      <c r="H782" s="506"/>
      <c r="I782" s="506"/>
      <c r="J782" s="506"/>
      <c r="K782" s="507"/>
      <c r="L782" s="508"/>
      <c r="M782" s="508"/>
      <c r="N782" s="508"/>
      <c r="O782" s="509"/>
      <c r="P782" s="509"/>
    </row>
    <row r="783" spans="1:16" ht="21.75" customHeight="1" x14ac:dyDescent="0.3">
      <c r="A783" s="504"/>
      <c r="B783" s="504"/>
      <c r="C783" s="504"/>
      <c r="D783" s="504"/>
      <c r="E783" s="506"/>
      <c r="F783" s="506"/>
      <c r="G783" s="506"/>
      <c r="H783" s="506"/>
      <c r="I783" s="506"/>
      <c r="J783" s="506"/>
      <c r="K783" s="507"/>
      <c r="L783" s="508"/>
      <c r="M783" s="508"/>
      <c r="N783" s="508"/>
      <c r="O783" s="509"/>
      <c r="P783" s="509"/>
    </row>
    <row r="784" spans="1:16" ht="21.75" customHeight="1" x14ac:dyDescent="0.3">
      <c r="A784" s="504"/>
      <c r="B784" s="504"/>
      <c r="C784" s="504"/>
      <c r="D784" s="504"/>
      <c r="E784" s="506"/>
      <c r="F784" s="506"/>
      <c r="G784" s="506"/>
      <c r="H784" s="506"/>
      <c r="I784" s="506"/>
      <c r="J784" s="506"/>
      <c r="K784" s="507"/>
      <c r="L784" s="508"/>
      <c r="M784" s="508"/>
      <c r="N784" s="508"/>
      <c r="O784" s="509"/>
      <c r="P784" s="509"/>
    </row>
    <row r="785" spans="1:16" ht="21.75" customHeight="1" x14ac:dyDescent="0.3">
      <c r="A785" s="504"/>
      <c r="B785" s="504"/>
      <c r="C785" s="504"/>
      <c r="D785" s="504"/>
      <c r="E785" s="506"/>
      <c r="F785" s="506"/>
      <c r="G785" s="506"/>
      <c r="H785" s="506"/>
      <c r="I785" s="506"/>
      <c r="J785" s="506"/>
      <c r="K785" s="507"/>
      <c r="L785" s="508"/>
      <c r="M785" s="508"/>
      <c r="N785" s="508"/>
      <c r="O785" s="509"/>
      <c r="P785" s="509"/>
    </row>
    <row r="786" spans="1:16" ht="21.75" customHeight="1" x14ac:dyDescent="0.3">
      <c r="A786" s="504"/>
      <c r="B786" s="504"/>
      <c r="C786" s="504"/>
      <c r="D786" s="504"/>
      <c r="E786" s="506"/>
      <c r="F786" s="506"/>
      <c r="G786" s="506"/>
      <c r="H786" s="506"/>
      <c r="I786" s="506"/>
      <c r="J786" s="506"/>
      <c r="K786" s="507"/>
      <c r="L786" s="508"/>
      <c r="M786" s="508"/>
      <c r="N786" s="508"/>
      <c r="O786" s="509"/>
      <c r="P786" s="509"/>
    </row>
    <row r="787" spans="1:16" ht="21.75" customHeight="1" x14ac:dyDescent="0.3">
      <c r="A787" s="504"/>
      <c r="B787" s="504"/>
      <c r="C787" s="504"/>
      <c r="D787" s="504"/>
      <c r="E787" s="506"/>
      <c r="F787" s="506"/>
      <c r="G787" s="506"/>
      <c r="H787" s="506"/>
      <c r="I787" s="506"/>
      <c r="J787" s="506"/>
      <c r="K787" s="507"/>
      <c r="L787" s="508"/>
      <c r="M787" s="508"/>
      <c r="N787" s="508"/>
      <c r="O787" s="509"/>
      <c r="P787" s="509"/>
    </row>
    <row r="788" spans="1:16" ht="21.75" customHeight="1" x14ac:dyDescent="0.3">
      <c r="A788" s="504"/>
      <c r="B788" s="504"/>
      <c r="C788" s="504"/>
      <c r="D788" s="504"/>
      <c r="E788" s="506"/>
      <c r="F788" s="506"/>
      <c r="G788" s="506"/>
      <c r="H788" s="506"/>
      <c r="I788" s="506"/>
      <c r="J788" s="506"/>
      <c r="K788" s="507"/>
      <c r="L788" s="508"/>
      <c r="M788" s="508"/>
      <c r="N788" s="508"/>
      <c r="O788" s="509"/>
      <c r="P788" s="509"/>
    </row>
    <row r="789" spans="1:16" ht="21.75" customHeight="1" x14ac:dyDescent="0.3">
      <c r="A789" s="504"/>
      <c r="B789" s="504"/>
      <c r="C789" s="504"/>
      <c r="D789" s="504"/>
      <c r="E789" s="506"/>
      <c r="F789" s="506"/>
      <c r="G789" s="506"/>
      <c r="H789" s="506"/>
      <c r="I789" s="506"/>
      <c r="J789" s="506"/>
      <c r="K789" s="507"/>
      <c r="L789" s="508"/>
      <c r="M789" s="508"/>
      <c r="N789" s="508"/>
      <c r="O789" s="509"/>
      <c r="P789" s="509"/>
    </row>
    <row r="790" spans="1:16" ht="21.75" customHeight="1" x14ac:dyDescent="0.3">
      <c r="A790" s="504"/>
      <c r="B790" s="504"/>
      <c r="C790" s="504"/>
      <c r="D790" s="504"/>
      <c r="E790" s="506"/>
      <c r="F790" s="506"/>
      <c r="G790" s="506"/>
      <c r="H790" s="506"/>
      <c r="I790" s="506"/>
      <c r="J790" s="506"/>
      <c r="K790" s="507"/>
      <c r="L790" s="508"/>
      <c r="M790" s="508"/>
      <c r="N790" s="508"/>
      <c r="O790" s="509"/>
      <c r="P790" s="509"/>
    </row>
    <row r="791" spans="1:16" ht="21.75" customHeight="1" x14ac:dyDescent="0.3">
      <c r="A791" s="504"/>
      <c r="B791" s="504"/>
      <c r="C791" s="504"/>
      <c r="D791" s="504"/>
      <c r="E791" s="506"/>
      <c r="F791" s="506"/>
      <c r="G791" s="506"/>
      <c r="H791" s="506"/>
      <c r="I791" s="506"/>
      <c r="J791" s="506"/>
      <c r="K791" s="507"/>
      <c r="L791" s="508"/>
      <c r="M791" s="508"/>
      <c r="N791" s="508"/>
      <c r="O791" s="509"/>
      <c r="P791" s="509"/>
    </row>
    <row r="792" spans="1:16" ht="21.75" customHeight="1" x14ac:dyDescent="0.3">
      <c r="A792" s="504"/>
      <c r="B792" s="504"/>
      <c r="C792" s="504"/>
      <c r="D792" s="504"/>
      <c r="E792" s="506"/>
      <c r="F792" s="506"/>
      <c r="G792" s="506"/>
      <c r="H792" s="506"/>
      <c r="I792" s="506"/>
      <c r="J792" s="506"/>
      <c r="K792" s="507"/>
      <c r="L792" s="508"/>
      <c r="M792" s="508"/>
      <c r="N792" s="508"/>
      <c r="O792" s="509"/>
      <c r="P792" s="509"/>
    </row>
    <row r="793" spans="1:16" ht="21.75" customHeight="1" x14ac:dyDescent="0.3">
      <c r="A793" s="504"/>
      <c r="B793" s="504"/>
      <c r="C793" s="504"/>
      <c r="D793" s="504"/>
      <c r="E793" s="506"/>
      <c r="F793" s="506"/>
      <c r="G793" s="506"/>
      <c r="H793" s="506"/>
      <c r="I793" s="506"/>
      <c r="J793" s="506"/>
      <c r="K793" s="507"/>
      <c r="L793" s="508"/>
      <c r="M793" s="508"/>
      <c r="N793" s="508"/>
      <c r="O793" s="509"/>
      <c r="P793" s="509"/>
    </row>
    <row r="794" spans="1:16" ht="21.75" customHeight="1" x14ac:dyDescent="0.3">
      <c r="A794" s="504"/>
      <c r="B794" s="504"/>
      <c r="C794" s="504"/>
      <c r="D794" s="504"/>
      <c r="E794" s="506"/>
      <c r="F794" s="506"/>
      <c r="G794" s="506"/>
      <c r="H794" s="506"/>
      <c r="I794" s="506"/>
      <c r="J794" s="506"/>
      <c r="K794" s="507"/>
      <c r="L794" s="508"/>
      <c r="M794" s="508"/>
      <c r="N794" s="508"/>
      <c r="O794" s="509"/>
      <c r="P794" s="509"/>
    </row>
    <row r="795" spans="1:16" ht="21.75" customHeight="1" x14ac:dyDescent="0.3">
      <c r="A795" s="504"/>
      <c r="B795" s="504"/>
      <c r="C795" s="504"/>
      <c r="D795" s="504"/>
      <c r="E795" s="506"/>
      <c r="F795" s="506"/>
      <c r="G795" s="506"/>
      <c r="H795" s="506"/>
      <c r="I795" s="506"/>
      <c r="J795" s="506"/>
      <c r="K795" s="507"/>
      <c r="L795" s="508"/>
      <c r="M795" s="508"/>
      <c r="N795" s="508"/>
      <c r="O795" s="509"/>
      <c r="P795" s="509"/>
    </row>
    <row r="796" spans="1:16" ht="21.75" customHeight="1" x14ac:dyDescent="0.3">
      <c r="A796" s="504"/>
      <c r="B796" s="504"/>
      <c r="C796" s="504"/>
      <c r="D796" s="504"/>
      <c r="E796" s="506"/>
      <c r="F796" s="506"/>
      <c r="G796" s="506"/>
      <c r="H796" s="506"/>
      <c r="I796" s="506"/>
      <c r="J796" s="506"/>
      <c r="K796" s="507"/>
      <c r="L796" s="508"/>
      <c r="M796" s="508"/>
      <c r="N796" s="508"/>
      <c r="O796" s="509"/>
      <c r="P796" s="509"/>
    </row>
    <row r="797" spans="1:16" ht="21.75" customHeight="1" x14ac:dyDescent="0.3">
      <c r="A797" s="504"/>
      <c r="B797" s="504"/>
      <c r="C797" s="504"/>
      <c r="D797" s="504"/>
      <c r="E797" s="506"/>
      <c r="F797" s="506"/>
      <c r="G797" s="506"/>
      <c r="H797" s="506"/>
      <c r="I797" s="506"/>
      <c r="J797" s="506"/>
      <c r="K797" s="507"/>
      <c r="L797" s="508"/>
      <c r="M797" s="508"/>
      <c r="N797" s="508"/>
      <c r="O797" s="509"/>
      <c r="P797" s="509"/>
    </row>
    <row r="798" spans="1:16" ht="21.75" customHeight="1" x14ac:dyDescent="0.3">
      <c r="A798" s="504"/>
      <c r="B798" s="504"/>
      <c r="C798" s="504"/>
      <c r="D798" s="504"/>
      <c r="E798" s="506"/>
      <c r="F798" s="506"/>
      <c r="G798" s="506"/>
      <c r="H798" s="506"/>
      <c r="I798" s="506"/>
      <c r="J798" s="506"/>
      <c r="K798" s="507"/>
      <c r="L798" s="508"/>
      <c r="M798" s="508"/>
      <c r="N798" s="508"/>
      <c r="O798" s="509"/>
      <c r="P798" s="509"/>
    </row>
    <row r="799" spans="1:16" ht="21.75" customHeight="1" x14ac:dyDescent="0.3">
      <c r="A799" s="504"/>
      <c r="B799" s="504"/>
      <c r="C799" s="504"/>
      <c r="D799" s="504"/>
      <c r="E799" s="506"/>
      <c r="F799" s="506"/>
      <c r="G799" s="506"/>
      <c r="H799" s="506"/>
      <c r="I799" s="506"/>
      <c r="J799" s="506"/>
      <c r="K799" s="507"/>
      <c r="L799" s="508"/>
      <c r="M799" s="508"/>
      <c r="N799" s="508"/>
      <c r="O799" s="509"/>
      <c r="P799" s="509"/>
    </row>
    <row r="800" spans="1:16" ht="21.75" customHeight="1" x14ac:dyDescent="0.3">
      <c r="A800" s="504"/>
      <c r="B800" s="504"/>
      <c r="C800" s="504"/>
      <c r="D800" s="504"/>
      <c r="E800" s="506"/>
      <c r="F800" s="506"/>
      <c r="G800" s="506"/>
      <c r="H800" s="506"/>
      <c r="I800" s="506"/>
      <c r="J800" s="506"/>
      <c r="K800" s="507"/>
      <c r="L800" s="508"/>
      <c r="M800" s="508"/>
      <c r="N800" s="508"/>
      <c r="O800" s="509"/>
      <c r="P800" s="509"/>
    </row>
    <row r="801" spans="1:16" ht="21.75" customHeight="1" x14ac:dyDescent="0.3">
      <c r="A801" s="504"/>
      <c r="B801" s="504"/>
      <c r="C801" s="504"/>
      <c r="D801" s="504"/>
      <c r="E801" s="506"/>
      <c r="F801" s="506"/>
      <c r="G801" s="506"/>
      <c r="H801" s="506"/>
      <c r="I801" s="506"/>
      <c r="J801" s="506"/>
      <c r="K801" s="507"/>
      <c r="L801" s="508"/>
      <c r="M801" s="508"/>
      <c r="N801" s="508"/>
      <c r="O801" s="509"/>
      <c r="P801" s="509"/>
    </row>
    <row r="802" spans="1:16" ht="21.75" customHeight="1" x14ac:dyDescent="0.3">
      <c r="A802" s="504"/>
      <c r="B802" s="504"/>
      <c r="C802" s="504"/>
      <c r="D802" s="504"/>
      <c r="E802" s="506"/>
      <c r="F802" s="506"/>
      <c r="G802" s="506"/>
      <c r="H802" s="506"/>
      <c r="I802" s="506"/>
      <c r="J802" s="506"/>
      <c r="K802" s="507"/>
      <c r="L802" s="508"/>
      <c r="M802" s="508"/>
      <c r="N802" s="508"/>
      <c r="O802" s="509"/>
      <c r="P802" s="509"/>
    </row>
    <row r="803" spans="1:16" ht="21.75" customHeight="1" x14ac:dyDescent="0.3">
      <c r="A803" s="504"/>
      <c r="B803" s="504"/>
      <c r="C803" s="504"/>
      <c r="D803" s="504"/>
      <c r="E803" s="506"/>
      <c r="F803" s="506"/>
      <c r="G803" s="506"/>
      <c r="H803" s="506"/>
      <c r="I803" s="506"/>
      <c r="J803" s="506"/>
      <c r="K803" s="507"/>
      <c r="L803" s="508"/>
      <c r="M803" s="508"/>
      <c r="N803" s="508"/>
      <c r="O803" s="509"/>
      <c r="P803" s="509"/>
    </row>
    <row r="804" spans="1:16" ht="21.75" customHeight="1" x14ac:dyDescent="0.3">
      <c r="A804" s="504"/>
      <c r="B804" s="504"/>
      <c r="C804" s="504"/>
      <c r="D804" s="504"/>
      <c r="E804" s="506"/>
      <c r="F804" s="506"/>
      <c r="G804" s="506"/>
      <c r="H804" s="506"/>
      <c r="I804" s="506"/>
      <c r="J804" s="506"/>
      <c r="K804" s="507"/>
      <c r="L804" s="508"/>
      <c r="M804" s="508"/>
      <c r="N804" s="508"/>
      <c r="O804" s="509"/>
      <c r="P804" s="509"/>
    </row>
    <row r="805" spans="1:16" ht="21.75" customHeight="1" x14ac:dyDescent="0.3">
      <c r="A805" s="504"/>
      <c r="B805" s="504"/>
      <c r="C805" s="504"/>
      <c r="D805" s="504"/>
      <c r="E805" s="506"/>
      <c r="F805" s="506"/>
      <c r="G805" s="506"/>
      <c r="H805" s="506"/>
      <c r="I805" s="506"/>
      <c r="J805" s="506"/>
      <c r="K805" s="507"/>
      <c r="L805" s="508"/>
      <c r="M805" s="508"/>
      <c r="N805" s="508"/>
      <c r="O805" s="509"/>
      <c r="P805" s="509"/>
    </row>
    <row r="806" spans="1:16" ht="21.75" customHeight="1" x14ac:dyDescent="0.3">
      <c r="A806" s="504"/>
      <c r="B806" s="504"/>
      <c r="C806" s="504"/>
      <c r="D806" s="504"/>
      <c r="E806" s="506"/>
      <c r="F806" s="506"/>
      <c r="G806" s="506"/>
      <c r="H806" s="506"/>
      <c r="I806" s="506"/>
      <c r="J806" s="506"/>
      <c r="K806" s="507"/>
      <c r="L806" s="508"/>
      <c r="M806" s="508"/>
      <c r="N806" s="508"/>
      <c r="O806" s="509"/>
      <c r="P806" s="509"/>
    </row>
    <row r="807" spans="1:16" ht="21.75" customHeight="1" x14ac:dyDescent="0.3">
      <c r="A807" s="504"/>
      <c r="B807" s="504"/>
      <c r="C807" s="504"/>
      <c r="D807" s="504"/>
      <c r="E807" s="506"/>
      <c r="F807" s="506"/>
      <c r="G807" s="506"/>
      <c r="H807" s="506"/>
      <c r="I807" s="506"/>
      <c r="J807" s="506"/>
      <c r="K807" s="507"/>
      <c r="L807" s="508"/>
      <c r="M807" s="508"/>
      <c r="N807" s="508"/>
      <c r="O807" s="509"/>
      <c r="P807" s="509"/>
    </row>
    <row r="808" spans="1:16" ht="21.75" customHeight="1" x14ac:dyDescent="0.3">
      <c r="A808" s="504"/>
      <c r="B808" s="504"/>
      <c r="C808" s="504"/>
      <c r="D808" s="504"/>
      <c r="E808" s="506"/>
      <c r="F808" s="506"/>
      <c r="G808" s="506"/>
      <c r="H808" s="506"/>
      <c r="I808" s="506"/>
      <c r="J808" s="506"/>
      <c r="K808" s="507"/>
      <c r="L808" s="508"/>
      <c r="M808" s="508"/>
      <c r="N808" s="508"/>
      <c r="O808" s="509"/>
      <c r="P808" s="509"/>
    </row>
    <row r="809" spans="1:16" ht="21.75" customHeight="1" x14ac:dyDescent="0.3">
      <c r="A809" s="504"/>
      <c r="B809" s="504"/>
      <c r="C809" s="504"/>
      <c r="D809" s="504"/>
      <c r="E809" s="506"/>
      <c r="F809" s="506"/>
      <c r="G809" s="506"/>
      <c r="H809" s="506"/>
      <c r="I809" s="506"/>
      <c r="J809" s="506"/>
      <c r="K809" s="507"/>
      <c r="L809" s="508"/>
      <c r="M809" s="508"/>
      <c r="N809" s="508"/>
      <c r="O809" s="509"/>
      <c r="P809" s="509"/>
    </row>
    <row r="810" spans="1:16" ht="21.75" customHeight="1" x14ac:dyDescent="0.3">
      <c r="A810" s="504"/>
      <c r="B810" s="504"/>
      <c r="C810" s="504"/>
      <c r="D810" s="504"/>
      <c r="E810" s="506"/>
      <c r="F810" s="506"/>
      <c r="G810" s="506"/>
      <c r="H810" s="506"/>
      <c r="I810" s="506"/>
      <c r="J810" s="506"/>
      <c r="K810" s="507"/>
      <c r="L810" s="508"/>
      <c r="M810" s="508"/>
      <c r="N810" s="508"/>
      <c r="O810" s="509"/>
      <c r="P810" s="509"/>
    </row>
    <row r="811" spans="1:16" ht="21.75" customHeight="1" x14ac:dyDescent="0.3">
      <c r="A811" s="504"/>
      <c r="B811" s="504"/>
      <c r="C811" s="504"/>
      <c r="D811" s="504"/>
      <c r="E811" s="506"/>
      <c r="F811" s="506"/>
      <c r="G811" s="506"/>
      <c r="H811" s="506"/>
      <c r="I811" s="506"/>
      <c r="J811" s="506"/>
      <c r="K811" s="507"/>
      <c r="L811" s="508"/>
      <c r="M811" s="508"/>
      <c r="N811" s="508"/>
      <c r="O811" s="509"/>
      <c r="P811" s="509"/>
    </row>
    <row r="812" spans="1:16" ht="21.75" customHeight="1" x14ac:dyDescent="0.3">
      <c r="A812" s="504"/>
      <c r="B812" s="504"/>
      <c r="C812" s="504"/>
      <c r="D812" s="504"/>
      <c r="E812" s="506"/>
      <c r="F812" s="506"/>
      <c r="G812" s="506"/>
      <c r="H812" s="506"/>
      <c r="I812" s="506"/>
      <c r="J812" s="506"/>
      <c r="K812" s="507"/>
      <c r="L812" s="508"/>
      <c r="M812" s="508"/>
      <c r="N812" s="508"/>
      <c r="O812" s="509"/>
      <c r="P812" s="509"/>
    </row>
    <row r="813" spans="1:16" ht="21.75" customHeight="1" x14ac:dyDescent="0.3">
      <c r="A813" s="504"/>
      <c r="B813" s="504"/>
      <c r="C813" s="504"/>
      <c r="D813" s="504"/>
      <c r="E813" s="506"/>
      <c r="F813" s="506"/>
      <c r="G813" s="506"/>
      <c r="H813" s="506"/>
      <c r="I813" s="506"/>
      <c r="J813" s="506"/>
      <c r="K813" s="507"/>
      <c r="L813" s="508"/>
      <c r="M813" s="508"/>
      <c r="N813" s="508"/>
      <c r="O813" s="509"/>
      <c r="P813" s="509"/>
    </row>
    <row r="814" spans="1:16" ht="21.75" customHeight="1" x14ac:dyDescent="0.3">
      <c r="A814" s="504"/>
      <c r="B814" s="504"/>
      <c r="C814" s="504"/>
      <c r="D814" s="504"/>
      <c r="E814" s="506"/>
      <c r="F814" s="506"/>
      <c r="G814" s="506"/>
      <c r="H814" s="506"/>
      <c r="I814" s="506"/>
      <c r="J814" s="506"/>
      <c r="K814" s="507"/>
      <c r="L814" s="508"/>
      <c r="M814" s="508"/>
      <c r="N814" s="508"/>
      <c r="O814" s="509"/>
      <c r="P814" s="509"/>
    </row>
    <row r="815" spans="1:16" ht="21.75" customHeight="1" x14ac:dyDescent="0.3">
      <c r="A815" s="504"/>
      <c r="B815" s="504"/>
      <c r="C815" s="504"/>
      <c r="D815" s="504"/>
      <c r="E815" s="506"/>
      <c r="F815" s="506"/>
      <c r="G815" s="506"/>
      <c r="H815" s="506"/>
      <c r="I815" s="506"/>
      <c r="J815" s="506"/>
      <c r="K815" s="507"/>
      <c r="L815" s="508"/>
      <c r="M815" s="508"/>
      <c r="N815" s="508"/>
      <c r="O815" s="509"/>
      <c r="P815" s="509"/>
    </row>
    <row r="816" spans="1:16" ht="21.75" customHeight="1" x14ac:dyDescent="0.3">
      <c r="A816" s="504"/>
      <c r="B816" s="504"/>
      <c r="C816" s="504"/>
      <c r="D816" s="504"/>
      <c r="E816" s="506"/>
      <c r="F816" s="506"/>
      <c r="G816" s="506"/>
      <c r="H816" s="506"/>
      <c r="I816" s="506"/>
      <c r="J816" s="506"/>
      <c r="K816" s="507"/>
      <c r="L816" s="508"/>
      <c r="M816" s="508"/>
      <c r="N816" s="508"/>
      <c r="O816" s="509"/>
      <c r="P816" s="509"/>
    </row>
    <row r="817" spans="1:16" ht="21.75" customHeight="1" x14ac:dyDescent="0.3">
      <c r="A817" s="504"/>
      <c r="B817" s="504"/>
      <c r="C817" s="504"/>
      <c r="D817" s="504"/>
      <c r="E817" s="506"/>
      <c r="F817" s="506"/>
      <c r="G817" s="506"/>
      <c r="H817" s="506"/>
      <c r="I817" s="506"/>
      <c r="J817" s="506"/>
      <c r="K817" s="507"/>
      <c r="L817" s="508"/>
      <c r="M817" s="508"/>
      <c r="N817" s="508"/>
      <c r="O817" s="509"/>
      <c r="P817" s="509"/>
    </row>
    <row r="818" spans="1:16" ht="21.75" customHeight="1" x14ac:dyDescent="0.3">
      <c r="A818" s="504"/>
      <c r="B818" s="504"/>
      <c r="C818" s="504"/>
      <c r="D818" s="504"/>
      <c r="E818" s="506"/>
      <c r="F818" s="506"/>
      <c r="G818" s="506"/>
      <c r="H818" s="506"/>
      <c r="I818" s="506"/>
      <c r="J818" s="506"/>
      <c r="K818" s="507"/>
      <c r="L818" s="508"/>
      <c r="M818" s="508"/>
      <c r="N818" s="508"/>
      <c r="O818" s="509"/>
      <c r="P818" s="509"/>
    </row>
    <row r="819" spans="1:16" ht="21.75" customHeight="1" x14ac:dyDescent="0.3">
      <c r="A819" s="504"/>
      <c r="B819" s="504"/>
      <c r="C819" s="504"/>
      <c r="D819" s="504"/>
      <c r="E819" s="506"/>
      <c r="F819" s="506"/>
      <c r="G819" s="506"/>
      <c r="H819" s="506"/>
      <c r="I819" s="506"/>
      <c r="J819" s="506"/>
      <c r="K819" s="507"/>
      <c r="L819" s="508"/>
      <c r="M819" s="508"/>
      <c r="N819" s="508"/>
      <c r="O819" s="509"/>
      <c r="P819" s="509"/>
    </row>
    <row r="820" spans="1:16" ht="21.75" customHeight="1" x14ac:dyDescent="0.3">
      <c r="A820" s="504"/>
      <c r="B820" s="504"/>
      <c r="C820" s="504"/>
      <c r="D820" s="504"/>
      <c r="E820" s="506"/>
      <c r="F820" s="506"/>
      <c r="G820" s="506"/>
      <c r="H820" s="506"/>
      <c r="I820" s="506"/>
      <c r="J820" s="506"/>
      <c r="K820" s="507"/>
      <c r="L820" s="508"/>
      <c r="M820" s="508"/>
      <c r="N820" s="508"/>
      <c r="O820" s="509"/>
      <c r="P820" s="509"/>
    </row>
    <row r="821" spans="1:16" ht="21.75" customHeight="1" x14ac:dyDescent="0.3">
      <c r="A821" s="504"/>
      <c r="B821" s="504"/>
      <c r="C821" s="504"/>
      <c r="D821" s="504"/>
      <c r="E821" s="506"/>
      <c r="F821" s="506"/>
      <c r="G821" s="506"/>
      <c r="H821" s="506"/>
      <c r="I821" s="506"/>
      <c r="J821" s="506"/>
      <c r="K821" s="507"/>
      <c r="L821" s="508"/>
      <c r="M821" s="508"/>
      <c r="N821" s="508"/>
      <c r="O821" s="509"/>
      <c r="P821" s="509"/>
    </row>
    <row r="822" spans="1:16" ht="21.75" customHeight="1" x14ac:dyDescent="0.3">
      <c r="A822" s="504"/>
      <c r="B822" s="504"/>
      <c r="C822" s="504"/>
      <c r="D822" s="504"/>
      <c r="E822" s="506"/>
      <c r="F822" s="506"/>
      <c r="G822" s="506"/>
      <c r="H822" s="506"/>
      <c r="I822" s="506"/>
      <c r="J822" s="506"/>
      <c r="K822" s="507"/>
      <c r="L822" s="508"/>
      <c r="M822" s="508"/>
      <c r="N822" s="508"/>
      <c r="O822" s="509"/>
      <c r="P822" s="509"/>
    </row>
    <row r="823" spans="1:16" ht="21.75" customHeight="1" x14ac:dyDescent="0.3">
      <c r="A823" s="504"/>
      <c r="B823" s="504"/>
      <c r="C823" s="504"/>
      <c r="D823" s="504"/>
      <c r="E823" s="506"/>
      <c r="F823" s="506"/>
      <c r="G823" s="506"/>
      <c r="H823" s="506"/>
      <c r="I823" s="506"/>
      <c r="J823" s="506"/>
      <c r="K823" s="507"/>
      <c r="L823" s="508"/>
      <c r="M823" s="508"/>
      <c r="N823" s="508"/>
      <c r="O823" s="509"/>
      <c r="P823" s="509"/>
    </row>
    <row r="824" spans="1:16" ht="21.75" customHeight="1" x14ac:dyDescent="0.3">
      <c r="A824" s="504"/>
      <c r="B824" s="504"/>
      <c r="C824" s="504"/>
      <c r="D824" s="504"/>
      <c r="E824" s="506"/>
      <c r="F824" s="506"/>
      <c r="G824" s="506"/>
      <c r="H824" s="506"/>
      <c r="I824" s="506"/>
      <c r="J824" s="506"/>
      <c r="K824" s="507"/>
      <c r="L824" s="508"/>
      <c r="M824" s="508"/>
      <c r="N824" s="508"/>
      <c r="O824" s="509"/>
      <c r="P824" s="509"/>
    </row>
    <row r="825" spans="1:16" ht="21.75" customHeight="1" x14ac:dyDescent="0.3">
      <c r="A825" s="504"/>
      <c r="B825" s="504"/>
      <c r="C825" s="504"/>
      <c r="D825" s="504"/>
      <c r="E825" s="506"/>
      <c r="F825" s="506"/>
      <c r="G825" s="506"/>
      <c r="H825" s="506"/>
      <c r="I825" s="506"/>
      <c r="J825" s="506"/>
      <c r="K825" s="507"/>
      <c r="L825" s="508"/>
      <c r="M825" s="508"/>
      <c r="N825" s="508"/>
      <c r="O825" s="509"/>
      <c r="P825" s="509"/>
    </row>
    <row r="826" spans="1:16" ht="21.75" customHeight="1" x14ac:dyDescent="0.3">
      <c r="A826" s="504"/>
      <c r="B826" s="504"/>
      <c r="C826" s="504"/>
      <c r="D826" s="504"/>
      <c r="E826" s="506"/>
      <c r="F826" s="506"/>
      <c r="G826" s="506"/>
      <c r="H826" s="506"/>
      <c r="I826" s="506"/>
      <c r="J826" s="506"/>
      <c r="K826" s="507"/>
      <c r="L826" s="508"/>
      <c r="M826" s="508"/>
      <c r="N826" s="508"/>
      <c r="O826" s="509"/>
      <c r="P826" s="509"/>
    </row>
    <row r="827" spans="1:16" ht="21.75" customHeight="1" x14ac:dyDescent="0.3">
      <c r="A827" s="504"/>
      <c r="B827" s="504"/>
      <c r="C827" s="504"/>
      <c r="D827" s="504"/>
      <c r="E827" s="506"/>
      <c r="F827" s="506"/>
      <c r="G827" s="506"/>
      <c r="H827" s="506"/>
      <c r="I827" s="506"/>
      <c r="J827" s="506"/>
      <c r="K827" s="507"/>
      <c r="L827" s="508"/>
      <c r="M827" s="508"/>
      <c r="N827" s="508"/>
      <c r="O827" s="509"/>
      <c r="P827" s="509"/>
    </row>
    <row r="828" spans="1:16" ht="21.75" customHeight="1" x14ac:dyDescent="0.3">
      <c r="A828" s="504"/>
      <c r="B828" s="504"/>
      <c r="C828" s="504"/>
      <c r="D828" s="504"/>
      <c r="E828" s="506"/>
      <c r="F828" s="506"/>
      <c r="G828" s="506"/>
      <c r="H828" s="506"/>
      <c r="I828" s="506"/>
      <c r="J828" s="506"/>
      <c r="K828" s="507"/>
      <c r="L828" s="508"/>
      <c r="M828" s="508"/>
      <c r="N828" s="508"/>
      <c r="O828" s="509"/>
      <c r="P828" s="509"/>
    </row>
    <row r="829" spans="1:16" ht="21.75" customHeight="1" x14ac:dyDescent="0.3">
      <c r="A829" s="504"/>
      <c r="B829" s="504"/>
      <c r="C829" s="504"/>
      <c r="D829" s="504"/>
      <c r="E829" s="506"/>
      <c r="F829" s="506"/>
      <c r="G829" s="506"/>
      <c r="H829" s="506"/>
      <c r="I829" s="506"/>
      <c r="J829" s="506"/>
      <c r="K829" s="507"/>
      <c r="L829" s="508"/>
      <c r="M829" s="508"/>
      <c r="N829" s="508"/>
      <c r="O829" s="509"/>
      <c r="P829" s="509"/>
    </row>
    <row r="830" spans="1:16" ht="21.75" customHeight="1" x14ac:dyDescent="0.3">
      <c r="A830" s="504"/>
      <c r="B830" s="504"/>
      <c r="C830" s="504"/>
      <c r="D830" s="504"/>
      <c r="E830" s="506"/>
      <c r="F830" s="506"/>
      <c r="G830" s="506"/>
      <c r="H830" s="506"/>
      <c r="I830" s="506"/>
      <c r="J830" s="506"/>
      <c r="K830" s="507"/>
      <c r="L830" s="508"/>
      <c r="M830" s="508"/>
      <c r="N830" s="508"/>
      <c r="O830" s="509"/>
      <c r="P830" s="509"/>
    </row>
    <row r="831" spans="1:16" ht="21.75" customHeight="1" x14ac:dyDescent="0.3">
      <c r="A831" s="504"/>
      <c r="B831" s="504"/>
      <c r="C831" s="504"/>
      <c r="D831" s="504"/>
      <c r="E831" s="506"/>
      <c r="F831" s="506"/>
      <c r="G831" s="506"/>
      <c r="H831" s="506"/>
      <c r="I831" s="506"/>
      <c r="J831" s="506"/>
      <c r="K831" s="507"/>
      <c r="L831" s="508"/>
      <c r="M831" s="508"/>
      <c r="N831" s="508"/>
      <c r="O831" s="509"/>
      <c r="P831" s="509"/>
    </row>
    <row r="832" spans="1:16" ht="21.75" customHeight="1" x14ac:dyDescent="0.3">
      <c r="A832" s="504"/>
      <c r="B832" s="504"/>
      <c r="C832" s="504"/>
      <c r="D832" s="504"/>
      <c r="E832" s="506"/>
      <c r="F832" s="506"/>
      <c r="G832" s="506"/>
      <c r="H832" s="506"/>
      <c r="I832" s="506"/>
      <c r="J832" s="506"/>
      <c r="K832" s="507"/>
      <c r="L832" s="508"/>
      <c r="M832" s="508"/>
      <c r="N832" s="508"/>
      <c r="O832" s="509"/>
      <c r="P832" s="509"/>
    </row>
    <row r="833" spans="1:16" ht="21.75" customHeight="1" x14ac:dyDescent="0.3">
      <c r="A833" s="504"/>
      <c r="B833" s="504"/>
      <c r="C833" s="504"/>
      <c r="D833" s="504"/>
      <c r="E833" s="506"/>
      <c r="F833" s="506"/>
      <c r="G833" s="506"/>
      <c r="H833" s="506"/>
      <c r="I833" s="506"/>
      <c r="J833" s="506"/>
      <c r="K833" s="507"/>
      <c r="L833" s="508"/>
      <c r="M833" s="508"/>
      <c r="N833" s="508"/>
      <c r="O833" s="509"/>
      <c r="P833" s="509"/>
    </row>
    <row r="834" spans="1:16" ht="21.75" customHeight="1" x14ac:dyDescent="0.3">
      <c r="A834" s="504"/>
      <c r="B834" s="504"/>
      <c r="C834" s="504"/>
      <c r="D834" s="504"/>
      <c r="E834" s="506"/>
      <c r="F834" s="506"/>
      <c r="G834" s="506"/>
      <c r="H834" s="506"/>
      <c r="I834" s="506"/>
      <c r="J834" s="506"/>
      <c r="K834" s="507"/>
      <c r="L834" s="508"/>
      <c r="M834" s="508"/>
      <c r="N834" s="508"/>
      <c r="O834" s="509"/>
      <c r="P834" s="509"/>
    </row>
    <row r="835" spans="1:16" ht="21.75" customHeight="1" x14ac:dyDescent="0.3">
      <c r="A835" s="504"/>
      <c r="B835" s="504"/>
      <c r="C835" s="504"/>
      <c r="D835" s="504"/>
      <c r="E835" s="506"/>
      <c r="F835" s="506"/>
      <c r="G835" s="506"/>
      <c r="H835" s="506"/>
      <c r="I835" s="506"/>
      <c r="J835" s="506"/>
      <c r="K835" s="507"/>
      <c r="L835" s="508"/>
      <c r="M835" s="508"/>
      <c r="N835" s="508"/>
      <c r="O835" s="509"/>
      <c r="P835" s="509"/>
    </row>
    <row r="836" spans="1:16" ht="21.75" customHeight="1" x14ac:dyDescent="0.3">
      <c r="A836" s="504"/>
      <c r="B836" s="504"/>
      <c r="C836" s="504"/>
      <c r="D836" s="504"/>
      <c r="E836" s="506"/>
      <c r="F836" s="506"/>
      <c r="G836" s="506"/>
      <c r="H836" s="506"/>
      <c r="I836" s="506"/>
      <c r="J836" s="506"/>
      <c r="K836" s="507"/>
      <c r="L836" s="508"/>
      <c r="M836" s="508"/>
      <c r="N836" s="508"/>
      <c r="O836" s="509"/>
      <c r="P836" s="509"/>
    </row>
    <row r="837" spans="1:16" ht="21.75" customHeight="1" x14ac:dyDescent="0.3">
      <c r="A837" s="504"/>
      <c r="B837" s="504"/>
      <c r="C837" s="504"/>
      <c r="D837" s="504"/>
      <c r="E837" s="506"/>
      <c r="F837" s="506"/>
      <c r="G837" s="506"/>
      <c r="H837" s="506"/>
      <c r="I837" s="506"/>
      <c r="J837" s="506"/>
      <c r="K837" s="507"/>
      <c r="L837" s="508"/>
      <c r="M837" s="508"/>
      <c r="N837" s="508"/>
      <c r="O837" s="509"/>
      <c r="P837" s="509"/>
    </row>
    <row r="838" spans="1:16" ht="21.75" customHeight="1" x14ac:dyDescent="0.3">
      <c r="A838" s="504"/>
      <c r="B838" s="504"/>
      <c r="C838" s="504"/>
      <c r="D838" s="504"/>
      <c r="E838" s="506"/>
      <c r="F838" s="506"/>
      <c r="G838" s="506"/>
      <c r="H838" s="506"/>
      <c r="I838" s="506"/>
      <c r="J838" s="506"/>
      <c r="K838" s="507"/>
      <c r="L838" s="508"/>
      <c r="M838" s="508"/>
      <c r="N838" s="508"/>
      <c r="O838" s="509"/>
      <c r="P838" s="509"/>
    </row>
    <row r="839" spans="1:16" ht="21.75" customHeight="1" x14ac:dyDescent="0.3">
      <c r="A839" s="504"/>
      <c r="B839" s="504"/>
      <c r="C839" s="504"/>
      <c r="D839" s="504"/>
      <c r="E839" s="506"/>
      <c r="F839" s="506"/>
      <c r="G839" s="506"/>
      <c r="H839" s="506"/>
      <c r="I839" s="506"/>
      <c r="J839" s="506"/>
      <c r="K839" s="507"/>
      <c r="L839" s="508"/>
      <c r="M839" s="508"/>
      <c r="N839" s="508"/>
      <c r="O839" s="509"/>
      <c r="P839" s="509"/>
    </row>
    <row r="840" spans="1:16" ht="21.75" customHeight="1" x14ac:dyDescent="0.3">
      <c r="A840" s="504"/>
      <c r="B840" s="504"/>
      <c r="C840" s="504"/>
      <c r="D840" s="504"/>
      <c r="E840" s="506"/>
      <c r="F840" s="506"/>
      <c r="G840" s="506"/>
      <c r="H840" s="506"/>
      <c r="I840" s="506"/>
      <c r="J840" s="506"/>
      <c r="K840" s="507"/>
      <c r="L840" s="508"/>
      <c r="M840" s="508"/>
      <c r="N840" s="508"/>
      <c r="O840" s="509"/>
      <c r="P840" s="509"/>
    </row>
    <row r="841" spans="1:16" ht="21.75" customHeight="1" x14ac:dyDescent="0.3">
      <c r="A841" s="504"/>
      <c r="B841" s="504"/>
      <c r="C841" s="504"/>
      <c r="D841" s="504"/>
      <c r="E841" s="506"/>
      <c r="F841" s="506"/>
      <c r="G841" s="506"/>
      <c r="H841" s="506"/>
      <c r="I841" s="506"/>
      <c r="J841" s="506"/>
      <c r="K841" s="507"/>
      <c r="L841" s="508"/>
      <c r="M841" s="508"/>
      <c r="N841" s="508"/>
      <c r="O841" s="509"/>
      <c r="P841" s="509"/>
    </row>
    <row r="842" spans="1:16" ht="21.75" customHeight="1" x14ac:dyDescent="0.3">
      <c r="A842" s="504"/>
      <c r="B842" s="504"/>
      <c r="C842" s="504"/>
      <c r="D842" s="504"/>
      <c r="E842" s="506"/>
      <c r="F842" s="506"/>
      <c r="G842" s="506"/>
      <c r="H842" s="506"/>
      <c r="I842" s="506"/>
      <c r="J842" s="506"/>
      <c r="K842" s="507"/>
      <c r="L842" s="508"/>
      <c r="M842" s="508"/>
      <c r="N842" s="508"/>
      <c r="O842" s="509"/>
      <c r="P842" s="509"/>
    </row>
    <row r="843" spans="1:16" ht="21.75" customHeight="1" x14ac:dyDescent="0.3">
      <c r="A843" s="504"/>
      <c r="B843" s="504"/>
      <c r="C843" s="504"/>
      <c r="D843" s="504"/>
      <c r="E843" s="506"/>
      <c r="F843" s="506"/>
      <c r="G843" s="506"/>
      <c r="H843" s="506"/>
      <c r="I843" s="506"/>
      <c r="J843" s="506"/>
      <c r="K843" s="507"/>
      <c r="L843" s="508"/>
      <c r="M843" s="508"/>
      <c r="N843" s="508"/>
      <c r="O843" s="509"/>
      <c r="P843" s="509"/>
    </row>
    <row r="844" spans="1:16" ht="21.75" customHeight="1" x14ac:dyDescent="0.3">
      <c r="A844" s="504"/>
      <c r="B844" s="504"/>
      <c r="C844" s="504"/>
      <c r="D844" s="504"/>
      <c r="E844" s="506"/>
      <c r="F844" s="506"/>
      <c r="G844" s="506"/>
      <c r="H844" s="506"/>
      <c r="I844" s="506"/>
      <c r="J844" s="506"/>
      <c r="K844" s="507"/>
      <c r="L844" s="508"/>
      <c r="M844" s="508"/>
      <c r="N844" s="508"/>
      <c r="O844" s="509"/>
      <c r="P844" s="509"/>
    </row>
    <row r="845" spans="1:16" ht="21.75" customHeight="1" x14ac:dyDescent="0.3">
      <c r="A845" s="504"/>
      <c r="B845" s="504"/>
      <c r="C845" s="504"/>
      <c r="D845" s="504"/>
      <c r="E845" s="506"/>
      <c r="F845" s="506"/>
      <c r="G845" s="506"/>
      <c r="H845" s="506"/>
      <c r="I845" s="506"/>
      <c r="J845" s="506"/>
      <c r="K845" s="507"/>
      <c r="L845" s="508"/>
      <c r="M845" s="508"/>
      <c r="N845" s="508"/>
      <c r="O845" s="509"/>
      <c r="P845" s="509"/>
    </row>
    <row r="846" spans="1:16" ht="21.75" customHeight="1" x14ac:dyDescent="0.3">
      <c r="A846" s="504"/>
      <c r="B846" s="504"/>
      <c r="C846" s="504"/>
      <c r="D846" s="504"/>
      <c r="E846" s="506"/>
      <c r="F846" s="506"/>
      <c r="G846" s="506"/>
      <c r="H846" s="506"/>
      <c r="I846" s="506"/>
      <c r="J846" s="506"/>
      <c r="K846" s="507"/>
      <c r="L846" s="508"/>
      <c r="M846" s="508"/>
      <c r="N846" s="508"/>
      <c r="O846" s="509"/>
      <c r="P846" s="509"/>
    </row>
    <row r="847" spans="1:16" ht="21.75" customHeight="1" x14ac:dyDescent="0.3">
      <c r="A847" s="504"/>
      <c r="B847" s="504"/>
      <c r="C847" s="504"/>
      <c r="D847" s="504"/>
      <c r="E847" s="506"/>
      <c r="F847" s="506"/>
      <c r="G847" s="506"/>
      <c r="H847" s="506"/>
      <c r="I847" s="506"/>
      <c r="J847" s="506"/>
      <c r="K847" s="507"/>
      <c r="L847" s="508"/>
      <c r="M847" s="508"/>
      <c r="N847" s="508"/>
      <c r="O847" s="509"/>
      <c r="P847" s="509"/>
    </row>
    <row r="848" spans="1:16" ht="21.75" customHeight="1" x14ac:dyDescent="0.3">
      <c r="A848" s="504"/>
      <c r="B848" s="504"/>
      <c r="C848" s="504"/>
      <c r="D848" s="504"/>
      <c r="E848" s="506"/>
      <c r="F848" s="506"/>
      <c r="G848" s="506"/>
      <c r="H848" s="506"/>
      <c r="I848" s="506"/>
      <c r="J848" s="506"/>
      <c r="K848" s="507"/>
      <c r="L848" s="508"/>
      <c r="M848" s="508"/>
      <c r="N848" s="508"/>
      <c r="O848" s="509"/>
      <c r="P848" s="509"/>
    </row>
    <row r="849" spans="1:16" ht="21.75" customHeight="1" x14ac:dyDescent="0.3">
      <c r="A849" s="504"/>
      <c r="B849" s="504"/>
      <c r="C849" s="504"/>
      <c r="D849" s="504"/>
      <c r="E849" s="506"/>
      <c r="F849" s="506"/>
      <c r="G849" s="506"/>
      <c r="H849" s="506"/>
      <c r="I849" s="506"/>
      <c r="J849" s="506"/>
      <c r="K849" s="507"/>
      <c r="L849" s="508"/>
      <c r="M849" s="508"/>
      <c r="N849" s="508"/>
      <c r="O849" s="509"/>
      <c r="P849" s="509"/>
    </row>
    <row r="850" spans="1:16" ht="21.75" customHeight="1" x14ac:dyDescent="0.3">
      <c r="A850" s="504"/>
      <c r="B850" s="504"/>
      <c r="C850" s="504"/>
      <c r="D850" s="504"/>
      <c r="E850" s="506"/>
      <c r="F850" s="506"/>
      <c r="G850" s="506"/>
      <c r="H850" s="506"/>
      <c r="I850" s="506"/>
      <c r="J850" s="506"/>
      <c r="K850" s="507"/>
      <c r="L850" s="508"/>
      <c r="M850" s="508"/>
      <c r="N850" s="508"/>
      <c r="O850" s="509"/>
      <c r="P850" s="509"/>
    </row>
    <row r="851" spans="1:16" ht="21.75" customHeight="1" x14ac:dyDescent="0.3">
      <c r="A851" s="504"/>
      <c r="B851" s="504"/>
      <c r="C851" s="504"/>
      <c r="D851" s="504"/>
      <c r="E851" s="506"/>
      <c r="F851" s="506"/>
      <c r="G851" s="506"/>
      <c r="H851" s="506"/>
      <c r="I851" s="506"/>
      <c r="J851" s="506"/>
      <c r="K851" s="507"/>
      <c r="L851" s="508"/>
      <c r="M851" s="508"/>
      <c r="N851" s="508"/>
      <c r="O851" s="509"/>
      <c r="P851" s="509"/>
    </row>
    <row r="852" spans="1:16" ht="21.75" customHeight="1" x14ac:dyDescent="0.3">
      <c r="A852" s="504"/>
      <c r="B852" s="504"/>
      <c r="C852" s="504"/>
      <c r="D852" s="504"/>
      <c r="E852" s="506"/>
      <c r="F852" s="506"/>
      <c r="G852" s="506"/>
      <c r="H852" s="506"/>
      <c r="I852" s="506"/>
      <c r="J852" s="506"/>
      <c r="K852" s="507"/>
      <c r="L852" s="508"/>
      <c r="M852" s="508"/>
      <c r="N852" s="508"/>
      <c r="O852" s="509"/>
      <c r="P852" s="509"/>
    </row>
    <row r="853" spans="1:16" ht="21.75" customHeight="1" x14ac:dyDescent="0.3">
      <c r="A853" s="504"/>
      <c r="B853" s="504"/>
      <c r="C853" s="504"/>
      <c r="D853" s="504"/>
      <c r="E853" s="506"/>
      <c r="F853" s="506"/>
      <c r="G853" s="506"/>
      <c r="H853" s="506"/>
      <c r="I853" s="506"/>
      <c r="J853" s="506"/>
      <c r="K853" s="507"/>
      <c r="L853" s="508"/>
      <c r="M853" s="508"/>
      <c r="N853" s="508"/>
      <c r="O853" s="509"/>
      <c r="P853" s="509"/>
    </row>
    <row r="854" spans="1:16" ht="21.75" customHeight="1" x14ac:dyDescent="0.3">
      <c r="A854" s="504"/>
      <c r="B854" s="504"/>
      <c r="C854" s="504"/>
      <c r="D854" s="504"/>
      <c r="E854" s="506"/>
      <c r="F854" s="506"/>
      <c r="G854" s="506"/>
      <c r="H854" s="506"/>
      <c r="I854" s="506"/>
      <c r="J854" s="506"/>
      <c r="K854" s="507"/>
      <c r="L854" s="508"/>
      <c r="M854" s="508"/>
      <c r="N854" s="508"/>
      <c r="O854" s="509"/>
      <c r="P854" s="509"/>
    </row>
    <row r="855" spans="1:16" ht="21.75" customHeight="1" x14ac:dyDescent="0.3">
      <c r="A855" s="504"/>
      <c r="B855" s="504"/>
      <c r="C855" s="504"/>
      <c r="D855" s="504"/>
      <c r="E855" s="506"/>
      <c r="F855" s="506"/>
      <c r="G855" s="506"/>
      <c r="H855" s="506"/>
      <c r="I855" s="506"/>
      <c r="J855" s="506"/>
      <c r="K855" s="507"/>
      <c r="L855" s="508"/>
      <c r="M855" s="508"/>
      <c r="N855" s="508"/>
      <c r="O855" s="509"/>
      <c r="P855" s="509"/>
    </row>
    <row r="856" spans="1:16" ht="21.75" customHeight="1" x14ac:dyDescent="0.3">
      <c r="A856" s="504"/>
      <c r="B856" s="504"/>
      <c r="C856" s="504"/>
      <c r="D856" s="504"/>
      <c r="E856" s="506"/>
      <c r="F856" s="506"/>
      <c r="G856" s="506"/>
      <c r="H856" s="506"/>
      <c r="I856" s="506"/>
      <c r="J856" s="506"/>
      <c r="K856" s="507"/>
      <c r="L856" s="508"/>
      <c r="M856" s="508"/>
      <c r="N856" s="508"/>
      <c r="O856" s="509"/>
      <c r="P856" s="509"/>
    </row>
    <row r="857" spans="1:16" ht="21.75" customHeight="1" x14ac:dyDescent="0.3">
      <c r="A857" s="504"/>
      <c r="B857" s="504"/>
      <c r="C857" s="504"/>
      <c r="D857" s="504"/>
      <c r="E857" s="506"/>
      <c r="F857" s="506"/>
      <c r="G857" s="506"/>
      <c r="H857" s="506"/>
      <c r="I857" s="506"/>
      <c r="J857" s="506"/>
      <c r="K857" s="507"/>
      <c r="L857" s="508"/>
      <c r="M857" s="508"/>
      <c r="N857" s="508"/>
      <c r="O857" s="509"/>
      <c r="P857" s="509"/>
    </row>
    <row r="858" spans="1:16" ht="21.75" customHeight="1" x14ac:dyDescent="0.3">
      <c r="A858" s="504"/>
      <c r="B858" s="504"/>
      <c r="C858" s="504"/>
      <c r="D858" s="504"/>
      <c r="E858" s="506"/>
      <c r="F858" s="506"/>
      <c r="G858" s="506"/>
      <c r="H858" s="506"/>
      <c r="I858" s="506"/>
      <c r="J858" s="506"/>
      <c r="K858" s="507"/>
      <c r="L858" s="508"/>
      <c r="M858" s="508"/>
      <c r="N858" s="508"/>
      <c r="O858" s="509"/>
      <c r="P858" s="509"/>
    </row>
    <row r="859" spans="1:16" ht="21.75" customHeight="1" x14ac:dyDescent="0.3">
      <c r="A859" s="504"/>
      <c r="B859" s="504"/>
      <c r="C859" s="504"/>
      <c r="D859" s="504"/>
      <c r="E859" s="506"/>
      <c r="F859" s="506"/>
      <c r="G859" s="506"/>
      <c r="H859" s="506"/>
      <c r="I859" s="506"/>
      <c r="J859" s="506"/>
      <c r="K859" s="507"/>
      <c r="L859" s="508"/>
      <c r="M859" s="508"/>
      <c r="N859" s="508"/>
      <c r="O859" s="509"/>
      <c r="P859" s="509"/>
    </row>
    <row r="860" spans="1:16" ht="21.75" customHeight="1" x14ac:dyDescent="0.3">
      <c r="A860" s="504"/>
      <c r="B860" s="504"/>
      <c r="C860" s="504"/>
      <c r="D860" s="504"/>
      <c r="E860" s="506"/>
      <c r="F860" s="506"/>
      <c r="G860" s="506"/>
      <c r="H860" s="506"/>
      <c r="I860" s="506"/>
      <c r="J860" s="506"/>
      <c r="K860" s="507"/>
      <c r="L860" s="508"/>
      <c r="M860" s="508"/>
      <c r="N860" s="508"/>
      <c r="O860" s="509"/>
      <c r="P860" s="509"/>
    </row>
    <row r="861" spans="1:16" ht="21.75" customHeight="1" x14ac:dyDescent="0.3">
      <c r="A861" s="504"/>
      <c r="B861" s="504"/>
      <c r="C861" s="504"/>
      <c r="D861" s="504"/>
      <c r="E861" s="506"/>
      <c r="F861" s="506"/>
      <c r="G861" s="506"/>
      <c r="H861" s="506"/>
      <c r="I861" s="506"/>
      <c r="J861" s="506"/>
      <c r="K861" s="507"/>
      <c r="L861" s="508"/>
      <c r="M861" s="508"/>
      <c r="N861" s="508"/>
      <c r="O861" s="509"/>
      <c r="P861" s="509"/>
    </row>
    <row r="862" spans="1:16" ht="21.75" customHeight="1" x14ac:dyDescent="0.3">
      <c r="A862" s="504"/>
      <c r="B862" s="504"/>
      <c r="C862" s="504"/>
      <c r="D862" s="504"/>
      <c r="E862" s="506"/>
      <c r="F862" s="506"/>
      <c r="G862" s="506"/>
      <c r="H862" s="506"/>
      <c r="I862" s="506"/>
      <c r="J862" s="506"/>
      <c r="K862" s="507"/>
      <c r="L862" s="508"/>
      <c r="M862" s="508"/>
      <c r="N862" s="508"/>
      <c r="O862" s="509"/>
      <c r="P862" s="509"/>
    </row>
    <row r="863" spans="1:16" ht="21.75" customHeight="1" x14ac:dyDescent="0.3">
      <c r="A863" s="504"/>
      <c r="B863" s="504"/>
      <c r="C863" s="504"/>
      <c r="D863" s="504"/>
      <c r="E863" s="506"/>
      <c r="F863" s="506"/>
      <c r="G863" s="506"/>
      <c r="H863" s="506"/>
      <c r="I863" s="506"/>
      <c r="J863" s="506"/>
      <c r="K863" s="507"/>
      <c r="L863" s="508"/>
      <c r="M863" s="508"/>
      <c r="N863" s="508"/>
      <c r="O863" s="509"/>
      <c r="P863" s="509"/>
    </row>
    <row r="864" spans="1:16" ht="21.75" customHeight="1" x14ac:dyDescent="0.3">
      <c r="A864" s="504"/>
      <c r="B864" s="504"/>
      <c r="C864" s="504"/>
      <c r="D864" s="504"/>
      <c r="E864" s="506"/>
      <c r="F864" s="506"/>
      <c r="G864" s="506"/>
      <c r="H864" s="506"/>
      <c r="I864" s="506"/>
      <c r="J864" s="506"/>
      <c r="K864" s="507"/>
      <c r="L864" s="508"/>
      <c r="M864" s="508"/>
      <c r="N864" s="508"/>
      <c r="O864" s="509"/>
      <c r="P864" s="509"/>
    </row>
    <row r="865" spans="1:16" ht="21.75" customHeight="1" x14ac:dyDescent="0.3">
      <c r="A865" s="504"/>
      <c r="B865" s="504"/>
      <c r="C865" s="504"/>
      <c r="D865" s="504"/>
      <c r="E865" s="506"/>
      <c r="F865" s="506"/>
      <c r="G865" s="506"/>
      <c r="H865" s="506"/>
      <c r="I865" s="506"/>
      <c r="J865" s="506"/>
      <c r="K865" s="507"/>
      <c r="L865" s="508"/>
      <c r="M865" s="508"/>
      <c r="N865" s="508"/>
      <c r="O865" s="509"/>
      <c r="P865" s="509"/>
    </row>
    <row r="866" spans="1:16" ht="21.75" customHeight="1" x14ac:dyDescent="0.3">
      <c r="A866" s="504"/>
      <c r="B866" s="504"/>
      <c r="C866" s="504"/>
      <c r="D866" s="504"/>
      <c r="E866" s="506"/>
      <c r="F866" s="506"/>
      <c r="G866" s="506"/>
      <c r="H866" s="506"/>
      <c r="I866" s="506"/>
      <c r="J866" s="506"/>
      <c r="K866" s="507"/>
      <c r="L866" s="508"/>
      <c r="M866" s="508"/>
      <c r="N866" s="508"/>
      <c r="O866" s="509"/>
      <c r="P866" s="509"/>
    </row>
    <row r="867" spans="1:16" ht="21.75" customHeight="1" x14ac:dyDescent="0.3">
      <c r="A867" s="504"/>
      <c r="B867" s="504"/>
      <c r="C867" s="504"/>
      <c r="D867" s="504"/>
      <c r="E867" s="506"/>
      <c r="F867" s="506"/>
      <c r="G867" s="506"/>
      <c r="H867" s="506"/>
      <c r="I867" s="506"/>
      <c r="J867" s="506"/>
      <c r="K867" s="507"/>
      <c r="L867" s="508"/>
      <c r="M867" s="508"/>
      <c r="N867" s="508"/>
      <c r="O867" s="509"/>
      <c r="P867" s="509"/>
    </row>
    <row r="868" spans="1:16" ht="21.75" customHeight="1" x14ac:dyDescent="0.3">
      <c r="A868" s="504"/>
      <c r="B868" s="504"/>
      <c r="C868" s="504"/>
      <c r="D868" s="504"/>
      <c r="E868" s="506"/>
      <c r="F868" s="506"/>
      <c r="G868" s="506"/>
      <c r="H868" s="506"/>
      <c r="I868" s="506"/>
      <c r="J868" s="506"/>
      <c r="K868" s="507"/>
      <c r="L868" s="508"/>
      <c r="M868" s="508"/>
      <c r="N868" s="508"/>
      <c r="O868" s="509"/>
      <c r="P868" s="509"/>
    </row>
    <row r="869" spans="1:16" ht="21.75" customHeight="1" x14ac:dyDescent="0.3">
      <c r="A869" s="504"/>
      <c r="B869" s="504"/>
      <c r="C869" s="504"/>
      <c r="D869" s="504"/>
      <c r="E869" s="506"/>
      <c r="F869" s="506"/>
      <c r="G869" s="506"/>
      <c r="H869" s="506"/>
      <c r="I869" s="506"/>
      <c r="J869" s="506"/>
      <c r="K869" s="507"/>
      <c r="L869" s="508"/>
      <c r="M869" s="508"/>
      <c r="N869" s="508"/>
      <c r="O869" s="509"/>
      <c r="P869" s="509"/>
    </row>
    <row r="870" spans="1:16" ht="21.75" customHeight="1" x14ac:dyDescent="0.3">
      <c r="A870" s="504"/>
      <c r="B870" s="504"/>
      <c r="C870" s="504"/>
      <c r="D870" s="504"/>
      <c r="E870" s="506"/>
      <c r="F870" s="506"/>
      <c r="G870" s="506"/>
      <c r="H870" s="506"/>
      <c r="I870" s="506"/>
      <c r="J870" s="506"/>
      <c r="K870" s="507"/>
      <c r="L870" s="508"/>
      <c r="M870" s="508"/>
      <c r="N870" s="508"/>
      <c r="O870" s="509"/>
      <c r="P870" s="509"/>
    </row>
    <row r="871" spans="1:16" ht="21.75" customHeight="1" x14ac:dyDescent="0.3">
      <c r="A871" s="504"/>
      <c r="B871" s="504"/>
      <c r="C871" s="504"/>
      <c r="D871" s="504"/>
      <c r="E871" s="506"/>
      <c r="F871" s="506"/>
      <c r="G871" s="506"/>
      <c r="H871" s="506"/>
      <c r="I871" s="506"/>
      <c r="J871" s="506"/>
      <c r="K871" s="507"/>
      <c r="L871" s="508"/>
      <c r="M871" s="508"/>
      <c r="N871" s="508"/>
      <c r="O871" s="509"/>
      <c r="P871" s="509"/>
    </row>
    <row r="872" spans="1:16" ht="21.75" customHeight="1" x14ac:dyDescent="0.3">
      <c r="A872" s="504"/>
      <c r="B872" s="504"/>
      <c r="C872" s="504"/>
      <c r="D872" s="504"/>
      <c r="E872" s="506"/>
      <c r="F872" s="506"/>
      <c r="G872" s="506"/>
      <c r="H872" s="506"/>
      <c r="I872" s="506"/>
      <c r="J872" s="506"/>
      <c r="K872" s="507"/>
      <c r="L872" s="508"/>
      <c r="M872" s="508"/>
      <c r="N872" s="508"/>
      <c r="O872" s="509"/>
      <c r="P872" s="509"/>
    </row>
    <row r="873" spans="1:16" ht="21.75" customHeight="1" x14ac:dyDescent="0.3">
      <c r="A873" s="504"/>
      <c r="B873" s="504"/>
      <c r="C873" s="504"/>
      <c r="D873" s="504"/>
      <c r="E873" s="506"/>
      <c r="F873" s="506"/>
      <c r="G873" s="506"/>
      <c r="H873" s="506"/>
      <c r="I873" s="506"/>
      <c r="J873" s="506"/>
      <c r="K873" s="507"/>
      <c r="L873" s="508"/>
      <c r="M873" s="508"/>
      <c r="N873" s="508"/>
      <c r="O873" s="509"/>
      <c r="P873" s="509"/>
    </row>
    <row r="874" spans="1:16" ht="21.75" customHeight="1" x14ac:dyDescent="0.3">
      <c r="A874" s="504"/>
      <c r="B874" s="504"/>
      <c r="C874" s="504"/>
      <c r="D874" s="504"/>
      <c r="E874" s="506"/>
      <c r="F874" s="506"/>
      <c r="G874" s="506"/>
      <c r="H874" s="506"/>
      <c r="I874" s="506"/>
      <c r="J874" s="506"/>
      <c r="K874" s="507"/>
      <c r="L874" s="508"/>
      <c r="M874" s="508"/>
      <c r="N874" s="508"/>
      <c r="O874" s="509"/>
      <c r="P874" s="509"/>
    </row>
    <row r="875" spans="1:16" ht="21.75" customHeight="1" x14ac:dyDescent="0.3">
      <c r="A875" s="504"/>
      <c r="B875" s="504"/>
      <c r="C875" s="504"/>
      <c r="D875" s="504"/>
      <c r="E875" s="506"/>
      <c r="F875" s="506"/>
      <c r="G875" s="506"/>
      <c r="H875" s="506"/>
      <c r="I875" s="506"/>
      <c r="J875" s="506"/>
      <c r="K875" s="507"/>
      <c r="L875" s="508"/>
      <c r="M875" s="508"/>
      <c r="N875" s="508"/>
      <c r="O875" s="509"/>
      <c r="P875" s="509"/>
    </row>
    <row r="876" spans="1:16" ht="21.75" customHeight="1" x14ac:dyDescent="0.3">
      <c r="A876" s="504"/>
      <c r="B876" s="504"/>
      <c r="C876" s="504"/>
      <c r="D876" s="504"/>
      <c r="E876" s="506"/>
      <c r="F876" s="506"/>
      <c r="G876" s="506"/>
      <c r="H876" s="506"/>
      <c r="I876" s="506"/>
      <c r="J876" s="506"/>
      <c r="K876" s="507"/>
      <c r="L876" s="508"/>
      <c r="M876" s="508"/>
      <c r="N876" s="508"/>
      <c r="O876" s="509"/>
      <c r="P876" s="509"/>
    </row>
    <row r="877" spans="1:16" ht="21.75" customHeight="1" x14ac:dyDescent="0.3">
      <c r="A877" s="504"/>
      <c r="B877" s="504"/>
      <c r="C877" s="504"/>
      <c r="D877" s="504"/>
      <c r="E877" s="506"/>
      <c r="F877" s="506"/>
      <c r="G877" s="506"/>
      <c r="H877" s="506"/>
      <c r="I877" s="506"/>
      <c r="J877" s="506"/>
      <c r="K877" s="507"/>
      <c r="L877" s="508"/>
      <c r="M877" s="508"/>
      <c r="N877" s="508"/>
      <c r="O877" s="509"/>
      <c r="P877" s="509"/>
    </row>
    <row r="878" spans="1:16" ht="21.75" customHeight="1" x14ac:dyDescent="0.3">
      <c r="A878" s="504"/>
      <c r="B878" s="504"/>
      <c r="C878" s="504"/>
      <c r="D878" s="504"/>
      <c r="E878" s="506"/>
      <c r="F878" s="506"/>
      <c r="G878" s="506"/>
      <c r="H878" s="506"/>
      <c r="I878" s="506"/>
      <c r="J878" s="506"/>
      <c r="K878" s="507"/>
      <c r="L878" s="508"/>
      <c r="M878" s="508"/>
      <c r="N878" s="508"/>
      <c r="O878" s="509"/>
      <c r="P878" s="509"/>
    </row>
    <row r="879" spans="1:16" ht="21.75" customHeight="1" x14ac:dyDescent="0.3">
      <c r="A879" s="504"/>
      <c r="B879" s="504"/>
      <c r="C879" s="504"/>
      <c r="D879" s="504"/>
      <c r="E879" s="506"/>
      <c r="F879" s="506"/>
      <c r="G879" s="506"/>
      <c r="H879" s="506"/>
      <c r="I879" s="506"/>
      <c r="J879" s="506"/>
      <c r="K879" s="507"/>
      <c r="L879" s="508"/>
      <c r="M879" s="508"/>
      <c r="N879" s="508"/>
      <c r="O879" s="509"/>
      <c r="P879" s="509"/>
    </row>
    <row r="880" spans="1:16" ht="21.75" customHeight="1" x14ac:dyDescent="0.3">
      <c r="A880" s="504"/>
      <c r="B880" s="504"/>
      <c r="C880" s="504"/>
      <c r="D880" s="504"/>
      <c r="E880" s="506"/>
      <c r="F880" s="506"/>
      <c r="G880" s="506"/>
      <c r="H880" s="506"/>
      <c r="I880" s="506"/>
      <c r="J880" s="506"/>
      <c r="K880" s="507"/>
      <c r="L880" s="508"/>
      <c r="M880" s="508"/>
      <c r="N880" s="508"/>
      <c r="O880" s="509"/>
      <c r="P880" s="509"/>
    </row>
    <row r="881" spans="1:16" ht="21.75" customHeight="1" x14ac:dyDescent="0.3">
      <c r="A881" s="504"/>
      <c r="B881" s="504"/>
      <c r="C881" s="504"/>
      <c r="D881" s="504"/>
      <c r="E881" s="506"/>
      <c r="F881" s="506"/>
      <c r="G881" s="506"/>
      <c r="H881" s="506"/>
      <c r="I881" s="506"/>
      <c r="J881" s="506"/>
      <c r="K881" s="507"/>
      <c r="L881" s="508"/>
      <c r="M881" s="508"/>
      <c r="N881" s="508"/>
      <c r="O881" s="509"/>
      <c r="P881" s="509"/>
    </row>
    <row r="882" spans="1:16" ht="21.75" customHeight="1" x14ac:dyDescent="0.3">
      <c r="A882" s="504"/>
      <c r="B882" s="504"/>
      <c r="C882" s="504"/>
      <c r="D882" s="504"/>
      <c r="E882" s="506"/>
      <c r="F882" s="506"/>
      <c r="G882" s="506"/>
      <c r="H882" s="506"/>
      <c r="I882" s="506"/>
      <c r="J882" s="506"/>
      <c r="K882" s="507"/>
      <c r="L882" s="508"/>
      <c r="M882" s="508"/>
      <c r="N882" s="508"/>
      <c r="O882" s="509"/>
      <c r="P882" s="509"/>
    </row>
    <row r="883" spans="1:16" ht="21.75" customHeight="1" x14ac:dyDescent="0.3">
      <c r="A883" s="504"/>
      <c r="B883" s="504"/>
      <c r="C883" s="504"/>
      <c r="D883" s="504"/>
      <c r="E883" s="506"/>
      <c r="F883" s="506"/>
      <c r="G883" s="506"/>
      <c r="H883" s="506"/>
      <c r="I883" s="506"/>
      <c r="J883" s="506"/>
      <c r="K883" s="507"/>
      <c r="L883" s="508"/>
      <c r="M883" s="508"/>
      <c r="N883" s="508"/>
      <c r="O883" s="509"/>
      <c r="P883" s="509"/>
    </row>
    <row r="884" spans="1:16" ht="21.75" customHeight="1" x14ac:dyDescent="0.3">
      <c r="A884" s="504"/>
      <c r="B884" s="504"/>
      <c r="C884" s="504"/>
      <c r="D884" s="504"/>
      <c r="E884" s="506"/>
      <c r="F884" s="506"/>
      <c r="G884" s="506"/>
      <c r="H884" s="506"/>
      <c r="I884" s="506"/>
      <c r="J884" s="506"/>
      <c r="K884" s="507"/>
      <c r="L884" s="508"/>
      <c r="M884" s="508"/>
      <c r="N884" s="508"/>
      <c r="O884" s="509"/>
      <c r="P884" s="509"/>
    </row>
    <row r="885" spans="1:16" ht="21.75" customHeight="1" x14ac:dyDescent="0.3">
      <c r="A885" s="504"/>
      <c r="B885" s="504"/>
      <c r="C885" s="504"/>
      <c r="D885" s="504"/>
      <c r="E885" s="506"/>
      <c r="F885" s="506"/>
      <c r="G885" s="506"/>
      <c r="H885" s="506"/>
      <c r="I885" s="506"/>
      <c r="J885" s="506"/>
      <c r="K885" s="507"/>
      <c r="L885" s="508"/>
      <c r="M885" s="508"/>
      <c r="N885" s="508"/>
      <c r="O885" s="509"/>
      <c r="P885" s="509"/>
    </row>
    <row r="886" spans="1:16" ht="21.75" customHeight="1" x14ac:dyDescent="0.3">
      <c r="A886" s="504"/>
      <c r="B886" s="504"/>
      <c r="C886" s="504"/>
      <c r="D886" s="504"/>
      <c r="E886" s="506"/>
      <c r="F886" s="506"/>
      <c r="G886" s="506"/>
      <c r="H886" s="506"/>
      <c r="I886" s="506"/>
      <c r="J886" s="506"/>
      <c r="K886" s="507"/>
      <c r="L886" s="508"/>
      <c r="M886" s="508"/>
      <c r="N886" s="508"/>
      <c r="O886" s="509"/>
      <c r="P886" s="509"/>
    </row>
    <row r="887" spans="1:16" ht="21.75" customHeight="1" x14ac:dyDescent="0.3">
      <c r="A887" s="504"/>
      <c r="B887" s="504"/>
      <c r="C887" s="504"/>
      <c r="D887" s="504"/>
      <c r="E887" s="506"/>
      <c r="F887" s="506"/>
      <c r="G887" s="506"/>
      <c r="H887" s="506"/>
      <c r="I887" s="506"/>
      <c r="J887" s="506"/>
      <c r="K887" s="507"/>
      <c r="L887" s="508"/>
      <c r="M887" s="508"/>
      <c r="N887" s="508"/>
      <c r="O887" s="509"/>
      <c r="P887" s="509"/>
    </row>
    <row r="888" spans="1:16" ht="21.75" customHeight="1" x14ac:dyDescent="0.3">
      <c r="A888" s="504"/>
      <c r="B888" s="504"/>
      <c r="C888" s="504"/>
      <c r="D888" s="504"/>
      <c r="E888" s="506"/>
      <c r="F888" s="506"/>
      <c r="G888" s="506"/>
      <c r="H888" s="506"/>
      <c r="I888" s="506"/>
      <c r="J888" s="506"/>
      <c r="K888" s="507"/>
      <c r="L888" s="508"/>
      <c r="M888" s="508"/>
      <c r="N888" s="508"/>
      <c r="O888" s="509"/>
      <c r="P888" s="509"/>
    </row>
    <row r="889" spans="1:16" ht="21.75" customHeight="1" x14ac:dyDescent="0.3">
      <c r="A889" s="504"/>
      <c r="B889" s="504"/>
      <c r="C889" s="504"/>
      <c r="D889" s="504"/>
      <c r="E889" s="506"/>
      <c r="F889" s="506"/>
      <c r="G889" s="506"/>
      <c r="H889" s="506"/>
      <c r="I889" s="506"/>
      <c r="J889" s="506"/>
      <c r="K889" s="507"/>
      <c r="L889" s="508"/>
      <c r="M889" s="508"/>
      <c r="N889" s="508"/>
      <c r="O889" s="509"/>
      <c r="P889" s="509"/>
    </row>
    <row r="890" spans="1:16" ht="21.75" customHeight="1" x14ac:dyDescent="0.3">
      <c r="A890" s="504"/>
      <c r="B890" s="504"/>
      <c r="C890" s="504"/>
      <c r="D890" s="504"/>
      <c r="E890" s="506"/>
      <c r="F890" s="506"/>
      <c r="G890" s="506"/>
      <c r="H890" s="506"/>
      <c r="I890" s="506"/>
      <c r="J890" s="506"/>
      <c r="K890" s="507"/>
      <c r="L890" s="508"/>
      <c r="M890" s="508"/>
      <c r="N890" s="508"/>
      <c r="O890" s="509"/>
      <c r="P890" s="509"/>
    </row>
    <row r="891" spans="1:16" ht="21.75" customHeight="1" x14ac:dyDescent="0.3">
      <c r="A891" s="504"/>
      <c r="B891" s="504"/>
      <c r="C891" s="504"/>
      <c r="D891" s="504"/>
      <c r="E891" s="506"/>
      <c r="F891" s="506"/>
      <c r="G891" s="506"/>
      <c r="H891" s="506"/>
      <c r="I891" s="506"/>
      <c r="J891" s="506"/>
      <c r="K891" s="507"/>
      <c r="L891" s="508"/>
      <c r="M891" s="508"/>
      <c r="N891" s="508"/>
      <c r="O891" s="509"/>
      <c r="P891" s="509"/>
    </row>
    <row r="892" spans="1:16" ht="21.75" customHeight="1" x14ac:dyDescent="0.3">
      <c r="A892" s="504"/>
      <c r="B892" s="504"/>
      <c r="C892" s="504"/>
      <c r="D892" s="504"/>
      <c r="E892" s="506"/>
      <c r="F892" s="506"/>
      <c r="G892" s="506"/>
      <c r="H892" s="506"/>
      <c r="I892" s="506"/>
      <c r="J892" s="506"/>
      <c r="K892" s="507"/>
      <c r="L892" s="508"/>
      <c r="M892" s="508"/>
      <c r="N892" s="508"/>
      <c r="O892" s="509"/>
      <c r="P892" s="509"/>
    </row>
    <row r="893" spans="1:16" ht="21.75" customHeight="1" x14ac:dyDescent="0.3">
      <c r="A893" s="504"/>
      <c r="B893" s="504"/>
      <c r="C893" s="504"/>
      <c r="D893" s="504"/>
      <c r="E893" s="506"/>
      <c r="F893" s="506"/>
      <c r="G893" s="506"/>
      <c r="H893" s="506"/>
      <c r="I893" s="506"/>
      <c r="J893" s="506"/>
      <c r="K893" s="507"/>
      <c r="L893" s="508"/>
      <c r="M893" s="508"/>
      <c r="N893" s="508"/>
      <c r="O893" s="509"/>
      <c r="P893" s="509"/>
    </row>
    <row r="894" spans="1:16" ht="21.75" customHeight="1" x14ac:dyDescent="0.3">
      <c r="A894" s="504"/>
      <c r="B894" s="504"/>
      <c r="C894" s="504"/>
      <c r="D894" s="504"/>
      <c r="E894" s="506"/>
      <c r="F894" s="506"/>
      <c r="G894" s="506"/>
      <c r="H894" s="506"/>
      <c r="I894" s="506"/>
      <c r="J894" s="506"/>
      <c r="K894" s="507"/>
      <c r="L894" s="508"/>
      <c r="M894" s="508"/>
      <c r="N894" s="508"/>
      <c r="O894" s="509"/>
      <c r="P894" s="509"/>
    </row>
    <row r="895" spans="1:16" ht="21.75" customHeight="1" x14ac:dyDescent="0.3">
      <c r="A895" s="504"/>
      <c r="B895" s="504"/>
      <c r="C895" s="504"/>
      <c r="D895" s="504"/>
      <c r="E895" s="506"/>
      <c r="F895" s="506"/>
      <c r="G895" s="506"/>
      <c r="H895" s="506"/>
      <c r="I895" s="506"/>
      <c r="J895" s="506"/>
      <c r="K895" s="507"/>
      <c r="L895" s="508"/>
      <c r="M895" s="508"/>
      <c r="N895" s="508"/>
      <c r="O895" s="509"/>
      <c r="P895" s="509"/>
    </row>
    <row r="896" spans="1:16" ht="21.75" customHeight="1" x14ac:dyDescent="0.3">
      <c r="A896" s="504"/>
      <c r="B896" s="504"/>
      <c r="C896" s="504"/>
      <c r="D896" s="504"/>
      <c r="E896" s="506"/>
      <c r="F896" s="506"/>
      <c r="G896" s="506"/>
      <c r="H896" s="506"/>
      <c r="I896" s="506"/>
      <c r="J896" s="506"/>
      <c r="K896" s="507"/>
      <c r="L896" s="508"/>
      <c r="M896" s="508"/>
      <c r="N896" s="508"/>
      <c r="O896" s="509"/>
      <c r="P896" s="509"/>
    </row>
    <row r="897" spans="1:16" ht="21.75" customHeight="1" x14ac:dyDescent="0.3">
      <c r="A897" s="504"/>
      <c r="B897" s="504"/>
      <c r="C897" s="504"/>
      <c r="D897" s="504"/>
      <c r="E897" s="506"/>
      <c r="F897" s="506"/>
      <c r="G897" s="506"/>
      <c r="H897" s="506"/>
      <c r="I897" s="506"/>
      <c r="J897" s="506"/>
      <c r="K897" s="507"/>
      <c r="L897" s="508"/>
      <c r="M897" s="508"/>
      <c r="N897" s="508"/>
      <c r="O897" s="509"/>
      <c r="P897" s="509"/>
    </row>
    <row r="898" spans="1:16" ht="21.75" customHeight="1" x14ac:dyDescent="0.3">
      <c r="A898" s="504"/>
      <c r="B898" s="504"/>
      <c r="C898" s="504"/>
      <c r="D898" s="504"/>
      <c r="E898" s="506"/>
      <c r="F898" s="506"/>
      <c r="G898" s="506"/>
      <c r="H898" s="506"/>
      <c r="I898" s="506"/>
      <c r="J898" s="506"/>
      <c r="K898" s="507"/>
      <c r="L898" s="508"/>
      <c r="M898" s="508"/>
      <c r="N898" s="508"/>
      <c r="O898" s="509"/>
      <c r="P898" s="509"/>
    </row>
    <row r="899" spans="1:16" ht="21.75" customHeight="1" x14ac:dyDescent="0.3">
      <c r="A899" s="504"/>
      <c r="B899" s="504"/>
      <c r="C899" s="504"/>
      <c r="D899" s="504"/>
      <c r="E899" s="506"/>
      <c r="F899" s="506"/>
      <c r="G899" s="506"/>
      <c r="H899" s="506"/>
      <c r="I899" s="506"/>
      <c r="J899" s="506"/>
      <c r="K899" s="507"/>
      <c r="L899" s="508"/>
      <c r="M899" s="508"/>
      <c r="N899" s="508"/>
      <c r="O899" s="509"/>
      <c r="P899" s="509"/>
    </row>
    <row r="900" spans="1:16" ht="21.75" customHeight="1" x14ac:dyDescent="0.3">
      <c r="A900" s="504"/>
      <c r="B900" s="504"/>
      <c r="C900" s="504"/>
      <c r="D900" s="504"/>
      <c r="E900" s="506"/>
      <c r="F900" s="506"/>
      <c r="G900" s="506"/>
      <c r="H900" s="506"/>
      <c r="I900" s="506"/>
      <c r="J900" s="506"/>
      <c r="K900" s="507"/>
      <c r="L900" s="508"/>
      <c r="M900" s="508"/>
      <c r="N900" s="508"/>
      <c r="O900" s="509"/>
      <c r="P900" s="509"/>
    </row>
    <row r="901" spans="1:16" ht="21.75" customHeight="1" x14ac:dyDescent="0.3">
      <c r="A901" s="504"/>
      <c r="B901" s="504"/>
      <c r="C901" s="504"/>
      <c r="D901" s="504"/>
      <c r="E901" s="506"/>
      <c r="F901" s="506"/>
      <c r="G901" s="506"/>
      <c r="H901" s="506"/>
      <c r="I901" s="506"/>
      <c r="J901" s="506"/>
      <c r="K901" s="507"/>
      <c r="L901" s="508"/>
      <c r="M901" s="508"/>
      <c r="N901" s="508"/>
      <c r="O901" s="509"/>
      <c r="P901" s="509"/>
    </row>
    <row r="902" spans="1:16" ht="21.75" customHeight="1" x14ac:dyDescent="0.3">
      <c r="A902" s="504"/>
      <c r="B902" s="504"/>
      <c r="C902" s="504"/>
      <c r="D902" s="504"/>
      <c r="E902" s="506"/>
      <c r="F902" s="506"/>
      <c r="G902" s="506"/>
      <c r="H902" s="506"/>
      <c r="I902" s="506"/>
      <c r="J902" s="506"/>
      <c r="K902" s="507"/>
      <c r="L902" s="508"/>
      <c r="M902" s="508"/>
      <c r="N902" s="508"/>
      <c r="O902" s="509"/>
      <c r="P902" s="509"/>
    </row>
    <row r="903" spans="1:16" ht="21.75" customHeight="1" x14ac:dyDescent="0.3">
      <c r="A903" s="504"/>
      <c r="B903" s="504"/>
      <c r="C903" s="504"/>
      <c r="D903" s="504"/>
      <c r="E903" s="506"/>
      <c r="F903" s="506"/>
      <c r="G903" s="506"/>
      <c r="H903" s="506"/>
      <c r="I903" s="506"/>
      <c r="J903" s="506"/>
      <c r="K903" s="507"/>
      <c r="L903" s="508"/>
      <c r="M903" s="508"/>
      <c r="N903" s="508"/>
      <c r="O903" s="509"/>
      <c r="P903" s="509"/>
    </row>
    <row r="904" spans="1:16" ht="21.75" customHeight="1" x14ac:dyDescent="0.3">
      <c r="A904" s="504"/>
      <c r="B904" s="504"/>
      <c r="C904" s="504"/>
      <c r="D904" s="504"/>
      <c r="E904" s="506"/>
      <c r="F904" s="506"/>
      <c r="G904" s="506"/>
      <c r="H904" s="506"/>
      <c r="I904" s="506"/>
      <c r="J904" s="506"/>
      <c r="K904" s="507"/>
      <c r="L904" s="508"/>
      <c r="M904" s="508"/>
      <c r="N904" s="508"/>
      <c r="O904" s="509"/>
      <c r="P904" s="509"/>
    </row>
    <row r="905" spans="1:16" ht="21.75" customHeight="1" x14ac:dyDescent="0.3">
      <c r="A905" s="504"/>
      <c r="B905" s="504"/>
      <c r="C905" s="504"/>
      <c r="D905" s="504"/>
      <c r="E905" s="506"/>
      <c r="F905" s="506"/>
      <c r="G905" s="506"/>
      <c r="H905" s="506"/>
      <c r="I905" s="506"/>
      <c r="J905" s="506"/>
      <c r="K905" s="507"/>
      <c r="L905" s="508"/>
      <c r="M905" s="508"/>
      <c r="N905" s="508"/>
      <c r="O905" s="509"/>
      <c r="P905" s="509"/>
    </row>
    <row r="906" spans="1:16" ht="21.75" customHeight="1" x14ac:dyDescent="0.3">
      <c r="A906" s="504"/>
      <c r="B906" s="504"/>
      <c r="C906" s="504"/>
      <c r="D906" s="504"/>
      <c r="E906" s="506"/>
      <c r="F906" s="506"/>
      <c r="G906" s="506"/>
      <c r="H906" s="506"/>
      <c r="I906" s="506"/>
      <c r="J906" s="506"/>
      <c r="K906" s="507"/>
      <c r="L906" s="508"/>
      <c r="M906" s="508"/>
      <c r="N906" s="508"/>
      <c r="O906" s="509"/>
      <c r="P906" s="509"/>
    </row>
    <row r="907" spans="1:16" ht="21.75" customHeight="1" x14ac:dyDescent="0.3">
      <c r="A907" s="504"/>
      <c r="B907" s="504"/>
      <c r="C907" s="504"/>
      <c r="D907" s="504"/>
      <c r="E907" s="506"/>
      <c r="F907" s="506"/>
      <c r="G907" s="506"/>
      <c r="H907" s="506"/>
      <c r="I907" s="506"/>
      <c r="J907" s="506"/>
      <c r="K907" s="507"/>
      <c r="L907" s="508"/>
      <c r="M907" s="508"/>
      <c r="N907" s="508"/>
      <c r="O907" s="509"/>
      <c r="P907" s="509"/>
    </row>
    <row r="908" spans="1:16" ht="21.75" customHeight="1" x14ac:dyDescent="0.3">
      <c r="A908" s="504"/>
      <c r="B908" s="504"/>
      <c r="C908" s="504"/>
      <c r="D908" s="504"/>
      <c r="E908" s="506"/>
      <c r="F908" s="506"/>
      <c r="G908" s="506"/>
      <c r="H908" s="506"/>
      <c r="I908" s="506"/>
      <c r="J908" s="506"/>
      <c r="K908" s="507"/>
      <c r="L908" s="508"/>
      <c r="M908" s="508"/>
      <c r="N908" s="508"/>
      <c r="O908" s="509"/>
      <c r="P908" s="509"/>
    </row>
    <row r="909" spans="1:16" ht="21.75" customHeight="1" x14ac:dyDescent="0.3">
      <c r="A909" s="504"/>
      <c r="B909" s="504"/>
      <c r="C909" s="504"/>
      <c r="D909" s="504"/>
      <c r="E909" s="506"/>
      <c r="F909" s="506"/>
      <c r="G909" s="506"/>
      <c r="H909" s="506"/>
      <c r="I909" s="506"/>
      <c r="J909" s="506"/>
      <c r="K909" s="507"/>
      <c r="L909" s="508"/>
      <c r="M909" s="508"/>
      <c r="N909" s="508"/>
      <c r="O909" s="509"/>
      <c r="P909" s="509"/>
    </row>
    <row r="910" spans="1:16" ht="21.75" customHeight="1" x14ac:dyDescent="0.3">
      <c r="A910" s="504"/>
      <c r="B910" s="504"/>
      <c r="C910" s="504"/>
      <c r="D910" s="504"/>
      <c r="E910" s="506"/>
      <c r="F910" s="506"/>
      <c r="G910" s="506"/>
      <c r="H910" s="506"/>
      <c r="I910" s="506"/>
      <c r="J910" s="506"/>
      <c r="K910" s="507"/>
      <c r="L910" s="508"/>
      <c r="M910" s="508"/>
      <c r="N910" s="508"/>
      <c r="O910" s="509"/>
      <c r="P910" s="509"/>
    </row>
    <row r="911" spans="1:16" ht="21.75" customHeight="1" x14ac:dyDescent="0.3">
      <c r="A911" s="504"/>
      <c r="B911" s="504"/>
      <c r="C911" s="504"/>
      <c r="D911" s="504"/>
      <c r="E911" s="506"/>
      <c r="F911" s="506"/>
      <c r="G911" s="506"/>
      <c r="H911" s="506"/>
      <c r="I911" s="506"/>
      <c r="J911" s="506"/>
      <c r="K911" s="507"/>
      <c r="L911" s="508"/>
      <c r="M911" s="508"/>
      <c r="N911" s="508"/>
      <c r="O911" s="509"/>
      <c r="P911" s="509"/>
    </row>
    <row r="912" spans="1:16" ht="21.75" customHeight="1" x14ac:dyDescent="0.3">
      <c r="A912" s="504"/>
      <c r="B912" s="504"/>
      <c r="C912" s="504"/>
      <c r="D912" s="504"/>
      <c r="E912" s="506"/>
      <c r="F912" s="506"/>
      <c r="G912" s="506"/>
      <c r="H912" s="506"/>
      <c r="I912" s="506"/>
      <c r="J912" s="506"/>
      <c r="K912" s="507"/>
      <c r="L912" s="508"/>
      <c r="M912" s="508"/>
      <c r="N912" s="508"/>
      <c r="O912" s="509"/>
      <c r="P912" s="509"/>
    </row>
    <row r="913" spans="1:16" ht="21.75" customHeight="1" x14ac:dyDescent="0.3">
      <c r="A913" s="504"/>
      <c r="B913" s="504"/>
      <c r="C913" s="504"/>
      <c r="D913" s="504"/>
      <c r="E913" s="506"/>
      <c r="F913" s="506"/>
      <c r="G913" s="506"/>
      <c r="H913" s="506"/>
      <c r="I913" s="506"/>
      <c r="J913" s="506"/>
      <c r="K913" s="507"/>
      <c r="L913" s="508"/>
      <c r="M913" s="508"/>
      <c r="N913" s="508"/>
      <c r="O913" s="509"/>
      <c r="P913" s="509"/>
    </row>
    <row r="914" spans="1:16" ht="21.75" customHeight="1" x14ac:dyDescent="0.3">
      <c r="A914" s="504"/>
      <c r="B914" s="504"/>
      <c r="C914" s="504"/>
      <c r="D914" s="504"/>
      <c r="E914" s="506"/>
      <c r="F914" s="506"/>
      <c r="G914" s="506"/>
      <c r="H914" s="506"/>
      <c r="I914" s="506"/>
      <c r="J914" s="506"/>
      <c r="K914" s="507"/>
      <c r="L914" s="508"/>
      <c r="M914" s="508"/>
      <c r="N914" s="508"/>
      <c r="O914" s="509"/>
      <c r="P914" s="509"/>
    </row>
    <row r="915" spans="1:16" ht="21.75" customHeight="1" x14ac:dyDescent="0.3">
      <c r="A915" s="504"/>
      <c r="B915" s="504"/>
      <c r="C915" s="504"/>
      <c r="D915" s="504"/>
      <c r="E915" s="506"/>
      <c r="F915" s="506"/>
      <c r="G915" s="506"/>
      <c r="H915" s="506"/>
      <c r="I915" s="506"/>
      <c r="J915" s="506"/>
      <c r="K915" s="507"/>
      <c r="L915" s="508"/>
      <c r="M915" s="508"/>
      <c r="N915" s="508"/>
      <c r="O915" s="509"/>
      <c r="P915" s="509"/>
    </row>
    <row r="916" spans="1:16" ht="21.75" customHeight="1" x14ac:dyDescent="0.3">
      <c r="A916" s="504"/>
      <c r="B916" s="504"/>
      <c r="C916" s="504"/>
      <c r="D916" s="504"/>
      <c r="E916" s="506"/>
      <c r="F916" s="506"/>
      <c r="G916" s="506"/>
      <c r="H916" s="506"/>
      <c r="I916" s="506"/>
      <c r="J916" s="506"/>
      <c r="K916" s="507"/>
      <c r="L916" s="508"/>
      <c r="M916" s="508"/>
      <c r="N916" s="508"/>
      <c r="O916" s="509"/>
      <c r="P916" s="509"/>
    </row>
    <row r="917" spans="1:16" ht="21.75" customHeight="1" x14ac:dyDescent="0.3">
      <c r="A917" s="504"/>
      <c r="B917" s="504"/>
      <c r="C917" s="504"/>
      <c r="D917" s="504"/>
      <c r="E917" s="506"/>
      <c r="F917" s="506"/>
      <c r="G917" s="506"/>
      <c r="H917" s="506"/>
      <c r="I917" s="506"/>
      <c r="J917" s="506"/>
      <c r="K917" s="507"/>
      <c r="L917" s="508"/>
      <c r="M917" s="508"/>
      <c r="N917" s="508"/>
      <c r="O917" s="509"/>
      <c r="P917" s="509"/>
    </row>
    <row r="918" spans="1:16" ht="21.75" customHeight="1" x14ac:dyDescent="0.3">
      <c r="A918" s="504"/>
      <c r="B918" s="504"/>
      <c r="C918" s="504"/>
      <c r="D918" s="504"/>
      <c r="E918" s="506"/>
      <c r="F918" s="506"/>
      <c r="G918" s="506"/>
      <c r="H918" s="506"/>
      <c r="I918" s="506"/>
      <c r="J918" s="506"/>
      <c r="K918" s="507"/>
      <c r="L918" s="508"/>
      <c r="M918" s="508"/>
      <c r="N918" s="508"/>
      <c r="O918" s="509"/>
      <c r="P918" s="509"/>
    </row>
    <row r="919" spans="1:16" ht="21.75" customHeight="1" x14ac:dyDescent="0.3">
      <c r="A919" s="504"/>
      <c r="B919" s="504"/>
      <c r="C919" s="504"/>
      <c r="D919" s="504"/>
      <c r="E919" s="506"/>
      <c r="F919" s="506"/>
      <c r="G919" s="506"/>
      <c r="H919" s="506"/>
      <c r="I919" s="506"/>
      <c r="J919" s="506"/>
      <c r="K919" s="507"/>
      <c r="L919" s="508"/>
      <c r="M919" s="508"/>
      <c r="N919" s="508"/>
      <c r="O919" s="509"/>
      <c r="P919" s="509"/>
    </row>
    <row r="920" spans="1:16" ht="21.75" customHeight="1" x14ac:dyDescent="0.3">
      <c r="A920" s="504"/>
      <c r="B920" s="504"/>
      <c r="C920" s="504"/>
      <c r="D920" s="504"/>
      <c r="E920" s="506"/>
      <c r="F920" s="506"/>
      <c r="G920" s="506"/>
      <c r="H920" s="506"/>
      <c r="I920" s="506"/>
      <c r="J920" s="506"/>
      <c r="K920" s="507"/>
      <c r="L920" s="508"/>
      <c r="M920" s="508"/>
      <c r="N920" s="508"/>
      <c r="O920" s="509"/>
      <c r="P920" s="509"/>
    </row>
    <row r="921" spans="1:16" ht="21.75" customHeight="1" x14ac:dyDescent="0.3">
      <c r="A921" s="504"/>
      <c r="B921" s="504"/>
      <c r="C921" s="504"/>
      <c r="D921" s="504"/>
      <c r="E921" s="506"/>
      <c r="F921" s="506"/>
      <c r="G921" s="506"/>
      <c r="H921" s="506"/>
      <c r="I921" s="506"/>
      <c r="J921" s="506"/>
      <c r="K921" s="507"/>
      <c r="L921" s="508"/>
      <c r="M921" s="508"/>
      <c r="N921" s="508"/>
      <c r="O921" s="509"/>
      <c r="P921" s="509"/>
    </row>
    <row r="922" spans="1:16" ht="21.75" customHeight="1" x14ac:dyDescent="0.3">
      <c r="A922" s="504"/>
      <c r="B922" s="504"/>
      <c r="C922" s="504"/>
      <c r="D922" s="504"/>
      <c r="E922" s="506"/>
      <c r="F922" s="506"/>
      <c r="G922" s="506"/>
      <c r="H922" s="506"/>
      <c r="I922" s="506"/>
      <c r="J922" s="506"/>
      <c r="K922" s="507"/>
      <c r="L922" s="508"/>
      <c r="M922" s="508"/>
      <c r="N922" s="508"/>
      <c r="O922" s="509"/>
      <c r="P922" s="509"/>
    </row>
    <row r="923" spans="1:16" ht="21.75" customHeight="1" x14ac:dyDescent="0.3">
      <c r="A923" s="504"/>
      <c r="B923" s="504"/>
      <c r="C923" s="504"/>
      <c r="D923" s="504"/>
      <c r="E923" s="506"/>
      <c r="F923" s="506"/>
      <c r="G923" s="506"/>
      <c r="H923" s="506"/>
      <c r="I923" s="506"/>
      <c r="J923" s="506"/>
      <c r="K923" s="507"/>
      <c r="L923" s="508"/>
      <c r="M923" s="508"/>
      <c r="N923" s="508"/>
      <c r="O923" s="509"/>
      <c r="P923" s="509"/>
    </row>
    <row r="924" spans="1:16" ht="21.75" customHeight="1" x14ac:dyDescent="0.3">
      <c r="A924" s="504"/>
      <c r="B924" s="504"/>
      <c r="C924" s="504"/>
      <c r="D924" s="504"/>
      <c r="E924" s="506"/>
      <c r="F924" s="506"/>
      <c r="G924" s="506"/>
      <c r="H924" s="506"/>
      <c r="I924" s="506"/>
      <c r="J924" s="506"/>
      <c r="K924" s="507"/>
      <c r="L924" s="508"/>
      <c r="M924" s="508"/>
      <c r="N924" s="508"/>
      <c r="O924" s="509"/>
      <c r="P924" s="509"/>
    </row>
    <row r="925" spans="1:16" ht="21.75" customHeight="1" x14ac:dyDescent="0.3">
      <c r="A925" s="504"/>
      <c r="B925" s="504"/>
      <c r="C925" s="504"/>
      <c r="D925" s="504"/>
      <c r="E925" s="506"/>
      <c r="F925" s="506"/>
      <c r="G925" s="506"/>
      <c r="H925" s="506"/>
      <c r="I925" s="506"/>
      <c r="J925" s="506"/>
      <c r="K925" s="507"/>
      <c r="L925" s="508"/>
      <c r="M925" s="508"/>
      <c r="N925" s="508"/>
      <c r="O925" s="509"/>
      <c r="P925" s="509"/>
    </row>
    <row r="926" spans="1:16" ht="21.75" customHeight="1" x14ac:dyDescent="0.3">
      <c r="A926" s="504"/>
      <c r="B926" s="504"/>
      <c r="C926" s="504"/>
      <c r="D926" s="504"/>
      <c r="E926" s="506"/>
      <c r="F926" s="506"/>
      <c r="G926" s="506"/>
      <c r="H926" s="506"/>
      <c r="I926" s="506"/>
      <c r="J926" s="506"/>
      <c r="K926" s="507"/>
      <c r="L926" s="508"/>
      <c r="M926" s="508"/>
      <c r="N926" s="508"/>
      <c r="O926" s="509"/>
      <c r="P926" s="509"/>
    </row>
    <row r="927" spans="1:16" ht="21.75" customHeight="1" x14ac:dyDescent="0.3">
      <c r="A927" s="504"/>
      <c r="B927" s="504"/>
      <c r="C927" s="504"/>
      <c r="D927" s="504"/>
      <c r="E927" s="506"/>
      <c r="F927" s="506"/>
      <c r="G927" s="506"/>
      <c r="H927" s="506"/>
      <c r="I927" s="506"/>
      <c r="J927" s="506"/>
      <c r="K927" s="507"/>
      <c r="L927" s="508"/>
      <c r="M927" s="508"/>
      <c r="N927" s="508"/>
      <c r="O927" s="509"/>
      <c r="P927" s="509"/>
    </row>
    <row r="928" spans="1:16" ht="21.75" customHeight="1" x14ac:dyDescent="0.3">
      <c r="A928" s="504"/>
      <c r="B928" s="504"/>
      <c r="C928" s="504"/>
      <c r="D928" s="504"/>
      <c r="E928" s="506"/>
      <c r="F928" s="506"/>
      <c r="G928" s="506"/>
      <c r="H928" s="506"/>
      <c r="I928" s="506"/>
      <c r="J928" s="506"/>
      <c r="K928" s="507"/>
      <c r="L928" s="508"/>
      <c r="M928" s="508"/>
      <c r="N928" s="508"/>
      <c r="O928" s="509"/>
      <c r="P928" s="509"/>
    </row>
    <row r="929" spans="1:16" ht="21.75" customHeight="1" x14ac:dyDescent="0.3">
      <c r="A929" s="504"/>
      <c r="B929" s="504"/>
      <c r="C929" s="504"/>
      <c r="D929" s="504"/>
      <c r="E929" s="506"/>
      <c r="F929" s="506"/>
      <c r="G929" s="506"/>
      <c r="H929" s="506"/>
      <c r="I929" s="506"/>
      <c r="J929" s="506"/>
      <c r="K929" s="507"/>
      <c r="L929" s="508"/>
      <c r="M929" s="508"/>
      <c r="N929" s="508"/>
      <c r="O929" s="509"/>
      <c r="P929" s="509"/>
    </row>
    <row r="930" spans="1:16" ht="21.75" customHeight="1" x14ac:dyDescent="0.3">
      <c r="A930" s="504"/>
      <c r="B930" s="504"/>
      <c r="C930" s="504"/>
      <c r="D930" s="504"/>
      <c r="E930" s="506"/>
      <c r="F930" s="506"/>
      <c r="G930" s="506"/>
      <c r="H930" s="506"/>
      <c r="I930" s="506"/>
      <c r="J930" s="506"/>
      <c r="K930" s="507"/>
      <c r="L930" s="508"/>
      <c r="M930" s="508"/>
      <c r="N930" s="508"/>
      <c r="O930" s="509"/>
      <c r="P930" s="509"/>
    </row>
    <row r="931" spans="1:16" ht="21.75" customHeight="1" x14ac:dyDescent="0.3">
      <c r="A931" s="504"/>
      <c r="B931" s="504"/>
      <c r="C931" s="504"/>
      <c r="D931" s="504"/>
      <c r="E931" s="506"/>
      <c r="F931" s="506"/>
      <c r="G931" s="506"/>
      <c r="H931" s="506"/>
      <c r="I931" s="506"/>
      <c r="J931" s="506"/>
      <c r="K931" s="507"/>
      <c r="L931" s="508"/>
      <c r="M931" s="508"/>
      <c r="N931" s="508"/>
      <c r="O931" s="509"/>
      <c r="P931" s="509"/>
    </row>
    <row r="932" spans="1:16" ht="21.75" customHeight="1" x14ac:dyDescent="0.3">
      <c r="A932" s="504"/>
      <c r="B932" s="504"/>
      <c r="C932" s="504"/>
      <c r="D932" s="504"/>
      <c r="E932" s="506"/>
      <c r="F932" s="506"/>
      <c r="G932" s="506"/>
      <c r="H932" s="506"/>
      <c r="I932" s="506"/>
      <c r="J932" s="506"/>
      <c r="K932" s="507"/>
      <c r="L932" s="508"/>
      <c r="M932" s="508"/>
      <c r="N932" s="508"/>
      <c r="O932" s="509"/>
      <c r="P932" s="509"/>
    </row>
    <row r="933" spans="1:16" ht="21.75" customHeight="1" x14ac:dyDescent="0.3">
      <c r="A933" s="504"/>
      <c r="B933" s="504"/>
      <c r="C933" s="504"/>
      <c r="D933" s="504"/>
      <c r="E933" s="506"/>
      <c r="F933" s="506"/>
      <c r="G933" s="506"/>
      <c r="H933" s="506"/>
      <c r="I933" s="506"/>
      <c r="J933" s="506"/>
      <c r="K933" s="507"/>
      <c r="L933" s="508"/>
      <c r="M933" s="508"/>
      <c r="N933" s="508"/>
      <c r="O933" s="509"/>
      <c r="P933" s="509"/>
    </row>
    <row r="934" spans="1:16" ht="21.75" customHeight="1" x14ac:dyDescent="0.3">
      <c r="A934" s="504"/>
      <c r="B934" s="504"/>
      <c r="C934" s="504"/>
      <c r="D934" s="504"/>
      <c r="E934" s="506"/>
      <c r="F934" s="506"/>
      <c r="G934" s="506"/>
      <c r="H934" s="506"/>
      <c r="I934" s="506"/>
      <c r="J934" s="506"/>
      <c r="K934" s="507"/>
      <c r="L934" s="508"/>
      <c r="M934" s="508"/>
      <c r="N934" s="508"/>
      <c r="O934" s="509"/>
      <c r="P934" s="509"/>
    </row>
    <row r="935" spans="1:16" ht="21.75" customHeight="1" x14ac:dyDescent="0.3">
      <c r="A935" s="504"/>
      <c r="B935" s="504"/>
      <c r="C935" s="504"/>
      <c r="D935" s="504"/>
      <c r="E935" s="506"/>
      <c r="F935" s="506"/>
      <c r="G935" s="506"/>
      <c r="H935" s="506"/>
      <c r="I935" s="506"/>
      <c r="J935" s="506"/>
      <c r="K935" s="507"/>
      <c r="L935" s="508"/>
      <c r="M935" s="508"/>
      <c r="N935" s="508"/>
      <c r="O935" s="509"/>
      <c r="P935" s="509"/>
    </row>
    <row r="936" spans="1:16" ht="21.75" customHeight="1" x14ac:dyDescent="0.3">
      <c r="A936" s="504"/>
      <c r="B936" s="504"/>
      <c r="C936" s="504"/>
      <c r="D936" s="504"/>
      <c r="E936" s="506"/>
      <c r="F936" s="506"/>
      <c r="G936" s="506"/>
      <c r="H936" s="506"/>
      <c r="I936" s="506"/>
      <c r="J936" s="506"/>
      <c r="K936" s="507"/>
      <c r="L936" s="508"/>
      <c r="M936" s="508"/>
      <c r="N936" s="508"/>
      <c r="O936" s="509"/>
      <c r="P936" s="509"/>
    </row>
    <row r="937" spans="1:16" ht="21.75" customHeight="1" x14ac:dyDescent="0.3">
      <c r="A937" s="504"/>
      <c r="B937" s="504"/>
      <c r="C937" s="504"/>
      <c r="D937" s="504"/>
      <c r="E937" s="506"/>
      <c r="F937" s="506"/>
      <c r="G937" s="506"/>
      <c r="H937" s="506"/>
      <c r="I937" s="506"/>
      <c r="J937" s="506"/>
      <c r="K937" s="507"/>
      <c r="L937" s="508"/>
      <c r="M937" s="508"/>
      <c r="N937" s="508"/>
      <c r="O937" s="509"/>
      <c r="P937" s="509"/>
    </row>
    <row r="938" spans="1:16" ht="21.75" customHeight="1" x14ac:dyDescent="0.3">
      <c r="A938" s="504"/>
      <c r="B938" s="504"/>
      <c r="C938" s="504"/>
      <c r="D938" s="504"/>
      <c r="E938" s="506"/>
      <c r="F938" s="506"/>
      <c r="G938" s="506"/>
      <c r="H938" s="506"/>
      <c r="I938" s="506"/>
      <c r="J938" s="506"/>
      <c r="K938" s="507"/>
      <c r="L938" s="508"/>
      <c r="M938" s="508"/>
      <c r="N938" s="508"/>
      <c r="O938" s="509"/>
      <c r="P938" s="509"/>
    </row>
    <row r="939" spans="1:16" ht="21.75" customHeight="1" x14ac:dyDescent="0.3">
      <c r="A939" s="504"/>
      <c r="B939" s="504"/>
      <c r="C939" s="504"/>
      <c r="D939" s="504"/>
      <c r="E939" s="506"/>
      <c r="F939" s="506"/>
      <c r="G939" s="506"/>
      <c r="H939" s="506"/>
      <c r="I939" s="506"/>
      <c r="J939" s="506"/>
      <c r="K939" s="507"/>
      <c r="L939" s="508"/>
      <c r="M939" s="508"/>
      <c r="N939" s="508"/>
      <c r="O939" s="509"/>
      <c r="P939" s="509"/>
    </row>
    <row r="940" spans="1:16" ht="21.75" customHeight="1" x14ac:dyDescent="0.3">
      <c r="A940" s="504"/>
      <c r="B940" s="504"/>
      <c r="C940" s="504"/>
      <c r="D940" s="504"/>
      <c r="E940" s="506"/>
      <c r="F940" s="506"/>
      <c r="G940" s="506"/>
      <c r="H940" s="506"/>
      <c r="I940" s="506"/>
      <c r="J940" s="506"/>
      <c r="K940" s="507"/>
      <c r="L940" s="508"/>
      <c r="M940" s="508"/>
      <c r="N940" s="508"/>
      <c r="O940" s="509"/>
      <c r="P940" s="509"/>
    </row>
    <row r="941" spans="1:16" ht="21.75" customHeight="1" x14ac:dyDescent="0.3">
      <c r="A941" s="504"/>
      <c r="B941" s="504"/>
      <c r="C941" s="504"/>
      <c r="D941" s="504"/>
      <c r="E941" s="506"/>
      <c r="F941" s="506"/>
      <c r="G941" s="506"/>
      <c r="H941" s="506"/>
      <c r="I941" s="506"/>
      <c r="J941" s="506"/>
      <c r="K941" s="507"/>
      <c r="L941" s="508"/>
      <c r="M941" s="508"/>
      <c r="N941" s="508"/>
      <c r="O941" s="509"/>
      <c r="P941" s="509"/>
    </row>
    <row r="942" spans="1:16" ht="21.75" customHeight="1" x14ac:dyDescent="0.3">
      <c r="A942" s="504"/>
      <c r="B942" s="504"/>
      <c r="C942" s="504"/>
      <c r="D942" s="504"/>
      <c r="E942" s="506"/>
      <c r="F942" s="506"/>
      <c r="G942" s="506"/>
      <c r="H942" s="506"/>
      <c r="I942" s="506"/>
      <c r="J942" s="506"/>
      <c r="K942" s="507"/>
      <c r="L942" s="508"/>
      <c r="M942" s="508"/>
      <c r="N942" s="508"/>
      <c r="O942" s="509"/>
      <c r="P942" s="509"/>
    </row>
    <row r="943" spans="1:16" ht="21.75" customHeight="1" x14ac:dyDescent="0.3">
      <c r="A943" s="504"/>
      <c r="B943" s="504"/>
      <c r="C943" s="504"/>
      <c r="D943" s="504"/>
      <c r="E943" s="506"/>
      <c r="F943" s="506"/>
      <c r="G943" s="506"/>
      <c r="H943" s="506"/>
      <c r="I943" s="506"/>
      <c r="J943" s="506"/>
      <c r="K943" s="507"/>
      <c r="L943" s="508"/>
      <c r="M943" s="508"/>
      <c r="N943" s="508"/>
      <c r="O943" s="509"/>
      <c r="P943" s="509"/>
    </row>
    <row r="944" spans="1:16" ht="21.75" customHeight="1" x14ac:dyDescent="0.3">
      <c r="A944" s="504"/>
      <c r="B944" s="504"/>
      <c r="C944" s="504"/>
      <c r="D944" s="504"/>
      <c r="E944" s="506"/>
      <c r="F944" s="506"/>
      <c r="G944" s="506"/>
      <c r="H944" s="506"/>
      <c r="I944" s="506"/>
      <c r="J944" s="506"/>
      <c r="K944" s="507"/>
      <c r="L944" s="508"/>
      <c r="M944" s="508"/>
      <c r="N944" s="508"/>
      <c r="O944" s="509"/>
      <c r="P944" s="509"/>
    </row>
    <row r="945" spans="1:16" ht="21.75" customHeight="1" x14ac:dyDescent="0.3">
      <c r="A945" s="504"/>
      <c r="B945" s="504"/>
      <c r="C945" s="504"/>
      <c r="D945" s="504"/>
      <c r="E945" s="506"/>
      <c r="F945" s="506"/>
      <c r="G945" s="506"/>
      <c r="H945" s="506"/>
      <c r="I945" s="506"/>
      <c r="J945" s="506"/>
      <c r="K945" s="507"/>
      <c r="L945" s="508"/>
      <c r="M945" s="508"/>
      <c r="N945" s="508"/>
      <c r="O945" s="509"/>
      <c r="P945" s="509"/>
    </row>
    <row r="946" spans="1:16" ht="21.75" customHeight="1" x14ac:dyDescent="0.3">
      <c r="A946" s="504"/>
      <c r="B946" s="504"/>
      <c r="C946" s="504"/>
      <c r="D946" s="504"/>
      <c r="E946" s="506"/>
      <c r="F946" s="506"/>
      <c r="G946" s="506"/>
      <c r="H946" s="506"/>
      <c r="I946" s="506"/>
      <c r="J946" s="506"/>
      <c r="K946" s="507"/>
      <c r="L946" s="508"/>
      <c r="M946" s="508"/>
      <c r="N946" s="508"/>
      <c r="O946" s="509"/>
      <c r="P946" s="509"/>
    </row>
    <row r="947" spans="1:16" ht="21.75" customHeight="1" x14ac:dyDescent="0.3">
      <c r="A947" s="504"/>
      <c r="B947" s="504"/>
      <c r="C947" s="504"/>
      <c r="D947" s="504"/>
      <c r="E947" s="506"/>
      <c r="F947" s="506"/>
      <c r="G947" s="506"/>
      <c r="H947" s="506"/>
      <c r="I947" s="506"/>
      <c r="J947" s="506"/>
      <c r="K947" s="507"/>
      <c r="L947" s="508"/>
      <c r="M947" s="508"/>
      <c r="N947" s="508"/>
      <c r="O947" s="509"/>
      <c r="P947" s="509"/>
    </row>
    <row r="948" spans="1:16" ht="21.75" customHeight="1" x14ac:dyDescent="0.3">
      <c r="A948" s="504"/>
      <c r="B948" s="504"/>
      <c r="C948" s="504"/>
      <c r="D948" s="504"/>
      <c r="E948" s="506"/>
      <c r="F948" s="506"/>
      <c r="G948" s="506"/>
      <c r="H948" s="506"/>
      <c r="I948" s="506"/>
      <c r="J948" s="506"/>
      <c r="K948" s="507"/>
      <c r="L948" s="508"/>
      <c r="M948" s="508"/>
      <c r="N948" s="508"/>
      <c r="O948" s="509"/>
      <c r="P948" s="509"/>
    </row>
    <row r="949" spans="1:16" ht="21.75" customHeight="1" x14ac:dyDescent="0.3">
      <c r="A949" s="504"/>
      <c r="B949" s="504"/>
      <c r="C949" s="504"/>
      <c r="D949" s="504"/>
      <c r="E949" s="506"/>
      <c r="F949" s="506"/>
      <c r="G949" s="506"/>
      <c r="H949" s="506"/>
      <c r="I949" s="506"/>
      <c r="J949" s="506"/>
      <c r="K949" s="507"/>
      <c r="L949" s="508"/>
      <c r="M949" s="508"/>
      <c r="N949" s="508"/>
      <c r="O949" s="509"/>
      <c r="P949" s="509"/>
    </row>
    <row r="950" spans="1:16" ht="21.75" customHeight="1" x14ac:dyDescent="0.3">
      <c r="A950" s="504"/>
      <c r="B950" s="504"/>
      <c r="C950" s="504"/>
      <c r="D950" s="504"/>
      <c r="E950" s="506"/>
      <c r="F950" s="506"/>
      <c r="G950" s="506"/>
      <c r="H950" s="506"/>
      <c r="I950" s="506"/>
      <c r="J950" s="506"/>
      <c r="K950" s="507"/>
      <c r="L950" s="508"/>
      <c r="M950" s="508"/>
      <c r="N950" s="508"/>
      <c r="O950" s="509"/>
      <c r="P950" s="509"/>
    </row>
    <row r="951" spans="1:16" ht="21.75" customHeight="1" x14ac:dyDescent="0.3">
      <c r="A951" s="504"/>
      <c r="B951" s="504"/>
      <c r="C951" s="504"/>
      <c r="D951" s="504"/>
      <c r="E951" s="506"/>
      <c r="F951" s="506"/>
      <c r="G951" s="506"/>
      <c r="H951" s="506"/>
      <c r="I951" s="506"/>
      <c r="J951" s="506"/>
      <c r="K951" s="507"/>
      <c r="L951" s="508"/>
      <c r="M951" s="508"/>
      <c r="N951" s="508"/>
      <c r="O951" s="509"/>
      <c r="P951" s="509"/>
    </row>
    <row r="952" spans="1:16" ht="21.75" customHeight="1" x14ac:dyDescent="0.3">
      <c r="A952" s="504"/>
      <c r="B952" s="504"/>
      <c r="C952" s="504"/>
      <c r="D952" s="504"/>
      <c r="E952" s="506"/>
      <c r="F952" s="506"/>
      <c r="G952" s="506"/>
      <c r="H952" s="506"/>
      <c r="I952" s="506"/>
      <c r="J952" s="506"/>
      <c r="K952" s="507"/>
      <c r="L952" s="508"/>
      <c r="M952" s="508"/>
      <c r="N952" s="508"/>
      <c r="O952" s="509"/>
      <c r="P952" s="509"/>
    </row>
    <row r="953" spans="1:16" ht="21.75" customHeight="1" x14ac:dyDescent="0.3">
      <c r="A953" s="504"/>
      <c r="B953" s="504"/>
      <c r="C953" s="504"/>
      <c r="D953" s="504"/>
      <c r="E953" s="506"/>
      <c r="F953" s="506"/>
      <c r="G953" s="506"/>
      <c r="H953" s="506"/>
      <c r="I953" s="506"/>
      <c r="J953" s="506"/>
      <c r="K953" s="507"/>
      <c r="L953" s="508"/>
      <c r="M953" s="508"/>
      <c r="N953" s="508"/>
      <c r="O953" s="509"/>
      <c r="P953" s="509"/>
    </row>
    <row r="954" spans="1:16" ht="21.75" customHeight="1" x14ac:dyDescent="0.3">
      <c r="A954" s="504"/>
      <c r="B954" s="504"/>
      <c r="C954" s="504"/>
      <c r="D954" s="504"/>
      <c r="E954" s="506"/>
      <c r="F954" s="506"/>
      <c r="G954" s="506"/>
      <c r="H954" s="506"/>
      <c r="I954" s="506"/>
      <c r="J954" s="506"/>
      <c r="K954" s="507"/>
      <c r="L954" s="508"/>
      <c r="M954" s="508"/>
      <c r="N954" s="508"/>
      <c r="O954" s="509"/>
      <c r="P954" s="509"/>
    </row>
    <row r="955" spans="1:16" ht="21.75" customHeight="1" x14ac:dyDescent="0.3">
      <c r="A955" s="504"/>
      <c r="B955" s="504"/>
      <c r="C955" s="504"/>
      <c r="D955" s="504"/>
      <c r="E955" s="506"/>
      <c r="F955" s="506"/>
      <c r="G955" s="506"/>
      <c r="H955" s="506"/>
      <c r="I955" s="506"/>
      <c r="J955" s="506"/>
      <c r="K955" s="507"/>
      <c r="L955" s="508"/>
      <c r="M955" s="508"/>
      <c r="N955" s="508"/>
      <c r="O955" s="509"/>
      <c r="P955" s="509"/>
    </row>
    <row r="956" spans="1:16" ht="21.75" customHeight="1" x14ac:dyDescent="0.3">
      <c r="A956" s="504"/>
      <c r="B956" s="504"/>
      <c r="C956" s="504"/>
      <c r="D956" s="504"/>
      <c r="E956" s="506"/>
      <c r="F956" s="506"/>
      <c r="G956" s="506"/>
      <c r="H956" s="506"/>
      <c r="I956" s="506"/>
      <c r="J956" s="506"/>
      <c r="K956" s="507"/>
      <c r="L956" s="508"/>
      <c r="M956" s="508"/>
      <c r="N956" s="508"/>
      <c r="O956" s="509"/>
      <c r="P956" s="509"/>
    </row>
    <row r="957" spans="1:16" ht="21.75" customHeight="1" x14ac:dyDescent="0.3">
      <c r="A957" s="504"/>
      <c r="B957" s="504"/>
      <c r="C957" s="504"/>
      <c r="D957" s="504"/>
      <c r="E957" s="506"/>
      <c r="F957" s="506"/>
      <c r="G957" s="506"/>
      <c r="H957" s="506"/>
      <c r="I957" s="506"/>
      <c r="J957" s="506"/>
      <c r="K957" s="507"/>
      <c r="L957" s="508"/>
      <c r="M957" s="508"/>
      <c r="N957" s="508"/>
      <c r="O957" s="509"/>
      <c r="P957" s="509"/>
    </row>
    <row r="958" spans="1:16" ht="21.75" customHeight="1" x14ac:dyDescent="0.3">
      <c r="A958" s="504"/>
      <c r="B958" s="504"/>
      <c r="C958" s="504"/>
      <c r="D958" s="504"/>
      <c r="E958" s="506"/>
      <c r="F958" s="506"/>
      <c r="G958" s="506"/>
      <c r="H958" s="506"/>
      <c r="I958" s="506"/>
      <c r="J958" s="506"/>
      <c r="K958" s="507"/>
      <c r="L958" s="508"/>
      <c r="M958" s="508"/>
      <c r="N958" s="508"/>
      <c r="O958" s="509"/>
      <c r="P958" s="509"/>
    </row>
    <row r="959" spans="1:16" ht="21.75" customHeight="1" x14ac:dyDescent="0.3">
      <c r="A959" s="504"/>
      <c r="B959" s="504"/>
      <c r="C959" s="504"/>
      <c r="D959" s="504"/>
      <c r="E959" s="506"/>
      <c r="F959" s="506"/>
      <c r="G959" s="506"/>
      <c r="H959" s="506"/>
      <c r="I959" s="506"/>
      <c r="J959" s="506"/>
      <c r="K959" s="507"/>
      <c r="L959" s="508"/>
      <c r="M959" s="508"/>
      <c r="N959" s="508"/>
      <c r="O959" s="509"/>
      <c r="P959" s="509"/>
    </row>
    <row r="960" spans="1:16" ht="21.75" customHeight="1" x14ac:dyDescent="0.3">
      <c r="A960" s="504"/>
      <c r="B960" s="504"/>
      <c r="C960" s="504"/>
      <c r="D960" s="504"/>
      <c r="E960" s="506"/>
      <c r="F960" s="506"/>
      <c r="G960" s="506"/>
      <c r="H960" s="506"/>
      <c r="I960" s="506"/>
      <c r="J960" s="506"/>
      <c r="K960" s="507"/>
      <c r="L960" s="508"/>
      <c r="M960" s="508"/>
      <c r="N960" s="508"/>
      <c r="O960" s="509"/>
      <c r="P960" s="509"/>
    </row>
    <row r="961" spans="1:16" ht="21.75" customHeight="1" x14ac:dyDescent="0.3">
      <c r="A961" s="504"/>
      <c r="B961" s="504"/>
      <c r="C961" s="504"/>
      <c r="D961" s="504"/>
      <c r="E961" s="506"/>
      <c r="F961" s="506"/>
      <c r="G961" s="506"/>
      <c r="H961" s="506"/>
      <c r="I961" s="506"/>
      <c r="J961" s="506"/>
      <c r="K961" s="507"/>
      <c r="L961" s="508"/>
      <c r="M961" s="508"/>
      <c r="N961" s="508"/>
      <c r="O961" s="509"/>
      <c r="P961" s="509"/>
    </row>
    <row r="962" spans="1:16" ht="21.75" customHeight="1" x14ac:dyDescent="0.3">
      <c r="A962" s="504"/>
      <c r="B962" s="504"/>
      <c r="C962" s="504"/>
      <c r="D962" s="504"/>
      <c r="E962" s="506"/>
      <c r="F962" s="506"/>
      <c r="G962" s="506"/>
      <c r="H962" s="506"/>
      <c r="I962" s="506"/>
      <c r="J962" s="506"/>
      <c r="K962" s="507"/>
      <c r="L962" s="508"/>
      <c r="M962" s="508"/>
      <c r="N962" s="508"/>
      <c r="O962" s="509"/>
      <c r="P962" s="509"/>
    </row>
    <row r="963" spans="1:16" ht="21.75" customHeight="1" x14ac:dyDescent="0.3">
      <c r="A963" s="504"/>
      <c r="B963" s="504"/>
      <c r="C963" s="504"/>
      <c r="D963" s="504"/>
      <c r="E963" s="506"/>
      <c r="F963" s="506"/>
      <c r="G963" s="506"/>
      <c r="H963" s="506"/>
      <c r="I963" s="506"/>
      <c r="J963" s="506"/>
      <c r="K963" s="507"/>
      <c r="L963" s="508"/>
      <c r="M963" s="508"/>
      <c r="N963" s="508"/>
      <c r="O963" s="509"/>
      <c r="P963" s="509"/>
    </row>
    <row r="964" spans="1:16" ht="21.75" customHeight="1" x14ac:dyDescent="0.3">
      <c r="A964" s="504"/>
      <c r="B964" s="504"/>
      <c r="C964" s="504"/>
      <c r="D964" s="504"/>
      <c r="E964" s="506"/>
      <c r="F964" s="506"/>
      <c r="G964" s="506"/>
      <c r="H964" s="506"/>
      <c r="I964" s="506"/>
      <c r="J964" s="506"/>
      <c r="K964" s="507"/>
      <c r="L964" s="508"/>
      <c r="M964" s="508"/>
      <c r="N964" s="508"/>
      <c r="O964" s="509"/>
      <c r="P964" s="509"/>
    </row>
    <row r="965" spans="1:16" ht="21.75" customHeight="1" x14ac:dyDescent="0.3">
      <c r="A965" s="504"/>
      <c r="B965" s="504"/>
      <c r="C965" s="504"/>
      <c r="D965" s="504"/>
      <c r="E965" s="506"/>
      <c r="F965" s="506"/>
      <c r="G965" s="506"/>
      <c r="H965" s="506"/>
      <c r="I965" s="506"/>
      <c r="J965" s="506"/>
      <c r="K965" s="507"/>
      <c r="L965" s="508"/>
      <c r="M965" s="508"/>
      <c r="N965" s="508"/>
      <c r="O965" s="509"/>
      <c r="P965" s="509"/>
    </row>
    <row r="966" spans="1:16" ht="21.75" customHeight="1" x14ac:dyDescent="0.3">
      <c r="A966" s="504"/>
      <c r="B966" s="504"/>
      <c r="C966" s="504"/>
      <c r="D966" s="504"/>
      <c r="E966" s="506"/>
      <c r="F966" s="506"/>
      <c r="G966" s="506"/>
      <c r="H966" s="506"/>
      <c r="I966" s="506"/>
      <c r="J966" s="506"/>
      <c r="K966" s="507"/>
      <c r="L966" s="508"/>
      <c r="M966" s="508"/>
      <c r="N966" s="508"/>
      <c r="O966" s="509"/>
      <c r="P966" s="509"/>
    </row>
    <row r="967" spans="1:16" ht="21.75" customHeight="1" x14ac:dyDescent="0.3">
      <c r="A967" s="504"/>
      <c r="B967" s="504"/>
      <c r="C967" s="504"/>
      <c r="D967" s="504"/>
      <c r="E967" s="506"/>
      <c r="F967" s="506"/>
      <c r="G967" s="506"/>
      <c r="H967" s="506"/>
      <c r="I967" s="506"/>
      <c r="J967" s="506"/>
      <c r="K967" s="507"/>
      <c r="L967" s="508"/>
      <c r="M967" s="508"/>
      <c r="N967" s="508"/>
      <c r="O967" s="509"/>
      <c r="P967" s="509"/>
    </row>
    <row r="968" spans="1:16" ht="21.75" customHeight="1" x14ac:dyDescent="0.3">
      <c r="A968" s="504"/>
      <c r="B968" s="504"/>
      <c r="C968" s="504"/>
      <c r="D968" s="504"/>
      <c r="E968" s="506"/>
      <c r="F968" s="506"/>
      <c r="G968" s="506"/>
      <c r="H968" s="506"/>
      <c r="I968" s="506"/>
      <c r="J968" s="506"/>
      <c r="K968" s="507"/>
      <c r="L968" s="508"/>
      <c r="M968" s="508"/>
      <c r="N968" s="508"/>
      <c r="O968" s="509"/>
      <c r="P968" s="509"/>
    </row>
    <row r="969" spans="1:16" ht="21.75" customHeight="1" x14ac:dyDescent="0.3">
      <c r="A969" s="504"/>
      <c r="B969" s="504"/>
      <c r="C969" s="504"/>
      <c r="D969" s="504"/>
      <c r="E969" s="506"/>
      <c r="F969" s="506"/>
      <c r="G969" s="506"/>
      <c r="H969" s="506"/>
      <c r="I969" s="506"/>
      <c r="J969" s="506"/>
      <c r="K969" s="507"/>
      <c r="L969" s="508"/>
      <c r="M969" s="508"/>
      <c r="N969" s="508"/>
      <c r="O969" s="509"/>
      <c r="P969" s="509"/>
    </row>
    <row r="970" spans="1:16" ht="21.75" customHeight="1" x14ac:dyDescent="0.3">
      <c r="A970" s="504"/>
      <c r="B970" s="504"/>
      <c r="C970" s="504"/>
      <c r="D970" s="504"/>
      <c r="E970" s="506"/>
      <c r="F970" s="506"/>
      <c r="G970" s="506"/>
      <c r="H970" s="506"/>
      <c r="I970" s="506"/>
      <c r="J970" s="506"/>
      <c r="K970" s="507"/>
      <c r="L970" s="508"/>
      <c r="M970" s="508"/>
      <c r="N970" s="508"/>
      <c r="O970" s="509"/>
      <c r="P970" s="509"/>
    </row>
    <row r="971" spans="1:16" ht="21.75" customHeight="1" x14ac:dyDescent="0.3">
      <c r="A971" s="504"/>
      <c r="B971" s="504"/>
      <c r="C971" s="504"/>
      <c r="D971" s="504"/>
      <c r="E971" s="506"/>
      <c r="F971" s="506"/>
      <c r="G971" s="506"/>
      <c r="H971" s="506"/>
      <c r="I971" s="506"/>
      <c r="J971" s="506"/>
      <c r="K971" s="507"/>
      <c r="L971" s="508"/>
      <c r="M971" s="508"/>
      <c r="N971" s="508"/>
      <c r="O971" s="509"/>
      <c r="P971" s="509"/>
    </row>
    <row r="972" spans="1:16" ht="21.75" customHeight="1" x14ac:dyDescent="0.3">
      <c r="A972" s="504"/>
      <c r="B972" s="504"/>
      <c r="C972" s="504"/>
      <c r="D972" s="504"/>
      <c r="E972" s="506"/>
      <c r="F972" s="506"/>
      <c r="G972" s="506"/>
      <c r="H972" s="506"/>
      <c r="I972" s="506"/>
      <c r="J972" s="506"/>
      <c r="K972" s="507"/>
      <c r="L972" s="508"/>
      <c r="M972" s="508"/>
      <c r="N972" s="508"/>
      <c r="O972" s="509"/>
      <c r="P972" s="509"/>
    </row>
    <row r="973" spans="1:16" ht="21.75" customHeight="1" x14ac:dyDescent="0.3">
      <c r="A973" s="504"/>
      <c r="B973" s="504"/>
      <c r="C973" s="504"/>
      <c r="D973" s="504"/>
      <c r="E973" s="506"/>
      <c r="F973" s="506"/>
      <c r="G973" s="506"/>
      <c r="H973" s="506"/>
      <c r="I973" s="506"/>
      <c r="J973" s="506"/>
      <c r="K973" s="507"/>
      <c r="L973" s="508"/>
      <c r="M973" s="508"/>
      <c r="N973" s="508"/>
      <c r="O973" s="509"/>
      <c r="P973" s="509"/>
    </row>
    <row r="974" spans="1:16" ht="21.75" customHeight="1" x14ac:dyDescent="0.3">
      <c r="A974" s="504"/>
      <c r="B974" s="504"/>
      <c r="C974" s="504"/>
      <c r="D974" s="504"/>
      <c r="E974" s="506"/>
      <c r="F974" s="506"/>
      <c r="G974" s="506"/>
      <c r="H974" s="506"/>
      <c r="I974" s="506"/>
      <c r="J974" s="506"/>
      <c r="K974" s="507"/>
      <c r="L974" s="508"/>
      <c r="M974" s="508"/>
      <c r="N974" s="508"/>
      <c r="O974" s="509"/>
      <c r="P974" s="509"/>
    </row>
    <row r="975" spans="1:16" ht="21.75" customHeight="1" x14ac:dyDescent="0.3">
      <c r="A975" s="504"/>
      <c r="B975" s="504"/>
      <c r="C975" s="504"/>
      <c r="D975" s="504"/>
      <c r="E975" s="506"/>
      <c r="F975" s="506"/>
      <c r="G975" s="506"/>
      <c r="H975" s="506"/>
      <c r="I975" s="506"/>
      <c r="J975" s="506"/>
      <c r="K975" s="507"/>
      <c r="L975" s="508"/>
      <c r="M975" s="508"/>
      <c r="N975" s="508"/>
      <c r="O975" s="509"/>
      <c r="P975" s="509"/>
    </row>
    <row r="976" spans="1:16" ht="21.75" customHeight="1" x14ac:dyDescent="0.3">
      <c r="A976" s="504"/>
      <c r="B976" s="504"/>
      <c r="C976" s="504"/>
      <c r="D976" s="504"/>
      <c r="E976" s="506"/>
      <c r="F976" s="506"/>
      <c r="G976" s="506"/>
      <c r="H976" s="506"/>
      <c r="I976" s="506"/>
      <c r="J976" s="506"/>
      <c r="K976" s="507"/>
      <c r="L976" s="508"/>
      <c r="M976" s="508"/>
      <c r="N976" s="508"/>
      <c r="O976" s="509"/>
      <c r="P976" s="509"/>
    </row>
    <row r="977" spans="1:16" ht="21.75" customHeight="1" x14ac:dyDescent="0.3">
      <c r="A977" s="504"/>
      <c r="B977" s="504"/>
      <c r="C977" s="504"/>
      <c r="D977" s="504"/>
      <c r="E977" s="506"/>
      <c r="F977" s="506"/>
      <c r="G977" s="506"/>
      <c r="H977" s="506"/>
      <c r="I977" s="506"/>
      <c r="J977" s="506"/>
      <c r="K977" s="507"/>
      <c r="L977" s="508"/>
      <c r="M977" s="508"/>
      <c r="N977" s="508"/>
      <c r="O977" s="509"/>
      <c r="P977" s="509"/>
    </row>
    <row r="978" spans="1:16" ht="21.75" customHeight="1" x14ac:dyDescent="0.3">
      <c r="A978" s="504"/>
      <c r="B978" s="504"/>
      <c r="C978" s="504"/>
      <c r="D978" s="504"/>
      <c r="E978" s="506"/>
      <c r="F978" s="506"/>
      <c r="G978" s="506"/>
      <c r="H978" s="506"/>
      <c r="I978" s="506"/>
      <c r="J978" s="506"/>
      <c r="K978" s="507"/>
      <c r="L978" s="508"/>
      <c r="M978" s="508"/>
      <c r="N978" s="508"/>
      <c r="O978" s="509"/>
      <c r="P978" s="509"/>
    </row>
    <row r="979" spans="1:16" ht="21.75" customHeight="1" x14ac:dyDescent="0.3">
      <c r="A979" s="504"/>
      <c r="B979" s="504"/>
      <c r="C979" s="504"/>
      <c r="D979" s="504"/>
      <c r="E979" s="506"/>
      <c r="F979" s="506"/>
      <c r="G979" s="506"/>
      <c r="H979" s="506"/>
      <c r="I979" s="506"/>
      <c r="J979" s="506"/>
      <c r="K979" s="507"/>
      <c r="L979" s="508"/>
      <c r="M979" s="508"/>
      <c r="N979" s="508"/>
      <c r="O979" s="509"/>
      <c r="P979" s="509"/>
    </row>
    <row r="980" spans="1:16" ht="21.75" customHeight="1" x14ac:dyDescent="0.3">
      <c r="A980" s="504"/>
      <c r="B980" s="504"/>
      <c r="C980" s="504"/>
      <c r="D980" s="504"/>
      <c r="E980" s="506"/>
      <c r="F980" s="506"/>
      <c r="G980" s="506"/>
      <c r="H980" s="506"/>
      <c r="I980" s="506"/>
      <c r="J980" s="506"/>
      <c r="K980" s="507"/>
      <c r="L980" s="508"/>
      <c r="M980" s="508"/>
      <c r="N980" s="508"/>
      <c r="O980" s="509"/>
      <c r="P980" s="509"/>
    </row>
    <row r="981" spans="1:16" ht="21.75" customHeight="1" x14ac:dyDescent="0.3">
      <c r="A981" s="504"/>
      <c r="B981" s="504"/>
      <c r="C981" s="504"/>
      <c r="D981" s="504"/>
      <c r="E981" s="506"/>
      <c r="F981" s="506"/>
      <c r="G981" s="506"/>
      <c r="H981" s="506"/>
      <c r="I981" s="506"/>
      <c r="J981" s="506"/>
      <c r="K981" s="507"/>
      <c r="L981" s="508"/>
      <c r="M981" s="508"/>
      <c r="N981" s="508"/>
      <c r="O981" s="509"/>
      <c r="P981" s="509"/>
    </row>
    <row r="982" spans="1:16" ht="21.75" customHeight="1" x14ac:dyDescent="0.3">
      <c r="A982" s="504"/>
      <c r="B982" s="504"/>
      <c r="C982" s="504"/>
      <c r="D982" s="504"/>
      <c r="E982" s="506"/>
      <c r="F982" s="506"/>
      <c r="G982" s="506"/>
      <c r="H982" s="506"/>
      <c r="I982" s="506"/>
      <c r="J982" s="506"/>
      <c r="K982" s="507"/>
      <c r="L982" s="508"/>
      <c r="M982" s="508"/>
      <c r="N982" s="508"/>
      <c r="O982" s="509"/>
      <c r="P982" s="509"/>
    </row>
    <row r="983" spans="1:16" ht="21.75" customHeight="1" x14ac:dyDescent="0.3">
      <c r="A983" s="504"/>
      <c r="B983" s="504"/>
      <c r="C983" s="504"/>
      <c r="D983" s="504"/>
      <c r="E983" s="506"/>
      <c r="F983" s="506"/>
      <c r="G983" s="506"/>
      <c r="H983" s="506"/>
      <c r="I983" s="506"/>
      <c r="J983" s="506"/>
      <c r="K983" s="507"/>
      <c r="L983" s="508"/>
      <c r="M983" s="508"/>
      <c r="N983" s="508"/>
      <c r="O983" s="509"/>
      <c r="P983" s="509"/>
    </row>
    <row r="984" spans="1:16" ht="21.75" customHeight="1" x14ac:dyDescent="0.3">
      <c r="A984" s="504"/>
      <c r="B984" s="504"/>
      <c r="C984" s="504"/>
      <c r="D984" s="504"/>
      <c r="E984" s="506"/>
      <c r="F984" s="506"/>
      <c r="G984" s="506"/>
      <c r="H984" s="506"/>
      <c r="I984" s="506"/>
      <c r="J984" s="506"/>
      <c r="K984" s="507"/>
      <c r="L984" s="508"/>
      <c r="M984" s="508"/>
      <c r="N984" s="508"/>
      <c r="O984" s="509"/>
      <c r="P984" s="509"/>
    </row>
    <row r="985" spans="1:16" ht="21.75" customHeight="1" x14ac:dyDescent="0.3">
      <c r="A985" s="504"/>
      <c r="B985" s="504"/>
      <c r="C985" s="504"/>
      <c r="D985" s="504"/>
      <c r="E985" s="506"/>
      <c r="F985" s="506"/>
      <c r="G985" s="506"/>
      <c r="H985" s="506"/>
      <c r="I985" s="506"/>
      <c r="J985" s="506"/>
      <c r="K985" s="507"/>
      <c r="L985" s="508"/>
      <c r="M985" s="508"/>
      <c r="N985" s="508"/>
      <c r="O985" s="509"/>
      <c r="P985" s="509"/>
    </row>
    <row r="986" spans="1:16" ht="21.75" customHeight="1" x14ac:dyDescent="0.3">
      <c r="A986" s="504"/>
      <c r="B986" s="504"/>
      <c r="C986" s="504"/>
      <c r="D986" s="504"/>
      <c r="E986" s="506"/>
      <c r="F986" s="506"/>
      <c r="G986" s="506"/>
      <c r="H986" s="506"/>
      <c r="I986" s="506"/>
      <c r="J986" s="506"/>
      <c r="K986" s="507"/>
      <c r="L986" s="508"/>
      <c r="M986" s="508"/>
      <c r="N986" s="508"/>
      <c r="O986" s="509"/>
      <c r="P986" s="509"/>
    </row>
    <row r="987" spans="1:16" ht="21.75" customHeight="1" x14ac:dyDescent="0.3">
      <c r="A987" s="504"/>
      <c r="B987" s="504"/>
      <c r="C987" s="504"/>
      <c r="D987" s="504"/>
      <c r="E987" s="506"/>
      <c r="F987" s="506"/>
      <c r="G987" s="506"/>
      <c r="H987" s="506"/>
      <c r="I987" s="506"/>
      <c r="J987" s="506"/>
      <c r="K987" s="507"/>
      <c r="L987" s="508"/>
      <c r="M987" s="508"/>
      <c r="N987" s="508"/>
      <c r="O987" s="509"/>
      <c r="P987" s="509"/>
    </row>
    <row r="988" spans="1:16" ht="21.75" customHeight="1" x14ac:dyDescent="0.3">
      <c r="A988" s="504"/>
      <c r="B988" s="504"/>
      <c r="C988" s="504"/>
      <c r="D988" s="504"/>
      <c r="E988" s="506"/>
      <c r="F988" s="506"/>
      <c r="G988" s="506"/>
      <c r="H988" s="506"/>
      <c r="I988" s="506"/>
      <c r="J988" s="506"/>
      <c r="K988" s="507"/>
      <c r="L988" s="508"/>
      <c r="M988" s="508"/>
      <c r="N988" s="508"/>
      <c r="O988" s="509"/>
      <c r="P988" s="509"/>
    </row>
    <row r="989" spans="1:16" ht="21.75" customHeight="1" x14ac:dyDescent="0.3">
      <c r="A989" s="504"/>
      <c r="B989" s="504"/>
      <c r="C989" s="504"/>
      <c r="D989" s="504"/>
      <c r="E989" s="506"/>
      <c r="F989" s="506"/>
      <c r="G989" s="506"/>
      <c r="H989" s="506"/>
      <c r="I989" s="506"/>
      <c r="J989" s="506"/>
      <c r="K989" s="507"/>
      <c r="L989" s="508"/>
      <c r="M989" s="508"/>
      <c r="N989" s="508"/>
      <c r="O989" s="509"/>
      <c r="P989" s="509"/>
    </row>
    <row r="990" spans="1:16" ht="21.75" customHeight="1" x14ac:dyDescent="0.3">
      <c r="A990" s="504"/>
      <c r="B990" s="504"/>
      <c r="C990" s="504"/>
      <c r="D990" s="504"/>
      <c r="E990" s="506"/>
      <c r="F990" s="506"/>
      <c r="G990" s="506"/>
      <c r="H990" s="506"/>
      <c r="I990" s="506"/>
      <c r="J990" s="506"/>
      <c r="K990" s="507"/>
      <c r="L990" s="508"/>
      <c r="M990" s="508"/>
      <c r="N990" s="508"/>
      <c r="O990" s="509"/>
      <c r="P990" s="509"/>
    </row>
    <row r="991" spans="1:16" ht="21.75" customHeight="1" x14ac:dyDescent="0.3">
      <c r="A991" s="504"/>
      <c r="B991" s="504"/>
      <c r="C991" s="504"/>
      <c r="D991" s="504"/>
      <c r="E991" s="506"/>
      <c r="F991" s="506"/>
      <c r="G991" s="506"/>
      <c r="H991" s="506"/>
      <c r="I991" s="506"/>
      <c r="J991" s="506"/>
      <c r="K991" s="507"/>
      <c r="L991" s="508"/>
      <c r="M991" s="508"/>
      <c r="N991" s="508"/>
      <c r="O991" s="509"/>
      <c r="P991" s="509"/>
    </row>
    <row r="992" spans="1:16" ht="21.75" customHeight="1" x14ac:dyDescent="0.3">
      <c r="A992" s="504"/>
      <c r="B992" s="504"/>
      <c r="C992" s="504"/>
      <c r="D992" s="504"/>
      <c r="E992" s="506"/>
      <c r="F992" s="506"/>
      <c r="G992" s="506"/>
      <c r="H992" s="506"/>
      <c r="I992" s="506"/>
      <c r="J992" s="506"/>
      <c r="K992" s="507"/>
      <c r="L992" s="508"/>
      <c r="M992" s="508"/>
      <c r="N992" s="508"/>
      <c r="O992" s="509"/>
      <c r="P992" s="509"/>
    </row>
    <row r="993" spans="1:16" ht="21.75" customHeight="1" x14ac:dyDescent="0.3">
      <c r="A993" s="504"/>
      <c r="B993" s="504"/>
      <c r="C993" s="504"/>
      <c r="D993" s="504"/>
      <c r="E993" s="506"/>
      <c r="F993" s="506"/>
      <c r="G993" s="506"/>
      <c r="H993" s="506"/>
      <c r="I993" s="506"/>
      <c r="J993" s="506"/>
      <c r="K993" s="507"/>
      <c r="L993" s="508"/>
      <c r="M993" s="508"/>
      <c r="N993" s="508"/>
      <c r="O993" s="509"/>
      <c r="P993" s="509"/>
    </row>
    <row r="994" spans="1:16" ht="21.75" customHeight="1" x14ac:dyDescent="0.3">
      <c r="A994" s="504"/>
      <c r="B994" s="504"/>
      <c r="C994" s="504"/>
      <c r="D994" s="504"/>
      <c r="E994" s="506"/>
      <c r="F994" s="506"/>
      <c r="G994" s="506"/>
      <c r="H994" s="506"/>
      <c r="I994" s="506"/>
      <c r="J994" s="506"/>
      <c r="K994" s="507"/>
      <c r="L994" s="508"/>
      <c r="M994" s="508"/>
      <c r="N994" s="508"/>
      <c r="O994" s="509"/>
      <c r="P994" s="509"/>
    </row>
    <row r="995" spans="1:16" ht="21.75" customHeight="1" x14ac:dyDescent="0.3">
      <c r="A995" s="504"/>
      <c r="B995" s="504"/>
      <c r="C995" s="504"/>
      <c r="D995" s="504"/>
      <c r="E995" s="506"/>
      <c r="F995" s="506"/>
      <c r="G995" s="506"/>
      <c r="H995" s="506"/>
      <c r="I995" s="506"/>
      <c r="J995" s="506"/>
      <c r="K995" s="507"/>
      <c r="L995" s="508"/>
      <c r="M995" s="508"/>
      <c r="N995" s="508"/>
      <c r="O995" s="509"/>
      <c r="P995" s="509"/>
    </row>
    <row r="996" spans="1:16" ht="21.75" customHeight="1" x14ac:dyDescent="0.3">
      <c r="A996" s="504"/>
      <c r="B996" s="504"/>
      <c r="C996" s="504"/>
      <c r="D996" s="504"/>
      <c r="E996" s="506"/>
      <c r="F996" s="506"/>
      <c r="G996" s="506"/>
      <c r="H996" s="506"/>
      <c r="I996" s="506"/>
      <c r="J996" s="506"/>
      <c r="K996" s="507"/>
      <c r="L996" s="508"/>
      <c r="M996" s="508"/>
      <c r="N996" s="508"/>
      <c r="O996" s="509"/>
      <c r="P996" s="509"/>
    </row>
    <row r="997" spans="1:16" ht="21.75" customHeight="1" x14ac:dyDescent="0.3">
      <c r="A997" s="504"/>
      <c r="B997" s="504"/>
      <c r="C997" s="504"/>
      <c r="D997" s="504"/>
      <c r="E997" s="506"/>
      <c r="F997" s="506"/>
      <c r="G997" s="506"/>
      <c r="H997" s="506"/>
      <c r="I997" s="506"/>
      <c r="J997" s="506"/>
      <c r="K997" s="507"/>
      <c r="L997" s="508"/>
      <c r="M997" s="508"/>
      <c r="N997" s="508"/>
      <c r="O997" s="509"/>
      <c r="P997" s="509"/>
    </row>
    <row r="998" spans="1:16" ht="21.75" customHeight="1" x14ac:dyDescent="0.3">
      <c r="A998" s="504"/>
      <c r="B998" s="504"/>
      <c r="C998" s="504"/>
      <c r="D998" s="504"/>
      <c r="E998" s="506"/>
      <c r="F998" s="506"/>
      <c r="G998" s="506"/>
      <c r="H998" s="506"/>
      <c r="I998" s="506"/>
      <c r="J998" s="506"/>
      <c r="K998" s="507"/>
      <c r="L998" s="508"/>
      <c r="M998" s="508"/>
      <c r="N998" s="508"/>
      <c r="O998" s="509"/>
      <c r="P998" s="509"/>
    </row>
    <row r="999" spans="1:16" ht="21.75" customHeight="1" x14ac:dyDescent="0.3">
      <c r="A999" s="504"/>
      <c r="B999" s="504"/>
      <c r="C999" s="504"/>
      <c r="D999" s="504"/>
      <c r="E999" s="506"/>
      <c r="F999" s="506"/>
      <c r="G999" s="506"/>
      <c r="H999" s="506"/>
      <c r="I999" s="506"/>
      <c r="J999" s="506"/>
      <c r="K999" s="507"/>
      <c r="L999" s="508"/>
      <c r="M999" s="508"/>
      <c r="N999" s="508"/>
      <c r="O999" s="509"/>
      <c r="P999" s="509"/>
    </row>
    <row r="1000" spans="1:16" ht="21.75" customHeight="1" x14ac:dyDescent="0.3">
      <c r="A1000" s="504"/>
      <c r="B1000" s="504"/>
      <c r="C1000" s="504"/>
      <c r="D1000" s="504"/>
      <c r="E1000" s="506"/>
      <c r="F1000" s="506"/>
      <c r="G1000" s="506"/>
      <c r="H1000" s="506"/>
      <c r="I1000" s="506"/>
      <c r="J1000" s="506"/>
      <c r="K1000" s="507"/>
      <c r="L1000" s="508"/>
      <c r="M1000" s="508"/>
      <c r="N1000" s="508"/>
      <c r="O1000" s="509"/>
      <c r="P1000" s="509"/>
    </row>
    <row r="1001" spans="1:16" ht="21.75" customHeight="1" x14ac:dyDescent="0.3">
      <c r="A1001" s="504"/>
      <c r="B1001" s="504"/>
      <c r="C1001" s="504"/>
      <c r="D1001" s="504"/>
      <c r="E1001" s="506"/>
      <c r="F1001" s="506"/>
      <c r="G1001" s="506"/>
      <c r="H1001" s="506"/>
      <c r="I1001" s="506"/>
      <c r="J1001" s="506"/>
      <c r="K1001" s="507"/>
      <c r="L1001" s="508"/>
      <c r="M1001" s="508"/>
      <c r="N1001" s="508"/>
      <c r="O1001" s="509"/>
      <c r="P1001" s="509"/>
    </row>
    <row r="1002" spans="1:16" ht="21.75" customHeight="1" x14ac:dyDescent="0.3">
      <c r="A1002" s="504"/>
      <c r="B1002" s="504"/>
      <c r="C1002" s="504"/>
      <c r="D1002" s="504"/>
      <c r="E1002" s="506"/>
      <c r="F1002" s="506"/>
      <c r="G1002" s="506"/>
      <c r="H1002" s="506"/>
      <c r="I1002" s="506"/>
      <c r="J1002" s="506"/>
      <c r="K1002" s="507"/>
      <c r="L1002" s="508"/>
      <c r="M1002" s="508"/>
      <c r="N1002" s="508"/>
      <c r="O1002" s="509"/>
      <c r="P1002" s="509"/>
    </row>
    <row r="1003" spans="1:16" ht="21.75" customHeight="1" x14ac:dyDescent="0.3">
      <c r="A1003" s="504"/>
      <c r="B1003" s="504"/>
      <c r="C1003" s="504"/>
      <c r="D1003" s="504"/>
      <c r="E1003" s="506"/>
      <c r="F1003" s="506"/>
      <c r="G1003" s="506"/>
      <c r="H1003" s="506"/>
      <c r="I1003" s="506"/>
      <c r="J1003" s="506"/>
      <c r="K1003" s="507"/>
      <c r="L1003" s="508"/>
      <c r="M1003" s="508"/>
      <c r="N1003" s="508"/>
      <c r="O1003" s="509"/>
      <c r="P1003" s="509"/>
    </row>
    <row r="1004" spans="1:16" ht="21.75" customHeight="1" x14ac:dyDescent="0.3">
      <c r="A1004" s="504"/>
      <c r="B1004" s="504"/>
      <c r="C1004" s="504"/>
      <c r="D1004" s="504"/>
      <c r="E1004" s="506"/>
      <c r="F1004" s="506"/>
      <c r="G1004" s="506"/>
      <c r="H1004" s="506"/>
      <c r="I1004" s="506"/>
      <c r="J1004" s="506"/>
      <c r="K1004" s="507"/>
      <c r="L1004" s="508"/>
      <c r="M1004" s="508"/>
      <c r="N1004" s="508"/>
      <c r="O1004" s="509"/>
      <c r="P1004" s="509"/>
    </row>
    <row r="1005" spans="1:16" ht="21.75" customHeight="1" x14ac:dyDescent="0.3">
      <c r="A1005" s="504"/>
      <c r="B1005" s="504"/>
      <c r="C1005" s="504"/>
      <c r="D1005" s="504"/>
      <c r="E1005" s="506"/>
      <c r="F1005" s="506"/>
      <c r="G1005" s="506"/>
      <c r="H1005" s="506"/>
      <c r="I1005" s="506"/>
      <c r="J1005" s="506"/>
      <c r="K1005" s="507"/>
      <c r="L1005" s="508"/>
      <c r="M1005" s="508"/>
      <c r="N1005" s="508"/>
      <c r="O1005" s="509"/>
      <c r="P1005" s="509"/>
    </row>
    <row r="1006" spans="1:16" ht="21.75" customHeight="1" x14ac:dyDescent="0.3">
      <c r="A1006" s="504"/>
      <c r="B1006" s="504"/>
      <c r="C1006" s="504"/>
      <c r="D1006" s="504"/>
      <c r="E1006" s="506"/>
      <c r="F1006" s="506"/>
      <c r="G1006" s="506"/>
      <c r="H1006" s="506"/>
      <c r="I1006" s="506"/>
      <c r="J1006" s="506"/>
      <c r="K1006" s="507"/>
      <c r="L1006" s="508"/>
      <c r="M1006" s="508"/>
      <c r="N1006" s="508"/>
      <c r="O1006" s="509"/>
      <c r="P1006" s="509"/>
    </row>
    <row r="1007" spans="1:16" ht="21.75" customHeight="1" x14ac:dyDescent="0.3">
      <c r="A1007" s="504"/>
      <c r="B1007" s="504"/>
      <c r="C1007" s="504"/>
      <c r="D1007" s="504"/>
      <c r="E1007" s="506"/>
      <c r="F1007" s="506"/>
      <c r="G1007" s="506"/>
      <c r="H1007" s="506"/>
      <c r="I1007" s="506"/>
      <c r="J1007" s="506"/>
      <c r="K1007" s="507"/>
      <c r="L1007" s="508"/>
      <c r="M1007" s="508"/>
      <c r="N1007" s="508"/>
      <c r="O1007" s="509"/>
      <c r="P1007" s="509"/>
    </row>
    <row r="1008" spans="1:16" ht="21.75" customHeight="1" x14ac:dyDescent="0.3">
      <c r="A1008" s="504"/>
      <c r="B1008" s="504"/>
      <c r="C1008" s="504"/>
      <c r="D1008" s="504"/>
      <c r="E1008" s="506"/>
      <c r="F1008" s="506"/>
      <c r="G1008" s="506"/>
      <c r="H1008" s="506"/>
      <c r="I1008" s="506"/>
      <c r="J1008" s="506"/>
      <c r="K1008" s="507"/>
      <c r="L1008" s="508"/>
      <c r="M1008" s="508"/>
      <c r="N1008" s="508"/>
      <c r="O1008" s="509"/>
      <c r="P1008" s="509"/>
    </row>
    <row r="1009" spans="1:16" ht="21.75" customHeight="1" x14ac:dyDescent="0.3">
      <c r="A1009" s="504"/>
      <c r="B1009" s="504"/>
      <c r="C1009" s="504"/>
      <c r="D1009" s="504"/>
      <c r="E1009" s="506"/>
      <c r="F1009" s="506"/>
      <c r="G1009" s="506"/>
      <c r="H1009" s="506"/>
      <c r="I1009" s="506"/>
      <c r="J1009" s="506"/>
      <c r="K1009" s="507"/>
      <c r="L1009" s="508"/>
      <c r="M1009" s="508"/>
      <c r="N1009" s="508"/>
      <c r="O1009" s="509"/>
      <c r="P1009" s="509"/>
    </row>
    <row r="1010" spans="1:16" ht="21.75" customHeight="1" x14ac:dyDescent="0.3">
      <c r="A1010" s="504"/>
      <c r="B1010" s="504"/>
      <c r="C1010" s="504"/>
      <c r="D1010" s="504"/>
      <c r="E1010" s="506"/>
      <c r="F1010" s="506"/>
      <c r="G1010" s="506"/>
      <c r="H1010" s="506"/>
      <c r="I1010" s="506"/>
      <c r="J1010" s="506"/>
      <c r="K1010" s="507"/>
      <c r="L1010" s="508"/>
      <c r="M1010" s="508"/>
      <c r="N1010" s="508"/>
      <c r="O1010" s="509"/>
      <c r="P1010" s="509"/>
    </row>
    <row r="1011" spans="1:16" ht="21.75" customHeight="1" x14ac:dyDescent="0.3">
      <c r="A1011" s="504"/>
      <c r="B1011" s="504"/>
      <c r="C1011" s="504"/>
      <c r="D1011" s="504"/>
      <c r="E1011" s="506"/>
      <c r="F1011" s="506"/>
      <c r="G1011" s="506"/>
      <c r="H1011" s="506"/>
      <c r="I1011" s="506"/>
      <c r="J1011" s="506"/>
      <c r="K1011" s="507"/>
      <c r="L1011" s="508"/>
      <c r="M1011" s="508"/>
      <c r="N1011" s="508"/>
      <c r="O1011" s="509"/>
      <c r="P1011" s="509"/>
    </row>
    <row r="1012" spans="1:16" ht="21.75" customHeight="1" x14ac:dyDescent="0.3">
      <c r="A1012" s="504"/>
      <c r="B1012" s="504"/>
      <c r="C1012" s="504"/>
      <c r="D1012" s="504"/>
      <c r="E1012" s="506"/>
      <c r="F1012" s="506"/>
      <c r="G1012" s="506"/>
      <c r="H1012" s="506"/>
      <c r="I1012" s="506"/>
      <c r="J1012" s="506"/>
      <c r="K1012" s="507"/>
      <c r="L1012" s="508"/>
      <c r="M1012" s="508"/>
      <c r="N1012" s="508"/>
      <c r="O1012" s="509"/>
      <c r="P1012" s="509"/>
    </row>
    <row r="1013" spans="1:16" ht="21.75" customHeight="1" x14ac:dyDescent="0.3">
      <c r="A1013" s="504"/>
      <c r="B1013" s="504"/>
      <c r="C1013" s="504"/>
      <c r="D1013" s="504"/>
      <c r="E1013" s="506"/>
      <c r="F1013" s="506"/>
      <c r="G1013" s="506"/>
      <c r="H1013" s="506"/>
      <c r="I1013" s="506"/>
      <c r="J1013" s="506"/>
      <c r="K1013" s="507"/>
      <c r="L1013" s="508"/>
      <c r="M1013" s="508"/>
      <c r="N1013" s="508"/>
      <c r="O1013" s="509"/>
      <c r="P1013" s="509"/>
    </row>
    <row r="1014" spans="1:16" ht="21.75" customHeight="1" x14ac:dyDescent="0.3">
      <c r="A1014" s="504"/>
      <c r="B1014" s="504"/>
      <c r="C1014" s="504"/>
      <c r="D1014" s="504"/>
      <c r="E1014" s="506"/>
      <c r="F1014" s="506"/>
      <c r="G1014" s="506"/>
      <c r="H1014" s="506"/>
      <c r="I1014" s="506"/>
      <c r="J1014" s="506"/>
      <c r="K1014" s="507"/>
      <c r="L1014" s="508"/>
      <c r="M1014" s="508"/>
      <c r="N1014" s="508"/>
      <c r="O1014" s="509"/>
      <c r="P1014" s="509"/>
    </row>
    <row r="1015" spans="1:16" ht="21.75" customHeight="1" x14ac:dyDescent="0.3">
      <c r="A1015" s="504"/>
      <c r="B1015" s="504"/>
      <c r="C1015" s="504"/>
      <c r="D1015" s="504"/>
      <c r="E1015" s="506"/>
      <c r="F1015" s="506"/>
      <c r="G1015" s="506"/>
      <c r="H1015" s="506"/>
      <c r="I1015" s="506"/>
      <c r="J1015" s="506"/>
      <c r="K1015" s="507"/>
      <c r="L1015" s="508"/>
      <c r="M1015" s="508"/>
      <c r="N1015" s="508"/>
      <c r="O1015" s="509"/>
      <c r="P1015" s="509"/>
    </row>
    <row r="1016" spans="1:16" ht="21.75" customHeight="1" x14ac:dyDescent="0.3">
      <c r="A1016" s="504"/>
      <c r="B1016" s="504"/>
      <c r="C1016" s="504"/>
      <c r="D1016" s="504"/>
      <c r="E1016" s="506"/>
      <c r="F1016" s="506"/>
      <c r="G1016" s="506"/>
      <c r="H1016" s="506"/>
      <c r="I1016" s="506"/>
      <c r="J1016" s="506"/>
      <c r="K1016" s="507"/>
      <c r="L1016" s="508"/>
      <c r="M1016" s="508"/>
      <c r="N1016" s="508"/>
      <c r="O1016" s="509"/>
      <c r="P1016" s="509"/>
    </row>
    <row r="1017" spans="1:16" ht="21.75" customHeight="1" x14ac:dyDescent="0.3">
      <c r="A1017" s="504"/>
      <c r="B1017" s="504"/>
      <c r="C1017" s="504"/>
      <c r="D1017" s="504"/>
      <c r="E1017" s="506"/>
      <c r="F1017" s="506"/>
      <c r="G1017" s="506"/>
      <c r="H1017" s="506"/>
      <c r="I1017" s="506"/>
      <c r="J1017" s="506"/>
      <c r="K1017" s="507"/>
      <c r="L1017" s="508"/>
      <c r="M1017" s="508"/>
      <c r="N1017" s="508"/>
      <c r="O1017" s="509"/>
      <c r="P1017" s="509"/>
    </row>
    <row r="1018" spans="1:16" ht="21.75" customHeight="1" x14ac:dyDescent="0.3">
      <c r="A1018" s="504"/>
      <c r="B1018" s="504"/>
      <c r="C1018" s="504"/>
      <c r="D1018" s="504"/>
      <c r="E1018" s="506"/>
      <c r="F1018" s="506"/>
      <c r="G1018" s="506"/>
      <c r="H1018" s="506"/>
      <c r="I1018" s="506"/>
      <c r="J1018" s="506"/>
      <c r="K1018" s="507"/>
      <c r="L1018" s="508"/>
      <c r="M1018" s="508"/>
      <c r="N1018" s="508"/>
      <c r="O1018" s="509"/>
      <c r="P1018" s="509"/>
    </row>
    <row r="1019" spans="1:16" ht="21.75" customHeight="1" x14ac:dyDescent="0.3">
      <c r="A1019" s="504"/>
      <c r="B1019" s="504"/>
      <c r="C1019" s="504"/>
      <c r="D1019" s="504"/>
      <c r="E1019" s="506"/>
      <c r="F1019" s="506"/>
      <c r="G1019" s="506"/>
      <c r="H1019" s="506"/>
      <c r="I1019" s="506"/>
      <c r="J1019" s="506"/>
      <c r="K1019" s="507"/>
      <c r="L1019" s="508"/>
      <c r="M1019" s="508"/>
      <c r="N1019" s="508"/>
      <c r="O1019" s="509"/>
      <c r="P1019" s="509"/>
    </row>
    <row r="1020" spans="1:16" ht="21.75" customHeight="1" x14ac:dyDescent="0.3">
      <c r="A1020" s="504"/>
      <c r="B1020" s="504"/>
      <c r="C1020" s="504"/>
      <c r="D1020" s="504"/>
      <c r="E1020" s="506"/>
      <c r="F1020" s="506"/>
      <c r="G1020" s="506"/>
      <c r="H1020" s="506"/>
      <c r="I1020" s="506"/>
      <c r="J1020" s="506"/>
      <c r="K1020" s="507"/>
      <c r="L1020" s="508"/>
      <c r="M1020" s="508"/>
      <c r="N1020" s="508"/>
      <c r="O1020" s="509"/>
      <c r="P1020" s="509"/>
    </row>
    <row r="1021" spans="1:16" ht="21.75" customHeight="1" x14ac:dyDescent="0.3">
      <c r="A1021" s="504"/>
      <c r="B1021" s="504"/>
      <c r="C1021" s="504"/>
      <c r="D1021" s="504"/>
      <c r="E1021" s="506"/>
      <c r="F1021" s="506"/>
      <c r="G1021" s="506"/>
      <c r="H1021" s="506"/>
      <c r="I1021" s="506"/>
      <c r="J1021" s="506"/>
      <c r="K1021" s="507"/>
      <c r="L1021" s="508"/>
      <c r="M1021" s="508"/>
      <c r="N1021" s="508"/>
      <c r="O1021" s="509"/>
      <c r="P1021" s="509"/>
    </row>
    <row r="1022" spans="1:16" ht="21.75" customHeight="1" x14ac:dyDescent="0.3">
      <c r="A1022" s="504"/>
      <c r="B1022" s="504"/>
      <c r="C1022" s="504"/>
      <c r="D1022" s="504"/>
      <c r="E1022" s="506"/>
      <c r="F1022" s="506"/>
      <c r="G1022" s="506"/>
      <c r="H1022" s="506"/>
      <c r="I1022" s="506"/>
      <c r="J1022" s="506"/>
      <c r="K1022" s="507"/>
      <c r="L1022" s="508"/>
      <c r="M1022" s="508"/>
      <c r="N1022" s="508"/>
      <c r="O1022" s="509"/>
      <c r="P1022" s="509"/>
    </row>
    <row r="1023" spans="1:16" ht="21.75" customHeight="1" x14ac:dyDescent="0.3">
      <c r="A1023" s="504"/>
      <c r="B1023" s="504"/>
      <c r="C1023" s="504"/>
      <c r="D1023" s="504"/>
      <c r="E1023" s="506"/>
      <c r="F1023" s="506"/>
      <c r="G1023" s="506"/>
      <c r="H1023" s="506"/>
      <c r="I1023" s="506"/>
      <c r="J1023" s="506"/>
      <c r="K1023" s="507"/>
      <c r="L1023" s="508"/>
      <c r="M1023" s="508"/>
      <c r="N1023" s="508"/>
      <c r="O1023" s="509"/>
      <c r="P1023" s="509"/>
    </row>
    <row r="1024" spans="1:16" ht="21.75" customHeight="1" x14ac:dyDescent="0.3">
      <c r="A1024" s="504"/>
      <c r="B1024" s="504"/>
      <c r="C1024" s="504"/>
      <c r="D1024" s="504"/>
      <c r="E1024" s="506"/>
      <c r="F1024" s="506"/>
      <c r="G1024" s="506"/>
      <c r="H1024" s="506"/>
      <c r="I1024" s="506"/>
      <c r="J1024" s="506"/>
      <c r="K1024" s="507"/>
      <c r="L1024" s="508"/>
      <c r="M1024" s="508"/>
      <c r="N1024" s="508"/>
      <c r="O1024" s="509"/>
      <c r="P1024" s="509"/>
    </row>
    <row r="1025" spans="1:16" ht="21.75" customHeight="1" x14ac:dyDescent="0.3">
      <c r="A1025" s="504"/>
      <c r="B1025" s="504"/>
      <c r="C1025" s="504"/>
      <c r="D1025" s="504"/>
      <c r="E1025" s="506"/>
      <c r="F1025" s="506"/>
      <c r="G1025" s="506"/>
      <c r="H1025" s="506"/>
      <c r="I1025" s="506"/>
      <c r="J1025" s="506"/>
      <c r="K1025" s="507"/>
      <c r="L1025" s="508"/>
      <c r="M1025" s="508"/>
      <c r="N1025" s="508"/>
      <c r="O1025" s="509"/>
      <c r="P1025" s="509"/>
    </row>
    <row r="1026" spans="1:16" ht="21.75" customHeight="1" x14ac:dyDescent="0.3">
      <c r="A1026" s="504"/>
      <c r="B1026" s="504"/>
      <c r="C1026" s="504"/>
      <c r="D1026" s="504"/>
      <c r="E1026" s="506"/>
      <c r="F1026" s="506"/>
      <c r="G1026" s="506"/>
      <c r="H1026" s="506"/>
      <c r="I1026" s="506"/>
      <c r="J1026" s="506"/>
      <c r="K1026" s="507"/>
      <c r="L1026" s="508"/>
      <c r="M1026" s="508"/>
      <c r="N1026" s="508"/>
      <c r="O1026" s="509"/>
      <c r="P1026" s="509"/>
    </row>
    <row r="1027" spans="1:16" ht="21.75" customHeight="1" x14ac:dyDescent="0.3">
      <c r="A1027" s="504"/>
      <c r="B1027" s="504"/>
      <c r="C1027" s="504"/>
      <c r="D1027" s="504"/>
      <c r="E1027" s="506"/>
      <c r="F1027" s="506"/>
      <c r="G1027" s="506"/>
      <c r="H1027" s="506"/>
      <c r="I1027" s="506"/>
      <c r="J1027" s="506"/>
      <c r="K1027" s="507"/>
      <c r="L1027" s="508"/>
      <c r="M1027" s="508"/>
      <c r="N1027" s="508"/>
      <c r="O1027" s="509"/>
      <c r="P1027" s="509"/>
    </row>
    <row r="1028" spans="1:16" ht="21.75" customHeight="1" x14ac:dyDescent="0.3">
      <c r="A1028" s="504"/>
      <c r="B1028" s="504"/>
      <c r="C1028" s="504"/>
      <c r="D1028" s="504"/>
      <c r="E1028" s="506"/>
      <c r="F1028" s="506"/>
      <c r="G1028" s="506"/>
      <c r="H1028" s="506"/>
      <c r="I1028" s="506"/>
      <c r="J1028" s="506"/>
      <c r="K1028" s="507"/>
      <c r="L1028" s="508"/>
      <c r="M1028" s="508"/>
      <c r="N1028" s="508"/>
      <c r="O1028" s="509"/>
      <c r="P1028" s="509"/>
    </row>
    <row r="1029" spans="1:16" ht="21.75" customHeight="1" x14ac:dyDescent="0.3">
      <c r="A1029" s="504"/>
      <c r="B1029" s="504"/>
      <c r="C1029" s="504"/>
      <c r="D1029" s="504"/>
      <c r="E1029" s="506"/>
      <c r="F1029" s="506"/>
      <c r="G1029" s="506"/>
      <c r="H1029" s="506"/>
      <c r="I1029" s="506"/>
      <c r="J1029" s="506"/>
      <c r="K1029" s="507"/>
      <c r="L1029" s="508"/>
      <c r="M1029" s="508"/>
      <c r="N1029" s="508"/>
      <c r="O1029" s="509"/>
      <c r="P1029" s="509"/>
    </row>
    <row r="1030" spans="1:16" ht="21.75" customHeight="1" x14ac:dyDescent="0.3">
      <c r="A1030" s="504"/>
      <c r="B1030" s="504"/>
      <c r="C1030" s="504"/>
      <c r="D1030" s="504"/>
      <c r="E1030" s="506"/>
      <c r="F1030" s="506"/>
      <c r="G1030" s="506"/>
      <c r="H1030" s="506"/>
      <c r="I1030" s="506"/>
      <c r="J1030" s="506"/>
      <c r="K1030" s="507"/>
      <c r="L1030" s="508"/>
      <c r="M1030" s="508"/>
      <c r="N1030" s="508"/>
      <c r="O1030" s="509"/>
      <c r="P1030" s="509"/>
    </row>
    <row r="1031" spans="1:16" ht="21.75" customHeight="1" x14ac:dyDescent="0.3">
      <c r="A1031" s="504"/>
      <c r="B1031" s="504"/>
      <c r="C1031" s="504"/>
      <c r="D1031" s="504"/>
      <c r="E1031" s="506"/>
      <c r="F1031" s="506"/>
      <c r="G1031" s="506"/>
      <c r="H1031" s="506"/>
      <c r="I1031" s="506"/>
      <c r="J1031" s="506"/>
      <c r="K1031" s="507"/>
      <c r="L1031" s="508"/>
      <c r="M1031" s="508"/>
      <c r="N1031" s="508"/>
      <c r="O1031" s="509"/>
      <c r="P1031" s="509"/>
    </row>
    <row r="1032" spans="1:16" ht="21.75" customHeight="1" x14ac:dyDescent="0.3">
      <c r="A1032" s="504"/>
      <c r="B1032" s="504"/>
      <c r="C1032" s="504"/>
      <c r="D1032" s="504"/>
      <c r="E1032" s="506"/>
      <c r="F1032" s="506"/>
      <c r="G1032" s="506"/>
      <c r="H1032" s="506"/>
      <c r="I1032" s="506"/>
      <c r="J1032" s="506"/>
      <c r="K1032" s="507"/>
      <c r="L1032" s="508"/>
      <c r="M1032" s="508"/>
      <c r="N1032" s="508"/>
      <c r="O1032" s="509"/>
      <c r="P1032" s="509"/>
    </row>
    <row r="1033" spans="1:16" ht="21.75" customHeight="1" x14ac:dyDescent="0.3">
      <c r="A1033" s="504"/>
      <c r="B1033" s="504"/>
      <c r="C1033" s="504"/>
      <c r="D1033" s="504"/>
      <c r="E1033" s="506"/>
      <c r="F1033" s="506"/>
      <c r="G1033" s="506"/>
      <c r="H1033" s="506"/>
      <c r="I1033" s="506"/>
      <c r="J1033" s="506"/>
      <c r="K1033" s="507"/>
      <c r="L1033" s="508"/>
      <c r="M1033" s="508"/>
      <c r="N1033" s="508"/>
      <c r="O1033" s="509"/>
      <c r="P1033" s="509"/>
    </row>
    <row r="1034" spans="1:16" ht="21.75" customHeight="1" x14ac:dyDescent="0.3">
      <c r="A1034" s="504"/>
      <c r="B1034" s="504"/>
      <c r="C1034" s="504"/>
      <c r="D1034" s="504"/>
      <c r="E1034" s="506"/>
      <c r="F1034" s="506"/>
      <c r="G1034" s="506"/>
      <c r="H1034" s="506"/>
      <c r="I1034" s="506"/>
      <c r="J1034" s="506"/>
      <c r="K1034" s="507"/>
      <c r="L1034" s="508"/>
      <c r="M1034" s="508"/>
      <c r="N1034" s="508"/>
      <c r="O1034" s="509"/>
      <c r="P1034" s="509"/>
    </row>
    <row r="1035" spans="1:16" ht="21.75" customHeight="1" x14ac:dyDescent="0.3">
      <c r="A1035" s="504"/>
      <c r="B1035" s="504"/>
      <c r="C1035" s="504"/>
      <c r="D1035" s="504"/>
      <c r="E1035" s="506"/>
      <c r="F1035" s="506"/>
      <c r="G1035" s="506"/>
      <c r="H1035" s="506"/>
      <c r="I1035" s="506"/>
      <c r="J1035" s="506"/>
      <c r="K1035" s="507"/>
      <c r="L1035" s="508"/>
      <c r="M1035" s="508"/>
      <c r="N1035" s="508"/>
      <c r="O1035" s="509"/>
      <c r="P1035" s="509"/>
    </row>
    <row r="1036" spans="1:16" ht="21.75" customHeight="1" x14ac:dyDescent="0.3">
      <c r="A1036" s="504"/>
      <c r="B1036" s="504"/>
      <c r="C1036" s="504"/>
      <c r="D1036" s="504"/>
      <c r="E1036" s="506"/>
      <c r="F1036" s="506"/>
      <c r="G1036" s="506"/>
      <c r="H1036" s="506"/>
      <c r="I1036" s="506"/>
      <c r="J1036" s="506"/>
      <c r="K1036" s="507"/>
      <c r="L1036" s="508"/>
      <c r="M1036" s="508"/>
      <c r="N1036" s="508"/>
      <c r="O1036" s="509"/>
      <c r="P1036" s="509"/>
    </row>
    <row r="1037" spans="1:16" ht="21.75" customHeight="1" x14ac:dyDescent="0.3">
      <c r="A1037" s="504"/>
      <c r="B1037" s="504"/>
      <c r="C1037" s="504"/>
      <c r="D1037" s="504"/>
      <c r="E1037" s="506"/>
      <c r="F1037" s="506"/>
      <c r="G1037" s="506"/>
      <c r="H1037" s="506"/>
      <c r="I1037" s="506"/>
      <c r="J1037" s="506"/>
      <c r="K1037" s="507"/>
      <c r="L1037" s="508"/>
      <c r="M1037" s="508"/>
      <c r="N1037" s="508"/>
      <c r="O1037" s="509"/>
      <c r="P1037" s="509"/>
    </row>
    <row r="1038" spans="1:16" ht="21.75" customHeight="1" x14ac:dyDescent="0.3">
      <c r="A1038" s="504"/>
      <c r="B1038" s="504"/>
      <c r="C1038" s="504"/>
      <c r="D1038" s="504"/>
      <c r="E1038" s="506"/>
      <c r="F1038" s="506"/>
      <c r="G1038" s="506"/>
      <c r="H1038" s="506"/>
      <c r="I1038" s="506"/>
      <c r="J1038" s="506"/>
      <c r="K1038" s="507"/>
      <c r="L1038" s="508"/>
      <c r="M1038" s="508"/>
      <c r="N1038" s="508"/>
      <c r="O1038" s="509"/>
      <c r="P1038" s="509"/>
    </row>
    <row r="1039" spans="1:16" ht="21.75" customHeight="1" x14ac:dyDescent="0.3">
      <c r="A1039" s="504"/>
      <c r="B1039" s="504"/>
      <c r="C1039" s="504"/>
      <c r="D1039" s="504"/>
      <c r="E1039" s="506"/>
      <c r="F1039" s="506"/>
      <c r="G1039" s="506"/>
      <c r="H1039" s="506"/>
      <c r="I1039" s="506"/>
      <c r="J1039" s="506"/>
      <c r="K1039" s="507"/>
      <c r="L1039" s="508"/>
      <c r="M1039" s="508"/>
      <c r="N1039" s="508"/>
      <c r="O1039" s="509"/>
      <c r="P1039" s="509"/>
    </row>
    <row r="1040" spans="1:16" ht="21.75" customHeight="1" x14ac:dyDescent="0.3">
      <c r="A1040" s="504"/>
      <c r="B1040" s="504"/>
      <c r="C1040" s="504"/>
      <c r="D1040" s="504"/>
      <c r="E1040" s="506"/>
      <c r="F1040" s="506"/>
      <c r="G1040" s="506"/>
      <c r="H1040" s="506"/>
      <c r="I1040" s="506"/>
      <c r="J1040" s="506"/>
      <c r="K1040" s="507"/>
      <c r="L1040" s="508"/>
      <c r="M1040" s="508"/>
      <c r="N1040" s="508"/>
      <c r="O1040" s="509"/>
      <c r="P1040" s="509"/>
    </row>
    <row r="1041" spans="1:16" ht="21.75" customHeight="1" x14ac:dyDescent="0.3">
      <c r="A1041" s="504"/>
      <c r="B1041" s="504"/>
      <c r="C1041" s="504"/>
      <c r="D1041" s="504"/>
      <c r="E1041" s="506"/>
      <c r="F1041" s="506"/>
      <c r="G1041" s="506"/>
      <c r="H1041" s="506"/>
      <c r="I1041" s="506"/>
      <c r="J1041" s="506"/>
      <c r="K1041" s="507"/>
      <c r="L1041" s="508"/>
      <c r="M1041" s="508"/>
      <c r="N1041" s="508"/>
      <c r="O1041" s="509"/>
      <c r="P1041" s="509"/>
    </row>
    <row r="1042" spans="1:16" ht="21.75" customHeight="1" x14ac:dyDescent="0.3">
      <c r="A1042" s="504"/>
      <c r="B1042" s="504"/>
      <c r="C1042" s="504"/>
      <c r="D1042" s="504"/>
      <c r="E1042" s="506"/>
      <c r="F1042" s="506"/>
      <c r="G1042" s="506"/>
      <c r="H1042" s="506"/>
      <c r="I1042" s="506"/>
      <c r="J1042" s="506"/>
      <c r="K1042" s="507"/>
      <c r="L1042" s="508"/>
      <c r="M1042" s="508"/>
      <c r="N1042" s="508"/>
      <c r="O1042" s="509"/>
      <c r="P1042" s="509"/>
    </row>
    <row r="1043" spans="1:16" ht="21.75" customHeight="1" x14ac:dyDescent="0.3">
      <c r="A1043" s="504"/>
      <c r="B1043" s="504"/>
      <c r="C1043" s="504"/>
      <c r="D1043" s="504"/>
      <c r="E1043" s="506"/>
      <c r="F1043" s="506"/>
      <c r="G1043" s="506"/>
      <c r="H1043" s="506"/>
      <c r="I1043" s="506"/>
      <c r="J1043" s="506"/>
      <c r="K1043" s="507"/>
      <c r="L1043" s="508"/>
      <c r="M1043" s="508"/>
      <c r="N1043" s="508"/>
      <c r="O1043" s="509"/>
      <c r="P1043" s="509"/>
    </row>
    <row r="1044" spans="1:16" ht="21.75" customHeight="1" x14ac:dyDescent="0.3">
      <c r="A1044" s="504"/>
      <c r="B1044" s="504"/>
      <c r="C1044" s="504"/>
      <c r="D1044" s="504"/>
      <c r="E1044" s="506"/>
      <c r="F1044" s="506"/>
      <c r="G1044" s="506"/>
      <c r="H1044" s="506"/>
      <c r="I1044" s="506"/>
      <c r="J1044" s="506"/>
      <c r="K1044" s="507"/>
      <c r="L1044" s="508"/>
      <c r="M1044" s="508"/>
      <c r="N1044" s="508"/>
      <c r="O1044" s="509"/>
      <c r="P1044" s="509"/>
    </row>
    <row r="1045" spans="1:16" ht="21.75" customHeight="1" x14ac:dyDescent="0.3">
      <c r="A1045" s="504"/>
      <c r="B1045" s="504"/>
      <c r="C1045" s="504"/>
      <c r="D1045" s="504"/>
      <c r="E1045" s="506"/>
      <c r="F1045" s="506"/>
      <c r="G1045" s="506"/>
      <c r="H1045" s="506"/>
      <c r="I1045" s="506"/>
      <c r="J1045" s="506"/>
      <c r="K1045" s="507"/>
      <c r="L1045" s="508"/>
      <c r="M1045" s="508"/>
      <c r="N1045" s="508"/>
      <c r="O1045" s="509"/>
      <c r="P1045" s="509"/>
    </row>
    <row r="1046" spans="1:16" ht="21.75" customHeight="1" x14ac:dyDescent="0.3">
      <c r="A1046" s="504"/>
      <c r="B1046" s="504"/>
      <c r="C1046" s="504"/>
      <c r="D1046" s="504"/>
      <c r="E1046" s="506"/>
      <c r="F1046" s="506"/>
      <c r="G1046" s="506"/>
      <c r="H1046" s="506"/>
      <c r="I1046" s="506"/>
      <c r="J1046" s="506"/>
      <c r="K1046" s="507"/>
      <c r="L1046" s="508"/>
      <c r="M1046" s="508"/>
      <c r="N1046" s="508"/>
      <c r="O1046" s="509"/>
      <c r="P1046" s="509"/>
    </row>
    <row r="1047" spans="1:16" ht="21.75" customHeight="1" x14ac:dyDescent="0.3">
      <c r="A1047" s="504"/>
      <c r="B1047" s="504"/>
      <c r="C1047" s="504"/>
      <c r="D1047" s="504"/>
      <c r="E1047" s="506"/>
      <c r="F1047" s="506"/>
      <c r="G1047" s="506"/>
      <c r="H1047" s="506"/>
      <c r="I1047" s="506"/>
      <c r="J1047" s="506"/>
      <c r="K1047" s="507"/>
      <c r="L1047" s="508"/>
      <c r="M1047" s="508"/>
      <c r="N1047" s="508"/>
      <c r="O1047" s="509"/>
      <c r="P1047" s="509"/>
    </row>
    <row r="1048" spans="1:16" ht="21.75" customHeight="1" x14ac:dyDescent="0.3">
      <c r="A1048" s="504"/>
      <c r="B1048" s="504"/>
      <c r="C1048" s="504"/>
      <c r="D1048" s="504"/>
      <c r="E1048" s="506"/>
      <c r="F1048" s="506"/>
      <c r="G1048" s="506"/>
      <c r="H1048" s="506"/>
      <c r="I1048" s="506"/>
      <c r="J1048" s="506"/>
      <c r="K1048" s="507"/>
      <c r="L1048" s="508"/>
      <c r="M1048" s="508"/>
      <c r="N1048" s="508"/>
      <c r="O1048" s="509"/>
      <c r="P1048" s="509"/>
    </row>
    <row r="1049" spans="1:16" ht="21.75" customHeight="1" x14ac:dyDescent="0.3">
      <c r="A1049" s="504"/>
      <c r="B1049" s="504"/>
      <c r="C1049" s="504"/>
      <c r="D1049" s="504"/>
      <c r="E1049" s="506"/>
      <c r="F1049" s="506"/>
      <c r="G1049" s="506"/>
      <c r="H1049" s="506"/>
      <c r="I1049" s="506"/>
      <c r="J1049" s="506"/>
      <c r="K1049" s="507"/>
      <c r="L1049" s="508"/>
      <c r="M1049" s="508"/>
      <c r="N1049" s="508"/>
      <c r="O1049" s="509"/>
      <c r="P1049" s="509"/>
    </row>
    <row r="1050" spans="1:16" ht="21.75" customHeight="1" x14ac:dyDescent="0.3">
      <c r="A1050" s="504"/>
      <c r="B1050" s="504"/>
      <c r="C1050" s="504"/>
      <c r="D1050" s="504"/>
      <c r="E1050" s="506"/>
      <c r="F1050" s="506"/>
      <c r="G1050" s="506"/>
      <c r="H1050" s="506"/>
      <c r="I1050" s="506"/>
      <c r="J1050" s="506"/>
      <c r="K1050" s="507"/>
      <c r="L1050" s="508"/>
      <c r="M1050" s="508"/>
      <c r="N1050" s="508"/>
      <c r="O1050" s="509"/>
      <c r="P1050" s="509"/>
    </row>
    <row r="1051" spans="1:16" ht="21.75" customHeight="1" x14ac:dyDescent="0.3">
      <c r="A1051" s="504"/>
      <c r="B1051" s="504"/>
      <c r="C1051" s="504"/>
      <c r="D1051" s="504"/>
      <c r="E1051" s="506"/>
      <c r="F1051" s="506"/>
      <c r="G1051" s="506"/>
      <c r="H1051" s="506"/>
      <c r="I1051" s="506"/>
      <c r="J1051" s="506"/>
      <c r="K1051" s="507"/>
      <c r="L1051" s="508"/>
      <c r="M1051" s="508"/>
      <c r="N1051" s="508"/>
      <c r="O1051" s="509"/>
      <c r="P1051" s="509"/>
    </row>
    <row r="1052" spans="1:16" ht="21.75" customHeight="1" x14ac:dyDescent="0.3">
      <c r="A1052" s="504"/>
      <c r="B1052" s="504"/>
      <c r="C1052" s="504"/>
      <c r="D1052" s="504"/>
      <c r="E1052" s="506"/>
      <c r="F1052" s="506"/>
      <c r="G1052" s="506"/>
      <c r="H1052" s="506"/>
      <c r="I1052" s="506"/>
      <c r="J1052" s="506"/>
      <c r="K1052" s="507"/>
      <c r="L1052" s="508"/>
      <c r="M1052" s="508"/>
      <c r="N1052" s="508"/>
      <c r="O1052" s="509"/>
      <c r="P1052" s="509"/>
    </row>
    <row r="1053" spans="1:16" ht="21.75" customHeight="1" x14ac:dyDescent="0.3">
      <c r="A1053" s="504"/>
      <c r="B1053" s="504"/>
      <c r="C1053" s="504"/>
      <c r="D1053" s="504"/>
      <c r="E1053" s="506"/>
      <c r="F1053" s="506"/>
      <c r="G1053" s="506"/>
      <c r="H1053" s="506"/>
      <c r="I1053" s="506"/>
      <c r="J1053" s="506"/>
      <c r="K1053" s="507"/>
      <c r="L1053" s="508"/>
      <c r="M1053" s="508"/>
      <c r="N1053" s="508"/>
      <c r="O1053" s="509"/>
      <c r="P1053" s="509"/>
    </row>
    <row r="1054" spans="1:16" ht="21.75" customHeight="1" x14ac:dyDescent="0.3">
      <c r="A1054" s="504"/>
      <c r="B1054" s="504"/>
      <c r="C1054" s="504"/>
      <c r="D1054" s="504"/>
      <c r="E1054" s="506"/>
      <c r="F1054" s="506"/>
      <c r="G1054" s="506"/>
      <c r="H1054" s="506"/>
      <c r="I1054" s="506"/>
      <c r="J1054" s="506"/>
      <c r="K1054" s="507"/>
      <c r="L1054" s="508"/>
      <c r="M1054" s="508"/>
      <c r="N1054" s="508"/>
      <c r="O1054" s="509"/>
      <c r="P1054" s="509"/>
    </row>
    <row r="1055" spans="1:16" ht="21.75" customHeight="1" x14ac:dyDescent="0.3">
      <c r="A1055" s="504"/>
      <c r="B1055" s="504"/>
      <c r="C1055" s="504"/>
      <c r="D1055" s="504"/>
      <c r="E1055" s="506"/>
      <c r="F1055" s="506"/>
      <c r="G1055" s="506"/>
      <c r="H1055" s="506"/>
      <c r="I1055" s="506"/>
      <c r="J1055" s="506"/>
      <c r="K1055" s="507"/>
      <c r="L1055" s="508"/>
      <c r="M1055" s="508"/>
      <c r="N1055" s="508"/>
      <c r="O1055" s="509"/>
      <c r="P1055" s="509"/>
    </row>
    <row r="1056" spans="1:16" ht="21.75" customHeight="1" x14ac:dyDescent="0.3">
      <c r="A1056" s="504"/>
      <c r="B1056" s="504"/>
      <c r="C1056" s="504"/>
      <c r="D1056" s="504"/>
      <c r="E1056" s="506"/>
      <c r="F1056" s="506"/>
      <c r="G1056" s="506"/>
      <c r="H1056" s="506"/>
      <c r="I1056" s="506"/>
      <c r="J1056" s="506"/>
      <c r="K1056" s="507"/>
      <c r="L1056" s="508"/>
      <c r="M1056" s="508"/>
      <c r="N1056" s="508"/>
      <c r="O1056" s="509"/>
      <c r="P1056" s="509"/>
    </row>
    <row r="1057" spans="1:16" ht="21.75" customHeight="1" x14ac:dyDescent="0.3">
      <c r="A1057" s="504"/>
      <c r="B1057" s="504"/>
      <c r="C1057" s="504"/>
      <c r="D1057" s="504"/>
      <c r="E1057" s="506"/>
      <c r="F1057" s="506"/>
      <c r="G1057" s="506"/>
      <c r="H1057" s="506"/>
      <c r="I1057" s="506"/>
      <c r="J1057" s="506"/>
      <c r="K1057" s="507"/>
      <c r="L1057" s="508"/>
      <c r="M1057" s="508"/>
      <c r="N1057" s="508"/>
      <c r="O1057" s="509"/>
      <c r="P1057" s="509"/>
    </row>
    <row r="1058" spans="1:16" ht="21.75" customHeight="1" x14ac:dyDescent="0.3">
      <c r="A1058" s="504"/>
      <c r="B1058" s="504"/>
      <c r="C1058" s="504"/>
      <c r="D1058" s="504"/>
      <c r="E1058" s="506"/>
      <c r="F1058" s="506"/>
      <c r="G1058" s="506"/>
      <c r="H1058" s="506"/>
      <c r="I1058" s="506"/>
      <c r="J1058" s="506"/>
      <c r="K1058" s="507"/>
      <c r="L1058" s="508"/>
      <c r="M1058" s="508"/>
      <c r="N1058" s="508"/>
      <c r="O1058" s="509"/>
      <c r="P1058" s="509"/>
    </row>
    <row r="1059" spans="1:16" ht="21.75" customHeight="1" x14ac:dyDescent="0.3">
      <c r="A1059" s="504"/>
      <c r="B1059" s="504"/>
      <c r="C1059" s="504"/>
      <c r="D1059" s="504"/>
      <c r="E1059" s="506"/>
      <c r="F1059" s="506"/>
      <c r="G1059" s="506"/>
      <c r="H1059" s="506"/>
      <c r="I1059" s="506"/>
      <c r="J1059" s="506"/>
      <c r="K1059" s="507"/>
      <c r="L1059" s="508"/>
      <c r="M1059" s="508"/>
      <c r="N1059" s="508"/>
      <c r="O1059" s="509"/>
      <c r="P1059" s="509"/>
    </row>
    <row r="1060" spans="1:16" ht="21.75" customHeight="1" x14ac:dyDescent="0.3">
      <c r="A1060" s="504"/>
      <c r="B1060" s="504"/>
      <c r="C1060" s="504"/>
      <c r="D1060" s="504"/>
      <c r="E1060" s="506"/>
      <c r="F1060" s="506"/>
      <c r="G1060" s="506"/>
      <c r="H1060" s="506"/>
      <c r="I1060" s="506"/>
      <c r="J1060" s="506"/>
      <c r="K1060" s="507"/>
      <c r="L1060" s="508"/>
      <c r="M1060" s="508"/>
      <c r="N1060" s="508"/>
      <c r="O1060" s="509"/>
      <c r="P1060" s="509"/>
    </row>
    <row r="1061" spans="1:16" ht="21.75" customHeight="1" x14ac:dyDescent="0.3">
      <c r="A1061" s="504"/>
      <c r="B1061" s="504"/>
      <c r="C1061" s="504"/>
      <c r="D1061" s="504"/>
      <c r="E1061" s="506"/>
      <c r="F1061" s="506"/>
      <c r="G1061" s="506"/>
      <c r="H1061" s="506"/>
      <c r="I1061" s="506"/>
      <c r="J1061" s="506"/>
      <c r="K1061" s="507"/>
      <c r="L1061" s="508"/>
      <c r="M1061" s="508"/>
      <c r="N1061" s="508"/>
      <c r="O1061" s="509"/>
      <c r="P1061" s="509"/>
    </row>
    <row r="1062" spans="1:16" ht="21.75" customHeight="1" x14ac:dyDescent="0.3">
      <c r="A1062" s="504"/>
      <c r="B1062" s="504"/>
      <c r="C1062" s="504"/>
      <c r="D1062" s="504"/>
      <c r="E1062" s="506"/>
      <c r="F1062" s="506"/>
      <c r="G1062" s="506"/>
      <c r="H1062" s="506"/>
      <c r="I1062" s="506"/>
      <c r="J1062" s="506"/>
      <c r="K1062" s="507"/>
      <c r="L1062" s="508"/>
      <c r="M1062" s="508"/>
      <c r="N1062" s="508"/>
      <c r="O1062" s="509"/>
      <c r="P1062" s="509"/>
    </row>
    <row r="1063" spans="1:16" ht="21.75" customHeight="1" x14ac:dyDescent="0.3">
      <c r="A1063" s="504"/>
      <c r="B1063" s="504"/>
      <c r="C1063" s="504"/>
      <c r="D1063" s="504"/>
      <c r="E1063" s="506"/>
      <c r="F1063" s="506"/>
      <c r="G1063" s="506"/>
      <c r="H1063" s="506"/>
      <c r="I1063" s="506"/>
      <c r="J1063" s="506"/>
      <c r="K1063" s="507"/>
      <c r="L1063" s="508"/>
      <c r="M1063" s="508"/>
      <c r="N1063" s="508"/>
      <c r="O1063" s="509"/>
      <c r="P1063" s="509"/>
    </row>
    <row r="1064" spans="1:16" ht="21.75" customHeight="1" x14ac:dyDescent="0.3">
      <c r="A1064" s="504"/>
      <c r="B1064" s="504"/>
      <c r="C1064" s="504"/>
      <c r="D1064" s="504"/>
      <c r="E1064" s="506"/>
      <c r="F1064" s="506"/>
      <c r="G1064" s="506"/>
      <c r="H1064" s="506"/>
      <c r="I1064" s="506"/>
      <c r="J1064" s="506"/>
      <c r="K1064" s="507"/>
      <c r="L1064" s="508"/>
      <c r="M1064" s="508"/>
      <c r="N1064" s="508"/>
      <c r="O1064" s="509"/>
      <c r="P1064" s="509"/>
    </row>
    <row r="1065" spans="1:16" ht="21.75" customHeight="1" x14ac:dyDescent="0.3">
      <c r="A1065" s="504"/>
      <c r="B1065" s="504"/>
      <c r="C1065" s="504"/>
      <c r="D1065" s="504"/>
      <c r="E1065" s="506"/>
      <c r="F1065" s="506"/>
      <c r="G1065" s="506"/>
      <c r="H1065" s="506"/>
      <c r="I1065" s="506"/>
      <c r="J1065" s="506"/>
      <c r="K1065" s="507"/>
      <c r="L1065" s="508"/>
      <c r="M1065" s="508"/>
      <c r="N1065" s="508"/>
      <c r="O1065" s="509"/>
      <c r="P1065" s="509"/>
    </row>
    <row r="1066" spans="1:16" ht="21.75" customHeight="1" x14ac:dyDescent="0.3">
      <c r="A1066" s="504"/>
      <c r="B1066" s="504"/>
      <c r="C1066" s="504"/>
      <c r="D1066" s="504"/>
      <c r="E1066" s="506"/>
      <c r="F1066" s="506"/>
      <c r="G1066" s="506"/>
      <c r="H1066" s="506"/>
      <c r="I1066" s="506"/>
      <c r="J1066" s="506"/>
      <c r="K1066" s="507"/>
      <c r="L1066" s="508"/>
      <c r="M1066" s="508"/>
      <c r="N1066" s="508"/>
      <c r="O1066" s="509"/>
      <c r="P1066" s="509"/>
    </row>
    <row r="1067" spans="1:16" ht="21.75" customHeight="1" x14ac:dyDescent="0.3">
      <c r="A1067" s="504"/>
      <c r="B1067" s="504"/>
      <c r="C1067" s="504"/>
      <c r="D1067" s="504"/>
      <c r="E1067" s="506"/>
      <c r="F1067" s="506"/>
      <c r="G1067" s="506"/>
      <c r="H1067" s="506"/>
      <c r="I1067" s="506"/>
      <c r="J1067" s="506"/>
      <c r="K1067" s="507"/>
      <c r="L1067" s="508"/>
      <c r="M1067" s="508"/>
      <c r="N1067" s="508"/>
      <c r="O1067" s="509"/>
      <c r="P1067" s="509"/>
    </row>
    <row r="1068" spans="1:16" ht="21.75" customHeight="1" x14ac:dyDescent="0.3">
      <c r="A1068" s="504"/>
      <c r="B1068" s="504"/>
      <c r="C1068" s="504"/>
      <c r="D1068" s="504"/>
      <c r="E1068" s="506"/>
      <c r="F1068" s="506"/>
      <c r="G1068" s="506"/>
      <c r="H1068" s="506"/>
      <c r="I1068" s="506"/>
      <c r="J1068" s="506"/>
      <c r="K1068" s="507"/>
      <c r="L1068" s="508"/>
      <c r="M1068" s="508"/>
      <c r="N1068" s="508"/>
      <c r="O1068" s="509"/>
      <c r="P1068" s="509"/>
    </row>
    <row r="1069" spans="1:16" ht="21.75" customHeight="1" x14ac:dyDescent="0.3">
      <c r="A1069" s="504"/>
      <c r="B1069" s="504"/>
      <c r="C1069" s="504"/>
      <c r="D1069" s="504"/>
      <c r="E1069" s="506"/>
      <c r="F1069" s="506"/>
      <c r="G1069" s="506"/>
      <c r="H1069" s="506"/>
      <c r="I1069" s="506"/>
      <c r="J1069" s="506"/>
      <c r="K1069" s="507"/>
      <c r="L1069" s="508"/>
      <c r="M1069" s="508"/>
      <c r="N1069" s="508"/>
      <c r="O1069" s="509"/>
      <c r="P1069" s="509"/>
    </row>
    <row r="1070" spans="1:16" ht="21.75" customHeight="1" x14ac:dyDescent="0.3">
      <c r="A1070" s="504"/>
      <c r="B1070" s="504"/>
      <c r="C1070" s="504"/>
      <c r="D1070" s="504"/>
      <c r="E1070" s="506"/>
      <c r="F1070" s="506"/>
      <c r="G1070" s="506"/>
      <c r="H1070" s="506"/>
      <c r="I1070" s="506"/>
      <c r="J1070" s="506"/>
      <c r="K1070" s="507"/>
      <c r="L1070" s="508"/>
      <c r="M1070" s="508"/>
      <c r="N1070" s="508"/>
      <c r="O1070" s="509"/>
      <c r="P1070" s="509"/>
    </row>
    <row r="1071" spans="1:16" ht="21.75" customHeight="1" x14ac:dyDescent="0.3">
      <c r="A1071" s="504"/>
      <c r="B1071" s="504"/>
      <c r="C1071" s="504"/>
      <c r="D1071" s="504"/>
      <c r="E1071" s="506"/>
      <c r="F1071" s="506"/>
      <c r="G1071" s="506"/>
      <c r="H1071" s="506"/>
      <c r="I1071" s="506"/>
      <c r="J1071" s="506"/>
      <c r="K1071" s="507"/>
      <c r="L1071" s="508"/>
      <c r="M1071" s="508"/>
      <c r="N1071" s="508"/>
      <c r="O1071" s="509"/>
      <c r="P1071" s="509"/>
    </row>
    <row r="1072" spans="1:16" ht="21.75" customHeight="1" x14ac:dyDescent="0.3">
      <c r="A1072" s="504"/>
      <c r="B1072" s="504"/>
      <c r="C1072" s="504"/>
      <c r="D1072" s="504"/>
      <c r="E1072" s="506"/>
      <c r="F1072" s="506"/>
      <c r="G1072" s="506"/>
      <c r="H1072" s="506"/>
      <c r="I1072" s="506"/>
      <c r="J1072" s="506"/>
      <c r="K1072" s="507"/>
      <c r="L1072" s="508"/>
      <c r="M1072" s="508"/>
      <c r="N1072" s="508"/>
      <c r="O1072" s="509"/>
      <c r="P1072" s="509"/>
    </row>
    <row r="1073" spans="1:16" ht="21.75" customHeight="1" x14ac:dyDescent="0.3">
      <c r="A1073" s="504"/>
      <c r="B1073" s="504"/>
      <c r="C1073" s="504"/>
      <c r="D1073" s="504"/>
      <c r="E1073" s="506"/>
      <c r="F1073" s="506"/>
      <c r="G1073" s="506"/>
      <c r="H1073" s="506"/>
      <c r="I1073" s="506"/>
      <c r="J1073" s="506"/>
      <c r="K1073" s="507"/>
      <c r="L1073" s="508"/>
      <c r="M1073" s="508"/>
      <c r="N1073" s="508"/>
      <c r="O1073" s="509"/>
      <c r="P1073" s="509"/>
    </row>
    <row r="1074" spans="1:16" ht="21.75" customHeight="1" x14ac:dyDescent="0.3">
      <c r="A1074" s="504"/>
      <c r="B1074" s="504"/>
      <c r="C1074" s="504"/>
      <c r="D1074" s="504"/>
      <c r="E1074" s="506"/>
      <c r="F1074" s="506"/>
      <c r="G1074" s="506"/>
      <c r="H1074" s="506"/>
      <c r="I1074" s="506"/>
      <c r="J1074" s="506"/>
      <c r="K1074" s="507"/>
      <c r="L1074" s="508"/>
      <c r="M1074" s="508"/>
      <c r="N1074" s="508"/>
      <c r="O1074" s="509"/>
      <c r="P1074" s="509"/>
    </row>
    <row r="1075" spans="1:16" ht="21.75" customHeight="1" x14ac:dyDescent="0.3">
      <c r="A1075" s="504"/>
      <c r="B1075" s="504"/>
      <c r="C1075" s="504"/>
      <c r="D1075" s="504"/>
      <c r="E1075" s="506"/>
      <c r="F1075" s="506"/>
      <c r="G1075" s="506"/>
      <c r="H1075" s="506"/>
      <c r="I1075" s="506"/>
      <c r="J1075" s="506"/>
      <c r="K1075" s="507"/>
      <c r="L1075" s="508"/>
      <c r="M1075" s="508"/>
      <c r="N1075" s="508"/>
      <c r="O1075" s="509"/>
      <c r="P1075" s="509"/>
    </row>
    <row r="1076" spans="1:16" ht="21.75" customHeight="1" x14ac:dyDescent="0.3">
      <c r="A1076" s="504"/>
      <c r="B1076" s="504"/>
      <c r="C1076" s="504"/>
      <c r="D1076" s="504"/>
      <c r="E1076" s="506"/>
      <c r="F1076" s="506"/>
      <c r="G1076" s="506"/>
      <c r="H1076" s="506"/>
      <c r="I1076" s="506"/>
      <c r="J1076" s="506"/>
      <c r="K1076" s="507"/>
      <c r="L1076" s="508"/>
      <c r="M1076" s="508"/>
      <c r="N1076" s="508"/>
      <c r="O1076" s="509"/>
      <c r="P1076" s="509"/>
    </row>
    <row r="1077" spans="1:16" ht="21.75" customHeight="1" x14ac:dyDescent="0.3">
      <c r="A1077" s="504"/>
      <c r="B1077" s="504"/>
      <c r="C1077" s="504"/>
      <c r="D1077" s="504"/>
      <c r="E1077" s="506"/>
      <c r="F1077" s="506"/>
      <c r="G1077" s="506"/>
      <c r="H1077" s="506"/>
      <c r="I1077" s="506"/>
      <c r="J1077" s="506"/>
      <c r="K1077" s="507"/>
      <c r="L1077" s="508"/>
      <c r="M1077" s="508"/>
      <c r="N1077" s="508"/>
      <c r="O1077" s="509"/>
      <c r="P1077" s="509"/>
    </row>
    <row r="1078" spans="1:16" ht="21.75" customHeight="1" x14ac:dyDescent="0.3">
      <c r="A1078" s="504"/>
      <c r="B1078" s="504"/>
      <c r="C1078" s="504"/>
      <c r="D1078" s="504"/>
      <c r="E1078" s="506"/>
      <c r="F1078" s="506"/>
      <c r="G1078" s="506"/>
      <c r="H1078" s="506"/>
      <c r="I1078" s="506"/>
      <c r="J1078" s="506"/>
      <c r="K1078" s="507"/>
      <c r="L1078" s="508"/>
      <c r="M1078" s="508"/>
      <c r="N1078" s="508"/>
      <c r="O1078" s="509"/>
      <c r="P1078" s="509"/>
    </row>
    <row r="1079" spans="1:16" ht="21.75" customHeight="1" x14ac:dyDescent="0.3">
      <c r="A1079" s="504"/>
      <c r="B1079" s="504"/>
      <c r="C1079" s="504"/>
      <c r="D1079" s="504"/>
      <c r="E1079" s="506"/>
      <c r="F1079" s="506"/>
      <c r="G1079" s="506"/>
      <c r="H1079" s="506"/>
      <c r="I1079" s="506"/>
      <c r="J1079" s="506"/>
      <c r="K1079" s="507"/>
      <c r="L1079" s="508"/>
      <c r="M1079" s="508"/>
      <c r="N1079" s="508"/>
      <c r="O1079" s="509"/>
      <c r="P1079" s="509"/>
    </row>
    <row r="1080" spans="1:16" ht="21.75" customHeight="1" x14ac:dyDescent="0.3">
      <c r="A1080" s="504"/>
      <c r="B1080" s="504"/>
      <c r="C1080" s="504"/>
      <c r="D1080" s="504"/>
      <c r="E1080" s="506"/>
      <c r="F1080" s="506"/>
      <c r="G1080" s="506"/>
      <c r="H1080" s="506"/>
      <c r="I1080" s="506"/>
      <c r="J1080" s="506"/>
      <c r="K1080" s="507"/>
      <c r="L1080" s="508"/>
      <c r="M1080" s="508"/>
      <c r="N1080" s="508"/>
      <c r="O1080" s="509"/>
      <c r="P1080" s="509"/>
    </row>
    <row r="1081" spans="1:16" ht="21.75" customHeight="1" x14ac:dyDescent="0.3">
      <c r="A1081" s="504"/>
      <c r="B1081" s="504"/>
      <c r="C1081" s="504"/>
      <c r="D1081" s="504"/>
      <c r="E1081" s="506"/>
      <c r="F1081" s="506"/>
      <c r="G1081" s="506"/>
      <c r="H1081" s="506"/>
      <c r="I1081" s="506"/>
      <c r="J1081" s="506"/>
      <c r="K1081" s="507"/>
      <c r="L1081" s="508"/>
      <c r="M1081" s="508"/>
      <c r="N1081" s="508"/>
      <c r="O1081" s="509"/>
      <c r="P1081" s="509"/>
    </row>
    <row r="1082" spans="1:16" ht="21.75" customHeight="1" x14ac:dyDescent="0.3">
      <c r="A1082" s="504"/>
      <c r="B1082" s="504"/>
      <c r="C1082" s="504"/>
      <c r="D1082" s="504"/>
      <c r="E1082" s="506"/>
      <c r="F1082" s="506"/>
      <c r="G1082" s="506"/>
      <c r="H1082" s="506"/>
      <c r="I1082" s="506"/>
      <c r="J1082" s="506"/>
      <c r="K1082" s="507"/>
      <c r="L1082" s="508"/>
      <c r="M1082" s="508"/>
      <c r="N1082" s="508"/>
      <c r="O1082" s="509"/>
      <c r="P1082" s="509"/>
    </row>
    <row r="1083" spans="1:16" ht="21.75" customHeight="1" x14ac:dyDescent="0.3">
      <c r="A1083" s="504"/>
      <c r="B1083" s="504"/>
      <c r="C1083" s="504"/>
      <c r="D1083" s="504"/>
      <c r="E1083" s="506"/>
      <c r="F1083" s="506"/>
      <c r="G1083" s="506"/>
      <c r="H1083" s="506"/>
      <c r="I1083" s="506"/>
      <c r="J1083" s="506"/>
      <c r="K1083" s="507"/>
      <c r="L1083" s="508"/>
      <c r="M1083" s="508"/>
      <c r="N1083" s="508"/>
      <c r="O1083" s="509"/>
      <c r="P1083" s="509"/>
    </row>
    <row r="1084" spans="1:16" ht="21.75" customHeight="1" x14ac:dyDescent="0.3">
      <c r="A1084" s="504"/>
      <c r="B1084" s="504"/>
      <c r="C1084" s="504"/>
      <c r="D1084" s="504"/>
      <c r="E1084" s="506"/>
      <c r="F1084" s="506"/>
      <c r="G1084" s="506"/>
      <c r="H1084" s="506"/>
      <c r="I1084" s="506"/>
      <c r="J1084" s="506"/>
      <c r="K1084" s="507"/>
      <c r="L1084" s="508"/>
      <c r="M1084" s="508"/>
      <c r="N1084" s="508"/>
      <c r="O1084" s="509"/>
      <c r="P1084" s="509"/>
    </row>
    <row r="1085" spans="1:16" ht="21.75" customHeight="1" x14ac:dyDescent="0.3">
      <c r="A1085" s="504"/>
      <c r="B1085" s="504"/>
      <c r="C1085" s="504"/>
      <c r="D1085" s="504"/>
      <c r="E1085" s="506"/>
      <c r="F1085" s="506"/>
      <c r="G1085" s="506"/>
      <c r="H1085" s="506"/>
      <c r="I1085" s="506"/>
      <c r="J1085" s="506"/>
      <c r="K1085" s="507"/>
      <c r="L1085" s="508"/>
      <c r="M1085" s="508"/>
      <c r="N1085" s="508"/>
      <c r="O1085" s="509"/>
      <c r="P1085" s="509"/>
    </row>
    <row r="1086" spans="1:16" ht="21.75" customHeight="1" x14ac:dyDescent="0.3">
      <c r="A1086" s="504"/>
      <c r="B1086" s="504"/>
      <c r="C1086" s="504"/>
      <c r="D1086" s="504"/>
      <c r="E1086" s="506"/>
      <c r="F1086" s="506"/>
      <c r="G1086" s="506"/>
      <c r="H1086" s="506"/>
      <c r="I1086" s="506"/>
      <c r="J1086" s="506"/>
      <c r="K1086" s="507"/>
      <c r="L1086" s="508"/>
      <c r="M1086" s="508"/>
      <c r="N1086" s="508"/>
      <c r="O1086" s="509"/>
      <c r="P1086" s="509"/>
    </row>
    <row r="1087" spans="1:16" ht="21.75" customHeight="1" x14ac:dyDescent="0.3">
      <c r="A1087" s="504"/>
      <c r="B1087" s="504"/>
      <c r="C1087" s="504"/>
      <c r="D1087" s="504"/>
      <c r="E1087" s="506"/>
      <c r="F1087" s="506"/>
      <c r="G1087" s="506"/>
      <c r="H1087" s="506"/>
      <c r="I1087" s="506"/>
      <c r="J1087" s="506"/>
      <c r="K1087" s="507"/>
      <c r="L1087" s="508"/>
      <c r="M1087" s="508"/>
      <c r="N1087" s="508"/>
      <c r="O1087" s="509"/>
      <c r="P1087" s="509"/>
    </row>
    <row r="1088" spans="1:16" ht="21.75" customHeight="1" x14ac:dyDescent="0.3">
      <c r="A1088" s="504"/>
      <c r="B1088" s="504"/>
      <c r="C1088" s="504"/>
      <c r="D1088" s="504"/>
      <c r="E1088" s="506"/>
      <c r="F1088" s="506"/>
      <c r="G1088" s="506"/>
      <c r="H1088" s="506"/>
      <c r="I1088" s="506"/>
      <c r="J1088" s="506"/>
      <c r="K1088" s="507"/>
      <c r="L1088" s="508"/>
      <c r="M1088" s="508"/>
      <c r="N1088" s="508"/>
      <c r="O1088" s="509"/>
      <c r="P1088" s="509"/>
    </row>
    <row r="1089" spans="1:16" ht="21.75" customHeight="1" x14ac:dyDescent="0.3">
      <c r="A1089" s="504"/>
      <c r="B1089" s="504"/>
      <c r="C1089" s="504"/>
      <c r="D1089" s="504"/>
      <c r="E1089" s="506"/>
      <c r="F1089" s="506"/>
      <c r="G1089" s="506"/>
      <c r="H1089" s="506"/>
      <c r="I1089" s="506"/>
      <c r="J1089" s="506"/>
      <c r="K1089" s="507"/>
      <c r="L1089" s="508"/>
      <c r="M1089" s="508"/>
      <c r="N1089" s="508"/>
      <c r="O1089" s="509"/>
      <c r="P1089" s="509"/>
    </row>
    <row r="1090" spans="1:16" ht="21.75" customHeight="1" x14ac:dyDescent="0.3">
      <c r="A1090" s="504"/>
      <c r="B1090" s="504"/>
      <c r="C1090" s="504"/>
      <c r="D1090" s="504"/>
      <c r="E1090" s="506"/>
      <c r="F1090" s="506"/>
      <c r="G1090" s="506"/>
      <c r="H1090" s="506"/>
      <c r="I1090" s="506"/>
      <c r="J1090" s="506"/>
      <c r="K1090" s="507"/>
      <c r="L1090" s="508"/>
      <c r="M1090" s="508"/>
      <c r="N1090" s="508"/>
      <c r="O1090" s="509"/>
      <c r="P1090" s="509"/>
    </row>
    <row r="1091" spans="1:16" ht="21.75" customHeight="1" x14ac:dyDescent="0.3">
      <c r="A1091" s="504"/>
      <c r="B1091" s="504"/>
      <c r="C1091" s="504"/>
      <c r="D1091" s="504"/>
      <c r="E1091" s="506"/>
      <c r="F1091" s="506"/>
      <c r="G1091" s="506"/>
      <c r="H1091" s="506"/>
      <c r="I1091" s="506"/>
      <c r="J1091" s="506"/>
      <c r="K1091" s="507"/>
      <c r="L1091" s="508"/>
      <c r="M1091" s="508"/>
      <c r="N1091" s="508"/>
      <c r="O1091" s="509"/>
      <c r="P1091" s="509"/>
    </row>
    <row r="1092" spans="1:16" ht="21.75" customHeight="1" x14ac:dyDescent="0.3">
      <c r="A1092" s="504"/>
      <c r="B1092" s="504"/>
      <c r="C1092" s="504"/>
      <c r="D1092" s="504"/>
      <c r="E1092" s="506"/>
      <c r="F1092" s="506"/>
      <c r="G1092" s="506"/>
      <c r="H1092" s="506"/>
      <c r="I1092" s="506"/>
      <c r="J1092" s="506"/>
      <c r="K1092" s="507"/>
      <c r="L1092" s="508"/>
      <c r="M1092" s="508"/>
      <c r="N1092" s="508"/>
      <c r="O1092" s="509"/>
      <c r="P1092" s="509"/>
    </row>
    <row r="1093" spans="1:16" ht="21.75" customHeight="1" x14ac:dyDescent="0.3">
      <c r="A1093" s="504"/>
      <c r="B1093" s="504"/>
      <c r="C1093" s="504"/>
      <c r="D1093" s="504"/>
      <c r="E1093" s="506"/>
      <c r="F1093" s="506"/>
      <c r="G1093" s="506"/>
      <c r="H1093" s="506"/>
      <c r="I1093" s="506"/>
      <c r="J1093" s="506"/>
      <c r="K1093" s="507"/>
      <c r="L1093" s="508"/>
      <c r="M1093" s="508"/>
      <c r="N1093" s="508"/>
      <c r="O1093" s="509"/>
      <c r="P1093" s="509"/>
    </row>
    <row r="1094" spans="1:16" ht="21.75" customHeight="1" x14ac:dyDescent="0.3">
      <c r="A1094" s="504"/>
      <c r="B1094" s="504"/>
      <c r="C1094" s="504"/>
      <c r="D1094" s="504"/>
      <c r="E1094" s="506"/>
      <c r="F1094" s="506"/>
      <c r="G1094" s="506"/>
      <c r="H1094" s="506"/>
      <c r="I1094" s="506"/>
      <c r="J1094" s="506"/>
      <c r="K1094" s="507"/>
      <c r="L1094" s="508"/>
      <c r="M1094" s="508"/>
      <c r="N1094" s="508"/>
      <c r="O1094" s="509"/>
      <c r="P1094" s="509"/>
    </row>
    <row r="1095" spans="1:16" ht="21.75" customHeight="1" x14ac:dyDescent="0.3">
      <c r="A1095" s="504"/>
      <c r="B1095" s="504"/>
      <c r="C1095" s="504"/>
      <c r="D1095" s="504"/>
      <c r="E1095" s="506"/>
      <c r="F1095" s="506"/>
      <c r="G1095" s="506"/>
      <c r="H1095" s="506"/>
      <c r="I1095" s="506"/>
      <c r="J1095" s="506"/>
      <c r="K1095" s="507"/>
      <c r="L1095" s="508"/>
      <c r="M1095" s="508"/>
      <c r="N1095" s="508"/>
      <c r="O1095" s="509"/>
      <c r="P1095" s="509"/>
    </row>
    <row r="1096" spans="1:16" ht="21.75" customHeight="1" x14ac:dyDescent="0.3">
      <c r="A1096" s="504"/>
      <c r="B1096" s="504"/>
      <c r="C1096" s="504"/>
      <c r="D1096" s="504"/>
      <c r="E1096" s="506"/>
      <c r="F1096" s="506"/>
      <c r="G1096" s="506"/>
      <c r="H1096" s="506"/>
      <c r="I1096" s="506"/>
      <c r="J1096" s="506"/>
      <c r="K1096" s="507"/>
      <c r="L1096" s="508"/>
      <c r="M1096" s="508"/>
      <c r="N1096" s="508"/>
      <c r="O1096" s="509"/>
      <c r="P1096" s="509"/>
    </row>
    <row r="1097" spans="1:16" ht="21.75" customHeight="1" x14ac:dyDescent="0.3">
      <c r="A1097" s="504"/>
      <c r="B1097" s="504"/>
      <c r="C1097" s="504"/>
      <c r="D1097" s="504"/>
      <c r="E1097" s="506"/>
      <c r="F1097" s="506"/>
      <c r="G1097" s="506"/>
      <c r="H1097" s="506"/>
      <c r="I1097" s="506"/>
      <c r="J1097" s="506"/>
      <c r="K1097" s="507"/>
      <c r="L1097" s="508"/>
      <c r="M1097" s="508"/>
      <c r="N1097" s="508"/>
      <c r="O1097" s="509"/>
      <c r="P1097" s="509"/>
    </row>
    <row r="1098" spans="1:16" ht="21.75" customHeight="1" x14ac:dyDescent="0.3">
      <c r="A1098" s="504"/>
      <c r="B1098" s="504"/>
      <c r="C1098" s="504"/>
      <c r="D1098" s="504"/>
      <c r="E1098" s="506"/>
      <c r="F1098" s="506"/>
      <c r="G1098" s="506"/>
      <c r="H1098" s="506"/>
      <c r="I1098" s="506"/>
      <c r="J1098" s="506"/>
      <c r="K1098" s="507"/>
      <c r="L1098" s="508"/>
      <c r="M1098" s="508"/>
      <c r="N1098" s="508"/>
      <c r="O1098" s="509"/>
      <c r="P1098" s="509"/>
    </row>
    <row r="1099" spans="1:16" ht="21.75" customHeight="1" x14ac:dyDescent="0.3">
      <c r="A1099" s="504"/>
      <c r="B1099" s="504"/>
      <c r="C1099" s="504"/>
      <c r="D1099" s="504"/>
      <c r="E1099" s="506"/>
      <c r="F1099" s="506"/>
      <c r="G1099" s="506"/>
      <c r="H1099" s="506"/>
      <c r="I1099" s="506"/>
      <c r="J1099" s="506"/>
      <c r="K1099" s="507"/>
      <c r="L1099" s="508"/>
      <c r="M1099" s="508"/>
      <c r="N1099" s="508"/>
      <c r="O1099" s="509"/>
      <c r="P1099" s="509"/>
    </row>
    <row r="1100" spans="1:16" ht="21.75" customHeight="1" x14ac:dyDescent="0.3">
      <c r="A1100" s="504"/>
      <c r="B1100" s="504"/>
      <c r="C1100" s="504"/>
      <c r="D1100" s="504"/>
      <c r="E1100" s="506"/>
      <c r="F1100" s="506"/>
      <c r="G1100" s="506"/>
      <c r="H1100" s="506"/>
      <c r="I1100" s="506"/>
      <c r="J1100" s="506"/>
      <c r="K1100" s="507"/>
      <c r="L1100" s="508"/>
      <c r="M1100" s="508"/>
      <c r="N1100" s="508"/>
      <c r="O1100" s="509"/>
      <c r="P1100" s="509"/>
    </row>
    <row r="1101" spans="1:16" ht="21.75" customHeight="1" x14ac:dyDescent="0.3">
      <c r="A1101" s="504"/>
      <c r="B1101" s="504"/>
      <c r="C1101" s="504"/>
      <c r="D1101" s="504"/>
      <c r="E1101" s="506"/>
      <c r="F1101" s="506"/>
      <c r="G1101" s="506"/>
      <c r="H1101" s="506"/>
      <c r="I1101" s="506"/>
      <c r="J1101" s="506"/>
      <c r="K1101" s="507"/>
      <c r="L1101" s="508"/>
      <c r="M1101" s="508"/>
      <c r="N1101" s="508"/>
      <c r="O1101" s="509"/>
      <c r="P1101" s="509"/>
    </row>
    <row r="1102" spans="1:16" ht="21.75" customHeight="1" x14ac:dyDescent="0.3">
      <c r="A1102" s="504"/>
      <c r="B1102" s="504"/>
      <c r="C1102" s="504"/>
      <c r="D1102" s="504"/>
      <c r="E1102" s="506"/>
      <c r="F1102" s="506"/>
      <c r="G1102" s="506"/>
      <c r="H1102" s="506"/>
      <c r="I1102" s="506"/>
      <c r="J1102" s="506"/>
      <c r="K1102" s="507"/>
      <c r="L1102" s="508"/>
      <c r="M1102" s="508"/>
      <c r="N1102" s="508"/>
      <c r="O1102" s="509"/>
      <c r="P1102" s="509"/>
    </row>
    <row r="1103" spans="1:16" ht="21.75" customHeight="1" x14ac:dyDescent="0.3">
      <c r="A1103" s="504"/>
      <c r="B1103" s="504"/>
      <c r="C1103" s="504"/>
      <c r="D1103" s="504"/>
      <c r="E1103" s="506"/>
      <c r="F1103" s="506"/>
      <c r="G1103" s="506"/>
      <c r="H1103" s="506"/>
      <c r="I1103" s="506"/>
      <c r="J1103" s="506"/>
      <c r="K1103" s="507"/>
      <c r="L1103" s="508"/>
      <c r="M1103" s="508"/>
      <c r="N1103" s="508"/>
      <c r="O1103" s="509"/>
      <c r="P1103" s="509"/>
    </row>
    <row r="1104" spans="1:16" ht="21.75" customHeight="1" x14ac:dyDescent="0.3">
      <c r="A1104" s="504"/>
      <c r="B1104" s="504"/>
      <c r="C1104" s="504"/>
      <c r="D1104" s="504"/>
      <c r="E1104" s="506"/>
      <c r="F1104" s="506"/>
      <c r="G1104" s="506"/>
      <c r="H1104" s="506"/>
      <c r="I1104" s="506"/>
      <c r="J1104" s="506"/>
      <c r="K1104" s="507"/>
      <c r="L1104" s="508"/>
      <c r="M1104" s="508"/>
      <c r="N1104" s="508"/>
      <c r="O1104" s="509"/>
      <c r="P1104" s="509"/>
    </row>
    <row r="1105" spans="1:16" ht="21.75" customHeight="1" x14ac:dyDescent="0.3">
      <c r="A1105" s="504"/>
      <c r="B1105" s="504"/>
      <c r="C1105" s="504"/>
      <c r="D1105" s="504"/>
      <c r="E1105" s="506"/>
      <c r="F1105" s="506"/>
      <c r="G1105" s="506"/>
      <c r="H1105" s="506"/>
      <c r="I1105" s="506"/>
      <c r="J1105" s="506"/>
      <c r="K1105" s="507"/>
      <c r="L1105" s="508"/>
      <c r="M1105" s="508"/>
      <c r="N1105" s="508"/>
      <c r="O1105" s="509"/>
      <c r="P1105" s="509"/>
    </row>
    <row r="1106" spans="1:16" ht="21.75" customHeight="1" x14ac:dyDescent="0.3">
      <c r="A1106" s="504"/>
      <c r="B1106" s="504"/>
      <c r="C1106" s="504"/>
      <c r="D1106" s="504"/>
      <c r="E1106" s="506"/>
      <c r="F1106" s="506"/>
      <c r="G1106" s="506"/>
      <c r="H1106" s="506"/>
      <c r="I1106" s="506"/>
      <c r="J1106" s="506"/>
      <c r="K1106" s="507"/>
      <c r="L1106" s="508"/>
      <c r="M1106" s="508"/>
      <c r="N1106" s="508"/>
      <c r="O1106" s="509"/>
      <c r="P1106" s="509"/>
    </row>
    <row r="1107" spans="1:16" ht="21.75" customHeight="1" x14ac:dyDescent="0.3">
      <c r="A1107" s="504"/>
      <c r="B1107" s="504"/>
      <c r="C1107" s="504"/>
      <c r="D1107" s="504"/>
      <c r="E1107" s="506"/>
      <c r="F1107" s="506"/>
      <c r="G1107" s="506"/>
      <c r="H1107" s="506"/>
      <c r="I1107" s="506"/>
      <c r="J1107" s="506"/>
      <c r="K1107" s="507"/>
      <c r="L1107" s="508"/>
      <c r="M1107" s="508"/>
      <c r="N1107" s="508"/>
      <c r="O1107" s="509"/>
      <c r="P1107" s="509"/>
    </row>
    <row r="1108" spans="1:16" ht="21.75" customHeight="1" x14ac:dyDescent="0.3">
      <c r="A1108" s="504"/>
      <c r="B1108" s="504"/>
      <c r="C1108" s="504"/>
      <c r="D1108" s="504"/>
      <c r="E1108" s="506"/>
      <c r="F1108" s="506"/>
      <c r="G1108" s="506"/>
      <c r="H1108" s="506"/>
      <c r="I1108" s="506"/>
      <c r="J1108" s="506"/>
      <c r="K1108" s="507"/>
      <c r="L1108" s="508"/>
      <c r="M1108" s="508"/>
      <c r="N1108" s="508"/>
      <c r="O1108" s="509"/>
      <c r="P1108" s="509"/>
    </row>
    <row r="1109" spans="1:16" ht="21.75" customHeight="1" x14ac:dyDescent="0.3">
      <c r="A1109" s="504"/>
      <c r="B1109" s="504"/>
      <c r="C1109" s="504"/>
      <c r="D1109" s="504"/>
      <c r="E1109" s="506"/>
      <c r="F1109" s="506"/>
      <c r="G1109" s="506"/>
      <c r="H1109" s="506"/>
      <c r="I1109" s="506"/>
      <c r="J1109" s="506"/>
      <c r="K1109" s="507"/>
      <c r="L1109" s="508"/>
      <c r="M1109" s="508"/>
      <c r="N1109" s="508"/>
      <c r="O1109" s="509"/>
      <c r="P1109" s="509"/>
    </row>
    <row r="1110" spans="1:16" ht="21.75" customHeight="1" x14ac:dyDescent="0.3">
      <c r="A1110" s="504"/>
      <c r="B1110" s="504"/>
      <c r="C1110" s="504"/>
      <c r="D1110" s="504"/>
      <c r="E1110" s="506"/>
      <c r="F1110" s="506"/>
      <c r="G1110" s="506"/>
      <c r="H1110" s="506"/>
      <c r="I1110" s="506"/>
      <c r="J1110" s="506"/>
      <c r="K1110" s="507"/>
      <c r="L1110" s="508"/>
      <c r="M1110" s="508"/>
      <c r="N1110" s="508"/>
      <c r="O1110" s="509"/>
      <c r="P1110" s="509"/>
    </row>
    <row r="1111" spans="1:16" ht="21.75" customHeight="1" x14ac:dyDescent="0.3">
      <c r="A1111" s="504"/>
      <c r="B1111" s="504"/>
      <c r="C1111" s="504"/>
      <c r="D1111" s="504"/>
      <c r="E1111" s="506"/>
      <c r="F1111" s="506"/>
      <c r="G1111" s="506"/>
      <c r="H1111" s="506"/>
      <c r="I1111" s="506"/>
      <c r="J1111" s="506"/>
      <c r="K1111" s="507"/>
      <c r="L1111" s="508"/>
      <c r="M1111" s="508"/>
      <c r="N1111" s="508"/>
      <c r="O1111" s="509"/>
      <c r="P1111" s="509"/>
    </row>
    <row r="1112" spans="1:16" ht="21.75" customHeight="1" x14ac:dyDescent="0.3">
      <c r="A1112" s="504"/>
      <c r="B1112" s="504"/>
      <c r="C1112" s="504"/>
      <c r="D1112" s="504"/>
      <c r="E1112" s="506"/>
      <c r="F1112" s="506"/>
      <c r="G1112" s="506"/>
      <c r="H1112" s="506"/>
      <c r="I1112" s="506"/>
      <c r="J1112" s="506"/>
      <c r="K1112" s="507"/>
      <c r="L1112" s="508"/>
      <c r="M1112" s="508"/>
      <c r="N1112" s="508"/>
      <c r="O1112" s="509"/>
      <c r="P1112" s="509"/>
    </row>
    <row r="1113" spans="1:16" ht="21.75" customHeight="1" x14ac:dyDescent="0.3">
      <c r="A1113" s="504"/>
      <c r="B1113" s="504"/>
      <c r="C1113" s="504"/>
      <c r="D1113" s="504"/>
      <c r="E1113" s="506"/>
      <c r="F1113" s="506"/>
      <c r="G1113" s="506"/>
      <c r="H1113" s="506"/>
      <c r="I1113" s="506"/>
      <c r="J1113" s="506"/>
      <c r="K1113" s="507"/>
      <c r="L1113" s="508"/>
      <c r="M1113" s="508"/>
      <c r="N1113" s="508"/>
      <c r="O1113" s="509"/>
      <c r="P1113" s="509"/>
    </row>
    <row r="1114" spans="1:16" ht="21.75" customHeight="1" x14ac:dyDescent="0.3">
      <c r="A1114" s="504"/>
      <c r="B1114" s="504"/>
      <c r="C1114" s="504"/>
      <c r="D1114" s="504"/>
      <c r="E1114" s="506"/>
      <c r="F1114" s="506"/>
      <c r="G1114" s="506"/>
      <c r="H1114" s="506"/>
      <c r="I1114" s="506"/>
      <c r="J1114" s="506"/>
      <c r="K1114" s="507"/>
      <c r="L1114" s="508"/>
      <c r="M1114" s="508"/>
      <c r="N1114" s="508"/>
      <c r="O1114" s="509"/>
      <c r="P1114" s="509"/>
    </row>
    <row r="1115" spans="1:16" ht="21.75" customHeight="1" x14ac:dyDescent="0.3">
      <c r="A1115" s="504"/>
      <c r="B1115" s="504"/>
      <c r="C1115" s="504"/>
      <c r="D1115" s="504"/>
      <c r="E1115" s="506"/>
      <c r="F1115" s="506"/>
      <c r="G1115" s="506"/>
      <c r="H1115" s="506"/>
      <c r="I1115" s="506"/>
      <c r="J1115" s="506"/>
      <c r="K1115" s="507"/>
      <c r="L1115" s="508"/>
      <c r="M1115" s="508"/>
      <c r="N1115" s="508"/>
      <c r="O1115" s="509"/>
      <c r="P1115" s="509"/>
    </row>
    <row r="1116" spans="1:16" ht="21.75" customHeight="1" x14ac:dyDescent="0.3">
      <c r="A1116" s="504"/>
      <c r="B1116" s="504"/>
      <c r="C1116" s="504"/>
      <c r="D1116" s="504"/>
      <c r="E1116" s="506"/>
      <c r="F1116" s="506"/>
      <c r="G1116" s="506"/>
      <c r="H1116" s="506"/>
      <c r="I1116" s="506"/>
      <c r="J1116" s="506"/>
      <c r="K1116" s="507"/>
      <c r="L1116" s="508"/>
      <c r="M1116" s="508"/>
      <c r="N1116" s="508"/>
      <c r="O1116" s="509"/>
      <c r="P1116" s="509"/>
    </row>
    <row r="1117" spans="1:16" ht="21.75" customHeight="1" x14ac:dyDescent="0.3">
      <c r="A1117" s="504"/>
      <c r="B1117" s="504"/>
      <c r="C1117" s="504"/>
      <c r="D1117" s="504"/>
      <c r="E1117" s="506"/>
      <c r="F1117" s="506"/>
      <c r="G1117" s="506"/>
      <c r="H1117" s="506"/>
      <c r="I1117" s="506"/>
      <c r="J1117" s="506"/>
      <c r="K1117" s="507"/>
      <c r="L1117" s="508"/>
      <c r="M1117" s="508"/>
      <c r="N1117" s="508"/>
      <c r="O1117" s="509"/>
      <c r="P1117" s="509"/>
    </row>
    <row r="1118" spans="1:16" ht="21.75" customHeight="1" x14ac:dyDescent="0.3">
      <c r="A1118" s="504"/>
      <c r="B1118" s="504"/>
      <c r="C1118" s="504"/>
      <c r="D1118" s="504"/>
      <c r="E1118" s="506"/>
      <c r="F1118" s="506"/>
      <c r="G1118" s="506"/>
      <c r="H1118" s="506"/>
      <c r="I1118" s="506"/>
      <c r="J1118" s="506"/>
      <c r="K1118" s="507"/>
      <c r="L1118" s="508"/>
      <c r="M1118" s="508"/>
      <c r="N1118" s="508"/>
      <c r="O1118" s="509"/>
      <c r="P1118" s="509"/>
    </row>
    <row r="1119" spans="1:16" ht="21.75" customHeight="1" x14ac:dyDescent="0.3">
      <c r="A1119" s="504"/>
      <c r="B1119" s="504"/>
      <c r="C1119" s="504"/>
      <c r="D1119" s="504"/>
      <c r="E1119" s="506"/>
      <c r="F1119" s="506"/>
      <c r="G1119" s="506"/>
      <c r="H1119" s="506"/>
      <c r="I1119" s="506"/>
      <c r="J1119" s="506"/>
      <c r="K1119" s="507"/>
      <c r="L1119" s="508"/>
      <c r="M1119" s="508"/>
      <c r="N1119" s="508"/>
      <c r="O1119" s="509"/>
      <c r="P1119" s="509"/>
    </row>
    <row r="1120" spans="1:16" ht="21.75" customHeight="1" x14ac:dyDescent="0.3">
      <c r="A1120" s="504"/>
      <c r="B1120" s="504"/>
      <c r="C1120" s="504"/>
      <c r="D1120" s="504"/>
      <c r="E1120" s="506"/>
      <c r="F1120" s="506"/>
      <c r="G1120" s="506"/>
      <c r="H1120" s="506"/>
      <c r="I1120" s="506"/>
      <c r="J1120" s="506"/>
      <c r="K1120" s="507"/>
      <c r="L1120" s="508"/>
      <c r="M1120" s="508"/>
      <c r="N1120" s="508"/>
      <c r="O1120" s="509"/>
      <c r="P1120" s="509"/>
    </row>
    <row r="1121" spans="1:16" ht="21.75" customHeight="1" x14ac:dyDescent="0.3">
      <c r="A1121" s="504"/>
      <c r="B1121" s="504"/>
      <c r="C1121" s="504"/>
      <c r="D1121" s="504"/>
      <c r="E1121" s="506"/>
      <c r="F1121" s="506"/>
      <c r="G1121" s="506"/>
      <c r="H1121" s="506"/>
      <c r="I1121" s="506"/>
      <c r="J1121" s="506"/>
      <c r="K1121" s="507"/>
      <c r="L1121" s="508"/>
      <c r="M1121" s="508"/>
      <c r="N1121" s="508"/>
      <c r="O1121" s="509"/>
      <c r="P1121" s="509"/>
    </row>
    <row r="1122" spans="1:16" ht="21.75" customHeight="1" x14ac:dyDescent="0.3">
      <c r="A1122" s="504"/>
      <c r="B1122" s="504"/>
      <c r="C1122" s="504"/>
      <c r="D1122" s="504"/>
      <c r="E1122" s="506"/>
      <c r="F1122" s="506"/>
      <c r="G1122" s="506"/>
      <c r="H1122" s="506"/>
      <c r="I1122" s="506"/>
      <c r="J1122" s="506"/>
      <c r="K1122" s="507"/>
      <c r="L1122" s="508"/>
      <c r="M1122" s="508"/>
      <c r="N1122" s="508"/>
      <c r="O1122" s="509"/>
      <c r="P1122" s="509"/>
    </row>
    <row r="1123" spans="1:16" ht="21.75" customHeight="1" x14ac:dyDescent="0.3">
      <c r="A1123" s="504"/>
      <c r="B1123" s="504"/>
      <c r="C1123" s="504"/>
      <c r="D1123" s="504"/>
      <c r="E1123" s="506"/>
      <c r="F1123" s="506"/>
      <c r="G1123" s="506"/>
      <c r="H1123" s="506"/>
      <c r="I1123" s="506"/>
      <c r="J1123" s="506"/>
      <c r="K1123" s="507"/>
      <c r="L1123" s="508"/>
      <c r="M1123" s="508"/>
      <c r="N1123" s="508"/>
      <c r="O1123" s="509"/>
      <c r="P1123" s="509"/>
    </row>
    <row r="1124" spans="1:16" ht="21.75" customHeight="1" x14ac:dyDescent="0.3">
      <c r="A1124" s="504"/>
      <c r="B1124" s="504"/>
      <c r="C1124" s="504"/>
      <c r="D1124" s="504"/>
      <c r="E1124" s="506"/>
      <c r="F1124" s="506"/>
      <c r="G1124" s="506"/>
      <c r="H1124" s="506"/>
      <c r="I1124" s="506"/>
      <c r="J1124" s="506"/>
      <c r="K1124" s="507"/>
      <c r="L1124" s="508"/>
      <c r="M1124" s="508"/>
      <c r="N1124" s="508"/>
      <c r="O1124" s="509"/>
      <c r="P1124" s="509"/>
    </row>
    <row r="1125" spans="1:16" ht="21.75" customHeight="1" x14ac:dyDescent="0.3">
      <c r="A1125" s="504"/>
      <c r="B1125" s="504"/>
      <c r="C1125" s="504"/>
      <c r="D1125" s="504"/>
      <c r="E1125" s="506"/>
      <c r="F1125" s="506"/>
      <c r="G1125" s="506"/>
      <c r="H1125" s="506"/>
      <c r="I1125" s="506"/>
      <c r="J1125" s="506"/>
      <c r="K1125" s="507"/>
      <c r="L1125" s="508"/>
      <c r="M1125" s="508"/>
      <c r="N1125" s="508"/>
      <c r="O1125" s="509"/>
      <c r="P1125" s="509"/>
    </row>
    <row r="1126" spans="1:16" ht="21.75" customHeight="1" x14ac:dyDescent="0.3">
      <c r="A1126" s="504"/>
      <c r="B1126" s="504"/>
      <c r="C1126" s="504"/>
      <c r="D1126" s="504"/>
      <c r="E1126" s="506"/>
      <c r="F1126" s="506"/>
      <c r="G1126" s="506"/>
      <c r="H1126" s="506"/>
      <c r="I1126" s="506"/>
      <c r="J1126" s="506"/>
      <c r="K1126" s="507"/>
      <c r="L1126" s="508"/>
      <c r="M1126" s="508"/>
      <c r="N1126" s="508"/>
      <c r="O1126" s="509"/>
      <c r="P1126" s="509"/>
    </row>
    <row r="1127" spans="1:16" ht="21.75" customHeight="1" x14ac:dyDescent="0.3">
      <c r="A1127" s="504"/>
      <c r="B1127" s="504"/>
      <c r="C1127" s="504"/>
      <c r="D1127" s="504"/>
      <c r="E1127" s="506"/>
      <c r="F1127" s="506"/>
      <c r="G1127" s="506"/>
      <c r="H1127" s="506"/>
      <c r="I1127" s="506"/>
      <c r="J1127" s="506"/>
      <c r="K1127" s="507"/>
      <c r="L1127" s="508"/>
      <c r="M1127" s="508"/>
      <c r="N1127" s="508"/>
      <c r="O1127" s="509"/>
      <c r="P1127" s="509"/>
    </row>
    <row r="1128" spans="1:16" ht="21.75" customHeight="1" x14ac:dyDescent="0.3">
      <c r="A1128" s="504"/>
      <c r="B1128" s="504"/>
      <c r="C1128" s="504"/>
      <c r="D1128" s="504"/>
      <c r="E1128" s="506"/>
      <c r="F1128" s="506"/>
      <c r="G1128" s="506"/>
      <c r="H1128" s="506"/>
      <c r="I1128" s="506"/>
      <c r="J1128" s="506"/>
      <c r="K1128" s="507"/>
      <c r="L1128" s="508"/>
      <c r="M1128" s="508"/>
      <c r="N1128" s="508"/>
      <c r="O1128" s="509"/>
      <c r="P1128" s="509"/>
    </row>
    <row r="1129" spans="1:16" ht="21.75" customHeight="1" x14ac:dyDescent="0.3">
      <c r="A1129" s="504"/>
      <c r="B1129" s="504"/>
      <c r="C1129" s="504"/>
      <c r="D1129" s="504"/>
      <c r="E1129" s="506"/>
      <c r="F1129" s="506"/>
      <c r="G1129" s="506"/>
      <c r="H1129" s="506"/>
      <c r="I1129" s="506"/>
      <c r="J1129" s="506"/>
      <c r="K1129" s="507"/>
      <c r="L1129" s="508"/>
      <c r="M1129" s="508"/>
      <c r="N1129" s="508"/>
      <c r="O1129" s="509"/>
      <c r="P1129" s="509"/>
    </row>
    <row r="1130" spans="1:16" ht="21.75" customHeight="1" x14ac:dyDescent="0.3">
      <c r="A1130" s="504"/>
      <c r="B1130" s="504"/>
      <c r="C1130" s="504"/>
      <c r="D1130" s="504"/>
      <c r="E1130" s="506"/>
      <c r="F1130" s="506"/>
      <c r="G1130" s="506"/>
      <c r="H1130" s="506"/>
      <c r="I1130" s="506"/>
      <c r="J1130" s="506"/>
      <c r="K1130" s="507"/>
      <c r="L1130" s="508"/>
      <c r="M1130" s="508"/>
      <c r="N1130" s="508"/>
      <c r="O1130" s="509"/>
      <c r="P1130" s="509"/>
    </row>
    <row r="1131" spans="1:16" ht="21.75" customHeight="1" x14ac:dyDescent="0.3">
      <c r="A1131" s="504"/>
      <c r="B1131" s="504"/>
      <c r="C1131" s="504"/>
      <c r="D1131" s="504"/>
      <c r="E1131" s="506"/>
      <c r="F1131" s="506"/>
      <c r="G1131" s="506"/>
      <c r="H1131" s="506"/>
      <c r="I1131" s="506"/>
      <c r="J1131" s="506"/>
      <c r="K1131" s="507"/>
      <c r="L1131" s="508"/>
      <c r="M1131" s="508"/>
      <c r="N1131" s="508"/>
      <c r="O1131" s="509"/>
      <c r="P1131" s="509"/>
    </row>
    <row r="1132" spans="1:16" ht="21.75" customHeight="1" x14ac:dyDescent="0.3">
      <c r="A1132" s="504"/>
      <c r="B1132" s="504"/>
      <c r="C1132" s="504"/>
      <c r="D1132" s="504"/>
      <c r="E1132" s="506"/>
      <c r="F1132" s="506"/>
      <c r="G1132" s="506"/>
      <c r="H1132" s="506"/>
      <c r="I1132" s="506"/>
      <c r="J1132" s="506"/>
      <c r="K1132" s="507"/>
      <c r="L1132" s="508"/>
      <c r="M1132" s="508"/>
      <c r="N1132" s="508"/>
      <c r="O1132" s="509"/>
      <c r="P1132" s="509"/>
    </row>
    <row r="1133" spans="1:16" ht="21.75" customHeight="1" x14ac:dyDescent="0.3">
      <c r="A1133" s="504"/>
      <c r="B1133" s="504"/>
      <c r="C1133" s="504"/>
      <c r="D1133" s="504"/>
      <c r="E1133" s="506"/>
      <c r="F1133" s="506"/>
      <c r="G1133" s="506"/>
      <c r="H1133" s="506"/>
      <c r="I1133" s="506"/>
      <c r="J1133" s="506"/>
      <c r="K1133" s="507"/>
      <c r="L1133" s="508"/>
      <c r="M1133" s="508"/>
      <c r="N1133" s="508"/>
      <c r="O1133" s="509"/>
      <c r="P1133" s="509"/>
    </row>
    <row r="1134" spans="1:16" ht="21.75" customHeight="1" x14ac:dyDescent="0.3">
      <c r="A1134" s="504"/>
      <c r="B1134" s="504"/>
      <c r="C1134" s="504"/>
      <c r="D1134" s="504"/>
      <c r="E1134" s="506"/>
      <c r="F1134" s="506"/>
      <c r="G1134" s="506"/>
      <c r="H1134" s="506"/>
      <c r="I1134" s="506"/>
      <c r="J1134" s="506"/>
      <c r="K1134" s="507"/>
      <c r="L1134" s="508"/>
      <c r="M1134" s="508"/>
      <c r="N1134" s="508"/>
      <c r="O1134" s="509"/>
      <c r="P1134" s="509"/>
    </row>
    <row r="1135" spans="1:16" ht="21.75" customHeight="1" x14ac:dyDescent="0.3">
      <c r="A1135" s="504"/>
      <c r="B1135" s="504"/>
      <c r="C1135" s="504"/>
      <c r="D1135" s="504"/>
      <c r="E1135" s="506"/>
      <c r="F1135" s="506"/>
      <c r="G1135" s="506"/>
      <c r="H1135" s="506"/>
      <c r="I1135" s="506"/>
      <c r="J1135" s="506"/>
      <c r="K1135" s="507"/>
      <c r="L1135" s="508"/>
      <c r="M1135" s="508"/>
      <c r="N1135" s="508"/>
      <c r="O1135" s="509"/>
      <c r="P1135" s="509"/>
    </row>
    <row r="1136" spans="1:16" ht="21.75" customHeight="1" x14ac:dyDescent="0.3">
      <c r="A1136" s="504"/>
      <c r="B1136" s="504"/>
      <c r="C1136" s="504"/>
      <c r="D1136" s="504"/>
      <c r="E1136" s="506"/>
      <c r="F1136" s="506"/>
      <c r="G1136" s="506"/>
      <c r="H1136" s="506"/>
      <c r="I1136" s="506"/>
      <c r="J1136" s="506"/>
      <c r="K1136" s="507"/>
      <c r="L1136" s="508"/>
      <c r="M1136" s="508"/>
      <c r="N1136" s="508"/>
      <c r="O1136" s="509"/>
      <c r="P1136" s="509"/>
    </row>
    <row r="1137" spans="1:16" ht="21.75" customHeight="1" x14ac:dyDescent="0.3">
      <c r="A1137" s="504"/>
      <c r="B1137" s="504"/>
      <c r="C1137" s="504"/>
      <c r="D1137" s="504"/>
      <c r="E1137" s="506"/>
      <c r="F1137" s="506"/>
      <c r="G1137" s="506"/>
      <c r="H1137" s="506"/>
      <c r="I1137" s="506"/>
      <c r="J1137" s="506"/>
      <c r="K1137" s="507"/>
      <c r="L1137" s="508"/>
      <c r="M1137" s="508"/>
      <c r="N1137" s="508"/>
      <c r="O1137" s="509"/>
      <c r="P1137" s="509"/>
    </row>
    <row r="1138" spans="1:16" ht="21.75" customHeight="1" x14ac:dyDescent="0.3">
      <c r="A1138" s="504"/>
      <c r="B1138" s="504"/>
      <c r="C1138" s="504"/>
      <c r="D1138" s="504"/>
      <c r="E1138" s="506"/>
      <c r="F1138" s="506"/>
      <c r="G1138" s="506"/>
      <c r="H1138" s="506"/>
      <c r="I1138" s="506"/>
      <c r="J1138" s="506"/>
      <c r="K1138" s="507"/>
      <c r="L1138" s="508"/>
      <c r="M1138" s="508"/>
      <c r="N1138" s="508"/>
      <c r="O1138" s="509"/>
      <c r="P1138" s="509"/>
    </row>
    <row r="1139" spans="1:16" ht="21.75" customHeight="1" x14ac:dyDescent="0.3">
      <c r="A1139" s="504"/>
      <c r="B1139" s="504"/>
      <c r="C1139" s="504"/>
      <c r="D1139" s="504"/>
      <c r="E1139" s="506"/>
      <c r="F1139" s="506"/>
      <c r="G1139" s="506"/>
      <c r="H1139" s="506"/>
      <c r="I1139" s="506"/>
      <c r="J1139" s="506"/>
      <c r="K1139" s="507"/>
      <c r="L1139" s="508"/>
      <c r="M1139" s="508"/>
      <c r="N1139" s="508"/>
      <c r="O1139" s="509"/>
      <c r="P1139" s="509"/>
    </row>
    <row r="1140" spans="1:16" ht="21.75" customHeight="1" x14ac:dyDescent="0.3">
      <c r="A1140" s="504"/>
      <c r="B1140" s="504"/>
      <c r="C1140" s="504"/>
      <c r="D1140" s="504"/>
      <c r="E1140" s="506"/>
      <c r="F1140" s="506"/>
      <c r="G1140" s="506"/>
      <c r="H1140" s="506"/>
      <c r="I1140" s="506"/>
      <c r="J1140" s="506"/>
      <c r="K1140" s="507"/>
      <c r="L1140" s="508"/>
      <c r="M1140" s="508"/>
      <c r="N1140" s="508"/>
      <c r="O1140" s="509"/>
      <c r="P1140" s="509"/>
    </row>
    <row r="1141" spans="1:16" ht="21.75" customHeight="1" x14ac:dyDescent="0.3">
      <c r="A1141" s="504"/>
      <c r="B1141" s="504"/>
      <c r="C1141" s="504"/>
      <c r="D1141" s="504"/>
      <c r="E1141" s="506"/>
      <c r="F1141" s="506"/>
      <c r="G1141" s="506"/>
      <c r="H1141" s="506"/>
      <c r="I1141" s="506"/>
      <c r="J1141" s="506"/>
      <c r="K1141" s="507"/>
      <c r="L1141" s="508"/>
      <c r="M1141" s="508"/>
      <c r="N1141" s="508"/>
      <c r="O1141" s="509"/>
      <c r="P1141" s="509"/>
    </row>
    <row r="1142" spans="1:16" ht="21.75" customHeight="1" x14ac:dyDescent="0.3">
      <c r="A1142" s="504"/>
      <c r="B1142" s="504"/>
      <c r="C1142" s="504"/>
      <c r="D1142" s="504"/>
      <c r="E1142" s="506"/>
      <c r="F1142" s="506"/>
      <c r="G1142" s="506"/>
      <c r="H1142" s="506"/>
      <c r="I1142" s="506"/>
      <c r="J1142" s="506"/>
      <c r="K1142" s="507"/>
      <c r="L1142" s="508"/>
      <c r="M1142" s="508"/>
      <c r="N1142" s="508"/>
      <c r="O1142" s="509"/>
      <c r="P1142" s="509"/>
    </row>
    <row r="1143" spans="1:16" ht="21.75" customHeight="1" x14ac:dyDescent="0.3">
      <c r="A1143" s="504"/>
      <c r="B1143" s="504"/>
      <c r="C1143" s="504"/>
      <c r="D1143" s="504"/>
      <c r="E1143" s="506"/>
      <c r="F1143" s="506"/>
      <c r="G1143" s="506"/>
      <c r="H1143" s="506"/>
      <c r="I1143" s="506"/>
      <c r="J1143" s="506"/>
      <c r="K1143" s="507"/>
      <c r="L1143" s="508"/>
      <c r="M1143" s="508"/>
      <c r="N1143" s="508"/>
      <c r="O1143" s="509"/>
      <c r="P1143" s="509"/>
    </row>
  </sheetData>
  <mergeCells count="49">
    <mergeCell ref="D310:G310"/>
    <mergeCell ref="D317:E317"/>
    <mergeCell ref="D329:G329"/>
    <mergeCell ref="D336:E336"/>
    <mergeCell ref="D140:G140"/>
    <mergeCell ref="D147:E147"/>
    <mergeCell ref="D220:G220"/>
    <mergeCell ref="D227:E227"/>
    <mergeCell ref="D250:G250"/>
    <mergeCell ref="D257:E257"/>
    <mergeCell ref="D271:G271"/>
    <mergeCell ref="D118:G118"/>
    <mergeCell ref="D125:E125"/>
    <mergeCell ref="D278:E278"/>
    <mergeCell ref="D290:G290"/>
    <mergeCell ref="D297:E297"/>
    <mergeCell ref="D60:E60"/>
    <mergeCell ref="D66:G66"/>
    <mergeCell ref="D73:E73"/>
    <mergeCell ref="D94:G94"/>
    <mergeCell ref="D101:E101"/>
    <mergeCell ref="D44:F44"/>
    <mergeCell ref="D48:E48"/>
    <mergeCell ref="B52:G52"/>
    <mergeCell ref="D53:G53"/>
    <mergeCell ref="D56:F56"/>
    <mergeCell ref="D31:F31"/>
    <mergeCell ref="D35:E35"/>
    <mergeCell ref="A38:G38"/>
    <mergeCell ref="B39:G39"/>
    <mergeCell ref="D41:G41"/>
    <mergeCell ref="D18:G18"/>
    <mergeCell ref="D21:F21"/>
    <mergeCell ref="D25:E25"/>
    <mergeCell ref="A27:G27"/>
    <mergeCell ref="D28:G28"/>
    <mergeCell ref="A7:G7"/>
    <mergeCell ref="D8:G8"/>
    <mergeCell ref="D11:F11"/>
    <mergeCell ref="D15:E15"/>
    <mergeCell ref="A17:G17"/>
    <mergeCell ref="H5:H6"/>
    <mergeCell ref="I5:K5"/>
    <mergeCell ref="L5:M5"/>
    <mergeCell ref="N5:P5"/>
    <mergeCell ref="A5:G6"/>
    <mergeCell ref="A1:P1"/>
    <mergeCell ref="A2:P2"/>
    <mergeCell ref="A3:P3"/>
  </mergeCells>
  <printOptions horizontalCentered="1"/>
  <pageMargins left="0.23622047244094491" right="0.27559055118110237" top="0.31496062992125984" bottom="0.39370078740157483" header="0" footer="0"/>
  <pageSetup paperSize="9" scale="39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46" max="16383" man="1"/>
    <brk id="326" max="16383" man="1"/>
    <brk id="400" max="16383" man="1"/>
    <brk id="486" max="16383" man="1"/>
    <brk id="563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J7" sqref="J7"/>
      <selection pane="bottomLeft" activeCell="J570" sqref="J570"/>
    </sheetView>
  </sheetViews>
  <sheetFormatPr defaultColWidth="12.6640625" defaultRowHeight="15" customHeight="1" x14ac:dyDescent="0.3"/>
  <cols>
    <col min="1" max="3" width="2.75" customWidth="1"/>
    <col min="4" max="6" width="5" customWidth="1"/>
    <col min="7" max="7" width="70.9140625" customWidth="1"/>
    <col min="8" max="8" width="9.5" customWidth="1"/>
    <col min="9" max="10" width="13.9140625" customWidth="1"/>
    <col min="11" max="11" width="10.08203125" bestFit="1" customWidth="1"/>
    <col min="12" max="12" width="16.33203125" bestFit="1" customWidth="1"/>
    <col min="13" max="13" width="17.6640625" customWidth="1"/>
    <col min="14" max="14" width="19.5" customWidth="1"/>
    <col min="15" max="15" width="16.5" customWidth="1"/>
    <col min="16" max="16" width="18" customWidth="1"/>
  </cols>
  <sheetData>
    <row r="1" spans="1:16" ht="18" customHeight="1" x14ac:dyDescent="0.3">
      <c r="A1" s="512" t="s">
        <v>0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</row>
    <row r="2" spans="1:16" ht="18" customHeight="1" x14ac:dyDescent="0.3">
      <c r="A2" s="512" t="s">
        <v>238</v>
      </c>
      <c r="B2" s="512"/>
      <c r="C2" s="512"/>
      <c r="D2" s="512"/>
      <c r="E2" s="512"/>
      <c r="F2" s="512"/>
      <c r="G2" s="512"/>
      <c r="H2" s="512"/>
      <c r="I2" s="512"/>
      <c r="J2" s="512"/>
      <c r="K2" s="512"/>
      <c r="L2" s="512"/>
      <c r="M2" s="512"/>
      <c r="N2" s="512"/>
      <c r="O2" s="512"/>
      <c r="P2" s="512"/>
    </row>
    <row r="3" spans="1:16" ht="18" customHeight="1" x14ac:dyDescent="0.3">
      <c r="A3" s="512" t="s">
        <v>272</v>
      </c>
      <c r="B3" s="512"/>
      <c r="C3" s="512"/>
      <c r="D3" s="512"/>
      <c r="E3" s="512"/>
      <c r="F3" s="512"/>
      <c r="G3" s="512"/>
      <c r="H3" s="512"/>
      <c r="I3" s="512"/>
      <c r="J3" s="512"/>
      <c r="K3" s="512"/>
      <c r="L3" s="512"/>
      <c r="M3" s="512"/>
      <c r="N3" s="512"/>
      <c r="O3" s="512"/>
      <c r="P3" s="512"/>
    </row>
    <row r="4" spans="1:16" ht="33.75" customHeight="1" x14ac:dyDescent="0.3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3">
      <c r="A5" s="520" t="s">
        <v>2</v>
      </c>
      <c r="B5" s="521"/>
      <c r="C5" s="521"/>
      <c r="D5" s="521"/>
      <c r="E5" s="521"/>
      <c r="F5" s="521"/>
      <c r="G5" s="522"/>
      <c r="H5" s="513" t="s">
        <v>3</v>
      </c>
      <c r="I5" s="515" t="s">
        <v>4</v>
      </c>
      <c r="J5" s="516"/>
      <c r="K5" s="517"/>
      <c r="L5" s="518" t="s">
        <v>5</v>
      </c>
      <c r="M5" s="517"/>
      <c r="N5" s="519" t="s">
        <v>6</v>
      </c>
      <c r="O5" s="516"/>
      <c r="P5" s="517"/>
    </row>
    <row r="6" spans="1:16" ht="21.75" customHeight="1" x14ac:dyDescent="0.3">
      <c r="A6" s="523"/>
      <c r="B6" s="524"/>
      <c r="C6" s="524"/>
      <c r="D6" s="524"/>
      <c r="E6" s="524"/>
      <c r="F6" s="524"/>
      <c r="G6" s="525"/>
      <c r="H6" s="514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45">
      <c r="A7" s="526" t="s">
        <v>15</v>
      </c>
      <c r="B7" s="516"/>
      <c r="C7" s="516"/>
      <c r="D7" s="516"/>
      <c r="E7" s="516"/>
      <c r="F7" s="516"/>
      <c r="G7" s="517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45">
      <c r="A8" s="17"/>
      <c r="B8" s="18"/>
      <c r="C8" s="19" t="s">
        <v>16</v>
      </c>
      <c r="D8" s="527" t="s">
        <v>17</v>
      </c>
      <c r="E8" s="528"/>
      <c r="F8" s="528"/>
      <c r="G8" s="528"/>
      <c r="H8" s="20" t="s">
        <v>12</v>
      </c>
      <c r="I8" s="21"/>
      <c r="J8" s="21"/>
      <c r="K8" s="22"/>
      <c r="L8" s="23">
        <f t="shared" ref="L8:N8" ca="1" si="0">L9+L10</f>
        <v>7289031</v>
      </c>
      <c r="M8" s="23">
        <f t="shared" ca="1" si="0"/>
        <v>2277425</v>
      </c>
      <c r="N8" s="23">
        <f t="shared" ca="1" si="0"/>
        <v>1806667.67</v>
      </c>
      <c r="O8" s="22">
        <f t="shared" ref="O8:O16" ca="1" si="1">IF(L8&gt;0,N8*100/L8,0)</f>
        <v>24.786115877405379</v>
      </c>
      <c r="P8" s="22">
        <f t="shared" ref="P8:P16" ca="1" si="2">IF(M8&gt;0,N8*100/M8,0)</f>
        <v>79.329403602753104</v>
      </c>
    </row>
    <row r="9" spans="1:16" ht="21.75" customHeight="1" x14ac:dyDescent="0.45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45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7289031</v>
      </c>
      <c r="M10" s="30">
        <f t="shared" ca="1" si="4"/>
        <v>2277425</v>
      </c>
      <c r="N10" s="30">
        <f t="shared" ca="1" si="4"/>
        <v>1806667.67</v>
      </c>
      <c r="O10" s="29">
        <f t="shared" ca="1" si="1"/>
        <v>24.786115877405379</v>
      </c>
      <c r="P10" s="29">
        <f t="shared" ca="1" si="2"/>
        <v>79.329403602753104</v>
      </c>
    </row>
    <row r="11" spans="1:16" ht="21.75" customHeight="1" x14ac:dyDescent="0.45">
      <c r="A11" s="31"/>
      <c r="B11" s="32"/>
      <c r="C11" s="33" t="s">
        <v>16</v>
      </c>
      <c r="D11" s="529" t="s">
        <v>20</v>
      </c>
      <c r="E11" s="530"/>
      <c r="F11" s="530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45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7289031</v>
      </c>
      <c r="M12" s="38">
        <f t="shared" ca="1" si="6"/>
        <v>2277425</v>
      </c>
      <c r="N12" s="38">
        <f t="shared" ca="1" si="6"/>
        <v>1806667.67</v>
      </c>
      <c r="O12" s="38">
        <f t="shared" ca="1" si="1"/>
        <v>24.786115877405379</v>
      </c>
      <c r="P12" s="38">
        <f t="shared" ca="1" si="2"/>
        <v>79.329403602753104</v>
      </c>
    </row>
    <row r="13" spans="1:16" ht="21.75" customHeight="1" x14ac:dyDescent="0.45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2181000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45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5108031</v>
      </c>
      <c r="M14" s="38">
        <f t="shared" si="8"/>
        <v>0</v>
      </c>
      <c r="N14" s="38">
        <f t="shared" ca="1" si="8"/>
        <v>352253.67</v>
      </c>
      <c r="O14" s="38">
        <f t="shared" ca="1" si="1"/>
        <v>6.8960754153606354</v>
      </c>
      <c r="P14" s="38">
        <f t="shared" si="2"/>
        <v>0</v>
      </c>
    </row>
    <row r="15" spans="1:16" ht="21.75" customHeight="1" x14ac:dyDescent="0.45">
      <c r="A15" s="31"/>
      <c r="B15" s="32"/>
      <c r="C15" s="33" t="s">
        <v>16</v>
      </c>
      <c r="D15" s="529" t="s">
        <v>23</v>
      </c>
      <c r="E15" s="530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45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0</v>
      </c>
      <c r="M16" s="38">
        <f t="shared" si="10"/>
        <v>0</v>
      </c>
      <c r="N16" s="38">
        <f t="shared" ca="1" si="10"/>
        <v>0</v>
      </c>
      <c r="O16" s="49">
        <f t="shared" ca="1" si="1"/>
        <v>0</v>
      </c>
      <c r="P16" s="49">
        <f t="shared" si="2"/>
        <v>0</v>
      </c>
    </row>
    <row r="17" spans="1:16" ht="21.75" customHeight="1" x14ac:dyDescent="0.45">
      <c r="A17" s="526" t="s">
        <v>24</v>
      </c>
      <c r="B17" s="516"/>
      <c r="C17" s="516"/>
      <c r="D17" s="516"/>
      <c r="E17" s="516"/>
      <c r="F17" s="516"/>
      <c r="G17" s="517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45">
      <c r="A18" s="17"/>
      <c r="B18" s="18"/>
      <c r="C18" s="19" t="s">
        <v>16</v>
      </c>
      <c r="D18" s="527" t="s">
        <v>17</v>
      </c>
      <c r="E18" s="528"/>
      <c r="F18" s="528"/>
      <c r="G18" s="528"/>
      <c r="H18" s="20" t="s">
        <v>12</v>
      </c>
      <c r="I18" s="21"/>
      <c r="J18" s="21"/>
      <c r="K18" s="22"/>
      <c r="L18" s="23">
        <f t="shared" ref="L18:N18" ca="1" si="11">L19+L20</f>
        <v>3957295</v>
      </c>
      <c r="M18" s="23">
        <f t="shared" ca="1" si="11"/>
        <v>2277425</v>
      </c>
      <c r="N18" s="23">
        <f t="shared" ca="1" si="11"/>
        <v>1454414</v>
      </c>
      <c r="O18" s="22">
        <f t="shared" ref="O18:O20" ca="1" si="12">IF(L18&gt;0,N18*100/L18,0)</f>
        <v>36.752731348054667</v>
      </c>
      <c r="P18" s="22">
        <f t="shared" ref="P18:P26" ca="1" si="13">IF(M18&gt;0,N18*100/M18,0)</f>
        <v>63.862212806129733</v>
      </c>
    </row>
    <row r="19" spans="1:16" ht="21.75" customHeight="1" x14ac:dyDescent="0.45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45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3957295</v>
      </c>
      <c r="M20" s="30">
        <f t="shared" ca="1" si="15"/>
        <v>2277425</v>
      </c>
      <c r="N20" s="30">
        <f t="shared" ca="1" si="15"/>
        <v>1454414</v>
      </c>
      <c r="O20" s="29">
        <f t="shared" ca="1" si="12"/>
        <v>36.752731348054667</v>
      </c>
      <c r="P20" s="29">
        <f t="shared" ca="1" si="13"/>
        <v>63.862212806129733</v>
      </c>
    </row>
    <row r="21" spans="1:16" ht="21.75" customHeight="1" x14ac:dyDescent="0.45">
      <c r="A21" s="31"/>
      <c r="B21" s="32"/>
      <c r="C21" s="33" t="s">
        <v>16</v>
      </c>
      <c r="D21" s="529" t="s">
        <v>20</v>
      </c>
      <c r="E21" s="530"/>
      <c r="F21" s="530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45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3957295</v>
      </c>
      <c r="M22" s="41">
        <f t="shared" ca="1" si="18"/>
        <v>2277425</v>
      </c>
      <c r="N22" s="38">
        <f t="shared" ca="1" si="18"/>
        <v>1454414</v>
      </c>
      <c r="O22" s="38">
        <f t="shared" ca="1" si="17"/>
        <v>36.752731348054667</v>
      </c>
      <c r="P22" s="38">
        <f t="shared" ca="1" si="13"/>
        <v>63.862212806129733</v>
      </c>
    </row>
    <row r="23" spans="1:16" ht="21.75" customHeight="1" x14ac:dyDescent="0.45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2181000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45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1776295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45">
      <c r="A25" s="31"/>
      <c r="B25" s="32"/>
      <c r="C25" s="33" t="s">
        <v>16</v>
      </c>
      <c r="D25" s="529" t="s">
        <v>23</v>
      </c>
      <c r="E25" s="530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45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0</v>
      </c>
      <c r="M26" s="49">
        <f t="shared" si="22"/>
        <v>0</v>
      </c>
      <c r="N26" s="49">
        <f t="shared" ca="1" si="22"/>
        <v>0</v>
      </c>
      <c r="O26" s="49">
        <f t="shared" ca="1" si="17"/>
        <v>0</v>
      </c>
      <c r="P26" s="49">
        <f t="shared" si="13"/>
        <v>0</v>
      </c>
    </row>
    <row r="27" spans="1:16" ht="21.75" customHeight="1" x14ac:dyDescent="0.45">
      <c r="A27" s="526" t="s">
        <v>25</v>
      </c>
      <c r="B27" s="516"/>
      <c r="C27" s="516"/>
      <c r="D27" s="516"/>
      <c r="E27" s="516"/>
      <c r="F27" s="516"/>
      <c r="G27" s="517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45">
      <c r="A28" s="17"/>
      <c r="B28" s="18"/>
      <c r="C28" s="19" t="s">
        <v>16</v>
      </c>
      <c r="D28" s="527" t="s">
        <v>17</v>
      </c>
      <c r="E28" s="528"/>
      <c r="F28" s="528"/>
      <c r="G28" s="528"/>
      <c r="H28" s="20" t="s">
        <v>12</v>
      </c>
      <c r="I28" s="21"/>
      <c r="J28" s="21"/>
      <c r="K28" s="22"/>
      <c r="L28" s="23">
        <f t="shared" ref="L28:N28" ca="1" si="23">L29+L30</f>
        <v>3331736</v>
      </c>
      <c r="M28" s="23">
        <f t="shared" si="23"/>
        <v>0</v>
      </c>
      <c r="N28" s="23">
        <f t="shared" ca="1" si="23"/>
        <v>352253.67</v>
      </c>
      <c r="O28" s="22">
        <f t="shared" ref="O28:O30" ca="1" si="24">IF(L28&gt;0,N28*100/L28,0)</f>
        <v>10.572676526591543</v>
      </c>
      <c r="P28" s="22">
        <f t="shared" ref="P28:P37" si="25">IF(M28&gt;0,N28*100/M28,0)</f>
        <v>0</v>
      </c>
    </row>
    <row r="29" spans="1:16" ht="21.75" customHeight="1" x14ac:dyDescent="0.45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45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3331736</v>
      </c>
      <c r="M30" s="30">
        <f t="shared" si="27"/>
        <v>0</v>
      </c>
      <c r="N30" s="30">
        <f t="shared" ca="1" si="27"/>
        <v>352253.67</v>
      </c>
      <c r="O30" s="29">
        <f t="shared" ca="1" si="24"/>
        <v>10.572676526591543</v>
      </c>
      <c r="P30" s="29">
        <f t="shared" si="25"/>
        <v>0</v>
      </c>
    </row>
    <row r="31" spans="1:16" ht="21.75" customHeight="1" x14ac:dyDescent="0.45">
      <c r="A31" s="31"/>
      <c r="B31" s="32"/>
      <c r="C31" s="33" t="s">
        <v>16</v>
      </c>
      <c r="D31" s="529" t="s">
        <v>20</v>
      </c>
      <c r="E31" s="530"/>
      <c r="F31" s="530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45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3331736</v>
      </c>
      <c r="M32" s="38">
        <f t="shared" si="30"/>
        <v>0</v>
      </c>
      <c r="N32" s="38">
        <f t="shared" ca="1" si="30"/>
        <v>352253.67</v>
      </c>
      <c r="O32" s="38">
        <f t="shared" ca="1" si="29"/>
        <v>10.572676526591543</v>
      </c>
      <c r="P32" s="38">
        <f t="shared" si="25"/>
        <v>0</v>
      </c>
    </row>
    <row r="33" spans="1:16" ht="21.75" customHeight="1" x14ac:dyDescent="0.45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45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3331736</v>
      </c>
      <c r="M34" s="38">
        <f t="shared" si="32"/>
        <v>0</v>
      </c>
      <c r="N34" s="38">
        <f t="shared" ca="1" si="32"/>
        <v>352253.67</v>
      </c>
      <c r="O34" s="38">
        <f t="shared" ca="1" si="29"/>
        <v>10.572676526591543</v>
      </c>
      <c r="P34" s="38">
        <f t="shared" si="25"/>
        <v>0</v>
      </c>
    </row>
    <row r="35" spans="1:16" ht="21.75" customHeight="1" x14ac:dyDescent="0.45">
      <c r="A35" s="31"/>
      <c r="B35" s="32"/>
      <c r="C35" s="33" t="s">
        <v>16</v>
      </c>
      <c r="D35" s="529" t="s">
        <v>23</v>
      </c>
      <c r="E35" s="530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45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3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3957295</v>
      </c>
      <c r="M37" s="54">
        <f t="shared" ca="1" si="33"/>
        <v>2277425</v>
      </c>
      <c r="N37" s="54">
        <f t="shared" ca="1" si="33"/>
        <v>1454414</v>
      </c>
      <c r="O37" s="55">
        <f t="shared" ca="1" si="29"/>
        <v>36.752731348054667</v>
      </c>
      <c r="P37" s="55">
        <f t="shared" ca="1" si="25"/>
        <v>63.862212806129733</v>
      </c>
    </row>
    <row r="38" spans="1:16" ht="21.75" customHeight="1" x14ac:dyDescent="0.45">
      <c r="A38" s="531" t="s">
        <v>27</v>
      </c>
      <c r="B38" s="516"/>
      <c r="C38" s="516"/>
      <c r="D38" s="516"/>
      <c r="E38" s="516"/>
      <c r="F38" s="516"/>
      <c r="G38" s="517"/>
      <c r="H38" s="56"/>
      <c r="I38" s="57"/>
      <c r="J38" s="57"/>
      <c r="K38" s="58"/>
      <c r="L38" s="59"/>
      <c r="M38" s="59"/>
      <c r="N38" s="59"/>
      <c r="O38" s="59"/>
      <c r="P38" s="59"/>
    </row>
    <row r="39" spans="1:16" ht="21.75" customHeight="1" x14ac:dyDescent="0.45">
      <c r="A39" s="60"/>
      <c r="B39" s="532" t="s">
        <v>28</v>
      </c>
      <c r="C39" s="528"/>
      <c r="D39" s="528"/>
      <c r="E39" s="528"/>
      <c r="F39" s="528"/>
      <c r="G39" s="528"/>
      <c r="H39" s="61"/>
      <c r="I39" s="62"/>
      <c r="J39" s="62"/>
      <c r="K39" s="63"/>
      <c r="L39" s="64"/>
      <c r="M39" s="64"/>
      <c r="N39" s="64"/>
      <c r="O39" s="63"/>
      <c r="P39" s="63"/>
    </row>
    <row r="40" spans="1:16" ht="21.75" customHeight="1" x14ac:dyDescent="0.45">
      <c r="A40" s="65"/>
      <c r="B40" s="66" t="s">
        <v>29</v>
      </c>
      <c r="C40" s="67"/>
      <c r="D40" s="67"/>
      <c r="E40" s="67"/>
      <c r="F40" s="67"/>
      <c r="G40" s="67"/>
      <c r="H40" s="68"/>
      <c r="I40" s="69"/>
      <c r="J40" s="69"/>
      <c r="K40" s="70"/>
      <c r="L40" s="71"/>
      <c r="M40" s="71"/>
      <c r="N40" s="71"/>
      <c r="O40" s="70"/>
      <c r="P40" s="70"/>
    </row>
    <row r="41" spans="1:16" ht="21.75" customHeight="1" x14ac:dyDescent="0.45">
      <c r="A41" s="72"/>
      <c r="B41" s="73"/>
      <c r="C41" s="74" t="s">
        <v>16</v>
      </c>
      <c r="D41" s="533" t="s">
        <v>17</v>
      </c>
      <c r="E41" s="530"/>
      <c r="F41" s="530"/>
      <c r="G41" s="530"/>
      <c r="H41" s="75" t="s">
        <v>12</v>
      </c>
      <c r="I41" s="76"/>
      <c r="J41" s="76"/>
      <c r="K41" s="77"/>
      <c r="L41" s="78">
        <f t="shared" ref="L41:N41" ca="1" si="34">L42+L43</f>
        <v>840900</v>
      </c>
      <c r="M41" s="78">
        <f t="shared" ca="1" si="34"/>
        <v>420500</v>
      </c>
      <c r="N41" s="78">
        <f t="shared" ca="1" si="34"/>
        <v>320424</v>
      </c>
      <c r="O41" s="77">
        <f t="shared" ref="O41:O43" ca="1" si="35">IF(L41&gt;0,N41*100/L41,0)</f>
        <v>38.104887620406707</v>
      </c>
      <c r="P41" s="77">
        <f t="shared" ref="P41:P43" ca="1" si="36">IF(M41&gt;0,N41*100/M41,0)</f>
        <v>76.200713436385257</v>
      </c>
    </row>
    <row r="42" spans="1:16" ht="21.75" customHeight="1" x14ac:dyDescent="0.45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45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840900</v>
      </c>
      <c r="M43" s="78">
        <f t="shared" ca="1" si="38"/>
        <v>420500</v>
      </c>
      <c r="N43" s="78">
        <f t="shared" ca="1" si="38"/>
        <v>320424</v>
      </c>
      <c r="O43" s="77">
        <f t="shared" ca="1" si="35"/>
        <v>38.104887620406707</v>
      </c>
      <c r="P43" s="77">
        <f t="shared" ca="1" si="36"/>
        <v>76.200713436385257</v>
      </c>
    </row>
    <row r="44" spans="1:16" ht="21.75" customHeight="1" x14ac:dyDescent="0.45">
      <c r="A44" s="79"/>
      <c r="B44" s="80"/>
      <c r="C44" s="81" t="s">
        <v>16</v>
      </c>
      <c r="D44" s="534" t="s">
        <v>20</v>
      </c>
      <c r="E44" s="530"/>
      <c r="F44" s="530"/>
      <c r="G44" s="82" t="s">
        <v>18</v>
      </c>
      <c r="H44" s="83" t="s">
        <v>12</v>
      </c>
      <c r="I44" s="84"/>
      <c r="J44" s="84"/>
      <c r="K44" s="85"/>
      <c r="L44" s="86">
        <v>0</v>
      </c>
      <c r="M44" s="510"/>
      <c r="N44" s="511"/>
      <c r="O44" s="511"/>
      <c r="P44" s="511"/>
    </row>
    <row r="45" spans="1:16" ht="21.75" customHeight="1" x14ac:dyDescent="0.45">
      <c r="A45" s="79"/>
      <c r="B45" s="80"/>
      <c r="C45" s="80"/>
      <c r="D45" s="80"/>
      <c r="E45" s="88"/>
      <c r="F45" s="89"/>
      <c r="G45" s="82" t="s">
        <v>19</v>
      </c>
      <c r="H45" s="83" t="s">
        <v>12</v>
      </c>
      <c r="I45" s="84"/>
      <c r="J45" s="84"/>
      <c r="K45" s="85"/>
      <c r="L45" s="38">
        <f ca="1">L46+L47</f>
        <v>840900</v>
      </c>
      <c r="M45" s="49">
        <f ca="1">IFERROR(__xludf.DUMMYFUNCTION("IMPORTRANGE(""https://docs.google.com/spreadsheets/d/1Yj_ptqi66GCucihVvJfMjLAmec39IyEx_6qawtMGysU/edit?usp=sharing"",""สบก!Q20"")"),420500)</f>
        <v>420500</v>
      </c>
      <c r="N45" s="49">
        <f ca="1">IFERROR(__xludf.DUMMYFUNCTION("IMPORTRANGE(""https://docs.google.com/spreadsheets/d/1Yj_ptqi66GCucihVvJfMjLAmec39IyEx_6qawtMGysU/edit?usp=sharing"",""สบก!R20"")"),320424)</f>
        <v>320424</v>
      </c>
      <c r="O45" s="38">
        <f ca="1">IF(L45&gt;0,N45*100/L45,0)</f>
        <v>38.104887620406707</v>
      </c>
      <c r="P45" s="38">
        <f ca="1">IF(M45&gt;0,N45*100/M45,0)</f>
        <v>76.200713436385257</v>
      </c>
    </row>
    <row r="46" spans="1:16" ht="21.75" customHeight="1" x14ac:dyDescent="0.45">
      <c r="A46" s="79"/>
      <c r="B46" s="80"/>
      <c r="C46" s="80"/>
      <c r="D46" s="80"/>
      <c r="E46" s="88"/>
      <c r="F46" s="88"/>
      <c r="G46" s="82" t="s">
        <v>21</v>
      </c>
      <c r="H46" s="83" t="s">
        <v>12</v>
      </c>
      <c r="I46" s="84"/>
      <c r="J46" s="84"/>
      <c r="K46" s="85"/>
      <c r="L46" s="49">
        <f ca="1">IFERROR(__xludf.DUMMYFUNCTION("IMPORTRANGE(""https://docs.google.com/spreadsheets/d/1Yj_ptqi66GCucihVvJfMjLAmec39IyEx_6qawtMGysU/edit?usp=sharing"",""สบก!M20"")"),840900)</f>
        <v>840900</v>
      </c>
      <c r="M46" s="41"/>
      <c r="N46" s="38"/>
      <c r="O46" s="38"/>
      <c r="P46" s="38"/>
    </row>
    <row r="47" spans="1:16" ht="21.75" customHeight="1" x14ac:dyDescent="0.45">
      <c r="A47" s="79"/>
      <c r="B47" s="80"/>
      <c r="C47" s="80"/>
      <c r="D47" s="80"/>
      <c r="E47" s="88"/>
      <c r="F47" s="88"/>
      <c r="G47" s="82" t="s">
        <v>22</v>
      </c>
      <c r="H47" s="83" t="s">
        <v>12</v>
      </c>
      <c r="I47" s="84"/>
      <c r="J47" s="84"/>
      <c r="K47" s="85"/>
      <c r="L47" s="49">
        <f ca="1">IFERROR(__xludf.DUMMYFUNCTION("IMPORTRANGE(""https://docs.google.com/spreadsheets/d/1Yj_ptqi66GCucihVvJfMjLAmec39IyEx_6qawtMGysU/edit?usp=sharing"",""สบก!N20"")"),0)</f>
        <v>0</v>
      </c>
      <c r="M47" s="41"/>
      <c r="N47" s="38"/>
      <c r="O47" s="38"/>
      <c r="P47" s="38"/>
    </row>
    <row r="48" spans="1:16" ht="21.75" customHeight="1" x14ac:dyDescent="0.45">
      <c r="A48" s="79"/>
      <c r="B48" s="80"/>
      <c r="C48" s="81" t="s">
        <v>16</v>
      </c>
      <c r="D48" s="534" t="s">
        <v>23</v>
      </c>
      <c r="E48" s="530"/>
      <c r="F48" s="88"/>
      <c r="G48" s="82" t="s">
        <v>18</v>
      </c>
      <c r="H48" s="83" t="s">
        <v>12</v>
      </c>
      <c r="I48" s="84"/>
      <c r="J48" s="84"/>
      <c r="K48" s="85"/>
      <c r="L48" s="50">
        <v>0</v>
      </c>
      <c r="M48" s="41"/>
      <c r="N48" s="41"/>
      <c r="O48" s="41"/>
      <c r="P48" s="41"/>
    </row>
    <row r="49" spans="1:16" ht="21.75" customHeight="1" x14ac:dyDescent="0.45">
      <c r="A49" s="90"/>
      <c r="B49" s="91"/>
      <c r="C49" s="91"/>
      <c r="D49" s="91"/>
      <c r="E49" s="92"/>
      <c r="F49" s="92"/>
      <c r="G49" s="93" t="s">
        <v>19</v>
      </c>
      <c r="H49" s="94" t="s">
        <v>12</v>
      </c>
      <c r="I49" s="95"/>
      <c r="J49" s="95"/>
      <c r="K49" s="96"/>
      <c r="L49" s="49">
        <f ca="1">IFERROR(__xludf.DUMMYFUNCTION("IMPORTRANGE(""https://docs.google.com/spreadsheets/d/1Yj_ptqi66GCucihVvJfMjLAmec39IyEx_6qawtMGysU/edit?usp=sharing"",""สบก!O20"")"),0)</f>
        <v>0</v>
      </c>
      <c r="M49" s="49"/>
      <c r="N49" s="49">
        <f ca="1">IFERROR(__xludf.DUMMYFUNCTION("IMPORTRANGE(""https://docs.google.com/spreadsheets/d/1Yj_ptqi66GCucihVvJfMjLAmec39IyEx_6qawtMGysU/edit?usp=sharing"",""สบก!S20"")"),0)</f>
        <v>0</v>
      </c>
      <c r="O49" s="49">
        <f ca="1">IF(L49&gt;0,N49*100/L49,0)</f>
        <v>0</v>
      </c>
      <c r="P49" s="49"/>
    </row>
    <row r="50" spans="1:16" ht="21.75" customHeight="1" x14ac:dyDescent="0.45">
      <c r="A50" s="97" t="s">
        <v>30</v>
      </c>
      <c r="B50" s="98"/>
      <c r="C50" s="98"/>
      <c r="D50" s="98"/>
      <c r="E50" s="98"/>
      <c r="F50" s="98"/>
      <c r="G50" s="98"/>
      <c r="H50" s="99"/>
      <c r="I50" s="100"/>
      <c r="J50" s="100"/>
      <c r="K50" s="101"/>
      <c r="L50" s="102"/>
      <c r="M50" s="102"/>
      <c r="N50" s="102"/>
      <c r="O50" s="101"/>
      <c r="P50" s="101"/>
    </row>
    <row r="51" spans="1:16" ht="21.75" customHeight="1" x14ac:dyDescent="0.45">
      <c r="A51" s="103"/>
      <c r="B51" s="104" t="s">
        <v>31</v>
      </c>
      <c r="C51" s="104"/>
      <c r="D51" s="104"/>
      <c r="E51" s="104"/>
      <c r="F51" s="104"/>
      <c r="G51" s="104"/>
      <c r="H51" s="105"/>
      <c r="I51" s="106"/>
      <c r="J51" s="106"/>
      <c r="K51" s="107"/>
      <c r="L51" s="108"/>
      <c r="M51" s="108"/>
      <c r="N51" s="108"/>
      <c r="O51" s="107"/>
      <c r="P51" s="107"/>
    </row>
    <row r="52" spans="1:16" ht="21.75" customHeight="1" x14ac:dyDescent="0.45">
      <c r="A52" s="109"/>
      <c r="B52" s="535" t="s">
        <v>32</v>
      </c>
      <c r="C52" s="530"/>
      <c r="D52" s="530"/>
      <c r="E52" s="530"/>
      <c r="F52" s="530"/>
      <c r="G52" s="530"/>
      <c r="H52" s="110"/>
      <c r="I52" s="111"/>
      <c r="J52" s="111"/>
      <c r="K52" s="112"/>
      <c r="L52" s="113"/>
      <c r="M52" s="113"/>
      <c r="N52" s="113"/>
      <c r="O52" s="112"/>
      <c r="P52" s="112"/>
    </row>
    <row r="53" spans="1:16" ht="21.75" customHeight="1" x14ac:dyDescent="0.45">
      <c r="A53" s="114"/>
      <c r="B53" s="115"/>
      <c r="C53" s="116" t="s">
        <v>16</v>
      </c>
      <c r="D53" s="536" t="s">
        <v>17</v>
      </c>
      <c r="E53" s="530"/>
      <c r="F53" s="530"/>
      <c r="G53" s="530"/>
      <c r="H53" s="117" t="s">
        <v>12</v>
      </c>
      <c r="I53" s="118"/>
      <c r="J53" s="118"/>
      <c r="K53" s="119"/>
      <c r="L53" s="120">
        <f t="shared" ref="L53:N53" ca="1" si="39">L54+L55</f>
        <v>469000</v>
      </c>
      <c r="M53" s="120">
        <f t="shared" ca="1" si="39"/>
        <v>247230</v>
      </c>
      <c r="N53" s="120">
        <f t="shared" ca="1" si="39"/>
        <v>205603</v>
      </c>
      <c r="O53" s="119">
        <f t="shared" ref="O53:O55" ca="1" si="40">IF(L53&gt;0,N53*100/L53,0)</f>
        <v>43.838592750533046</v>
      </c>
      <c r="P53" s="119">
        <f t="shared" ref="P53:P55" ca="1" si="41">IF(M53&gt;0,N53*100/M53,0)</f>
        <v>83.162642074181932</v>
      </c>
    </row>
    <row r="54" spans="1:16" ht="21.75" customHeight="1" x14ac:dyDescent="0.45">
      <c r="A54" s="114"/>
      <c r="B54" s="115"/>
      <c r="C54" s="115"/>
      <c r="D54" s="115"/>
      <c r="E54" s="115"/>
      <c r="F54" s="115"/>
      <c r="G54" s="116" t="s">
        <v>18</v>
      </c>
      <c r="H54" s="117" t="s">
        <v>12</v>
      </c>
      <c r="I54" s="118"/>
      <c r="J54" s="118"/>
      <c r="K54" s="119"/>
      <c r="L54" s="120">
        <f t="shared" ref="L54:N54" si="42">L56+L60</f>
        <v>0</v>
      </c>
      <c r="M54" s="120">
        <f t="shared" si="42"/>
        <v>0</v>
      </c>
      <c r="N54" s="120">
        <f t="shared" si="42"/>
        <v>0</v>
      </c>
      <c r="O54" s="119">
        <f t="shared" si="40"/>
        <v>0</v>
      </c>
      <c r="P54" s="119">
        <f t="shared" si="41"/>
        <v>0</v>
      </c>
    </row>
    <row r="55" spans="1:16" ht="21.75" customHeight="1" x14ac:dyDescent="0.45">
      <c r="A55" s="114"/>
      <c r="B55" s="115"/>
      <c r="C55" s="115"/>
      <c r="D55" s="115"/>
      <c r="E55" s="115"/>
      <c r="F55" s="115"/>
      <c r="G55" s="116" t="s">
        <v>19</v>
      </c>
      <c r="H55" s="117" t="s">
        <v>12</v>
      </c>
      <c r="I55" s="118"/>
      <c r="J55" s="118"/>
      <c r="K55" s="119"/>
      <c r="L55" s="120">
        <f t="shared" ref="L55:N55" ca="1" si="43">L57+L61</f>
        <v>469000</v>
      </c>
      <c r="M55" s="120">
        <f t="shared" ca="1" si="43"/>
        <v>247230</v>
      </c>
      <c r="N55" s="120">
        <f t="shared" ca="1" si="43"/>
        <v>205603</v>
      </c>
      <c r="O55" s="119">
        <f t="shared" ca="1" si="40"/>
        <v>43.838592750533046</v>
      </c>
      <c r="P55" s="119">
        <f t="shared" ca="1" si="41"/>
        <v>83.162642074181932</v>
      </c>
    </row>
    <row r="56" spans="1:16" ht="21.75" customHeight="1" x14ac:dyDescent="0.45">
      <c r="A56" s="79"/>
      <c r="B56" s="80"/>
      <c r="C56" s="81" t="s">
        <v>16</v>
      </c>
      <c r="D56" s="534" t="s">
        <v>20</v>
      </c>
      <c r="E56" s="530"/>
      <c r="F56" s="530"/>
      <c r="G56" s="82" t="s">
        <v>18</v>
      </c>
      <c r="H56" s="83" t="s">
        <v>12</v>
      </c>
      <c r="I56" s="84"/>
      <c r="J56" s="84"/>
      <c r="K56" s="85"/>
      <c r="L56" s="511">
        <v>0</v>
      </c>
      <c r="M56" s="510"/>
      <c r="N56" s="511"/>
      <c r="O56" s="511"/>
      <c r="P56" s="511"/>
    </row>
    <row r="57" spans="1:16" ht="21.75" customHeight="1" x14ac:dyDescent="0.45">
      <c r="A57" s="79"/>
      <c r="B57" s="80"/>
      <c r="C57" s="80"/>
      <c r="D57" s="80"/>
      <c r="E57" s="88"/>
      <c r="F57" s="89"/>
      <c r="G57" s="82" t="s">
        <v>19</v>
      </c>
      <c r="H57" s="83" t="s">
        <v>12</v>
      </c>
      <c r="I57" s="84"/>
      <c r="J57" s="84"/>
      <c r="K57" s="85"/>
      <c r="L57" s="38">
        <f ca="1">L58+L59</f>
        <v>469000</v>
      </c>
      <c r="M57" s="49">
        <f ca="1">IFERROR(__xludf.DUMMYFUNCTION("IMPORTRANGE(""https://docs.google.com/spreadsheets/d/1Yj_ptqi66GCucihVvJfMjLAmec39IyEx_6qawtMGysU/edit?usp=sharing"",""สบก!Z20"")"),247230)</f>
        <v>247230</v>
      </c>
      <c r="N57" s="49">
        <f ca="1">IFERROR(__xludf.DUMMYFUNCTION("IMPORTRANGE(""https://docs.google.com/spreadsheets/d/1Yj_ptqi66GCucihVvJfMjLAmec39IyEx_6qawtMGysU/edit?usp=sharing"",""สบก!AA20"")"),205603)</f>
        <v>205603</v>
      </c>
      <c r="O57" s="38">
        <f ca="1">IF(L57&gt;0,N57*100/L57,0)</f>
        <v>43.838592750533046</v>
      </c>
      <c r="P57" s="38">
        <f ca="1">IF(M57&gt;0,N57*100/M57,0)</f>
        <v>83.162642074181932</v>
      </c>
    </row>
    <row r="58" spans="1:16" ht="21.75" customHeight="1" x14ac:dyDescent="0.45">
      <c r="A58" s="79"/>
      <c r="B58" s="80"/>
      <c r="C58" s="80"/>
      <c r="D58" s="80"/>
      <c r="E58" s="88"/>
      <c r="F58" s="88"/>
      <c r="G58" s="82" t="s">
        <v>21</v>
      </c>
      <c r="H58" s="83" t="s">
        <v>12</v>
      </c>
      <c r="I58" s="84"/>
      <c r="J58" s="84"/>
      <c r="K58" s="85"/>
      <c r="L58" s="49">
        <f ca="1">IFERROR(__xludf.DUMMYFUNCTION("IMPORTRANGE(""https://docs.google.com/spreadsheets/d/1Yj_ptqi66GCucihVvJfMjLAmec39IyEx_6qawtMGysU/edit?usp=sharing"",""สบก!V20"")"),469000)</f>
        <v>469000</v>
      </c>
      <c r="M58" s="41"/>
      <c r="N58" s="38"/>
      <c r="O58" s="38"/>
      <c r="P58" s="38"/>
    </row>
    <row r="59" spans="1:16" ht="21.75" customHeight="1" x14ac:dyDescent="0.45">
      <c r="A59" s="79"/>
      <c r="B59" s="80"/>
      <c r="C59" s="80"/>
      <c r="D59" s="80"/>
      <c r="E59" s="88"/>
      <c r="F59" s="88"/>
      <c r="G59" s="82" t="s">
        <v>22</v>
      </c>
      <c r="H59" s="83" t="s">
        <v>12</v>
      </c>
      <c r="I59" s="84"/>
      <c r="J59" s="84"/>
      <c r="K59" s="85"/>
      <c r="L59" s="49">
        <f ca="1">IFERROR(__xludf.DUMMYFUNCTION("IMPORTRANGE(""https://docs.google.com/spreadsheets/d/1Yj_ptqi66GCucihVvJfMjLAmec39IyEx_6qawtMGysU/edit?usp=sharing"",""สบก!W20"")"),0)</f>
        <v>0</v>
      </c>
      <c r="M59" s="41"/>
      <c r="N59" s="38"/>
      <c r="O59" s="38"/>
      <c r="P59" s="38"/>
    </row>
    <row r="60" spans="1:16" ht="21.75" customHeight="1" x14ac:dyDescent="0.45">
      <c r="A60" s="79"/>
      <c r="B60" s="80"/>
      <c r="C60" s="81" t="s">
        <v>16</v>
      </c>
      <c r="D60" s="534" t="s">
        <v>23</v>
      </c>
      <c r="E60" s="530"/>
      <c r="F60" s="88"/>
      <c r="G60" s="82" t="s">
        <v>18</v>
      </c>
      <c r="H60" s="83" t="s">
        <v>12</v>
      </c>
      <c r="I60" s="84"/>
      <c r="J60" s="84"/>
      <c r="K60" s="85"/>
      <c r="L60" s="50">
        <v>0</v>
      </c>
      <c r="M60" s="41"/>
      <c r="N60" s="41"/>
      <c r="O60" s="41"/>
      <c r="P60" s="41"/>
    </row>
    <row r="61" spans="1:16" ht="21.75" customHeight="1" x14ac:dyDescent="0.45">
      <c r="A61" s="90"/>
      <c r="B61" s="91"/>
      <c r="C61" s="91"/>
      <c r="D61" s="91"/>
      <c r="E61" s="92"/>
      <c r="F61" s="92"/>
      <c r="G61" s="93" t="s">
        <v>19</v>
      </c>
      <c r="H61" s="94" t="s">
        <v>12</v>
      </c>
      <c r="I61" s="95"/>
      <c r="J61" s="95"/>
      <c r="K61" s="96"/>
      <c r="L61" s="49">
        <f ca="1">IFERROR(__xludf.DUMMYFUNCTION("IMPORTRANGE(""https://docs.google.com/spreadsheets/d/1Yj_ptqi66GCucihVvJfMjLAmec39IyEx_6qawtMGysU/edit?usp=sharing"",""สบก!X20"")"),0)</f>
        <v>0</v>
      </c>
      <c r="M61" s="49"/>
      <c r="N61" s="49">
        <f ca="1">IFERROR(__xludf.DUMMYFUNCTION("IMPORTRANGE(""https://docs.google.com/spreadsheets/d/1Yj_ptqi66GCucihVvJfMjLAmec39IyEx_6qawtMGysU/edit?usp=sharing"",""สบก!AB20"")"),0)</f>
        <v>0</v>
      </c>
      <c r="O61" s="49">
        <f ca="1">IF(L61&gt;0,N61*100/L61,0)</f>
        <v>0</v>
      </c>
      <c r="P61" s="49"/>
    </row>
    <row r="62" spans="1:16" ht="21.75" customHeight="1" x14ac:dyDescent="0.3">
      <c r="A62" s="121" t="s">
        <v>33</v>
      </c>
      <c r="B62" s="122"/>
      <c r="C62" s="122"/>
      <c r="D62" s="122"/>
      <c r="E62" s="123"/>
      <c r="F62" s="123"/>
      <c r="G62" s="123"/>
      <c r="H62" s="124"/>
      <c r="I62" s="125"/>
      <c r="J62" s="125"/>
      <c r="K62" s="126"/>
      <c r="L62" s="127"/>
      <c r="M62" s="127"/>
      <c r="N62" s="127"/>
      <c r="O62" s="127"/>
      <c r="P62" s="127"/>
    </row>
    <row r="63" spans="1:16" ht="21.75" customHeight="1" x14ac:dyDescent="0.3">
      <c r="A63" s="128" t="s">
        <v>34</v>
      </c>
      <c r="B63" s="129"/>
      <c r="C63" s="130"/>
      <c r="D63" s="129"/>
      <c r="E63" s="131"/>
      <c r="F63" s="131"/>
      <c r="G63" s="131"/>
      <c r="H63" s="132"/>
      <c r="I63" s="133"/>
      <c r="J63" s="133"/>
      <c r="K63" s="134"/>
      <c r="L63" s="135"/>
      <c r="M63" s="135"/>
      <c r="N63" s="135"/>
      <c r="O63" s="136"/>
      <c r="P63" s="136"/>
    </row>
    <row r="64" spans="1:16" ht="21.75" customHeight="1" x14ac:dyDescent="0.3">
      <c r="A64" s="137"/>
      <c r="B64" s="138" t="s">
        <v>35</v>
      </c>
      <c r="C64" s="138"/>
      <c r="D64" s="139"/>
      <c r="E64" s="138"/>
      <c r="F64" s="138"/>
      <c r="G64" s="138"/>
      <c r="H64" s="140" t="s">
        <v>36</v>
      </c>
      <c r="I64" s="141">
        <f ca="1">IFERROR(__xludf.DUMMYFUNCTION("IMPORTRANGE(""https://docs.google.com/spreadsheets/d/11923uPwbBZFjjGgGUA6NLw09EwE0CqkOc4q9oUmW1yo/edit?usp=sharing"",""กำแพงเพชร!I9"")"),0)</f>
        <v>0</v>
      </c>
      <c r="J64" s="141">
        <f ca="1">IFERROR(__xludf.DUMMYFUNCTION("IMPORTRANGE(""https://docs.google.com/spreadsheets/d/11923uPwbBZFjjGgGUA6NLw09EwE0CqkOc4q9oUmW1yo/edit?usp=sharing"",""กำแพงเพชร!J9"")"),0)</f>
        <v>0</v>
      </c>
      <c r="K64" s="142">
        <f t="shared" ref="K64:K65" ca="1" si="44">IF(I64&gt;0,J64*100/I64,0)</f>
        <v>0</v>
      </c>
      <c r="L64" s="143"/>
      <c r="M64" s="143"/>
      <c r="N64" s="144"/>
      <c r="O64" s="142"/>
      <c r="P64" s="142"/>
    </row>
    <row r="65" spans="1:16" ht="21.75" customHeight="1" x14ac:dyDescent="0.3">
      <c r="A65" s="137"/>
      <c r="B65" s="138"/>
      <c r="C65" s="138"/>
      <c r="D65" s="139"/>
      <c r="E65" s="138"/>
      <c r="F65" s="138"/>
      <c r="G65" s="138"/>
      <c r="H65" s="140" t="s">
        <v>37</v>
      </c>
      <c r="I65" s="141">
        <f ca="1">IFERROR(__xludf.DUMMYFUNCTION("IMPORTRANGE(""https://docs.google.com/spreadsheets/d/11923uPwbBZFjjGgGUA6NLw09EwE0CqkOc4q9oUmW1yo/edit?usp=sharing"",""กำแพงเพชร!I10"")"),0)</f>
        <v>0</v>
      </c>
      <c r="J65" s="141">
        <f ca="1">IFERROR(__xludf.DUMMYFUNCTION("IMPORTRANGE(""https://docs.google.com/spreadsheets/d/11923uPwbBZFjjGgGUA6NLw09EwE0CqkOc4q9oUmW1yo/edit?usp=sharing"",""กำแพงเพชร!J10"")"),0)</f>
        <v>0</v>
      </c>
      <c r="K65" s="142">
        <f t="shared" ca="1" si="44"/>
        <v>0</v>
      </c>
      <c r="L65" s="144"/>
      <c r="M65" s="144"/>
      <c r="N65" s="144"/>
      <c r="O65" s="142"/>
      <c r="P65" s="142"/>
    </row>
    <row r="66" spans="1:16" ht="21.75" customHeight="1" x14ac:dyDescent="0.45">
      <c r="A66" s="145"/>
      <c r="B66" s="146"/>
      <c r="C66" s="147" t="s">
        <v>16</v>
      </c>
      <c r="D66" s="537" t="s">
        <v>17</v>
      </c>
      <c r="E66" s="528"/>
      <c r="F66" s="528"/>
      <c r="G66" s="528"/>
      <c r="H66" s="148" t="s">
        <v>12</v>
      </c>
      <c r="I66" s="149"/>
      <c r="J66" s="149"/>
      <c r="K66" s="150"/>
      <c r="L66" s="151">
        <f t="shared" ref="L66:N66" ca="1" si="45">L67+L68</f>
        <v>0</v>
      </c>
      <c r="M66" s="151">
        <f t="shared" ca="1" si="45"/>
        <v>0</v>
      </c>
      <c r="N66" s="151">
        <f t="shared" ca="1" si="45"/>
        <v>0</v>
      </c>
      <c r="O66" s="150">
        <f t="shared" ref="O66:O68" ca="1" si="46">IF(L66&gt;0,N66*100/L66,0)</f>
        <v>0</v>
      </c>
      <c r="P66" s="150">
        <f t="shared" ref="P66:P68" ca="1" si="47">IF(M66&gt;0,N66*100/M66,0)</f>
        <v>0</v>
      </c>
    </row>
    <row r="67" spans="1:16" ht="21.75" customHeight="1" x14ac:dyDescent="0.45">
      <c r="A67" s="152"/>
      <c r="B67" s="32"/>
      <c r="C67" s="32"/>
      <c r="D67" s="32"/>
      <c r="E67" s="32"/>
      <c r="F67" s="32"/>
      <c r="G67" s="33" t="s">
        <v>18</v>
      </c>
      <c r="H67" s="153" t="s">
        <v>12</v>
      </c>
      <c r="I67" s="154"/>
      <c r="J67" s="154"/>
      <c r="K67" s="155"/>
      <c r="L67" s="87">
        <f t="shared" ref="L67:N67" si="48">L69+L73</f>
        <v>0</v>
      </c>
      <c r="M67" s="87">
        <f t="shared" si="48"/>
        <v>0</v>
      </c>
      <c r="N67" s="87">
        <f t="shared" si="48"/>
        <v>0</v>
      </c>
      <c r="O67" s="155">
        <f t="shared" si="46"/>
        <v>0</v>
      </c>
      <c r="P67" s="155">
        <f t="shared" si="47"/>
        <v>0</v>
      </c>
    </row>
    <row r="68" spans="1:16" ht="21.75" customHeight="1" x14ac:dyDescent="0.45">
      <c r="A68" s="152"/>
      <c r="B68" s="32"/>
      <c r="C68" s="32"/>
      <c r="D68" s="32"/>
      <c r="E68" s="32"/>
      <c r="F68" s="32"/>
      <c r="G68" s="33" t="s">
        <v>19</v>
      </c>
      <c r="H68" s="153" t="s">
        <v>12</v>
      </c>
      <c r="I68" s="154"/>
      <c r="J68" s="154"/>
      <c r="K68" s="155"/>
      <c r="L68" s="87">
        <f t="shared" ref="L68:N68" ca="1" si="49">L70+L74</f>
        <v>0</v>
      </c>
      <c r="M68" s="87">
        <f t="shared" ca="1" si="49"/>
        <v>0</v>
      </c>
      <c r="N68" s="87">
        <f t="shared" ca="1" si="49"/>
        <v>0</v>
      </c>
      <c r="O68" s="155">
        <f t="shared" ca="1" si="46"/>
        <v>0</v>
      </c>
      <c r="P68" s="155">
        <f t="shared" ca="1" si="47"/>
        <v>0</v>
      </c>
    </row>
    <row r="69" spans="1:16" ht="21.75" customHeight="1" x14ac:dyDescent="0.3">
      <c r="A69" s="156"/>
      <c r="B69" s="157"/>
      <c r="C69" s="157" t="s">
        <v>16</v>
      </c>
      <c r="D69" s="158" t="s">
        <v>38</v>
      </c>
      <c r="E69" s="159"/>
      <c r="F69" s="159"/>
      <c r="G69" s="160" t="s">
        <v>39</v>
      </c>
      <c r="H69" s="161" t="s">
        <v>12</v>
      </c>
      <c r="I69" s="162" t="s">
        <v>40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3">
      <c r="A70" s="156"/>
      <c r="B70" s="157"/>
      <c r="C70" s="157"/>
      <c r="D70" s="166"/>
      <c r="E70" s="159"/>
      <c r="F70" s="159" t="s">
        <v>40</v>
      </c>
      <c r="G70" s="160" t="s">
        <v>41</v>
      </c>
      <c r="H70" s="161" t="s">
        <v>12</v>
      </c>
      <c r="I70" s="162"/>
      <c r="J70" s="162"/>
      <c r="K70" s="163"/>
      <c r="L70" s="167">
        <f ca="1">L71+L72</f>
        <v>0</v>
      </c>
      <c r="M70" s="167">
        <f ca="1">IFERROR(__xludf.DUMMYFUNCTION("IMPORTRANGE(""https://docs.google.com/spreadsheets/d/1Yj_ptqi66GCucihVvJfMjLAmec39IyEx_6qawtMGysU/edit?usp=sharing"",""สบก!AI20"")"),0)</f>
        <v>0</v>
      </c>
      <c r="N70" s="168">
        <f ca="1">IFERROR(__xludf.DUMMYFUNCTION("IMPORTRANGE(""https://docs.google.com/spreadsheets/d/1Yj_ptqi66GCucihVvJfMjLAmec39IyEx_6qawtMGysU/edit?usp=sharing"",""สบก!AJ20"")"),0)</f>
        <v>0</v>
      </c>
      <c r="O70" s="168">
        <f ca="1">IF(L70&gt;0,N70*100/L70,0)</f>
        <v>0</v>
      </c>
      <c r="P70" s="168">
        <f ca="1">IF(M70&gt;0,N70*100/M70,0)</f>
        <v>0</v>
      </c>
    </row>
    <row r="71" spans="1:16" ht="21.75" customHeight="1" x14ac:dyDescent="0.3">
      <c r="A71" s="156"/>
      <c r="B71" s="157"/>
      <c r="C71" s="157"/>
      <c r="D71" s="166"/>
      <c r="E71" s="159"/>
      <c r="F71" s="159"/>
      <c r="G71" s="169" t="s">
        <v>42</v>
      </c>
      <c r="H71" s="161" t="s">
        <v>12</v>
      </c>
      <c r="I71" s="162"/>
      <c r="J71" s="162"/>
      <c r="K71" s="163"/>
      <c r="L71" s="167">
        <f ca="1">IFERROR(__xludf.DUMMYFUNCTION("IMPORTRANGE(""https://docs.google.com/spreadsheets/d/1Yj_ptqi66GCucihVvJfMjLAmec39IyEx_6qawtMGysU/edit?usp=sharing"",""สบก!AE20"")"),0)</f>
        <v>0</v>
      </c>
      <c r="M71" s="167"/>
      <c r="N71" s="167"/>
      <c r="O71" s="168"/>
      <c r="P71" s="168"/>
    </row>
    <row r="72" spans="1:16" ht="21.75" customHeight="1" x14ac:dyDescent="0.3">
      <c r="A72" s="156"/>
      <c r="B72" s="157"/>
      <c r="C72" s="157"/>
      <c r="D72" s="166"/>
      <c r="E72" s="159"/>
      <c r="F72" s="159"/>
      <c r="G72" s="169" t="s">
        <v>43</v>
      </c>
      <c r="H72" s="161" t="s">
        <v>12</v>
      </c>
      <c r="I72" s="162"/>
      <c r="J72" s="162"/>
      <c r="K72" s="163"/>
      <c r="L72" s="167">
        <f ca="1">IFERROR(__xludf.DUMMYFUNCTION("IMPORTRANGE(""https://docs.google.com/spreadsheets/d/1Yj_ptqi66GCucihVvJfMjLAmec39IyEx_6qawtMGysU/edit?usp=sharing"",""สบก!AF20"")"),0)</f>
        <v>0</v>
      </c>
      <c r="M72" s="167"/>
      <c r="N72" s="167"/>
      <c r="O72" s="168"/>
      <c r="P72" s="168"/>
    </row>
    <row r="73" spans="1:16" ht="21.75" customHeight="1" x14ac:dyDescent="0.45">
      <c r="A73" s="170"/>
      <c r="B73" s="80"/>
      <c r="C73" s="81" t="s">
        <v>16</v>
      </c>
      <c r="D73" s="534" t="s">
        <v>23</v>
      </c>
      <c r="E73" s="530"/>
      <c r="F73" s="88"/>
      <c r="G73" s="82" t="s">
        <v>18</v>
      </c>
      <c r="H73" s="171" t="s">
        <v>12</v>
      </c>
      <c r="I73" s="84"/>
      <c r="J73" s="84"/>
      <c r="K73" s="85"/>
      <c r="L73" s="41">
        <v>0</v>
      </c>
      <c r="M73" s="41"/>
      <c r="N73" s="41"/>
      <c r="O73" s="41"/>
      <c r="P73" s="41"/>
    </row>
    <row r="74" spans="1:16" ht="21.75" customHeight="1" x14ac:dyDescent="0.45">
      <c r="A74" s="172"/>
      <c r="B74" s="91"/>
      <c r="C74" s="91"/>
      <c r="D74" s="173"/>
      <c r="E74" s="92"/>
      <c r="F74" s="92"/>
      <c r="G74" s="93" t="s">
        <v>19</v>
      </c>
      <c r="H74" s="174" t="s">
        <v>12</v>
      </c>
      <c r="I74" s="95"/>
      <c r="J74" s="95"/>
      <c r="K74" s="96"/>
      <c r="L74" s="49">
        <f ca="1">IFERROR(__xludf.DUMMYFUNCTION("IMPORTRANGE(""https://docs.google.com/spreadsheets/d/1Yj_ptqi66GCucihVvJfMjLAmec39IyEx_6qawtMGysU/edit?usp=sharing"",""สบก!AG20"")"),0)</f>
        <v>0</v>
      </c>
      <c r="M74" s="49"/>
      <c r="N74" s="49">
        <f ca="1">IFERROR(__xludf.DUMMYFUNCTION("IMPORTRANGE(""https://docs.google.com/spreadsheets/d/1Yj_ptqi66GCucihVvJfMjLAmec39IyEx_6qawtMGysU/edit?usp=sharing"",""สบก!AK20"")"),0)</f>
        <v>0</v>
      </c>
      <c r="O74" s="49">
        <f ca="1">IF(L74&gt;0,N74*100/L74,0)</f>
        <v>0</v>
      </c>
      <c r="P74" s="49"/>
    </row>
    <row r="75" spans="1:16" ht="21.75" customHeight="1" x14ac:dyDescent="0.3">
      <c r="A75" s="175"/>
      <c r="B75" s="176"/>
      <c r="C75" s="157" t="s">
        <v>16</v>
      </c>
      <c r="D75" s="177" t="s">
        <v>44</v>
      </c>
      <c r="E75" s="178"/>
      <c r="F75" s="178"/>
      <c r="G75" s="179"/>
      <c r="H75" s="180"/>
      <c r="I75" s="162"/>
      <c r="J75" s="162"/>
      <c r="K75" s="163"/>
      <c r="L75" s="181"/>
      <c r="M75" s="181"/>
      <c r="N75" s="181"/>
      <c r="O75" s="181"/>
      <c r="P75" s="181"/>
    </row>
    <row r="76" spans="1:16" ht="21.75" customHeight="1" x14ac:dyDescent="0.3">
      <c r="A76" s="175"/>
      <c r="B76" s="176"/>
      <c r="C76" s="176"/>
      <c r="D76" s="182">
        <v>1</v>
      </c>
      <c r="E76" s="183" t="s">
        <v>45</v>
      </c>
      <c r="F76" s="184"/>
      <c r="G76" s="185"/>
      <c r="H76" s="186"/>
      <c r="I76" s="187"/>
      <c r="J76" s="188">
        <f ca="1">IFERROR(__xludf.DUMMYFUNCTION("IMPORTRANGE(""https://docs.google.com/spreadsheets/d/11923uPwbBZFjjGgGUA6NLw09EwE0CqkOc4q9oUmW1yo/edit?usp=sharing"",""กำแพงเพชร!J16"")"),0)</f>
        <v>0</v>
      </c>
      <c r="K76" s="163"/>
      <c r="L76" s="181"/>
      <c r="M76" s="181"/>
      <c r="N76" s="181"/>
      <c r="O76" s="181"/>
      <c r="P76" s="181"/>
    </row>
    <row r="77" spans="1:16" ht="21.75" customHeight="1" x14ac:dyDescent="0.3">
      <c r="A77" s="175"/>
      <c r="B77" s="176"/>
      <c r="C77" s="176"/>
      <c r="D77" s="189">
        <v>2</v>
      </c>
      <c r="E77" s="190" t="s">
        <v>46</v>
      </c>
      <c r="F77" s="191"/>
      <c r="G77" s="192"/>
      <c r="H77" s="186"/>
      <c r="I77" s="187"/>
      <c r="J77" s="188">
        <f ca="1">IFERROR(__xludf.DUMMYFUNCTION("IMPORTRANGE(""https://docs.google.com/spreadsheets/d/11923uPwbBZFjjGgGUA6NLw09EwE0CqkOc4q9oUmW1yo/edit?usp=sharing"",""กำแพงเพชร!J17"")"),0)</f>
        <v>0</v>
      </c>
      <c r="K77" s="163"/>
      <c r="L77" s="181" t="s">
        <v>40</v>
      </c>
      <c r="M77" s="181"/>
      <c r="N77" s="181" t="s">
        <v>40</v>
      </c>
      <c r="O77" s="181"/>
      <c r="P77" s="181"/>
    </row>
    <row r="78" spans="1:16" ht="21.75" customHeight="1" x14ac:dyDescent="0.3">
      <c r="A78" s="175"/>
      <c r="B78" s="176"/>
      <c r="C78" s="176"/>
      <c r="D78" s="193"/>
      <c r="E78" s="194" t="s">
        <v>47</v>
      </c>
      <c r="F78" s="195"/>
      <c r="G78" s="196"/>
      <c r="H78" s="186"/>
      <c r="I78" s="187"/>
      <c r="J78" s="188">
        <f ca="1">IFERROR(__xludf.DUMMYFUNCTION("IMPORTRANGE(""https://docs.google.com/spreadsheets/d/11923uPwbBZFjjGgGUA6NLw09EwE0CqkOc4q9oUmW1yo/edit?usp=sharing"",""กำแพงเพชร!J18"")"),0)</f>
        <v>0</v>
      </c>
      <c r="K78" s="163"/>
      <c r="L78" s="181"/>
      <c r="M78" s="181"/>
      <c r="N78" s="181"/>
      <c r="O78" s="181"/>
      <c r="P78" s="181"/>
    </row>
    <row r="79" spans="1:16" ht="21.75" customHeight="1" x14ac:dyDescent="0.3">
      <c r="A79" s="175"/>
      <c r="B79" s="176"/>
      <c r="C79" s="176"/>
      <c r="D79" s="193"/>
      <c r="E79" s="194" t="s">
        <v>48</v>
      </c>
      <c r="F79" s="195"/>
      <c r="G79" s="196"/>
      <c r="H79" s="186"/>
      <c r="I79" s="187"/>
      <c r="J79" s="197">
        <f ca="1">IFERROR(__xludf.DUMMYFUNCTION("IMPORTRANGE(""https://docs.google.com/spreadsheets/d/11923uPwbBZFjjGgGUA6NLw09EwE0CqkOc4q9oUmW1yo/edit?usp=sharing"",""กำแพงเพชร!J19"")"),0)</f>
        <v>0</v>
      </c>
      <c r="K79" s="163"/>
      <c r="L79" s="181"/>
      <c r="M79" s="181"/>
      <c r="N79" s="181"/>
      <c r="O79" s="181"/>
      <c r="P79" s="181"/>
    </row>
    <row r="80" spans="1:16" ht="21.75" customHeight="1" x14ac:dyDescent="0.3">
      <c r="A80" s="175"/>
      <c r="B80" s="176"/>
      <c r="C80" s="176"/>
      <c r="D80" s="193"/>
      <c r="E80" s="198"/>
      <c r="F80" s="194" t="s">
        <v>49</v>
      </c>
      <c r="G80" s="195"/>
      <c r="H80" s="199" t="s">
        <v>36</v>
      </c>
      <c r="I80" s="200">
        <f ca="1">IFERROR(__xludf.DUMMYFUNCTION("IMPORTRANGE(""https://docs.google.com/spreadsheets/d/11923uPwbBZFjjGgGUA6NLw09EwE0CqkOc4q9oUmW1yo/edit?usp=sharing"",""กำแพงเพชร!I20"")"),0)</f>
        <v>0</v>
      </c>
      <c r="J80" s="200">
        <f ca="1">IFERROR(__xludf.DUMMYFUNCTION("IMPORTRANGE(""https://docs.google.com/spreadsheets/d/11923uPwbBZFjjGgGUA6NLw09EwE0CqkOc4q9oUmW1yo/edit?usp=sharing"",""กำแพงเพชร!J20"")"),0)</f>
        <v>0</v>
      </c>
      <c r="K80" s="201">
        <f t="shared" ref="K80:K88" ca="1" si="50">IF(I80&gt;0,J80*100/I80,0)</f>
        <v>0</v>
      </c>
      <c r="L80" s="181"/>
      <c r="M80" s="181"/>
      <c r="N80" s="181"/>
      <c r="O80" s="181"/>
      <c r="P80" s="181"/>
    </row>
    <row r="81" spans="1:16" ht="21.75" customHeight="1" x14ac:dyDescent="0.3">
      <c r="A81" s="175"/>
      <c r="B81" s="176"/>
      <c r="C81" s="176"/>
      <c r="D81" s="193"/>
      <c r="E81" s="198"/>
      <c r="F81" s="195"/>
      <c r="G81" s="196"/>
      <c r="H81" s="199" t="s">
        <v>37</v>
      </c>
      <c r="I81" s="200">
        <f ca="1">IFERROR(__xludf.DUMMYFUNCTION("IMPORTRANGE(""https://docs.google.com/spreadsheets/d/11923uPwbBZFjjGgGUA6NLw09EwE0CqkOc4q9oUmW1yo/edit?usp=sharing"",""กำแพงเพชร!I21"")"),0)</f>
        <v>0</v>
      </c>
      <c r="J81" s="200">
        <f ca="1">IFERROR(__xludf.DUMMYFUNCTION("IMPORTRANGE(""https://docs.google.com/spreadsheets/d/11923uPwbBZFjjGgGUA6NLw09EwE0CqkOc4q9oUmW1yo/edit?usp=sharing"",""กำแพงเพชร!J21"")"),0)</f>
        <v>0</v>
      </c>
      <c r="K81" s="201">
        <f t="shared" ca="1" si="50"/>
        <v>0</v>
      </c>
      <c r="L81" s="181"/>
      <c r="M81" s="181"/>
      <c r="N81" s="181"/>
      <c r="O81" s="181"/>
      <c r="P81" s="181"/>
    </row>
    <row r="82" spans="1:16" ht="21.75" customHeight="1" x14ac:dyDescent="0.3">
      <c r="A82" s="175"/>
      <c r="B82" s="176"/>
      <c r="C82" s="176"/>
      <c r="D82" s="193"/>
      <c r="E82" s="198"/>
      <c r="F82" s="195"/>
      <c r="G82" s="195" t="s">
        <v>50</v>
      </c>
      <c r="H82" s="180" t="s">
        <v>36</v>
      </c>
      <c r="I82" s="202">
        <f ca="1">IFERROR(__xludf.DUMMYFUNCTION("IMPORTRANGE(""https://docs.google.com/spreadsheets/d/11923uPwbBZFjjGgGUA6NLw09EwE0CqkOc4q9oUmW1yo/edit?usp=sharing"",""กำแพงเพชร!I22"")"),0)</f>
        <v>0</v>
      </c>
      <c r="J82" s="203">
        <f ca="1">IFERROR(__xludf.DUMMYFUNCTION("IMPORTRANGE(""https://docs.google.com/spreadsheets/d/11923uPwbBZFjjGgGUA6NLw09EwE0CqkOc4q9oUmW1yo/edit?usp=sharing"",""กำแพงเพชร!J22"")"),0)</f>
        <v>0</v>
      </c>
      <c r="K82" s="163">
        <f t="shared" ca="1" si="50"/>
        <v>0</v>
      </c>
      <c r="L82" s="181"/>
      <c r="M82" s="181"/>
      <c r="N82" s="181"/>
      <c r="O82" s="181"/>
      <c r="P82" s="181"/>
    </row>
    <row r="83" spans="1:16" ht="21.75" customHeight="1" x14ac:dyDescent="0.3">
      <c r="A83" s="175"/>
      <c r="B83" s="176"/>
      <c r="C83" s="176"/>
      <c r="D83" s="193"/>
      <c r="E83" s="198"/>
      <c r="F83" s="195"/>
      <c r="G83" s="196"/>
      <c r="H83" s="180" t="s">
        <v>37</v>
      </c>
      <c r="I83" s="202">
        <f ca="1">IFERROR(__xludf.DUMMYFUNCTION("IMPORTRANGE(""https://docs.google.com/spreadsheets/d/11923uPwbBZFjjGgGUA6NLw09EwE0CqkOc4q9oUmW1yo/edit?usp=sharing"",""กำแพงเพชร!I23"")"),0)</f>
        <v>0</v>
      </c>
      <c r="J83" s="203">
        <f ca="1">IFERROR(__xludf.DUMMYFUNCTION("IMPORTRANGE(""https://docs.google.com/spreadsheets/d/11923uPwbBZFjjGgGUA6NLw09EwE0CqkOc4q9oUmW1yo/edit?usp=sharing"",""กำแพงเพชร!J23"")"),0)</f>
        <v>0</v>
      </c>
      <c r="K83" s="163">
        <f t="shared" ca="1" si="50"/>
        <v>0</v>
      </c>
      <c r="L83" s="181"/>
      <c r="M83" s="181"/>
      <c r="N83" s="181"/>
      <c r="O83" s="181"/>
      <c r="P83" s="181"/>
    </row>
    <row r="84" spans="1:16" ht="21.75" customHeight="1" x14ac:dyDescent="0.3">
      <c r="A84" s="175"/>
      <c r="B84" s="176"/>
      <c r="C84" s="176"/>
      <c r="D84" s="193"/>
      <c r="E84" s="198"/>
      <c r="F84" s="195"/>
      <c r="G84" s="195" t="s">
        <v>51</v>
      </c>
      <c r="H84" s="180" t="s">
        <v>36</v>
      </c>
      <c r="I84" s="202">
        <f ca="1">IFERROR(__xludf.DUMMYFUNCTION("IMPORTRANGE(""https://docs.google.com/spreadsheets/d/11923uPwbBZFjjGgGUA6NLw09EwE0CqkOc4q9oUmW1yo/edit?usp=sharing"",""กำแพงเพชร!I24"")"),0)</f>
        <v>0</v>
      </c>
      <c r="J84" s="188">
        <f ca="1">IFERROR(__xludf.DUMMYFUNCTION("IMPORTRANGE(""https://docs.google.com/spreadsheets/d/11923uPwbBZFjjGgGUA6NLw09EwE0CqkOc4q9oUmW1yo/edit?usp=sharing"",""กำแพงเพชร!J24"")"),0)</f>
        <v>0</v>
      </c>
      <c r="K84" s="163">
        <f t="shared" ca="1" si="50"/>
        <v>0</v>
      </c>
      <c r="L84" s="181"/>
      <c r="M84" s="181"/>
      <c r="N84" s="181"/>
      <c r="O84" s="181"/>
      <c r="P84" s="181"/>
    </row>
    <row r="85" spans="1:16" ht="21.75" customHeight="1" x14ac:dyDescent="0.3">
      <c r="A85" s="175"/>
      <c r="B85" s="176"/>
      <c r="C85" s="176"/>
      <c r="D85" s="193"/>
      <c r="E85" s="198"/>
      <c r="F85" s="195"/>
      <c r="G85" s="196"/>
      <c r="H85" s="180" t="s">
        <v>37</v>
      </c>
      <c r="I85" s="202">
        <f ca="1">IFERROR(__xludf.DUMMYFUNCTION("IMPORTRANGE(""https://docs.google.com/spreadsheets/d/11923uPwbBZFjjGgGUA6NLw09EwE0CqkOc4q9oUmW1yo/edit?usp=sharing"",""กำแพงเพชร!I25"")"),0)</f>
        <v>0</v>
      </c>
      <c r="J85" s="188">
        <f ca="1">IFERROR(__xludf.DUMMYFUNCTION("IMPORTRANGE(""https://docs.google.com/spreadsheets/d/11923uPwbBZFjjGgGUA6NLw09EwE0CqkOc4q9oUmW1yo/edit?usp=sharing"",""กำแพงเพชร!J25"")"),0)</f>
        <v>0</v>
      </c>
      <c r="K85" s="163">
        <f t="shared" ca="1" si="50"/>
        <v>0</v>
      </c>
      <c r="L85" s="181"/>
      <c r="M85" s="181"/>
      <c r="N85" s="181"/>
      <c r="O85" s="181"/>
      <c r="P85" s="181"/>
    </row>
    <row r="86" spans="1:16" ht="21.75" customHeight="1" x14ac:dyDescent="0.3">
      <c r="A86" s="175"/>
      <c r="B86" s="176"/>
      <c r="C86" s="176"/>
      <c r="D86" s="193"/>
      <c r="E86" s="198"/>
      <c r="F86" s="195"/>
      <c r="G86" s="195" t="s">
        <v>52</v>
      </c>
      <c r="H86" s="180" t="s">
        <v>36</v>
      </c>
      <c r="I86" s="202">
        <f ca="1">IFERROR(__xludf.DUMMYFUNCTION("IMPORTRANGE(""https://docs.google.com/spreadsheets/d/11923uPwbBZFjjGgGUA6NLw09EwE0CqkOc4q9oUmW1yo/edit?usp=sharing"",""กำแพงเพชร!I26"")"),0)</f>
        <v>0</v>
      </c>
      <c r="J86" s="203">
        <f ca="1">IFERROR(__xludf.DUMMYFUNCTION("IMPORTRANGE(""https://docs.google.com/spreadsheets/d/11923uPwbBZFjjGgGUA6NLw09EwE0CqkOc4q9oUmW1yo/edit?usp=sharing"",""กำแพงเพชร!J26"")"),0)</f>
        <v>0</v>
      </c>
      <c r="K86" s="163">
        <f t="shared" ca="1" si="50"/>
        <v>0</v>
      </c>
      <c r="L86" s="181"/>
      <c r="M86" s="181"/>
      <c r="N86" s="181"/>
      <c r="O86" s="181"/>
      <c r="P86" s="181"/>
    </row>
    <row r="87" spans="1:16" ht="21.75" customHeight="1" x14ac:dyDescent="0.3">
      <c r="A87" s="175"/>
      <c r="B87" s="176"/>
      <c r="C87" s="176"/>
      <c r="D87" s="193"/>
      <c r="E87" s="198"/>
      <c r="F87" s="195"/>
      <c r="G87" s="196"/>
      <c r="H87" s="180" t="s">
        <v>37</v>
      </c>
      <c r="I87" s="202">
        <f ca="1">IFERROR(__xludf.DUMMYFUNCTION("IMPORTRANGE(""https://docs.google.com/spreadsheets/d/11923uPwbBZFjjGgGUA6NLw09EwE0CqkOc4q9oUmW1yo/edit?usp=sharing"",""กำแพงเพชร!I27"")"),0)</f>
        <v>0</v>
      </c>
      <c r="J87" s="203">
        <f ca="1">IFERROR(__xludf.DUMMYFUNCTION("IMPORTRANGE(""https://docs.google.com/spreadsheets/d/11923uPwbBZFjjGgGUA6NLw09EwE0CqkOc4q9oUmW1yo/edit?usp=sharing"",""กำแพงเพชร!J27"")"),0)</f>
        <v>0</v>
      </c>
      <c r="K87" s="163">
        <f t="shared" ca="1" si="50"/>
        <v>0</v>
      </c>
      <c r="L87" s="181"/>
      <c r="M87" s="181"/>
      <c r="N87" s="181"/>
      <c r="O87" s="181"/>
      <c r="P87" s="181"/>
    </row>
    <row r="88" spans="1:16" ht="21.75" customHeight="1" x14ac:dyDescent="0.3">
      <c r="A88" s="175"/>
      <c r="B88" s="176"/>
      <c r="C88" s="176"/>
      <c r="D88" s="193"/>
      <c r="E88" s="198"/>
      <c r="F88" s="204" t="s">
        <v>53</v>
      </c>
      <c r="G88" s="195"/>
      <c r="H88" s="180" t="s">
        <v>37</v>
      </c>
      <c r="I88" s="202">
        <f ca="1">IFERROR(__xludf.DUMMYFUNCTION("IMPORTRANGE(""https://docs.google.com/spreadsheets/d/11923uPwbBZFjjGgGUA6NLw09EwE0CqkOc4q9oUmW1yo/edit?usp=sharing"",""กำแพงเพชร!I28"")"),0)</f>
        <v>0</v>
      </c>
      <c r="J88" s="203">
        <f ca="1">IFERROR(__xludf.DUMMYFUNCTION("IMPORTRANGE(""https://docs.google.com/spreadsheets/d/11923uPwbBZFjjGgGUA6NLw09EwE0CqkOc4q9oUmW1yo/edit?usp=sharing"",""กำแพงเพชร!J28"")"),0)</f>
        <v>0</v>
      </c>
      <c r="K88" s="163">
        <f t="shared" ca="1" si="50"/>
        <v>0</v>
      </c>
      <c r="L88" s="181"/>
      <c r="M88" s="181"/>
      <c r="N88" s="181"/>
      <c r="O88" s="181"/>
      <c r="P88" s="181"/>
    </row>
    <row r="89" spans="1:16" ht="21.75" customHeight="1" x14ac:dyDescent="0.3">
      <c r="A89" s="175"/>
      <c r="B89" s="176"/>
      <c r="C89" s="176"/>
      <c r="D89" s="193"/>
      <c r="E89" s="194" t="s">
        <v>54</v>
      </c>
      <c r="F89" s="195"/>
      <c r="G89" s="196"/>
      <c r="H89" s="186"/>
      <c r="I89" s="187"/>
      <c r="J89" s="197">
        <f ca="1">IFERROR(__xludf.DUMMYFUNCTION("IMPORTRANGE(""https://docs.google.com/spreadsheets/d/11923uPwbBZFjjGgGUA6NLw09EwE0CqkOc4q9oUmW1yo/edit?usp=sharing"",""กำแพงเพชร!J29"")"),0)</f>
        <v>0</v>
      </c>
      <c r="K89" s="163"/>
      <c r="L89" s="181"/>
      <c r="M89" s="181"/>
      <c r="N89" s="181"/>
      <c r="O89" s="181"/>
      <c r="P89" s="181"/>
    </row>
    <row r="90" spans="1:16" ht="21.75" customHeight="1" x14ac:dyDescent="0.3">
      <c r="A90" s="175"/>
      <c r="B90" s="176"/>
      <c r="C90" s="176"/>
      <c r="D90" s="205">
        <v>3</v>
      </c>
      <c r="E90" s="206" t="s">
        <v>55</v>
      </c>
      <c r="F90" s="207"/>
      <c r="G90" s="208"/>
      <c r="H90" s="186"/>
      <c r="I90" s="187"/>
      <c r="J90" s="209">
        <f ca="1">IFERROR(__xludf.DUMMYFUNCTION("IMPORTRANGE(""https://docs.google.com/spreadsheets/d/11923uPwbBZFjjGgGUA6NLw09EwE0CqkOc4q9oUmW1yo/edit?usp=sharing"",""กำแพงเพชร!J30"")"),0)</f>
        <v>0</v>
      </c>
      <c r="K90" s="163"/>
      <c r="L90" s="181"/>
      <c r="M90" s="181"/>
      <c r="N90" s="181"/>
      <c r="O90" s="181"/>
      <c r="P90" s="181"/>
    </row>
    <row r="91" spans="1:16" ht="21.75" customHeight="1" x14ac:dyDescent="0.3">
      <c r="A91" s="210" t="s">
        <v>56</v>
      </c>
      <c r="B91" s="211"/>
      <c r="C91" s="212"/>
      <c r="D91" s="211"/>
      <c r="E91" s="213"/>
      <c r="F91" s="213"/>
      <c r="G91" s="214"/>
      <c r="H91" s="215"/>
      <c r="I91" s="216"/>
      <c r="J91" s="216"/>
      <c r="K91" s="217"/>
      <c r="L91" s="218"/>
      <c r="M91" s="218"/>
      <c r="N91" s="218"/>
      <c r="O91" s="219"/>
      <c r="P91" s="219"/>
    </row>
    <row r="92" spans="1:16" ht="21.75" customHeight="1" x14ac:dyDescent="0.3">
      <c r="A92" s="137"/>
      <c r="B92" s="138" t="s">
        <v>57</v>
      </c>
      <c r="C92" s="138"/>
      <c r="D92" s="139"/>
      <c r="E92" s="138"/>
      <c r="F92" s="138"/>
      <c r="G92" s="220"/>
      <c r="H92" s="140" t="s">
        <v>37</v>
      </c>
      <c r="I92" s="141">
        <f ca="1">IFERROR(__xludf.DUMMYFUNCTION("IMPORTRANGE(""https://docs.google.com/spreadsheets/d/11923uPwbBZFjjGgGUA6NLw09EwE0CqkOc4q9oUmW1yo/edit?usp=sharing"",""กำแพงเพชร!I32"")"),0)</f>
        <v>0</v>
      </c>
      <c r="J92" s="141">
        <f ca="1">IFERROR(__xludf.DUMMYFUNCTION("IMPORTRANGE(""https://docs.google.com/spreadsheets/d/11923uPwbBZFjjGgGUA6NLw09EwE0CqkOc4q9oUmW1yo/edit?usp=sharing"",""กำแพงเพชร!J32"")"),0)</f>
        <v>0</v>
      </c>
      <c r="K92" s="142">
        <f t="shared" ref="K92:K93" ca="1" si="51">IF(I92&gt;0,J92*100/I92,0)</f>
        <v>0</v>
      </c>
      <c r="L92" s="221"/>
      <c r="M92" s="221"/>
      <c r="N92" s="222"/>
      <c r="O92" s="142"/>
      <c r="P92" s="142"/>
    </row>
    <row r="93" spans="1:16" ht="21.75" customHeight="1" x14ac:dyDescent="0.3">
      <c r="A93" s="137"/>
      <c r="B93" s="138"/>
      <c r="C93" s="138"/>
      <c r="D93" s="139" t="s">
        <v>58</v>
      </c>
      <c r="E93" s="138"/>
      <c r="F93" s="138"/>
      <c r="G93" s="220"/>
      <c r="H93" s="140" t="s">
        <v>59</v>
      </c>
      <c r="I93" s="141">
        <f ca="1">IFERROR(__xludf.DUMMYFUNCTION("IMPORTRANGE(""https://docs.google.com/spreadsheets/d/11923uPwbBZFjjGgGUA6NLw09EwE0CqkOc4q9oUmW1yo/edit?usp=sharing"",""กำแพงเพชร!I33"")"),0)</f>
        <v>0</v>
      </c>
      <c r="J93" s="141">
        <f ca="1">IFERROR(__xludf.DUMMYFUNCTION("IMPORTRANGE(""https://docs.google.com/spreadsheets/d/11923uPwbBZFjjGgGUA6NLw09EwE0CqkOc4q9oUmW1yo/edit?usp=sharing"",""กำแพงเพชร!J33"")"),0)</f>
        <v>0</v>
      </c>
      <c r="K93" s="142">
        <f t="shared" ca="1" si="51"/>
        <v>0</v>
      </c>
      <c r="L93" s="222"/>
      <c r="M93" s="222"/>
      <c r="N93" s="222"/>
      <c r="O93" s="142"/>
      <c r="P93" s="142"/>
    </row>
    <row r="94" spans="1:16" ht="21.75" customHeight="1" x14ac:dyDescent="0.45">
      <c r="A94" s="145"/>
      <c r="B94" s="146"/>
      <c r="C94" s="147" t="s">
        <v>16</v>
      </c>
      <c r="D94" s="537" t="s">
        <v>17</v>
      </c>
      <c r="E94" s="528"/>
      <c r="F94" s="528"/>
      <c r="G94" s="528"/>
      <c r="H94" s="148" t="s">
        <v>12</v>
      </c>
      <c r="I94" s="162"/>
      <c r="J94" s="162"/>
      <c r="K94" s="163"/>
      <c r="L94" s="151">
        <f t="shared" ref="L94:N94" ca="1" si="52">L95+L96</f>
        <v>0</v>
      </c>
      <c r="M94" s="151">
        <f t="shared" ca="1" si="52"/>
        <v>0</v>
      </c>
      <c r="N94" s="151">
        <f t="shared" ca="1" si="52"/>
        <v>0</v>
      </c>
      <c r="O94" s="150">
        <f t="shared" ref="O94:O96" ca="1" si="53">IF(L94&gt;0,N94*100/L94,0)</f>
        <v>0</v>
      </c>
      <c r="P94" s="150">
        <f t="shared" ref="P94:P96" ca="1" si="54">IF(M94&gt;0,N94*100/M94,0)</f>
        <v>0</v>
      </c>
    </row>
    <row r="95" spans="1:16" ht="21.75" customHeight="1" x14ac:dyDescent="0.45">
      <c r="A95" s="152"/>
      <c r="B95" s="32"/>
      <c r="C95" s="32"/>
      <c r="D95" s="32"/>
      <c r="E95" s="32"/>
      <c r="F95" s="32"/>
      <c r="G95" s="33" t="s">
        <v>18</v>
      </c>
      <c r="H95" s="153" t="s">
        <v>12</v>
      </c>
      <c r="I95" s="162"/>
      <c r="J95" s="162"/>
      <c r="K95" s="163"/>
      <c r="L95" s="87">
        <f t="shared" ref="L95:N95" si="55">L97+L101</f>
        <v>0</v>
      </c>
      <c r="M95" s="87">
        <f t="shared" si="55"/>
        <v>0</v>
      </c>
      <c r="N95" s="87">
        <f t="shared" si="55"/>
        <v>0</v>
      </c>
      <c r="O95" s="155">
        <f t="shared" si="53"/>
        <v>0</v>
      </c>
      <c r="P95" s="155">
        <f t="shared" si="54"/>
        <v>0</v>
      </c>
    </row>
    <row r="96" spans="1:16" ht="21.75" customHeight="1" x14ac:dyDescent="0.45">
      <c r="A96" s="152"/>
      <c r="B96" s="32"/>
      <c r="C96" s="32"/>
      <c r="D96" s="32"/>
      <c r="E96" s="32"/>
      <c r="F96" s="32"/>
      <c r="G96" s="33" t="s">
        <v>19</v>
      </c>
      <c r="H96" s="153" t="s">
        <v>12</v>
      </c>
      <c r="I96" s="162"/>
      <c r="J96" s="162"/>
      <c r="K96" s="163"/>
      <c r="L96" s="87">
        <f t="shared" ref="L96:N96" ca="1" si="56">L98+L102</f>
        <v>0</v>
      </c>
      <c r="M96" s="87">
        <f t="shared" ca="1" si="56"/>
        <v>0</v>
      </c>
      <c r="N96" s="87">
        <f t="shared" ca="1" si="56"/>
        <v>0</v>
      </c>
      <c r="O96" s="155">
        <f t="shared" ca="1" si="53"/>
        <v>0</v>
      </c>
      <c r="P96" s="155">
        <f t="shared" ca="1" si="54"/>
        <v>0</v>
      </c>
    </row>
    <row r="97" spans="1:16" ht="21.75" customHeight="1" x14ac:dyDescent="0.3">
      <c r="A97" s="156"/>
      <c r="B97" s="157"/>
      <c r="C97" s="157" t="s">
        <v>16</v>
      </c>
      <c r="D97" s="158" t="s">
        <v>38</v>
      </c>
      <c r="E97" s="159"/>
      <c r="F97" s="159"/>
      <c r="G97" s="160" t="s">
        <v>39</v>
      </c>
      <c r="H97" s="161" t="s">
        <v>12</v>
      </c>
      <c r="I97" s="162" t="s">
        <v>40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3">
      <c r="A98" s="156"/>
      <c r="B98" s="157"/>
      <c r="C98" s="157"/>
      <c r="D98" s="166"/>
      <c r="E98" s="159"/>
      <c r="F98" s="159" t="s">
        <v>40</v>
      </c>
      <c r="G98" s="160" t="s">
        <v>41</v>
      </c>
      <c r="H98" s="161" t="s">
        <v>12</v>
      </c>
      <c r="I98" s="162"/>
      <c r="J98" s="162"/>
      <c r="K98" s="163"/>
      <c r="L98" s="167">
        <f ca="1">L99+L100</f>
        <v>0</v>
      </c>
      <c r="M98" s="167">
        <f ca="1">IFERROR(__xludf.DUMMYFUNCTION("IMPORTRANGE(""https://docs.google.com/spreadsheets/d/1Yj_ptqi66GCucihVvJfMjLAmec39IyEx_6qawtMGysU/edit?usp=sharing"",""สบก!AR20"")"),0)</f>
        <v>0</v>
      </c>
      <c r="N98" s="168">
        <f ca="1">IFERROR(__xludf.DUMMYFUNCTION("IMPORTRANGE(""https://docs.google.com/spreadsheets/d/1Yj_ptqi66GCucihVvJfMjLAmec39IyEx_6qawtMGysU/edit?usp=sharing"",""สบก!AS20"")"),0)</f>
        <v>0</v>
      </c>
      <c r="O98" s="168">
        <f ca="1">IF(L98&gt;0,N98*100/L98,0)</f>
        <v>0</v>
      </c>
      <c r="P98" s="168">
        <f ca="1">IF(M98&gt;0,N98*100/M98,0)</f>
        <v>0</v>
      </c>
    </row>
    <row r="99" spans="1:16" ht="21.75" customHeight="1" x14ac:dyDescent="0.3">
      <c r="A99" s="156"/>
      <c r="B99" s="157"/>
      <c r="C99" s="157"/>
      <c r="D99" s="166"/>
      <c r="E99" s="159"/>
      <c r="F99" s="159"/>
      <c r="G99" s="169" t="s">
        <v>42</v>
      </c>
      <c r="H99" s="161" t="s">
        <v>12</v>
      </c>
      <c r="I99" s="162"/>
      <c r="J99" s="162"/>
      <c r="K99" s="163"/>
      <c r="L99" s="167">
        <f ca="1">IFERROR(__xludf.DUMMYFUNCTION("IMPORTRANGE(""https://docs.google.com/spreadsheets/d/1Yj_ptqi66GCucihVvJfMjLAmec39IyEx_6qawtMGysU/edit?usp=sharing"",""สบก!AN20"")"),0)</f>
        <v>0</v>
      </c>
      <c r="M99" s="167"/>
      <c r="N99" s="167"/>
      <c r="O99" s="168"/>
      <c r="P99" s="168"/>
    </row>
    <row r="100" spans="1:16" ht="21.75" customHeight="1" x14ac:dyDescent="0.3">
      <c r="A100" s="156"/>
      <c r="B100" s="157"/>
      <c r="C100" s="157"/>
      <c r="D100" s="166"/>
      <c r="E100" s="159"/>
      <c r="F100" s="159"/>
      <c r="G100" s="169" t="s">
        <v>43</v>
      </c>
      <c r="H100" s="161" t="s">
        <v>12</v>
      </c>
      <c r="I100" s="162"/>
      <c r="J100" s="187"/>
      <c r="K100" s="223"/>
      <c r="L100" s="167">
        <f ca="1">IFERROR(__xludf.DUMMYFUNCTION("IMPORTRANGE(""https://docs.google.com/spreadsheets/d/1Yj_ptqi66GCucihVvJfMjLAmec39IyEx_6qawtMGysU/edit?usp=sharing"",""สบก!AO20"")"),0)</f>
        <v>0</v>
      </c>
      <c r="M100" s="167"/>
      <c r="N100" s="167"/>
      <c r="O100" s="168"/>
      <c r="P100" s="168"/>
    </row>
    <row r="101" spans="1:16" ht="21.75" customHeight="1" x14ac:dyDescent="0.45">
      <c r="A101" s="170"/>
      <c r="B101" s="80"/>
      <c r="C101" s="81" t="s">
        <v>16</v>
      </c>
      <c r="D101" s="534" t="s">
        <v>23</v>
      </c>
      <c r="E101" s="530"/>
      <c r="F101" s="88"/>
      <c r="G101" s="82" t="s">
        <v>18</v>
      </c>
      <c r="H101" s="171" t="s">
        <v>12</v>
      </c>
      <c r="I101" s="187"/>
      <c r="J101" s="187"/>
      <c r="K101" s="223"/>
      <c r="L101" s="41">
        <v>0</v>
      </c>
      <c r="M101" s="41"/>
      <c r="N101" s="41"/>
      <c r="O101" s="41"/>
      <c r="P101" s="41"/>
    </row>
    <row r="102" spans="1:16" ht="21.75" customHeight="1" x14ac:dyDescent="0.45">
      <c r="A102" s="172"/>
      <c r="B102" s="91"/>
      <c r="C102" s="91"/>
      <c r="D102" s="173"/>
      <c r="E102" s="92"/>
      <c r="F102" s="92"/>
      <c r="G102" s="93" t="s">
        <v>19</v>
      </c>
      <c r="H102" s="174" t="s">
        <v>12</v>
      </c>
      <c r="I102" s="187"/>
      <c r="J102" s="187"/>
      <c r="K102" s="223"/>
      <c r="L102" s="49">
        <f ca="1">IFERROR(__xludf.DUMMYFUNCTION("IMPORTRANGE(""https://docs.google.com/spreadsheets/d/1Yj_ptqi66GCucihVvJfMjLAmec39IyEx_6qawtMGysU/edit?usp=sharing"",""สบก!AP20"")"),0)</f>
        <v>0</v>
      </c>
      <c r="M102" s="49"/>
      <c r="N102" s="49">
        <f ca="1">IFERROR(__xludf.DUMMYFUNCTION("IMPORTRANGE(""https://docs.google.com/spreadsheets/d/1Yj_ptqi66GCucihVvJfMjLAmec39IyEx_6qawtMGysU/edit?usp=sharing"",""สบก!AT20"")"),0)</f>
        <v>0</v>
      </c>
      <c r="O102" s="49">
        <f ca="1">IF(L102&gt;0,N102*100/L102,0)</f>
        <v>0</v>
      </c>
      <c r="P102" s="49"/>
    </row>
    <row r="103" spans="1:16" ht="21.75" customHeight="1" x14ac:dyDescent="0.3">
      <c r="A103" s="175"/>
      <c r="B103" s="176"/>
      <c r="C103" s="157" t="s">
        <v>16</v>
      </c>
      <c r="D103" s="177" t="s">
        <v>44</v>
      </c>
      <c r="E103" s="178"/>
      <c r="F103" s="178"/>
      <c r="G103" s="179"/>
      <c r="H103" s="180"/>
      <c r="I103" s="162"/>
      <c r="J103" s="187"/>
      <c r="K103" s="223"/>
      <c r="L103" s="168"/>
      <c r="M103" s="168"/>
      <c r="N103" s="168"/>
      <c r="O103" s="181"/>
      <c r="P103" s="181"/>
    </row>
    <row r="104" spans="1:16" ht="21.75" customHeight="1" x14ac:dyDescent="0.3">
      <c r="A104" s="175"/>
      <c r="B104" s="176"/>
      <c r="C104" s="176"/>
      <c r="D104" s="182">
        <v>1</v>
      </c>
      <c r="E104" s="183" t="s">
        <v>45</v>
      </c>
      <c r="F104" s="184"/>
      <c r="G104" s="185"/>
      <c r="H104" s="186"/>
      <c r="I104" s="187"/>
      <c r="J104" s="187">
        <f ca="1">IFERROR(__xludf.DUMMYFUNCTION("IMPORTRANGE(""https://docs.google.com/spreadsheets/d/11923uPwbBZFjjGgGUA6NLw09EwE0CqkOc4q9oUmW1yo/edit?usp=sharing"",""กำแพงเพชร!J39"")"),0)</f>
        <v>0</v>
      </c>
      <c r="K104" s="223"/>
      <c r="L104" s="168"/>
      <c r="M104" s="168"/>
      <c r="N104" s="168"/>
      <c r="O104" s="181"/>
      <c r="P104" s="181"/>
    </row>
    <row r="105" spans="1:16" ht="21.75" customHeight="1" x14ac:dyDescent="0.3">
      <c r="A105" s="175"/>
      <c r="B105" s="176"/>
      <c r="C105" s="176"/>
      <c r="D105" s="189">
        <v>2</v>
      </c>
      <c r="E105" s="190" t="s">
        <v>46</v>
      </c>
      <c r="F105" s="191"/>
      <c r="G105" s="192"/>
      <c r="H105" s="186"/>
      <c r="I105" s="187"/>
      <c r="J105" s="187">
        <f ca="1">IFERROR(__xludf.DUMMYFUNCTION("IMPORTRANGE(""https://docs.google.com/spreadsheets/d/11923uPwbBZFjjGgGUA6NLw09EwE0CqkOc4q9oUmW1yo/edit?usp=sharing"",""กำแพงเพชร!J40"")"),0)</f>
        <v>0</v>
      </c>
      <c r="K105" s="223"/>
      <c r="L105" s="168" t="s">
        <v>40</v>
      </c>
      <c r="M105" s="168"/>
      <c r="N105" s="168" t="s">
        <v>40</v>
      </c>
      <c r="O105" s="181"/>
      <c r="P105" s="181"/>
    </row>
    <row r="106" spans="1:16" ht="21.75" customHeight="1" x14ac:dyDescent="0.3">
      <c r="A106" s="175"/>
      <c r="B106" s="176"/>
      <c r="C106" s="176"/>
      <c r="D106" s="193"/>
      <c r="E106" s="194" t="s">
        <v>47</v>
      </c>
      <c r="F106" s="195"/>
      <c r="G106" s="196"/>
      <c r="H106" s="186"/>
      <c r="I106" s="187"/>
      <c r="J106" s="187">
        <f ca="1">IFERROR(__xludf.DUMMYFUNCTION("IMPORTRANGE(""https://docs.google.com/spreadsheets/d/11923uPwbBZFjjGgGUA6NLw09EwE0CqkOc4q9oUmW1yo/edit?usp=sharing"",""กำแพงเพชร!J41"")"),0)</f>
        <v>0</v>
      </c>
      <c r="K106" s="223"/>
      <c r="L106" s="168"/>
      <c r="M106" s="168"/>
      <c r="N106" s="168"/>
      <c r="O106" s="181"/>
      <c r="P106" s="181"/>
    </row>
    <row r="107" spans="1:16" ht="21.75" customHeight="1" x14ac:dyDescent="0.3">
      <c r="A107" s="175"/>
      <c r="B107" s="176"/>
      <c r="C107" s="176"/>
      <c r="D107" s="193"/>
      <c r="E107" s="194" t="s">
        <v>48</v>
      </c>
      <c r="F107" s="195"/>
      <c r="G107" s="196"/>
      <c r="H107" s="186"/>
      <c r="I107" s="187"/>
      <c r="J107" s="187">
        <f ca="1">IFERROR(__xludf.DUMMYFUNCTION("IMPORTRANGE(""https://docs.google.com/spreadsheets/d/11923uPwbBZFjjGgGUA6NLw09EwE0CqkOc4q9oUmW1yo/edit?usp=sharing"",""กำแพงเพชร!J42"")"),0)</f>
        <v>0</v>
      </c>
      <c r="K107" s="223"/>
      <c r="L107" s="168"/>
      <c r="M107" s="168"/>
      <c r="N107" s="168"/>
      <c r="O107" s="181"/>
      <c r="P107" s="181"/>
    </row>
    <row r="108" spans="1:16" ht="21.75" customHeight="1" x14ac:dyDescent="0.3">
      <c r="A108" s="175"/>
      <c r="B108" s="176"/>
      <c r="C108" s="176"/>
      <c r="D108" s="193"/>
      <c r="E108" s="195"/>
      <c r="F108" s="195" t="s">
        <v>60</v>
      </c>
      <c r="G108" s="195"/>
      <c r="H108" s="180" t="s">
        <v>61</v>
      </c>
      <c r="I108" s="202">
        <f ca="1">IFERROR(__xludf.DUMMYFUNCTION("IMPORTRANGE(""https://docs.google.com/spreadsheets/d/11923uPwbBZFjjGgGUA6NLw09EwE0CqkOc4q9oUmW1yo/edit?usp=sharing"",""กำแพงเพชร!I43"")"),0)</f>
        <v>0</v>
      </c>
      <c r="J108" s="203">
        <f ca="1">IFERROR(__xludf.DUMMYFUNCTION("IMPORTRANGE(""https://docs.google.com/spreadsheets/d/11923uPwbBZFjjGgGUA6NLw09EwE0CqkOc4q9oUmW1yo/edit?usp=sharing"",""กำแพงเพชร!J43"")"),0)</f>
        <v>0</v>
      </c>
      <c r="K108" s="223">
        <f t="shared" ref="K108:K113" ca="1" si="57">IF(I108&gt;0,J108*100/I108,0)</f>
        <v>0</v>
      </c>
      <c r="L108" s="168"/>
      <c r="M108" s="168"/>
      <c r="N108" s="168"/>
      <c r="O108" s="181"/>
      <c r="P108" s="181"/>
    </row>
    <row r="109" spans="1:16" ht="21.75" customHeight="1" x14ac:dyDescent="0.3">
      <c r="A109" s="175"/>
      <c r="B109" s="176"/>
      <c r="C109" s="176"/>
      <c r="D109" s="193"/>
      <c r="E109" s="198"/>
      <c r="F109" s="194" t="s">
        <v>62</v>
      </c>
      <c r="G109" s="195"/>
      <c r="H109" s="180" t="s">
        <v>37</v>
      </c>
      <c r="I109" s="202">
        <f ca="1">IFERROR(__xludf.DUMMYFUNCTION("IMPORTRANGE(""https://docs.google.com/spreadsheets/d/11923uPwbBZFjjGgGUA6NLw09EwE0CqkOc4q9oUmW1yo/edit?usp=sharing"",""กำแพงเพชร!I44"")"),0)</f>
        <v>0</v>
      </c>
      <c r="J109" s="203">
        <f ca="1">IFERROR(__xludf.DUMMYFUNCTION("IMPORTRANGE(""https://docs.google.com/spreadsheets/d/11923uPwbBZFjjGgGUA6NLw09EwE0CqkOc4q9oUmW1yo/edit?usp=sharing"",""กำแพงเพชร!J44"")"),0)</f>
        <v>0</v>
      </c>
      <c r="K109" s="223">
        <f t="shared" ca="1" si="57"/>
        <v>0</v>
      </c>
      <c r="L109" s="168"/>
      <c r="M109" s="168"/>
      <c r="N109" s="168"/>
      <c r="O109" s="181"/>
      <c r="P109" s="181"/>
    </row>
    <row r="110" spans="1:16" ht="21.75" customHeight="1" x14ac:dyDescent="0.3">
      <c r="A110" s="175"/>
      <c r="B110" s="176"/>
      <c r="C110" s="176"/>
      <c r="D110" s="193"/>
      <c r="E110" s="198"/>
      <c r="F110" s="195"/>
      <c r="G110" s="224" t="s">
        <v>63</v>
      </c>
      <c r="H110" s="180" t="s">
        <v>37</v>
      </c>
      <c r="I110" s="202">
        <f ca="1">IFERROR(__xludf.DUMMYFUNCTION("IMPORTRANGE(""https://docs.google.com/spreadsheets/d/11923uPwbBZFjjGgGUA6NLw09EwE0CqkOc4q9oUmW1yo/edit?usp=sharing"",""กำแพงเพชร!I45"")"),0)</f>
        <v>0</v>
      </c>
      <c r="J110" s="203">
        <f ca="1">IFERROR(__xludf.DUMMYFUNCTION("IMPORTRANGE(""https://docs.google.com/spreadsheets/d/11923uPwbBZFjjGgGUA6NLw09EwE0CqkOc4q9oUmW1yo/edit?usp=sharing"",""กำแพงเพชร!J45"")"),0)</f>
        <v>0</v>
      </c>
      <c r="K110" s="223">
        <f t="shared" ca="1" si="57"/>
        <v>0</v>
      </c>
      <c r="L110" s="168"/>
      <c r="M110" s="168"/>
      <c r="N110" s="168"/>
      <c r="O110" s="181"/>
      <c r="P110" s="181"/>
    </row>
    <row r="111" spans="1:16" ht="21.75" customHeight="1" x14ac:dyDescent="0.3">
      <c r="A111" s="175"/>
      <c r="B111" s="176"/>
      <c r="C111" s="176"/>
      <c r="D111" s="193"/>
      <c r="E111" s="198"/>
      <c r="F111" s="195"/>
      <c r="G111" s="224" t="s">
        <v>64</v>
      </c>
      <c r="H111" s="180" t="s">
        <v>37</v>
      </c>
      <c r="I111" s="202">
        <f ca="1">IFERROR(__xludf.DUMMYFUNCTION("IMPORTRANGE(""https://docs.google.com/spreadsheets/d/11923uPwbBZFjjGgGUA6NLw09EwE0CqkOc4q9oUmW1yo/edit?usp=sharing"",""กำแพงเพชร!I46"")"),0)</f>
        <v>0</v>
      </c>
      <c r="J111" s="203">
        <f ca="1">IFERROR(__xludf.DUMMYFUNCTION("IMPORTRANGE(""https://docs.google.com/spreadsheets/d/11923uPwbBZFjjGgGUA6NLw09EwE0CqkOc4q9oUmW1yo/edit?usp=sharing"",""กำแพงเพชร!J46"")"),0)</f>
        <v>0</v>
      </c>
      <c r="K111" s="223">
        <f t="shared" ca="1" si="57"/>
        <v>0</v>
      </c>
      <c r="L111" s="168"/>
      <c r="M111" s="168"/>
      <c r="N111" s="168"/>
      <c r="O111" s="181"/>
      <c r="P111" s="181"/>
    </row>
    <row r="112" spans="1:16" ht="21.75" customHeight="1" x14ac:dyDescent="0.3">
      <c r="A112" s="175"/>
      <c r="B112" s="176"/>
      <c r="C112" s="176"/>
      <c r="D112" s="193"/>
      <c r="E112" s="198"/>
      <c r="F112" s="195"/>
      <c r="G112" s="225" t="s">
        <v>65</v>
      </c>
      <c r="H112" s="180" t="s">
        <v>37</v>
      </c>
      <c r="I112" s="202">
        <f ca="1">IFERROR(__xludf.DUMMYFUNCTION("IMPORTRANGE(""https://docs.google.com/spreadsheets/d/11923uPwbBZFjjGgGUA6NLw09EwE0CqkOc4q9oUmW1yo/edit?usp=sharing"",""กำแพงเพชร!I47"")"),0)</f>
        <v>0</v>
      </c>
      <c r="J112" s="203">
        <f ca="1">IFERROR(__xludf.DUMMYFUNCTION("IMPORTRANGE(""https://docs.google.com/spreadsheets/d/11923uPwbBZFjjGgGUA6NLw09EwE0CqkOc4q9oUmW1yo/edit?usp=sharing"",""กำแพงเพชร!J47"")"),0)</f>
        <v>0</v>
      </c>
      <c r="K112" s="223">
        <f t="shared" ca="1" si="57"/>
        <v>0</v>
      </c>
      <c r="L112" s="168"/>
      <c r="M112" s="168"/>
      <c r="N112" s="168"/>
      <c r="O112" s="181"/>
      <c r="P112" s="181"/>
    </row>
    <row r="113" spans="1:16" ht="21.75" customHeight="1" x14ac:dyDescent="0.3">
      <c r="A113" s="175"/>
      <c r="B113" s="176"/>
      <c r="C113" s="176"/>
      <c r="D113" s="193"/>
      <c r="E113" s="198"/>
      <c r="F113" s="195" t="s">
        <v>66</v>
      </c>
      <c r="G113" s="195"/>
      <c r="H113" s="180" t="s">
        <v>59</v>
      </c>
      <c r="I113" s="202">
        <f ca="1">IFERROR(__xludf.DUMMYFUNCTION("IMPORTRANGE(""https://docs.google.com/spreadsheets/d/11923uPwbBZFjjGgGUA6NLw09EwE0CqkOc4q9oUmW1yo/edit?usp=sharing"",""กำแพงเพชร!I48"")"),0)</f>
        <v>0</v>
      </c>
      <c r="J113" s="203">
        <f ca="1">IFERROR(__xludf.DUMMYFUNCTION("IMPORTRANGE(""https://docs.google.com/spreadsheets/d/11923uPwbBZFjjGgGUA6NLw09EwE0CqkOc4q9oUmW1yo/edit?usp=sharing"",""กำแพงเพชร!J48"")"),0)</f>
        <v>0</v>
      </c>
      <c r="K113" s="223">
        <f t="shared" ca="1" si="57"/>
        <v>0</v>
      </c>
      <c r="L113" s="168"/>
      <c r="M113" s="168"/>
      <c r="N113" s="168"/>
      <c r="O113" s="181"/>
      <c r="P113" s="181"/>
    </row>
    <row r="114" spans="1:16" ht="21.75" customHeight="1" x14ac:dyDescent="0.3">
      <c r="A114" s="175"/>
      <c r="B114" s="176"/>
      <c r="C114" s="176"/>
      <c r="D114" s="193"/>
      <c r="E114" s="194" t="s">
        <v>54</v>
      </c>
      <c r="F114" s="195"/>
      <c r="G114" s="196"/>
      <c r="H114" s="186"/>
      <c r="I114" s="187"/>
      <c r="J114" s="187">
        <f ca="1">IFERROR(__xludf.DUMMYFUNCTION("IMPORTRANGE(""https://docs.google.com/spreadsheets/d/11923uPwbBZFjjGgGUA6NLw09EwE0CqkOc4q9oUmW1yo/edit?usp=sharing"",""กำแพงเพชร!J49"")"),0)</f>
        <v>0</v>
      </c>
      <c r="K114" s="223"/>
      <c r="L114" s="168"/>
      <c r="M114" s="168"/>
      <c r="N114" s="168"/>
      <c r="O114" s="181"/>
      <c r="P114" s="181"/>
    </row>
    <row r="115" spans="1:16" ht="21.75" customHeight="1" x14ac:dyDescent="0.3">
      <c r="A115" s="175"/>
      <c r="B115" s="176"/>
      <c r="C115" s="176"/>
      <c r="D115" s="205">
        <v>3</v>
      </c>
      <c r="E115" s="206" t="s">
        <v>55</v>
      </c>
      <c r="F115" s="207"/>
      <c r="G115" s="208"/>
      <c r="H115" s="186"/>
      <c r="I115" s="187"/>
      <c r="J115" s="226">
        <f ca="1">IFERROR(__xludf.DUMMYFUNCTION("IMPORTRANGE(""https://docs.google.com/spreadsheets/d/11923uPwbBZFjjGgGUA6NLw09EwE0CqkOc4q9oUmW1yo/edit?usp=sharing"",""กำแพงเพชร!J50"")"),0)</f>
        <v>0</v>
      </c>
      <c r="K115" s="223"/>
      <c r="L115" s="168"/>
      <c r="M115" s="168"/>
      <c r="N115" s="168"/>
      <c r="O115" s="181"/>
      <c r="P115" s="181"/>
    </row>
    <row r="116" spans="1:16" ht="21.75" customHeight="1" x14ac:dyDescent="0.3">
      <c r="A116" s="210" t="s">
        <v>67</v>
      </c>
      <c r="B116" s="227"/>
      <c r="C116" s="228"/>
      <c r="D116" s="227"/>
      <c r="E116" s="229"/>
      <c r="F116" s="229"/>
      <c r="G116" s="230"/>
      <c r="H116" s="215"/>
      <c r="I116" s="216"/>
      <c r="J116" s="216"/>
      <c r="K116" s="217"/>
      <c r="L116" s="218"/>
      <c r="M116" s="218"/>
      <c r="N116" s="218"/>
      <c r="O116" s="219"/>
      <c r="P116" s="219"/>
    </row>
    <row r="117" spans="1:16" ht="21.75" customHeight="1" x14ac:dyDescent="0.3">
      <c r="A117" s="137"/>
      <c r="B117" s="138" t="s">
        <v>68</v>
      </c>
      <c r="C117" s="231"/>
      <c r="D117" s="139"/>
      <c r="E117" s="138"/>
      <c r="F117" s="138"/>
      <c r="G117" s="220"/>
      <c r="H117" s="140" t="s">
        <v>37</v>
      </c>
      <c r="I117" s="141">
        <f ca="1">IFERROR(__xludf.DUMMYFUNCTION("IMPORTRANGE(""https://docs.google.com/spreadsheets/d/11923uPwbBZFjjGgGUA6NLw09EwE0CqkOc4q9oUmW1yo/edit?usp=sharing"",""กำแพงเพชร!I52"")"),20)</f>
        <v>20</v>
      </c>
      <c r="J117" s="141">
        <f ca="1">IFERROR(__xludf.DUMMYFUNCTION("IMPORTRANGE(""https://docs.google.com/spreadsheets/d/11923uPwbBZFjjGgGUA6NLw09EwE0CqkOc4q9oUmW1yo/edit?usp=sharing"",""กำแพงเพชร!J52"")"),20)</f>
        <v>20</v>
      </c>
      <c r="K117" s="142">
        <f ca="1">IF(I117&gt;0,J117*100/I117,0)</f>
        <v>100</v>
      </c>
      <c r="L117" s="143"/>
      <c r="M117" s="143"/>
      <c r="N117" s="144"/>
      <c r="O117" s="142"/>
      <c r="P117" s="142"/>
    </row>
    <row r="118" spans="1:16" ht="21.75" customHeight="1" x14ac:dyDescent="0.45">
      <c r="A118" s="145"/>
      <c r="B118" s="146"/>
      <c r="C118" s="147" t="s">
        <v>16</v>
      </c>
      <c r="D118" s="537" t="s">
        <v>17</v>
      </c>
      <c r="E118" s="528"/>
      <c r="F118" s="528"/>
      <c r="G118" s="528"/>
      <c r="H118" s="148" t="s">
        <v>12</v>
      </c>
      <c r="I118" s="162"/>
      <c r="J118" s="162"/>
      <c r="K118" s="163"/>
      <c r="L118" s="151">
        <f t="shared" ref="L118:N118" ca="1" si="58">L119+L120</f>
        <v>82440</v>
      </c>
      <c r="M118" s="151">
        <f t="shared" ca="1" si="58"/>
        <v>66440</v>
      </c>
      <c r="N118" s="151">
        <f t="shared" ca="1" si="58"/>
        <v>66080</v>
      </c>
      <c r="O118" s="150">
        <f t="shared" ref="O118:O120" ca="1" si="59">IF(L118&gt;0,N118*100/L118,0)</f>
        <v>80.155264434740417</v>
      </c>
      <c r="P118" s="150">
        <f t="shared" ref="P118:P120" ca="1" si="60">IF(M118&gt;0,N118*100/M118,0)</f>
        <v>99.458157736303434</v>
      </c>
    </row>
    <row r="119" spans="1:16" ht="21.75" customHeight="1" x14ac:dyDescent="0.45">
      <c r="A119" s="152"/>
      <c r="B119" s="32"/>
      <c r="C119" s="32"/>
      <c r="D119" s="32"/>
      <c r="E119" s="32"/>
      <c r="F119" s="32"/>
      <c r="G119" s="33" t="s">
        <v>18</v>
      </c>
      <c r="H119" s="153" t="s">
        <v>12</v>
      </c>
      <c r="I119" s="162"/>
      <c r="J119" s="162"/>
      <c r="K119" s="163"/>
      <c r="L119" s="87">
        <f t="shared" ref="L119:N119" si="61">L121+L125</f>
        <v>0</v>
      </c>
      <c r="M119" s="87">
        <f t="shared" si="61"/>
        <v>0</v>
      </c>
      <c r="N119" s="87">
        <f t="shared" si="61"/>
        <v>0</v>
      </c>
      <c r="O119" s="155">
        <f t="shared" si="59"/>
        <v>0</v>
      </c>
      <c r="P119" s="155">
        <f t="shared" si="60"/>
        <v>0</v>
      </c>
    </row>
    <row r="120" spans="1:16" ht="21.75" customHeight="1" x14ac:dyDescent="0.45">
      <c r="A120" s="152"/>
      <c r="B120" s="32"/>
      <c r="C120" s="32"/>
      <c r="D120" s="32"/>
      <c r="E120" s="32"/>
      <c r="F120" s="32"/>
      <c r="G120" s="33" t="s">
        <v>19</v>
      </c>
      <c r="H120" s="153" t="s">
        <v>12</v>
      </c>
      <c r="I120" s="162"/>
      <c r="J120" s="162"/>
      <c r="K120" s="163"/>
      <c r="L120" s="87">
        <f t="shared" ref="L120:N120" ca="1" si="62">L122+L126</f>
        <v>82440</v>
      </c>
      <c r="M120" s="87">
        <f t="shared" ca="1" si="62"/>
        <v>66440</v>
      </c>
      <c r="N120" s="87">
        <f t="shared" ca="1" si="62"/>
        <v>66080</v>
      </c>
      <c r="O120" s="155">
        <f t="shared" ca="1" si="59"/>
        <v>80.155264434740417</v>
      </c>
      <c r="P120" s="155">
        <f t="shared" ca="1" si="60"/>
        <v>99.458157736303434</v>
      </c>
    </row>
    <row r="121" spans="1:16" ht="21.75" customHeight="1" x14ac:dyDescent="0.3">
      <c r="A121" s="156"/>
      <c r="B121" s="157"/>
      <c r="C121" s="157" t="s">
        <v>16</v>
      </c>
      <c r="D121" s="158" t="s">
        <v>38</v>
      </c>
      <c r="E121" s="159"/>
      <c r="F121" s="159"/>
      <c r="G121" s="160" t="s">
        <v>39</v>
      </c>
      <c r="H121" s="161" t="s">
        <v>12</v>
      </c>
      <c r="I121" s="162" t="s">
        <v>40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3">
      <c r="A122" s="156"/>
      <c r="B122" s="157"/>
      <c r="C122" s="157"/>
      <c r="D122" s="166"/>
      <c r="E122" s="159"/>
      <c r="F122" s="159" t="s">
        <v>40</v>
      </c>
      <c r="G122" s="160" t="s">
        <v>41</v>
      </c>
      <c r="H122" s="161" t="s">
        <v>12</v>
      </c>
      <c r="I122" s="162"/>
      <c r="J122" s="162"/>
      <c r="K122" s="163"/>
      <c r="L122" s="167">
        <f ca="1">L123+L124</f>
        <v>82440</v>
      </c>
      <c r="M122" s="167">
        <f ca="1">IFERROR(__xludf.DUMMYFUNCTION("IMPORTRANGE(""https://docs.google.com/spreadsheets/d/1Yj_ptqi66GCucihVvJfMjLAmec39IyEx_6qawtMGysU/edit?usp=sharing"",""สบก!BA20"")"),66440)</f>
        <v>66440</v>
      </c>
      <c r="N122" s="168">
        <f ca="1">IFERROR(__xludf.DUMMYFUNCTION("IMPORTRANGE(""https://docs.google.com/spreadsheets/d/1Yj_ptqi66GCucihVvJfMjLAmec39IyEx_6qawtMGysU/edit?usp=sharing"",""สบก!BB20"")"),66080)</f>
        <v>66080</v>
      </c>
      <c r="O122" s="168">
        <f ca="1">IF(L122&gt;0,N122*100/L122,0)</f>
        <v>80.155264434740417</v>
      </c>
      <c r="P122" s="168">
        <f ca="1">IF(M122&gt;0,N122*100/M122,0)</f>
        <v>99.458157736303434</v>
      </c>
    </row>
    <row r="123" spans="1:16" ht="21.75" customHeight="1" x14ac:dyDescent="0.3">
      <c r="A123" s="156"/>
      <c r="B123" s="157"/>
      <c r="C123" s="157"/>
      <c r="D123" s="166"/>
      <c r="E123" s="159"/>
      <c r="F123" s="159"/>
      <c r="G123" s="169" t="s">
        <v>42</v>
      </c>
      <c r="H123" s="161" t="s">
        <v>12</v>
      </c>
      <c r="I123" s="162"/>
      <c r="J123" s="162"/>
      <c r="K123" s="163"/>
      <c r="L123" s="167">
        <f ca="1">IFERROR(__xludf.DUMMYFUNCTION("IMPORTRANGE(""https://docs.google.com/spreadsheets/d/1Yj_ptqi66GCucihVvJfMjLAmec39IyEx_6qawtMGysU/edit?usp=sharing"",""สบก!AW20"")"),0)</f>
        <v>0</v>
      </c>
      <c r="M123" s="167"/>
      <c r="N123" s="167"/>
      <c r="O123" s="168"/>
      <c r="P123" s="168"/>
    </row>
    <row r="124" spans="1:16" ht="21.75" customHeight="1" x14ac:dyDescent="0.3">
      <c r="A124" s="156"/>
      <c r="B124" s="157"/>
      <c r="C124" s="157"/>
      <c r="D124" s="166"/>
      <c r="E124" s="159"/>
      <c r="F124" s="159"/>
      <c r="G124" s="169" t="s">
        <v>43</v>
      </c>
      <c r="H124" s="161" t="s">
        <v>12</v>
      </c>
      <c r="I124" s="162"/>
      <c r="J124" s="187"/>
      <c r="K124" s="223"/>
      <c r="L124" s="167">
        <f ca="1">IFERROR(__xludf.DUMMYFUNCTION("IMPORTRANGE(""https://docs.google.com/spreadsheets/d/1Yj_ptqi66GCucihVvJfMjLAmec39IyEx_6qawtMGysU/edit?usp=sharing"",""สบก!AX20"")"),82440)</f>
        <v>82440</v>
      </c>
      <c r="M124" s="167"/>
      <c r="N124" s="167"/>
      <c r="O124" s="168"/>
      <c r="P124" s="168"/>
    </row>
    <row r="125" spans="1:16" ht="21.75" customHeight="1" x14ac:dyDescent="0.45">
      <c r="A125" s="170"/>
      <c r="B125" s="80"/>
      <c r="C125" s="81" t="s">
        <v>16</v>
      </c>
      <c r="D125" s="534" t="s">
        <v>23</v>
      </c>
      <c r="E125" s="530"/>
      <c r="F125" s="88"/>
      <c r="G125" s="82" t="s">
        <v>18</v>
      </c>
      <c r="H125" s="171" t="s">
        <v>12</v>
      </c>
      <c r="I125" s="187"/>
      <c r="J125" s="187"/>
      <c r="K125" s="223"/>
      <c r="L125" s="41">
        <v>0</v>
      </c>
      <c r="M125" s="41"/>
      <c r="N125" s="41"/>
      <c r="O125" s="41"/>
      <c r="P125" s="41"/>
    </row>
    <row r="126" spans="1:16" ht="21.75" customHeight="1" x14ac:dyDescent="0.45">
      <c r="A126" s="172"/>
      <c r="B126" s="91"/>
      <c r="C126" s="91"/>
      <c r="D126" s="173"/>
      <c r="E126" s="92"/>
      <c r="F126" s="92"/>
      <c r="G126" s="93" t="s">
        <v>19</v>
      </c>
      <c r="H126" s="174" t="s">
        <v>12</v>
      </c>
      <c r="I126" s="187"/>
      <c r="J126" s="187"/>
      <c r="K126" s="223"/>
      <c r="L126" s="49">
        <f ca="1">IFERROR(__xludf.DUMMYFUNCTION("IMPORTRANGE(""https://docs.google.com/spreadsheets/d/1Yj_ptqi66GCucihVvJfMjLAmec39IyEx_6qawtMGysU/edit?usp=sharing"",""สบก!AY20"")"),0)</f>
        <v>0</v>
      </c>
      <c r="M126" s="49"/>
      <c r="N126" s="49">
        <f ca="1">IFERROR(__xludf.DUMMYFUNCTION("IMPORTRANGE(""https://docs.google.com/spreadsheets/d/1Yj_ptqi66GCucihVvJfMjLAmec39IyEx_6qawtMGysU/edit?usp=sharing"",""สบก!BC20"")"),0)</f>
        <v>0</v>
      </c>
      <c r="O126" s="49">
        <f ca="1">IF(L126&gt;0,N126*100/L126,0)</f>
        <v>0</v>
      </c>
      <c r="P126" s="49"/>
    </row>
    <row r="127" spans="1:16" ht="21.75" customHeight="1" x14ac:dyDescent="0.3">
      <c r="A127" s="175"/>
      <c r="B127" s="176"/>
      <c r="C127" s="157" t="s">
        <v>16</v>
      </c>
      <c r="D127" s="232" t="s">
        <v>239</v>
      </c>
      <c r="E127" s="178"/>
      <c r="F127" s="178"/>
      <c r="G127" s="179"/>
      <c r="H127" s="180"/>
      <c r="I127" s="162"/>
      <c r="J127" s="187"/>
      <c r="K127" s="223"/>
      <c r="L127" s="168"/>
      <c r="M127" s="168"/>
      <c r="N127" s="168"/>
      <c r="O127" s="181"/>
      <c r="P127" s="181"/>
    </row>
    <row r="128" spans="1:16" ht="21.75" customHeight="1" x14ac:dyDescent="0.3">
      <c r="A128" s="175"/>
      <c r="B128" s="176"/>
      <c r="C128" s="176"/>
      <c r="D128" s="182">
        <v>1</v>
      </c>
      <c r="E128" s="183" t="s">
        <v>45</v>
      </c>
      <c r="F128" s="184"/>
      <c r="G128" s="185"/>
      <c r="H128" s="186"/>
      <c r="I128" s="187"/>
      <c r="J128" s="203">
        <f ca="1">IFERROR(__xludf.DUMMYFUNCTION("IMPORTRANGE(""https://docs.google.com/spreadsheets/d/11923uPwbBZFjjGgGUA6NLw09EwE0CqkOc4q9oUmW1yo/edit?usp=sharing"",""กำแพงเพชร!J58"")"),0)</f>
        <v>0</v>
      </c>
      <c r="K128" s="223"/>
      <c r="L128" s="168"/>
      <c r="M128" s="168"/>
      <c r="N128" s="168"/>
      <c r="O128" s="181"/>
      <c r="P128" s="181"/>
    </row>
    <row r="129" spans="1:16" ht="21.75" customHeight="1" x14ac:dyDescent="0.3">
      <c r="A129" s="175"/>
      <c r="B129" s="176"/>
      <c r="C129" s="176"/>
      <c r="D129" s="189">
        <v>2</v>
      </c>
      <c r="E129" s="190" t="s">
        <v>46</v>
      </c>
      <c r="F129" s="191"/>
      <c r="G129" s="192"/>
      <c r="H129" s="186"/>
      <c r="I129" s="187"/>
      <c r="J129" s="187">
        <f ca="1">IFERROR(__xludf.DUMMYFUNCTION("IMPORTRANGE(""https://docs.google.com/spreadsheets/d/11923uPwbBZFjjGgGUA6NLw09EwE0CqkOc4q9oUmW1yo/edit?usp=sharing"",""กำแพงเพชร!J59"")"),1)</f>
        <v>1</v>
      </c>
      <c r="K129" s="223"/>
      <c r="L129" s="168" t="s">
        <v>40</v>
      </c>
      <c r="M129" s="168"/>
      <c r="N129" s="168" t="s">
        <v>40</v>
      </c>
      <c r="O129" s="181"/>
      <c r="P129" s="181"/>
    </row>
    <row r="130" spans="1:16" ht="21.75" customHeight="1" x14ac:dyDescent="0.3">
      <c r="A130" s="175"/>
      <c r="B130" s="176"/>
      <c r="C130" s="176"/>
      <c r="D130" s="193"/>
      <c r="E130" s="194" t="s">
        <v>47</v>
      </c>
      <c r="F130" s="195"/>
      <c r="G130" s="196"/>
      <c r="H130" s="186"/>
      <c r="I130" s="187"/>
      <c r="J130" s="187">
        <f ca="1">IFERROR(__xludf.DUMMYFUNCTION("IMPORTRANGE(""https://docs.google.com/spreadsheets/d/11923uPwbBZFjjGgGUA6NLw09EwE0CqkOc4q9oUmW1yo/edit?usp=sharing"",""กำแพงเพชร!J60"")"),1)</f>
        <v>1</v>
      </c>
      <c r="K130" s="223"/>
      <c r="L130" s="168"/>
      <c r="M130" s="168"/>
      <c r="N130" s="168"/>
      <c r="O130" s="181"/>
      <c r="P130" s="181"/>
    </row>
    <row r="131" spans="1:16" ht="21.75" customHeight="1" x14ac:dyDescent="0.3">
      <c r="A131" s="175"/>
      <c r="B131" s="176"/>
      <c r="C131" s="176"/>
      <c r="D131" s="193"/>
      <c r="E131" s="194" t="s">
        <v>48</v>
      </c>
      <c r="F131" s="195"/>
      <c r="G131" s="196"/>
      <c r="H131" s="186"/>
      <c r="I131" s="187"/>
      <c r="J131" s="187">
        <f ca="1">IFERROR(__xludf.DUMMYFUNCTION("IMPORTRANGE(""https://docs.google.com/spreadsheets/d/11923uPwbBZFjjGgGUA6NLw09EwE0CqkOc4q9oUmW1yo/edit?usp=sharing"",""กำแพงเพชร!J61"")"),1)</f>
        <v>1</v>
      </c>
      <c r="K131" s="223"/>
      <c r="L131" s="168"/>
      <c r="M131" s="168"/>
      <c r="N131" s="168"/>
      <c r="O131" s="181"/>
      <c r="P131" s="181"/>
    </row>
    <row r="132" spans="1:16" ht="21.75" customHeight="1" x14ac:dyDescent="0.3">
      <c r="A132" s="175"/>
      <c r="B132" s="176"/>
      <c r="C132" s="176"/>
      <c r="D132" s="193"/>
      <c r="E132" s="198"/>
      <c r="F132" s="194" t="s">
        <v>70</v>
      </c>
      <c r="G132" s="196"/>
      <c r="H132" s="180" t="s">
        <v>37</v>
      </c>
      <c r="I132" s="187">
        <f ca="1">IFERROR(__xludf.DUMMYFUNCTION("IMPORTRANGE(""https://docs.google.com/spreadsheets/d/11923uPwbBZFjjGgGUA6NLw09EwE0CqkOc4q9oUmW1yo/edit?usp=sharing"",""กำแพงเพชร!I62"")"),20)</f>
        <v>20</v>
      </c>
      <c r="J132" s="203">
        <f ca="1">IFERROR(__xludf.DUMMYFUNCTION("IMPORTRANGE(""https://docs.google.com/spreadsheets/d/11923uPwbBZFjjGgGUA6NLw09EwE0CqkOc4q9oUmW1yo/edit?usp=sharing"",""กำแพงเพชร!J62"")"),20)</f>
        <v>20</v>
      </c>
      <c r="K132" s="223">
        <f t="shared" ref="K132:K133" ca="1" si="63">IF(I132&gt;0,J132*100/I132,0)</f>
        <v>100</v>
      </c>
      <c r="L132" s="168"/>
      <c r="M132" s="168"/>
      <c r="N132" s="168"/>
      <c r="O132" s="181"/>
      <c r="P132" s="181"/>
    </row>
    <row r="133" spans="1:16" ht="21.75" customHeight="1" x14ac:dyDescent="0.3">
      <c r="A133" s="175"/>
      <c r="B133" s="176"/>
      <c r="C133" s="176"/>
      <c r="D133" s="193"/>
      <c r="E133" s="198"/>
      <c r="F133" s="194" t="s">
        <v>71</v>
      </c>
      <c r="G133" s="196"/>
      <c r="H133" s="180" t="s">
        <v>37</v>
      </c>
      <c r="I133" s="187">
        <f ca="1">IFERROR(__xludf.DUMMYFUNCTION("IMPORTRANGE(""https://docs.google.com/spreadsheets/d/11923uPwbBZFjjGgGUA6NLw09EwE0CqkOc4q9oUmW1yo/edit?usp=sharing"",""กำแพงเพชร!I63"")"),20)</f>
        <v>20</v>
      </c>
      <c r="J133" s="203">
        <f ca="1">IFERROR(__xludf.DUMMYFUNCTION("IMPORTRANGE(""https://docs.google.com/spreadsheets/d/11923uPwbBZFjjGgGUA6NLw09EwE0CqkOc4q9oUmW1yo/edit?usp=sharing"",""กำแพงเพชร!J63"")"),0)</f>
        <v>0</v>
      </c>
      <c r="K133" s="223">
        <f t="shared" ca="1" si="63"/>
        <v>0</v>
      </c>
      <c r="L133" s="168"/>
      <c r="M133" s="168"/>
      <c r="N133" s="168"/>
      <c r="O133" s="181"/>
      <c r="P133" s="181"/>
    </row>
    <row r="134" spans="1:16" ht="21.75" customHeight="1" x14ac:dyDescent="0.3">
      <c r="A134" s="175"/>
      <c r="B134" s="176"/>
      <c r="C134" s="176"/>
      <c r="D134" s="193"/>
      <c r="E134" s="194" t="s">
        <v>54</v>
      </c>
      <c r="F134" s="195"/>
      <c r="G134" s="196"/>
      <c r="H134" s="186"/>
      <c r="I134" s="187"/>
      <c r="J134" s="187">
        <f ca="1">IFERROR(__xludf.DUMMYFUNCTION("IMPORTRANGE(""https://docs.google.com/spreadsheets/d/11923uPwbBZFjjGgGUA6NLw09EwE0CqkOc4q9oUmW1yo/edit?usp=sharing"",""กำแพงเพชร!J64"")"),0)</f>
        <v>0</v>
      </c>
      <c r="K134" s="223"/>
      <c r="L134" s="168"/>
      <c r="M134" s="168"/>
      <c r="N134" s="168"/>
      <c r="O134" s="181"/>
      <c r="P134" s="181"/>
    </row>
    <row r="135" spans="1:16" ht="21.75" customHeight="1" x14ac:dyDescent="0.3">
      <c r="A135" s="233"/>
      <c r="B135" s="234"/>
      <c r="C135" s="234"/>
      <c r="D135" s="235">
        <v>3</v>
      </c>
      <c r="E135" s="236" t="s">
        <v>55</v>
      </c>
      <c r="F135" s="237"/>
      <c r="G135" s="238"/>
      <c r="H135" s="239"/>
      <c r="I135" s="240"/>
      <c r="J135" s="241">
        <f ca="1">IFERROR(__xludf.DUMMYFUNCTION("IMPORTRANGE(""https://docs.google.com/spreadsheets/d/11923uPwbBZFjjGgGUA6NLw09EwE0CqkOc4q9oUmW1yo/edit?usp=sharing"",""กำแพงเพชร!J65"")"),0)</f>
        <v>0</v>
      </c>
      <c r="K135" s="242"/>
      <c r="L135" s="243"/>
      <c r="M135" s="243"/>
      <c r="N135" s="243"/>
      <c r="O135" s="244"/>
      <c r="P135" s="244"/>
    </row>
    <row r="136" spans="1:16" ht="21.75" customHeight="1" x14ac:dyDescent="0.3">
      <c r="A136" s="245" t="s">
        <v>72</v>
      </c>
      <c r="B136" s="246"/>
      <c r="C136" s="246"/>
      <c r="D136" s="246"/>
      <c r="E136" s="247"/>
      <c r="F136" s="247"/>
      <c r="G136" s="248"/>
      <c r="H136" s="249"/>
      <c r="I136" s="250"/>
      <c r="J136" s="250"/>
      <c r="K136" s="251"/>
      <c r="L136" s="252"/>
      <c r="M136" s="252"/>
      <c r="N136" s="252"/>
      <c r="O136" s="252"/>
      <c r="P136" s="252"/>
    </row>
    <row r="137" spans="1:16" ht="21.75" customHeight="1" x14ac:dyDescent="0.3">
      <c r="A137" s="253" t="s">
        <v>73</v>
      </c>
      <c r="B137" s="254"/>
      <c r="C137" s="254"/>
      <c r="D137" s="255"/>
      <c r="E137" s="255"/>
      <c r="F137" s="255"/>
      <c r="G137" s="256"/>
      <c r="H137" s="257"/>
      <c r="I137" s="258"/>
      <c r="J137" s="258"/>
      <c r="K137" s="259"/>
      <c r="L137" s="259"/>
      <c r="M137" s="259"/>
      <c r="N137" s="259"/>
      <c r="O137" s="260"/>
      <c r="P137" s="260"/>
    </row>
    <row r="138" spans="1:16" ht="21.75" customHeight="1" x14ac:dyDescent="0.3">
      <c r="A138" s="261"/>
      <c r="B138" s="262" t="s">
        <v>74</v>
      </c>
      <c r="C138" s="263"/>
      <c r="D138" s="262"/>
      <c r="E138" s="262"/>
      <c r="F138" s="262"/>
      <c r="G138" s="264"/>
      <c r="H138" s="265" t="s">
        <v>37</v>
      </c>
      <c r="I138" s="266">
        <f ca="1">IFERROR(__xludf.DUMMYFUNCTION("IMPORTRANGE(""https://docs.google.com/spreadsheets/d/11923uPwbBZFjjGgGUA6NLw09EwE0CqkOc4q9oUmW1yo/edit?usp=sharing"",""กำแพงเพชร!I68"")"),0)</f>
        <v>0</v>
      </c>
      <c r="J138" s="266">
        <f ca="1">IFERROR(__xludf.DUMMYFUNCTION("IMPORTRANGE(""https://docs.google.com/spreadsheets/d/11923uPwbBZFjjGgGUA6NLw09EwE0CqkOc4q9oUmW1yo/edit?usp=sharing"",""กำแพงเพชร!J68"")"),0)</f>
        <v>0</v>
      </c>
      <c r="K138" s="267">
        <f ca="1">IF(I138&gt;0,J138*100/I138,0)</f>
        <v>0</v>
      </c>
      <c r="L138" s="268"/>
      <c r="M138" s="268"/>
      <c r="N138" s="268"/>
      <c r="O138" s="267"/>
      <c r="P138" s="267"/>
    </row>
    <row r="139" spans="1:16" ht="21.75" customHeight="1" x14ac:dyDescent="0.3">
      <c r="A139" s="261"/>
      <c r="B139" s="262" t="s">
        <v>75</v>
      </c>
      <c r="C139" s="263"/>
      <c r="D139" s="262"/>
      <c r="E139" s="262"/>
      <c r="F139" s="262"/>
      <c r="G139" s="264"/>
      <c r="H139" s="265"/>
      <c r="I139" s="266"/>
      <c r="J139" s="266"/>
      <c r="K139" s="267"/>
      <c r="L139" s="268"/>
      <c r="M139" s="268"/>
      <c r="N139" s="268"/>
      <c r="O139" s="267"/>
      <c r="P139" s="267"/>
    </row>
    <row r="140" spans="1:16" ht="21.75" customHeight="1" x14ac:dyDescent="0.45">
      <c r="A140" s="145"/>
      <c r="B140" s="146"/>
      <c r="C140" s="147" t="s">
        <v>16</v>
      </c>
      <c r="D140" s="537" t="s">
        <v>17</v>
      </c>
      <c r="E140" s="528"/>
      <c r="F140" s="528"/>
      <c r="G140" s="528"/>
      <c r="H140" s="148" t="s">
        <v>12</v>
      </c>
      <c r="I140" s="162"/>
      <c r="J140" s="162"/>
      <c r="K140" s="163"/>
      <c r="L140" s="151">
        <f t="shared" ref="L140:N140" ca="1" si="64">L141+L142</f>
        <v>69000</v>
      </c>
      <c r="M140" s="151">
        <f t="shared" ca="1" si="64"/>
        <v>143550</v>
      </c>
      <c r="N140" s="151">
        <f t="shared" ca="1" si="64"/>
        <v>45980</v>
      </c>
      <c r="O140" s="150">
        <f t="shared" ref="O140:O142" ca="1" si="65">IF(L140&gt;0,N140*100/L140,0)</f>
        <v>66.637681159420296</v>
      </c>
      <c r="P140" s="150">
        <f t="shared" ref="P140:P142" ca="1" si="66">IF(M140&gt;0,N140*100/M140,0)</f>
        <v>32.030651340996165</v>
      </c>
    </row>
    <row r="141" spans="1:16" ht="21.75" customHeight="1" x14ac:dyDescent="0.45">
      <c r="A141" s="152"/>
      <c r="B141" s="32"/>
      <c r="C141" s="32"/>
      <c r="D141" s="32"/>
      <c r="E141" s="32"/>
      <c r="F141" s="32"/>
      <c r="G141" s="33" t="s">
        <v>18</v>
      </c>
      <c r="H141" s="153" t="s">
        <v>12</v>
      </c>
      <c r="I141" s="162"/>
      <c r="J141" s="162"/>
      <c r="K141" s="163"/>
      <c r="L141" s="87">
        <f t="shared" ref="L141:N141" si="67">L143+L147</f>
        <v>0</v>
      </c>
      <c r="M141" s="87">
        <f t="shared" si="67"/>
        <v>0</v>
      </c>
      <c r="N141" s="87">
        <f t="shared" si="67"/>
        <v>0</v>
      </c>
      <c r="O141" s="155">
        <f t="shared" si="65"/>
        <v>0</v>
      </c>
      <c r="P141" s="155">
        <f t="shared" si="66"/>
        <v>0</v>
      </c>
    </row>
    <row r="142" spans="1:16" ht="21.75" customHeight="1" x14ac:dyDescent="0.45">
      <c r="A142" s="152"/>
      <c r="B142" s="32"/>
      <c r="C142" s="32"/>
      <c r="D142" s="32"/>
      <c r="E142" s="32"/>
      <c r="F142" s="32"/>
      <c r="G142" s="33" t="s">
        <v>19</v>
      </c>
      <c r="H142" s="153" t="s">
        <v>12</v>
      </c>
      <c r="I142" s="162"/>
      <c r="J142" s="162"/>
      <c r="K142" s="163"/>
      <c r="L142" s="87">
        <f t="shared" ref="L142:N142" ca="1" si="68">L144+L148</f>
        <v>69000</v>
      </c>
      <c r="M142" s="87">
        <f t="shared" ca="1" si="68"/>
        <v>143550</v>
      </c>
      <c r="N142" s="87">
        <f t="shared" ca="1" si="68"/>
        <v>45980</v>
      </c>
      <c r="O142" s="155">
        <f t="shared" ca="1" si="65"/>
        <v>66.637681159420296</v>
      </c>
      <c r="P142" s="155">
        <f t="shared" ca="1" si="66"/>
        <v>32.030651340996165</v>
      </c>
    </row>
    <row r="143" spans="1:16" ht="21.75" customHeight="1" x14ac:dyDescent="0.3">
      <c r="A143" s="156"/>
      <c r="B143" s="157"/>
      <c r="C143" s="157" t="s">
        <v>16</v>
      </c>
      <c r="D143" s="158" t="s">
        <v>38</v>
      </c>
      <c r="E143" s="159"/>
      <c r="F143" s="159"/>
      <c r="G143" s="160" t="s">
        <v>39</v>
      </c>
      <c r="H143" s="161" t="s">
        <v>12</v>
      </c>
      <c r="I143" s="162" t="s">
        <v>40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3">
      <c r="A144" s="156"/>
      <c r="B144" s="157"/>
      <c r="C144" s="157"/>
      <c r="D144" s="166"/>
      <c r="E144" s="159"/>
      <c r="F144" s="159" t="s">
        <v>40</v>
      </c>
      <c r="G144" s="160" t="s">
        <v>41</v>
      </c>
      <c r="H144" s="161" t="s">
        <v>12</v>
      </c>
      <c r="I144" s="162"/>
      <c r="J144" s="162"/>
      <c r="K144" s="163"/>
      <c r="L144" s="167">
        <f ca="1">L145+L146</f>
        <v>69000</v>
      </c>
      <c r="M144" s="167">
        <f ca="1">IFERROR(__xludf.DUMMYFUNCTION("IMPORTRANGE(""https://docs.google.com/spreadsheets/d/1Yj_ptqi66GCucihVvJfMjLAmec39IyEx_6qawtMGysU/edit?usp=sharing"",""สบก!BJ20"")"),143550)</f>
        <v>143550</v>
      </c>
      <c r="N144" s="168">
        <f ca="1">IFERROR(__xludf.DUMMYFUNCTION("IMPORTRANGE(""https://docs.google.com/spreadsheets/d/1Yj_ptqi66GCucihVvJfMjLAmec39IyEx_6qawtMGysU/edit?usp=sharing"",""สบก!BK20"")"),45980)</f>
        <v>45980</v>
      </c>
      <c r="O144" s="168">
        <f ca="1">IF(L144&gt;0,N144*100/L144,0)</f>
        <v>66.637681159420296</v>
      </c>
      <c r="P144" s="168">
        <f ca="1">IF(M144&gt;0,N144*100/M144,0)</f>
        <v>32.030651340996165</v>
      </c>
    </row>
    <row r="145" spans="1:16" ht="21.75" customHeight="1" x14ac:dyDescent="0.3">
      <c r="A145" s="156"/>
      <c r="B145" s="157"/>
      <c r="C145" s="157"/>
      <c r="D145" s="166"/>
      <c r="E145" s="159"/>
      <c r="F145" s="159"/>
      <c r="G145" s="169" t="s">
        <v>42</v>
      </c>
      <c r="H145" s="161" t="s">
        <v>12</v>
      </c>
      <c r="I145" s="162"/>
      <c r="J145" s="162"/>
      <c r="K145" s="163"/>
      <c r="L145" s="167">
        <f ca="1">IFERROR(__xludf.DUMMYFUNCTION("IMPORTRANGE(""https://docs.google.com/spreadsheets/d/1Yj_ptqi66GCucihVvJfMjLAmec39IyEx_6qawtMGysU/edit?usp=sharing"",""สบก!BF20"")"),0)</f>
        <v>0</v>
      </c>
      <c r="M145" s="167"/>
      <c r="N145" s="167"/>
      <c r="O145" s="168"/>
      <c r="P145" s="168"/>
    </row>
    <row r="146" spans="1:16" ht="21.75" customHeight="1" x14ac:dyDescent="0.3">
      <c r="A146" s="156"/>
      <c r="B146" s="157"/>
      <c r="C146" s="157"/>
      <c r="D146" s="166"/>
      <c r="E146" s="159"/>
      <c r="F146" s="159"/>
      <c r="G146" s="169" t="s">
        <v>43</v>
      </c>
      <c r="H146" s="161" t="s">
        <v>12</v>
      </c>
      <c r="I146" s="162"/>
      <c r="J146" s="162"/>
      <c r="K146" s="163"/>
      <c r="L146" s="167">
        <f ca="1">IFERROR(__xludf.DUMMYFUNCTION("IMPORTRANGE(""https://docs.google.com/spreadsheets/d/1Yj_ptqi66GCucihVvJfMjLAmec39IyEx_6qawtMGysU/edit?usp=sharing"",""สบก!BG20"")"),69000)</f>
        <v>69000</v>
      </c>
      <c r="M146" s="167"/>
      <c r="N146" s="167"/>
      <c r="O146" s="168"/>
      <c r="P146" s="168"/>
    </row>
    <row r="147" spans="1:16" ht="21.75" customHeight="1" x14ac:dyDescent="0.45">
      <c r="A147" s="170"/>
      <c r="B147" s="80"/>
      <c r="C147" s="81" t="s">
        <v>16</v>
      </c>
      <c r="D147" s="534" t="s">
        <v>23</v>
      </c>
      <c r="E147" s="530"/>
      <c r="F147" s="88"/>
      <c r="G147" s="82" t="s">
        <v>18</v>
      </c>
      <c r="H147" s="171" t="s">
        <v>12</v>
      </c>
      <c r="I147" s="187"/>
      <c r="J147" s="187"/>
      <c r="K147" s="223"/>
      <c r="L147" s="41">
        <v>0</v>
      </c>
      <c r="M147" s="41"/>
      <c r="N147" s="41"/>
      <c r="O147" s="41"/>
      <c r="P147" s="41"/>
    </row>
    <row r="148" spans="1:16" ht="21.75" customHeight="1" x14ac:dyDescent="0.45">
      <c r="A148" s="172"/>
      <c r="B148" s="91"/>
      <c r="C148" s="91"/>
      <c r="D148" s="173"/>
      <c r="E148" s="92"/>
      <c r="F148" s="92"/>
      <c r="G148" s="93" t="s">
        <v>19</v>
      </c>
      <c r="H148" s="174" t="s">
        <v>12</v>
      </c>
      <c r="I148" s="187"/>
      <c r="J148" s="187"/>
      <c r="K148" s="223"/>
      <c r="L148" s="49">
        <f ca="1">IFERROR(__xludf.DUMMYFUNCTION("IMPORTRANGE(""https://docs.google.com/spreadsheets/d/1Yj_ptqi66GCucihVvJfMjLAmec39IyEx_6qawtMGysU/edit?usp=sharing"",""สบก!BH20"")"),0)</f>
        <v>0</v>
      </c>
      <c r="M148" s="49"/>
      <c r="N148" s="49">
        <f ca="1">IFERROR(__xludf.DUMMYFUNCTION("IMPORTRANGE(""https://docs.google.com/spreadsheets/d/1Yj_ptqi66GCucihVvJfMjLAmec39IyEx_6qawtMGysU/edit?usp=sharing"",""สบก!BL20"")"),0)</f>
        <v>0</v>
      </c>
      <c r="O148" s="49">
        <f ca="1">IF(L148&gt;0,N148*100/L148,0)</f>
        <v>0</v>
      </c>
      <c r="P148" s="49"/>
    </row>
    <row r="149" spans="1:16" ht="21.75" customHeight="1" x14ac:dyDescent="0.3">
      <c r="A149" s="269"/>
      <c r="B149" s="270"/>
      <c r="C149" s="271" t="s">
        <v>76</v>
      </c>
      <c r="D149" s="271"/>
      <c r="E149" s="271"/>
      <c r="F149" s="271"/>
      <c r="G149" s="272"/>
      <c r="H149" s="273" t="s">
        <v>77</v>
      </c>
      <c r="I149" s="274">
        <f ca="1">IFERROR(__xludf.DUMMYFUNCTION("IMPORTRANGE(""https://docs.google.com/spreadsheets/d/11923uPwbBZFjjGgGUA6NLw09EwE0CqkOc4q9oUmW1yo/edit?usp=sharing"",""กำแพงเพชร!I74"")"),4)</f>
        <v>4</v>
      </c>
      <c r="J149" s="274">
        <f ca="1">IFERROR(__xludf.DUMMYFUNCTION("IMPORTRANGE(""https://docs.google.com/spreadsheets/d/11923uPwbBZFjjGgGUA6NLw09EwE0CqkOc4q9oUmW1yo/edit?usp=sharing"",""กำแพงเพชร!J74"")"),1)</f>
        <v>1</v>
      </c>
      <c r="K149" s="275">
        <f ca="1">IF(I149&gt;0,J149*100/I149,0)</f>
        <v>25</v>
      </c>
      <c r="L149" s="276"/>
      <c r="M149" s="276"/>
      <c r="N149" s="276"/>
      <c r="O149" s="276"/>
      <c r="P149" s="276"/>
    </row>
    <row r="150" spans="1:16" ht="21.75" customHeight="1" x14ac:dyDescent="0.3">
      <c r="A150" s="156"/>
      <c r="B150" s="157"/>
      <c r="C150" s="157" t="s">
        <v>16</v>
      </c>
      <c r="D150" s="158" t="s">
        <v>38</v>
      </c>
      <c r="E150" s="159"/>
      <c r="F150" s="159"/>
      <c r="G150" s="160" t="s">
        <v>39</v>
      </c>
      <c r="H150" s="161" t="s">
        <v>12</v>
      </c>
      <c r="I150" s="162" t="s">
        <v>40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3">
      <c r="A151" s="156"/>
      <c r="B151" s="157"/>
      <c r="C151" s="157"/>
      <c r="D151" s="166"/>
      <c r="E151" s="159"/>
      <c r="F151" s="159" t="s">
        <v>40</v>
      </c>
      <c r="G151" s="160" t="s">
        <v>41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3">
      <c r="A152" s="156"/>
      <c r="B152" s="157"/>
      <c r="C152" s="157"/>
      <c r="D152" s="166"/>
      <c r="E152" s="159"/>
      <c r="F152" s="159"/>
      <c r="G152" s="169" t="s">
        <v>43</v>
      </c>
      <c r="H152" s="161" t="s">
        <v>12</v>
      </c>
      <c r="I152" s="162"/>
      <c r="J152" s="162"/>
      <c r="K152" s="163"/>
      <c r="L152" s="168"/>
      <c r="M152" s="168"/>
      <c r="N152" s="167"/>
      <c r="O152" s="168"/>
      <c r="P152" s="168"/>
    </row>
    <row r="153" spans="1:16" ht="21.75" customHeight="1" x14ac:dyDescent="0.3">
      <c r="A153" s="175"/>
      <c r="B153" s="176"/>
      <c r="C153" s="157" t="s">
        <v>16</v>
      </c>
      <c r="D153" s="177" t="s">
        <v>44</v>
      </c>
      <c r="E153" s="178"/>
      <c r="F153" s="178"/>
      <c r="G153" s="179"/>
      <c r="H153" s="180"/>
      <c r="I153" s="162"/>
      <c r="J153" s="162"/>
      <c r="K153" s="163"/>
      <c r="L153" s="181"/>
      <c r="M153" s="181"/>
      <c r="N153" s="181"/>
      <c r="O153" s="181"/>
      <c r="P153" s="181"/>
    </row>
    <row r="154" spans="1:16" ht="21.75" customHeight="1" x14ac:dyDescent="0.3">
      <c r="A154" s="175"/>
      <c r="B154" s="176"/>
      <c r="C154" s="176"/>
      <c r="D154" s="182">
        <v>1</v>
      </c>
      <c r="E154" s="183" t="s">
        <v>45</v>
      </c>
      <c r="F154" s="184"/>
      <c r="G154" s="185"/>
      <c r="H154" s="186"/>
      <c r="I154" s="187"/>
      <c r="J154" s="188">
        <f ca="1">IFERROR(__xludf.DUMMYFUNCTION("IMPORTRANGE(""https://docs.google.com/spreadsheets/d/11923uPwbBZFjjGgGUA6NLw09EwE0CqkOc4q9oUmW1yo/edit?usp=sharing"",""กำแพงเพชร!J79"")"),0)</f>
        <v>0</v>
      </c>
      <c r="K154" s="163"/>
      <c r="L154" s="181"/>
      <c r="M154" s="181"/>
      <c r="N154" s="181"/>
      <c r="O154" s="181"/>
      <c r="P154" s="181"/>
    </row>
    <row r="155" spans="1:16" ht="21.75" customHeight="1" x14ac:dyDescent="0.3">
      <c r="A155" s="175"/>
      <c r="B155" s="176"/>
      <c r="C155" s="176"/>
      <c r="D155" s="189">
        <v>2</v>
      </c>
      <c r="E155" s="190" t="s">
        <v>46</v>
      </c>
      <c r="F155" s="191"/>
      <c r="G155" s="192"/>
      <c r="H155" s="186"/>
      <c r="I155" s="187"/>
      <c r="J155" s="197">
        <f ca="1">IFERROR(__xludf.DUMMYFUNCTION("IMPORTRANGE(""https://docs.google.com/spreadsheets/d/11923uPwbBZFjjGgGUA6NLw09EwE0CqkOc4q9oUmW1yo/edit?usp=sharing"",""กำแพงเพชร!J80"")"),0)</f>
        <v>0</v>
      </c>
      <c r="K155" s="163"/>
      <c r="L155" s="181"/>
      <c r="M155" s="181"/>
      <c r="N155" s="181"/>
      <c r="O155" s="181"/>
      <c r="P155" s="181"/>
    </row>
    <row r="156" spans="1:16" ht="21.75" customHeight="1" x14ac:dyDescent="0.3">
      <c r="A156" s="175"/>
      <c r="B156" s="176"/>
      <c r="C156" s="176"/>
      <c r="D156" s="193"/>
      <c r="E156" s="194" t="s">
        <v>47</v>
      </c>
      <c r="F156" s="195"/>
      <c r="G156" s="196"/>
      <c r="H156" s="186"/>
      <c r="I156" s="187"/>
      <c r="J156" s="197">
        <f ca="1">IFERROR(__xludf.DUMMYFUNCTION("IMPORTRANGE(""https://docs.google.com/spreadsheets/d/11923uPwbBZFjjGgGUA6NLw09EwE0CqkOc4q9oUmW1yo/edit?usp=sharing"",""กำแพงเพชร!J81"")"),0)</f>
        <v>0</v>
      </c>
      <c r="K156" s="163"/>
      <c r="L156" s="181"/>
      <c r="M156" s="181"/>
      <c r="N156" s="181"/>
      <c r="O156" s="181"/>
      <c r="P156" s="181"/>
    </row>
    <row r="157" spans="1:16" ht="21.75" customHeight="1" x14ac:dyDescent="0.3">
      <c r="A157" s="175"/>
      <c r="B157" s="176"/>
      <c r="C157" s="176"/>
      <c r="D157" s="193"/>
      <c r="E157" s="194" t="s">
        <v>48</v>
      </c>
      <c r="F157" s="195"/>
      <c r="G157" s="196"/>
      <c r="H157" s="186"/>
      <c r="I157" s="187"/>
      <c r="J157" s="197">
        <f ca="1">IFERROR(__xludf.DUMMYFUNCTION("IMPORTRANGE(""https://docs.google.com/spreadsheets/d/11923uPwbBZFjjGgGUA6NLw09EwE0CqkOc4q9oUmW1yo/edit?usp=sharing"",""กำแพงเพชร!J82"")"),0)</f>
        <v>0</v>
      </c>
      <c r="K157" s="163"/>
      <c r="L157" s="181"/>
      <c r="M157" s="181"/>
      <c r="N157" s="181"/>
      <c r="O157" s="181"/>
      <c r="P157" s="181"/>
    </row>
    <row r="158" spans="1:16" ht="21.75" customHeight="1" x14ac:dyDescent="0.3">
      <c r="A158" s="175"/>
      <c r="B158" s="176"/>
      <c r="C158" s="176"/>
      <c r="D158" s="193"/>
      <c r="E158" s="198"/>
      <c r="F158" s="194" t="s">
        <v>78</v>
      </c>
      <c r="G158" s="196"/>
      <c r="H158" s="180" t="s">
        <v>77</v>
      </c>
      <c r="I158" s="187">
        <f ca="1">IFERROR(__xludf.DUMMYFUNCTION("IMPORTRANGE(""https://docs.google.com/spreadsheets/d/11923uPwbBZFjjGgGUA6NLw09EwE0CqkOc4q9oUmW1yo/edit?usp=sharing"",""กำแพงเพชร!I83"")"),4)</f>
        <v>4</v>
      </c>
      <c r="J158" s="188">
        <f ca="1">IFERROR(__xludf.DUMMYFUNCTION("IMPORTRANGE(""https://docs.google.com/spreadsheets/d/11923uPwbBZFjjGgGUA6NLw09EwE0CqkOc4q9oUmW1yo/edit?usp=sharing"",""กำแพงเพชร!J83"")"),1)</f>
        <v>1</v>
      </c>
      <c r="K158" s="163">
        <f ca="1">IF(I158&gt;0,J158*100/I158,0)</f>
        <v>25</v>
      </c>
      <c r="L158" s="181"/>
      <c r="M158" s="181"/>
      <c r="N158" s="181"/>
      <c r="O158" s="181"/>
      <c r="P158" s="181"/>
    </row>
    <row r="159" spans="1:16" ht="21.75" customHeight="1" x14ac:dyDescent="0.3">
      <c r="A159" s="175"/>
      <c r="B159" s="176"/>
      <c r="C159" s="176"/>
      <c r="D159" s="193"/>
      <c r="E159" s="195"/>
      <c r="F159" s="277" t="s">
        <v>79</v>
      </c>
      <c r="G159" s="196"/>
      <c r="H159" s="278" t="s">
        <v>37</v>
      </c>
      <c r="I159" s="187"/>
      <c r="J159" s="203">
        <f ca="1">IFERROR(__xludf.DUMMYFUNCTION("IMPORTRANGE(""https://docs.google.com/spreadsheets/d/11923uPwbBZFjjGgGUA6NLw09EwE0CqkOc4q9oUmW1yo/edit?usp=sharing"",""กำแพงเพชร!J84"")"),33)</f>
        <v>33</v>
      </c>
      <c r="K159" s="163"/>
      <c r="L159" s="181"/>
      <c r="M159" s="181"/>
      <c r="N159" s="181"/>
      <c r="O159" s="181"/>
      <c r="P159" s="181"/>
    </row>
    <row r="160" spans="1:16" ht="21.75" customHeight="1" x14ac:dyDescent="0.45">
      <c r="A160" s="175"/>
      <c r="B160" s="176"/>
      <c r="C160" s="176"/>
      <c r="D160" s="193"/>
      <c r="E160" s="195"/>
      <c r="F160" s="195"/>
      <c r="G160" s="279" t="s">
        <v>80</v>
      </c>
      <c r="H160" s="278" t="s">
        <v>37</v>
      </c>
      <c r="I160" s="187"/>
      <c r="J160" s="280">
        <f ca="1">IFERROR(__xludf.DUMMYFUNCTION("IMPORTRANGE(""https://docs.google.com/spreadsheets/d/11923uPwbBZFjjGgGUA6NLw09EwE0CqkOc4q9oUmW1yo/edit?usp=sharing"",""กำแพงเพชร!J85"")"),33)</f>
        <v>33</v>
      </c>
      <c r="K160" s="163"/>
      <c r="L160" s="181"/>
      <c r="M160" s="181"/>
      <c r="N160" s="181"/>
      <c r="O160" s="181"/>
      <c r="P160" s="181"/>
    </row>
    <row r="161" spans="1:16" ht="21.75" customHeight="1" x14ac:dyDescent="0.45">
      <c r="A161" s="175"/>
      <c r="B161" s="176"/>
      <c r="C161" s="176"/>
      <c r="D161" s="193"/>
      <c r="E161" s="195"/>
      <c r="F161" s="195"/>
      <c r="G161" s="279" t="s">
        <v>81</v>
      </c>
      <c r="H161" s="278" t="s">
        <v>37</v>
      </c>
      <c r="I161" s="187"/>
      <c r="J161" s="280">
        <f ca="1">IFERROR(__xludf.DUMMYFUNCTION("IMPORTRANGE(""https://docs.google.com/spreadsheets/d/11923uPwbBZFjjGgGUA6NLw09EwE0CqkOc4q9oUmW1yo/edit?usp=sharing"",""กำแพงเพชร!J86"")"),0)</f>
        <v>0</v>
      </c>
      <c r="K161" s="163"/>
      <c r="L161" s="181"/>
      <c r="M161" s="181"/>
      <c r="N161" s="181"/>
      <c r="O161" s="181"/>
      <c r="P161" s="181"/>
    </row>
    <row r="162" spans="1:16" ht="21.75" customHeight="1" x14ac:dyDescent="0.3">
      <c r="A162" s="175"/>
      <c r="B162" s="176"/>
      <c r="C162" s="176"/>
      <c r="D162" s="193"/>
      <c r="E162" s="194" t="s">
        <v>54</v>
      </c>
      <c r="F162" s="195"/>
      <c r="G162" s="196"/>
      <c r="H162" s="186"/>
      <c r="I162" s="187"/>
      <c r="J162" s="197">
        <f ca="1">IFERROR(__xludf.DUMMYFUNCTION("IMPORTRANGE(""https://docs.google.com/spreadsheets/d/11923uPwbBZFjjGgGUA6NLw09EwE0CqkOc4q9oUmW1yo/edit?usp=sharing"",""กำแพงเพชร!J87"")"),0)</f>
        <v>0</v>
      </c>
      <c r="K162" s="163"/>
      <c r="L162" s="181"/>
      <c r="M162" s="181"/>
      <c r="N162" s="181"/>
      <c r="O162" s="181"/>
      <c r="P162" s="181"/>
    </row>
    <row r="163" spans="1:16" ht="21.75" customHeight="1" x14ac:dyDescent="0.3">
      <c r="A163" s="175"/>
      <c r="B163" s="176"/>
      <c r="C163" s="176"/>
      <c r="D163" s="205">
        <v>3</v>
      </c>
      <c r="E163" s="206" t="s">
        <v>55</v>
      </c>
      <c r="F163" s="207"/>
      <c r="G163" s="208"/>
      <c r="H163" s="186"/>
      <c r="I163" s="187"/>
      <c r="J163" s="209">
        <f ca="1">IFERROR(__xludf.DUMMYFUNCTION("IMPORTRANGE(""https://docs.google.com/spreadsheets/d/11923uPwbBZFjjGgGUA6NLw09EwE0CqkOc4q9oUmW1yo/edit?usp=sharing"",""กำแพงเพชร!J88"")"),0)</f>
        <v>0</v>
      </c>
      <c r="K163" s="163"/>
      <c r="L163" s="181"/>
      <c r="M163" s="181"/>
      <c r="N163" s="181"/>
      <c r="O163" s="181"/>
      <c r="P163" s="181"/>
    </row>
    <row r="164" spans="1:16" ht="21.75" customHeight="1" x14ac:dyDescent="0.3">
      <c r="A164" s="269"/>
      <c r="B164" s="270"/>
      <c r="C164" s="271" t="s">
        <v>82</v>
      </c>
      <c r="D164" s="271"/>
      <c r="E164" s="271"/>
      <c r="F164" s="271"/>
      <c r="G164" s="272"/>
      <c r="H164" s="281" t="s">
        <v>83</v>
      </c>
      <c r="I164" s="282">
        <f ca="1">IFERROR(__xludf.DUMMYFUNCTION("IMPORTRANGE(""https://docs.google.com/spreadsheets/d/11923uPwbBZFjjGgGUA6NLw09EwE0CqkOc4q9oUmW1yo/edit?usp=sharing"",""กำแพงเพชร!I89"")"),3)</f>
        <v>3</v>
      </c>
      <c r="J164" s="282">
        <f ca="1">IFERROR(__xludf.DUMMYFUNCTION("IMPORTRANGE(""https://docs.google.com/spreadsheets/d/11923uPwbBZFjjGgGUA6NLw09EwE0CqkOc4q9oUmW1yo/edit?usp=sharing"",""กำแพงเพชร!J89"")"),0)</f>
        <v>0</v>
      </c>
      <c r="K164" s="283">
        <f ca="1">IF(I164&gt;0,J164*100/I164,0)</f>
        <v>0</v>
      </c>
      <c r="L164" s="276"/>
      <c r="M164" s="276"/>
      <c r="N164" s="276"/>
      <c r="O164" s="276"/>
      <c r="P164" s="276"/>
    </row>
    <row r="165" spans="1:16" ht="21.75" customHeight="1" x14ac:dyDescent="0.3">
      <c r="A165" s="156"/>
      <c r="B165" s="157"/>
      <c r="C165" s="157" t="s">
        <v>16</v>
      </c>
      <c r="D165" s="158" t="s">
        <v>38</v>
      </c>
      <c r="E165" s="159"/>
      <c r="F165" s="159"/>
      <c r="G165" s="160" t="s">
        <v>39</v>
      </c>
      <c r="H165" s="161" t="s">
        <v>12</v>
      </c>
      <c r="I165" s="162" t="s">
        <v>40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3">
      <c r="A166" s="156"/>
      <c r="B166" s="157"/>
      <c r="C166" s="157"/>
      <c r="D166" s="166"/>
      <c r="E166" s="159"/>
      <c r="F166" s="159" t="s">
        <v>40</v>
      </c>
      <c r="G166" s="160" t="s">
        <v>41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3">
      <c r="A167" s="156"/>
      <c r="B167" s="157"/>
      <c r="C167" s="157"/>
      <c r="D167" s="166"/>
      <c r="E167" s="159"/>
      <c r="F167" s="159"/>
      <c r="G167" s="169" t="s">
        <v>43</v>
      </c>
      <c r="H167" s="161" t="s">
        <v>12</v>
      </c>
      <c r="I167" s="162"/>
      <c r="J167" s="162"/>
      <c r="K167" s="163"/>
      <c r="L167" s="168"/>
      <c r="M167" s="168"/>
      <c r="N167" s="167"/>
      <c r="O167" s="168"/>
      <c r="P167" s="168"/>
    </row>
    <row r="168" spans="1:16" ht="21.75" customHeight="1" x14ac:dyDescent="0.3">
      <c r="A168" s="175"/>
      <c r="B168" s="176"/>
      <c r="C168" s="157" t="s">
        <v>16</v>
      </c>
      <c r="D168" s="177" t="s">
        <v>44</v>
      </c>
      <c r="E168" s="178"/>
      <c r="F168" s="178"/>
      <c r="G168" s="179"/>
      <c r="H168" s="180"/>
      <c r="I168" s="162"/>
      <c r="J168" s="162"/>
      <c r="K168" s="163"/>
      <c r="L168" s="181"/>
      <c r="M168" s="181"/>
      <c r="N168" s="181"/>
      <c r="O168" s="181"/>
      <c r="P168" s="181"/>
    </row>
    <row r="169" spans="1:16" ht="21.75" customHeight="1" x14ac:dyDescent="0.3">
      <c r="A169" s="175"/>
      <c r="B169" s="176"/>
      <c r="C169" s="176"/>
      <c r="D169" s="182">
        <v>1</v>
      </c>
      <c r="E169" s="183" t="s">
        <v>45</v>
      </c>
      <c r="F169" s="184"/>
      <c r="G169" s="185"/>
      <c r="H169" s="186"/>
      <c r="I169" s="187"/>
      <c r="J169" s="188">
        <f ca="1">IFERROR(__xludf.DUMMYFUNCTION("IMPORTRANGE(""https://docs.google.com/spreadsheets/d/11923uPwbBZFjjGgGUA6NLw09EwE0CqkOc4q9oUmW1yo/edit?usp=sharing"",""กำแพงเพชร!J94"")"),0)</f>
        <v>0</v>
      </c>
      <c r="K169" s="163"/>
      <c r="L169" s="181"/>
      <c r="M169" s="181"/>
      <c r="N169" s="181"/>
      <c r="O169" s="181"/>
      <c r="P169" s="181"/>
    </row>
    <row r="170" spans="1:16" ht="21.75" customHeight="1" x14ac:dyDescent="0.3">
      <c r="A170" s="175"/>
      <c r="B170" s="176"/>
      <c r="C170" s="176"/>
      <c r="D170" s="189">
        <v>2</v>
      </c>
      <c r="E170" s="190" t="s">
        <v>46</v>
      </c>
      <c r="F170" s="191"/>
      <c r="G170" s="192"/>
      <c r="H170" s="186"/>
      <c r="I170" s="187"/>
      <c r="J170" s="197">
        <f ca="1">IFERROR(__xludf.DUMMYFUNCTION("IMPORTRANGE(""https://docs.google.com/spreadsheets/d/11923uPwbBZFjjGgGUA6NLw09EwE0CqkOc4q9oUmW1yo/edit?usp=sharing"",""กำแพงเพชร!J95"")"),1)</f>
        <v>1</v>
      </c>
      <c r="K170" s="163"/>
      <c r="L170" s="181"/>
      <c r="M170" s="181"/>
      <c r="N170" s="181"/>
      <c r="O170" s="181"/>
      <c r="P170" s="181"/>
    </row>
    <row r="171" spans="1:16" ht="21.75" customHeight="1" x14ac:dyDescent="0.3">
      <c r="A171" s="175"/>
      <c r="B171" s="176"/>
      <c r="C171" s="176"/>
      <c r="D171" s="193"/>
      <c r="E171" s="194" t="s">
        <v>47</v>
      </c>
      <c r="F171" s="195"/>
      <c r="G171" s="196"/>
      <c r="H171" s="186"/>
      <c r="I171" s="187"/>
      <c r="J171" s="197">
        <f ca="1">IFERROR(__xludf.DUMMYFUNCTION("IMPORTRANGE(""https://docs.google.com/spreadsheets/d/11923uPwbBZFjjGgGUA6NLw09EwE0CqkOc4q9oUmW1yo/edit?usp=sharing"",""กำแพงเพชร!J96"")"),1)</f>
        <v>1</v>
      </c>
      <c r="K171" s="163"/>
      <c r="L171" s="181"/>
      <c r="M171" s="181"/>
      <c r="N171" s="181"/>
      <c r="O171" s="181"/>
      <c r="P171" s="181"/>
    </row>
    <row r="172" spans="1:16" ht="21.75" customHeight="1" x14ac:dyDescent="0.3">
      <c r="A172" s="175"/>
      <c r="B172" s="176"/>
      <c r="C172" s="176"/>
      <c r="D172" s="193"/>
      <c r="E172" s="194" t="s">
        <v>48</v>
      </c>
      <c r="F172" s="195"/>
      <c r="G172" s="196"/>
      <c r="H172" s="186"/>
      <c r="I172" s="187"/>
      <c r="J172" s="197">
        <f ca="1">IFERROR(__xludf.DUMMYFUNCTION("IMPORTRANGE(""https://docs.google.com/spreadsheets/d/11923uPwbBZFjjGgGUA6NLw09EwE0CqkOc4q9oUmW1yo/edit?usp=sharing"",""กำแพงเพชร!J97"")"),0)</f>
        <v>0</v>
      </c>
      <c r="K172" s="163"/>
      <c r="L172" s="181"/>
      <c r="M172" s="181"/>
      <c r="N172" s="181"/>
      <c r="O172" s="181"/>
      <c r="P172" s="181"/>
    </row>
    <row r="173" spans="1:16" ht="21.75" customHeight="1" x14ac:dyDescent="0.3">
      <c r="A173" s="175"/>
      <c r="B173" s="176"/>
      <c r="C173" s="176"/>
      <c r="D173" s="193"/>
      <c r="E173" s="198"/>
      <c r="F173" s="204" t="s">
        <v>84</v>
      </c>
      <c r="G173" s="196"/>
      <c r="H173" s="180" t="s">
        <v>83</v>
      </c>
      <c r="I173" s="187">
        <f ca="1">IFERROR(__xludf.DUMMYFUNCTION("IMPORTRANGE(""https://docs.google.com/spreadsheets/d/11923uPwbBZFjjGgGUA6NLw09EwE0CqkOc4q9oUmW1yo/edit?usp=sharing"",""กำแพงเพชร!I98"")"),3)</f>
        <v>3</v>
      </c>
      <c r="J173" s="188">
        <f ca="1">IFERROR(__xludf.DUMMYFUNCTION("IMPORTRANGE(""https://docs.google.com/spreadsheets/d/11923uPwbBZFjjGgGUA6NLw09EwE0CqkOc4q9oUmW1yo/edit?usp=sharing"",""กำแพงเพชร!J98"")"),0)</f>
        <v>0</v>
      </c>
      <c r="K173" s="163">
        <f ca="1">IF(I173&gt;0,J173*100/I173,0)</f>
        <v>0</v>
      </c>
      <c r="L173" s="168"/>
      <c r="M173" s="168"/>
      <c r="N173" s="167"/>
      <c r="O173" s="168"/>
      <c r="P173" s="168"/>
    </row>
    <row r="174" spans="1:16" ht="21.75" customHeight="1" x14ac:dyDescent="0.3">
      <c r="A174" s="175"/>
      <c r="B174" s="176"/>
      <c r="C174" s="176"/>
      <c r="D174" s="193"/>
      <c r="E174" s="194" t="s">
        <v>54</v>
      </c>
      <c r="F174" s="195"/>
      <c r="G174" s="196"/>
      <c r="H174" s="186"/>
      <c r="I174" s="187"/>
      <c r="J174" s="197">
        <f ca="1">IFERROR(__xludf.DUMMYFUNCTION("IMPORTRANGE(""https://docs.google.com/spreadsheets/d/11923uPwbBZFjjGgGUA6NLw09EwE0CqkOc4q9oUmW1yo/edit?usp=sharing"",""กำแพงเพชร!J99"")"),0)</f>
        <v>0</v>
      </c>
      <c r="K174" s="163"/>
      <c r="L174" s="181"/>
      <c r="M174" s="181"/>
      <c r="N174" s="181"/>
      <c r="O174" s="181"/>
      <c r="P174" s="181"/>
    </row>
    <row r="175" spans="1:16" ht="21.75" customHeight="1" x14ac:dyDescent="0.3">
      <c r="A175" s="175"/>
      <c r="B175" s="176"/>
      <c r="C175" s="176"/>
      <c r="D175" s="205">
        <v>3</v>
      </c>
      <c r="E175" s="206" t="s">
        <v>55</v>
      </c>
      <c r="F175" s="207"/>
      <c r="G175" s="208"/>
      <c r="H175" s="186"/>
      <c r="I175" s="187"/>
      <c r="J175" s="209">
        <f ca="1">IFERROR(__xludf.DUMMYFUNCTION("IMPORTRANGE(""https://docs.google.com/spreadsheets/d/11923uPwbBZFjjGgGUA6NLw09EwE0CqkOc4q9oUmW1yo/edit?usp=sharing"",""กำแพงเพชร!J100"")"),0)</f>
        <v>0</v>
      </c>
      <c r="K175" s="163"/>
      <c r="L175" s="181"/>
      <c r="M175" s="181"/>
      <c r="N175" s="181"/>
      <c r="O175" s="181"/>
      <c r="P175" s="181"/>
    </row>
    <row r="176" spans="1:16" ht="21.75" customHeight="1" x14ac:dyDescent="0.3">
      <c r="A176" s="269"/>
      <c r="B176" s="270"/>
      <c r="C176" s="271" t="s">
        <v>85</v>
      </c>
      <c r="D176" s="271"/>
      <c r="E176" s="271"/>
      <c r="F176" s="271"/>
      <c r="G176" s="272"/>
      <c r="H176" s="281" t="s">
        <v>83</v>
      </c>
      <c r="I176" s="282">
        <f ca="1">IFERROR(__xludf.DUMMYFUNCTION("IMPORTRANGE(""https://docs.google.com/spreadsheets/d/11923uPwbBZFjjGgGUA6NLw09EwE0CqkOc4q9oUmW1yo/edit?usp=sharing"",""กำแพงเพชร!I101"")"),0)</f>
        <v>0</v>
      </c>
      <c r="J176" s="282">
        <f ca="1">IFERROR(__xludf.DUMMYFUNCTION("IMPORTRANGE(""https://docs.google.com/spreadsheets/d/11923uPwbBZFjjGgGUA6NLw09EwE0CqkOc4q9oUmW1yo/edit?usp=sharing"",""กำแพงเพชร!J101"")"),0)</f>
        <v>0</v>
      </c>
      <c r="K176" s="283">
        <f ca="1">IF(I176&gt;0,J176*100/I176,0)</f>
        <v>0</v>
      </c>
      <c r="L176" s="276"/>
      <c r="M176" s="276"/>
      <c r="N176" s="276"/>
      <c r="O176" s="276"/>
      <c r="P176" s="276"/>
    </row>
    <row r="177" spans="1:16" ht="21.75" customHeight="1" x14ac:dyDescent="0.3">
      <c r="A177" s="156"/>
      <c r="B177" s="157"/>
      <c r="C177" s="157" t="s">
        <v>16</v>
      </c>
      <c r="D177" s="158" t="s">
        <v>38</v>
      </c>
      <c r="E177" s="159"/>
      <c r="F177" s="159"/>
      <c r="G177" s="160" t="s">
        <v>39</v>
      </c>
      <c r="H177" s="161" t="s">
        <v>12</v>
      </c>
      <c r="I177" s="162" t="s">
        <v>40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3">
      <c r="A178" s="156"/>
      <c r="B178" s="157"/>
      <c r="C178" s="157"/>
      <c r="D178" s="166"/>
      <c r="E178" s="159"/>
      <c r="F178" s="159" t="s">
        <v>40</v>
      </c>
      <c r="G178" s="160" t="s">
        <v>41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3">
      <c r="A179" s="156"/>
      <c r="B179" s="157"/>
      <c r="C179" s="157"/>
      <c r="D179" s="166"/>
      <c r="E179" s="159"/>
      <c r="F179" s="159"/>
      <c r="G179" s="169" t="s">
        <v>43</v>
      </c>
      <c r="H179" s="161" t="s">
        <v>12</v>
      </c>
      <c r="I179" s="162"/>
      <c r="J179" s="187"/>
      <c r="K179" s="223"/>
      <c r="L179" s="168"/>
      <c r="M179" s="168"/>
      <c r="N179" s="167"/>
      <c r="O179" s="168"/>
      <c r="P179" s="168"/>
    </row>
    <row r="180" spans="1:16" ht="21.75" customHeight="1" x14ac:dyDescent="0.3">
      <c r="A180" s="175"/>
      <c r="B180" s="176"/>
      <c r="C180" s="157" t="s">
        <v>16</v>
      </c>
      <c r="D180" s="177" t="s">
        <v>44</v>
      </c>
      <c r="E180" s="178"/>
      <c r="F180" s="178"/>
      <c r="G180" s="179"/>
      <c r="H180" s="180"/>
      <c r="I180" s="162"/>
      <c r="J180" s="187"/>
      <c r="K180" s="223"/>
      <c r="L180" s="168"/>
      <c r="M180" s="168"/>
      <c r="N180" s="168"/>
      <c r="O180" s="181"/>
      <c r="P180" s="181"/>
    </row>
    <row r="181" spans="1:16" ht="21.75" customHeight="1" x14ac:dyDescent="0.3">
      <c r="A181" s="175"/>
      <c r="B181" s="176"/>
      <c r="C181" s="176"/>
      <c r="D181" s="182">
        <v>1</v>
      </c>
      <c r="E181" s="183" t="s">
        <v>45</v>
      </c>
      <c r="F181" s="184"/>
      <c r="G181" s="185"/>
      <c r="H181" s="186"/>
      <c r="I181" s="187"/>
      <c r="J181" s="187">
        <f ca="1">IFERROR(__xludf.DUMMYFUNCTION("IMPORTRANGE(""https://docs.google.com/spreadsheets/d/11923uPwbBZFjjGgGUA6NLw09EwE0CqkOc4q9oUmW1yo/edit?usp=sharing"",""กำแพงเพชร!J106"")"),0)</f>
        <v>0</v>
      </c>
      <c r="K181" s="223"/>
      <c r="L181" s="168"/>
      <c r="M181" s="168"/>
      <c r="N181" s="168"/>
      <c r="O181" s="181"/>
      <c r="P181" s="181"/>
    </row>
    <row r="182" spans="1:16" ht="21.75" customHeight="1" x14ac:dyDescent="0.3">
      <c r="A182" s="175"/>
      <c r="B182" s="176"/>
      <c r="C182" s="176"/>
      <c r="D182" s="189">
        <v>2</v>
      </c>
      <c r="E182" s="190" t="s">
        <v>46</v>
      </c>
      <c r="F182" s="191"/>
      <c r="G182" s="192"/>
      <c r="H182" s="186"/>
      <c r="I182" s="187"/>
      <c r="J182" s="187">
        <f ca="1">IFERROR(__xludf.DUMMYFUNCTION("IMPORTRANGE(""https://docs.google.com/spreadsheets/d/11923uPwbBZFjjGgGUA6NLw09EwE0CqkOc4q9oUmW1yo/edit?usp=sharing"",""กำแพงเพชร!J107"")"),0)</f>
        <v>0</v>
      </c>
      <c r="K182" s="223"/>
      <c r="L182" s="168"/>
      <c r="M182" s="168"/>
      <c r="N182" s="168"/>
      <c r="O182" s="181"/>
      <c r="P182" s="181"/>
    </row>
    <row r="183" spans="1:16" ht="21.75" customHeight="1" x14ac:dyDescent="0.3">
      <c r="A183" s="175"/>
      <c r="B183" s="176"/>
      <c r="C183" s="176"/>
      <c r="D183" s="193"/>
      <c r="E183" s="194" t="s">
        <v>47</v>
      </c>
      <c r="F183" s="195"/>
      <c r="G183" s="196"/>
      <c r="H183" s="186"/>
      <c r="I183" s="187"/>
      <c r="J183" s="187">
        <f ca="1">IFERROR(__xludf.DUMMYFUNCTION("IMPORTRANGE(""https://docs.google.com/spreadsheets/d/11923uPwbBZFjjGgGUA6NLw09EwE0CqkOc4q9oUmW1yo/edit?usp=sharing"",""กำแพงเพชร!J108"")"),0)</f>
        <v>0</v>
      </c>
      <c r="K183" s="223"/>
      <c r="L183" s="168"/>
      <c r="M183" s="168"/>
      <c r="N183" s="168"/>
      <c r="O183" s="181"/>
      <c r="P183" s="181"/>
    </row>
    <row r="184" spans="1:16" ht="21.75" customHeight="1" x14ac:dyDescent="0.3">
      <c r="A184" s="175"/>
      <c r="B184" s="176"/>
      <c r="C184" s="176"/>
      <c r="D184" s="193"/>
      <c r="E184" s="194" t="s">
        <v>48</v>
      </c>
      <c r="F184" s="195"/>
      <c r="G184" s="196"/>
      <c r="H184" s="186"/>
      <c r="I184" s="187"/>
      <c r="J184" s="187">
        <f ca="1">IFERROR(__xludf.DUMMYFUNCTION("IMPORTRANGE(""https://docs.google.com/spreadsheets/d/11923uPwbBZFjjGgGUA6NLw09EwE0CqkOc4q9oUmW1yo/edit?usp=sharing"",""กำแพงเพชร!J109"")"),0)</f>
        <v>0</v>
      </c>
      <c r="K184" s="223"/>
      <c r="L184" s="168"/>
      <c r="M184" s="168"/>
      <c r="N184" s="168"/>
      <c r="O184" s="181"/>
      <c r="P184" s="181"/>
    </row>
    <row r="185" spans="1:16" ht="21.75" customHeight="1" x14ac:dyDescent="0.3">
      <c r="A185" s="175"/>
      <c r="B185" s="176"/>
      <c r="C185" s="176"/>
      <c r="D185" s="193"/>
      <c r="E185" s="198"/>
      <c r="F185" s="194" t="s">
        <v>86</v>
      </c>
      <c r="G185" s="196"/>
      <c r="H185" s="180" t="s">
        <v>83</v>
      </c>
      <c r="I185" s="187">
        <f ca="1">IFERROR(__xludf.DUMMYFUNCTION("IMPORTRANGE(""https://docs.google.com/spreadsheets/d/11923uPwbBZFjjGgGUA6NLw09EwE0CqkOc4q9oUmW1yo/edit?usp=sharing"",""กำแพงเพชร!I110"")"),0)</f>
        <v>0</v>
      </c>
      <c r="J185" s="203">
        <f ca="1">IFERROR(__xludf.DUMMYFUNCTION("IMPORTRANGE(""https://docs.google.com/spreadsheets/d/11923uPwbBZFjjGgGUA6NLw09EwE0CqkOc4q9oUmW1yo/edit?usp=sharing"",""กำแพงเพชร!J110"")"),0)</f>
        <v>0</v>
      </c>
      <c r="K185" s="223">
        <f t="shared" ref="K185:K186" ca="1" si="69">IF(I185&gt;0,J185*100/I185,0)</f>
        <v>0</v>
      </c>
      <c r="L185" s="168"/>
      <c r="M185" s="168"/>
      <c r="N185" s="167"/>
      <c r="O185" s="168"/>
      <c r="P185" s="168"/>
    </row>
    <row r="186" spans="1:16" ht="21.75" customHeight="1" x14ac:dyDescent="0.3">
      <c r="A186" s="175"/>
      <c r="B186" s="176"/>
      <c r="C186" s="176"/>
      <c r="D186" s="193"/>
      <c r="E186" s="198"/>
      <c r="F186" s="194" t="s">
        <v>87</v>
      </c>
      <c r="G186" s="196"/>
      <c r="H186" s="180" t="s">
        <v>83</v>
      </c>
      <c r="I186" s="187">
        <f ca="1">IFERROR(__xludf.DUMMYFUNCTION("IMPORTRANGE(""https://docs.google.com/spreadsheets/d/11923uPwbBZFjjGgGUA6NLw09EwE0CqkOc4q9oUmW1yo/edit?usp=sharing"",""กำแพงเพชร!I111"")"),0)</f>
        <v>0</v>
      </c>
      <c r="J186" s="203">
        <f ca="1">IFERROR(__xludf.DUMMYFUNCTION("IMPORTRANGE(""https://docs.google.com/spreadsheets/d/11923uPwbBZFjjGgGUA6NLw09EwE0CqkOc4q9oUmW1yo/edit?usp=sharing"",""กำแพงเพชร!J111"")"),0)</f>
        <v>0</v>
      </c>
      <c r="K186" s="223">
        <f t="shared" ca="1" si="69"/>
        <v>0</v>
      </c>
      <c r="L186" s="168"/>
      <c r="M186" s="168"/>
      <c r="N186" s="167"/>
      <c r="O186" s="168"/>
      <c r="P186" s="168"/>
    </row>
    <row r="187" spans="1:16" ht="21.75" customHeight="1" x14ac:dyDescent="0.3">
      <c r="A187" s="175"/>
      <c r="B187" s="176"/>
      <c r="C187" s="176"/>
      <c r="D187" s="193"/>
      <c r="E187" s="194" t="s">
        <v>54</v>
      </c>
      <c r="F187" s="195"/>
      <c r="G187" s="196"/>
      <c r="H187" s="186"/>
      <c r="I187" s="187"/>
      <c r="J187" s="187">
        <f ca="1">IFERROR(__xludf.DUMMYFUNCTION("IMPORTRANGE(""https://docs.google.com/spreadsheets/d/11923uPwbBZFjjGgGUA6NLw09EwE0CqkOc4q9oUmW1yo/edit?usp=sharing"",""กำแพงเพชร!J112"")"),0)</f>
        <v>0</v>
      </c>
      <c r="K187" s="223"/>
      <c r="L187" s="168"/>
      <c r="M187" s="168"/>
      <c r="N187" s="168"/>
      <c r="O187" s="181"/>
      <c r="P187" s="181"/>
    </row>
    <row r="188" spans="1:16" ht="21.75" customHeight="1" x14ac:dyDescent="0.3">
      <c r="A188" s="175"/>
      <c r="B188" s="176"/>
      <c r="C188" s="176"/>
      <c r="D188" s="205">
        <v>3</v>
      </c>
      <c r="E188" s="206" t="s">
        <v>55</v>
      </c>
      <c r="F188" s="207"/>
      <c r="G188" s="208"/>
      <c r="H188" s="186"/>
      <c r="I188" s="187"/>
      <c r="J188" s="226">
        <f ca="1">IFERROR(__xludf.DUMMYFUNCTION("IMPORTRANGE(""https://docs.google.com/spreadsheets/d/11923uPwbBZFjjGgGUA6NLw09EwE0CqkOc4q9oUmW1yo/edit?usp=sharing"",""กำแพงเพชร!J113"")"),0)</f>
        <v>0</v>
      </c>
      <c r="K188" s="223"/>
      <c r="L188" s="168"/>
      <c r="M188" s="168"/>
      <c r="N188" s="168"/>
      <c r="O188" s="181"/>
      <c r="P188" s="181"/>
    </row>
    <row r="189" spans="1:16" ht="21.75" customHeight="1" x14ac:dyDescent="0.3">
      <c r="A189" s="269"/>
      <c r="B189" s="270"/>
      <c r="C189" s="271" t="s">
        <v>88</v>
      </c>
      <c r="D189" s="271"/>
      <c r="E189" s="271"/>
      <c r="F189" s="271"/>
      <c r="G189" s="272"/>
      <c r="H189" s="284" t="s">
        <v>89</v>
      </c>
      <c r="I189" s="282">
        <f ca="1">IFERROR(__xludf.DUMMYFUNCTION("IMPORTRANGE(""https://docs.google.com/spreadsheets/d/11923uPwbBZFjjGgGUA6NLw09EwE0CqkOc4q9oUmW1yo/edit?usp=sharing"",""กำแพงเพชร!I114"")"),50000)</f>
        <v>50000</v>
      </c>
      <c r="J189" s="282">
        <f ca="1">IFERROR(__xludf.DUMMYFUNCTION("IMPORTRANGE(""https://docs.google.com/spreadsheets/d/11923uPwbBZFjjGgGUA6NLw09EwE0CqkOc4q9oUmW1yo/edit?usp=sharing"",""กำแพงเพชร!J114"")"),0)</f>
        <v>0</v>
      </c>
      <c r="K189" s="283">
        <f ca="1">IF(I189&gt;0,J189*100/I189,0)</f>
        <v>0</v>
      </c>
      <c r="L189" s="276"/>
      <c r="M189" s="276"/>
      <c r="N189" s="276"/>
      <c r="O189" s="276"/>
      <c r="P189" s="276"/>
    </row>
    <row r="190" spans="1:16" ht="21.75" customHeight="1" x14ac:dyDescent="0.3">
      <c r="A190" s="156"/>
      <c r="B190" s="157"/>
      <c r="C190" s="157" t="s">
        <v>16</v>
      </c>
      <c r="D190" s="158" t="s">
        <v>38</v>
      </c>
      <c r="E190" s="159"/>
      <c r="F190" s="159"/>
      <c r="G190" s="160" t="s">
        <v>39</v>
      </c>
      <c r="H190" s="161" t="s">
        <v>12</v>
      </c>
      <c r="I190" s="162" t="s">
        <v>40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3">
      <c r="A191" s="156"/>
      <c r="B191" s="157"/>
      <c r="C191" s="157"/>
      <c r="D191" s="166"/>
      <c r="E191" s="159"/>
      <c r="F191" s="159" t="s">
        <v>40</v>
      </c>
      <c r="G191" s="160" t="s">
        <v>41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3">
      <c r="A192" s="156"/>
      <c r="B192" s="157"/>
      <c r="C192" s="157"/>
      <c r="D192" s="166"/>
      <c r="E192" s="159"/>
      <c r="F192" s="159"/>
      <c r="G192" s="169" t="s">
        <v>43</v>
      </c>
      <c r="H192" s="161" t="s">
        <v>12</v>
      </c>
      <c r="I192" s="162"/>
      <c r="J192" s="162"/>
      <c r="K192" s="163"/>
      <c r="L192" s="168"/>
      <c r="M192" s="168"/>
      <c r="N192" s="167"/>
      <c r="O192" s="168"/>
      <c r="P192" s="168"/>
    </row>
    <row r="193" spans="1:16" ht="21.75" customHeight="1" x14ac:dyDescent="0.3">
      <c r="A193" s="175"/>
      <c r="B193" s="176"/>
      <c r="C193" s="157" t="s">
        <v>16</v>
      </c>
      <c r="D193" s="177" t="s">
        <v>44</v>
      </c>
      <c r="E193" s="178"/>
      <c r="F193" s="178"/>
      <c r="G193" s="179"/>
      <c r="H193" s="180"/>
      <c r="I193" s="162"/>
      <c r="J193" s="162"/>
      <c r="K193" s="163"/>
      <c r="L193" s="181"/>
      <c r="M193" s="181"/>
      <c r="N193" s="181"/>
      <c r="O193" s="181"/>
      <c r="P193" s="181"/>
    </row>
    <row r="194" spans="1:16" ht="21.75" customHeight="1" x14ac:dyDescent="0.3">
      <c r="A194" s="175"/>
      <c r="B194" s="176"/>
      <c r="C194" s="176"/>
      <c r="D194" s="182">
        <v>1</v>
      </c>
      <c r="E194" s="183" t="s">
        <v>45</v>
      </c>
      <c r="F194" s="184"/>
      <c r="G194" s="185"/>
      <c r="H194" s="186"/>
      <c r="I194" s="187"/>
      <c r="J194" s="197">
        <f ca="1">IFERROR(__xludf.DUMMYFUNCTION("IMPORTRANGE(""https://docs.google.com/spreadsheets/d/11923uPwbBZFjjGgGUA6NLw09EwE0CqkOc4q9oUmW1yo/edit?usp=sharing"",""กำแพงเพชร!J119"")"),0)</f>
        <v>0</v>
      </c>
      <c r="K194" s="163"/>
      <c r="L194" s="181"/>
      <c r="M194" s="181"/>
      <c r="N194" s="181"/>
      <c r="O194" s="181"/>
      <c r="P194" s="181"/>
    </row>
    <row r="195" spans="1:16" ht="21.75" customHeight="1" x14ac:dyDescent="0.3">
      <c r="A195" s="175"/>
      <c r="B195" s="176"/>
      <c r="C195" s="176"/>
      <c r="D195" s="189">
        <v>2</v>
      </c>
      <c r="E195" s="190" t="s">
        <v>46</v>
      </c>
      <c r="F195" s="191"/>
      <c r="G195" s="192"/>
      <c r="H195" s="186"/>
      <c r="I195" s="187"/>
      <c r="J195" s="188">
        <f ca="1">IFERROR(__xludf.DUMMYFUNCTION("IMPORTRANGE(""https://docs.google.com/spreadsheets/d/11923uPwbBZFjjGgGUA6NLw09EwE0CqkOc4q9oUmW1yo/edit?usp=sharing"",""กำแพงเพชร!J120"")"),1)</f>
        <v>1</v>
      </c>
      <c r="K195" s="163"/>
      <c r="L195" s="181"/>
      <c r="M195" s="181"/>
      <c r="N195" s="181"/>
      <c r="O195" s="181"/>
      <c r="P195" s="181"/>
    </row>
    <row r="196" spans="1:16" ht="21.75" customHeight="1" x14ac:dyDescent="0.3">
      <c r="A196" s="175"/>
      <c r="B196" s="176"/>
      <c r="C196" s="176"/>
      <c r="D196" s="193"/>
      <c r="E196" s="194" t="s">
        <v>47</v>
      </c>
      <c r="F196" s="195"/>
      <c r="G196" s="196"/>
      <c r="H196" s="186"/>
      <c r="I196" s="187"/>
      <c r="J196" s="188">
        <f ca="1">IFERROR(__xludf.DUMMYFUNCTION("IMPORTRANGE(""https://docs.google.com/spreadsheets/d/11923uPwbBZFjjGgGUA6NLw09EwE0CqkOc4q9oUmW1yo/edit?usp=sharing"",""กำแพงเพชร!J121"")"),0)</f>
        <v>0</v>
      </c>
      <c r="K196" s="163"/>
      <c r="L196" s="181"/>
      <c r="M196" s="181"/>
      <c r="N196" s="181"/>
      <c r="O196" s="181"/>
      <c r="P196" s="181"/>
    </row>
    <row r="197" spans="1:16" ht="21.75" customHeight="1" x14ac:dyDescent="0.3">
      <c r="A197" s="175"/>
      <c r="B197" s="176"/>
      <c r="C197" s="176"/>
      <c r="D197" s="193"/>
      <c r="E197" s="194" t="s">
        <v>48</v>
      </c>
      <c r="F197" s="195"/>
      <c r="G197" s="196"/>
      <c r="H197" s="186"/>
      <c r="I197" s="187"/>
      <c r="J197" s="197">
        <f ca="1">IFERROR(__xludf.DUMMYFUNCTION("IMPORTRANGE(""https://docs.google.com/spreadsheets/d/11923uPwbBZFjjGgGUA6NLw09EwE0CqkOc4q9oUmW1yo/edit?usp=sharing"",""กำแพงเพชร!J122"")"),0)</f>
        <v>0</v>
      </c>
      <c r="K197" s="163"/>
      <c r="L197" s="181"/>
      <c r="M197" s="181"/>
      <c r="N197" s="181"/>
      <c r="O197" s="181"/>
      <c r="P197" s="181"/>
    </row>
    <row r="198" spans="1:16" ht="21.75" customHeight="1" x14ac:dyDescent="0.3">
      <c r="A198" s="175"/>
      <c r="B198" s="176"/>
      <c r="C198" s="176"/>
      <c r="D198" s="193"/>
      <c r="E198" s="195"/>
      <c r="F198" s="195" t="s">
        <v>90</v>
      </c>
      <c r="G198" s="196"/>
      <c r="H198" s="180"/>
      <c r="I198" s="187"/>
      <c r="J198" s="187"/>
      <c r="K198" s="163"/>
      <c r="L198" s="181"/>
      <c r="M198" s="181"/>
      <c r="N198" s="181"/>
      <c r="O198" s="181"/>
      <c r="P198" s="181"/>
    </row>
    <row r="199" spans="1:16" ht="21.75" customHeight="1" x14ac:dyDescent="0.3">
      <c r="A199" s="175"/>
      <c r="B199" s="176"/>
      <c r="C199" s="176"/>
      <c r="D199" s="193"/>
      <c r="E199" s="198"/>
      <c r="F199" s="195"/>
      <c r="G199" s="194" t="s">
        <v>91</v>
      </c>
      <c r="H199" s="180" t="s">
        <v>89</v>
      </c>
      <c r="I199" s="187">
        <f ca="1">IFERROR(__xludf.DUMMYFUNCTION("IMPORTRANGE(""https://docs.google.com/spreadsheets/d/11923uPwbBZFjjGgGUA6NLw09EwE0CqkOc4q9oUmW1yo/edit?usp=sharing"",""กำแพงเพชร!I124"")"),50000)</f>
        <v>50000</v>
      </c>
      <c r="J199" s="188">
        <f ca="1">IFERROR(__xludf.DUMMYFUNCTION("IMPORTRANGE(""https://docs.google.com/spreadsheets/d/11923uPwbBZFjjGgGUA6NLw09EwE0CqkOc4q9oUmW1yo/edit?usp=sharing"",""กำแพงเพชร!J124"")"),0)</f>
        <v>0</v>
      </c>
      <c r="K199" s="163">
        <f t="shared" ref="K199:K201" ca="1" si="70">IF(I199&gt;0,J199*100/I199,0)</f>
        <v>0</v>
      </c>
      <c r="L199" s="181"/>
      <c r="M199" s="181"/>
      <c r="N199" s="181"/>
      <c r="O199" s="181"/>
      <c r="P199" s="181"/>
    </row>
    <row r="200" spans="1:16" ht="21.75" customHeight="1" x14ac:dyDescent="0.3">
      <c r="A200" s="175"/>
      <c r="B200" s="176"/>
      <c r="C200" s="176"/>
      <c r="D200" s="193"/>
      <c r="E200" s="198"/>
      <c r="F200" s="195"/>
      <c r="G200" s="194" t="s">
        <v>92</v>
      </c>
      <c r="H200" s="180" t="s">
        <v>89</v>
      </c>
      <c r="I200" s="187">
        <f ca="1">IFERROR(__xludf.DUMMYFUNCTION("IMPORTRANGE(""https://docs.google.com/spreadsheets/d/11923uPwbBZFjjGgGUA6NLw09EwE0CqkOc4q9oUmW1yo/edit?usp=sharing"",""กำแพงเพชร!I125"")"),50000)</f>
        <v>50000</v>
      </c>
      <c r="J200" s="188">
        <f ca="1">IFERROR(__xludf.DUMMYFUNCTION("IMPORTRANGE(""https://docs.google.com/spreadsheets/d/11923uPwbBZFjjGgGUA6NLw09EwE0CqkOc4q9oUmW1yo/edit?usp=sharing"",""กำแพงเพชร!J125"")"),0)</f>
        <v>0</v>
      </c>
      <c r="K200" s="163">
        <f t="shared" ca="1" si="70"/>
        <v>0</v>
      </c>
      <c r="L200" s="168"/>
      <c r="M200" s="168"/>
      <c r="N200" s="167"/>
      <c r="O200" s="168"/>
      <c r="P200" s="168"/>
    </row>
    <row r="201" spans="1:16" ht="21.75" customHeight="1" x14ac:dyDescent="0.3">
      <c r="A201" s="175"/>
      <c r="B201" s="176"/>
      <c r="C201" s="176"/>
      <c r="D201" s="193"/>
      <c r="E201" s="198"/>
      <c r="F201" s="195" t="s">
        <v>93</v>
      </c>
      <c r="G201" s="196"/>
      <c r="H201" s="180" t="s">
        <v>37</v>
      </c>
      <c r="I201" s="187">
        <f ca="1">IFERROR(__xludf.DUMMYFUNCTION("IMPORTRANGE(""https://docs.google.com/spreadsheets/d/11923uPwbBZFjjGgGUA6NLw09EwE0CqkOc4q9oUmW1yo/edit?usp=sharing"",""กำแพงเพชร!I126"")"),0)</f>
        <v>0</v>
      </c>
      <c r="J201" s="188">
        <f ca="1">IFERROR(__xludf.DUMMYFUNCTION("IMPORTRANGE(""https://docs.google.com/spreadsheets/d/11923uPwbBZFjjGgGUA6NLw09EwE0CqkOc4q9oUmW1yo/edit?usp=sharing"",""กำแพงเพชร!J126"")"),0)</f>
        <v>0</v>
      </c>
      <c r="K201" s="163">
        <f t="shared" ca="1" si="70"/>
        <v>0</v>
      </c>
      <c r="L201" s="168"/>
      <c r="M201" s="168"/>
      <c r="N201" s="167"/>
      <c r="O201" s="168"/>
      <c r="P201" s="168"/>
    </row>
    <row r="202" spans="1:16" ht="21.75" customHeight="1" x14ac:dyDescent="0.3">
      <c r="A202" s="175"/>
      <c r="B202" s="176"/>
      <c r="C202" s="176"/>
      <c r="D202" s="193"/>
      <c r="E202" s="194" t="s">
        <v>54</v>
      </c>
      <c r="F202" s="195"/>
      <c r="G202" s="196"/>
      <c r="H202" s="186"/>
      <c r="I202" s="187"/>
      <c r="J202" s="197">
        <f ca="1">IFERROR(__xludf.DUMMYFUNCTION("IMPORTRANGE(""https://docs.google.com/spreadsheets/d/11923uPwbBZFjjGgGUA6NLw09EwE0CqkOc4q9oUmW1yo/edit?usp=sharing"",""กำแพงเพชร!J127"")"),0)</f>
        <v>0</v>
      </c>
      <c r="K202" s="163"/>
      <c r="L202" s="181"/>
      <c r="M202" s="181"/>
      <c r="N202" s="181"/>
      <c r="O202" s="181"/>
      <c r="P202" s="181"/>
    </row>
    <row r="203" spans="1:16" ht="21.75" customHeight="1" x14ac:dyDescent="0.3">
      <c r="A203" s="233"/>
      <c r="B203" s="234"/>
      <c r="C203" s="234"/>
      <c r="D203" s="235">
        <v>3</v>
      </c>
      <c r="E203" s="236" t="s">
        <v>55</v>
      </c>
      <c r="F203" s="237"/>
      <c r="G203" s="238"/>
      <c r="H203" s="239"/>
      <c r="I203" s="240"/>
      <c r="J203" s="285">
        <f ca="1">IFERROR(__xludf.DUMMYFUNCTION("IMPORTRANGE(""https://docs.google.com/spreadsheets/d/11923uPwbBZFjjGgGUA6NLw09EwE0CqkOc4q9oUmW1yo/edit?usp=sharing"",""กำแพงเพชร!J128"")"),0)</f>
        <v>0</v>
      </c>
      <c r="K203" s="286"/>
      <c r="L203" s="244"/>
      <c r="M203" s="244"/>
      <c r="N203" s="244"/>
      <c r="O203" s="244"/>
      <c r="P203" s="244"/>
    </row>
    <row r="204" spans="1:16" ht="21.75" customHeight="1" x14ac:dyDescent="0.3">
      <c r="A204" s="269"/>
      <c r="B204" s="270"/>
      <c r="C204" s="287" t="s">
        <v>94</v>
      </c>
      <c r="D204" s="271"/>
      <c r="E204" s="271"/>
      <c r="F204" s="271"/>
      <c r="G204" s="272"/>
      <c r="H204" s="284" t="s">
        <v>37</v>
      </c>
      <c r="I204" s="282">
        <f ca="1">IFERROR(__xludf.DUMMYFUNCTION("IMPORTRANGE(""https://docs.google.com/spreadsheets/d/11923uPwbBZFjjGgGUA6NLw09EwE0CqkOc4q9oUmW1yo/edit?usp=sharing"",""กำแพงเพชร!I129"")"),0)</f>
        <v>0</v>
      </c>
      <c r="J204" s="282">
        <f ca="1">IFERROR(__xludf.DUMMYFUNCTION("IMPORTRANGE(""https://docs.google.com/spreadsheets/d/11923uPwbBZFjjGgGUA6NLw09EwE0CqkOc4q9oUmW1yo/edit?usp=sharing"",""กำแพงเพชร!J129"")"),0)</f>
        <v>0</v>
      </c>
      <c r="K204" s="283">
        <f ca="1">IF(I204&gt;0,J204*100/I204,0)</f>
        <v>0</v>
      </c>
      <c r="L204" s="276"/>
      <c r="M204" s="276"/>
      <c r="N204" s="276"/>
      <c r="O204" s="276"/>
      <c r="P204" s="276"/>
    </row>
    <row r="205" spans="1:16" ht="21.75" customHeight="1" x14ac:dyDescent="0.3">
      <c r="A205" s="156"/>
      <c r="B205" s="157"/>
      <c r="C205" s="157" t="s">
        <v>16</v>
      </c>
      <c r="D205" s="158" t="s">
        <v>38</v>
      </c>
      <c r="E205" s="159"/>
      <c r="F205" s="159"/>
      <c r="G205" s="160" t="s">
        <v>39</v>
      </c>
      <c r="H205" s="161" t="s">
        <v>12</v>
      </c>
      <c r="I205" s="162" t="s">
        <v>40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3">
      <c r="A206" s="156"/>
      <c r="B206" s="157"/>
      <c r="C206" s="157"/>
      <c r="D206" s="166"/>
      <c r="E206" s="159"/>
      <c r="F206" s="159" t="s">
        <v>40</v>
      </c>
      <c r="G206" s="160" t="s">
        <v>41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3">
      <c r="A207" s="156"/>
      <c r="B207" s="157"/>
      <c r="C207" s="157"/>
      <c r="D207" s="166"/>
      <c r="E207" s="159"/>
      <c r="F207" s="159"/>
      <c r="G207" s="169" t="s">
        <v>43</v>
      </c>
      <c r="H207" s="161" t="s">
        <v>12</v>
      </c>
      <c r="I207" s="162"/>
      <c r="J207" s="187"/>
      <c r="K207" s="223"/>
      <c r="L207" s="168"/>
      <c r="M207" s="168"/>
      <c r="N207" s="167"/>
      <c r="O207" s="168"/>
      <c r="P207" s="168"/>
    </row>
    <row r="208" spans="1:16" ht="21.75" customHeight="1" x14ac:dyDescent="0.3">
      <c r="A208" s="175"/>
      <c r="B208" s="176"/>
      <c r="C208" s="157" t="s">
        <v>16</v>
      </c>
      <c r="D208" s="177" t="s">
        <v>44</v>
      </c>
      <c r="E208" s="178"/>
      <c r="F208" s="178"/>
      <c r="G208" s="179"/>
      <c r="H208" s="180"/>
      <c r="I208" s="162"/>
      <c r="J208" s="187"/>
      <c r="K208" s="223"/>
      <c r="L208" s="168"/>
      <c r="M208" s="168"/>
      <c r="N208" s="168"/>
      <c r="O208" s="181"/>
      <c r="P208" s="181"/>
    </row>
    <row r="209" spans="1:16" ht="21.75" customHeight="1" x14ac:dyDescent="0.3">
      <c r="A209" s="175"/>
      <c r="B209" s="176"/>
      <c r="C209" s="176"/>
      <c r="D209" s="182">
        <v>1</v>
      </c>
      <c r="E209" s="183" t="s">
        <v>45</v>
      </c>
      <c r="F209" s="184"/>
      <c r="G209" s="185"/>
      <c r="H209" s="186"/>
      <c r="I209" s="187"/>
      <c r="J209" s="187">
        <f ca="1">IFERROR(__xludf.DUMMYFUNCTION("IMPORTRANGE(""https://docs.google.com/spreadsheets/d/11923uPwbBZFjjGgGUA6NLw09EwE0CqkOc4q9oUmW1yo/edit?usp=sharing"",""กำแพงเพชร!J134"")"),0)</f>
        <v>0</v>
      </c>
      <c r="K209" s="223"/>
      <c r="L209" s="168"/>
      <c r="M209" s="168"/>
      <c r="N209" s="168"/>
      <c r="O209" s="181"/>
      <c r="P209" s="181"/>
    </row>
    <row r="210" spans="1:16" ht="21.75" customHeight="1" x14ac:dyDescent="0.3">
      <c r="A210" s="175"/>
      <c r="B210" s="176"/>
      <c r="C210" s="176"/>
      <c r="D210" s="189">
        <v>2</v>
      </c>
      <c r="E210" s="190" t="s">
        <v>46</v>
      </c>
      <c r="F210" s="191"/>
      <c r="G210" s="192"/>
      <c r="H210" s="186"/>
      <c r="I210" s="187"/>
      <c r="J210" s="187">
        <f ca="1">IFERROR(__xludf.DUMMYFUNCTION("IMPORTRANGE(""https://docs.google.com/spreadsheets/d/11923uPwbBZFjjGgGUA6NLw09EwE0CqkOc4q9oUmW1yo/edit?usp=sharing"",""กำแพงเพชร!J135"")"),0)</f>
        <v>0</v>
      </c>
      <c r="K210" s="223"/>
      <c r="L210" s="168"/>
      <c r="M210" s="168"/>
      <c r="N210" s="168"/>
      <c r="O210" s="181"/>
      <c r="P210" s="181"/>
    </row>
    <row r="211" spans="1:16" ht="21.75" customHeight="1" x14ac:dyDescent="0.3">
      <c r="A211" s="175"/>
      <c r="B211" s="176"/>
      <c r="C211" s="176"/>
      <c r="D211" s="193"/>
      <c r="E211" s="194" t="s">
        <v>47</v>
      </c>
      <c r="F211" s="195"/>
      <c r="G211" s="196"/>
      <c r="H211" s="186"/>
      <c r="I211" s="187"/>
      <c r="J211" s="187">
        <f ca="1">IFERROR(__xludf.DUMMYFUNCTION("IMPORTRANGE(""https://docs.google.com/spreadsheets/d/11923uPwbBZFjjGgGUA6NLw09EwE0CqkOc4q9oUmW1yo/edit?usp=sharing"",""กำแพงเพชร!J136"")"),0)</f>
        <v>0</v>
      </c>
      <c r="K211" s="223"/>
      <c r="L211" s="168"/>
      <c r="M211" s="168"/>
      <c r="N211" s="168"/>
      <c r="O211" s="181"/>
      <c r="P211" s="181"/>
    </row>
    <row r="212" spans="1:16" ht="21.75" customHeight="1" x14ac:dyDescent="0.3">
      <c r="A212" s="175"/>
      <c r="B212" s="176"/>
      <c r="C212" s="176"/>
      <c r="D212" s="193"/>
      <c r="E212" s="194" t="s">
        <v>48</v>
      </c>
      <c r="F212" s="195"/>
      <c r="G212" s="196"/>
      <c r="H212" s="186"/>
      <c r="I212" s="187"/>
      <c r="J212" s="187">
        <f ca="1">IFERROR(__xludf.DUMMYFUNCTION("IMPORTRANGE(""https://docs.google.com/spreadsheets/d/11923uPwbBZFjjGgGUA6NLw09EwE0CqkOc4q9oUmW1yo/edit?usp=sharing"",""กำแพงเพชร!J137"")"),0)</f>
        <v>0</v>
      </c>
      <c r="K212" s="223"/>
      <c r="L212" s="168"/>
      <c r="M212" s="168"/>
      <c r="N212" s="168"/>
      <c r="O212" s="181"/>
      <c r="P212" s="181"/>
    </row>
    <row r="213" spans="1:16" ht="21.75" customHeight="1" x14ac:dyDescent="0.3">
      <c r="A213" s="175"/>
      <c r="B213" s="176"/>
      <c r="C213" s="176"/>
      <c r="D213" s="193"/>
      <c r="E213" s="198"/>
      <c r="F213" s="195" t="s">
        <v>95</v>
      </c>
      <c r="G213" s="196"/>
      <c r="H213" s="180" t="s">
        <v>37</v>
      </c>
      <c r="I213" s="187">
        <f ca="1">IFERROR(__xludf.DUMMYFUNCTION("IMPORTRANGE(""https://docs.google.com/spreadsheets/d/11923uPwbBZFjjGgGUA6NLw09EwE0CqkOc4q9oUmW1yo/edit?usp=sharing"",""กำแพงเพชร!I138"")"),0)</f>
        <v>0</v>
      </c>
      <c r="J213" s="203">
        <f ca="1">IFERROR(__xludf.DUMMYFUNCTION("IMPORTRANGE(""https://docs.google.com/spreadsheets/d/11923uPwbBZFjjGgGUA6NLw09EwE0CqkOc4q9oUmW1yo/edit?usp=sharing"",""กำแพงเพชร!J138"")"),0)</f>
        <v>0</v>
      </c>
      <c r="K213" s="223">
        <f ca="1">IF(I213&gt;0,J213*100/I213,0)</f>
        <v>0</v>
      </c>
      <c r="L213" s="168"/>
      <c r="M213" s="168"/>
      <c r="N213" s="167"/>
      <c r="O213" s="168"/>
      <c r="P213" s="168"/>
    </row>
    <row r="214" spans="1:16" ht="21.75" customHeight="1" x14ac:dyDescent="0.3">
      <c r="A214" s="175"/>
      <c r="B214" s="176"/>
      <c r="C214" s="176"/>
      <c r="D214" s="193"/>
      <c r="E214" s="198"/>
      <c r="F214" s="194" t="s">
        <v>53</v>
      </c>
      <c r="G214" s="196"/>
      <c r="H214" s="180"/>
      <c r="I214" s="187"/>
      <c r="J214" s="187"/>
      <c r="K214" s="223"/>
      <c r="L214" s="168"/>
      <c r="M214" s="168"/>
      <c r="N214" s="168"/>
      <c r="O214" s="181"/>
      <c r="P214" s="181"/>
    </row>
    <row r="215" spans="1:16" ht="21.75" customHeight="1" x14ac:dyDescent="0.3">
      <c r="A215" s="175"/>
      <c r="B215" s="176"/>
      <c r="C215" s="176"/>
      <c r="D215" s="193"/>
      <c r="E215" s="198"/>
      <c r="F215" s="195"/>
      <c r="G215" s="225" t="s">
        <v>96</v>
      </c>
      <c r="H215" s="180" t="s">
        <v>37</v>
      </c>
      <c r="I215" s="187">
        <f ca="1">IFERROR(__xludf.DUMMYFUNCTION("IMPORTRANGE(""https://docs.google.com/spreadsheets/d/11923uPwbBZFjjGgGUA6NLw09EwE0CqkOc4q9oUmW1yo/edit?usp=sharing"",""กำแพงเพชร!I140"")"),0)</f>
        <v>0</v>
      </c>
      <c r="J215" s="203">
        <f ca="1">IFERROR(__xludf.DUMMYFUNCTION("IMPORTRANGE(""https://docs.google.com/spreadsheets/d/11923uPwbBZFjjGgGUA6NLw09EwE0CqkOc4q9oUmW1yo/edit?usp=sharing"",""กำแพงเพชร!J140"")"),0)</f>
        <v>0</v>
      </c>
      <c r="K215" s="223">
        <f t="shared" ref="K215:K216" ca="1" si="71">IF(I215&gt;0,J215*100/I215,0)</f>
        <v>0</v>
      </c>
      <c r="L215" s="168"/>
      <c r="M215" s="168"/>
      <c r="N215" s="167"/>
      <c r="O215" s="168"/>
      <c r="P215" s="168"/>
    </row>
    <row r="216" spans="1:16" ht="21.75" customHeight="1" x14ac:dyDescent="0.3">
      <c r="A216" s="175"/>
      <c r="B216" s="176"/>
      <c r="C216" s="176"/>
      <c r="D216" s="193"/>
      <c r="E216" s="198"/>
      <c r="F216" s="195"/>
      <c r="G216" s="225" t="s">
        <v>97</v>
      </c>
      <c r="H216" s="180" t="s">
        <v>59</v>
      </c>
      <c r="I216" s="187">
        <f ca="1">IFERROR(__xludf.DUMMYFUNCTION("IMPORTRANGE(""https://docs.google.com/spreadsheets/d/11923uPwbBZFjjGgGUA6NLw09EwE0CqkOc4q9oUmW1yo/edit?usp=sharing"",""กำแพงเพชร!I141"")"),0)</f>
        <v>0</v>
      </c>
      <c r="J216" s="203">
        <f ca="1">IFERROR(__xludf.DUMMYFUNCTION("IMPORTRANGE(""https://docs.google.com/spreadsheets/d/11923uPwbBZFjjGgGUA6NLw09EwE0CqkOc4q9oUmW1yo/edit?usp=sharing"",""กำแพงเพชร!J141"")"),0)</f>
        <v>0</v>
      </c>
      <c r="K216" s="223">
        <f t="shared" ca="1" si="71"/>
        <v>0</v>
      </c>
      <c r="L216" s="168"/>
      <c r="M216" s="168"/>
      <c r="N216" s="167"/>
      <c r="O216" s="168"/>
      <c r="P216" s="168"/>
    </row>
    <row r="217" spans="1:16" ht="21.75" customHeight="1" x14ac:dyDescent="0.3">
      <c r="A217" s="175"/>
      <c r="B217" s="176"/>
      <c r="C217" s="176"/>
      <c r="D217" s="193"/>
      <c r="E217" s="194" t="s">
        <v>54</v>
      </c>
      <c r="F217" s="195"/>
      <c r="G217" s="196"/>
      <c r="H217" s="186"/>
      <c r="I217" s="187"/>
      <c r="J217" s="187">
        <f ca="1">IFERROR(__xludf.DUMMYFUNCTION("IMPORTRANGE(""https://docs.google.com/spreadsheets/d/11923uPwbBZFjjGgGUA6NLw09EwE0CqkOc4q9oUmW1yo/edit?usp=sharing"",""กำแพงเพชร!J142"")"),0)</f>
        <v>0</v>
      </c>
      <c r="K217" s="223"/>
      <c r="L217" s="168"/>
      <c r="M217" s="168"/>
      <c r="N217" s="168"/>
      <c r="O217" s="181"/>
      <c r="P217" s="181"/>
    </row>
    <row r="218" spans="1:16" ht="21.75" customHeight="1" x14ac:dyDescent="0.3">
      <c r="A218" s="233"/>
      <c r="B218" s="234"/>
      <c r="C218" s="234"/>
      <c r="D218" s="235">
        <v>3</v>
      </c>
      <c r="E218" s="236" t="s">
        <v>55</v>
      </c>
      <c r="F218" s="237"/>
      <c r="G218" s="238"/>
      <c r="H218" s="239"/>
      <c r="I218" s="240"/>
      <c r="J218" s="241">
        <f ca="1">IFERROR(__xludf.DUMMYFUNCTION("IMPORTRANGE(""https://docs.google.com/spreadsheets/d/11923uPwbBZFjjGgGUA6NLw09EwE0CqkOc4q9oUmW1yo/edit?usp=sharing"",""กำแพงเพชร!J143"")"),0)</f>
        <v>0</v>
      </c>
      <c r="K218" s="242"/>
      <c r="L218" s="243"/>
      <c r="M218" s="243"/>
      <c r="N218" s="243"/>
      <c r="O218" s="244"/>
      <c r="P218" s="244"/>
    </row>
    <row r="219" spans="1:16" ht="21.75" customHeight="1" x14ac:dyDescent="0.3">
      <c r="A219" s="261"/>
      <c r="B219" s="262" t="s">
        <v>98</v>
      </c>
      <c r="C219" s="263"/>
      <c r="D219" s="262"/>
      <c r="E219" s="262"/>
      <c r="F219" s="262"/>
      <c r="G219" s="264"/>
      <c r="H219" s="265" t="s">
        <v>37</v>
      </c>
      <c r="I219" s="266">
        <f ca="1">IFERROR(__xludf.DUMMYFUNCTION("IMPORTRANGE(""https://docs.google.com/spreadsheets/d/11923uPwbBZFjjGgGUA6NLw09EwE0CqkOc4q9oUmW1yo/edit?usp=sharing"",""กำแพงเพชร!I144"")"),15)</f>
        <v>15</v>
      </c>
      <c r="J219" s="266">
        <f ca="1">IFERROR(__xludf.DUMMYFUNCTION("IMPORTRANGE(""https://docs.google.com/spreadsheets/d/11923uPwbBZFjjGgGUA6NLw09EwE0CqkOc4q9oUmW1yo/edit?usp=sharing"",""กำแพงเพชร!J144"")"),15)</f>
        <v>15</v>
      </c>
      <c r="K219" s="267">
        <f ca="1">IF(I219&gt;0,J219*100/I219,0)</f>
        <v>100</v>
      </c>
      <c r="L219" s="268"/>
      <c r="M219" s="268"/>
      <c r="N219" s="268"/>
      <c r="O219" s="267"/>
      <c r="P219" s="267"/>
    </row>
    <row r="220" spans="1:16" ht="21.75" customHeight="1" x14ac:dyDescent="0.45">
      <c r="A220" s="145"/>
      <c r="B220" s="146"/>
      <c r="C220" s="147" t="s">
        <v>16</v>
      </c>
      <c r="D220" s="537" t="s">
        <v>17</v>
      </c>
      <c r="E220" s="528"/>
      <c r="F220" s="528"/>
      <c r="G220" s="528"/>
      <c r="H220" s="148" t="s">
        <v>12</v>
      </c>
      <c r="I220" s="162"/>
      <c r="J220" s="162"/>
      <c r="K220" s="163"/>
      <c r="L220" s="151">
        <f t="shared" ref="L220:N220" ca="1" si="72">L221+L222</f>
        <v>21125</v>
      </c>
      <c r="M220" s="151">
        <f t="shared" ca="1" si="72"/>
        <v>21125</v>
      </c>
      <c r="N220" s="151">
        <f t="shared" ca="1" si="72"/>
        <v>21125</v>
      </c>
      <c r="O220" s="150">
        <f t="shared" ref="O220:O222" ca="1" si="73">IF(L220&gt;0,N220*100/L220,0)</f>
        <v>100</v>
      </c>
      <c r="P220" s="150">
        <f t="shared" ref="P220:P222" ca="1" si="74">IF(M220&gt;0,N220*100/M220,0)</f>
        <v>100</v>
      </c>
    </row>
    <row r="221" spans="1:16" ht="21.75" customHeight="1" x14ac:dyDescent="0.45">
      <c r="A221" s="152"/>
      <c r="B221" s="32"/>
      <c r="C221" s="32"/>
      <c r="D221" s="32"/>
      <c r="E221" s="32"/>
      <c r="F221" s="32"/>
      <c r="G221" s="33" t="s">
        <v>18</v>
      </c>
      <c r="H221" s="153" t="s">
        <v>12</v>
      </c>
      <c r="I221" s="162"/>
      <c r="J221" s="162"/>
      <c r="K221" s="163"/>
      <c r="L221" s="87">
        <f t="shared" ref="L221:N221" si="75">L223+L227</f>
        <v>0</v>
      </c>
      <c r="M221" s="87">
        <f t="shared" si="75"/>
        <v>0</v>
      </c>
      <c r="N221" s="87">
        <f t="shared" si="75"/>
        <v>0</v>
      </c>
      <c r="O221" s="155">
        <f t="shared" si="73"/>
        <v>0</v>
      </c>
      <c r="P221" s="155">
        <f t="shared" si="74"/>
        <v>0</v>
      </c>
    </row>
    <row r="222" spans="1:16" ht="21.75" customHeight="1" x14ac:dyDescent="0.45">
      <c r="A222" s="152"/>
      <c r="B222" s="32"/>
      <c r="C222" s="32"/>
      <c r="D222" s="32"/>
      <c r="E222" s="32"/>
      <c r="F222" s="32"/>
      <c r="G222" s="33" t="s">
        <v>19</v>
      </c>
      <c r="H222" s="153" t="s">
        <v>12</v>
      </c>
      <c r="I222" s="162"/>
      <c r="J222" s="162"/>
      <c r="K222" s="163"/>
      <c r="L222" s="87">
        <f t="shared" ref="L222:N222" ca="1" si="76">L224+L228</f>
        <v>21125</v>
      </c>
      <c r="M222" s="87">
        <f t="shared" ca="1" si="76"/>
        <v>21125</v>
      </c>
      <c r="N222" s="87">
        <f t="shared" ca="1" si="76"/>
        <v>21125</v>
      </c>
      <c r="O222" s="155">
        <f t="shared" ca="1" si="73"/>
        <v>100</v>
      </c>
      <c r="P222" s="155">
        <f t="shared" ca="1" si="74"/>
        <v>100</v>
      </c>
    </row>
    <row r="223" spans="1:16" ht="21.75" customHeight="1" x14ac:dyDescent="0.3">
      <c r="A223" s="156"/>
      <c r="B223" s="157"/>
      <c r="C223" s="157" t="s">
        <v>16</v>
      </c>
      <c r="D223" s="158" t="s">
        <v>38</v>
      </c>
      <c r="E223" s="159"/>
      <c r="F223" s="159"/>
      <c r="G223" s="160" t="s">
        <v>39</v>
      </c>
      <c r="H223" s="161" t="s">
        <v>12</v>
      </c>
      <c r="I223" s="162" t="s">
        <v>40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3">
      <c r="A224" s="156"/>
      <c r="B224" s="157"/>
      <c r="C224" s="157"/>
      <c r="D224" s="166"/>
      <c r="E224" s="159"/>
      <c r="F224" s="159" t="s">
        <v>40</v>
      </c>
      <c r="G224" s="160" t="s">
        <v>41</v>
      </c>
      <c r="H224" s="161" t="s">
        <v>12</v>
      </c>
      <c r="I224" s="162"/>
      <c r="J224" s="162"/>
      <c r="K224" s="163"/>
      <c r="L224" s="167">
        <f ca="1">L225+L226</f>
        <v>21125</v>
      </c>
      <c r="M224" s="167">
        <f ca="1">IFERROR(__xludf.DUMMYFUNCTION("IMPORTRANGE(""https://docs.google.com/spreadsheets/d/1Yj_ptqi66GCucihVvJfMjLAmec39IyEx_6qawtMGysU/edit?usp=sharing"",""สบก!BS20"")"),21125)</f>
        <v>21125</v>
      </c>
      <c r="N224" s="168">
        <f ca="1">IFERROR(__xludf.DUMMYFUNCTION("IMPORTRANGE(""https://docs.google.com/spreadsheets/d/1Yj_ptqi66GCucihVvJfMjLAmec39IyEx_6qawtMGysU/edit?usp=sharing"",""สบก!BT20"")"),21125)</f>
        <v>21125</v>
      </c>
      <c r="O224" s="168">
        <f ca="1">IF(L224&gt;0,N224*100/L224,0)</f>
        <v>100</v>
      </c>
      <c r="P224" s="168">
        <f ca="1">IF(M224&gt;0,N224*100/M224,0)</f>
        <v>100</v>
      </c>
    </row>
    <row r="225" spans="1:16" ht="21.75" customHeight="1" x14ac:dyDescent="0.3">
      <c r="A225" s="156"/>
      <c r="B225" s="157"/>
      <c r="C225" s="157"/>
      <c r="D225" s="166"/>
      <c r="E225" s="159"/>
      <c r="F225" s="159"/>
      <c r="G225" s="169" t="s">
        <v>42</v>
      </c>
      <c r="H225" s="161" t="s">
        <v>12</v>
      </c>
      <c r="I225" s="162"/>
      <c r="J225" s="162"/>
      <c r="K225" s="163"/>
      <c r="L225" s="167">
        <f ca="1">IFERROR(__xludf.DUMMYFUNCTION("IMPORTRANGE(""https://docs.google.com/spreadsheets/d/1Yj_ptqi66GCucihVvJfMjLAmec39IyEx_6qawtMGysU/edit?usp=sharing"",""สบก!BO20"")"),0)</f>
        <v>0</v>
      </c>
      <c r="M225" s="167"/>
      <c r="N225" s="167"/>
      <c r="O225" s="168"/>
      <c r="P225" s="168"/>
    </row>
    <row r="226" spans="1:16" ht="21.75" customHeight="1" x14ac:dyDescent="0.3">
      <c r="A226" s="156"/>
      <c r="B226" s="157"/>
      <c r="C226" s="157"/>
      <c r="D226" s="166"/>
      <c r="E226" s="159"/>
      <c r="F226" s="159"/>
      <c r="G226" s="169" t="s">
        <v>43</v>
      </c>
      <c r="H226" s="161" t="s">
        <v>12</v>
      </c>
      <c r="I226" s="162"/>
      <c r="J226" s="162"/>
      <c r="K226" s="163"/>
      <c r="L226" s="167">
        <f ca="1">IFERROR(__xludf.DUMMYFUNCTION("IMPORTRANGE(""https://docs.google.com/spreadsheets/d/1Yj_ptqi66GCucihVvJfMjLAmec39IyEx_6qawtMGysU/edit?usp=sharing"",""สบก!BP20"")"),21125)</f>
        <v>21125</v>
      </c>
      <c r="M226" s="167"/>
      <c r="N226" s="167"/>
      <c r="O226" s="168"/>
      <c r="P226" s="168"/>
    </row>
    <row r="227" spans="1:16" ht="21.75" customHeight="1" x14ac:dyDescent="0.45">
      <c r="A227" s="170"/>
      <c r="B227" s="80"/>
      <c r="C227" s="81" t="s">
        <v>16</v>
      </c>
      <c r="D227" s="534" t="s">
        <v>23</v>
      </c>
      <c r="E227" s="530"/>
      <c r="F227" s="88"/>
      <c r="G227" s="82" t="s">
        <v>18</v>
      </c>
      <c r="H227" s="171" t="s">
        <v>12</v>
      </c>
      <c r="I227" s="200"/>
      <c r="J227" s="200"/>
      <c r="K227" s="288"/>
      <c r="L227" s="41">
        <v>0</v>
      </c>
      <c r="M227" s="41"/>
      <c r="N227" s="41"/>
      <c r="O227" s="41"/>
      <c r="P227" s="41"/>
    </row>
    <row r="228" spans="1:16" ht="21.75" customHeight="1" x14ac:dyDescent="0.45">
      <c r="A228" s="172"/>
      <c r="B228" s="91"/>
      <c r="C228" s="91"/>
      <c r="D228" s="173"/>
      <c r="E228" s="92"/>
      <c r="F228" s="92"/>
      <c r="G228" s="93" t="s">
        <v>19</v>
      </c>
      <c r="H228" s="174" t="s">
        <v>12</v>
      </c>
      <c r="I228" s="200"/>
      <c r="J228" s="200"/>
      <c r="K228" s="288"/>
      <c r="L228" s="49">
        <f ca="1">IFERROR(__xludf.DUMMYFUNCTION("IMPORTRANGE(""https://docs.google.com/spreadsheets/d/1Yj_ptqi66GCucihVvJfMjLAmec39IyEx_6qawtMGysU/edit?usp=sharing"",""สบก!BQ20"")"),0)</f>
        <v>0</v>
      </c>
      <c r="M228" s="49"/>
      <c r="N228" s="49">
        <f ca="1">IFERROR(__xludf.DUMMYFUNCTION("IMPORTRANGE(""https://docs.google.com/spreadsheets/d/1Yj_ptqi66GCucihVvJfMjLAmec39IyEx_6qawtMGysU/edit?usp=sharing"",""สบก!BU20"")"),0)</f>
        <v>0</v>
      </c>
      <c r="O228" s="49">
        <f ca="1">IF(L228&gt;0,N228*100/L228,0)</f>
        <v>0</v>
      </c>
      <c r="P228" s="49"/>
    </row>
    <row r="229" spans="1:16" ht="21.75" customHeight="1" x14ac:dyDescent="0.3">
      <c r="A229" s="175"/>
      <c r="B229" s="289"/>
      <c r="C229" s="263" t="s">
        <v>99</v>
      </c>
      <c r="D229" s="262"/>
      <c r="E229" s="262"/>
      <c r="F229" s="262"/>
      <c r="G229" s="264"/>
      <c r="H229" s="265" t="s">
        <v>37</v>
      </c>
      <c r="I229" s="266">
        <f ca="1">IFERROR(__xludf.DUMMYFUNCTION("IMPORTRANGE(""https://docs.google.com/spreadsheets/d/11923uPwbBZFjjGgGUA6NLw09EwE0CqkOc4q9oUmW1yo/edit?usp=sharing"",""กำแพงเพชร!I149"")"),15)</f>
        <v>15</v>
      </c>
      <c r="J229" s="266">
        <f ca="1">IFERROR(__xludf.DUMMYFUNCTION("IMPORTRANGE(""https://docs.google.com/spreadsheets/d/11923uPwbBZFjjGgGUA6NLw09EwE0CqkOc4q9oUmW1yo/edit?usp=sharing"",""กำแพงเพชร!J149"")"),15)</f>
        <v>15</v>
      </c>
      <c r="K229" s="267">
        <f ca="1">IF(I229&gt;0,J229*100/I229,0)</f>
        <v>100</v>
      </c>
      <c r="L229" s="290"/>
      <c r="M229" s="290"/>
      <c r="N229" s="290"/>
      <c r="O229" s="290"/>
      <c r="P229" s="290"/>
    </row>
    <row r="230" spans="1:16" ht="21.75" customHeight="1" x14ac:dyDescent="0.3">
      <c r="A230" s="175"/>
      <c r="B230" s="176"/>
      <c r="C230" s="157" t="s">
        <v>16</v>
      </c>
      <c r="D230" s="177" t="s">
        <v>44</v>
      </c>
      <c r="E230" s="178"/>
      <c r="F230" s="178"/>
      <c r="G230" s="179"/>
      <c r="H230" s="180"/>
      <c r="I230" s="162"/>
      <c r="J230" s="162"/>
      <c r="K230" s="163"/>
      <c r="L230" s="181"/>
      <c r="M230" s="181"/>
      <c r="N230" s="181"/>
      <c r="O230" s="181"/>
      <c r="P230" s="181"/>
    </row>
    <row r="231" spans="1:16" ht="21.75" customHeight="1" x14ac:dyDescent="0.3">
      <c r="A231" s="175"/>
      <c r="B231" s="176"/>
      <c r="C231" s="176"/>
      <c r="D231" s="182">
        <v>1</v>
      </c>
      <c r="E231" s="183" t="s">
        <v>45</v>
      </c>
      <c r="F231" s="184"/>
      <c r="G231" s="185"/>
      <c r="H231" s="186"/>
      <c r="I231" s="187"/>
      <c r="J231" s="197">
        <f ca="1">IFERROR(__xludf.DUMMYFUNCTION("IMPORTRANGE(""https://docs.google.com/spreadsheets/d/11923uPwbBZFjjGgGUA6NLw09EwE0CqkOc4q9oUmW1yo/edit?usp=sharing"",""กำแพงเพชร!J151"")"),0)</f>
        <v>0</v>
      </c>
      <c r="K231" s="163"/>
      <c r="L231" s="181"/>
      <c r="M231" s="181"/>
      <c r="N231" s="181"/>
      <c r="O231" s="181"/>
      <c r="P231" s="181"/>
    </row>
    <row r="232" spans="1:16" ht="21.75" customHeight="1" x14ac:dyDescent="0.3">
      <c r="A232" s="175"/>
      <c r="B232" s="176"/>
      <c r="C232" s="176"/>
      <c r="D232" s="189">
        <v>2</v>
      </c>
      <c r="E232" s="190" t="s">
        <v>46</v>
      </c>
      <c r="F232" s="191"/>
      <c r="G232" s="192"/>
      <c r="H232" s="186"/>
      <c r="I232" s="187"/>
      <c r="J232" s="188">
        <f ca="1">IFERROR(__xludf.DUMMYFUNCTION("IMPORTRANGE(""https://docs.google.com/spreadsheets/d/11923uPwbBZFjjGgGUA6NLw09EwE0CqkOc4q9oUmW1yo/edit?usp=sharing"",""กำแพงเพชร!J152"")"),0)</f>
        <v>0</v>
      </c>
      <c r="K232" s="163"/>
      <c r="L232" s="181" t="s">
        <v>40</v>
      </c>
      <c r="M232" s="181"/>
      <c r="N232" s="181" t="s">
        <v>40</v>
      </c>
      <c r="O232" s="181"/>
      <c r="P232" s="181"/>
    </row>
    <row r="233" spans="1:16" ht="21.75" customHeight="1" x14ac:dyDescent="0.3">
      <c r="A233" s="175"/>
      <c r="B233" s="176"/>
      <c r="C233" s="176"/>
      <c r="D233" s="193"/>
      <c r="E233" s="194" t="s">
        <v>47</v>
      </c>
      <c r="F233" s="195"/>
      <c r="G233" s="196"/>
      <c r="H233" s="186"/>
      <c r="I233" s="187"/>
      <c r="J233" s="188">
        <f ca="1">IFERROR(__xludf.DUMMYFUNCTION("IMPORTRANGE(""https://docs.google.com/spreadsheets/d/11923uPwbBZFjjGgGUA6NLw09EwE0CqkOc4q9oUmW1yo/edit?usp=sharing"",""กำแพงเพชร!J153"")"),1)</f>
        <v>1</v>
      </c>
      <c r="K233" s="163"/>
      <c r="L233" s="181"/>
      <c r="M233" s="181"/>
      <c r="N233" s="181"/>
      <c r="O233" s="181"/>
      <c r="P233" s="181"/>
    </row>
    <row r="234" spans="1:16" ht="21.75" customHeight="1" x14ac:dyDescent="0.3">
      <c r="A234" s="175"/>
      <c r="B234" s="176"/>
      <c r="C234" s="176"/>
      <c r="D234" s="193"/>
      <c r="E234" s="194" t="s">
        <v>48</v>
      </c>
      <c r="F234" s="195"/>
      <c r="G234" s="196"/>
      <c r="H234" s="186"/>
      <c r="I234" s="187"/>
      <c r="J234" s="197">
        <f ca="1">IFERROR(__xludf.DUMMYFUNCTION("IMPORTRANGE(""https://docs.google.com/spreadsheets/d/11923uPwbBZFjjGgGUA6NLw09EwE0CqkOc4q9oUmW1yo/edit?usp=sharing"",""กำแพงเพชร!J154"")"),1)</f>
        <v>1</v>
      </c>
      <c r="K234" s="163"/>
      <c r="L234" s="181"/>
      <c r="M234" s="181"/>
      <c r="N234" s="181"/>
      <c r="O234" s="181"/>
      <c r="P234" s="181"/>
    </row>
    <row r="235" spans="1:16" ht="21.75" customHeight="1" x14ac:dyDescent="0.3">
      <c r="A235" s="175"/>
      <c r="B235" s="176"/>
      <c r="C235" s="176"/>
      <c r="D235" s="193"/>
      <c r="E235" s="198"/>
      <c r="F235" s="195"/>
      <c r="G235" s="291" t="s">
        <v>70</v>
      </c>
      <c r="H235" s="186" t="s">
        <v>37</v>
      </c>
      <c r="I235" s="187">
        <f ca="1">IFERROR(__xludf.DUMMYFUNCTION("IMPORTRANGE(""https://docs.google.com/spreadsheets/d/11923uPwbBZFjjGgGUA6NLw09EwE0CqkOc4q9oUmW1yo/edit?usp=sharing"",""กำแพงเพชร!I155"")"),15)</f>
        <v>15</v>
      </c>
      <c r="J235" s="188">
        <f ca="1">IFERROR(__xludf.DUMMYFUNCTION("IMPORTRANGE(""https://docs.google.com/spreadsheets/d/11923uPwbBZFjjGgGUA6NLw09EwE0CqkOc4q9oUmW1yo/edit?usp=sharing"",""กำแพงเพชร!J155"")"),15)</f>
        <v>15</v>
      </c>
      <c r="K235" s="163">
        <f ca="1">IF(I235&gt;0,J235*100/I235,0)</f>
        <v>100</v>
      </c>
      <c r="L235" s="181"/>
      <c r="M235" s="181"/>
      <c r="N235" s="181"/>
      <c r="O235" s="181"/>
      <c r="P235" s="181"/>
    </row>
    <row r="236" spans="1:16" ht="21.75" customHeight="1" x14ac:dyDescent="0.3">
      <c r="A236" s="175"/>
      <c r="B236" s="176"/>
      <c r="C236" s="176"/>
      <c r="D236" s="193"/>
      <c r="E236" s="194" t="s">
        <v>54</v>
      </c>
      <c r="F236" s="195"/>
      <c r="G236" s="196"/>
      <c r="H236" s="186"/>
      <c r="I236" s="187"/>
      <c r="J236" s="197">
        <f ca="1">IFERROR(__xludf.DUMMYFUNCTION("IMPORTRANGE(""https://docs.google.com/spreadsheets/d/11923uPwbBZFjjGgGUA6NLw09EwE0CqkOc4q9oUmW1yo/edit?usp=sharing"",""กำแพงเพชร!J156"")"),1)</f>
        <v>1</v>
      </c>
      <c r="K236" s="163"/>
      <c r="L236" s="181"/>
      <c r="M236" s="181"/>
      <c r="N236" s="181"/>
      <c r="O236" s="181"/>
      <c r="P236" s="181"/>
    </row>
    <row r="237" spans="1:16" ht="21.75" customHeight="1" x14ac:dyDescent="0.3">
      <c r="A237" s="175"/>
      <c r="B237" s="176"/>
      <c r="C237" s="176"/>
      <c r="D237" s="205">
        <v>3</v>
      </c>
      <c r="E237" s="206" t="s">
        <v>55</v>
      </c>
      <c r="F237" s="207"/>
      <c r="G237" s="208"/>
      <c r="H237" s="186"/>
      <c r="I237" s="187"/>
      <c r="J237" s="209">
        <f ca="1">IFERROR(__xludf.DUMMYFUNCTION("IMPORTRANGE(""https://docs.google.com/spreadsheets/d/11923uPwbBZFjjGgGUA6NLw09EwE0CqkOc4q9oUmW1yo/edit?usp=sharing"",""กำแพงเพชร!J157"")"),1)</f>
        <v>1</v>
      </c>
      <c r="K237" s="163"/>
      <c r="L237" s="181"/>
      <c r="M237" s="181"/>
      <c r="N237" s="181"/>
      <c r="O237" s="181"/>
      <c r="P237" s="181"/>
    </row>
    <row r="238" spans="1:16" ht="21.75" customHeight="1" x14ac:dyDescent="0.3">
      <c r="A238" s="175"/>
      <c r="B238" s="176"/>
      <c r="C238" s="263" t="s">
        <v>100</v>
      </c>
      <c r="D238" s="292"/>
      <c r="E238" s="262"/>
      <c r="F238" s="262"/>
      <c r="G238" s="264"/>
      <c r="H238" s="265" t="s">
        <v>37</v>
      </c>
      <c r="I238" s="266">
        <f ca="1">IFERROR(__xludf.DUMMYFUNCTION("IMPORTRANGE(""https://docs.google.com/spreadsheets/d/11923uPwbBZFjjGgGUA6NLw09EwE0CqkOc4q9oUmW1yo/edit?usp=sharing"",""กำแพงเพชร!I158"")"),0)</f>
        <v>0</v>
      </c>
      <c r="J238" s="266">
        <f ca="1">IFERROR(__xludf.DUMMYFUNCTION("IMPORTRANGE(""https://docs.google.com/spreadsheets/d/11923uPwbBZFjjGgGUA6NLw09EwE0CqkOc4q9oUmW1yo/edit?usp=sharing"",""กำแพงเพชร!J158"")"),0)</f>
        <v>0</v>
      </c>
      <c r="K238" s="267">
        <f ca="1">IF(I238&gt;0,J238*100/I238,0)</f>
        <v>0</v>
      </c>
      <c r="L238" s="181"/>
      <c r="M238" s="181"/>
      <c r="N238" s="181"/>
      <c r="O238" s="181"/>
      <c r="P238" s="181"/>
    </row>
    <row r="239" spans="1:16" ht="21.75" customHeight="1" x14ac:dyDescent="0.3">
      <c r="A239" s="175"/>
      <c r="B239" s="176"/>
      <c r="C239" s="157" t="s">
        <v>16</v>
      </c>
      <c r="D239" s="177" t="s">
        <v>44</v>
      </c>
      <c r="E239" s="178"/>
      <c r="F239" s="178"/>
      <c r="G239" s="179"/>
      <c r="H239" s="180"/>
      <c r="I239" s="162"/>
      <c r="J239" s="162"/>
      <c r="K239" s="163"/>
      <c r="L239" s="181"/>
      <c r="M239" s="181"/>
      <c r="N239" s="181"/>
      <c r="O239" s="181"/>
      <c r="P239" s="181"/>
    </row>
    <row r="240" spans="1:16" ht="21.75" customHeight="1" x14ac:dyDescent="0.3">
      <c r="A240" s="175"/>
      <c r="B240" s="176"/>
      <c r="C240" s="176"/>
      <c r="D240" s="182">
        <v>1</v>
      </c>
      <c r="E240" s="183" t="s">
        <v>45</v>
      </c>
      <c r="F240" s="184"/>
      <c r="G240" s="185"/>
      <c r="H240" s="186"/>
      <c r="I240" s="187"/>
      <c r="J240" s="187" t="str">
        <f ca="1">IFERROR(__xludf.DUMMYFUNCTION("IMPORTRANGE(""https://docs.google.com/spreadsheets/d/11923uPwbBZFjjGgGUA6NLw09EwE0CqkOc4q9oUmW1yo/edit?usp=sharing"",""กำแพงเพชร!J159"")"),"")</f>
        <v/>
      </c>
      <c r="K240" s="163"/>
      <c r="L240" s="181"/>
      <c r="M240" s="181"/>
      <c r="N240" s="181"/>
      <c r="O240" s="181"/>
      <c r="P240" s="181"/>
    </row>
    <row r="241" spans="1:16" ht="21.75" customHeight="1" x14ac:dyDescent="0.3">
      <c r="A241" s="175"/>
      <c r="B241" s="176"/>
      <c r="C241" s="176"/>
      <c r="D241" s="189">
        <v>2</v>
      </c>
      <c r="E241" s="190" t="s">
        <v>46</v>
      </c>
      <c r="F241" s="191"/>
      <c r="G241" s="192"/>
      <c r="H241" s="186"/>
      <c r="I241" s="187"/>
      <c r="J241" s="187">
        <f ca="1">IFERROR(__xludf.DUMMYFUNCTION("IMPORTRANGE(""https://docs.google.com/spreadsheets/d/11923uPwbBZFjjGgGUA6NLw09EwE0CqkOc4q9oUmW1yo/edit?usp=sharing"",""กำแพงเพชร!J161"")"),0)</f>
        <v>0</v>
      </c>
      <c r="K241" s="163"/>
      <c r="L241" s="181" t="s">
        <v>40</v>
      </c>
      <c r="M241" s="181"/>
      <c r="N241" s="181" t="s">
        <v>40</v>
      </c>
      <c r="O241" s="181"/>
      <c r="P241" s="181"/>
    </row>
    <row r="242" spans="1:16" ht="21.75" customHeight="1" x14ac:dyDescent="0.3">
      <c r="A242" s="175"/>
      <c r="B242" s="176"/>
      <c r="C242" s="176"/>
      <c r="D242" s="193"/>
      <c r="E242" s="194" t="s">
        <v>47</v>
      </c>
      <c r="F242" s="195"/>
      <c r="G242" s="196"/>
      <c r="H242" s="186"/>
      <c r="I242" s="187"/>
      <c r="J242" s="187">
        <f ca="1">IFERROR(__xludf.DUMMYFUNCTION("IMPORTRANGE(""https://docs.google.com/spreadsheets/d/11923uPwbBZFjjGgGUA6NLw09EwE0CqkOc4q9oUmW1yo/edit?usp=sharing"",""กำแพงเพชร!J162"")"),0)</f>
        <v>0</v>
      </c>
      <c r="K242" s="163"/>
      <c r="L242" s="181"/>
      <c r="M242" s="181"/>
      <c r="N242" s="181"/>
      <c r="O242" s="181"/>
      <c r="P242" s="181"/>
    </row>
    <row r="243" spans="1:16" ht="21.75" customHeight="1" x14ac:dyDescent="0.3">
      <c r="A243" s="175"/>
      <c r="B243" s="176"/>
      <c r="C243" s="176"/>
      <c r="D243" s="193"/>
      <c r="E243" s="194" t="s">
        <v>48</v>
      </c>
      <c r="F243" s="195"/>
      <c r="G243" s="196"/>
      <c r="H243" s="186"/>
      <c r="I243" s="187"/>
      <c r="J243" s="187">
        <f ca="1">IFERROR(__xludf.DUMMYFUNCTION("IMPORTRANGE(""https://docs.google.com/spreadsheets/d/11923uPwbBZFjjGgGUA6NLw09EwE0CqkOc4q9oUmW1yo/edit?usp=sharing"",""กำแพงเพชร!J163"")"),0)</f>
        <v>0</v>
      </c>
      <c r="K243" s="163"/>
      <c r="L243" s="181"/>
      <c r="M243" s="181"/>
      <c r="N243" s="181"/>
      <c r="O243" s="181"/>
      <c r="P243" s="181"/>
    </row>
    <row r="244" spans="1:16" ht="21.75" customHeight="1" x14ac:dyDescent="0.3">
      <c r="A244" s="175"/>
      <c r="B244" s="176"/>
      <c r="C244" s="176"/>
      <c r="D244" s="193"/>
      <c r="E244" s="195"/>
      <c r="F244" s="194" t="s">
        <v>101</v>
      </c>
      <c r="G244" s="195"/>
      <c r="H244" s="186" t="s">
        <v>37</v>
      </c>
      <c r="I244" s="203">
        <f ca="1">IFERROR(__xludf.DUMMYFUNCTION("IMPORTRANGE(""https://docs.google.com/spreadsheets/d/11923uPwbBZFjjGgGUA6NLw09EwE0CqkOc4q9oUmW1yo/edit?usp=sharing"",""กำแพงเพชร!I164"")"),0)</f>
        <v>0</v>
      </c>
      <c r="J244" s="187">
        <f ca="1">IFERROR(__xludf.DUMMYFUNCTION("IMPORTRANGE(""https://docs.google.com/spreadsheets/d/11923uPwbBZFjjGgGUA6NLw09EwE0CqkOc4q9oUmW1yo/edit?usp=sharing"",""กำแพงเพชร!J164"")"),0)</f>
        <v>0</v>
      </c>
      <c r="K244" s="163">
        <f ca="1">IF(I244&gt;0,J244*100/I244,0)</f>
        <v>0</v>
      </c>
      <c r="L244" s="181"/>
      <c r="M244" s="181"/>
      <c r="N244" s="181"/>
      <c r="O244" s="181"/>
      <c r="P244" s="181"/>
    </row>
    <row r="245" spans="1:16" ht="21.75" customHeight="1" x14ac:dyDescent="0.3">
      <c r="A245" s="175"/>
      <c r="B245" s="176"/>
      <c r="C245" s="176"/>
      <c r="D245" s="193"/>
      <c r="E245" s="194" t="s">
        <v>54</v>
      </c>
      <c r="F245" s="195"/>
      <c r="G245" s="196"/>
      <c r="H245" s="186"/>
      <c r="I245" s="187"/>
      <c r="J245" s="187">
        <f ca="1">IFERROR(__xludf.DUMMYFUNCTION("IMPORTRANGE(""https://docs.google.com/spreadsheets/d/11923uPwbBZFjjGgGUA6NLw09EwE0CqkOc4q9oUmW1yo/edit?usp=sharing"",""กำแพงเพชร!J165"")"),0)</f>
        <v>0</v>
      </c>
      <c r="K245" s="163"/>
      <c r="L245" s="181"/>
      <c r="M245" s="181"/>
      <c r="N245" s="181"/>
      <c r="O245" s="181"/>
      <c r="P245" s="181"/>
    </row>
    <row r="246" spans="1:16" ht="21.75" customHeight="1" x14ac:dyDescent="0.3">
      <c r="A246" s="233"/>
      <c r="B246" s="234"/>
      <c r="C246" s="234"/>
      <c r="D246" s="235">
        <v>3</v>
      </c>
      <c r="E246" s="236" t="s">
        <v>55</v>
      </c>
      <c r="F246" s="237"/>
      <c r="G246" s="238"/>
      <c r="H246" s="239"/>
      <c r="I246" s="240"/>
      <c r="J246" s="241">
        <f ca="1">IFERROR(__xludf.DUMMYFUNCTION("IMPORTRANGE(""https://docs.google.com/spreadsheets/d/11923uPwbBZFjjGgGUA6NLw09EwE0CqkOc4q9oUmW1yo/edit?usp=sharing"",""กำแพงเพชร!J166"")"),0)</f>
        <v>0</v>
      </c>
      <c r="K246" s="286"/>
      <c r="L246" s="244"/>
      <c r="M246" s="244"/>
      <c r="N246" s="244"/>
      <c r="O246" s="244"/>
      <c r="P246" s="244"/>
    </row>
    <row r="247" spans="1:16" ht="21.75" customHeight="1" x14ac:dyDescent="0.3">
      <c r="A247" s="293" t="s">
        <v>102</v>
      </c>
      <c r="B247" s="294"/>
      <c r="C247" s="294"/>
      <c r="D247" s="294"/>
      <c r="E247" s="295"/>
      <c r="F247" s="295"/>
      <c r="G247" s="296"/>
      <c r="H247" s="297"/>
      <c r="I247" s="298"/>
      <c r="J247" s="298"/>
      <c r="K247" s="299"/>
      <c r="L247" s="300"/>
      <c r="M247" s="300"/>
      <c r="N247" s="300"/>
      <c r="O247" s="301"/>
      <c r="P247" s="301"/>
    </row>
    <row r="248" spans="1:16" ht="21.75" customHeight="1" x14ac:dyDescent="0.3">
      <c r="A248" s="302" t="s">
        <v>103</v>
      </c>
      <c r="B248" s="303"/>
      <c r="C248" s="303"/>
      <c r="D248" s="304"/>
      <c r="E248" s="304"/>
      <c r="F248" s="304"/>
      <c r="G248" s="305"/>
      <c r="H248" s="306"/>
      <c r="I248" s="307"/>
      <c r="J248" s="307"/>
      <c r="K248" s="308"/>
      <c r="L248" s="308"/>
      <c r="M248" s="308"/>
      <c r="N248" s="308"/>
      <c r="O248" s="309"/>
      <c r="P248" s="309"/>
    </row>
    <row r="249" spans="1:16" ht="21.75" customHeight="1" x14ac:dyDescent="0.3">
      <c r="A249" s="310"/>
      <c r="B249" s="311" t="s">
        <v>104</v>
      </c>
      <c r="C249" s="311"/>
      <c r="D249" s="311"/>
      <c r="E249" s="311"/>
      <c r="F249" s="311"/>
      <c r="G249" s="312"/>
      <c r="H249" s="313" t="s">
        <v>37</v>
      </c>
      <c r="I249" s="314">
        <f ca="1">IFERROR(__xludf.DUMMYFUNCTION("IMPORTRANGE(""https://docs.google.com/spreadsheets/d/11923uPwbBZFjjGgGUA6NLw09EwE0CqkOc4q9oUmW1yo/edit?usp=sharing"",""กำแพงเพชร!I169"")"),0)</f>
        <v>0</v>
      </c>
      <c r="J249" s="314">
        <f ca="1">IFERROR(__xludf.DUMMYFUNCTION("IMPORTRANGE(""https://docs.google.com/spreadsheets/d/11923uPwbBZFjjGgGUA6NLw09EwE0CqkOc4q9oUmW1yo/edit?usp=sharing"",""กำแพงเพชร!J169"")"),0)</f>
        <v>0</v>
      </c>
      <c r="K249" s="315">
        <f ca="1">IF(I249&gt;0,J249*100/I249,0)</f>
        <v>0</v>
      </c>
      <c r="L249" s="316"/>
      <c r="M249" s="316"/>
      <c r="N249" s="316"/>
      <c r="O249" s="315"/>
      <c r="P249" s="315"/>
    </row>
    <row r="250" spans="1:16" ht="21.75" customHeight="1" x14ac:dyDescent="0.45">
      <c r="A250" s="145"/>
      <c r="B250" s="146"/>
      <c r="C250" s="147" t="s">
        <v>16</v>
      </c>
      <c r="D250" s="537" t="s">
        <v>17</v>
      </c>
      <c r="E250" s="528"/>
      <c r="F250" s="528"/>
      <c r="G250" s="528"/>
      <c r="H250" s="148" t="s">
        <v>12</v>
      </c>
      <c r="I250" s="162"/>
      <c r="J250" s="162"/>
      <c r="K250" s="163"/>
      <c r="L250" s="151">
        <f t="shared" ref="L250:N250" ca="1" si="77">L251+L252</f>
        <v>0</v>
      </c>
      <c r="M250" s="151">
        <f t="shared" ca="1" si="77"/>
        <v>0</v>
      </c>
      <c r="N250" s="151">
        <f t="shared" ca="1" si="77"/>
        <v>0</v>
      </c>
      <c r="O250" s="150">
        <f t="shared" ref="O250:O252" ca="1" si="78">IF(L250&gt;0,N250*100/L250,0)</f>
        <v>0</v>
      </c>
      <c r="P250" s="150">
        <f t="shared" ref="P250:P252" ca="1" si="79">IF(M250&gt;0,N250*100/M250,0)</f>
        <v>0</v>
      </c>
    </row>
    <row r="251" spans="1:16" ht="21.75" customHeight="1" x14ac:dyDescent="0.45">
      <c r="A251" s="152"/>
      <c r="B251" s="32"/>
      <c r="C251" s="32"/>
      <c r="D251" s="32"/>
      <c r="E251" s="32"/>
      <c r="F251" s="32"/>
      <c r="G251" s="33" t="s">
        <v>18</v>
      </c>
      <c r="H251" s="153" t="s">
        <v>12</v>
      </c>
      <c r="I251" s="162"/>
      <c r="J251" s="162"/>
      <c r="K251" s="163"/>
      <c r="L251" s="87">
        <f t="shared" ref="L251:N251" si="80">L253+L257</f>
        <v>0</v>
      </c>
      <c r="M251" s="87">
        <f t="shared" si="80"/>
        <v>0</v>
      </c>
      <c r="N251" s="87">
        <f t="shared" si="80"/>
        <v>0</v>
      </c>
      <c r="O251" s="155">
        <f t="shared" si="78"/>
        <v>0</v>
      </c>
      <c r="P251" s="155">
        <f t="shared" si="79"/>
        <v>0</v>
      </c>
    </row>
    <row r="252" spans="1:16" ht="21.75" customHeight="1" x14ac:dyDescent="0.45">
      <c r="A252" s="152"/>
      <c r="B252" s="32"/>
      <c r="C252" s="32"/>
      <c r="D252" s="32"/>
      <c r="E252" s="32"/>
      <c r="F252" s="32"/>
      <c r="G252" s="33" t="s">
        <v>19</v>
      </c>
      <c r="H252" s="153" t="s">
        <v>12</v>
      </c>
      <c r="I252" s="162"/>
      <c r="J252" s="162"/>
      <c r="K252" s="163"/>
      <c r="L252" s="87">
        <f t="shared" ref="L252:N252" ca="1" si="81">L254+L258</f>
        <v>0</v>
      </c>
      <c r="M252" s="87">
        <f t="shared" ca="1" si="81"/>
        <v>0</v>
      </c>
      <c r="N252" s="87">
        <f t="shared" ca="1" si="81"/>
        <v>0</v>
      </c>
      <c r="O252" s="155">
        <f t="shared" ca="1" si="78"/>
        <v>0</v>
      </c>
      <c r="P252" s="155">
        <f t="shared" ca="1" si="79"/>
        <v>0</v>
      </c>
    </row>
    <row r="253" spans="1:16" ht="21.75" customHeight="1" x14ac:dyDescent="0.3">
      <c r="A253" s="156"/>
      <c r="B253" s="157"/>
      <c r="C253" s="157" t="s">
        <v>16</v>
      </c>
      <c r="D253" s="158" t="s">
        <v>38</v>
      </c>
      <c r="E253" s="159"/>
      <c r="F253" s="159"/>
      <c r="G253" s="160" t="s">
        <v>39</v>
      </c>
      <c r="H253" s="161" t="s">
        <v>12</v>
      </c>
      <c r="I253" s="162" t="s">
        <v>40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3">
      <c r="A254" s="156"/>
      <c r="B254" s="157"/>
      <c r="C254" s="157"/>
      <c r="D254" s="166"/>
      <c r="E254" s="159"/>
      <c r="F254" s="159" t="s">
        <v>40</v>
      </c>
      <c r="G254" s="160" t="s">
        <v>41</v>
      </c>
      <c r="H254" s="161" t="s">
        <v>12</v>
      </c>
      <c r="I254" s="162"/>
      <c r="J254" s="162"/>
      <c r="K254" s="163"/>
      <c r="L254" s="167">
        <f ca="1">L255+L256</f>
        <v>0</v>
      </c>
      <c r="M254" s="167">
        <f ca="1">IFERROR(__xludf.DUMMYFUNCTION("IMPORTRANGE(""https://docs.google.com/spreadsheets/d/1Yj_ptqi66GCucihVvJfMjLAmec39IyEx_6qawtMGysU/edit?usp=sharing"",""สบก!CB20"")"),0)</f>
        <v>0</v>
      </c>
      <c r="N254" s="168">
        <f ca="1">IFERROR(__xludf.DUMMYFUNCTION("IMPORTRANGE(""https://docs.google.com/spreadsheets/d/1Yj_ptqi66GCucihVvJfMjLAmec39IyEx_6qawtMGysU/edit?usp=sharing"",""สบก!CC20"")"),0)</f>
        <v>0</v>
      </c>
      <c r="O254" s="168">
        <f ca="1">IF(L254&gt;0,N254*100/L254,0)</f>
        <v>0</v>
      </c>
      <c r="P254" s="168">
        <f ca="1">IF(M254&gt;0,N254*100/M254,0)</f>
        <v>0</v>
      </c>
    </row>
    <row r="255" spans="1:16" ht="21.75" customHeight="1" x14ac:dyDescent="0.3">
      <c r="A255" s="156"/>
      <c r="B255" s="157"/>
      <c r="C255" s="157"/>
      <c r="D255" s="166"/>
      <c r="E255" s="159"/>
      <c r="F255" s="159"/>
      <c r="G255" s="169" t="s">
        <v>42</v>
      </c>
      <c r="H255" s="161" t="s">
        <v>12</v>
      </c>
      <c r="I255" s="162"/>
      <c r="J255" s="162"/>
      <c r="K255" s="163"/>
      <c r="L255" s="167">
        <f ca="1">IFERROR(__xludf.DUMMYFUNCTION("IMPORTRANGE(""https://docs.google.com/spreadsheets/d/1Yj_ptqi66GCucihVvJfMjLAmec39IyEx_6qawtMGysU/edit?usp=sharing"",""สบก!BX20"")"),0)</f>
        <v>0</v>
      </c>
      <c r="M255" s="167"/>
      <c r="N255" s="167"/>
      <c r="O255" s="168"/>
      <c r="P255" s="168"/>
    </row>
    <row r="256" spans="1:16" ht="21.75" customHeight="1" x14ac:dyDescent="0.3">
      <c r="A256" s="156"/>
      <c r="B256" s="157"/>
      <c r="C256" s="157"/>
      <c r="D256" s="166"/>
      <c r="E256" s="159"/>
      <c r="F256" s="159"/>
      <c r="G256" s="169" t="s">
        <v>43</v>
      </c>
      <c r="H256" s="161" t="s">
        <v>12</v>
      </c>
      <c r="I256" s="162"/>
      <c r="J256" s="162"/>
      <c r="K256" s="163"/>
      <c r="L256" s="167">
        <f ca="1">IFERROR(__xludf.DUMMYFUNCTION("IMPORTRANGE(""https://docs.google.com/spreadsheets/d/1Yj_ptqi66GCucihVvJfMjLAmec39IyEx_6qawtMGysU/edit?usp=sharing"",""สบก!BY20"")"),0)</f>
        <v>0</v>
      </c>
      <c r="M256" s="167"/>
      <c r="N256" s="167"/>
      <c r="O256" s="168"/>
      <c r="P256" s="168"/>
    </row>
    <row r="257" spans="1:16" ht="21.75" customHeight="1" x14ac:dyDescent="0.45">
      <c r="A257" s="170"/>
      <c r="B257" s="80"/>
      <c r="C257" s="81" t="s">
        <v>16</v>
      </c>
      <c r="D257" s="534" t="s">
        <v>23</v>
      </c>
      <c r="E257" s="530"/>
      <c r="F257" s="88"/>
      <c r="G257" s="82" t="s">
        <v>18</v>
      </c>
      <c r="H257" s="171" t="s">
        <v>12</v>
      </c>
      <c r="I257" s="162"/>
      <c r="J257" s="162"/>
      <c r="K257" s="163"/>
      <c r="L257" s="41">
        <v>0</v>
      </c>
      <c r="M257" s="41"/>
      <c r="N257" s="41"/>
      <c r="O257" s="41"/>
      <c r="P257" s="41"/>
    </row>
    <row r="258" spans="1:16" ht="21.75" customHeight="1" x14ac:dyDescent="0.45">
      <c r="A258" s="172"/>
      <c r="B258" s="91"/>
      <c r="C258" s="91"/>
      <c r="D258" s="173"/>
      <c r="E258" s="92"/>
      <c r="F258" s="92"/>
      <c r="G258" s="93" t="s">
        <v>19</v>
      </c>
      <c r="H258" s="174" t="s">
        <v>12</v>
      </c>
      <c r="I258" s="162"/>
      <c r="J258" s="162"/>
      <c r="K258" s="163"/>
      <c r="L258" s="49">
        <f ca="1">IFERROR(__xludf.DUMMYFUNCTION("IMPORTRANGE(""https://docs.google.com/spreadsheets/d/1Yj_ptqi66GCucihVvJfMjLAmec39IyEx_6qawtMGysU/edit?usp=sharing"",""สบก!BZ20"")"),0)</f>
        <v>0</v>
      </c>
      <c r="M258" s="49"/>
      <c r="N258" s="49">
        <f ca="1">IFERROR(__xludf.DUMMYFUNCTION("IMPORTRANGE(""https://docs.google.com/spreadsheets/d/1Yj_ptqi66GCucihVvJfMjLAmec39IyEx_6qawtMGysU/edit?usp=sharing"",""สบก!CD20"")"),0)</f>
        <v>0</v>
      </c>
      <c r="O258" s="49">
        <f ca="1">IF(L258&gt;0,N258*100/L258,0)</f>
        <v>0</v>
      </c>
      <c r="P258" s="49"/>
    </row>
    <row r="259" spans="1:16" ht="21.75" customHeight="1" x14ac:dyDescent="0.3">
      <c r="A259" s="175"/>
      <c r="B259" s="176"/>
      <c r="C259" s="157" t="s">
        <v>16</v>
      </c>
      <c r="D259" s="177" t="s">
        <v>44</v>
      </c>
      <c r="E259" s="178"/>
      <c r="F259" s="178"/>
      <c r="G259" s="179"/>
      <c r="H259" s="180"/>
      <c r="I259" s="162"/>
      <c r="J259" s="162"/>
      <c r="K259" s="163"/>
      <c r="L259" s="181"/>
      <c r="M259" s="181"/>
      <c r="N259" s="181"/>
      <c r="O259" s="181"/>
      <c r="P259" s="181"/>
    </row>
    <row r="260" spans="1:16" ht="21.75" customHeight="1" x14ac:dyDescent="0.3">
      <c r="A260" s="175"/>
      <c r="B260" s="176"/>
      <c r="C260" s="176"/>
      <c r="D260" s="182">
        <v>1</v>
      </c>
      <c r="E260" s="183" t="s">
        <v>45</v>
      </c>
      <c r="F260" s="184"/>
      <c r="G260" s="185"/>
      <c r="H260" s="186"/>
      <c r="I260" s="187"/>
      <c r="J260" s="188">
        <f ca="1">IFERROR(__xludf.DUMMYFUNCTION("IMPORTRANGE(""https://docs.google.com/spreadsheets/d/11923uPwbBZFjjGgGUA6NLw09EwE0CqkOc4q9oUmW1yo/edit?usp=sharing"",""กำแพงเพชร!J175"")"),0)</f>
        <v>0</v>
      </c>
      <c r="K260" s="163"/>
      <c r="L260" s="181"/>
      <c r="M260" s="181"/>
      <c r="N260" s="181"/>
      <c r="O260" s="181"/>
      <c r="P260" s="181"/>
    </row>
    <row r="261" spans="1:16" ht="21.75" customHeight="1" x14ac:dyDescent="0.3">
      <c r="A261" s="175"/>
      <c r="B261" s="176"/>
      <c r="C261" s="176"/>
      <c r="D261" s="189">
        <v>2</v>
      </c>
      <c r="E261" s="190" t="s">
        <v>46</v>
      </c>
      <c r="F261" s="191"/>
      <c r="G261" s="192"/>
      <c r="H261" s="186"/>
      <c r="I261" s="187"/>
      <c r="J261" s="197">
        <f ca="1">IFERROR(__xludf.DUMMYFUNCTION("IMPORTRANGE(""https://docs.google.com/spreadsheets/d/11923uPwbBZFjjGgGUA6NLw09EwE0CqkOc4q9oUmW1yo/edit?usp=sharing"",""กำแพงเพชร!J176"")"),0)</f>
        <v>0</v>
      </c>
      <c r="K261" s="163"/>
      <c r="L261" s="181" t="s">
        <v>40</v>
      </c>
      <c r="M261" s="181"/>
      <c r="N261" s="181" t="s">
        <v>40</v>
      </c>
      <c r="O261" s="181"/>
      <c r="P261" s="181"/>
    </row>
    <row r="262" spans="1:16" ht="21.75" customHeight="1" x14ac:dyDescent="0.3">
      <c r="A262" s="175"/>
      <c r="B262" s="176"/>
      <c r="C262" s="176"/>
      <c r="D262" s="193"/>
      <c r="E262" s="194" t="s">
        <v>47</v>
      </c>
      <c r="F262" s="195"/>
      <c r="G262" s="196"/>
      <c r="H262" s="186"/>
      <c r="I262" s="187"/>
      <c r="J262" s="197">
        <f ca="1">IFERROR(__xludf.DUMMYFUNCTION("IMPORTRANGE(""https://docs.google.com/spreadsheets/d/11923uPwbBZFjjGgGUA6NLw09EwE0CqkOc4q9oUmW1yo/edit?usp=sharing"",""กำแพงเพชร!J177"")"),0)</f>
        <v>0</v>
      </c>
      <c r="K262" s="163"/>
      <c r="L262" s="181"/>
      <c r="M262" s="181"/>
      <c r="N262" s="181"/>
      <c r="O262" s="181"/>
      <c r="P262" s="181"/>
    </row>
    <row r="263" spans="1:16" ht="21.75" customHeight="1" x14ac:dyDescent="0.3">
      <c r="A263" s="175"/>
      <c r="B263" s="176"/>
      <c r="C263" s="176"/>
      <c r="D263" s="193"/>
      <c r="E263" s="194" t="s">
        <v>48</v>
      </c>
      <c r="F263" s="195"/>
      <c r="G263" s="196"/>
      <c r="H263" s="186"/>
      <c r="I263" s="187"/>
      <c r="J263" s="197">
        <f ca="1">IFERROR(__xludf.DUMMYFUNCTION("IMPORTRANGE(""https://docs.google.com/spreadsheets/d/11923uPwbBZFjjGgGUA6NLw09EwE0CqkOc4q9oUmW1yo/edit?usp=sharing"",""กำแพงเพชร!J178"")"),0)</f>
        <v>0</v>
      </c>
      <c r="K263" s="163"/>
      <c r="L263" s="181"/>
      <c r="M263" s="181"/>
      <c r="N263" s="181"/>
      <c r="O263" s="181"/>
      <c r="P263" s="181"/>
    </row>
    <row r="264" spans="1:16" ht="21.75" customHeight="1" x14ac:dyDescent="0.3">
      <c r="A264" s="175"/>
      <c r="B264" s="176"/>
      <c r="C264" s="176"/>
      <c r="D264" s="193"/>
      <c r="E264" s="198"/>
      <c r="F264" s="194" t="s">
        <v>105</v>
      </c>
      <c r="G264" s="196"/>
      <c r="H264" s="180" t="s">
        <v>59</v>
      </c>
      <c r="I264" s="187">
        <f ca="1">IFERROR(__xludf.DUMMYFUNCTION("IMPORTRANGE(""https://docs.google.com/spreadsheets/d/11923uPwbBZFjjGgGUA6NLw09EwE0CqkOc4q9oUmW1yo/edit?usp=sharing"",""กำแพงเพชร!I179"")"),0)</f>
        <v>0</v>
      </c>
      <c r="J264" s="188">
        <f ca="1">IFERROR(__xludf.DUMMYFUNCTION("IMPORTRANGE(""https://docs.google.com/spreadsheets/d/11923uPwbBZFjjGgGUA6NLw09EwE0CqkOc4q9oUmW1yo/edit?usp=sharing"",""กำแพงเพชร!J179"")"),0)</f>
        <v>0</v>
      </c>
      <c r="K264" s="163">
        <f t="shared" ref="K264:K267" ca="1" si="82">IF(I264&gt;0,J264*100/I264,0)</f>
        <v>0</v>
      </c>
      <c r="L264" s="181"/>
      <c r="M264" s="181"/>
      <c r="N264" s="181"/>
      <c r="O264" s="181"/>
      <c r="P264" s="181"/>
    </row>
    <row r="265" spans="1:16" ht="21.75" customHeight="1" x14ac:dyDescent="0.3">
      <c r="A265" s="175"/>
      <c r="B265" s="176"/>
      <c r="C265" s="176"/>
      <c r="D265" s="193"/>
      <c r="E265" s="198"/>
      <c r="F265" s="194" t="s">
        <v>106</v>
      </c>
      <c r="G265" s="196"/>
      <c r="H265" s="180" t="s">
        <v>37</v>
      </c>
      <c r="I265" s="187">
        <f ca="1">IFERROR(__xludf.DUMMYFUNCTION("IMPORTRANGE(""https://docs.google.com/spreadsheets/d/11923uPwbBZFjjGgGUA6NLw09EwE0CqkOc4q9oUmW1yo/edit?usp=sharing"",""กำแพงเพชร!I180"")"),0)</f>
        <v>0</v>
      </c>
      <c r="J265" s="188">
        <f ca="1">IFERROR(__xludf.DUMMYFUNCTION("IMPORTRANGE(""https://docs.google.com/spreadsheets/d/11923uPwbBZFjjGgGUA6NLw09EwE0CqkOc4q9oUmW1yo/edit?usp=sharing"",""กำแพงเพชร!J180"")"),0)</f>
        <v>0</v>
      </c>
      <c r="K265" s="163">
        <f t="shared" ca="1" si="82"/>
        <v>0</v>
      </c>
      <c r="L265" s="181"/>
      <c r="M265" s="181"/>
      <c r="N265" s="181"/>
      <c r="O265" s="181"/>
      <c r="P265" s="181"/>
    </row>
    <row r="266" spans="1:16" ht="21.75" customHeight="1" x14ac:dyDescent="0.3">
      <c r="A266" s="175"/>
      <c r="B266" s="176"/>
      <c r="C266" s="176"/>
      <c r="D266" s="193"/>
      <c r="E266" s="198"/>
      <c r="F266" s="194" t="s">
        <v>107</v>
      </c>
      <c r="G266" s="196"/>
      <c r="H266" s="180" t="s">
        <v>37</v>
      </c>
      <c r="I266" s="187">
        <f ca="1">IFERROR(__xludf.DUMMYFUNCTION("IMPORTRANGE(""https://docs.google.com/spreadsheets/d/11923uPwbBZFjjGgGUA6NLw09EwE0CqkOc4q9oUmW1yo/edit?usp=sharing"",""กำแพงเพชร!I181"")"),0)</f>
        <v>0</v>
      </c>
      <c r="J266" s="188">
        <f ca="1">IFERROR(__xludf.DUMMYFUNCTION("IMPORTRANGE(""https://docs.google.com/spreadsheets/d/11923uPwbBZFjjGgGUA6NLw09EwE0CqkOc4q9oUmW1yo/edit?usp=sharing"",""กำแพงเพชร!J181"")"),0)</f>
        <v>0</v>
      </c>
      <c r="K266" s="163">
        <f t="shared" ca="1" si="82"/>
        <v>0</v>
      </c>
      <c r="L266" s="181"/>
      <c r="M266" s="181"/>
      <c r="N266" s="181"/>
      <c r="O266" s="181"/>
      <c r="P266" s="181"/>
    </row>
    <row r="267" spans="1:16" ht="21.75" customHeight="1" x14ac:dyDescent="0.3">
      <c r="A267" s="175"/>
      <c r="B267" s="176"/>
      <c r="C267" s="176"/>
      <c r="D267" s="193"/>
      <c r="E267" s="198"/>
      <c r="F267" s="194" t="s">
        <v>108</v>
      </c>
      <c r="G267" s="196"/>
      <c r="H267" s="180" t="s">
        <v>37</v>
      </c>
      <c r="I267" s="187">
        <f ca="1">IFERROR(__xludf.DUMMYFUNCTION("IMPORTRANGE(""https://docs.google.com/spreadsheets/d/11923uPwbBZFjjGgGUA6NLw09EwE0CqkOc4q9oUmW1yo/edit?usp=sharing"",""กำแพงเพชร!I182"")"),0)</f>
        <v>0</v>
      </c>
      <c r="J267" s="188">
        <f ca="1">IFERROR(__xludf.DUMMYFUNCTION("IMPORTRANGE(""https://docs.google.com/spreadsheets/d/11923uPwbBZFjjGgGUA6NLw09EwE0CqkOc4q9oUmW1yo/edit?usp=sharing"",""กำแพงเพชร!J182"")"),0)</f>
        <v>0</v>
      </c>
      <c r="K267" s="163">
        <f t="shared" ca="1" si="82"/>
        <v>0</v>
      </c>
      <c r="L267" s="181"/>
      <c r="M267" s="181"/>
      <c r="N267" s="181"/>
      <c r="O267" s="181"/>
      <c r="P267" s="181"/>
    </row>
    <row r="268" spans="1:16" ht="21.75" customHeight="1" x14ac:dyDescent="0.3">
      <c r="A268" s="175"/>
      <c r="B268" s="176"/>
      <c r="C268" s="176"/>
      <c r="D268" s="193"/>
      <c r="E268" s="194" t="s">
        <v>54</v>
      </c>
      <c r="F268" s="195"/>
      <c r="G268" s="196"/>
      <c r="H268" s="186"/>
      <c r="I268" s="187"/>
      <c r="J268" s="197">
        <f ca="1">IFERROR(__xludf.DUMMYFUNCTION("IMPORTRANGE(""https://docs.google.com/spreadsheets/d/11923uPwbBZFjjGgGUA6NLw09EwE0CqkOc4q9oUmW1yo/edit?usp=sharing"",""กำแพงเพชร!J183"")"),0)</f>
        <v>0</v>
      </c>
      <c r="K268" s="163"/>
      <c r="L268" s="181"/>
      <c r="M268" s="181"/>
      <c r="N268" s="181"/>
      <c r="O268" s="181"/>
      <c r="P268" s="181"/>
    </row>
    <row r="269" spans="1:16" ht="21.75" customHeight="1" x14ac:dyDescent="0.3">
      <c r="A269" s="233"/>
      <c r="B269" s="234"/>
      <c r="C269" s="234"/>
      <c r="D269" s="235">
        <v>3</v>
      </c>
      <c r="E269" s="236" t="s">
        <v>55</v>
      </c>
      <c r="F269" s="237"/>
      <c r="G269" s="238"/>
      <c r="H269" s="239"/>
      <c r="I269" s="240"/>
      <c r="J269" s="285">
        <f ca="1">IFERROR(__xludf.DUMMYFUNCTION("IMPORTRANGE(""https://docs.google.com/spreadsheets/d/11923uPwbBZFjjGgGUA6NLw09EwE0CqkOc4q9oUmW1yo/edit?usp=sharing"",""กำแพงเพชร!J184"")"),0)</f>
        <v>0</v>
      </c>
      <c r="K269" s="286"/>
      <c r="L269" s="244"/>
      <c r="M269" s="244"/>
      <c r="N269" s="244"/>
      <c r="O269" s="244"/>
      <c r="P269" s="244"/>
    </row>
    <row r="270" spans="1:16" ht="21.75" customHeight="1" x14ac:dyDescent="0.3">
      <c r="A270" s="310"/>
      <c r="B270" s="311" t="s">
        <v>109</v>
      </c>
      <c r="C270" s="311"/>
      <c r="D270" s="311"/>
      <c r="E270" s="311"/>
      <c r="F270" s="311"/>
      <c r="G270" s="312"/>
      <c r="H270" s="313" t="s">
        <v>37</v>
      </c>
      <c r="I270" s="314">
        <f ca="1">IFERROR(__xludf.DUMMYFUNCTION("IMPORTRANGE(""https://docs.google.com/spreadsheets/d/11923uPwbBZFjjGgGUA6NLw09EwE0CqkOc4q9oUmW1yo/edit?usp=sharing"",""กำแพงเพชร!I185"")"),15)</f>
        <v>15</v>
      </c>
      <c r="J270" s="314">
        <f ca="1">IFERROR(__xludf.DUMMYFUNCTION("IMPORTRANGE(""https://docs.google.com/spreadsheets/d/11923uPwbBZFjjGgGUA6NLw09EwE0CqkOc4q9oUmW1yo/edit?usp=sharing"",""กำแพงเพชร!J185"")"),15)</f>
        <v>15</v>
      </c>
      <c r="K270" s="315">
        <f ca="1">IF(I270&gt;0,J270*100/I270,0)</f>
        <v>100</v>
      </c>
      <c r="L270" s="316"/>
      <c r="M270" s="316"/>
      <c r="N270" s="316"/>
      <c r="O270" s="315"/>
      <c r="P270" s="315"/>
    </row>
    <row r="271" spans="1:16" ht="21.75" customHeight="1" x14ac:dyDescent="0.45">
      <c r="A271" s="145"/>
      <c r="B271" s="146"/>
      <c r="C271" s="147" t="s">
        <v>16</v>
      </c>
      <c r="D271" s="537" t="s">
        <v>17</v>
      </c>
      <c r="E271" s="528"/>
      <c r="F271" s="528"/>
      <c r="G271" s="528"/>
      <c r="H271" s="148" t="s">
        <v>12</v>
      </c>
      <c r="I271" s="162"/>
      <c r="J271" s="162"/>
      <c r="K271" s="163"/>
      <c r="L271" s="151">
        <f t="shared" ref="L271:N271" ca="1" si="83">L272+L273</f>
        <v>319200</v>
      </c>
      <c r="M271" s="151">
        <f t="shared" ca="1" si="83"/>
        <v>164250</v>
      </c>
      <c r="N271" s="151">
        <f t="shared" ca="1" si="83"/>
        <v>85700</v>
      </c>
      <c r="O271" s="150">
        <f t="shared" ref="O271:O273" ca="1" si="84">IF(L271&gt;0,N271*100/L271,0)</f>
        <v>26.848370927318296</v>
      </c>
      <c r="P271" s="150">
        <f t="shared" ref="P271:P273" ca="1" si="85">IF(M271&gt;0,N271*100/M271,0)</f>
        <v>52.176560121765604</v>
      </c>
    </row>
    <row r="272" spans="1:16" ht="21.75" customHeight="1" x14ac:dyDescent="0.45">
      <c r="A272" s="152"/>
      <c r="B272" s="32"/>
      <c r="C272" s="32"/>
      <c r="D272" s="32"/>
      <c r="E272" s="32"/>
      <c r="F272" s="32"/>
      <c r="G272" s="33" t="s">
        <v>18</v>
      </c>
      <c r="H272" s="153" t="s">
        <v>12</v>
      </c>
      <c r="I272" s="162"/>
      <c r="J272" s="162"/>
      <c r="K272" s="163"/>
      <c r="L272" s="87">
        <f t="shared" ref="L272:N272" si="86">L274+L278</f>
        <v>0</v>
      </c>
      <c r="M272" s="87">
        <f t="shared" si="86"/>
        <v>0</v>
      </c>
      <c r="N272" s="87">
        <f t="shared" si="86"/>
        <v>0</v>
      </c>
      <c r="O272" s="155">
        <f t="shared" si="84"/>
        <v>0</v>
      </c>
      <c r="P272" s="155">
        <f t="shared" si="85"/>
        <v>0</v>
      </c>
    </row>
    <row r="273" spans="1:16" ht="21.75" customHeight="1" x14ac:dyDescent="0.45">
      <c r="A273" s="152"/>
      <c r="B273" s="32"/>
      <c r="C273" s="32"/>
      <c r="D273" s="32"/>
      <c r="E273" s="32"/>
      <c r="F273" s="32"/>
      <c r="G273" s="33" t="s">
        <v>19</v>
      </c>
      <c r="H273" s="153" t="s">
        <v>12</v>
      </c>
      <c r="I273" s="162"/>
      <c r="J273" s="162"/>
      <c r="K273" s="163"/>
      <c r="L273" s="87">
        <f t="shared" ref="L273:N273" ca="1" si="87">L275+L279</f>
        <v>319200</v>
      </c>
      <c r="M273" s="87">
        <f t="shared" ca="1" si="87"/>
        <v>164250</v>
      </c>
      <c r="N273" s="87">
        <f t="shared" ca="1" si="87"/>
        <v>85700</v>
      </c>
      <c r="O273" s="155">
        <f t="shared" ca="1" si="84"/>
        <v>26.848370927318296</v>
      </c>
      <c r="P273" s="155">
        <f t="shared" ca="1" si="85"/>
        <v>52.176560121765604</v>
      </c>
    </row>
    <row r="274" spans="1:16" ht="21.75" customHeight="1" x14ac:dyDescent="0.3">
      <c r="A274" s="156"/>
      <c r="B274" s="157"/>
      <c r="C274" s="157" t="s">
        <v>16</v>
      </c>
      <c r="D274" s="158" t="s">
        <v>38</v>
      </c>
      <c r="E274" s="159"/>
      <c r="F274" s="159"/>
      <c r="G274" s="160" t="s">
        <v>39</v>
      </c>
      <c r="H274" s="161" t="s">
        <v>12</v>
      </c>
      <c r="I274" s="162" t="s">
        <v>40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3">
      <c r="A275" s="156"/>
      <c r="B275" s="157"/>
      <c r="C275" s="157"/>
      <c r="D275" s="166"/>
      <c r="E275" s="159"/>
      <c r="F275" s="159" t="s">
        <v>40</v>
      </c>
      <c r="G275" s="160" t="s">
        <v>41</v>
      </c>
      <c r="H275" s="161" t="s">
        <v>12</v>
      </c>
      <c r="I275" s="162"/>
      <c r="J275" s="162"/>
      <c r="K275" s="163"/>
      <c r="L275" s="167">
        <f ca="1">L276+L277</f>
        <v>319200</v>
      </c>
      <c r="M275" s="167">
        <f ca="1">IFERROR(__xludf.DUMMYFUNCTION("IMPORTRANGE(""https://docs.google.com/spreadsheets/d/1Yj_ptqi66GCucihVvJfMjLAmec39IyEx_6qawtMGysU/edit?usp=sharing"",""สบก!CK20"")"),164250)</f>
        <v>164250</v>
      </c>
      <c r="N275" s="168">
        <f ca="1">IFERROR(__xludf.DUMMYFUNCTION("IMPORTRANGE(""https://docs.google.com/spreadsheets/d/1Yj_ptqi66GCucihVvJfMjLAmec39IyEx_6qawtMGysU/edit?usp=sharing"",""สบก!CL20"")"),85700)</f>
        <v>85700</v>
      </c>
      <c r="O275" s="168">
        <f ca="1">IF(L275&gt;0,N275*100/L275,0)</f>
        <v>26.848370927318296</v>
      </c>
      <c r="P275" s="168">
        <f ca="1">IF(M275&gt;0,N275*100/M275,0)</f>
        <v>52.176560121765604</v>
      </c>
    </row>
    <row r="276" spans="1:16" ht="21.75" customHeight="1" x14ac:dyDescent="0.3">
      <c r="A276" s="156"/>
      <c r="B276" s="157"/>
      <c r="C276" s="157"/>
      <c r="D276" s="166"/>
      <c r="E276" s="159"/>
      <c r="F276" s="159"/>
      <c r="G276" s="169" t="s">
        <v>42</v>
      </c>
      <c r="H276" s="161" t="s">
        <v>12</v>
      </c>
      <c r="I276" s="162"/>
      <c r="J276" s="162"/>
      <c r="K276" s="163"/>
      <c r="L276" s="167">
        <f ca="1">IFERROR(__xludf.DUMMYFUNCTION("IMPORTRANGE(""https://docs.google.com/spreadsheets/d/1Yj_ptqi66GCucihVvJfMjLAmec39IyEx_6qawtMGysU/edit?usp=sharing"",""สบก!CG20"")"),264000)</f>
        <v>264000</v>
      </c>
      <c r="M276" s="167"/>
      <c r="N276" s="167"/>
      <c r="O276" s="168"/>
      <c r="P276" s="168"/>
    </row>
    <row r="277" spans="1:16" ht="21.75" customHeight="1" x14ac:dyDescent="0.3">
      <c r="A277" s="156"/>
      <c r="B277" s="157"/>
      <c r="C277" s="157"/>
      <c r="D277" s="166"/>
      <c r="E277" s="159"/>
      <c r="F277" s="159"/>
      <c r="G277" s="169" t="s">
        <v>43</v>
      </c>
      <c r="H277" s="161" t="s">
        <v>12</v>
      </c>
      <c r="I277" s="162"/>
      <c r="J277" s="162"/>
      <c r="K277" s="163"/>
      <c r="L277" s="167">
        <f ca="1">IFERROR(__xludf.DUMMYFUNCTION("IMPORTRANGE(""https://docs.google.com/spreadsheets/d/1Yj_ptqi66GCucihVvJfMjLAmec39IyEx_6qawtMGysU/edit?usp=sharing"",""สบก!CH20"")"),55200)</f>
        <v>55200</v>
      </c>
      <c r="M277" s="167"/>
      <c r="N277" s="167"/>
      <c r="O277" s="168"/>
      <c r="P277" s="168"/>
    </row>
    <row r="278" spans="1:16" ht="21.75" customHeight="1" x14ac:dyDescent="0.45">
      <c r="A278" s="170"/>
      <c r="B278" s="80"/>
      <c r="C278" s="81" t="s">
        <v>16</v>
      </c>
      <c r="D278" s="534" t="s">
        <v>23</v>
      </c>
      <c r="E278" s="530"/>
      <c r="F278" s="88"/>
      <c r="G278" s="82" t="s">
        <v>18</v>
      </c>
      <c r="H278" s="171" t="s">
        <v>12</v>
      </c>
      <c r="I278" s="162"/>
      <c r="J278" s="162"/>
      <c r="K278" s="163"/>
      <c r="L278" s="41">
        <v>0</v>
      </c>
      <c r="M278" s="41"/>
      <c r="N278" s="41"/>
      <c r="O278" s="41"/>
      <c r="P278" s="41"/>
    </row>
    <row r="279" spans="1:16" ht="21.75" customHeight="1" x14ac:dyDescent="0.45">
      <c r="A279" s="172"/>
      <c r="B279" s="91"/>
      <c r="C279" s="91"/>
      <c r="D279" s="173"/>
      <c r="E279" s="92"/>
      <c r="F279" s="92"/>
      <c r="G279" s="93" t="s">
        <v>19</v>
      </c>
      <c r="H279" s="174" t="s">
        <v>12</v>
      </c>
      <c r="I279" s="162"/>
      <c r="J279" s="162"/>
      <c r="K279" s="163"/>
      <c r="L279" s="49">
        <f ca="1">IFERROR(__xludf.DUMMYFUNCTION("IMPORTRANGE(""https://docs.google.com/spreadsheets/d/1Yj_ptqi66GCucihVvJfMjLAmec39IyEx_6qawtMGysU/edit?usp=sharing"",""สบก!CI20"")"),0)</f>
        <v>0</v>
      </c>
      <c r="M279" s="49"/>
      <c r="N279" s="49">
        <f ca="1">IFERROR(__xludf.DUMMYFUNCTION("IMPORTRANGE(""https://docs.google.com/spreadsheets/d/1Yj_ptqi66GCucihVvJfMjLAmec39IyEx_6qawtMGysU/edit?usp=sharing"",""สบก!CM20"")"),0)</f>
        <v>0</v>
      </c>
      <c r="O279" s="49">
        <f ca="1">IF(L279&gt;0,N279*100/L279,0)</f>
        <v>0</v>
      </c>
      <c r="P279" s="49"/>
    </row>
    <row r="280" spans="1:16" ht="21.75" customHeight="1" x14ac:dyDescent="0.3">
      <c r="A280" s="175"/>
      <c r="B280" s="176"/>
      <c r="C280" s="157" t="s">
        <v>16</v>
      </c>
      <c r="D280" s="177" t="s">
        <v>44</v>
      </c>
      <c r="E280" s="178"/>
      <c r="F280" s="178"/>
      <c r="G280" s="179"/>
      <c r="H280" s="180"/>
      <c r="I280" s="162"/>
      <c r="J280" s="162"/>
      <c r="K280" s="163"/>
      <c r="L280" s="181"/>
      <c r="M280" s="181"/>
      <c r="N280" s="181"/>
      <c r="O280" s="181"/>
      <c r="P280" s="181"/>
    </row>
    <row r="281" spans="1:16" ht="21.75" customHeight="1" x14ac:dyDescent="0.3">
      <c r="A281" s="175"/>
      <c r="B281" s="176"/>
      <c r="C281" s="176"/>
      <c r="D281" s="182">
        <v>1</v>
      </c>
      <c r="E281" s="183" t="s">
        <v>45</v>
      </c>
      <c r="F281" s="184"/>
      <c r="G281" s="185"/>
      <c r="H281" s="186"/>
      <c r="I281" s="187"/>
      <c r="J281" s="188">
        <f ca="1">IFERROR(__xludf.DUMMYFUNCTION("IMPORTRANGE(""https://docs.google.com/spreadsheets/d/11923uPwbBZFjjGgGUA6NLw09EwE0CqkOc4q9oUmW1yo/edit?usp=sharing"",""กำแพงเพชร!J191"")"),0)</f>
        <v>0</v>
      </c>
      <c r="K281" s="163"/>
      <c r="L281" s="181"/>
      <c r="M281" s="181"/>
      <c r="N281" s="181"/>
      <c r="O281" s="181"/>
      <c r="P281" s="181"/>
    </row>
    <row r="282" spans="1:16" ht="21.75" customHeight="1" x14ac:dyDescent="0.3">
      <c r="A282" s="175"/>
      <c r="B282" s="176"/>
      <c r="C282" s="176"/>
      <c r="D282" s="189">
        <v>2</v>
      </c>
      <c r="E282" s="190" t="s">
        <v>46</v>
      </c>
      <c r="F282" s="191"/>
      <c r="G282" s="192"/>
      <c r="H282" s="186"/>
      <c r="I282" s="187"/>
      <c r="J282" s="197">
        <f ca="1">IFERROR(__xludf.DUMMYFUNCTION("IMPORTRANGE(""https://docs.google.com/spreadsheets/d/11923uPwbBZFjjGgGUA6NLw09EwE0CqkOc4q9oUmW1yo/edit?usp=sharing"",""กำแพงเพชร!J192"")"),1)</f>
        <v>1</v>
      </c>
      <c r="K282" s="163"/>
      <c r="L282" s="181"/>
      <c r="M282" s="181"/>
      <c r="N282" s="181"/>
      <c r="O282" s="181"/>
      <c r="P282" s="181"/>
    </row>
    <row r="283" spans="1:16" ht="21.75" customHeight="1" x14ac:dyDescent="0.3">
      <c r="A283" s="175"/>
      <c r="B283" s="176"/>
      <c r="C283" s="176"/>
      <c r="D283" s="193"/>
      <c r="E283" s="194" t="s">
        <v>47</v>
      </c>
      <c r="F283" s="195"/>
      <c r="G283" s="196"/>
      <c r="H283" s="186"/>
      <c r="I283" s="187"/>
      <c r="J283" s="197">
        <f ca="1">IFERROR(__xludf.DUMMYFUNCTION("IMPORTRANGE(""https://docs.google.com/spreadsheets/d/11923uPwbBZFjjGgGUA6NLw09EwE0CqkOc4q9oUmW1yo/edit?usp=sharing"",""กำแพงเพชร!J193"")"),1)</f>
        <v>1</v>
      </c>
      <c r="K283" s="163"/>
      <c r="L283" s="181"/>
      <c r="M283" s="181"/>
      <c r="N283" s="181"/>
      <c r="O283" s="181"/>
      <c r="P283" s="181"/>
    </row>
    <row r="284" spans="1:16" ht="21.75" customHeight="1" x14ac:dyDescent="0.3">
      <c r="A284" s="175"/>
      <c r="B284" s="176"/>
      <c r="C284" s="176"/>
      <c r="D284" s="193"/>
      <c r="E284" s="194" t="s">
        <v>48</v>
      </c>
      <c r="F284" s="195"/>
      <c r="G284" s="196"/>
      <c r="H284" s="186"/>
      <c r="I284" s="187"/>
      <c r="J284" s="197">
        <f ca="1">IFERROR(__xludf.DUMMYFUNCTION("IMPORTRANGE(""https://docs.google.com/spreadsheets/d/11923uPwbBZFjjGgGUA6NLw09EwE0CqkOc4q9oUmW1yo/edit?usp=sharing"",""กำแพงเพชร!J194"")"),1)</f>
        <v>1</v>
      </c>
      <c r="K284" s="163"/>
      <c r="L284" s="181"/>
      <c r="M284" s="181"/>
      <c r="N284" s="181"/>
      <c r="O284" s="181"/>
      <c r="P284" s="181"/>
    </row>
    <row r="285" spans="1:16" ht="21.75" customHeight="1" x14ac:dyDescent="0.3">
      <c r="A285" s="175"/>
      <c r="B285" s="176"/>
      <c r="C285" s="176"/>
      <c r="D285" s="193"/>
      <c r="E285" s="195"/>
      <c r="F285" s="194" t="s">
        <v>110</v>
      </c>
      <c r="G285" s="196"/>
      <c r="H285" s="186" t="s">
        <v>37</v>
      </c>
      <c r="I285" s="187">
        <f ca="1">IFERROR(__xludf.DUMMYFUNCTION("IMPORTRANGE(""https://docs.google.com/spreadsheets/d/11923uPwbBZFjjGgGUA6NLw09EwE0CqkOc4q9oUmW1yo/edit?usp=sharing"",""กำแพงเพชร!I195"")"),15)</f>
        <v>15</v>
      </c>
      <c r="J285" s="188">
        <f ca="1">IFERROR(__xludf.DUMMYFUNCTION("IMPORTRANGE(""https://docs.google.com/spreadsheets/d/11923uPwbBZFjjGgGUA6NLw09EwE0CqkOc4q9oUmW1yo/edit?usp=sharing"",""กำแพงเพชร!J195"")"),15)</f>
        <v>15</v>
      </c>
      <c r="K285" s="163">
        <f ca="1">IF(I285&gt;0,J285*100/I285,0)</f>
        <v>100</v>
      </c>
      <c r="L285" s="181"/>
      <c r="M285" s="181"/>
      <c r="N285" s="181"/>
      <c r="O285" s="181"/>
      <c r="P285" s="181"/>
    </row>
    <row r="286" spans="1:16" ht="21.75" customHeight="1" x14ac:dyDescent="0.3">
      <c r="A286" s="175"/>
      <c r="B286" s="176"/>
      <c r="C286" s="176"/>
      <c r="D286" s="193"/>
      <c r="E286" s="194" t="s">
        <v>54</v>
      </c>
      <c r="F286" s="195"/>
      <c r="G286" s="196"/>
      <c r="H286" s="186"/>
      <c r="I286" s="187"/>
      <c r="J286" s="197">
        <f ca="1">IFERROR(__xludf.DUMMYFUNCTION("IMPORTRANGE(""https://docs.google.com/spreadsheets/d/11923uPwbBZFjjGgGUA6NLw09EwE0CqkOc4q9oUmW1yo/edit?usp=sharing"",""กำแพงเพชร!J196"")"),0)</f>
        <v>0</v>
      </c>
      <c r="K286" s="163"/>
      <c r="L286" s="181"/>
      <c r="M286" s="181"/>
      <c r="N286" s="181"/>
      <c r="O286" s="181"/>
      <c r="P286" s="181"/>
    </row>
    <row r="287" spans="1:16" ht="21.75" customHeight="1" x14ac:dyDescent="0.3">
      <c r="A287" s="175"/>
      <c r="B287" s="176"/>
      <c r="C287" s="176"/>
      <c r="D287" s="205">
        <v>3</v>
      </c>
      <c r="E287" s="206" t="s">
        <v>55</v>
      </c>
      <c r="F287" s="207"/>
      <c r="G287" s="208"/>
      <c r="H287" s="186"/>
      <c r="I287" s="187"/>
      <c r="J287" s="209">
        <f ca="1">IFERROR(__xludf.DUMMYFUNCTION("IMPORTRANGE(""https://docs.google.com/spreadsheets/d/11923uPwbBZFjjGgGUA6NLw09EwE0CqkOc4q9oUmW1yo/edit?usp=sharing"",""กำแพงเพชร!J197"")"),0)</f>
        <v>0</v>
      </c>
      <c r="K287" s="163"/>
      <c r="L287" s="181"/>
      <c r="M287" s="181"/>
      <c r="N287" s="181"/>
      <c r="O287" s="181"/>
      <c r="P287" s="181"/>
    </row>
    <row r="288" spans="1:16" ht="21.75" customHeight="1" x14ac:dyDescent="0.3">
      <c r="A288" s="302" t="s">
        <v>111</v>
      </c>
      <c r="B288" s="303"/>
      <c r="C288" s="303"/>
      <c r="D288" s="304"/>
      <c r="E288" s="303"/>
      <c r="F288" s="303"/>
      <c r="G288" s="317"/>
      <c r="H288" s="318"/>
      <c r="I288" s="319"/>
      <c r="J288" s="319"/>
      <c r="K288" s="320"/>
      <c r="L288" s="320"/>
      <c r="M288" s="320"/>
      <c r="N288" s="320"/>
      <c r="O288" s="309"/>
      <c r="P288" s="309"/>
    </row>
    <row r="289" spans="1:16" ht="21.75" customHeight="1" x14ac:dyDescent="0.3">
      <c r="A289" s="321"/>
      <c r="B289" s="311" t="s">
        <v>112</v>
      </c>
      <c r="C289" s="322"/>
      <c r="D289" s="323"/>
      <c r="E289" s="311"/>
      <c r="F289" s="311"/>
      <c r="G289" s="312"/>
      <c r="H289" s="313" t="s">
        <v>37</v>
      </c>
      <c r="I289" s="314">
        <f ca="1">IFERROR(__xludf.DUMMYFUNCTION("IMPORTRANGE(""https://docs.google.com/spreadsheets/d/11923uPwbBZFjjGgGUA6NLw09EwE0CqkOc4q9oUmW1yo/edit?usp=sharing"",""กำแพงเพชร!I199"")"),0)</f>
        <v>0</v>
      </c>
      <c r="J289" s="314">
        <f ca="1">IFERROR(__xludf.DUMMYFUNCTION("IMPORTRANGE(""https://docs.google.com/spreadsheets/d/11923uPwbBZFjjGgGUA6NLw09EwE0CqkOc4q9oUmW1yo/edit?usp=sharing"",""กำแพงเพชร!J199"")"),0)</f>
        <v>0</v>
      </c>
      <c r="K289" s="315">
        <f ca="1">IF(I289&gt;0,J289*100/I289,0)</f>
        <v>0</v>
      </c>
      <c r="L289" s="316"/>
      <c r="M289" s="316"/>
      <c r="N289" s="316"/>
      <c r="O289" s="315"/>
      <c r="P289" s="315"/>
    </row>
    <row r="290" spans="1:16" ht="21.75" customHeight="1" x14ac:dyDescent="0.45">
      <c r="A290" s="145"/>
      <c r="B290" s="146"/>
      <c r="C290" s="147" t="s">
        <v>16</v>
      </c>
      <c r="D290" s="537" t="s">
        <v>17</v>
      </c>
      <c r="E290" s="528"/>
      <c r="F290" s="528"/>
      <c r="G290" s="528"/>
      <c r="H290" s="148" t="s">
        <v>12</v>
      </c>
      <c r="I290" s="187"/>
      <c r="J290" s="187"/>
      <c r="K290" s="223"/>
      <c r="L290" s="151">
        <f t="shared" ref="L290:N290" ca="1" si="88">L291+L292</f>
        <v>0</v>
      </c>
      <c r="M290" s="151">
        <f t="shared" ca="1" si="88"/>
        <v>0</v>
      </c>
      <c r="N290" s="151">
        <f t="shared" ca="1" si="88"/>
        <v>0</v>
      </c>
      <c r="O290" s="150">
        <f t="shared" ref="O290:O292" ca="1" si="89">IF(L290&gt;0,N290*100/L290,0)</f>
        <v>0</v>
      </c>
      <c r="P290" s="150">
        <f t="shared" ref="P290:P292" ca="1" si="90">IF(M290&gt;0,N290*100/M290,0)</f>
        <v>0</v>
      </c>
    </row>
    <row r="291" spans="1:16" ht="21.75" customHeight="1" x14ac:dyDescent="0.45">
      <c r="A291" s="152"/>
      <c r="B291" s="32"/>
      <c r="C291" s="32"/>
      <c r="D291" s="32"/>
      <c r="E291" s="32"/>
      <c r="F291" s="32"/>
      <c r="G291" s="33" t="s">
        <v>18</v>
      </c>
      <c r="H291" s="153" t="s">
        <v>12</v>
      </c>
      <c r="I291" s="187"/>
      <c r="J291" s="187"/>
      <c r="K291" s="223"/>
      <c r="L291" s="87">
        <f t="shared" ref="L291:N291" si="91">L293+L297</f>
        <v>0</v>
      </c>
      <c r="M291" s="87">
        <f t="shared" si="91"/>
        <v>0</v>
      </c>
      <c r="N291" s="87">
        <f t="shared" si="91"/>
        <v>0</v>
      </c>
      <c r="O291" s="155">
        <f t="shared" si="89"/>
        <v>0</v>
      </c>
      <c r="P291" s="155">
        <f t="shared" si="90"/>
        <v>0</v>
      </c>
    </row>
    <row r="292" spans="1:16" ht="21.75" customHeight="1" x14ac:dyDescent="0.45">
      <c r="A292" s="152"/>
      <c r="B292" s="32"/>
      <c r="C292" s="32"/>
      <c r="D292" s="32"/>
      <c r="E292" s="32"/>
      <c r="F292" s="32"/>
      <c r="G292" s="33" t="s">
        <v>19</v>
      </c>
      <c r="H292" s="153" t="s">
        <v>12</v>
      </c>
      <c r="I292" s="187"/>
      <c r="J292" s="187"/>
      <c r="K292" s="223"/>
      <c r="L292" s="87">
        <f t="shared" ref="L292:N292" ca="1" si="92">L294+L298</f>
        <v>0</v>
      </c>
      <c r="M292" s="87">
        <f t="shared" ca="1" si="92"/>
        <v>0</v>
      </c>
      <c r="N292" s="87">
        <f t="shared" ca="1" si="92"/>
        <v>0</v>
      </c>
      <c r="O292" s="155">
        <f t="shared" ca="1" si="89"/>
        <v>0</v>
      </c>
      <c r="P292" s="155">
        <f t="shared" ca="1" si="90"/>
        <v>0</v>
      </c>
    </row>
    <row r="293" spans="1:16" ht="21.75" customHeight="1" x14ac:dyDescent="0.3">
      <c r="A293" s="156"/>
      <c r="B293" s="157"/>
      <c r="C293" s="157" t="s">
        <v>16</v>
      </c>
      <c r="D293" s="158" t="s">
        <v>38</v>
      </c>
      <c r="E293" s="159"/>
      <c r="F293" s="159"/>
      <c r="G293" s="160" t="s">
        <v>39</v>
      </c>
      <c r="H293" s="161" t="s">
        <v>12</v>
      </c>
      <c r="I293" s="187" t="s">
        <v>40</v>
      </c>
      <c r="J293" s="187"/>
      <c r="K293" s="223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3">
      <c r="A294" s="156"/>
      <c r="B294" s="157"/>
      <c r="C294" s="157"/>
      <c r="D294" s="166"/>
      <c r="E294" s="159"/>
      <c r="F294" s="159" t="s">
        <v>40</v>
      </c>
      <c r="G294" s="160" t="s">
        <v>41</v>
      </c>
      <c r="H294" s="161" t="s">
        <v>12</v>
      </c>
      <c r="I294" s="187"/>
      <c r="J294" s="187"/>
      <c r="K294" s="223"/>
      <c r="L294" s="167">
        <f ca="1">L295+L296</f>
        <v>0</v>
      </c>
      <c r="M294" s="167">
        <f ca="1">IFERROR(__xludf.DUMMYFUNCTION("IMPORTRANGE(""https://docs.google.com/spreadsheets/d/1Yj_ptqi66GCucihVvJfMjLAmec39IyEx_6qawtMGysU/edit?usp=sharing"",""สบก!CT20"")"),0)</f>
        <v>0</v>
      </c>
      <c r="N294" s="168">
        <f ca="1">IFERROR(__xludf.DUMMYFUNCTION("IMPORTRANGE(""https://docs.google.com/spreadsheets/d/1Yj_ptqi66GCucihVvJfMjLAmec39IyEx_6qawtMGysU/edit?usp=sharing"",""สบก!CU20"")"),0)</f>
        <v>0</v>
      </c>
      <c r="O294" s="168">
        <f ca="1">IF(L294&gt;0,N294*100/L294,0)</f>
        <v>0</v>
      </c>
      <c r="P294" s="168">
        <f ca="1">IF(M294&gt;0,N294*100/M294,0)</f>
        <v>0</v>
      </c>
    </row>
    <row r="295" spans="1:16" ht="21.75" customHeight="1" x14ac:dyDescent="0.3">
      <c r="A295" s="156"/>
      <c r="B295" s="157"/>
      <c r="C295" s="157"/>
      <c r="D295" s="166"/>
      <c r="E295" s="159"/>
      <c r="F295" s="159"/>
      <c r="G295" s="169" t="s">
        <v>42</v>
      </c>
      <c r="H295" s="161" t="s">
        <v>12</v>
      </c>
      <c r="I295" s="187"/>
      <c r="J295" s="187"/>
      <c r="K295" s="223"/>
      <c r="L295" s="167">
        <f ca="1">IFERROR(__xludf.DUMMYFUNCTION("IMPORTRANGE(""https://docs.google.com/spreadsheets/d/1Yj_ptqi66GCucihVvJfMjLAmec39IyEx_6qawtMGysU/edit?usp=sharing"",""สบก!CP20"")"),0)</f>
        <v>0</v>
      </c>
      <c r="M295" s="167"/>
      <c r="N295" s="167"/>
      <c r="O295" s="168"/>
      <c r="P295" s="168"/>
    </row>
    <row r="296" spans="1:16" ht="21.75" customHeight="1" x14ac:dyDescent="0.3">
      <c r="A296" s="156"/>
      <c r="B296" s="157"/>
      <c r="C296" s="157"/>
      <c r="D296" s="166"/>
      <c r="E296" s="159"/>
      <c r="F296" s="159"/>
      <c r="G296" s="169" t="s">
        <v>43</v>
      </c>
      <c r="H296" s="161" t="s">
        <v>12</v>
      </c>
      <c r="I296" s="187"/>
      <c r="J296" s="187"/>
      <c r="K296" s="223"/>
      <c r="L296" s="167">
        <f ca="1">IFERROR(__xludf.DUMMYFUNCTION("IMPORTRANGE(""https://docs.google.com/spreadsheets/d/1Yj_ptqi66GCucihVvJfMjLAmec39IyEx_6qawtMGysU/edit?usp=sharing"",""สบก!CQ20"")"),0)</f>
        <v>0</v>
      </c>
      <c r="M296" s="167"/>
      <c r="N296" s="167"/>
      <c r="O296" s="168"/>
      <c r="P296" s="168"/>
    </row>
    <row r="297" spans="1:16" ht="21.75" customHeight="1" x14ac:dyDescent="0.45">
      <c r="A297" s="170"/>
      <c r="B297" s="80"/>
      <c r="C297" s="81" t="s">
        <v>16</v>
      </c>
      <c r="D297" s="534" t="s">
        <v>23</v>
      </c>
      <c r="E297" s="530"/>
      <c r="F297" s="88"/>
      <c r="G297" s="82" t="s">
        <v>18</v>
      </c>
      <c r="H297" s="171" t="s">
        <v>12</v>
      </c>
      <c r="I297" s="187"/>
      <c r="J297" s="187"/>
      <c r="K297" s="223"/>
      <c r="L297" s="41">
        <v>0</v>
      </c>
      <c r="M297" s="41"/>
      <c r="N297" s="41"/>
      <c r="O297" s="41"/>
      <c r="P297" s="41"/>
    </row>
    <row r="298" spans="1:16" ht="21.75" customHeight="1" x14ac:dyDescent="0.45">
      <c r="A298" s="172"/>
      <c r="B298" s="91"/>
      <c r="C298" s="91"/>
      <c r="D298" s="173"/>
      <c r="E298" s="92"/>
      <c r="F298" s="92"/>
      <c r="G298" s="93" t="s">
        <v>19</v>
      </c>
      <c r="H298" s="174" t="s">
        <v>12</v>
      </c>
      <c r="I298" s="187"/>
      <c r="J298" s="187"/>
      <c r="K298" s="223"/>
      <c r="L298" s="49">
        <f ca="1">IFERROR(__xludf.DUMMYFUNCTION("IMPORTRANGE(""https://docs.google.com/spreadsheets/d/1Yj_ptqi66GCucihVvJfMjLAmec39IyEx_6qawtMGysU/edit?usp=sharing"",""สบก!CR20"")"),0)</f>
        <v>0</v>
      </c>
      <c r="M298" s="49"/>
      <c r="N298" s="49">
        <f ca="1">IFERROR(__xludf.DUMMYFUNCTION("IMPORTRANGE(""https://docs.google.com/spreadsheets/d/1Yj_ptqi66GCucihVvJfMjLAmec39IyEx_6qawtMGysU/edit?usp=sharing"",""สบก!CV20"")"),0)</f>
        <v>0</v>
      </c>
      <c r="O298" s="49">
        <f ca="1">IF(L298&gt;0,N298*100/L298,0)</f>
        <v>0</v>
      </c>
      <c r="P298" s="49"/>
    </row>
    <row r="299" spans="1:16" ht="21.75" customHeight="1" x14ac:dyDescent="0.3">
      <c r="A299" s="175"/>
      <c r="B299" s="176"/>
      <c r="C299" s="157" t="s">
        <v>16</v>
      </c>
      <c r="D299" s="177" t="s">
        <v>44</v>
      </c>
      <c r="E299" s="178"/>
      <c r="F299" s="178"/>
      <c r="G299" s="179"/>
      <c r="H299" s="180"/>
      <c r="I299" s="187"/>
      <c r="J299" s="187"/>
      <c r="K299" s="223"/>
      <c r="L299" s="168"/>
      <c r="M299" s="168"/>
      <c r="N299" s="168"/>
      <c r="O299" s="181"/>
      <c r="P299" s="181"/>
    </row>
    <row r="300" spans="1:16" ht="21.75" customHeight="1" x14ac:dyDescent="0.3">
      <c r="A300" s="175"/>
      <c r="B300" s="176"/>
      <c r="C300" s="176"/>
      <c r="D300" s="182">
        <v>1</v>
      </c>
      <c r="E300" s="183" t="s">
        <v>45</v>
      </c>
      <c r="F300" s="184"/>
      <c r="G300" s="185"/>
      <c r="H300" s="186"/>
      <c r="I300" s="187"/>
      <c r="J300" s="187">
        <f ca="1">IFERROR(__xludf.DUMMYFUNCTION("IMPORTRANGE(""https://docs.google.com/spreadsheets/d/11923uPwbBZFjjGgGUA6NLw09EwE0CqkOc4q9oUmW1yo/edit?usp=sharing"",""กำแพงเพชร!J205"")"),0)</f>
        <v>0</v>
      </c>
      <c r="K300" s="223"/>
      <c r="L300" s="168"/>
      <c r="M300" s="168"/>
      <c r="N300" s="168"/>
      <c r="O300" s="181"/>
      <c r="P300" s="181"/>
    </row>
    <row r="301" spans="1:16" ht="21.75" customHeight="1" x14ac:dyDescent="0.3">
      <c r="A301" s="175"/>
      <c r="B301" s="176"/>
      <c r="C301" s="176"/>
      <c r="D301" s="189">
        <v>2</v>
      </c>
      <c r="E301" s="190" t="s">
        <v>46</v>
      </c>
      <c r="F301" s="191"/>
      <c r="G301" s="192"/>
      <c r="H301" s="186"/>
      <c r="I301" s="187"/>
      <c r="J301" s="187">
        <f ca="1">IFERROR(__xludf.DUMMYFUNCTION("IMPORTRANGE(""https://docs.google.com/spreadsheets/d/11923uPwbBZFjjGgGUA6NLw09EwE0CqkOc4q9oUmW1yo/edit?usp=sharing"",""กำแพงเพชร!J206"")"),0)</f>
        <v>0</v>
      </c>
      <c r="K301" s="223"/>
      <c r="L301" s="168" t="s">
        <v>40</v>
      </c>
      <c r="M301" s="168"/>
      <c r="N301" s="168" t="s">
        <v>40</v>
      </c>
      <c r="O301" s="181"/>
      <c r="P301" s="181"/>
    </row>
    <row r="302" spans="1:16" ht="21.75" customHeight="1" x14ac:dyDescent="0.3">
      <c r="A302" s="175"/>
      <c r="B302" s="176"/>
      <c r="C302" s="176"/>
      <c r="D302" s="193"/>
      <c r="E302" s="194" t="s">
        <v>47</v>
      </c>
      <c r="F302" s="195"/>
      <c r="G302" s="196"/>
      <c r="H302" s="186"/>
      <c r="I302" s="187"/>
      <c r="J302" s="187">
        <f ca="1">IFERROR(__xludf.DUMMYFUNCTION("IMPORTRANGE(""https://docs.google.com/spreadsheets/d/11923uPwbBZFjjGgGUA6NLw09EwE0CqkOc4q9oUmW1yo/edit?usp=sharing"",""กำแพงเพชร!J207"")"),0)</f>
        <v>0</v>
      </c>
      <c r="K302" s="223"/>
      <c r="L302" s="168"/>
      <c r="M302" s="168"/>
      <c r="N302" s="168"/>
      <c r="O302" s="181"/>
      <c r="P302" s="181"/>
    </row>
    <row r="303" spans="1:16" ht="21.75" customHeight="1" x14ac:dyDescent="0.3">
      <c r="A303" s="175"/>
      <c r="B303" s="176"/>
      <c r="C303" s="176"/>
      <c r="D303" s="193"/>
      <c r="E303" s="194" t="s">
        <v>48</v>
      </c>
      <c r="F303" s="195"/>
      <c r="G303" s="196"/>
      <c r="H303" s="186"/>
      <c r="I303" s="187"/>
      <c r="J303" s="187">
        <f ca="1">IFERROR(__xludf.DUMMYFUNCTION("IMPORTRANGE(""https://docs.google.com/spreadsheets/d/11923uPwbBZFjjGgGUA6NLw09EwE0CqkOc4q9oUmW1yo/edit?usp=sharing"",""กำแพงเพชร!J208"")"),0)</f>
        <v>0</v>
      </c>
      <c r="K303" s="223"/>
      <c r="L303" s="168"/>
      <c r="M303" s="168"/>
      <c r="N303" s="168"/>
      <c r="O303" s="181"/>
      <c r="P303" s="181"/>
    </row>
    <row r="304" spans="1:16" ht="21.75" customHeight="1" x14ac:dyDescent="0.3">
      <c r="A304" s="175"/>
      <c r="B304" s="176"/>
      <c r="C304" s="176"/>
      <c r="D304" s="193"/>
      <c r="E304" s="198"/>
      <c r="F304" s="194" t="s">
        <v>113</v>
      </c>
      <c r="G304" s="196"/>
      <c r="H304" s="180" t="s">
        <v>37</v>
      </c>
      <c r="I304" s="187">
        <f ca="1">IFERROR(__xludf.DUMMYFUNCTION("IMPORTRANGE(""https://docs.google.com/spreadsheets/d/11923uPwbBZFjjGgGUA6NLw09EwE0CqkOc4q9oUmW1yo/edit?usp=sharing"",""กำแพงเพชร!I209"")"),0)</f>
        <v>0</v>
      </c>
      <c r="J304" s="203">
        <f ca="1">IFERROR(__xludf.DUMMYFUNCTION("IMPORTRANGE(""https://docs.google.com/spreadsheets/d/11923uPwbBZFjjGgGUA6NLw09EwE0CqkOc4q9oUmW1yo/edit?usp=sharing"",""กำแพงเพชร!J209"")"),0)</f>
        <v>0</v>
      </c>
      <c r="K304" s="223">
        <f ca="1">IF(I304&gt;0,J304*100/I304,0)</f>
        <v>0</v>
      </c>
      <c r="L304" s="168"/>
      <c r="M304" s="168"/>
      <c r="N304" s="168"/>
      <c r="O304" s="181"/>
      <c r="P304" s="181"/>
    </row>
    <row r="305" spans="1:16" ht="21.75" customHeight="1" x14ac:dyDescent="0.3">
      <c r="A305" s="175"/>
      <c r="B305" s="176"/>
      <c r="C305" s="176"/>
      <c r="D305" s="193"/>
      <c r="E305" s="198"/>
      <c r="F305" s="194" t="s">
        <v>114</v>
      </c>
      <c r="G305" s="196"/>
      <c r="H305" s="180"/>
      <c r="I305" s="187"/>
      <c r="J305" s="187"/>
      <c r="K305" s="223"/>
      <c r="L305" s="168"/>
      <c r="M305" s="168"/>
      <c r="N305" s="168"/>
      <c r="O305" s="181"/>
      <c r="P305" s="181"/>
    </row>
    <row r="306" spans="1:16" ht="21.75" customHeight="1" x14ac:dyDescent="0.3">
      <c r="A306" s="175"/>
      <c r="B306" s="176"/>
      <c r="C306" s="176"/>
      <c r="D306" s="193"/>
      <c r="E306" s="198"/>
      <c r="F306" s="195" t="s">
        <v>53</v>
      </c>
      <c r="G306" s="196"/>
      <c r="H306" s="180" t="s">
        <v>37</v>
      </c>
      <c r="I306" s="187">
        <f ca="1">IFERROR(__xludf.DUMMYFUNCTION("IMPORTRANGE(""https://docs.google.com/spreadsheets/d/11923uPwbBZFjjGgGUA6NLw09EwE0CqkOc4q9oUmW1yo/edit?usp=sharing"",""กำแพงเพชร!I211"")"),0)</f>
        <v>0</v>
      </c>
      <c r="J306" s="203">
        <f ca="1">IFERROR(__xludf.DUMMYFUNCTION("IMPORTRANGE(""https://docs.google.com/spreadsheets/d/11923uPwbBZFjjGgGUA6NLw09EwE0CqkOc4q9oUmW1yo/edit?usp=sharing"",""กำแพงเพชร!J211"")"),0)</f>
        <v>0</v>
      </c>
      <c r="K306" s="223">
        <f ca="1">IF(I306&gt;0,J306*100/I306,0)</f>
        <v>0</v>
      </c>
      <c r="L306" s="168"/>
      <c r="M306" s="168"/>
      <c r="N306" s="168"/>
      <c r="O306" s="181"/>
      <c r="P306" s="181"/>
    </row>
    <row r="307" spans="1:16" ht="21.75" customHeight="1" x14ac:dyDescent="0.3">
      <c r="A307" s="175"/>
      <c r="B307" s="176"/>
      <c r="C307" s="176"/>
      <c r="D307" s="193"/>
      <c r="E307" s="194" t="s">
        <v>54</v>
      </c>
      <c r="F307" s="195"/>
      <c r="G307" s="196"/>
      <c r="H307" s="186"/>
      <c r="I307" s="187"/>
      <c r="J307" s="187">
        <f ca="1">IFERROR(__xludf.DUMMYFUNCTION("IMPORTRANGE(""https://docs.google.com/spreadsheets/d/11923uPwbBZFjjGgGUA6NLw09EwE0CqkOc4q9oUmW1yo/edit?usp=sharing"",""กำแพงเพชร!J212"")"),0)</f>
        <v>0</v>
      </c>
      <c r="K307" s="223"/>
      <c r="L307" s="168"/>
      <c r="M307" s="168"/>
      <c r="N307" s="168"/>
      <c r="O307" s="181"/>
      <c r="P307" s="181"/>
    </row>
    <row r="308" spans="1:16" ht="21.75" customHeight="1" x14ac:dyDescent="0.3">
      <c r="A308" s="175"/>
      <c r="B308" s="176"/>
      <c r="C308" s="176"/>
      <c r="D308" s="205">
        <v>3</v>
      </c>
      <c r="E308" s="206" t="s">
        <v>55</v>
      </c>
      <c r="F308" s="207"/>
      <c r="G308" s="208"/>
      <c r="H308" s="186"/>
      <c r="I308" s="187"/>
      <c r="J308" s="324">
        <f ca="1">IFERROR(__xludf.DUMMYFUNCTION("IMPORTRANGE(""https://docs.google.com/spreadsheets/d/11923uPwbBZFjjGgGUA6NLw09EwE0CqkOc4q9oUmW1yo/edit?usp=sharing"",""กำแพงเพชร!J213"")"),0)</f>
        <v>0</v>
      </c>
      <c r="K308" s="223"/>
      <c r="L308" s="168"/>
      <c r="M308" s="168"/>
      <c r="N308" s="168"/>
      <c r="O308" s="181"/>
      <c r="P308" s="181"/>
    </row>
    <row r="309" spans="1:16" ht="21.75" customHeight="1" x14ac:dyDescent="0.3">
      <c r="A309" s="325"/>
      <c r="B309" s="326" t="s">
        <v>115</v>
      </c>
      <c r="C309" s="327"/>
      <c r="D309" s="328"/>
      <c r="E309" s="326"/>
      <c r="F309" s="326"/>
      <c r="G309" s="329"/>
      <c r="H309" s="330" t="s">
        <v>116</v>
      </c>
      <c r="I309" s="331">
        <f ca="1">IFERROR(__xludf.DUMMYFUNCTION("IMPORTRANGE(""https://docs.google.com/spreadsheets/d/11923uPwbBZFjjGgGUA6NLw09EwE0CqkOc4q9oUmW1yo/edit?usp=sharing"",""กำแพงเพชร!I214"")"),1)</f>
        <v>1</v>
      </c>
      <c r="J309" s="331">
        <f ca="1">IFERROR(__xludf.DUMMYFUNCTION("IMPORTRANGE(""https://docs.google.com/spreadsheets/d/11923uPwbBZFjjGgGUA6NLw09EwE0CqkOc4q9oUmW1yo/edit?usp=sharing"",""กำแพงเพชร!J214"")"),1)</f>
        <v>1</v>
      </c>
      <c r="K309" s="332">
        <f ca="1">IF(I309&gt;0,J309*100/I309,0)</f>
        <v>100</v>
      </c>
      <c r="L309" s="333"/>
      <c r="M309" s="333"/>
      <c r="N309" s="333"/>
      <c r="O309" s="332"/>
      <c r="P309" s="332"/>
    </row>
    <row r="310" spans="1:16" ht="21.75" customHeight="1" x14ac:dyDescent="0.45">
      <c r="A310" s="145"/>
      <c r="B310" s="146"/>
      <c r="C310" s="147" t="s">
        <v>16</v>
      </c>
      <c r="D310" s="537" t="s">
        <v>17</v>
      </c>
      <c r="E310" s="528"/>
      <c r="F310" s="528"/>
      <c r="G310" s="528"/>
      <c r="H310" s="148" t="s">
        <v>12</v>
      </c>
      <c r="I310" s="334"/>
      <c r="J310" s="334"/>
      <c r="K310" s="335"/>
      <c r="L310" s="151">
        <f t="shared" ref="L310:N310" ca="1" si="93">L311+L312</f>
        <v>194600</v>
      </c>
      <c r="M310" s="151">
        <f t="shared" ca="1" si="93"/>
        <v>97300</v>
      </c>
      <c r="N310" s="151">
        <f t="shared" ca="1" si="93"/>
        <v>36164</v>
      </c>
      <c r="O310" s="150">
        <f t="shared" ref="O310:O312" ca="1" si="94">IF(L310&gt;0,N310*100/L310,0)</f>
        <v>18.583761562178829</v>
      </c>
      <c r="P310" s="150">
        <f t="shared" ref="P310:P312" ca="1" si="95">IF(M310&gt;0,N310*100/M310,0)</f>
        <v>37.167523124357658</v>
      </c>
    </row>
    <row r="311" spans="1:16" ht="21.75" customHeight="1" x14ac:dyDescent="0.45">
      <c r="A311" s="152"/>
      <c r="B311" s="32"/>
      <c r="C311" s="32"/>
      <c r="D311" s="32"/>
      <c r="E311" s="32"/>
      <c r="F311" s="32"/>
      <c r="G311" s="33" t="s">
        <v>18</v>
      </c>
      <c r="H311" s="153" t="s">
        <v>12</v>
      </c>
      <c r="I311" s="334"/>
      <c r="J311" s="334"/>
      <c r="K311" s="335"/>
      <c r="L311" s="87">
        <f t="shared" ref="L311:N311" si="96">L313+L317</f>
        <v>0</v>
      </c>
      <c r="M311" s="87">
        <f t="shared" si="96"/>
        <v>0</v>
      </c>
      <c r="N311" s="87">
        <f t="shared" si="96"/>
        <v>0</v>
      </c>
      <c r="O311" s="155">
        <f t="shared" si="94"/>
        <v>0</v>
      </c>
      <c r="P311" s="155">
        <f t="shared" si="95"/>
        <v>0</v>
      </c>
    </row>
    <row r="312" spans="1:16" ht="21.75" customHeight="1" x14ac:dyDescent="0.45">
      <c r="A312" s="152"/>
      <c r="B312" s="32"/>
      <c r="C312" s="32"/>
      <c r="D312" s="32"/>
      <c r="E312" s="32"/>
      <c r="F312" s="32"/>
      <c r="G312" s="33" t="s">
        <v>19</v>
      </c>
      <c r="H312" s="153" t="s">
        <v>12</v>
      </c>
      <c r="I312" s="334"/>
      <c r="J312" s="334"/>
      <c r="K312" s="335"/>
      <c r="L312" s="87">
        <f t="shared" ref="L312:N312" ca="1" si="97">L314+L318</f>
        <v>194600</v>
      </c>
      <c r="M312" s="87">
        <f t="shared" ca="1" si="97"/>
        <v>97300</v>
      </c>
      <c r="N312" s="87">
        <f t="shared" ca="1" si="97"/>
        <v>36164</v>
      </c>
      <c r="O312" s="155">
        <f t="shared" ca="1" si="94"/>
        <v>18.583761562178829</v>
      </c>
      <c r="P312" s="155">
        <f t="shared" ca="1" si="95"/>
        <v>37.167523124357658</v>
      </c>
    </row>
    <row r="313" spans="1:16" ht="21.75" customHeight="1" x14ac:dyDescent="0.3">
      <c r="A313" s="156"/>
      <c r="B313" s="157"/>
      <c r="C313" s="157" t="s">
        <v>16</v>
      </c>
      <c r="D313" s="158" t="s">
        <v>38</v>
      </c>
      <c r="E313" s="159"/>
      <c r="F313" s="159"/>
      <c r="G313" s="160" t="s">
        <v>39</v>
      </c>
      <c r="H313" s="161" t="s">
        <v>12</v>
      </c>
      <c r="I313" s="162" t="s">
        <v>40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3">
      <c r="A314" s="156"/>
      <c r="B314" s="157"/>
      <c r="C314" s="157"/>
      <c r="D314" s="166"/>
      <c r="E314" s="159"/>
      <c r="F314" s="159" t="s">
        <v>40</v>
      </c>
      <c r="G314" s="160" t="s">
        <v>41</v>
      </c>
      <c r="H314" s="161" t="s">
        <v>12</v>
      </c>
      <c r="I314" s="162"/>
      <c r="J314" s="162"/>
      <c r="K314" s="163"/>
      <c r="L314" s="167">
        <f ca="1">L315+L316</f>
        <v>194600</v>
      </c>
      <c r="M314" s="167">
        <f ca="1">IFERROR(__xludf.DUMMYFUNCTION("IMPORTRANGE(""https://docs.google.com/spreadsheets/d/1Yj_ptqi66GCucihVvJfMjLAmec39IyEx_6qawtMGysU/edit?usp=sharing"",""สบก!DC20"")"),97300)</f>
        <v>97300</v>
      </c>
      <c r="N314" s="168">
        <f ca="1">IFERROR(__xludf.DUMMYFUNCTION("IMPORTRANGE(""https://docs.google.com/spreadsheets/d/1Yj_ptqi66GCucihVvJfMjLAmec39IyEx_6qawtMGysU/edit?usp=sharing"",""สบก!DD20"")"),36164)</f>
        <v>36164</v>
      </c>
      <c r="O314" s="168">
        <f ca="1">IF(L314&gt;0,N314*100/L314,0)</f>
        <v>18.583761562178829</v>
      </c>
      <c r="P314" s="168">
        <f ca="1">IF(M314&gt;0,N314*100/M314,0)</f>
        <v>37.167523124357658</v>
      </c>
    </row>
    <row r="315" spans="1:16" ht="21.75" customHeight="1" x14ac:dyDescent="0.3">
      <c r="A315" s="156"/>
      <c r="B315" s="157"/>
      <c r="C315" s="157"/>
      <c r="D315" s="166"/>
      <c r="E315" s="159"/>
      <c r="F315" s="159"/>
      <c r="G315" s="169" t="s">
        <v>42</v>
      </c>
      <c r="H315" s="161" t="s">
        <v>12</v>
      </c>
      <c r="I315" s="162"/>
      <c r="J315" s="162"/>
      <c r="K315" s="163"/>
      <c r="L315" s="167">
        <f ca="1">IFERROR(__xludf.DUMMYFUNCTION("IMPORTRANGE(""https://docs.google.com/spreadsheets/d/1Yj_ptqi66GCucihVvJfMjLAmec39IyEx_6qawtMGysU/edit?usp=sharing"",""สบก!CY20"")"),0)</f>
        <v>0</v>
      </c>
      <c r="M315" s="167"/>
      <c r="N315" s="167"/>
      <c r="O315" s="168"/>
      <c r="P315" s="168"/>
    </row>
    <row r="316" spans="1:16" ht="21.75" customHeight="1" x14ac:dyDescent="0.3">
      <c r="A316" s="156"/>
      <c r="B316" s="157"/>
      <c r="C316" s="157"/>
      <c r="D316" s="166"/>
      <c r="E316" s="159"/>
      <c r="F316" s="159"/>
      <c r="G316" s="169" t="s">
        <v>43</v>
      </c>
      <c r="H316" s="161" t="s">
        <v>12</v>
      </c>
      <c r="I316" s="162"/>
      <c r="J316" s="187"/>
      <c r="K316" s="223"/>
      <c r="L316" s="167">
        <f ca="1">IFERROR(__xludf.DUMMYFUNCTION("IMPORTRANGE(""https://docs.google.com/spreadsheets/d/1Yj_ptqi66GCucihVvJfMjLAmec39IyEx_6qawtMGysU/edit?usp=sharing"",""สบก!CZ20"")"),194600)</f>
        <v>194600</v>
      </c>
      <c r="M316" s="167"/>
      <c r="N316" s="167"/>
      <c r="O316" s="168"/>
      <c r="P316" s="168"/>
    </row>
    <row r="317" spans="1:16" ht="21.75" customHeight="1" x14ac:dyDescent="0.45">
      <c r="A317" s="170"/>
      <c r="B317" s="80"/>
      <c r="C317" s="81" t="s">
        <v>16</v>
      </c>
      <c r="D317" s="534" t="s">
        <v>23</v>
      </c>
      <c r="E317" s="530"/>
      <c r="F317" s="88"/>
      <c r="G317" s="82" t="s">
        <v>18</v>
      </c>
      <c r="H317" s="171" t="s">
        <v>12</v>
      </c>
      <c r="I317" s="162"/>
      <c r="J317" s="187"/>
      <c r="K317" s="223"/>
      <c r="L317" s="41">
        <v>0</v>
      </c>
      <c r="M317" s="41"/>
      <c r="N317" s="41"/>
      <c r="O317" s="41"/>
      <c r="P317" s="41"/>
    </row>
    <row r="318" spans="1:16" ht="21.75" customHeight="1" x14ac:dyDescent="0.45">
      <c r="A318" s="172"/>
      <c r="B318" s="91"/>
      <c r="C318" s="91"/>
      <c r="D318" s="173"/>
      <c r="E318" s="92"/>
      <c r="F318" s="92"/>
      <c r="G318" s="93" t="s">
        <v>19</v>
      </c>
      <c r="H318" s="174" t="s">
        <v>12</v>
      </c>
      <c r="I318" s="162"/>
      <c r="J318" s="187"/>
      <c r="K318" s="223"/>
      <c r="L318" s="49">
        <f ca="1">IFERROR(__xludf.DUMMYFUNCTION("IMPORTRANGE(""https://docs.google.com/spreadsheets/d/1Yj_ptqi66GCucihVvJfMjLAmec39IyEx_6qawtMGysU/edit?usp=sharing"",""สบก!DA20"")"),0)</f>
        <v>0</v>
      </c>
      <c r="M318" s="49"/>
      <c r="N318" s="49">
        <f ca="1">IFERROR(__xludf.DUMMYFUNCTION("IMPORTRANGE(""https://docs.google.com/spreadsheets/d/1Yj_ptqi66GCucihVvJfMjLAmec39IyEx_6qawtMGysU/edit?usp=sharing"",""สบก!DE20"")"),0)</f>
        <v>0</v>
      </c>
      <c r="O318" s="49">
        <f ca="1">IF(L318&gt;0,N318*100/L318,0)</f>
        <v>0</v>
      </c>
      <c r="P318" s="49"/>
    </row>
    <row r="319" spans="1:16" ht="21.75" customHeight="1" x14ac:dyDescent="0.3">
      <c r="A319" s="175"/>
      <c r="B319" s="176"/>
      <c r="C319" s="157" t="s">
        <v>16</v>
      </c>
      <c r="D319" s="177" t="s">
        <v>44</v>
      </c>
      <c r="E319" s="178"/>
      <c r="F319" s="178"/>
      <c r="G319" s="179"/>
      <c r="H319" s="180"/>
      <c r="I319" s="162"/>
      <c r="J319" s="187"/>
      <c r="K319" s="223"/>
      <c r="L319" s="168"/>
      <c r="M319" s="168"/>
      <c r="N319" s="168"/>
      <c r="O319" s="181"/>
      <c r="P319" s="181"/>
    </row>
    <row r="320" spans="1:16" ht="21.75" customHeight="1" x14ac:dyDescent="0.3">
      <c r="A320" s="175"/>
      <c r="B320" s="176"/>
      <c r="C320" s="176"/>
      <c r="D320" s="182">
        <v>1</v>
      </c>
      <c r="E320" s="183" t="s">
        <v>45</v>
      </c>
      <c r="F320" s="184"/>
      <c r="G320" s="185"/>
      <c r="H320" s="186"/>
      <c r="I320" s="187"/>
      <c r="J320" s="187">
        <f ca="1">IFERROR(__xludf.DUMMYFUNCTION("IMPORTRANGE(""https://docs.google.com/spreadsheets/d/11923uPwbBZFjjGgGUA6NLw09EwE0CqkOc4q9oUmW1yo/edit?usp=sharing"",""กำแพงเพชร!J220"")"),0)</f>
        <v>0</v>
      </c>
      <c r="K320" s="223"/>
      <c r="L320" s="168"/>
      <c r="M320" s="168"/>
      <c r="N320" s="168"/>
      <c r="O320" s="181"/>
      <c r="P320" s="181"/>
    </row>
    <row r="321" spans="1:16" ht="21.75" customHeight="1" x14ac:dyDescent="0.3">
      <c r="A321" s="175"/>
      <c r="B321" s="176"/>
      <c r="C321" s="176"/>
      <c r="D321" s="189">
        <v>2</v>
      </c>
      <c r="E321" s="190" t="s">
        <v>46</v>
      </c>
      <c r="F321" s="191"/>
      <c r="G321" s="192"/>
      <c r="H321" s="186"/>
      <c r="I321" s="187"/>
      <c r="J321" s="187">
        <f ca="1">IFERROR(__xludf.DUMMYFUNCTION("IMPORTRANGE(""https://docs.google.com/spreadsheets/d/11923uPwbBZFjjGgGUA6NLw09EwE0CqkOc4q9oUmW1yo/edit?usp=sharing"",""กำแพงเพชร!J221"")"),1)</f>
        <v>1</v>
      </c>
      <c r="K321" s="223"/>
      <c r="L321" s="168" t="s">
        <v>40</v>
      </c>
      <c r="M321" s="168"/>
      <c r="N321" s="168" t="s">
        <v>40</v>
      </c>
      <c r="O321" s="181"/>
      <c r="P321" s="181"/>
    </row>
    <row r="322" spans="1:16" ht="21.75" customHeight="1" x14ac:dyDescent="0.3">
      <c r="A322" s="175"/>
      <c r="B322" s="176"/>
      <c r="C322" s="176"/>
      <c r="D322" s="193"/>
      <c r="E322" s="194" t="s">
        <v>47</v>
      </c>
      <c r="F322" s="195"/>
      <c r="G322" s="196"/>
      <c r="H322" s="186"/>
      <c r="I322" s="187"/>
      <c r="J322" s="187">
        <f ca="1">IFERROR(__xludf.DUMMYFUNCTION("IMPORTRANGE(""https://docs.google.com/spreadsheets/d/11923uPwbBZFjjGgGUA6NLw09EwE0CqkOc4q9oUmW1yo/edit?usp=sharing"",""กำแพงเพชร!J222"")"),0)</f>
        <v>0</v>
      </c>
      <c r="K322" s="223"/>
      <c r="L322" s="168"/>
      <c r="M322" s="168"/>
      <c r="N322" s="168"/>
      <c r="O322" s="181"/>
      <c r="P322" s="181"/>
    </row>
    <row r="323" spans="1:16" ht="21.75" customHeight="1" x14ac:dyDescent="0.3">
      <c r="A323" s="175"/>
      <c r="B323" s="176"/>
      <c r="C323" s="176"/>
      <c r="D323" s="193"/>
      <c r="E323" s="194" t="s">
        <v>48</v>
      </c>
      <c r="F323" s="195"/>
      <c r="G323" s="196"/>
      <c r="H323" s="186"/>
      <c r="I323" s="187"/>
      <c r="J323" s="187">
        <f ca="1">IFERROR(__xludf.DUMMYFUNCTION("IMPORTRANGE(""https://docs.google.com/spreadsheets/d/11923uPwbBZFjjGgGUA6NLw09EwE0CqkOc4q9oUmW1yo/edit?usp=sharing"",""กำแพงเพชร!J223"")"),1)</f>
        <v>1</v>
      </c>
      <c r="K323" s="223"/>
      <c r="L323" s="168"/>
      <c r="M323" s="168"/>
      <c r="N323" s="168"/>
      <c r="O323" s="181"/>
      <c r="P323" s="181"/>
    </row>
    <row r="324" spans="1:16" ht="21.75" customHeight="1" x14ac:dyDescent="0.3">
      <c r="A324" s="175"/>
      <c r="B324" s="176"/>
      <c r="C324" s="176"/>
      <c r="D324" s="193"/>
      <c r="E324" s="198"/>
      <c r="F324" s="194" t="s">
        <v>117</v>
      </c>
      <c r="G324" s="196"/>
      <c r="H324" s="186" t="s">
        <v>116</v>
      </c>
      <c r="I324" s="187">
        <f ca="1">IFERROR(__xludf.DUMMYFUNCTION("IMPORTRANGE(""https://docs.google.com/spreadsheets/d/11923uPwbBZFjjGgGUA6NLw09EwE0CqkOc4q9oUmW1yo/edit?usp=sharing"",""กำแพงเพชร!I224"")"),1)</f>
        <v>1</v>
      </c>
      <c r="J324" s="203">
        <f ca="1">IFERROR(__xludf.DUMMYFUNCTION("IMPORTRANGE(""https://docs.google.com/spreadsheets/d/11923uPwbBZFjjGgGUA6NLw09EwE0CqkOc4q9oUmW1yo/edit?usp=sharing"",""กำแพงเพชร!J224"")"),1)</f>
        <v>1</v>
      </c>
      <c r="K324" s="223">
        <f ca="1">IF(I324&gt;0,J324*100/I324,0)</f>
        <v>100</v>
      </c>
      <c r="L324" s="168"/>
      <c r="M324" s="168"/>
      <c r="N324" s="168"/>
      <c r="O324" s="181"/>
      <c r="P324" s="181"/>
    </row>
    <row r="325" spans="1:16" ht="21.75" customHeight="1" x14ac:dyDescent="0.3">
      <c r="A325" s="175"/>
      <c r="B325" s="176"/>
      <c r="C325" s="176"/>
      <c r="D325" s="193"/>
      <c r="E325" s="194" t="s">
        <v>54</v>
      </c>
      <c r="F325" s="195"/>
      <c r="G325" s="196"/>
      <c r="H325" s="186"/>
      <c r="I325" s="187"/>
      <c r="J325" s="187">
        <f ca="1">IFERROR(__xludf.DUMMYFUNCTION("IMPORTRANGE(""https://docs.google.com/spreadsheets/d/11923uPwbBZFjjGgGUA6NLw09EwE0CqkOc4q9oUmW1yo/edit?usp=sharing"",""กำแพงเพชร!J225"")"),0)</f>
        <v>0</v>
      </c>
      <c r="K325" s="223"/>
      <c r="L325" s="168"/>
      <c r="M325" s="168"/>
      <c r="N325" s="168"/>
      <c r="O325" s="181"/>
      <c r="P325" s="181"/>
    </row>
    <row r="326" spans="1:16" ht="21.75" customHeight="1" x14ac:dyDescent="0.3">
      <c r="A326" s="175"/>
      <c r="B326" s="176"/>
      <c r="C326" s="176"/>
      <c r="D326" s="205">
        <v>3</v>
      </c>
      <c r="E326" s="206" t="s">
        <v>55</v>
      </c>
      <c r="F326" s="207"/>
      <c r="G326" s="208"/>
      <c r="H326" s="186"/>
      <c r="I326" s="187"/>
      <c r="J326" s="226">
        <f ca="1">IFERROR(__xludf.DUMMYFUNCTION("IMPORTRANGE(""https://docs.google.com/spreadsheets/d/11923uPwbBZFjjGgGUA6NLw09EwE0CqkOc4q9oUmW1yo/edit?usp=sharing"",""กำแพงเพชร!J226"")"),0)</f>
        <v>0</v>
      </c>
      <c r="K326" s="223"/>
      <c r="L326" s="168"/>
      <c r="M326" s="168"/>
      <c r="N326" s="168"/>
      <c r="O326" s="181"/>
      <c r="P326" s="181"/>
    </row>
    <row r="327" spans="1:16" ht="21.75" customHeight="1" x14ac:dyDescent="0.3">
      <c r="A327" s="302" t="s">
        <v>118</v>
      </c>
      <c r="B327" s="303"/>
      <c r="C327" s="303"/>
      <c r="D327" s="304"/>
      <c r="E327" s="303"/>
      <c r="F327" s="303"/>
      <c r="G327" s="317"/>
      <c r="H327" s="306"/>
      <c r="I327" s="307"/>
      <c r="J327" s="307"/>
      <c r="K327" s="308"/>
      <c r="L327" s="308"/>
      <c r="M327" s="308"/>
      <c r="N327" s="308"/>
      <c r="O327" s="309"/>
      <c r="P327" s="309"/>
    </row>
    <row r="328" spans="1:16" ht="21.75" customHeight="1" x14ac:dyDescent="0.3">
      <c r="A328" s="310"/>
      <c r="B328" s="336" t="s">
        <v>119</v>
      </c>
      <c r="C328" s="323"/>
      <c r="D328" s="311"/>
      <c r="E328" s="311"/>
      <c r="F328" s="311"/>
      <c r="G328" s="312"/>
      <c r="H328" s="313" t="s">
        <v>37</v>
      </c>
      <c r="I328" s="337">
        <f ca="1">IFERROR(__xludf.DUMMYFUNCTION("IMPORTRANGE(""https://docs.google.com/spreadsheets/d/11923uPwbBZFjjGgGUA6NLw09EwE0CqkOc4q9oUmW1yo/edit?usp=sharing"",""กำแพงเพชร!I228"")"),943)</f>
        <v>943</v>
      </c>
      <c r="J328" s="337">
        <f ca="1">IFERROR(__xludf.DUMMYFUNCTION("IMPORTRANGE(""https://docs.google.com/spreadsheets/d/11923uPwbBZFjjGgGUA6NLw09EwE0CqkOc4q9oUmW1yo/edit?usp=sharing"",""กำแพงเพชร!J228"")"),16)</f>
        <v>16</v>
      </c>
      <c r="K328" s="315">
        <f ca="1">IF(I328&gt;0,J328*100/I328,0)</f>
        <v>1.6967126193001061</v>
      </c>
      <c r="L328" s="316"/>
      <c r="M328" s="316"/>
      <c r="N328" s="316"/>
      <c r="O328" s="315"/>
      <c r="P328" s="315"/>
    </row>
    <row r="329" spans="1:16" ht="21.75" customHeight="1" x14ac:dyDescent="0.45">
      <c r="A329" s="145"/>
      <c r="B329" s="146"/>
      <c r="C329" s="147" t="s">
        <v>16</v>
      </c>
      <c r="D329" s="537" t="s">
        <v>17</v>
      </c>
      <c r="E329" s="528"/>
      <c r="F329" s="528"/>
      <c r="G329" s="528"/>
      <c r="H329" s="148" t="s">
        <v>12</v>
      </c>
      <c r="I329" s="162"/>
      <c r="J329" s="162"/>
      <c r="K329" s="163"/>
      <c r="L329" s="151">
        <f t="shared" ref="L329:N329" ca="1" si="98">L330+L331</f>
        <v>1961030</v>
      </c>
      <c r="M329" s="151">
        <f t="shared" ca="1" si="98"/>
        <v>1117030</v>
      </c>
      <c r="N329" s="151">
        <f t="shared" ca="1" si="98"/>
        <v>673338</v>
      </c>
      <c r="O329" s="150">
        <f t="shared" ref="O329:O331" ca="1" si="99">IF(L329&gt;0,N329*100/L329,0)</f>
        <v>34.335935707255878</v>
      </c>
      <c r="P329" s="150">
        <f t="shared" ref="P329:P331" ca="1" si="100">IF(M329&gt;0,N329*100/M329,0)</f>
        <v>60.279312104419759</v>
      </c>
    </row>
    <row r="330" spans="1:16" ht="21.75" customHeight="1" x14ac:dyDescent="0.45">
      <c r="A330" s="152"/>
      <c r="B330" s="32"/>
      <c r="C330" s="32"/>
      <c r="D330" s="32"/>
      <c r="E330" s="32"/>
      <c r="F330" s="32"/>
      <c r="G330" s="33" t="s">
        <v>18</v>
      </c>
      <c r="H330" s="153" t="s">
        <v>12</v>
      </c>
      <c r="I330" s="162"/>
      <c r="J330" s="162"/>
      <c r="K330" s="163"/>
      <c r="L330" s="87">
        <f t="shared" ref="L330:N330" si="101">L332+L336</f>
        <v>0</v>
      </c>
      <c r="M330" s="87">
        <f t="shared" si="101"/>
        <v>0</v>
      </c>
      <c r="N330" s="87">
        <f t="shared" si="101"/>
        <v>0</v>
      </c>
      <c r="O330" s="155">
        <f t="shared" si="99"/>
        <v>0</v>
      </c>
      <c r="P330" s="155">
        <f t="shared" si="100"/>
        <v>0</v>
      </c>
    </row>
    <row r="331" spans="1:16" ht="21.75" customHeight="1" x14ac:dyDescent="0.45">
      <c r="A331" s="152"/>
      <c r="B331" s="32"/>
      <c r="C331" s="32"/>
      <c r="D331" s="32"/>
      <c r="E331" s="32"/>
      <c r="F331" s="32"/>
      <c r="G331" s="33" t="s">
        <v>19</v>
      </c>
      <c r="H331" s="153" t="s">
        <v>12</v>
      </c>
      <c r="I331" s="162"/>
      <c r="J331" s="162"/>
      <c r="K331" s="163"/>
      <c r="L331" s="87">
        <f t="shared" ref="L331:N331" ca="1" si="102">L333+L337</f>
        <v>1961030</v>
      </c>
      <c r="M331" s="87">
        <f t="shared" ca="1" si="102"/>
        <v>1117030</v>
      </c>
      <c r="N331" s="87">
        <f t="shared" ca="1" si="102"/>
        <v>673338</v>
      </c>
      <c r="O331" s="155">
        <f t="shared" ca="1" si="99"/>
        <v>34.335935707255878</v>
      </c>
      <c r="P331" s="155">
        <f t="shared" ca="1" si="100"/>
        <v>60.279312104419759</v>
      </c>
    </row>
    <row r="332" spans="1:16" ht="21.75" customHeight="1" x14ac:dyDescent="0.3">
      <c r="A332" s="156"/>
      <c r="B332" s="157"/>
      <c r="C332" s="157" t="s">
        <v>16</v>
      </c>
      <c r="D332" s="158" t="s">
        <v>38</v>
      </c>
      <c r="E332" s="159"/>
      <c r="F332" s="159"/>
      <c r="G332" s="160" t="s">
        <v>39</v>
      </c>
      <c r="H332" s="161" t="s">
        <v>12</v>
      </c>
      <c r="I332" s="162" t="s">
        <v>40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3">
      <c r="A333" s="156"/>
      <c r="B333" s="157"/>
      <c r="C333" s="157"/>
      <c r="D333" s="166"/>
      <c r="E333" s="159"/>
      <c r="F333" s="159" t="s">
        <v>40</v>
      </c>
      <c r="G333" s="160" t="s">
        <v>41</v>
      </c>
      <c r="H333" s="161" t="s">
        <v>12</v>
      </c>
      <c r="I333" s="162"/>
      <c r="J333" s="162"/>
      <c r="K333" s="163"/>
      <c r="L333" s="167">
        <f ca="1">L334+L335</f>
        <v>1961030</v>
      </c>
      <c r="M333" s="167">
        <f ca="1">IFERROR(__xludf.DUMMYFUNCTION("IMPORTRANGE(""https://docs.google.com/spreadsheets/d/1Yj_ptqi66GCucihVvJfMjLAmec39IyEx_6qawtMGysU/edit?usp=sharing"",""สบก!DL20"")"),1117030)</f>
        <v>1117030</v>
      </c>
      <c r="N333" s="168">
        <f ca="1">IFERROR(__xludf.DUMMYFUNCTION("IMPORTRANGE(""https://docs.google.com/spreadsheets/d/1Yj_ptqi66GCucihVvJfMjLAmec39IyEx_6qawtMGysU/edit?usp=sharing"",""สบก!DM20"")"),673338)</f>
        <v>673338</v>
      </c>
      <c r="O333" s="168">
        <f ca="1">IF(L333&gt;0,N333*100/L333,0)</f>
        <v>34.335935707255878</v>
      </c>
      <c r="P333" s="168">
        <f ca="1">IF(M333&gt;0,N333*100/M333,0)</f>
        <v>60.279312104419759</v>
      </c>
    </row>
    <row r="334" spans="1:16" ht="21.75" customHeight="1" x14ac:dyDescent="0.3">
      <c r="A334" s="156"/>
      <c r="B334" s="157"/>
      <c r="C334" s="157"/>
      <c r="D334" s="166"/>
      <c r="E334" s="159"/>
      <c r="F334" s="159"/>
      <c r="G334" s="169" t="s">
        <v>42</v>
      </c>
      <c r="H334" s="161" t="s">
        <v>12</v>
      </c>
      <c r="I334" s="162"/>
      <c r="J334" s="162"/>
      <c r="K334" s="163"/>
      <c r="L334" s="167">
        <f ca="1">IFERROR(__xludf.DUMMYFUNCTION("IMPORTRANGE(""https://docs.google.com/spreadsheets/d/1Yj_ptqi66GCucihVvJfMjLAmec39IyEx_6qawtMGysU/edit?usp=sharing"",""สบก!DH20"")"),607100)</f>
        <v>607100</v>
      </c>
      <c r="M334" s="167"/>
      <c r="N334" s="167"/>
      <c r="O334" s="168"/>
      <c r="P334" s="168"/>
    </row>
    <row r="335" spans="1:16" ht="21.75" customHeight="1" x14ac:dyDescent="0.3">
      <c r="A335" s="156"/>
      <c r="B335" s="157"/>
      <c r="C335" s="157"/>
      <c r="D335" s="166"/>
      <c r="E335" s="159"/>
      <c r="F335" s="159"/>
      <c r="G335" s="169" t="s">
        <v>43</v>
      </c>
      <c r="H335" s="161" t="s">
        <v>12</v>
      </c>
      <c r="I335" s="162"/>
      <c r="J335" s="162"/>
      <c r="K335" s="163"/>
      <c r="L335" s="167">
        <f ca="1">IFERROR(__xludf.DUMMYFUNCTION("IMPORTRANGE(""https://docs.google.com/spreadsheets/d/1Yj_ptqi66GCucihVvJfMjLAmec39IyEx_6qawtMGysU/edit?usp=sharing"",""สบก!DI20"")"),1353930)</f>
        <v>1353930</v>
      </c>
      <c r="M335" s="167"/>
      <c r="N335" s="167"/>
      <c r="O335" s="168"/>
      <c r="P335" s="168"/>
    </row>
    <row r="336" spans="1:16" ht="21.75" customHeight="1" x14ac:dyDescent="0.45">
      <c r="A336" s="170"/>
      <c r="B336" s="80"/>
      <c r="C336" s="81" t="s">
        <v>16</v>
      </c>
      <c r="D336" s="534" t="s">
        <v>23</v>
      </c>
      <c r="E336" s="530"/>
      <c r="F336" s="88"/>
      <c r="G336" s="82" t="s">
        <v>18</v>
      </c>
      <c r="H336" s="171" t="s">
        <v>12</v>
      </c>
      <c r="I336" s="162"/>
      <c r="J336" s="162"/>
      <c r="K336" s="163"/>
      <c r="L336" s="41">
        <v>0</v>
      </c>
      <c r="M336" s="41"/>
      <c r="N336" s="41"/>
      <c r="O336" s="41"/>
      <c r="P336" s="41"/>
    </row>
    <row r="337" spans="1:16" ht="21.75" customHeight="1" x14ac:dyDescent="0.45">
      <c r="A337" s="172"/>
      <c r="B337" s="91"/>
      <c r="C337" s="91"/>
      <c r="D337" s="173"/>
      <c r="E337" s="92"/>
      <c r="F337" s="92"/>
      <c r="G337" s="93" t="s">
        <v>19</v>
      </c>
      <c r="H337" s="174" t="s">
        <v>12</v>
      </c>
      <c r="I337" s="162"/>
      <c r="J337" s="162"/>
      <c r="K337" s="163"/>
      <c r="L337" s="49">
        <f ca="1">IFERROR(__xludf.DUMMYFUNCTION("IMPORTRANGE(""https://docs.google.com/spreadsheets/d/1Yj_ptqi66GCucihVvJfMjLAmec39IyEx_6qawtMGysU/edit?usp=sharing"",""สบก!DJ20"")"),0)</f>
        <v>0</v>
      </c>
      <c r="M337" s="49"/>
      <c r="N337" s="49">
        <f ca="1">IFERROR(__xludf.DUMMYFUNCTION("IMPORTRANGE(""https://docs.google.com/spreadsheets/d/1Yj_ptqi66GCucihVvJfMjLAmec39IyEx_6qawtMGysU/edit?usp=sharing"",""สบก!DN20"")"),0)</f>
        <v>0</v>
      </c>
      <c r="O337" s="49">
        <f ca="1">IF(L337&gt;0,N337*100/L337,0)</f>
        <v>0</v>
      </c>
      <c r="P337" s="49"/>
    </row>
    <row r="338" spans="1:16" ht="21.75" customHeight="1" x14ac:dyDescent="0.3">
      <c r="A338" s="175"/>
      <c r="B338" s="289"/>
      <c r="C338" s="338" t="s">
        <v>120</v>
      </c>
      <c r="D338" s="195"/>
      <c r="E338" s="195"/>
      <c r="F338" s="195"/>
      <c r="G338" s="196"/>
      <c r="H338" s="180"/>
      <c r="I338" s="339"/>
      <c r="J338" s="339"/>
      <c r="K338" s="340"/>
      <c r="L338" s="181"/>
      <c r="M338" s="181"/>
      <c r="N338" s="181"/>
      <c r="O338" s="341"/>
      <c r="P338" s="341"/>
    </row>
    <row r="339" spans="1:16" ht="21.75" customHeight="1" x14ac:dyDescent="0.3">
      <c r="A339" s="175"/>
      <c r="B339" s="289"/>
      <c r="C339" s="176"/>
      <c r="D339" s="195"/>
      <c r="E339" s="194" t="s">
        <v>121</v>
      </c>
      <c r="F339" s="195"/>
      <c r="G339" s="196"/>
      <c r="H339" s="342" t="s">
        <v>37</v>
      </c>
      <c r="I339" s="203">
        <f ca="1">IFERROR(__xludf.DUMMYFUNCTION("IMPORTRANGE(""https://docs.google.com/spreadsheets/d/11923uPwbBZFjjGgGUA6NLw09EwE0CqkOc4q9oUmW1yo/edit?usp=sharing"",""กำแพงเพชร!I234"")"),0)</f>
        <v>0</v>
      </c>
      <c r="J339" s="187">
        <f ca="1">IFERROR(__xludf.DUMMYFUNCTION("IMPORTRANGE(""https://docs.google.com/spreadsheets/d/11923uPwbBZFjjGgGUA6NLw09EwE0CqkOc4q9oUmW1yo/edit?usp=sharing"",""กำแพงเพชร!J234"")"),152)</f>
        <v>152</v>
      </c>
      <c r="K339" s="340">
        <f t="shared" ref="K339:K346" ca="1" si="103">IF(I339&gt;0,J339*100/I339,0)</f>
        <v>0</v>
      </c>
      <c r="L339" s="181"/>
      <c r="M339" s="181"/>
      <c r="N339" s="181"/>
      <c r="O339" s="341"/>
      <c r="P339" s="341"/>
    </row>
    <row r="340" spans="1:16" ht="21.75" customHeight="1" x14ac:dyDescent="0.3">
      <c r="A340" s="175"/>
      <c r="B340" s="289"/>
      <c r="C340" s="176"/>
      <c r="D340" s="195"/>
      <c r="E340" s="195"/>
      <c r="F340" s="195"/>
      <c r="G340" s="196"/>
      <c r="H340" s="342" t="s">
        <v>122</v>
      </c>
      <c r="I340" s="187">
        <f ca="1">IFERROR(__xludf.DUMMYFUNCTION("IMPORTRANGE(""https://docs.google.com/spreadsheets/d/11923uPwbBZFjjGgGUA6NLw09EwE0CqkOc4q9oUmW1yo/edit?usp=sharing"",""กำแพงเพชร!I235"")"),8400)</f>
        <v>8400</v>
      </c>
      <c r="J340" s="187">
        <f ca="1">IFERROR(__xludf.DUMMYFUNCTION("IMPORTRANGE(""https://docs.google.com/spreadsheets/d/11923uPwbBZFjjGgGUA6NLw09EwE0CqkOc4q9oUmW1yo/edit?usp=sharing"",""กำแพงเพชร!J235"")"),1449.24)</f>
        <v>1449.24</v>
      </c>
      <c r="K340" s="340">
        <f t="shared" ca="1" si="103"/>
        <v>17.252857142857142</v>
      </c>
      <c r="L340" s="181"/>
      <c r="M340" s="181"/>
      <c r="N340" s="181"/>
      <c r="O340" s="341"/>
      <c r="P340" s="341"/>
    </row>
    <row r="341" spans="1:16" ht="21.75" customHeight="1" x14ac:dyDescent="0.3">
      <c r="A341" s="175"/>
      <c r="B341" s="289"/>
      <c r="C341" s="176"/>
      <c r="D341" s="195"/>
      <c r="E341" s="194" t="s">
        <v>123</v>
      </c>
      <c r="F341" s="195"/>
      <c r="G341" s="196"/>
      <c r="H341" s="180" t="s">
        <v>37</v>
      </c>
      <c r="I341" s="187">
        <f ca="1">IFERROR(__xludf.DUMMYFUNCTION("IMPORTRANGE(""https://docs.google.com/spreadsheets/d/11923uPwbBZFjjGgGUA6NLw09EwE0CqkOc4q9oUmW1yo/edit?usp=sharing"",""กำแพงเพชร!I236"")"),943)</f>
        <v>943</v>
      </c>
      <c r="J341" s="187">
        <f ca="1">IFERROR(__xludf.DUMMYFUNCTION("IMPORTRANGE(""https://docs.google.com/spreadsheets/d/11923uPwbBZFjjGgGUA6NLw09EwE0CqkOc4q9oUmW1yo/edit?usp=sharing"",""กำแพงเพชร!J236"")"),113)</f>
        <v>113</v>
      </c>
      <c r="K341" s="340">
        <f t="shared" ca="1" si="103"/>
        <v>11.983032873807</v>
      </c>
      <c r="L341" s="181"/>
      <c r="M341" s="181"/>
      <c r="N341" s="181"/>
      <c r="O341" s="341"/>
      <c r="P341" s="341"/>
    </row>
    <row r="342" spans="1:16" ht="21.75" customHeight="1" x14ac:dyDescent="0.3">
      <c r="A342" s="175"/>
      <c r="B342" s="289"/>
      <c r="C342" s="176"/>
      <c r="D342" s="195"/>
      <c r="E342" s="195"/>
      <c r="F342" s="195"/>
      <c r="G342" s="196"/>
      <c r="H342" s="180" t="s">
        <v>122</v>
      </c>
      <c r="I342" s="343">
        <f ca="1">IFERROR(__xludf.DUMMYFUNCTION("IMPORTRANGE(""https://docs.google.com/spreadsheets/d/11923uPwbBZFjjGgGUA6NLw09EwE0CqkOc4q9oUmW1yo/edit?usp=sharing"",""กำแพงเพชร!I237"")"),0)</f>
        <v>0</v>
      </c>
      <c r="J342" s="187">
        <f ca="1">IFERROR(__xludf.DUMMYFUNCTION("IMPORTRANGE(""https://docs.google.com/spreadsheets/d/11923uPwbBZFjjGgGUA6NLw09EwE0CqkOc4q9oUmW1yo/edit?usp=sharing"",""กำแพงเพชร!J237"")"),1744.74)</f>
        <v>1744.74</v>
      </c>
      <c r="K342" s="340">
        <f t="shared" ca="1" si="103"/>
        <v>0</v>
      </c>
      <c r="L342" s="181"/>
      <c r="M342" s="181"/>
      <c r="N342" s="181"/>
      <c r="O342" s="341"/>
      <c r="P342" s="341"/>
    </row>
    <row r="343" spans="1:16" ht="21.75" customHeight="1" x14ac:dyDescent="0.3">
      <c r="A343" s="175"/>
      <c r="B343" s="289"/>
      <c r="C343" s="176"/>
      <c r="D343" s="195"/>
      <c r="E343" s="194" t="s">
        <v>124</v>
      </c>
      <c r="F343" s="195"/>
      <c r="G343" s="196"/>
      <c r="H343" s="180" t="s">
        <v>37</v>
      </c>
      <c r="I343" s="187">
        <f ca="1">IFERROR(__xludf.DUMMYFUNCTION("IMPORTRANGE(""https://docs.google.com/spreadsheets/d/11923uPwbBZFjjGgGUA6NLw09EwE0CqkOc4q9oUmW1yo/edit?usp=sharing"",""กำแพงเพชร!I238"")"),943)</f>
        <v>943</v>
      </c>
      <c r="J343" s="187">
        <f ca="1">IFERROR(__xludf.DUMMYFUNCTION("IMPORTRANGE(""https://docs.google.com/spreadsheets/d/11923uPwbBZFjjGgGUA6NLw09EwE0CqkOc4q9oUmW1yo/edit?usp=sharing"",""กำแพงเพชร!J238"")"),0)</f>
        <v>0</v>
      </c>
      <c r="K343" s="340">
        <f t="shared" ca="1" si="103"/>
        <v>0</v>
      </c>
      <c r="L343" s="181"/>
      <c r="M343" s="181"/>
      <c r="N343" s="181"/>
      <c r="O343" s="341"/>
      <c r="P343" s="341"/>
    </row>
    <row r="344" spans="1:16" ht="21.75" customHeight="1" x14ac:dyDescent="0.3">
      <c r="A344" s="175"/>
      <c r="B344" s="289"/>
      <c r="C344" s="176"/>
      <c r="D344" s="195"/>
      <c r="E344" s="195"/>
      <c r="F344" s="195"/>
      <c r="G344" s="196"/>
      <c r="H344" s="180" t="s">
        <v>122</v>
      </c>
      <c r="I344" s="343">
        <f ca="1">IFERROR(__xludf.DUMMYFUNCTION("IMPORTRANGE(""https://docs.google.com/spreadsheets/d/11923uPwbBZFjjGgGUA6NLw09EwE0CqkOc4q9oUmW1yo/edit?usp=sharing"",""กำแพงเพชร!I239"")"),0)</f>
        <v>0</v>
      </c>
      <c r="J344" s="187">
        <f ca="1">IFERROR(__xludf.DUMMYFUNCTION("IMPORTRANGE(""https://docs.google.com/spreadsheets/d/11923uPwbBZFjjGgGUA6NLw09EwE0CqkOc4q9oUmW1yo/edit?usp=sharing"",""กำแพงเพชร!J239"")"),0)</f>
        <v>0</v>
      </c>
      <c r="K344" s="340">
        <f t="shared" ca="1" si="103"/>
        <v>0</v>
      </c>
      <c r="L344" s="181"/>
      <c r="M344" s="181"/>
      <c r="N344" s="181"/>
      <c r="O344" s="341"/>
      <c r="P344" s="341"/>
    </row>
    <row r="345" spans="1:16" ht="21.75" customHeight="1" x14ac:dyDescent="0.3">
      <c r="A345" s="175"/>
      <c r="B345" s="289"/>
      <c r="C345" s="176"/>
      <c r="D345" s="195"/>
      <c r="E345" s="194" t="s">
        <v>125</v>
      </c>
      <c r="F345" s="195"/>
      <c r="G345" s="196"/>
      <c r="H345" s="180" t="s">
        <v>37</v>
      </c>
      <c r="I345" s="187">
        <f ca="1">IFERROR(__xludf.DUMMYFUNCTION("IMPORTRANGE(""https://docs.google.com/spreadsheets/d/11923uPwbBZFjjGgGUA6NLw09EwE0CqkOc4q9oUmW1yo/edit?usp=sharing"",""กำแพงเพชร!I240"")"),943)</f>
        <v>943</v>
      </c>
      <c r="J345" s="187">
        <f ca="1">IFERROR(__xludf.DUMMYFUNCTION("IMPORTRANGE(""https://docs.google.com/spreadsheets/d/11923uPwbBZFjjGgGUA6NLw09EwE0CqkOc4q9oUmW1yo/edit?usp=sharing"",""กำแพงเพชร!J240"")"),16)</f>
        <v>16</v>
      </c>
      <c r="K345" s="340">
        <f t="shared" ca="1" si="103"/>
        <v>1.6967126193001061</v>
      </c>
      <c r="L345" s="181"/>
      <c r="M345" s="181"/>
      <c r="N345" s="181"/>
      <c r="O345" s="341"/>
      <c r="P345" s="341"/>
    </row>
    <row r="346" spans="1:16" ht="21.75" customHeight="1" x14ac:dyDescent="0.3">
      <c r="A346" s="233"/>
      <c r="B346" s="344"/>
      <c r="C346" s="234"/>
      <c r="D346" s="344"/>
      <c r="E346" s="345"/>
      <c r="F346" s="345"/>
      <c r="G346" s="346"/>
      <c r="H346" s="347" t="s">
        <v>122</v>
      </c>
      <c r="I346" s="348">
        <f ca="1">IFERROR(__xludf.DUMMYFUNCTION("IMPORTRANGE(""https://docs.google.com/spreadsheets/d/11923uPwbBZFjjGgGUA6NLw09EwE0CqkOc4q9oUmW1yo/edit?usp=sharing"",""กำแพงเพชร!I241"")"),0)</f>
        <v>0</v>
      </c>
      <c r="J346" s="187">
        <f ca="1">IFERROR(__xludf.DUMMYFUNCTION("IMPORTRANGE(""https://docs.google.com/spreadsheets/d/11923uPwbBZFjjGgGUA6NLw09EwE0CqkOc4q9oUmW1yo/edit?usp=sharing"",""กำแพงเพชร!J241"")"),266.41)</f>
        <v>266.41000000000003</v>
      </c>
      <c r="K346" s="349">
        <f t="shared" ca="1" si="103"/>
        <v>0</v>
      </c>
      <c r="L346" s="244"/>
      <c r="M346" s="244"/>
      <c r="N346" s="244"/>
      <c r="O346" s="350"/>
      <c r="P346" s="350"/>
    </row>
    <row r="347" spans="1:16" ht="21.75" customHeight="1" x14ac:dyDescent="0.3">
      <c r="A347" s="351" t="s">
        <v>126</v>
      </c>
      <c r="B347" s="352"/>
      <c r="C347" s="352"/>
      <c r="D347" s="352"/>
      <c r="E347" s="352"/>
      <c r="F347" s="352"/>
      <c r="G347" s="353"/>
      <c r="H347" s="354"/>
      <c r="I347" s="355"/>
      <c r="J347" s="355"/>
      <c r="K347" s="356"/>
      <c r="L347" s="356">
        <f ca="1">IFERROR(__xludf.DUMMYFUNCTION("IMPORTRANGE(""https://docs.google.com/spreadsheets/d/11923uPwbBZFjjGgGUA6NLw09EwE0CqkOc4q9oUmW1yo/edit?usp=sharing"",""กำแพงเพชร!L242"")"),3331736)</f>
        <v>3331736</v>
      </c>
      <c r="M347" s="356"/>
      <c r="N347" s="356">
        <f ca="1">IFERROR(__xludf.DUMMYFUNCTION("IMPORTRANGE(""https://docs.google.com/spreadsheets/d/11923uPwbBZFjjGgGUA6NLw09EwE0CqkOc4q9oUmW1yo/edit?usp=sharing"",""กำแพงเพชร!M242"")"),352253.67)</f>
        <v>352253.67</v>
      </c>
      <c r="O347" s="356">
        <f ca="1">+IF(L347&gt;0,N347*100/L347,0)</f>
        <v>10.572676526591543</v>
      </c>
      <c r="P347" s="356"/>
    </row>
    <row r="348" spans="1:16" ht="21.75" customHeight="1" x14ac:dyDescent="0.3">
      <c r="A348" s="357" t="s">
        <v>127</v>
      </c>
      <c r="B348" s="358"/>
      <c r="C348" s="358"/>
      <c r="D348" s="358"/>
      <c r="E348" s="358"/>
      <c r="F348" s="358"/>
      <c r="G348" s="359"/>
      <c r="H348" s="360"/>
      <c r="I348" s="361"/>
      <c r="J348" s="361"/>
      <c r="K348" s="362"/>
      <c r="L348" s="362"/>
      <c r="M348" s="362"/>
      <c r="N348" s="362"/>
      <c r="O348" s="363"/>
      <c r="P348" s="363"/>
    </row>
    <row r="349" spans="1:16" ht="21.75" customHeight="1" x14ac:dyDescent="0.3">
      <c r="A349" s="364"/>
      <c r="B349" s="365">
        <v>1</v>
      </c>
      <c r="C349" s="366" t="s">
        <v>128</v>
      </c>
      <c r="D349" s="366"/>
      <c r="E349" s="366"/>
      <c r="F349" s="366"/>
      <c r="G349" s="367"/>
      <c r="H349" s="368" t="s">
        <v>122</v>
      </c>
      <c r="I349" s="369">
        <f ca="1">IFERROR(__xludf.DUMMYFUNCTION("IMPORTRANGE(""https://docs.google.com/spreadsheets/d/11923uPwbBZFjjGgGUA6NLw09EwE0CqkOc4q9oUmW1yo/edit?usp=sharing"",""กำแพงเพชร!I244"")"),0)</f>
        <v>0</v>
      </c>
      <c r="J349" s="369">
        <f ca="1">IFERROR(__xludf.DUMMYFUNCTION("IMPORTRANGE(""https://docs.google.com/spreadsheets/d/11923uPwbBZFjjGgGUA6NLw09EwE0CqkOc4q9oUmW1yo/edit?usp=sharing"",""กำแพงเพชร!J244"")"),0)</f>
        <v>0</v>
      </c>
      <c r="K349" s="370">
        <f t="shared" ref="K349:K350" ca="1" si="104">IF(I349&gt;0,J349*100/I349,0)</f>
        <v>0</v>
      </c>
      <c r="L349" s="371">
        <f ca="1">IFERROR(__xludf.DUMMYFUNCTION("IMPORTRANGE(""https://docs.google.com/spreadsheets/d/11923uPwbBZFjjGgGUA6NLw09EwE0CqkOc4q9oUmW1yo/edit?usp=sharing"",""กำแพงเพชร!L244"")"),0)</f>
        <v>0</v>
      </c>
      <c r="M349" s="371"/>
      <c r="N349" s="371">
        <f ca="1">IFERROR(__xludf.DUMMYFUNCTION("IMPORTRANGE(""https://docs.google.com/spreadsheets/d/11923uPwbBZFjjGgGUA6NLw09EwE0CqkOc4q9oUmW1yo/edit?usp=sharing"",""กำแพงเพชร!M244"")"),0)</f>
        <v>0</v>
      </c>
      <c r="O349" s="371">
        <f ca="1">+IF(L349&gt;0,N349*100/L349,0)</f>
        <v>0</v>
      </c>
      <c r="P349" s="371"/>
    </row>
    <row r="350" spans="1:16" ht="21.75" customHeight="1" x14ac:dyDescent="0.3">
      <c r="A350" s="364"/>
      <c r="B350" s="365"/>
      <c r="C350" s="366"/>
      <c r="D350" s="366"/>
      <c r="E350" s="366"/>
      <c r="F350" s="366"/>
      <c r="G350" s="367"/>
      <c r="H350" s="368" t="s">
        <v>37</v>
      </c>
      <c r="I350" s="369">
        <f ca="1">IFERROR(__xludf.DUMMYFUNCTION("IMPORTRANGE(""https://docs.google.com/spreadsheets/d/11923uPwbBZFjjGgGUA6NLw09EwE0CqkOc4q9oUmW1yo/edit?usp=sharing"",""กำแพงเพชร!I245"")"),0)</f>
        <v>0</v>
      </c>
      <c r="J350" s="369">
        <f ca="1">IFERROR(__xludf.DUMMYFUNCTION("IMPORTRANGE(""https://docs.google.com/spreadsheets/d/11923uPwbBZFjjGgGUA6NLw09EwE0CqkOc4q9oUmW1yo/edit?usp=sharing"",""กำแพงเพชร!J245"")"),0)</f>
        <v>0</v>
      </c>
      <c r="K350" s="370">
        <f t="shared" ca="1" si="104"/>
        <v>0</v>
      </c>
      <c r="L350" s="371"/>
      <c r="M350" s="371"/>
      <c r="N350" s="371"/>
      <c r="O350" s="371"/>
      <c r="P350" s="371"/>
    </row>
    <row r="351" spans="1:16" ht="21.75" customHeight="1" x14ac:dyDescent="0.3">
      <c r="A351" s="156"/>
      <c r="B351" s="157"/>
      <c r="C351" s="157" t="s">
        <v>16</v>
      </c>
      <c r="D351" s="158" t="s">
        <v>38</v>
      </c>
      <c r="E351" s="159"/>
      <c r="F351" s="159"/>
      <c r="G351" s="160" t="s">
        <v>39</v>
      </c>
      <c r="H351" s="161" t="s">
        <v>12</v>
      </c>
      <c r="I351" s="162" t="s">
        <v>40</v>
      </c>
      <c r="J351" s="162"/>
      <c r="K351" s="163"/>
      <c r="L351" s="164">
        <f ca="1">IFERROR(__xludf.DUMMYFUNCTION("IMPORTRANGE(""https://docs.google.com/spreadsheets/d/11923uPwbBZFjjGgGUA6NLw09EwE0CqkOc4q9oUmW1yo/edit?usp=sharing"",""กำแพงเพชร!L246"")"),0)</f>
        <v>0</v>
      </c>
      <c r="M351" s="164"/>
      <c r="N351" s="164">
        <f ca="1">IFERROR(__xludf.DUMMYFUNCTION("IMPORTRANGE(""https://docs.google.com/spreadsheets/d/11923uPwbBZFjjGgGUA6NLw09EwE0CqkOc4q9oUmW1yo/edit?usp=sharing"",""กำแพงเพชร!M246"")"),0)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3">
      <c r="A352" s="156"/>
      <c r="B352" s="157"/>
      <c r="C352" s="157"/>
      <c r="D352" s="166"/>
      <c r="E352" s="159"/>
      <c r="F352" s="159" t="s">
        <v>40</v>
      </c>
      <c r="G352" s="160" t="s">
        <v>41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IFERROR(__xludf.DUMMYFUNCTION("IMPORTRANGE(""https://docs.google.com/spreadsheets/d/11923uPwbBZFjjGgGUA6NLw09EwE0CqkOc4q9oUmW1yo/edit?usp=sharing"",""กำแพงเพชร!L247"")"),0)</f>
        <v>0</v>
      </c>
      <c r="M352" s="165"/>
      <c r="N352" s="164">
        <f ca="1">IFERROR(__xludf.DUMMYFUNCTION("IMPORTRANGE(""https://docs.google.com/spreadsheets/d/11923uPwbBZFjjGgGUA6NLw09EwE0CqkOc4q9oUmW1yo/edit?usp=sharing"",""กำแพงเพชร!M247"")"),0)</f>
        <v>0</v>
      </c>
      <c r="O352" s="165">
        <f t="shared" ca="1" si="105"/>
        <v>0</v>
      </c>
      <c r="P352" s="165"/>
    </row>
    <row r="353" spans="1:16" ht="21.75" customHeight="1" x14ac:dyDescent="0.3">
      <c r="A353" s="156"/>
      <c r="B353" s="157"/>
      <c r="C353" s="157"/>
      <c r="D353" s="166"/>
      <c r="E353" s="159"/>
      <c r="F353" s="159"/>
      <c r="G353" s="372" t="s">
        <v>129</v>
      </c>
      <c r="H353" s="161" t="s">
        <v>12</v>
      </c>
      <c r="I353" s="162"/>
      <c r="J353" s="162"/>
      <c r="K353" s="163"/>
      <c r="L353" s="168">
        <f ca="1">IFERROR(__xludf.DUMMYFUNCTION("IMPORTRANGE(""https://docs.google.com/spreadsheets/d/11923uPwbBZFjjGgGUA6NLw09EwE0CqkOc4q9oUmW1yo/edit?usp=sharing"",""กำแพงเพชร!L248"")"),0)</f>
        <v>0</v>
      </c>
      <c r="M353" s="168"/>
      <c r="N353" s="168">
        <f ca="1">IFERROR(__xludf.DUMMYFUNCTION("IMPORTRANGE(""https://docs.google.com/spreadsheets/d/11923uPwbBZFjjGgGUA6NLw09EwE0CqkOc4q9oUmW1yo/edit?usp=sharing"",""กำแพงเพชร!M248"")"),0)</f>
        <v>0</v>
      </c>
      <c r="O353" s="168">
        <f t="shared" ca="1" si="105"/>
        <v>0</v>
      </c>
      <c r="P353" s="168"/>
    </row>
    <row r="354" spans="1:16" ht="21.75" customHeight="1" x14ac:dyDescent="0.3">
      <c r="A354" s="156"/>
      <c r="B354" s="157"/>
      <c r="C354" s="157"/>
      <c r="D354" s="166"/>
      <c r="E354" s="159"/>
      <c r="F354" s="159"/>
      <c r="G354" s="372" t="s">
        <v>130</v>
      </c>
      <c r="H354" s="161" t="s">
        <v>12</v>
      </c>
      <c r="I354" s="162"/>
      <c r="J354" s="162"/>
      <c r="K354" s="163"/>
      <c r="L354" s="168">
        <f ca="1">IFERROR(__xludf.DUMMYFUNCTION("IMPORTRANGE(""https://docs.google.com/spreadsheets/d/11923uPwbBZFjjGgGUA6NLw09EwE0CqkOc4q9oUmW1yo/edit?usp=sharing"",""กำแพงเพชร!L249"")"),0)</f>
        <v>0</v>
      </c>
      <c r="M354" s="168"/>
      <c r="N354" s="167">
        <f ca="1">IFERROR(__xludf.DUMMYFUNCTION("IMPORTRANGE(""https://docs.google.com/spreadsheets/d/11923uPwbBZFjjGgGUA6NLw09EwE0CqkOc4q9oUmW1yo/edit?usp=sharing"",""กำแพงเพชร!M249"")"),0)</f>
        <v>0</v>
      </c>
      <c r="O354" s="168">
        <f t="shared" ca="1" si="105"/>
        <v>0</v>
      </c>
      <c r="P354" s="168"/>
    </row>
    <row r="355" spans="1:16" ht="21.75" customHeight="1" x14ac:dyDescent="0.3">
      <c r="A355" s="373"/>
      <c r="B355" s="374"/>
      <c r="C355" s="157"/>
      <c r="D355" s="375"/>
      <c r="E355" s="159"/>
      <c r="F355" s="159"/>
      <c r="G355" s="376" t="s">
        <v>131</v>
      </c>
      <c r="H355" s="161" t="s">
        <v>12</v>
      </c>
      <c r="I355" s="187"/>
      <c r="J355" s="187"/>
      <c r="K355" s="223"/>
      <c r="L355" s="168"/>
      <c r="M355" s="168"/>
      <c r="N355" s="377">
        <f ca="1">IFERROR(__xludf.DUMMYFUNCTION("IMPORTRANGE(""https://docs.google.com/spreadsheets/d/11923uPwbBZFjjGgGUA6NLw09EwE0CqkOc4q9oUmW1yo/edit?usp=sharing"",""กำแพงเพชร!M250"")"),0)</f>
        <v>0</v>
      </c>
      <c r="O355" s="168"/>
      <c r="P355" s="168"/>
    </row>
    <row r="356" spans="1:16" ht="21.75" customHeight="1" x14ac:dyDescent="0.3">
      <c r="A356" s="373"/>
      <c r="B356" s="374"/>
      <c r="C356" s="157"/>
      <c r="D356" s="375"/>
      <c r="E356" s="159"/>
      <c r="F356" s="159"/>
      <c r="G356" s="376" t="s">
        <v>132</v>
      </c>
      <c r="H356" s="161" t="s">
        <v>12</v>
      </c>
      <c r="I356" s="187"/>
      <c r="J356" s="187"/>
      <c r="K356" s="223"/>
      <c r="L356" s="168"/>
      <c r="M356" s="168"/>
      <c r="N356" s="377">
        <f ca="1">IFERROR(__xludf.DUMMYFUNCTION("IMPORTRANGE(""https://docs.google.com/spreadsheets/d/11923uPwbBZFjjGgGUA6NLw09EwE0CqkOc4q9oUmW1yo/edit?usp=sharing"",""กำแพงเพชร!M251"")"),0)</f>
        <v>0</v>
      </c>
      <c r="O356" s="168"/>
      <c r="P356" s="168"/>
    </row>
    <row r="357" spans="1:16" ht="21.75" customHeight="1" x14ac:dyDescent="0.3">
      <c r="A357" s="373"/>
      <c r="B357" s="374"/>
      <c r="C357" s="157"/>
      <c r="D357" s="375"/>
      <c r="E357" s="159"/>
      <c r="F357" s="159"/>
      <c r="G357" s="376" t="s">
        <v>133</v>
      </c>
      <c r="H357" s="161" t="s">
        <v>12</v>
      </c>
      <c r="I357" s="187"/>
      <c r="J357" s="187"/>
      <c r="K357" s="223"/>
      <c r="L357" s="168"/>
      <c r="M357" s="168"/>
      <c r="N357" s="377">
        <f ca="1">IFERROR(__xludf.DUMMYFUNCTION("IMPORTRANGE(""https://docs.google.com/spreadsheets/d/11923uPwbBZFjjGgGUA6NLw09EwE0CqkOc4q9oUmW1yo/edit?usp=sharing"",""กำแพงเพชร!M252"")"),0)</f>
        <v>0</v>
      </c>
      <c r="O357" s="168"/>
      <c r="P357" s="168"/>
    </row>
    <row r="358" spans="1:16" ht="21.75" customHeight="1" x14ac:dyDescent="0.3">
      <c r="A358" s="373"/>
      <c r="B358" s="374"/>
      <c r="C358" s="157"/>
      <c r="D358" s="375"/>
      <c r="E358" s="159"/>
      <c r="F358" s="159"/>
      <c r="G358" s="376" t="s">
        <v>134</v>
      </c>
      <c r="H358" s="161" t="s">
        <v>12</v>
      </c>
      <c r="I358" s="187"/>
      <c r="J358" s="187"/>
      <c r="K358" s="223"/>
      <c r="L358" s="168"/>
      <c r="M358" s="168"/>
      <c r="N358" s="377">
        <f ca="1">IFERROR(__xludf.DUMMYFUNCTION("IMPORTRANGE(""https://docs.google.com/spreadsheets/d/11923uPwbBZFjjGgGUA6NLw09EwE0CqkOc4q9oUmW1yo/edit?usp=sharing"",""กำแพงเพชร!M253"")"),0)</f>
        <v>0</v>
      </c>
      <c r="O358" s="168"/>
      <c r="P358" s="168"/>
    </row>
    <row r="359" spans="1:16" ht="21.75" customHeight="1" x14ac:dyDescent="0.3">
      <c r="A359" s="175"/>
      <c r="B359" s="176"/>
      <c r="C359" s="157" t="s">
        <v>16</v>
      </c>
      <c r="D359" s="177" t="s">
        <v>44</v>
      </c>
      <c r="E359" s="178"/>
      <c r="F359" s="178"/>
      <c r="G359" s="179"/>
      <c r="H359" s="180"/>
      <c r="I359" s="162"/>
      <c r="J359" s="162"/>
      <c r="K359" s="163"/>
      <c r="L359" s="181"/>
      <c r="M359" s="181"/>
      <c r="N359" s="181"/>
      <c r="O359" s="181"/>
      <c r="P359" s="181"/>
    </row>
    <row r="360" spans="1:16" ht="21.75" customHeight="1" x14ac:dyDescent="0.3">
      <c r="A360" s="175"/>
      <c r="B360" s="176"/>
      <c r="C360" s="176"/>
      <c r="D360" s="182">
        <v>1</v>
      </c>
      <c r="E360" s="183" t="s">
        <v>45</v>
      </c>
      <c r="F360" s="184"/>
      <c r="G360" s="185"/>
      <c r="H360" s="186"/>
      <c r="I360" s="187"/>
      <c r="J360" s="197">
        <f ca="1">IFERROR(__xludf.DUMMYFUNCTION("IMPORTRANGE(""https://docs.google.com/spreadsheets/d/11923uPwbBZFjjGgGUA6NLw09EwE0CqkOc4q9oUmW1yo/edit?usp=sharing"",""กำแพงเพชร!J255"")"),0)</f>
        <v>0</v>
      </c>
      <c r="K360" s="163"/>
      <c r="L360" s="181"/>
      <c r="M360" s="181"/>
      <c r="N360" s="181"/>
      <c r="O360" s="181"/>
      <c r="P360" s="181"/>
    </row>
    <row r="361" spans="1:16" ht="21.75" customHeight="1" x14ac:dyDescent="0.3">
      <c r="A361" s="175"/>
      <c r="B361" s="176"/>
      <c r="C361" s="176"/>
      <c r="D361" s="189">
        <v>2</v>
      </c>
      <c r="E361" s="190" t="s">
        <v>46</v>
      </c>
      <c r="F361" s="191"/>
      <c r="G361" s="192"/>
      <c r="H361" s="186"/>
      <c r="I361" s="187"/>
      <c r="J361" s="188">
        <f ca="1">IFERROR(__xludf.DUMMYFUNCTION("IMPORTRANGE(""https://docs.google.com/spreadsheets/d/11923uPwbBZFjjGgGUA6NLw09EwE0CqkOc4q9oUmW1yo/edit?usp=sharing"",""กำแพงเพชร!J256"")"),0)</f>
        <v>0</v>
      </c>
      <c r="K361" s="163"/>
      <c r="L361" s="181" t="s">
        <v>40</v>
      </c>
      <c r="M361" s="181"/>
      <c r="N361" s="181" t="s">
        <v>40</v>
      </c>
      <c r="O361" s="181"/>
      <c r="P361" s="181"/>
    </row>
    <row r="362" spans="1:16" ht="21.75" customHeight="1" x14ac:dyDescent="0.3">
      <c r="A362" s="175"/>
      <c r="B362" s="176"/>
      <c r="C362" s="176"/>
      <c r="D362" s="193"/>
      <c r="E362" s="194" t="s">
        <v>47</v>
      </c>
      <c r="F362" s="195"/>
      <c r="G362" s="196"/>
      <c r="H362" s="186"/>
      <c r="I362" s="187"/>
      <c r="J362" s="188">
        <f ca="1">IFERROR(__xludf.DUMMYFUNCTION("IMPORTRANGE(""https://docs.google.com/spreadsheets/d/11923uPwbBZFjjGgGUA6NLw09EwE0CqkOc4q9oUmW1yo/edit?usp=sharing"",""กำแพงเพชร!J257"")"),0)</f>
        <v>0</v>
      </c>
      <c r="K362" s="163"/>
      <c r="L362" s="181"/>
      <c r="M362" s="181"/>
      <c r="N362" s="181"/>
      <c r="O362" s="181"/>
      <c r="P362" s="181"/>
    </row>
    <row r="363" spans="1:16" ht="21.75" customHeight="1" x14ac:dyDescent="0.3">
      <c r="A363" s="175"/>
      <c r="B363" s="176"/>
      <c r="C363" s="176"/>
      <c r="D363" s="193"/>
      <c r="E363" s="194" t="s">
        <v>48</v>
      </c>
      <c r="F363" s="195"/>
      <c r="G363" s="196"/>
      <c r="H363" s="186"/>
      <c r="I363" s="187"/>
      <c r="J363" s="197">
        <f ca="1">IFERROR(__xludf.DUMMYFUNCTION("IMPORTRANGE(""https://docs.google.com/spreadsheets/d/11923uPwbBZFjjGgGUA6NLw09EwE0CqkOc4q9oUmW1yo/edit?usp=sharing"",""กำแพงเพชร!J258"")"),0)</f>
        <v>0</v>
      </c>
      <c r="K363" s="163"/>
      <c r="L363" s="181"/>
      <c r="M363" s="181"/>
      <c r="N363" s="181"/>
      <c r="O363" s="181"/>
      <c r="P363" s="181"/>
    </row>
    <row r="364" spans="1:16" ht="21.75" hidden="1" customHeight="1" x14ac:dyDescent="0.3">
      <c r="A364" s="175"/>
      <c r="B364" s="176"/>
      <c r="C364" s="176"/>
      <c r="D364" s="193"/>
      <c r="E364" s="198"/>
      <c r="F364" s="194" t="s">
        <v>70</v>
      </c>
      <c r="G364" s="196"/>
      <c r="H364" s="180"/>
      <c r="I364" s="187"/>
      <c r="J364" s="187">
        <f ca="1">IFERROR(__xludf.DUMMYFUNCTION("IMPORTRANGE(""https://docs.google.com/spreadsheets/d/11923uPwbBZFjjGgGUA6NLw09EwE0CqkOc4q9oUmW1yo/edit?usp=sharing"",""กำแพงเพชร!J166"")"),0)</f>
        <v>0</v>
      </c>
      <c r="K364" s="163"/>
      <c r="L364" s="181"/>
      <c r="M364" s="181"/>
      <c r="N364" s="181"/>
      <c r="O364" s="181"/>
      <c r="P364" s="181"/>
    </row>
    <row r="365" spans="1:16" ht="21.75" hidden="1" customHeight="1" x14ac:dyDescent="0.3">
      <c r="A365" s="175"/>
      <c r="B365" s="176"/>
      <c r="C365" s="176"/>
      <c r="D365" s="193"/>
      <c r="E365" s="198"/>
      <c r="F365" s="195"/>
      <c r="G365" s="225" t="s">
        <v>135</v>
      </c>
      <c r="H365" s="180" t="s">
        <v>37</v>
      </c>
      <c r="I365" s="187">
        <f ca="1">IFERROR(__xludf.DUMMYFUNCTION("IMPORTRANGE(""https://docs.google.com/spreadsheets/d/1C3CXT74ZlgGe6_JY_1olB1XN4rF0dxEuIIF-xsYjHgg/edit?usp=sharing"",""งบกองทุน!f63"")"),0)</f>
        <v>0</v>
      </c>
      <c r="J365" s="187">
        <f ca="1">IFERROR(__xludf.DUMMYFUNCTION("IMPORTRANGE(""https://docs.google.com/spreadsheets/d/11923uPwbBZFjjGgGUA6NLw09EwE0CqkOc4q9oUmW1yo/edit?usp=sharing"",""กำแพงเพชร!J166"")"),0)</f>
        <v>0</v>
      </c>
      <c r="K365" s="163">
        <f ca="1">IF(I365&gt;0,J365*100/I365,0)</f>
        <v>0</v>
      </c>
      <c r="L365" s="181"/>
      <c r="M365" s="181"/>
      <c r="N365" s="181"/>
      <c r="O365" s="181"/>
      <c r="P365" s="181"/>
    </row>
    <row r="366" spans="1:16" ht="21.75" hidden="1" customHeight="1" x14ac:dyDescent="0.3">
      <c r="A366" s="175"/>
      <c r="B366" s="176"/>
      <c r="C366" s="176"/>
      <c r="D366" s="193"/>
      <c r="E366" s="198"/>
      <c r="F366" s="195"/>
      <c r="G366" s="196" t="s">
        <v>136</v>
      </c>
      <c r="H366" s="180"/>
      <c r="I366" s="162"/>
      <c r="J366" s="187">
        <f ca="1">IFERROR(__xludf.DUMMYFUNCTION("IMPORTRANGE(""https://docs.google.com/spreadsheets/d/11923uPwbBZFjjGgGUA6NLw09EwE0CqkOc4q9oUmW1yo/edit?usp=sharing"",""กำแพงเพชร!J166"")"),0)</f>
        <v>0</v>
      </c>
      <c r="K366" s="163"/>
      <c r="L366" s="181"/>
      <c r="M366" s="181"/>
      <c r="N366" s="181"/>
      <c r="O366" s="181"/>
      <c r="P366" s="181"/>
    </row>
    <row r="367" spans="1:16" ht="21.75" hidden="1" customHeight="1" x14ac:dyDescent="0.3">
      <c r="A367" s="175"/>
      <c r="B367" s="176"/>
      <c r="C367" s="176"/>
      <c r="D367" s="193"/>
      <c r="E367" s="198"/>
      <c r="F367" s="195"/>
      <c r="G367" s="225" t="s">
        <v>137</v>
      </c>
      <c r="H367" s="186" t="s">
        <v>122</v>
      </c>
      <c r="I367" s="187">
        <f ca="1">SUM(I369,I371)</f>
        <v>0</v>
      </c>
      <c r="J367" s="187">
        <f ca="1">IFERROR(__xludf.DUMMYFUNCTION("IMPORTRANGE(""https://docs.google.com/spreadsheets/d/11923uPwbBZFjjGgGUA6NLw09EwE0CqkOc4q9oUmW1yo/edit?usp=sharing"",""กำแพงเพชร!J166"")"),0)</f>
        <v>0</v>
      </c>
      <c r="K367" s="163">
        <f t="shared" ref="K367:K373" ca="1" si="106">IF(I367&gt;0,J367*100/I367,0)</f>
        <v>0</v>
      </c>
      <c r="L367" s="181"/>
      <c r="M367" s="181"/>
      <c r="N367" s="181"/>
      <c r="O367" s="181"/>
      <c r="P367" s="181"/>
    </row>
    <row r="368" spans="1:16" ht="21.75" customHeight="1" x14ac:dyDescent="0.3">
      <c r="A368" s="175"/>
      <c r="B368" s="176"/>
      <c r="C368" s="176"/>
      <c r="D368" s="193"/>
      <c r="E368" s="198"/>
      <c r="F368" s="378" t="s">
        <v>138</v>
      </c>
      <c r="G368" s="379"/>
      <c r="H368" s="186" t="s">
        <v>37</v>
      </c>
      <c r="I368" s="162">
        <f ca="1">IFERROR(__xludf.DUMMYFUNCTION("IMPORTRANGE(""https://docs.google.com/spreadsheets/d/11923uPwbBZFjjGgGUA6NLw09EwE0CqkOc4q9oUmW1yo/edit?usp=sharing"",""กำแพงเพชร!I263"")"),0)</f>
        <v>0</v>
      </c>
      <c r="J368" s="187">
        <f ca="1">IFERROR(__xludf.DUMMYFUNCTION("IMPORTRANGE(""https://docs.google.com/spreadsheets/d/11923uPwbBZFjjGgGUA6NLw09EwE0CqkOc4q9oUmW1yo/edit?usp=sharing"",""กำแพงเพชร!J263"")"),0)</f>
        <v>0</v>
      </c>
      <c r="K368" s="163">
        <f t="shared" ca="1" si="106"/>
        <v>0</v>
      </c>
      <c r="L368" s="181"/>
      <c r="M368" s="181"/>
      <c r="N368" s="181"/>
      <c r="O368" s="181"/>
      <c r="P368" s="181"/>
    </row>
    <row r="369" spans="1:16" ht="21.75" hidden="1" customHeight="1" x14ac:dyDescent="0.3">
      <c r="A369" s="175"/>
      <c r="B369" s="176"/>
      <c r="C369" s="176"/>
      <c r="D369" s="193"/>
      <c r="E369" s="198"/>
      <c r="F369" s="195"/>
      <c r="G369" s="379"/>
      <c r="H369" s="180" t="s">
        <v>122</v>
      </c>
      <c r="I369" s="162">
        <f ca="1">IFERROR(__xludf.DUMMYFUNCTION("IMPORTRANGE(""https://docs.google.com/spreadsheets/d/11923uPwbBZFjjGgGUA6NLw09EwE0CqkOc4q9oUmW1yo/edit?usp=sharing"",""กำแพงเพชร!I164"")"),0)</f>
        <v>0</v>
      </c>
      <c r="J369" s="203">
        <f ca="1">IFERROR(__xludf.DUMMYFUNCTION("IMPORTRANGE(""https://docs.google.com/spreadsheets/d/11923uPwbBZFjjGgGUA6NLw09EwE0CqkOc4q9oUmW1yo/edit?usp=sharing"",""กำแพงเพชร!J164"")"),0)</f>
        <v>0</v>
      </c>
      <c r="K369" s="163">
        <f t="shared" ca="1" si="106"/>
        <v>0</v>
      </c>
      <c r="L369" s="181"/>
      <c r="M369" s="181"/>
      <c r="N369" s="181"/>
      <c r="O369" s="181"/>
      <c r="P369" s="181"/>
    </row>
    <row r="370" spans="1:16" ht="21.75" customHeight="1" x14ac:dyDescent="0.3">
      <c r="A370" s="175"/>
      <c r="B370" s="176"/>
      <c r="C370" s="176"/>
      <c r="D370" s="193"/>
      <c r="E370" s="198"/>
      <c r="F370" s="195"/>
      <c r="G370" s="378" t="s">
        <v>139</v>
      </c>
      <c r="H370" s="180" t="s">
        <v>37</v>
      </c>
      <c r="I370" s="162">
        <f ca="1">IFERROR(__xludf.DUMMYFUNCTION("IMPORTRANGE(""https://docs.google.com/spreadsheets/d/11923uPwbBZFjjGgGUA6NLw09EwE0CqkOc4q9oUmW1yo/edit?usp=sharing"",""กำแพงเพชร!I265"")"),0)</f>
        <v>0</v>
      </c>
      <c r="J370" s="203">
        <f ca="1">IFERROR(__xludf.DUMMYFUNCTION("IMPORTRANGE(""https://docs.google.com/spreadsheets/d/11923uPwbBZFjjGgGUA6NLw09EwE0CqkOc4q9oUmW1yo/edit?usp=sharing"",""กำแพงเพชร!J265"")"),0)</f>
        <v>0</v>
      </c>
      <c r="K370" s="163">
        <f t="shared" ca="1" si="106"/>
        <v>0</v>
      </c>
      <c r="L370" s="181"/>
      <c r="M370" s="181"/>
      <c r="N370" s="181"/>
      <c r="O370" s="181"/>
      <c r="P370" s="181"/>
    </row>
    <row r="371" spans="1:16" ht="21.75" hidden="1" customHeight="1" x14ac:dyDescent="0.3">
      <c r="A371" s="175"/>
      <c r="B371" s="176"/>
      <c r="C371" s="176"/>
      <c r="D371" s="193"/>
      <c r="E371" s="198"/>
      <c r="F371" s="195"/>
      <c r="G371" s="379"/>
      <c r="H371" s="180" t="s">
        <v>122</v>
      </c>
      <c r="I371" s="162">
        <f ca="1">IFERROR(__xludf.DUMMYFUNCTION("IMPORTRANGE(""https://docs.google.com/spreadsheets/d/11923uPwbBZFjjGgGUA6NLw09EwE0CqkOc4q9oUmW1yo/edit?usp=sharing"",""กำแพงเพชร!I164"")"),0)</f>
        <v>0</v>
      </c>
      <c r="J371" s="188">
        <f ca="1">IFERROR(__xludf.DUMMYFUNCTION("IMPORTRANGE(""https://docs.google.com/spreadsheets/d/11923uPwbBZFjjGgGUA6NLw09EwE0CqkOc4q9oUmW1yo/edit?usp=sharing"",""กำแพงเพชร!J164"")"),0)</f>
        <v>0</v>
      </c>
      <c r="K371" s="163">
        <f t="shared" ca="1" si="106"/>
        <v>0</v>
      </c>
      <c r="L371" s="181"/>
      <c r="M371" s="181"/>
      <c r="N371" s="181"/>
      <c r="O371" s="181"/>
      <c r="P371" s="181"/>
    </row>
    <row r="372" spans="1:16" ht="21.75" customHeight="1" x14ac:dyDescent="0.3">
      <c r="A372" s="175"/>
      <c r="B372" s="176"/>
      <c r="C372" s="176"/>
      <c r="D372" s="193"/>
      <c r="E372" s="198"/>
      <c r="F372" s="195"/>
      <c r="G372" s="378" t="s">
        <v>140</v>
      </c>
      <c r="H372" s="180" t="s">
        <v>37</v>
      </c>
      <c r="I372" s="162">
        <f ca="1">IFERROR(__xludf.DUMMYFUNCTION("IMPORTRANGE(""https://docs.google.com/spreadsheets/d/11923uPwbBZFjjGgGUA6NLw09EwE0CqkOc4q9oUmW1yo/edit?usp=sharing"",""กำแพงเพชร!I267"")"),0)</f>
        <v>0</v>
      </c>
      <c r="J372" s="188">
        <f ca="1">IFERROR(__xludf.DUMMYFUNCTION("IMPORTRANGE(""https://docs.google.com/spreadsheets/d/11923uPwbBZFjjGgGUA6NLw09EwE0CqkOc4q9oUmW1yo/edit?usp=sharing"",""กำแพงเพชร!J267"")"),0)</f>
        <v>0</v>
      </c>
      <c r="K372" s="163">
        <f t="shared" ca="1" si="106"/>
        <v>0</v>
      </c>
      <c r="L372" s="181"/>
      <c r="M372" s="181"/>
      <c r="N372" s="181"/>
      <c r="O372" s="181"/>
      <c r="P372" s="181"/>
    </row>
    <row r="373" spans="1:16" ht="21.75" hidden="1" customHeight="1" x14ac:dyDescent="0.3">
      <c r="A373" s="175"/>
      <c r="B373" s="176"/>
      <c r="C373" s="176"/>
      <c r="D373" s="193"/>
      <c r="E373" s="198"/>
      <c r="F373" s="195"/>
      <c r="G373" s="225" t="s">
        <v>141</v>
      </c>
      <c r="H373" s="180" t="s">
        <v>37</v>
      </c>
      <c r="I373" s="187">
        <f ca="1">IFERROR(__xludf.DUMMYFUNCTION("IMPORTRANGE(""https://docs.google.com/spreadsheets/d/11923uPwbBZFjjGgGUA6NLw09EwE0CqkOc4q9oUmW1yo/edit?usp=sharing"",""กำแพงเพชร!I164"")"),0)</f>
        <v>0</v>
      </c>
      <c r="J373" s="203">
        <f ca="1">IFERROR(__xludf.DUMMYFUNCTION("IMPORTRANGE(""https://docs.google.com/spreadsheets/d/11923uPwbBZFjjGgGUA6NLw09EwE0CqkOc4q9oUmW1yo/edit?usp=sharing"",""กำแพงเพชร!J164"")"),0)</f>
        <v>0</v>
      </c>
      <c r="K373" s="163">
        <f t="shared" ca="1" si="106"/>
        <v>0</v>
      </c>
      <c r="L373" s="181"/>
      <c r="M373" s="181"/>
      <c r="N373" s="181"/>
      <c r="O373" s="181"/>
      <c r="P373" s="181"/>
    </row>
    <row r="374" spans="1:16" ht="21.75" hidden="1" customHeight="1" x14ac:dyDescent="0.3">
      <c r="A374" s="175"/>
      <c r="B374" s="176"/>
      <c r="C374" s="176"/>
      <c r="D374" s="193"/>
      <c r="E374" s="198"/>
      <c r="F374" s="195"/>
      <c r="G374" s="196" t="s">
        <v>142</v>
      </c>
      <c r="H374" s="180"/>
      <c r="I374" s="187">
        <f ca="1">IFERROR(__xludf.DUMMYFUNCTION("IMPORTRANGE(""https://docs.google.com/spreadsheets/d/11923uPwbBZFjjGgGUA6NLw09EwE0CqkOc4q9oUmW1yo/edit?usp=sharing"",""กำแพงเพชร!I164"")"),0)</f>
        <v>0</v>
      </c>
      <c r="J374" s="187">
        <f ca="1">IFERROR(__xludf.DUMMYFUNCTION("IMPORTRANGE(""https://docs.google.com/spreadsheets/d/11923uPwbBZFjjGgGUA6NLw09EwE0CqkOc4q9oUmW1yo/edit?usp=sharing"",""กำแพงเพชร!J164"")"),0)</f>
        <v>0</v>
      </c>
      <c r="K374" s="163"/>
      <c r="L374" s="181"/>
      <c r="M374" s="181"/>
      <c r="N374" s="181"/>
      <c r="O374" s="181"/>
      <c r="P374" s="181"/>
    </row>
    <row r="375" spans="1:16" ht="21.75" customHeight="1" x14ac:dyDescent="0.3">
      <c r="A375" s="175"/>
      <c r="B375" s="176"/>
      <c r="C375" s="176"/>
      <c r="D375" s="193"/>
      <c r="E375" s="195"/>
      <c r="F375" s="204" t="s">
        <v>53</v>
      </c>
      <c r="G375" s="196"/>
      <c r="H375" s="278" t="s">
        <v>122</v>
      </c>
      <c r="I375" s="187">
        <f ca="1">IFERROR(__xludf.DUMMYFUNCTION("IMPORTRANGE(""https://docs.google.com/spreadsheets/d/11923uPwbBZFjjGgGUA6NLw09EwE0CqkOc4q9oUmW1yo/edit?usp=sharing"",""กำแพงเพชร!I270"")"),0)</f>
        <v>0</v>
      </c>
      <c r="J375" s="187">
        <f ca="1">IFERROR(__xludf.DUMMYFUNCTION("IMPORTRANGE(""https://docs.google.com/spreadsheets/d/11923uPwbBZFjjGgGUA6NLw09EwE0CqkOc4q9oUmW1yo/edit?usp=sharing"",""กำแพงเพชร!J270"")"),0)</f>
        <v>0</v>
      </c>
      <c r="K375" s="163">
        <f t="shared" ref="K375:K377" ca="1" si="107">IF(I375&gt;0,J375*100/I375,0)</f>
        <v>0</v>
      </c>
      <c r="L375" s="181"/>
      <c r="M375" s="181"/>
      <c r="N375" s="181"/>
      <c r="O375" s="181"/>
      <c r="P375" s="181"/>
    </row>
    <row r="376" spans="1:16" ht="21.75" customHeight="1" x14ac:dyDescent="0.3">
      <c r="A376" s="175"/>
      <c r="B376" s="176"/>
      <c r="C376" s="176"/>
      <c r="D376" s="193"/>
      <c r="E376" s="195"/>
      <c r="F376" s="195"/>
      <c r="G376" s="279" t="s">
        <v>143</v>
      </c>
      <c r="H376" s="278" t="s">
        <v>122</v>
      </c>
      <c r="I376" s="187">
        <f ca="1">IFERROR(__xludf.DUMMYFUNCTION("IMPORTRANGE(""https://docs.google.com/spreadsheets/d/11923uPwbBZFjjGgGUA6NLw09EwE0CqkOc4q9oUmW1yo/edit?usp=sharing"",""กำแพงเพชร!I271"")"),0)</f>
        <v>0</v>
      </c>
      <c r="J376" s="188">
        <f ca="1">IFERROR(__xludf.DUMMYFUNCTION("IMPORTRANGE(""https://docs.google.com/spreadsheets/d/11923uPwbBZFjjGgGUA6NLw09EwE0CqkOc4q9oUmW1yo/edit?usp=sharing"",""กำแพงเพชร!J271"")"),0)</f>
        <v>0</v>
      </c>
      <c r="K376" s="163">
        <f t="shared" ca="1" si="107"/>
        <v>0</v>
      </c>
      <c r="L376" s="181"/>
      <c r="M376" s="181"/>
      <c r="N376" s="181"/>
      <c r="O376" s="181"/>
      <c r="P376" s="181"/>
    </row>
    <row r="377" spans="1:16" ht="21.75" customHeight="1" x14ac:dyDescent="0.3">
      <c r="A377" s="175"/>
      <c r="B377" s="176"/>
      <c r="C377" s="176"/>
      <c r="D377" s="193"/>
      <c r="E377" s="195"/>
      <c r="F377" s="195"/>
      <c r="G377" s="279" t="s">
        <v>144</v>
      </c>
      <c r="H377" s="278" t="s">
        <v>122</v>
      </c>
      <c r="I377" s="187">
        <f ca="1">IFERROR(__xludf.DUMMYFUNCTION("IMPORTRANGE(""https://docs.google.com/spreadsheets/d/11923uPwbBZFjjGgGUA6NLw09EwE0CqkOc4q9oUmW1yo/edit?usp=sharing"",""กำแพงเพชร!I272"")"),0)</f>
        <v>0</v>
      </c>
      <c r="J377" s="203">
        <f ca="1">IFERROR(__xludf.DUMMYFUNCTION("IMPORTRANGE(""https://docs.google.com/spreadsheets/d/11923uPwbBZFjjGgGUA6NLw09EwE0CqkOc4q9oUmW1yo/edit?usp=sharing"",""กำแพงเพชร!J272"")"),0)</f>
        <v>0</v>
      </c>
      <c r="K377" s="163">
        <f t="shared" ca="1" si="107"/>
        <v>0</v>
      </c>
      <c r="L377" s="181"/>
      <c r="M377" s="181"/>
      <c r="N377" s="181"/>
      <c r="O377" s="181"/>
      <c r="P377" s="181"/>
    </row>
    <row r="378" spans="1:16" ht="21.75" customHeight="1" x14ac:dyDescent="0.3">
      <c r="A378" s="175"/>
      <c r="B378" s="176"/>
      <c r="C378" s="176"/>
      <c r="D378" s="193"/>
      <c r="E378" s="194" t="s">
        <v>54</v>
      </c>
      <c r="F378" s="195"/>
      <c r="G378" s="196"/>
      <c r="H378" s="186"/>
      <c r="I378" s="187"/>
      <c r="J378" s="197">
        <f ca="1">IFERROR(__xludf.DUMMYFUNCTION("IMPORTRANGE(""https://docs.google.com/spreadsheets/d/11923uPwbBZFjjGgGUA6NLw09EwE0CqkOc4q9oUmW1yo/edit?usp=sharing"",""กำแพงเพชร!J273"")"),0)</f>
        <v>0</v>
      </c>
      <c r="K378" s="163"/>
      <c r="L378" s="181"/>
      <c r="M378" s="181"/>
      <c r="N378" s="181"/>
      <c r="O378" s="181"/>
      <c r="P378" s="181"/>
    </row>
    <row r="379" spans="1:16" ht="21.75" customHeight="1" x14ac:dyDescent="0.3">
      <c r="A379" s="175"/>
      <c r="B379" s="176"/>
      <c r="C379" s="176"/>
      <c r="D379" s="205">
        <v>3</v>
      </c>
      <c r="E379" s="206" t="s">
        <v>55</v>
      </c>
      <c r="F379" s="207"/>
      <c r="G379" s="208"/>
      <c r="H379" s="186"/>
      <c r="I379" s="187"/>
      <c r="J379" s="209">
        <f ca="1">IFERROR(__xludf.DUMMYFUNCTION("IMPORTRANGE(""https://docs.google.com/spreadsheets/d/11923uPwbBZFjjGgGUA6NLw09EwE0CqkOc4q9oUmW1yo/edit?usp=sharing"",""กำแพงเพชร!J274"")"),0)</f>
        <v>0</v>
      </c>
      <c r="K379" s="163"/>
      <c r="L379" s="181"/>
      <c r="M379" s="181"/>
      <c r="N379" s="181"/>
      <c r="O379" s="181"/>
      <c r="P379" s="181"/>
    </row>
    <row r="380" spans="1:16" ht="21.75" customHeight="1" x14ac:dyDescent="0.3">
      <c r="A380" s="364"/>
      <c r="B380" s="365">
        <v>2</v>
      </c>
      <c r="C380" s="366" t="s">
        <v>145</v>
      </c>
      <c r="D380" s="366"/>
      <c r="E380" s="380"/>
      <c r="F380" s="380"/>
      <c r="G380" s="381"/>
      <c r="H380" s="368" t="s">
        <v>122</v>
      </c>
      <c r="I380" s="369">
        <f ca="1">IFERROR(__xludf.DUMMYFUNCTION("IMPORTRANGE(""https://docs.google.com/spreadsheets/d/11923uPwbBZFjjGgGUA6NLw09EwE0CqkOc4q9oUmW1yo/edit?usp=sharing"",""กำแพงเพชร!I275"")"),1000)</f>
        <v>1000</v>
      </c>
      <c r="J380" s="369">
        <f ca="1">IFERROR(__xludf.DUMMYFUNCTION("IMPORTRANGE(""https://docs.google.com/spreadsheets/d/11923uPwbBZFjjGgGUA6NLw09EwE0CqkOc4q9oUmW1yo/edit?usp=sharing"",""กำแพงเพชร!J275"")"),0)</f>
        <v>0</v>
      </c>
      <c r="K380" s="370">
        <f t="shared" ref="K380:K381" ca="1" si="108">IF(I380&gt;0,J380*100/I380,0)</f>
        <v>0</v>
      </c>
      <c r="L380" s="371">
        <f ca="1">IFERROR(__xludf.DUMMYFUNCTION("IMPORTRANGE(""https://docs.google.com/spreadsheets/d/11923uPwbBZFjjGgGUA6NLw09EwE0CqkOc4q9oUmW1yo/edit?usp=sharing"",""กำแพงเพชร!L275"")"),1028520)</f>
        <v>1028520</v>
      </c>
      <c r="M380" s="371"/>
      <c r="N380" s="371">
        <f ca="1">IFERROR(__xludf.DUMMYFUNCTION("IMPORTRANGE(""https://docs.google.com/spreadsheets/d/11923uPwbBZFjjGgGUA6NLw09EwE0CqkOc4q9oUmW1yo/edit?usp=sharing"",""กำแพงเพชร!M275"")"),140232)</f>
        <v>140232</v>
      </c>
      <c r="O380" s="371">
        <f ca="1">+IF(L380&gt;0,N380*100/L380,0)</f>
        <v>13.634348384085872</v>
      </c>
      <c r="P380" s="371"/>
    </row>
    <row r="381" spans="1:16" ht="21.75" customHeight="1" x14ac:dyDescent="0.3">
      <c r="A381" s="364"/>
      <c r="B381" s="365"/>
      <c r="C381" s="366"/>
      <c r="D381" s="382"/>
      <c r="E381" s="383"/>
      <c r="F381" s="383"/>
      <c r="G381" s="384"/>
      <c r="H381" s="368" t="s">
        <v>37</v>
      </c>
      <c r="I381" s="369">
        <f ca="1">IFERROR(__xludf.DUMMYFUNCTION("IMPORTRANGE(""https://docs.google.com/spreadsheets/d/11923uPwbBZFjjGgGUA6NLw09EwE0CqkOc4q9oUmW1yo/edit?usp=sharing"",""กำแพงเพชร!I276"")"),100)</f>
        <v>100</v>
      </c>
      <c r="J381" s="369">
        <f ca="1">IFERROR(__xludf.DUMMYFUNCTION("IMPORTRANGE(""https://docs.google.com/spreadsheets/d/11923uPwbBZFjjGgGUA6NLw09EwE0CqkOc4q9oUmW1yo/edit?usp=sharing"",""กำแพงเพชร!J276"")"),100)</f>
        <v>100</v>
      </c>
      <c r="K381" s="370">
        <f t="shared" ca="1" si="108"/>
        <v>100</v>
      </c>
      <c r="L381" s="371"/>
      <c r="M381" s="371"/>
      <c r="N381" s="371"/>
      <c r="O381" s="371"/>
      <c r="P381" s="371"/>
    </row>
    <row r="382" spans="1:16" ht="21.75" customHeight="1" x14ac:dyDescent="0.3">
      <c r="A382" s="156"/>
      <c r="B382" s="157"/>
      <c r="C382" s="157" t="s">
        <v>16</v>
      </c>
      <c r="D382" s="158" t="s">
        <v>38</v>
      </c>
      <c r="E382" s="159"/>
      <c r="F382" s="159"/>
      <c r="G382" s="160" t="s">
        <v>39</v>
      </c>
      <c r="H382" s="161" t="s">
        <v>12</v>
      </c>
      <c r="I382" s="162" t="s">
        <v>40</v>
      </c>
      <c r="J382" s="162"/>
      <c r="K382" s="163"/>
      <c r="L382" s="164">
        <f ca="1">IFERROR(__xludf.DUMMYFUNCTION("IMPORTRANGE(""https://docs.google.com/spreadsheets/d/11923uPwbBZFjjGgGUA6NLw09EwE0CqkOc4q9oUmW1yo/edit?usp=sharing"",""กำแพงเพชร!L277"")"),0)</f>
        <v>0</v>
      </c>
      <c r="M382" s="164"/>
      <c r="N382" s="164">
        <f ca="1">IFERROR(__xludf.DUMMYFUNCTION("IMPORTRANGE(""https://docs.google.com/spreadsheets/d/11923uPwbBZFjjGgGUA6NLw09EwE0CqkOc4q9oUmW1yo/edit?usp=sharing"",""กำแพงเพชร!M277"")"),0)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3">
      <c r="A383" s="156"/>
      <c r="B383" s="157"/>
      <c r="C383" s="157"/>
      <c r="D383" s="166"/>
      <c r="E383" s="159"/>
      <c r="F383" s="159" t="s">
        <v>40</v>
      </c>
      <c r="G383" s="160" t="s">
        <v>41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IFERROR(__xludf.DUMMYFUNCTION("IMPORTRANGE(""https://docs.google.com/spreadsheets/d/11923uPwbBZFjjGgGUA6NLw09EwE0CqkOc4q9oUmW1yo/edit?usp=sharing"",""กำแพงเพชร!L278"")"),1028520)</f>
        <v>1028520</v>
      </c>
      <c r="M383" s="165"/>
      <c r="N383" s="165">
        <f ca="1">IFERROR(__xludf.DUMMYFUNCTION("IMPORTRANGE(""https://docs.google.com/spreadsheets/d/11923uPwbBZFjjGgGUA6NLw09EwE0CqkOc4q9oUmW1yo/edit?usp=sharing"",""กำแพงเพชร!M278"")"),140232)</f>
        <v>140232</v>
      </c>
      <c r="O383" s="165">
        <f t="shared" ca="1" si="109"/>
        <v>13.634348384085872</v>
      </c>
      <c r="P383" s="165"/>
    </row>
    <row r="384" spans="1:16" ht="21.75" customHeight="1" x14ac:dyDescent="0.3">
      <c r="A384" s="156"/>
      <c r="B384" s="157"/>
      <c r="C384" s="157"/>
      <c r="D384" s="166"/>
      <c r="E384" s="159"/>
      <c r="F384" s="159"/>
      <c r="G384" s="372" t="s">
        <v>129</v>
      </c>
      <c r="H384" s="161" t="s">
        <v>12</v>
      </c>
      <c r="I384" s="162"/>
      <c r="J384" s="162"/>
      <c r="K384" s="163"/>
      <c r="L384" s="168">
        <f ca="1">IFERROR(__xludf.DUMMYFUNCTION("IMPORTRANGE(""https://docs.google.com/spreadsheets/d/11923uPwbBZFjjGgGUA6NLw09EwE0CqkOc4q9oUmW1yo/edit?usp=sharing"",""กำแพงเพชร!L279"")"),0)</f>
        <v>0</v>
      </c>
      <c r="M384" s="168"/>
      <c r="N384" s="168">
        <f ca="1">IFERROR(__xludf.DUMMYFUNCTION("IMPORTRANGE(""https://docs.google.com/spreadsheets/d/11923uPwbBZFjjGgGUA6NLw09EwE0CqkOc4q9oUmW1yo/edit?usp=sharing"",""กำแพงเพชร!M279"")"),0)</f>
        <v>0</v>
      </c>
      <c r="O384" s="168">
        <f t="shared" ca="1" si="109"/>
        <v>0</v>
      </c>
      <c r="P384" s="168"/>
    </row>
    <row r="385" spans="1:16" ht="21.75" customHeight="1" x14ac:dyDescent="0.3">
      <c r="A385" s="156"/>
      <c r="B385" s="157"/>
      <c r="C385" s="157"/>
      <c r="D385" s="166"/>
      <c r="E385" s="159"/>
      <c r="F385" s="159"/>
      <c r="G385" s="372" t="s">
        <v>130</v>
      </c>
      <c r="H385" s="161" t="s">
        <v>12</v>
      </c>
      <c r="I385" s="162"/>
      <c r="J385" s="162"/>
      <c r="K385" s="163"/>
      <c r="L385" s="168">
        <f ca="1">IFERROR(__xludf.DUMMYFUNCTION("IMPORTRANGE(""https://docs.google.com/spreadsheets/d/11923uPwbBZFjjGgGUA6NLw09EwE0CqkOc4q9oUmW1yo/edit?usp=sharing"",""กำแพงเพชร!L280"")"),1028520)</f>
        <v>1028520</v>
      </c>
      <c r="M385" s="168"/>
      <c r="N385" s="167">
        <f ca="1">IFERROR(__xludf.DUMMYFUNCTION("IMPORTRANGE(""https://docs.google.com/spreadsheets/d/11923uPwbBZFjjGgGUA6NLw09EwE0CqkOc4q9oUmW1yo/edit?usp=sharing"",""กำแพงเพชร!M280"")"),140232)</f>
        <v>140232</v>
      </c>
      <c r="O385" s="168">
        <f t="shared" ca="1" si="109"/>
        <v>13.634348384085872</v>
      </c>
      <c r="P385" s="168"/>
    </row>
    <row r="386" spans="1:16" ht="21.75" customHeight="1" x14ac:dyDescent="0.3">
      <c r="A386" s="373"/>
      <c r="B386" s="374"/>
      <c r="C386" s="157"/>
      <c r="D386" s="375"/>
      <c r="E386" s="159"/>
      <c r="F386" s="159"/>
      <c r="G386" s="376" t="s">
        <v>131</v>
      </c>
      <c r="H386" s="161" t="s">
        <v>12</v>
      </c>
      <c r="I386" s="187"/>
      <c r="J386" s="187"/>
      <c r="K386" s="223"/>
      <c r="L386" s="168"/>
      <c r="M386" s="168"/>
      <c r="N386" s="377">
        <f ca="1">IFERROR(__xludf.DUMMYFUNCTION("IMPORTRANGE(""https://docs.google.com/spreadsheets/d/11923uPwbBZFjjGgGUA6NLw09EwE0CqkOc4q9oUmW1yo/edit?usp=sharing"",""กำแพงเพชร!M281"")"),105932)</f>
        <v>105932</v>
      </c>
      <c r="O386" s="168"/>
      <c r="P386" s="168"/>
    </row>
    <row r="387" spans="1:16" ht="21.75" customHeight="1" x14ac:dyDescent="0.3">
      <c r="A387" s="373"/>
      <c r="B387" s="374"/>
      <c r="C387" s="157"/>
      <c r="D387" s="375"/>
      <c r="E387" s="159"/>
      <c r="F387" s="159"/>
      <c r="G387" s="376" t="s">
        <v>132</v>
      </c>
      <c r="H387" s="161" t="s">
        <v>12</v>
      </c>
      <c r="I387" s="187"/>
      <c r="J387" s="187"/>
      <c r="K387" s="223"/>
      <c r="L387" s="168"/>
      <c r="M387" s="168"/>
      <c r="N387" s="377">
        <f ca="1">IFERROR(__xludf.DUMMYFUNCTION("IMPORTRANGE(""https://docs.google.com/spreadsheets/d/11923uPwbBZFjjGgGUA6NLw09EwE0CqkOc4q9oUmW1yo/edit?usp=sharing"",""กำแพงเพชร!M282"")"),0)</f>
        <v>0</v>
      </c>
      <c r="O387" s="168"/>
      <c r="P387" s="168"/>
    </row>
    <row r="388" spans="1:16" ht="21.75" customHeight="1" x14ac:dyDescent="0.3">
      <c r="A388" s="373"/>
      <c r="B388" s="374"/>
      <c r="C388" s="157"/>
      <c r="D388" s="375"/>
      <c r="E388" s="159"/>
      <c r="F388" s="159"/>
      <c r="G388" s="376" t="s">
        <v>133</v>
      </c>
      <c r="H388" s="161" t="s">
        <v>12</v>
      </c>
      <c r="I388" s="187"/>
      <c r="J388" s="187"/>
      <c r="K388" s="223"/>
      <c r="L388" s="168"/>
      <c r="M388" s="168"/>
      <c r="N388" s="377">
        <f ca="1">IFERROR(__xludf.DUMMYFUNCTION("IMPORTRANGE(""https://docs.google.com/spreadsheets/d/11923uPwbBZFjjGgGUA6NLw09EwE0CqkOc4q9oUmW1yo/edit?usp=sharing"",""กำแพงเพชร!M283"")"),33000)</f>
        <v>33000</v>
      </c>
      <c r="O388" s="168"/>
      <c r="P388" s="168"/>
    </row>
    <row r="389" spans="1:16" ht="21.75" customHeight="1" x14ac:dyDescent="0.3">
      <c r="A389" s="373"/>
      <c r="B389" s="374"/>
      <c r="C389" s="157"/>
      <c r="D389" s="375"/>
      <c r="E389" s="159"/>
      <c r="F389" s="159"/>
      <c r="G389" s="376" t="s">
        <v>134</v>
      </c>
      <c r="H389" s="161" t="s">
        <v>12</v>
      </c>
      <c r="I389" s="187"/>
      <c r="J389" s="187"/>
      <c r="K389" s="223"/>
      <c r="L389" s="168"/>
      <c r="M389" s="168"/>
      <c r="N389" s="377">
        <f ca="1">IFERROR(__xludf.DUMMYFUNCTION("IMPORTRANGE(""https://docs.google.com/spreadsheets/d/11923uPwbBZFjjGgGUA6NLw09EwE0CqkOc4q9oUmW1yo/edit?usp=sharing"",""กำแพงเพชร!M284"")"),1300)</f>
        <v>1300</v>
      </c>
      <c r="O389" s="168"/>
      <c r="P389" s="168"/>
    </row>
    <row r="390" spans="1:16" ht="21.75" customHeight="1" x14ac:dyDescent="0.3">
      <c r="A390" s="175"/>
      <c r="B390" s="176"/>
      <c r="C390" s="157" t="s">
        <v>16</v>
      </c>
      <c r="D390" s="177" t="s">
        <v>44</v>
      </c>
      <c r="E390" s="178"/>
      <c r="F390" s="178"/>
      <c r="G390" s="179"/>
      <c r="H390" s="180"/>
      <c r="I390" s="162"/>
      <c r="J390" s="162"/>
      <c r="K390" s="163"/>
      <c r="L390" s="181"/>
      <c r="M390" s="181"/>
      <c r="N390" s="181"/>
      <c r="O390" s="181"/>
      <c r="P390" s="181"/>
    </row>
    <row r="391" spans="1:16" ht="21.75" customHeight="1" x14ac:dyDescent="0.3">
      <c r="A391" s="175"/>
      <c r="B391" s="176"/>
      <c r="C391" s="176"/>
      <c r="D391" s="182">
        <v>1</v>
      </c>
      <c r="E391" s="183" t="s">
        <v>45</v>
      </c>
      <c r="F391" s="184"/>
      <c r="G391" s="185"/>
      <c r="H391" s="186"/>
      <c r="I391" s="187"/>
      <c r="J391" s="197">
        <f ca="1">IFERROR(__xludf.DUMMYFUNCTION("IMPORTRANGE(""https://docs.google.com/spreadsheets/d/11923uPwbBZFjjGgGUA6NLw09EwE0CqkOc4q9oUmW1yo/edit?usp=sharing"",""กำแพงเพชร!J286"")"),0)</f>
        <v>0</v>
      </c>
      <c r="K391" s="163"/>
      <c r="L391" s="181"/>
      <c r="M391" s="181"/>
      <c r="N391" s="181"/>
      <c r="O391" s="181"/>
      <c r="P391" s="181"/>
    </row>
    <row r="392" spans="1:16" ht="21.75" customHeight="1" x14ac:dyDescent="0.3">
      <c r="A392" s="175"/>
      <c r="B392" s="176"/>
      <c r="C392" s="176"/>
      <c r="D392" s="189">
        <v>2</v>
      </c>
      <c r="E392" s="190" t="s">
        <v>46</v>
      </c>
      <c r="F392" s="191"/>
      <c r="G392" s="192"/>
      <c r="H392" s="186"/>
      <c r="I392" s="187"/>
      <c r="J392" s="188">
        <f ca="1">IFERROR(__xludf.DUMMYFUNCTION("IMPORTRANGE(""https://docs.google.com/spreadsheets/d/11923uPwbBZFjjGgGUA6NLw09EwE0CqkOc4q9oUmW1yo/edit?usp=sharing"",""กำแพงเพชร!J287"")"),1)</f>
        <v>1</v>
      </c>
      <c r="K392" s="163"/>
      <c r="L392" s="181" t="s">
        <v>40</v>
      </c>
      <c r="M392" s="181"/>
      <c r="N392" s="181" t="s">
        <v>40</v>
      </c>
      <c r="O392" s="181"/>
      <c r="P392" s="181"/>
    </row>
    <row r="393" spans="1:16" ht="21.75" customHeight="1" x14ac:dyDescent="0.3">
      <c r="A393" s="175"/>
      <c r="B393" s="176"/>
      <c r="C393" s="176"/>
      <c r="D393" s="193"/>
      <c r="E393" s="194" t="s">
        <v>47</v>
      </c>
      <c r="F393" s="195"/>
      <c r="G393" s="196"/>
      <c r="H393" s="186"/>
      <c r="I393" s="187"/>
      <c r="J393" s="188">
        <f ca="1">IFERROR(__xludf.DUMMYFUNCTION("IMPORTRANGE(""https://docs.google.com/spreadsheets/d/11923uPwbBZFjjGgGUA6NLw09EwE0CqkOc4q9oUmW1yo/edit?usp=sharing"",""กำแพงเพชร!J288"")"),1)</f>
        <v>1</v>
      </c>
      <c r="K393" s="163"/>
      <c r="L393" s="181"/>
      <c r="M393" s="181"/>
      <c r="N393" s="181"/>
      <c r="O393" s="181"/>
      <c r="P393" s="181"/>
    </row>
    <row r="394" spans="1:16" ht="21.75" customHeight="1" x14ac:dyDescent="0.3">
      <c r="A394" s="175"/>
      <c r="B394" s="176"/>
      <c r="C394" s="176"/>
      <c r="D394" s="193"/>
      <c r="E394" s="194" t="s">
        <v>48</v>
      </c>
      <c r="F394" s="195"/>
      <c r="G394" s="196"/>
      <c r="H394" s="186"/>
      <c r="I394" s="187"/>
      <c r="J394" s="197">
        <f ca="1">IFERROR(__xludf.DUMMYFUNCTION("IMPORTRANGE(""https://docs.google.com/spreadsheets/d/11923uPwbBZFjjGgGUA6NLw09EwE0CqkOc4q9oUmW1yo/edit?usp=sharing"",""กำแพงเพชร!J289"")"),1)</f>
        <v>1</v>
      </c>
      <c r="K394" s="163"/>
      <c r="L394" s="181"/>
      <c r="M394" s="181"/>
      <c r="N394" s="181"/>
      <c r="O394" s="181"/>
      <c r="P394" s="181"/>
    </row>
    <row r="395" spans="1:16" ht="21.75" customHeight="1" x14ac:dyDescent="0.3">
      <c r="A395" s="175"/>
      <c r="B395" s="176"/>
      <c r="C395" s="176"/>
      <c r="D395" s="193"/>
      <c r="E395" s="198"/>
      <c r="F395" s="194" t="s">
        <v>146</v>
      </c>
      <c r="G395" s="195"/>
      <c r="H395" s="186"/>
      <c r="I395" s="187"/>
      <c r="J395" s="187"/>
      <c r="K395" s="163"/>
      <c r="L395" s="181"/>
      <c r="M395" s="181"/>
      <c r="N395" s="181"/>
      <c r="O395" s="181"/>
      <c r="P395" s="181"/>
    </row>
    <row r="396" spans="1:16" ht="21.75" customHeight="1" x14ac:dyDescent="0.3">
      <c r="A396" s="175"/>
      <c r="B396" s="176"/>
      <c r="C396" s="176"/>
      <c r="D396" s="193"/>
      <c r="E396" s="198"/>
      <c r="F396" s="195"/>
      <c r="G396" s="291" t="s">
        <v>70</v>
      </c>
      <c r="H396" s="186" t="s">
        <v>37</v>
      </c>
      <c r="I396" s="187">
        <f ca="1">IFERROR(__xludf.DUMMYFUNCTION("IMPORTRANGE(""https://docs.google.com/spreadsheets/d/11923uPwbBZFjjGgGUA6NLw09EwE0CqkOc4q9oUmW1yo/edit?usp=sharing"",""กำแพงเพชร!I291"")"),100)</f>
        <v>100</v>
      </c>
      <c r="J396" s="197">
        <f ca="1">IFERROR(__xludf.DUMMYFUNCTION("IMPORTRANGE(""https://docs.google.com/spreadsheets/d/11923uPwbBZFjjGgGUA6NLw09EwE0CqkOc4q9oUmW1yo/edit?usp=sharing"",""กำแพงเพชร!J291"")"),100)</f>
        <v>100</v>
      </c>
      <c r="K396" s="163">
        <f t="shared" ref="K396:K398" ca="1" si="110">IF(I396&gt;0,J396*100/I396,0)</f>
        <v>100</v>
      </c>
      <c r="L396" s="181"/>
      <c r="M396" s="181"/>
      <c r="N396" s="181"/>
      <c r="O396" s="181"/>
      <c r="P396" s="181"/>
    </row>
    <row r="397" spans="1:16" ht="21.75" customHeight="1" x14ac:dyDescent="0.3">
      <c r="A397" s="175"/>
      <c r="B397" s="176"/>
      <c r="C397" s="176"/>
      <c r="D397" s="193"/>
      <c r="E397" s="198"/>
      <c r="F397" s="195"/>
      <c r="G397" s="196" t="s">
        <v>53</v>
      </c>
      <c r="H397" s="186" t="s">
        <v>122</v>
      </c>
      <c r="I397" s="187">
        <f ca="1">IFERROR(__xludf.DUMMYFUNCTION("IMPORTRANGE(""https://docs.google.com/spreadsheets/d/11923uPwbBZFjjGgGUA6NLw09EwE0CqkOc4q9oUmW1yo/edit?usp=sharing"",""กำแพงเพชร!I292"")"),1000)</f>
        <v>1000</v>
      </c>
      <c r="J397" s="197">
        <f ca="1">IFERROR(__xludf.DUMMYFUNCTION("IMPORTRANGE(""https://docs.google.com/spreadsheets/d/11923uPwbBZFjjGgGUA6NLw09EwE0CqkOc4q9oUmW1yo/edit?usp=sharing"",""กำแพงเพชร!J292"")"),0)</f>
        <v>0</v>
      </c>
      <c r="K397" s="163">
        <f t="shared" ca="1" si="110"/>
        <v>0</v>
      </c>
      <c r="L397" s="181"/>
      <c r="M397" s="181"/>
      <c r="N397" s="181"/>
      <c r="O397" s="181"/>
      <c r="P397" s="181"/>
    </row>
    <row r="398" spans="1:16" ht="21.75" customHeight="1" x14ac:dyDescent="0.3">
      <c r="A398" s="175"/>
      <c r="B398" s="176"/>
      <c r="C398" s="176"/>
      <c r="D398" s="193"/>
      <c r="E398" s="198"/>
      <c r="F398" s="195"/>
      <c r="G398" s="196"/>
      <c r="H398" s="186" t="s">
        <v>37</v>
      </c>
      <c r="I398" s="187">
        <f ca="1">IFERROR(__xludf.DUMMYFUNCTION("IMPORTRANGE(""https://docs.google.com/spreadsheets/d/11923uPwbBZFjjGgGUA6NLw09EwE0CqkOc4q9oUmW1yo/edit?usp=sharing"",""กำแพงเพชร!I293"")"),100)</f>
        <v>100</v>
      </c>
      <c r="J398" s="197">
        <f ca="1">IFERROR(__xludf.DUMMYFUNCTION("IMPORTRANGE(""https://docs.google.com/spreadsheets/d/11923uPwbBZFjjGgGUA6NLw09EwE0CqkOc4q9oUmW1yo/edit?usp=sharing"",""กำแพงเพชร!J293"")"),0)</f>
        <v>0</v>
      </c>
      <c r="K398" s="163">
        <f t="shared" ca="1" si="110"/>
        <v>0</v>
      </c>
      <c r="L398" s="181"/>
      <c r="M398" s="181"/>
      <c r="N398" s="181"/>
      <c r="O398" s="181"/>
      <c r="P398" s="181"/>
    </row>
    <row r="399" spans="1:16" ht="21.75" customHeight="1" x14ac:dyDescent="0.3">
      <c r="A399" s="175"/>
      <c r="B399" s="176"/>
      <c r="C399" s="176"/>
      <c r="D399" s="193"/>
      <c r="E399" s="194" t="s">
        <v>54</v>
      </c>
      <c r="F399" s="195"/>
      <c r="G399" s="196"/>
      <c r="H399" s="186"/>
      <c r="I399" s="187"/>
      <c r="J399" s="197">
        <f ca="1">IFERROR(__xludf.DUMMYFUNCTION("IMPORTRANGE(""https://docs.google.com/spreadsheets/d/11923uPwbBZFjjGgGUA6NLw09EwE0CqkOc4q9oUmW1yo/edit?usp=sharing"",""กำแพงเพชร!J294"")"),0)</f>
        <v>0</v>
      </c>
      <c r="K399" s="163"/>
      <c r="L399" s="181"/>
      <c r="M399" s="181"/>
      <c r="N399" s="181"/>
      <c r="O399" s="181"/>
      <c r="P399" s="181"/>
    </row>
    <row r="400" spans="1:16" ht="21.75" customHeight="1" x14ac:dyDescent="0.3">
      <c r="A400" s="175"/>
      <c r="B400" s="176"/>
      <c r="C400" s="176"/>
      <c r="D400" s="205">
        <v>3</v>
      </c>
      <c r="E400" s="206" t="s">
        <v>55</v>
      </c>
      <c r="F400" s="207"/>
      <c r="G400" s="208"/>
      <c r="H400" s="186"/>
      <c r="I400" s="187"/>
      <c r="J400" s="209">
        <f ca="1">IFERROR(__xludf.DUMMYFUNCTION("IMPORTRANGE(""https://docs.google.com/spreadsheets/d/11923uPwbBZFjjGgGUA6NLw09EwE0CqkOc4q9oUmW1yo/edit?usp=sharing"",""กำแพงเพชร!J295"")"),0)</f>
        <v>0</v>
      </c>
      <c r="K400" s="163"/>
      <c r="L400" s="181"/>
      <c r="M400" s="181"/>
      <c r="N400" s="181"/>
      <c r="O400" s="181"/>
      <c r="P400" s="181"/>
    </row>
    <row r="401" spans="1:16" ht="21.75" customHeight="1" x14ac:dyDescent="0.3">
      <c r="A401" s="364"/>
      <c r="B401" s="365">
        <v>3</v>
      </c>
      <c r="C401" s="365" t="s">
        <v>147</v>
      </c>
      <c r="D401" s="366"/>
      <c r="E401" s="366"/>
      <c r="F401" s="366"/>
      <c r="G401" s="367"/>
      <c r="H401" s="368" t="s">
        <v>122</v>
      </c>
      <c r="I401" s="369">
        <f ca="1">IFERROR(__xludf.DUMMYFUNCTION("IMPORTRANGE(""https://docs.google.com/spreadsheets/d/11923uPwbBZFjjGgGUA6NLw09EwE0CqkOc4q9oUmW1yo/edit?usp=sharing"",""กำแพงเพชร!I296"")"),135)</f>
        <v>135</v>
      </c>
      <c r="J401" s="369">
        <f ca="1">IFERROR(__xludf.DUMMYFUNCTION("IMPORTRANGE(""https://docs.google.com/spreadsheets/d/11923uPwbBZFjjGgGUA6NLw09EwE0CqkOc4q9oUmW1yo/edit?usp=sharing"",""กำแพงเพชร!J296"")"),0)</f>
        <v>0</v>
      </c>
      <c r="K401" s="370">
        <f t="shared" ref="K401:K402" ca="1" si="111">IF(I401&gt;0,J401*100/I401,0)</f>
        <v>0</v>
      </c>
      <c r="L401" s="371">
        <f ca="1">IFERROR(__xludf.DUMMYFUNCTION("IMPORTRANGE(""https://docs.google.com/spreadsheets/d/11923uPwbBZFjjGgGUA6NLw09EwE0CqkOc4q9oUmW1yo/edit?usp=sharing"",""กำแพงเพชร!L296"")"),159950)</f>
        <v>159950</v>
      </c>
      <c r="M401" s="371"/>
      <c r="N401" s="371">
        <f ca="1">IFERROR(__xludf.DUMMYFUNCTION("IMPORTRANGE(""https://docs.google.com/spreadsheets/d/11923uPwbBZFjjGgGUA6NLw09EwE0CqkOc4q9oUmW1yo/edit?usp=sharing"",""กำแพงเพชร!M296"")"),51980)</f>
        <v>51980</v>
      </c>
      <c r="O401" s="371">
        <f ca="1">+IF(L401&gt;0,N401*100/L401,0)</f>
        <v>32.497655517349173</v>
      </c>
      <c r="P401" s="371"/>
    </row>
    <row r="402" spans="1:16" ht="21.75" customHeight="1" x14ac:dyDescent="0.3">
      <c r="A402" s="364"/>
      <c r="B402" s="365"/>
      <c r="C402" s="365"/>
      <c r="D402" s="382"/>
      <c r="E402" s="382"/>
      <c r="F402" s="382"/>
      <c r="G402" s="385"/>
      <c r="H402" s="368" t="s">
        <v>37</v>
      </c>
      <c r="I402" s="369">
        <f ca="1">IFERROR(__xludf.DUMMYFUNCTION("IMPORTRANGE(""https://docs.google.com/spreadsheets/d/11923uPwbBZFjjGgGUA6NLw09EwE0CqkOc4q9oUmW1yo/edit?usp=sharing"",""กำแพงเพชร!I297"")"),45)</f>
        <v>45</v>
      </c>
      <c r="J402" s="369">
        <f ca="1">IFERROR(__xludf.DUMMYFUNCTION("IMPORTRANGE(""https://docs.google.com/spreadsheets/d/11923uPwbBZFjjGgGUA6NLw09EwE0CqkOc4q9oUmW1yo/edit?usp=sharing"",""กำแพงเพชร!J297"")"),35)</f>
        <v>35</v>
      </c>
      <c r="K402" s="370">
        <f t="shared" ca="1" si="111"/>
        <v>77.777777777777771</v>
      </c>
      <c r="L402" s="371"/>
      <c r="M402" s="371"/>
      <c r="N402" s="371"/>
      <c r="O402" s="371"/>
      <c r="P402" s="371"/>
    </row>
    <row r="403" spans="1:16" ht="21.75" customHeight="1" x14ac:dyDescent="0.3">
      <c r="A403" s="156"/>
      <c r="B403" s="157"/>
      <c r="C403" s="157" t="s">
        <v>16</v>
      </c>
      <c r="D403" s="158" t="s">
        <v>38</v>
      </c>
      <c r="E403" s="159"/>
      <c r="F403" s="159"/>
      <c r="G403" s="160" t="s">
        <v>39</v>
      </c>
      <c r="H403" s="161" t="s">
        <v>12</v>
      </c>
      <c r="I403" s="162" t="s">
        <v>40</v>
      </c>
      <c r="J403" s="162"/>
      <c r="K403" s="163"/>
      <c r="L403" s="164">
        <f ca="1">IFERROR(__xludf.DUMMYFUNCTION("IMPORTRANGE(""https://docs.google.com/spreadsheets/d/11923uPwbBZFjjGgGUA6NLw09EwE0CqkOc4q9oUmW1yo/edit?usp=sharing"",""กำแพงเพชร!L298"")"),0)</f>
        <v>0</v>
      </c>
      <c r="M403" s="164"/>
      <c r="N403" s="168">
        <f ca="1">IFERROR(__xludf.DUMMYFUNCTION("IMPORTRANGE(""https://docs.google.com/spreadsheets/d/11923uPwbBZFjjGgGUA6NLw09EwE0CqkOc4q9oUmW1yo/edit?usp=sharing"",""กำแพงเพชร!M298"")"),0)</f>
        <v>0</v>
      </c>
      <c r="O403" s="168">
        <f t="shared" ref="O403:O406" ca="1" si="112">+IF(L403&gt;0,N403*100/L403,0)</f>
        <v>0</v>
      </c>
      <c r="P403" s="168"/>
    </row>
    <row r="404" spans="1:16" ht="21.75" customHeight="1" x14ac:dyDescent="0.3">
      <c r="A404" s="156"/>
      <c r="B404" s="157"/>
      <c r="C404" s="157"/>
      <c r="D404" s="166"/>
      <c r="E404" s="159"/>
      <c r="F404" s="159" t="s">
        <v>40</v>
      </c>
      <c r="G404" s="160" t="s">
        <v>41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IFERROR(__xludf.DUMMYFUNCTION("IMPORTRANGE(""https://docs.google.com/spreadsheets/d/11923uPwbBZFjjGgGUA6NLw09EwE0CqkOc4q9oUmW1yo/edit?usp=sharing"",""กำแพงเพชร!L299"")"),159950)</f>
        <v>159950</v>
      </c>
      <c r="M404" s="165"/>
      <c r="N404" s="168">
        <f ca="1">IFERROR(__xludf.DUMMYFUNCTION("IMPORTRANGE(""https://docs.google.com/spreadsheets/d/11923uPwbBZFjjGgGUA6NLw09EwE0CqkOc4q9oUmW1yo/edit?usp=sharing"",""กำแพงเพชร!M299"")"),51980)</f>
        <v>51980</v>
      </c>
      <c r="O404" s="168">
        <f t="shared" ca="1" si="112"/>
        <v>32.497655517349173</v>
      </c>
      <c r="P404" s="168"/>
    </row>
    <row r="405" spans="1:16" ht="21.75" customHeight="1" x14ac:dyDescent="0.3">
      <c r="A405" s="156"/>
      <c r="B405" s="157"/>
      <c r="C405" s="157"/>
      <c r="D405" s="166"/>
      <c r="E405" s="159"/>
      <c r="F405" s="159"/>
      <c r="G405" s="372" t="s">
        <v>129</v>
      </c>
      <c r="H405" s="161" t="s">
        <v>12</v>
      </c>
      <c r="I405" s="162"/>
      <c r="J405" s="162"/>
      <c r="K405" s="163"/>
      <c r="L405" s="168">
        <f ca="1">IFERROR(__xludf.DUMMYFUNCTION("IMPORTRANGE(""https://docs.google.com/spreadsheets/d/11923uPwbBZFjjGgGUA6NLw09EwE0CqkOc4q9oUmW1yo/edit?usp=sharing"",""กำแพงเพชร!L300"")"),0)</f>
        <v>0</v>
      </c>
      <c r="M405" s="168"/>
      <c r="N405" s="168">
        <f ca="1">IFERROR(__xludf.DUMMYFUNCTION("IMPORTRANGE(""https://docs.google.com/spreadsheets/d/11923uPwbBZFjjGgGUA6NLw09EwE0CqkOc4q9oUmW1yo/edit?usp=sharing"",""กำแพงเพชร!M300"")"),0)</f>
        <v>0</v>
      </c>
      <c r="O405" s="168">
        <f t="shared" ca="1" si="112"/>
        <v>0</v>
      </c>
      <c r="P405" s="168"/>
    </row>
    <row r="406" spans="1:16" ht="21.75" customHeight="1" x14ac:dyDescent="0.3">
      <c r="A406" s="156"/>
      <c r="B406" s="157"/>
      <c r="C406" s="157"/>
      <c r="D406" s="166"/>
      <c r="E406" s="159"/>
      <c r="F406" s="159"/>
      <c r="G406" s="372" t="s">
        <v>130</v>
      </c>
      <c r="H406" s="161" t="s">
        <v>12</v>
      </c>
      <c r="I406" s="162"/>
      <c r="J406" s="162"/>
      <c r="K406" s="163"/>
      <c r="L406" s="168">
        <f ca="1">IFERROR(__xludf.DUMMYFUNCTION("IMPORTRANGE(""https://docs.google.com/spreadsheets/d/11923uPwbBZFjjGgGUA6NLw09EwE0CqkOc4q9oUmW1yo/edit?usp=sharing"",""กำแพงเพชร!L301"")"),159950)</f>
        <v>159950</v>
      </c>
      <c r="M406" s="168"/>
      <c r="N406" s="168">
        <f ca="1">IFERROR(__xludf.DUMMYFUNCTION("IMPORTRANGE(""https://docs.google.com/spreadsheets/d/11923uPwbBZFjjGgGUA6NLw09EwE0CqkOc4q9oUmW1yo/edit?usp=sharing"",""กำแพงเพชร!M301"")"),51980)</f>
        <v>51980</v>
      </c>
      <c r="O406" s="168">
        <f t="shared" ca="1" si="112"/>
        <v>32.497655517349173</v>
      </c>
      <c r="P406" s="168"/>
    </row>
    <row r="407" spans="1:16" ht="21.75" customHeight="1" x14ac:dyDescent="0.3">
      <c r="A407" s="373"/>
      <c r="B407" s="374"/>
      <c r="C407" s="157"/>
      <c r="D407" s="375"/>
      <c r="E407" s="159"/>
      <c r="F407" s="159"/>
      <c r="G407" s="376" t="s">
        <v>131</v>
      </c>
      <c r="H407" s="161" t="s">
        <v>12</v>
      </c>
      <c r="I407" s="187"/>
      <c r="J407" s="187"/>
      <c r="K407" s="223"/>
      <c r="L407" s="168"/>
      <c r="M407" s="168"/>
      <c r="N407" s="377">
        <f ca="1">IFERROR(__xludf.DUMMYFUNCTION("IMPORTRANGE(""https://docs.google.com/spreadsheets/d/11923uPwbBZFjjGgGUA6NLw09EwE0CqkOc4q9oUmW1yo/edit?usp=sharing"",""กำแพงเพชร!M302"")"),49100)</f>
        <v>49100</v>
      </c>
      <c r="O407" s="168"/>
      <c r="P407" s="168"/>
    </row>
    <row r="408" spans="1:16" ht="21.75" customHeight="1" x14ac:dyDescent="0.3">
      <c r="A408" s="373"/>
      <c r="B408" s="374"/>
      <c r="C408" s="157"/>
      <c r="D408" s="375"/>
      <c r="E408" s="159"/>
      <c r="F408" s="159"/>
      <c r="G408" s="376" t="s">
        <v>132</v>
      </c>
      <c r="H408" s="161" t="s">
        <v>12</v>
      </c>
      <c r="I408" s="187"/>
      <c r="J408" s="187"/>
      <c r="K408" s="223"/>
      <c r="L408" s="168"/>
      <c r="M408" s="168"/>
      <c r="N408" s="377">
        <f ca="1">IFERROR(__xludf.DUMMYFUNCTION("IMPORTRANGE(""https://docs.google.com/spreadsheets/d/11923uPwbBZFjjGgGUA6NLw09EwE0CqkOc4q9oUmW1yo/edit?usp=sharing"",""กำแพงเพชร!M303"")"),0)</f>
        <v>0</v>
      </c>
      <c r="O408" s="168"/>
      <c r="P408" s="168"/>
    </row>
    <row r="409" spans="1:16" ht="21.75" customHeight="1" x14ac:dyDescent="0.3">
      <c r="A409" s="373"/>
      <c r="B409" s="374"/>
      <c r="C409" s="157"/>
      <c r="D409" s="375"/>
      <c r="E409" s="159"/>
      <c r="F409" s="159"/>
      <c r="G409" s="376" t="s">
        <v>133</v>
      </c>
      <c r="H409" s="161" t="s">
        <v>12</v>
      </c>
      <c r="I409" s="187"/>
      <c r="J409" s="187"/>
      <c r="K409" s="223"/>
      <c r="L409" s="168"/>
      <c r="M409" s="168"/>
      <c r="N409" s="377">
        <f ca="1">IFERROR(__xludf.DUMMYFUNCTION("IMPORTRANGE(""https://docs.google.com/spreadsheets/d/11923uPwbBZFjjGgGUA6NLw09EwE0CqkOc4q9oUmW1yo/edit?usp=sharing"",""กำแพงเพชร!M304"")"),0)</f>
        <v>0</v>
      </c>
      <c r="O409" s="168"/>
      <c r="P409" s="168"/>
    </row>
    <row r="410" spans="1:16" ht="21.75" customHeight="1" x14ac:dyDescent="0.3">
      <c r="A410" s="373"/>
      <c r="B410" s="374"/>
      <c r="C410" s="157"/>
      <c r="D410" s="375"/>
      <c r="E410" s="159"/>
      <c r="F410" s="159"/>
      <c r="G410" s="376" t="s">
        <v>134</v>
      </c>
      <c r="H410" s="161" t="s">
        <v>12</v>
      </c>
      <c r="I410" s="187"/>
      <c r="J410" s="187"/>
      <c r="K410" s="223"/>
      <c r="L410" s="168"/>
      <c r="M410" s="168"/>
      <c r="N410" s="377">
        <f ca="1">IFERROR(__xludf.DUMMYFUNCTION("IMPORTRANGE(""https://docs.google.com/spreadsheets/d/11923uPwbBZFjjGgGUA6NLw09EwE0CqkOc4q9oUmW1yo/edit?usp=sharing"",""กำแพงเพชร!M305"")"),2880)</f>
        <v>2880</v>
      </c>
      <c r="O410" s="168"/>
      <c r="P410" s="168"/>
    </row>
    <row r="411" spans="1:16" ht="21.75" customHeight="1" x14ac:dyDescent="0.3">
      <c r="A411" s="175"/>
      <c r="B411" s="176"/>
      <c r="C411" s="157" t="s">
        <v>16</v>
      </c>
      <c r="D411" s="177" t="s">
        <v>44</v>
      </c>
      <c r="E411" s="178"/>
      <c r="F411" s="178"/>
      <c r="G411" s="179"/>
      <c r="H411" s="180"/>
      <c r="I411" s="162"/>
      <c r="J411" s="162"/>
      <c r="K411" s="163"/>
      <c r="L411" s="181"/>
      <c r="M411" s="181"/>
      <c r="N411" s="181"/>
      <c r="O411" s="181"/>
      <c r="P411" s="181"/>
    </row>
    <row r="412" spans="1:16" ht="21.75" customHeight="1" x14ac:dyDescent="0.3">
      <c r="A412" s="175"/>
      <c r="B412" s="176"/>
      <c r="C412" s="176"/>
      <c r="D412" s="182">
        <v>1</v>
      </c>
      <c r="E412" s="183" t="s">
        <v>45</v>
      </c>
      <c r="F412" s="184"/>
      <c r="G412" s="185"/>
      <c r="H412" s="186"/>
      <c r="I412" s="187"/>
      <c r="J412" s="197">
        <f ca="1">IFERROR(__xludf.DUMMYFUNCTION("IMPORTRANGE(""https://docs.google.com/spreadsheets/d/11923uPwbBZFjjGgGUA6NLw09EwE0CqkOc4q9oUmW1yo/edit?usp=sharing"",""กำแพงเพชร!J307"")"),0)</f>
        <v>0</v>
      </c>
      <c r="K412" s="163"/>
      <c r="L412" s="181"/>
      <c r="M412" s="181"/>
      <c r="N412" s="181"/>
      <c r="O412" s="181"/>
      <c r="P412" s="181"/>
    </row>
    <row r="413" spans="1:16" ht="21.75" customHeight="1" x14ac:dyDescent="0.3">
      <c r="A413" s="175"/>
      <c r="B413" s="176"/>
      <c r="C413" s="176"/>
      <c r="D413" s="189">
        <v>2</v>
      </c>
      <c r="E413" s="190" t="s">
        <v>46</v>
      </c>
      <c r="F413" s="191"/>
      <c r="G413" s="192"/>
      <c r="H413" s="186"/>
      <c r="I413" s="187"/>
      <c r="J413" s="188">
        <f ca="1">IFERROR(__xludf.DUMMYFUNCTION("IMPORTRANGE(""https://docs.google.com/spreadsheets/d/11923uPwbBZFjjGgGUA6NLw09EwE0CqkOc4q9oUmW1yo/edit?usp=sharing"",""กำแพงเพชร!J308"")"),1)</f>
        <v>1</v>
      </c>
      <c r="K413" s="163"/>
      <c r="L413" s="181" t="s">
        <v>40</v>
      </c>
      <c r="M413" s="181"/>
      <c r="N413" s="181" t="s">
        <v>40</v>
      </c>
      <c r="O413" s="181"/>
      <c r="P413" s="181"/>
    </row>
    <row r="414" spans="1:16" ht="21.75" customHeight="1" x14ac:dyDescent="0.3">
      <c r="A414" s="175"/>
      <c r="B414" s="176"/>
      <c r="C414" s="176"/>
      <c r="D414" s="193"/>
      <c r="E414" s="194" t="s">
        <v>47</v>
      </c>
      <c r="F414" s="195"/>
      <c r="G414" s="196"/>
      <c r="H414" s="186"/>
      <c r="I414" s="187"/>
      <c r="J414" s="188">
        <f ca="1">IFERROR(__xludf.DUMMYFUNCTION("IMPORTRANGE(""https://docs.google.com/spreadsheets/d/11923uPwbBZFjjGgGUA6NLw09EwE0CqkOc4q9oUmW1yo/edit?usp=sharing"",""กำแพงเพชร!J309"")"),1)</f>
        <v>1</v>
      </c>
      <c r="K414" s="163"/>
      <c r="L414" s="181"/>
      <c r="M414" s="181"/>
      <c r="N414" s="181"/>
      <c r="O414" s="181"/>
      <c r="P414" s="181"/>
    </row>
    <row r="415" spans="1:16" ht="21.75" customHeight="1" x14ac:dyDescent="0.3">
      <c r="A415" s="175"/>
      <c r="B415" s="176"/>
      <c r="C415" s="176"/>
      <c r="D415" s="193"/>
      <c r="E415" s="194" t="s">
        <v>48</v>
      </c>
      <c r="F415" s="195"/>
      <c r="G415" s="196"/>
      <c r="H415" s="186"/>
      <c r="I415" s="187"/>
      <c r="J415" s="197">
        <f ca="1">IFERROR(__xludf.DUMMYFUNCTION("IMPORTRANGE(""https://docs.google.com/spreadsheets/d/11923uPwbBZFjjGgGUA6NLw09EwE0CqkOc4q9oUmW1yo/edit?usp=sharing"",""กำแพงเพชร!J310"")"),0)</f>
        <v>0</v>
      </c>
      <c r="K415" s="163"/>
      <c r="L415" s="181"/>
      <c r="M415" s="181"/>
      <c r="N415" s="181"/>
      <c r="O415" s="181"/>
      <c r="P415" s="181"/>
    </row>
    <row r="416" spans="1:16" ht="21.75" customHeight="1" x14ac:dyDescent="0.3">
      <c r="A416" s="175"/>
      <c r="B416" s="176"/>
      <c r="C416" s="176"/>
      <c r="D416" s="193"/>
      <c r="E416" s="198"/>
      <c r="F416" s="194" t="s">
        <v>70</v>
      </c>
      <c r="G416" s="386"/>
      <c r="H416" s="387" t="s">
        <v>37</v>
      </c>
      <c r="I416" s="200">
        <f ca="1">IFERROR(__xludf.DUMMYFUNCTION("IMPORTRANGE(""https://docs.google.com/spreadsheets/d/11923uPwbBZFjjGgGUA6NLw09EwE0CqkOc4q9oUmW1yo/edit?usp=sharing"",""กำแพงเพชร!I311"")"),45)</f>
        <v>45</v>
      </c>
      <c r="J416" s="200">
        <f ca="1">IFERROR(__xludf.DUMMYFUNCTION("IMPORTRANGE(""https://docs.google.com/spreadsheets/d/11923uPwbBZFjjGgGUA6NLw09EwE0CqkOc4q9oUmW1yo/edit?usp=sharing"",""กำแพงเพชร!J311"")"),35)</f>
        <v>35</v>
      </c>
      <c r="K416" s="201">
        <f t="shared" ref="K416:K432" ca="1" si="113">IF(I416&gt;0,J416*100/I416,0)</f>
        <v>77.777777777777771</v>
      </c>
      <c r="L416" s="181"/>
      <c r="M416" s="181"/>
      <c r="N416" s="181"/>
      <c r="O416" s="181"/>
      <c r="P416" s="181"/>
    </row>
    <row r="417" spans="1:16" ht="21.75" customHeight="1" x14ac:dyDescent="0.45">
      <c r="A417" s="175"/>
      <c r="B417" s="176"/>
      <c r="C417" s="176"/>
      <c r="D417" s="193"/>
      <c r="E417" s="198"/>
      <c r="F417" s="388" t="s">
        <v>148</v>
      </c>
      <c r="G417" s="196"/>
      <c r="H417" s="199" t="s">
        <v>37</v>
      </c>
      <c r="I417" s="389">
        <f ca="1">IFERROR(__xludf.DUMMYFUNCTION("IMPORTRANGE(""https://docs.google.com/spreadsheets/d/11923uPwbBZFjjGgGUA6NLw09EwE0CqkOc4q9oUmW1yo/edit?usp=sharing"",""กำแพงเพชร!I312"")"),10)</f>
        <v>10</v>
      </c>
      <c r="J417" s="390">
        <f ca="1">IFERROR(__xludf.DUMMYFUNCTION("IMPORTRANGE(""https://docs.google.com/spreadsheets/d/11923uPwbBZFjjGgGUA6NLw09EwE0CqkOc4q9oUmW1yo/edit?usp=sharing"",""กำแพงเพชร!J312"")"),10)</f>
        <v>10</v>
      </c>
      <c r="K417" s="201">
        <f t="shared" ca="1" si="113"/>
        <v>100</v>
      </c>
      <c r="L417" s="181"/>
      <c r="M417" s="181"/>
      <c r="N417" s="181"/>
      <c r="O417" s="181"/>
      <c r="P417" s="181"/>
    </row>
    <row r="418" spans="1:16" ht="21.75" customHeight="1" x14ac:dyDescent="0.45">
      <c r="A418" s="175"/>
      <c r="B418" s="176"/>
      <c r="C418" s="176"/>
      <c r="D418" s="193"/>
      <c r="E418" s="198"/>
      <c r="F418" s="195"/>
      <c r="G418" s="196"/>
      <c r="H418" s="199" t="s">
        <v>122</v>
      </c>
      <c r="I418" s="389">
        <f ca="1">IFERROR(__xludf.DUMMYFUNCTION("IMPORTRANGE(""https://docs.google.com/spreadsheets/d/11923uPwbBZFjjGgGUA6NLw09EwE0CqkOc4q9oUmW1yo/edit?usp=sharing"",""กำแพงเพชร!I313"")"),30)</f>
        <v>30</v>
      </c>
      <c r="J418" s="391">
        <f ca="1">IFERROR(__xludf.DUMMYFUNCTION("IMPORTRANGE(""https://docs.google.com/spreadsheets/d/11923uPwbBZFjjGgGUA6NLw09EwE0CqkOc4q9oUmW1yo/edit?usp=sharing"",""กำแพงเพชร!J313"")"),0)</f>
        <v>0</v>
      </c>
      <c r="K418" s="201">
        <f t="shared" ca="1" si="113"/>
        <v>0</v>
      </c>
      <c r="L418" s="181"/>
      <c r="M418" s="181"/>
      <c r="N418" s="181"/>
      <c r="O418" s="181"/>
      <c r="P418" s="181"/>
    </row>
    <row r="419" spans="1:16" ht="21.75" customHeight="1" x14ac:dyDescent="0.45">
      <c r="A419" s="175"/>
      <c r="B419" s="176"/>
      <c r="C419" s="176"/>
      <c r="D419" s="193"/>
      <c r="E419" s="198"/>
      <c r="F419" s="195"/>
      <c r="G419" s="225" t="s">
        <v>149</v>
      </c>
      <c r="H419" s="180" t="s">
        <v>37</v>
      </c>
      <c r="I419" s="339">
        <f ca="1">IFERROR(__xludf.DUMMYFUNCTION("IMPORTRANGE(""https://docs.google.com/spreadsheets/d/11923uPwbBZFjjGgGUA6NLw09EwE0CqkOc4q9oUmW1yo/edit?usp=sharing"",""กำแพงเพชร!I314"")"),10)</f>
        <v>10</v>
      </c>
      <c r="J419" s="392">
        <f ca="1">IFERROR(__xludf.DUMMYFUNCTION("IMPORTRANGE(""https://docs.google.com/spreadsheets/d/11923uPwbBZFjjGgGUA6NLw09EwE0CqkOc4q9oUmW1yo/edit?usp=sharing"",""กำแพงเพชร!J314"")"),10)</f>
        <v>10</v>
      </c>
      <c r="K419" s="163">
        <f t="shared" ca="1" si="113"/>
        <v>100</v>
      </c>
      <c r="L419" s="181"/>
      <c r="M419" s="181"/>
      <c r="N419" s="181"/>
      <c r="O419" s="181"/>
      <c r="P419" s="181"/>
    </row>
    <row r="420" spans="1:16" ht="21.75" customHeight="1" x14ac:dyDescent="0.45">
      <c r="A420" s="233"/>
      <c r="B420" s="234"/>
      <c r="C420" s="234"/>
      <c r="D420" s="393"/>
      <c r="E420" s="394"/>
      <c r="F420" s="345"/>
      <c r="G420" s="395" t="s">
        <v>150</v>
      </c>
      <c r="H420" s="347" t="s">
        <v>37</v>
      </c>
      <c r="I420" s="396">
        <f ca="1">IFERROR(__xludf.DUMMYFUNCTION("IMPORTRANGE(""https://docs.google.com/spreadsheets/d/11923uPwbBZFjjGgGUA6NLw09EwE0CqkOc4q9oUmW1yo/edit?usp=sharing"",""กำแพงเพชร!I315"")"),10)</f>
        <v>10</v>
      </c>
      <c r="J420" s="392">
        <f ca="1">IFERROR(__xludf.DUMMYFUNCTION("IMPORTRANGE(""https://docs.google.com/spreadsheets/d/11923uPwbBZFjjGgGUA6NLw09EwE0CqkOc4q9oUmW1yo/edit?usp=sharing"",""กำแพงเพชร!J315"")"),10)</f>
        <v>10</v>
      </c>
      <c r="K420" s="286">
        <f t="shared" ca="1" si="113"/>
        <v>100</v>
      </c>
      <c r="L420" s="244"/>
      <c r="M420" s="244"/>
      <c r="N420" s="244"/>
      <c r="O420" s="244"/>
      <c r="P420" s="244"/>
    </row>
    <row r="421" spans="1:16" ht="21.75" customHeight="1" x14ac:dyDescent="0.45">
      <c r="A421" s="175"/>
      <c r="B421" s="176"/>
      <c r="C421" s="176"/>
      <c r="D421" s="193"/>
      <c r="E421" s="198"/>
      <c r="F421" s="388" t="s">
        <v>151</v>
      </c>
      <c r="G421" s="196"/>
      <c r="H421" s="199" t="s">
        <v>37</v>
      </c>
      <c r="I421" s="389">
        <f ca="1">IFERROR(__xludf.DUMMYFUNCTION("IMPORTRANGE(""https://docs.google.com/spreadsheets/d/11923uPwbBZFjjGgGUA6NLw09EwE0CqkOc4q9oUmW1yo/edit?usp=sharing"",""กำแพงเพชร!I316"")"),25)</f>
        <v>25</v>
      </c>
      <c r="J421" s="390">
        <f ca="1">IFERROR(__xludf.DUMMYFUNCTION("IMPORTRANGE(""https://docs.google.com/spreadsheets/d/11923uPwbBZFjjGgGUA6NLw09EwE0CqkOc4q9oUmW1yo/edit?usp=sharing"",""กำแพงเพชร!J316"")"),25)</f>
        <v>25</v>
      </c>
      <c r="K421" s="201">
        <f t="shared" ca="1" si="113"/>
        <v>100</v>
      </c>
      <c r="L421" s="181"/>
      <c r="M421" s="181"/>
      <c r="N421" s="181"/>
      <c r="O421" s="181"/>
      <c r="P421" s="181"/>
    </row>
    <row r="422" spans="1:16" ht="21.75" customHeight="1" x14ac:dyDescent="0.45">
      <c r="A422" s="175"/>
      <c r="B422" s="176"/>
      <c r="C422" s="176"/>
      <c r="D422" s="193"/>
      <c r="E422" s="198"/>
      <c r="F422" s="195"/>
      <c r="G422" s="196"/>
      <c r="H422" s="199" t="s">
        <v>122</v>
      </c>
      <c r="I422" s="389">
        <f ca="1">IFERROR(__xludf.DUMMYFUNCTION("IMPORTRANGE(""https://docs.google.com/spreadsheets/d/11923uPwbBZFjjGgGUA6NLw09EwE0CqkOc4q9oUmW1yo/edit?usp=sharing"",""กำแพงเพชร!I317"")"),75)</f>
        <v>75</v>
      </c>
      <c r="J422" s="391">
        <f ca="1">IFERROR(__xludf.DUMMYFUNCTION("IMPORTRANGE(""https://docs.google.com/spreadsheets/d/11923uPwbBZFjjGgGUA6NLw09EwE0CqkOc4q9oUmW1yo/edit?usp=sharing"",""กำแพงเพชร!J317"")"),0)</f>
        <v>0</v>
      </c>
      <c r="K422" s="201">
        <f t="shared" ca="1" si="113"/>
        <v>0</v>
      </c>
      <c r="L422" s="181"/>
      <c r="M422" s="181"/>
      <c r="N422" s="181"/>
      <c r="O422" s="181"/>
      <c r="P422" s="181"/>
    </row>
    <row r="423" spans="1:16" ht="21.75" customHeight="1" x14ac:dyDescent="0.45">
      <c r="A423" s="175"/>
      <c r="B423" s="176"/>
      <c r="C423" s="176"/>
      <c r="D423" s="193"/>
      <c r="E423" s="198"/>
      <c r="F423" s="195"/>
      <c r="G423" s="225" t="s">
        <v>152</v>
      </c>
      <c r="H423" s="180" t="s">
        <v>37</v>
      </c>
      <c r="I423" s="339">
        <f ca="1">IFERROR(__xludf.DUMMYFUNCTION("IMPORTRANGE(""https://docs.google.com/spreadsheets/d/11923uPwbBZFjjGgGUA6NLw09EwE0CqkOc4q9oUmW1yo/edit?usp=sharing"",""กำแพงเพชร!I318"")"),25)</f>
        <v>25</v>
      </c>
      <c r="J423" s="392">
        <f ca="1">IFERROR(__xludf.DUMMYFUNCTION("IMPORTRANGE(""https://docs.google.com/spreadsheets/d/11923uPwbBZFjjGgGUA6NLw09EwE0CqkOc4q9oUmW1yo/edit?usp=sharing"",""กำแพงเพชร!J318"")"),25)</f>
        <v>25</v>
      </c>
      <c r="K423" s="163">
        <f t="shared" ca="1" si="113"/>
        <v>100</v>
      </c>
      <c r="L423" s="181"/>
      <c r="M423" s="181"/>
      <c r="N423" s="181"/>
      <c r="O423" s="181"/>
      <c r="P423" s="181"/>
    </row>
    <row r="424" spans="1:16" ht="21.75" customHeight="1" x14ac:dyDescent="0.45">
      <c r="A424" s="175"/>
      <c r="B424" s="176"/>
      <c r="C424" s="176"/>
      <c r="D424" s="193"/>
      <c r="E424" s="198"/>
      <c r="F424" s="195"/>
      <c r="G424" s="225" t="s">
        <v>153</v>
      </c>
      <c r="H424" s="180" t="s">
        <v>37</v>
      </c>
      <c r="I424" s="339">
        <f ca="1">IFERROR(__xludf.DUMMYFUNCTION("IMPORTRANGE(""https://docs.google.com/spreadsheets/d/11923uPwbBZFjjGgGUA6NLw09EwE0CqkOc4q9oUmW1yo/edit?usp=sharing"",""กำแพงเพชร!I319"")"),25)</f>
        <v>25</v>
      </c>
      <c r="J424" s="392">
        <f ca="1">IFERROR(__xludf.DUMMYFUNCTION("IMPORTRANGE(""https://docs.google.com/spreadsheets/d/11923uPwbBZFjjGgGUA6NLw09EwE0CqkOc4q9oUmW1yo/edit?usp=sharing"",""กำแพงเพชร!J319"")"),25)</f>
        <v>25</v>
      </c>
      <c r="K424" s="163">
        <f t="shared" ca="1" si="113"/>
        <v>100</v>
      </c>
      <c r="L424" s="181"/>
      <c r="M424" s="181"/>
      <c r="N424" s="181"/>
      <c r="O424" s="181"/>
      <c r="P424" s="181"/>
    </row>
    <row r="425" spans="1:16" ht="21.75" customHeight="1" x14ac:dyDescent="0.45">
      <c r="A425" s="175"/>
      <c r="B425" s="176"/>
      <c r="C425" s="176"/>
      <c r="D425" s="193"/>
      <c r="E425" s="198"/>
      <c r="F425" s="195"/>
      <c r="G425" s="225" t="s">
        <v>154</v>
      </c>
      <c r="H425" s="180" t="s">
        <v>37</v>
      </c>
      <c r="I425" s="339">
        <f ca="1">IFERROR(__xludf.DUMMYFUNCTION("IMPORTRANGE(""https://docs.google.com/spreadsheets/d/11923uPwbBZFjjGgGUA6NLw09EwE0CqkOc4q9oUmW1yo/edit?usp=sharing"",""กำแพงเพชร!I320"")"),25)</f>
        <v>25</v>
      </c>
      <c r="J425" s="392">
        <f ca="1">IFERROR(__xludf.DUMMYFUNCTION("IMPORTRANGE(""https://docs.google.com/spreadsheets/d/11923uPwbBZFjjGgGUA6NLw09EwE0CqkOc4q9oUmW1yo/edit?usp=sharing"",""กำแพงเพชร!J320"")"),25)</f>
        <v>25</v>
      </c>
      <c r="K425" s="163">
        <f t="shared" ca="1" si="113"/>
        <v>100</v>
      </c>
      <c r="L425" s="181"/>
      <c r="M425" s="181"/>
      <c r="N425" s="181"/>
      <c r="O425" s="181"/>
      <c r="P425" s="181"/>
    </row>
    <row r="426" spans="1:16" ht="21.75" customHeight="1" x14ac:dyDescent="0.45">
      <c r="A426" s="175"/>
      <c r="B426" s="176"/>
      <c r="C426" s="176"/>
      <c r="D426" s="193"/>
      <c r="E426" s="198"/>
      <c r="F426" s="397" t="s">
        <v>155</v>
      </c>
      <c r="G426" s="196"/>
      <c r="H426" s="199" t="s">
        <v>37</v>
      </c>
      <c r="I426" s="389">
        <f ca="1">IFERROR(__xludf.DUMMYFUNCTION("IMPORTRANGE(""https://docs.google.com/spreadsheets/d/11923uPwbBZFjjGgGUA6NLw09EwE0CqkOc4q9oUmW1yo/edit?usp=sharing"",""กำแพงเพชร!I321"")"),10)</f>
        <v>10</v>
      </c>
      <c r="J426" s="390">
        <f ca="1">IFERROR(__xludf.DUMMYFUNCTION("IMPORTRANGE(""https://docs.google.com/spreadsheets/d/11923uPwbBZFjjGgGUA6NLw09EwE0CqkOc4q9oUmW1yo/edit?usp=sharing"",""กำแพงเพชร!J321"")"),0)</f>
        <v>0</v>
      </c>
      <c r="K426" s="201">
        <f t="shared" ca="1" si="113"/>
        <v>0</v>
      </c>
      <c r="L426" s="181"/>
      <c r="M426" s="181"/>
      <c r="N426" s="181"/>
      <c r="O426" s="181"/>
      <c r="P426" s="181"/>
    </row>
    <row r="427" spans="1:16" ht="21.75" customHeight="1" x14ac:dyDescent="0.45">
      <c r="A427" s="175"/>
      <c r="B427" s="176"/>
      <c r="C427" s="176"/>
      <c r="D427" s="193"/>
      <c r="E427" s="198"/>
      <c r="F427" s="195"/>
      <c r="G427" s="196"/>
      <c r="H427" s="199" t="s">
        <v>122</v>
      </c>
      <c r="I427" s="389">
        <f ca="1">IFERROR(__xludf.DUMMYFUNCTION("IMPORTRANGE(""https://docs.google.com/spreadsheets/d/11923uPwbBZFjjGgGUA6NLw09EwE0CqkOc4q9oUmW1yo/edit?usp=sharing"",""กำแพงเพชร!I322"")"),30)</f>
        <v>30</v>
      </c>
      <c r="J427" s="391">
        <f ca="1">IFERROR(__xludf.DUMMYFUNCTION("IMPORTRANGE(""https://docs.google.com/spreadsheets/d/11923uPwbBZFjjGgGUA6NLw09EwE0CqkOc4q9oUmW1yo/edit?usp=sharing"",""กำแพงเพชร!J322"")"),0)</f>
        <v>0</v>
      </c>
      <c r="K427" s="201">
        <f t="shared" ca="1" si="113"/>
        <v>0</v>
      </c>
      <c r="L427" s="181"/>
      <c r="M427" s="181"/>
      <c r="N427" s="181"/>
      <c r="O427" s="181"/>
      <c r="P427" s="181"/>
    </row>
    <row r="428" spans="1:16" ht="21.75" customHeight="1" x14ac:dyDescent="0.45">
      <c r="A428" s="175"/>
      <c r="B428" s="176"/>
      <c r="C428" s="176"/>
      <c r="D428" s="193"/>
      <c r="E428" s="198"/>
      <c r="F428" s="195"/>
      <c r="G428" s="225" t="s">
        <v>156</v>
      </c>
      <c r="H428" s="180" t="s">
        <v>37</v>
      </c>
      <c r="I428" s="398">
        <f ca="1">IFERROR(__xludf.DUMMYFUNCTION("IMPORTRANGE(""https://docs.google.com/spreadsheets/d/11923uPwbBZFjjGgGUA6NLw09EwE0CqkOc4q9oUmW1yo/edit?usp=sharing"",""กำแพงเพชร!I323"")"),10)</f>
        <v>10</v>
      </c>
      <c r="J428" s="392">
        <f ca="1">IFERROR(__xludf.DUMMYFUNCTION("IMPORTRANGE(""https://docs.google.com/spreadsheets/d/11923uPwbBZFjjGgGUA6NLw09EwE0CqkOc4q9oUmW1yo/edit?usp=sharing"",""กำแพงเพชร!J323"")"),0)</f>
        <v>0</v>
      </c>
      <c r="K428" s="163">
        <f t="shared" ca="1" si="113"/>
        <v>0</v>
      </c>
      <c r="L428" s="181"/>
      <c r="M428" s="181"/>
      <c r="N428" s="181"/>
      <c r="O428" s="181"/>
      <c r="P428" s="181"/>
    </row>
    <row r="429" spans="1:16" ht="21.75" customHeight="1" x14ac:dyDescent="0.45">
      <c r="A429" s="175"/>
      <c r="B429" s="176"/>
      <c r="C429" s="176"/>
      <c r="D429" s="193"/>
      <c r="E429" s="198"/>
      <c r="F429" s="195"/>
      <c r="G429" s="225" t="s">
        <v>157</v>
      </c>
      <c r="H429" s="180" t="s">
        <v>37</v>
      </c>
      <c r="I429" s="398">
        <f ca="1">IFERROR(__xludf.DUMMYFUNCTION("IMPORTRANGE(""https://docs.google.com/spreadsheets/d/11923uPwbBZFjjGgGUA6NLw09EwE0CqkOc4q9oUmW1yo/edit?usp=sharing"",""กำแพงเพชร!I324"")"),10)</f>
        <v>10</v>
      </c>
      <c r="J429" s="392">
        <f ca="1">IFERROR(__xludf.DUMMYFUNCTION("IMPORTRANGE(""https://docs.google.com/spreadsheets/d/11923uPwbBZFjjGgGUA6NLw09EwE0CqkOc4q9oUmW1yo/edit?usp=sharing"",""กำแพงเพชร!J324"")"),0)</f>
        <v>0</v>
      </c>
      <c r="K429" s="163">
        <f t="shared" ca="1" si="113"/>
        <v>0</v>
      </c>
      <c r="L429" s="181"/>
      <c r="M429" s="181"/>
      <c r="N429" s="181"/>
      <c r="O429" s="181"/>
      <c r="P429" s="181"/>
    </row>
    <row r="430" spans="1:16" ht="21.75" customHeight="1" x14ac:dyDescent="0.45">
      <c r="A430" s="175"/>
      <c r="B430" s="176"/>
      <c r="C430" s="176"/>
      <c r="D430" s="193"/>
      <c r="E430" s="198"/>
      <c r="F430" s="194" t="s">
        <v>53</v>
      </c>
      <c r="G430" s="386"/>
      <c r="H430" s="399" t="s">
        <v>37</v>
      </c>
      <c r="I430" s="200">
        <f ca="1">IFERROR(__xludf.DUMMYFUNCTION("IMPORTRANGE(""https://docs.google.com/spreadsheets/d/11923uPwbBZFjjGgGUA6NLw09EwE0CqkOc4q9oUmW1yo/edit?usp=sharing"",""กำแพงเพชร!I325"")"),35)</f>
        <v>35</v>
      </c>
      <c r="J430" s="390">
        <f ca="1">IFERROR(__xludf.DUMMYFUNCTION("IMPORTRANGE(""https://docs.google.com/spreadsheets/d/11923uPwbBZFjjGgGUA6NLw09EwE0CqkOc4q9oUmW1yo/edit?usp=sharing"",""กำแพงเพชร!J325"")"),0)</f>
        <v>0</v>
      </c>
      <c r="K430" s="201">
        <f t="shared" ca="1" si="113"/>
        <v>0</v>
      </c>
      <c r="L430" s="181"/>
      <c r="M430" s="181"/>
      <c r="N430" s="181"/>
      <c r="O430" s="181"/>
      <c r="P430" s="181"/>
    </row>
    <row r="431" spans="1:16" ht="21.75" customHeight="1" x14ac:dyDescent="0.45">
      <c r="A431" s="400"/>
      <c r="B431" s="401"/>
      <c r="C431" s="401"/>
      <c r="D431" s="402"/>
      <c r="E431" s="198"/>
      <c r="F431" s="195"/>
      <c r="G431" s="225" t="s">
        <v>158</v>
      </c>
      <c r="H431" s="180" t="s">
        <v>37</v>
      </c>
      <c r="I431" s="398">
        <f ca="1">IFERROR(__xludf.DUMMYFUNCTION("IMPORTRANGE(""https://docs.google.com/spreadsheets/d/11923uPwbBZFjjGgGUA6NLw09EwE0CqkOc4q9oUmW1yo/edit?usp=sharing"",""กำแพงเพชร!I326"")"),10)</f>
        <v>10</v>
      </c>
      <c r="J431" s="392">
        <f ca="1">IFERROR(__xludf.DUMMYFUNCTION("IMPORTRANGE(""https://docs.google.com/spreadsheets/d/11923uPwbBZFjjGgGUA6NLw09EwE0CqkOc4q9oUmW1yo/edit?usp=sharing"",""กำแพงเพชร!J326"")"),0)</f>
        <v>0</v>
      </c>
      <c r="K431" s="163">
        <f t="shared" ca="1" si="113"/>
        <v>0</v>
      </c>
      <c r="L431" s="181"/>
      <c r="M431" s="181"/>
      <c r="N431" s="181"/>
      <c r="O431" s="181"/>
      <c r="P431" s="181"/>
    </row>
    <row r="432" spans="1:16" ht="21.75" customHeight="1" x14ac:dyDescent="0.45">
      <c r="A432" s="400"/>
      <c r="B432" s="401"/>
      <c r="C432" s="401"/>
      <c r="D432" s="402"/>
      <c r="E432" s="198"/>
      <c r="F432" s="195"/>
      <c r="G432" s="225" t="s">
        <v>159</v>
      </c>
      <c r="H432" s="180" t="s">
        <v>37</v>
      </c>
      <c r="I432" s="398">
        <f ca="1">IFERROR(__xludf.DUMMYFUNCTION("IMPORTRANGE(""https://docs.google.com/spreadsheets/d/11923uPwbBZFjjGgGUA6NLw09EwE0CqkOc4q9oUmW1yo/edit?usp=sharing"",""กำแพงเพชร!I327"")"),25)</f>
        <v>25</v>
      </c>
      <c r="J432" s="392">
        <f ca="1">IFERROR(__xludf.DUMMYFUNCTION("IMPORTRANGE(""https://docs.google.com/spreadsheets/d/11923uPwbBZFjjGgGUA6NLw09EwE0CqkOc4q9oUmW1yo/edit?usp=sharing"",""กำแพงเพชร!J327"")"),25)</f>
        <v>25</v>
      </c>
      <c r="K432" s="163">
        <f t="shared" ca="1" si="113"/>
        <v>100</v>
      </c>
      <c r="L432" s="181"/>
      <c r="M432" s="181"/>
      <c r="N432" s="181"/>
      <c r="O432" s="181"/>
      <c r="P432" s="181"/>
    </row>
    <row r="433" spans="1:16" ht="21.75" customHeight="1" x14ac:dyDescent="0.3">
      <c r="A433" s="175"/>
      <c r="B433" s="176"/>
      <c r="C433" s="176"/>
      <c r="D433" s="193"/>
      <c r="E433" s="194" t="s">
        <v>54</v>
      </c>
      <c r="F433" s="195"/>
      <c r="G433" s="196"/>
      <c r="H433" s="186"/>
      <c r="I433" s="187"/>
      <c r="J433" s="197">
        <f ca="1">IFERROR(__xludf.DUMMYFUNCTION("IMPORTRANGE(""https://docs.google.com/spreadsheets/d/11923uPwbBZFjjGgGUA6NLw09EwE0CqkOc4q9oUmW1yo/edit?usp=sharing"",""กำแพงเพชร!J328"")"),0)</f>
        <v>0</v>
      </c>
      <c r="K433" s="163"/>
      <c r="L433" s="181"/>
      <c r="M433" s="181"/>
      <c r="N433" s="181"/>
      <c r="O433" s="181"/>
      <c r="P433" s="181"/>
    </row>
    <row r="434" spans="1:16" ht="21.75" customHeight="1" x14ac:dyDescent="0.3">
      <c r="A434" s="175"/>
      <c r="B434" s="176"/>
      <c r="C434" s="176"/>
      <c r="D434" s="205">
        <v>3</v>
      </c>
      <c r="E434" s="206" t="s">
        <v>55</v>
      </c>
      <c r="F434" s="207"/>
      <c r="G434" s="208"/>
      <c r="H434" s="186"/>
      <c r="I434" s="187"/>
      <c r="J434" s="209">
        <f ca="1">IFERROR(__xludf.DUMMYFUNCTION("IMPORTRANGE(""https://docs.google.com/spreadsheets/d/11923uPwbBZFjjGgGUA6NLw09EwE0CqkOc4q9oUmW1yo/edit?usp=sharing"",""กำแพงเพชร!J329"")"),0)</f>
        <v>0</v>
      </c>
      <c r="K434" s="163"/>
      <c r="L434" s="181"/>
      <c r="M434" s="181"/>
      <c r="N434" s="181"/>
      <c r="O434" s="181"/>
      <c r="P434" s="181"/>
    </row>
    <row r="435" spans="1:16" ht="21.75" customHeight="1" x14ac:dyDescent="0.3">
      <c r="A435" s="403"/>
      <c r="B435" s="404">
        <v>4</v>
      </c>
      <c r="C435" s="404" t="s">
        <v>160</v>
      </c>
      <c r="D435" s="405"/>
      <c r="E435" s="405"/>
      <c r="F435" s="405"/>
      <c r="G435" s="406"/>
      <c r="H435" s="407" t="s">
        <v>37</v>
      </c>
      <c r="I435" s="408">
        <f ca="1">IFERROR(__xludf.DUMMYFUNCTION("IMPORTRANGE(""https://docs.google.com/spreadsheets/d/11923uPwbBZFjjGgGUA6NLw09EwE0CqkOc4q9oUmW1yo/edit?usp=sharing"",""กำแพงเพชร!I330"")"),40)</f>
        <v>40</v>
      </c>
      <c r="J435" s="408">
        <f ca="1">IFERROR(__xludf.DUMMYFUNCTION("IMPORTRANGE(""https://docs.google.com/spreadsheets/d/11923uPwbBZFjjGgGUA6NLw09EwE0CqkOc4q9oUmW1yo/edit?usp=sharing"",""กำแพงเพชร!J330"")"),40)</f>
        <v>40</v>
      </c>
      <c r="K435" s="409">
        <f ca="1">IF(I435&gt;0,J435*100/I435,0)</f>
        <v>100</v>
      </c>
      <c r="L435" s="410">
        <f ca="1">IFERROR(__xludf.DUMMYFUNCTION("IMPORTRANGE(""https://docs.google.com/spreadsheets/d/11923uPwbBZFjjGgGUA6NLw09EwE0CqkOc4q9oUmW1yo/edit?usp=sharing"",""กำแพงเพชร!L330"")"),134600)</f>
        <v>134600</v>
      </c>
      <c r="M435" s="410"/>
      <c r="N435" s="410">
        <f ca="1">IFERROR(__xludf.DUMMYFUNCTION("IMPORTRANGE(""https://docs.google.com/spreadsheets/d/11923uPwbBZFjjGgGUA6NLw09EwE0CqkOc4q9oUmW1yo/edit?usp=sharing"",""กำแพงเพชร!M330"")"),84540)</f>
        <v>84540</v>
      </c>
      <c r="O435" s="410">
        <f t="shared" ref="O435:O439" ca="1" si="114">+IF(L435&gt;0,N435*100/L435,0)</f>
        <v>62.808320950965822</v>
      </c>
      <c r="P435" s="410"/>
    </row>
    <row r="436" spans="1:16" ht="21.75" customHeight="1" x14ac:dyDescent="0.3">
      <c r="A436" s="156"/>
      <c r="B436" s="157"/>
      <c r="C436" s="157" t="s">
        <v>16</v>
      </c>
      <c r="D436" s="158" t="s">
        <v>38</v>
      </c>
      <c r="E436" s="159"/>
      <c r="F436" s="159"/>
      <c r="G436" s="160" t="s">
        <v>39</v>
      </c>
      <c r="H436" s="161" t="s">
        <v>12</v>
      </c>
      <c r="I436" s="162" t="s">
        <v>40</v>
      </c>
      <c r="J436" s="162"/>
      <c r="K436" s="163"/>
      <c r="L436" s="164">
        <f ca="1">IFERROR(__xludf.DUMMYFUNCTION("IMPORTRANGE(""https://docs.google.com/spreadsheets/d/11923uPwbBZFjjGgGUA6NLw09EwE0CqkOc4q9oUmW1yo/edit?usp=sharing"",""กำแพงเพชร!L331"")"),0)</f>
        <v>0</v>
      </c>
      <c r="M436" s="164"/>
      <c r="N436" s="168">
        <f ca="1">IFERROR(__xludf.DUMMYFUNCTION("IMPORTRANGE(""https://docs.google.com/spreadsheets/d/11923uPwbBZFjjGgGUA6NLw09EwE0CqkOc4q9oUmW1yo/edit?usp=sharing"",""กำแพงเพชร!M331"")"),0)</f>
        <v>0</v>
      </c>
      <c r="O436" s="168">
        <f t="shared" ca="1" si="114"/>
        <v>0</v>
      </c>
      <c r="P436" s="168"/>
    </row>
    <row r="437" spans="1:16" ht="21.75" customHeight="1" x14ac:dyDescent="0.3">
      <c r="A437" s="156"/>
      <c r="B437" s="157"/>
      <c r="C437" s="157"/>
      <c r="D437" s="166"/>
      <c r="E437" s="159"/>
      <c r="F437" s="159" t="s">
        <v>40</v>
      </c>
      <c r="G437" s="160" t="s">
        <v>41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IFERROR(__xludf.DUMMYFUNCTION("IMPORTRANGE(""https://docs.google.com/spreadsheets/d/11923uPwbBZFjjGgGUA6NLw09EwE0CqkOc4q9oUmW1yo/edit?usp=sharing"",""กำแพงเพชร!L332"")"),134600)</f>
        <v>134600</v>
      </c>
      <c r="M437" s="165"/>
      <c r="N437" s="168">
        <f ca="1">IFERROR(__xludf.DUMMYFUNCTION("IMPORTRANGE(""https://docs.google.com/spreadsheets/d/11923uPwbBZFjjGgGUA6NLw09EwE0CqkOc4q9oUmW1yo/edit?usp=sharing"",""กำแพงเพชร!M332"")"),84540)</f>
        <v>84540</v>
      </c>
      <c r="O437" s="168">
        <f t="shared" ca="1" si="114"/>
        <v>62.808320950965822</v>
      </c>
      <c r="P437" s="168"/>
    </row>
    <row r="438" spans="1:16" ht="21.75" customHeight="1" x14ac:dyDescent="0.3">
      <c r="A438" s="156"/>
      <c r="B438" s="157"/>
      <c r="C438" s="157"/>
      <c r="D438" s="166"/>
      <c r="E438" s="159"/>
      <c r="F438" s="159"/>
      <c r="G438" s="372" t="s">
        <v>129</v>
      </c>
      <c r="H438" s="161" t="s">
        <v>12</v>
      </c>
      <c r="I438" s="162"/>
      <c r="J438" s="162"/>
      <c r="K438" s="163"/>
      <c r="L438" s="168">
        <f ca="1">IFERROR(__xludf.DUMMYFUNCTION("IMPORTRANGE(""https://docs.google.com/spreadsheets/d/11923uPwbBZFjjGgGUA6NLw09EwE0CqkOc4q9oUmW1yo/edit?usp=sharing"",""กำแพงเพชร!L333"")"),0)</f>
        <v>0</v>
      </c>
      <c r="M438" s="168"/>
      <c r="N438" s="168">
        <f ca="1">IFERROR(__xludf.DUMMYFUNCTION("IMPORTRANGE(""https://docs.google.com/spreadsheets/d/11923uPwbBZFjjGgGUA6NLw09EwE0CqkOc4q9oUmW1yo/edit?usp=sharing"",""กำแพงเพชร!M333"")"),0)</f>
        <v>0</v>
      </c>
      <c r="O438" s="168">
        <f t="shared" ca="1" si="114"/>
        <v>0</v>
      </c>
      <c r="P438" s="168"/>
    </row>
    <row r="439" spans="1:16" ht="21.75" customHeight="1" x14ac:dyDescent="0.3">
      <c r="A439" s="156"/>
      <c r="B439" s="157"/>
      <c r="C439" s="157"/>
      <c r="D439" s="166"/>
      <c r="E439" s="159"/>
      <c r="F439" s="159"/>
      <c r="G439" s="372" t="s">
        <v>130</v>
      </c>
      <c r="H439" s="161" t="s">
        <v>12</v>
      </c>
      <c r="I439" s="162"/>
      <c r="J439" s="162"/>
      <c r="K439" s="163"/>
      <c r="L439" s="168">
        <f ca="1">IFERROR(__xludf.DUMMYFUNCTION("IMPORTRANGE(""https://docs.google.com/spreadsheets/d/11923uPwbBZFjjGgGUA6NLw09EwE0CqkOc4q9oUmW1yo/edit?usp=sharing"",""กำแพงเพชร!L334"")"),134600)</f>
        <v>134600</v>
      </c>
      <c r="M439" s="168"/>
      <c r="N439" s="168">
        <f ca="1">IFERROR(__xludf.DUMMYFUNCTION("IMPORTRANGE(""https://docs.google.com/spreadsheets/d/11923uPwbBZFjjGgGUA6NLw09EwE0CqkOc4q9oUmW1yo/edit?usp=sharing"",""กำแพงเพชร!M334"")"),84540)</f>
        <v>84540</v>
      </c>
      <c r="O439" s="168">
        <f t="shared" ca="1" si="114"/>
        <v>62.808320950965822</v>
      </c>
      <c r="P439" s="168"/>
    </row>
    <row r="440" spans="1:16" ht="21.75" customHeight="1" x14ac:dyDescent="0.3">
      <c r="A440" s="373"/>
      <c r="B440" s="374"/>
      <c r="C440" s="157"/>
      <c r="D440" s="375"/>
      <c r="E440" s="159"/>
      <c r="F440" s="159"/>
      <c r="G440" s="376" t="s">
        <v>131</v>
      </c>
      <c r="H440" s="161" t="s">
        <v>12</v>
      </c>
      <c r="I440" s="187"/>
      <c r="J440" s="187"/>
      <c r="K440" s="223"/>
      <c r="L440" s="168"/>
      <c r="M440" s="168"/>
      <c r="N440" s="377">
        <f ca="1">IFERROR(__xludf.DUMMYFUNCTION("IMPORTRANGE(""https://docs.google.com/spreadsheets/d/11923uPwbBZFjjGgGUA6NLw09EwE0CqkOc4q9oUmW1yo/edit?usp=sharing"",""กำแพงเพชร!M335"")"),72600)</f>
        <v>72600</v>
      </c>
      <c r="O440" s="168"/>
      <c r="P440" s="168"/>
    </row>
    <row r="441" spans="1:16" ht="21.75" customHeight="1" x14ac:dyDescent="0.3">
      <c r="A441" s="373"/>
      <c r="B441" s="374"/>
      <c r="C441" s="157"/>
      <c r="D441" s="375"/>
      <c r="E441" s="159"/>
      <c r="F441" s="159"/>
      <c r="G441" s="376" t="s">
        <v>132</v>
      </c>
      <c r="H441" s="161" t="s">
        <v>12</v>
      </c>
      <c r="I441" s="187"/>
      <c r="J441" s="187"/>
      <c r="K441" s="223"/>
      <c r="L441" s="168"/>
      <c r="M441" s="168"/>
      <c r="N441" s="377">
        <f ca="1">IFERROR(__xludf.DUMMYFUNCTION("IMPORTRANGE(""https://docs.google.com/spreadsheets/d/11923uPwbBZFjjGgGUA6NLw09EwE0CqkOc4q9oUmW1yo/edit?usp=sharing"",""กำแพงเพชร!M336"")"),0)</f>
        <v>0</v>
      </c>
      <c r="O441" s="168"/>
      <c r="P441" s="168"/>
    </row>
    <row r="442" spans="1:16" ht="21.75" customHeight="1" x14ac:dyDescent="0.3">
      <c r="A442" s="373"/>
      <c r="B442" s="374"/>
      <c r="C442" s="157"/>
      <c r="D442" s="375"/>
      <c r="E442" s="159"/>
      <c r="F442" s="159"/>
      <c r="G442" s="376" t="s">
        <v>133</v>
      </c>
      <c r="H442" s="161" t="s">
        <v>12</v>
      </c>
      <c r="I442" s="187"/>
      <c r="J442" s="187"/>
      <c r="K442" s="223"/>
      <c r="L442" s="168"/>
      <c r="M442" s="168"/>
      <c r="N442" s="377">
        <f ca="1">IFERROR(__xludf.DUMMYFUNCTION("IMPORTRANGE(""https://docs.google.com/spreadsheets/d/11923uPwbBZFjjGgGUA6NLw09EwE0CqkOc4q9oUmW1yo/edit?usp=sharing"",""กำแพงเพชร!M337"")"),0)</f>
        <v>0</v>
      </c>
      <c r="O442" s="168"/>
      <c r="P442" s="168"/>
    </row>
    <row r="443" spans="1:16" ht="21.75" customHeight="1" x14ac:dyDescent="0.3">
      <c r="A443" s="373"/>
      <c r="B443" s="374"/>
      <c r="C443" s="157"/>
      <c r="D443" s="375"/>
      <c r="E443" s="159"/>
      <c r="F443" s="159"/>
      <c r="G443" s="376" t="s">
        <v>134</v>
      </c>
      <c r="H443" s="161" t="s">
        <v>12</v>
      </c>
      <c r="I443" s="187"/>
      <c r="J443" s="187"/>
      <c r="K443" s="223"/>
      <c r="L443" s="168"/>
      <c r="M443" s="168"/>
      <c r="N443" s="377">
        <f ca="1">IFERROR(__xludf.DUMMYFUNCTION("IMPORTRANGE(""https://docs.google.com/spreadsheets/d/11923uPwbBZFjjGgGUA6NLw09EwE0CqkOc4q9oUmW1yo/edit?usp=sharing"",""กำแพงเพชร!M338"")"),11940)</f>
        <v>11940</v>
      </c>
      <c r="O443" s="168"/>
      <c r="P443" s="168"/>
    </row>
    <row r="444" spans="1:16" ht="21.75" customHeight="1" x14ac:dyDescent="0.3">
      <c r="A444" s="175"/>
      <c r="B444" s="176"/>
      <c r="C444" s="157" t="s">
        <v>16</v>
      </c>
      <c r="D444" s="177" t="s">
        <v>44</v>
      </c>
      <c r="E444" s="178"/>
      <c r="F444" s="178"/>
      <c r="G444" s="179"/>
      <c r="H444" s="180"/>
      <c r="I444" s="162"/>
      <c r="J444" s="162"/>
      <c r="K444" s="163"/>
      <c r="L444" s="181"/>
      <c r="M444" s="181"/>
      <c r="N444" s="181"/>
      <c r="O444" s="181"/>
      <c r="P444" s="181"/>
    </row>
    <row r="445" spans="1:16" ht="21.75" customHeight="1" x14ac:dyDescent="0.3">
      <c r="A445" s="175"/>
      <c r="B445" s="176"/>
      <c r="C445" s="176"/>
      <c r="D445" s="182">
        <v>1</v>
      </c>
      <c r="E445" s="183" t="s">
        <v>45</v>
      </c>
      <c r="F445" s="184"/>
      <c r="G445" s="185"/>
      <c r="H445" s="186"/>
      <c r="I445" s="187"/>
      <c r="J445" s="209">
        <f ca="1">IFERROR(__xludf.DUMMYFUNCTION("IMPORTRANGE(""https://docs.google.com/spreadsheets/d/11923uPwbBZFjjGgGUA6NLw09EwE0CqkOc4q9oUmW1yo/edit?usp=sharing"",""กำแพงเพชร!J340"")"),0)</f>
        <v>0</v>
      </c>
      <c r="K445" s="163"/>
      <c r="L445" s="181"/>
      <c r="M445" s="181"/>
      <c r="N445" s="181"/>
      <c r="O445" s="181"/>
      <c r="P445" s="181"/>
    </row>
    <row r="446" spans="1:16" ht="21.75" customHeight="1" x14ac:dyDescent="0.3">
      <c r="A446" s="175"/>
      <c r="B446" s="176"/>
      <c r="C446" s="176"/>
      <c r="D446" s="189">
        <v>2</v>
      </c>
      <c r="E446" s="190" t="s">
        <v>46</v>
      </c>
      <c r="F446" s="191"/>
      <c r="G446" s="192"/>
      <c r="H446" s="186"/>
      <c r="I446" s="187"/>
      <c r="J446" s="411">
        <f ca="1">IFERROR(__xludf.DUMMYFUNCTION("IMPORTRANGE(""https://docs.google.com/spreadsheets/d/11923uPwbBZFjjGgGUA6NLw09EwE0CqkOc4q9oUmW1yo/edit?usp=sharing"",""กำแพงเพชร!J341"")"),1)</f>
        <v>1</v>
      </c>
      <c r="K446" s="163"/>
      <c r="L446" s="181" t="s">
        <v>40</v>
      </c>
      <c r="M446" s="181"/>
      <c r="N446" s="181" t="s">
        <v>40</v>
      </c>
      <c r="O446" s="181"/>
      <c r="P446" s="181"/>
    </row>
    <row r="447" spans="1:16" ht="21.75" customHeight="1" x14ac:dyDescent="0.3">
      <c r="A447" s="175"/>
      <c r="B447" s="176"/>
      <c r="C447" s="176"/>
      <c r="D447" s="193"/>
      <c r="E447" s="194" t="s">
        <v>161</v>
      </c>
      <c r="F447" s="195"/>
      <c r="G447" s="196"/>
      <c r="H447" s="186"/>
      <c r="I447" s="187"/>
      <c r="J447" s="188">
        <f ca="1">IFERROR(__xludf.DUMMYFUNCTION("IMPORTRANGE(""https://docs.google.com/spreadsheets/d/11923uPwbBZFjjGgGUA6NLw09EwE0CqkOc4q9oUmW1yo/edit?usp=sharing"",""กำแพงเพชร!J342"")"),1)</f>
        <v>1</v>
      </c>
      <c r="K447" s="163"/>
      <c r="L447" s="181"/>
      <c r="M447" s="181"/>
      <c r="N447" s="181"/>
      <c r="O447" s="181"/>
      <c r="P447" s="181"/>
    </row>
    <row r="448" spans="1:16" ht="21.75" customHeight="1" x14ac:dyDescent="0.3">
      <c r="A448" s="175"/>
      <c r="B448" s="176"/>
      <c r="C448" s="176"/>
      <c r="D448" s="193"/>
      <c r="E448" s="194" t="s">
        <v>48</v>
      </c>
      <c r="F448" s="195"/>
      <c r="G448" s="196"/>
      <c r="H448" s="186"/>
      <c r="I448" s="187"/>
      <c r="J448" s="188">
        <f ca="1">IFERROR(__xludf.DUMMYFUNCTION("IMPORTRANGE(""https://docs.google.com/spreadsheets/d/11923uPwbBZFjjGgGUA6NLw09EwE0CqkOc4q9oUmW1yo/edit?usp=sharing"",""กำแพงเพชร!J343"")"),1)</f>
        <v>1</v>
      </c>
      <c r="K448" s="163"/>
      <c r="L448" s="181"/>
      <c r="M448" s="181"/>
      <c r="N448" s="181"/>
      <c r="O448" s="181"/>
      <c r="P448" s="181"/>
    </row>
    <row r="449" spans="1:16" ht="21.75" customHeight="1" x14ac:dyDescent="0.3">
      <c r="A449" s="175"/>
      <c r="B449" s="176"/>
      <c r="C449" s="176"/>
      <c r="D449" s="193"/>
      <c r="E449" s="198"/>
      <c r="F449" s="412" t="s">
        <v>101</v>
      </c>
      <c r="G449" s="196"/>
      <c r="H449" s="186" t="s">
        <v>37</v>
      </c>
      <c r="I449" s="389">
        <f ca="1">IFERROR(__xludf.DUMMYFUNCTION("IMPORTRANGE(""https://docs.google.com/spreadsheets/d/11923uPwbBZFjjGgGUA6NLw09EwE0CqkOc4q9oUmW1yo/edit?usp=sharing"",""กำแพงเพชร!I344"")"),40)</f>
        <v>40</v>
      </c>
      <c r="J449" s="200">
        <f ca="1">IFERROR(__xludf.DUMMYFUNCTION("IMPORTRANGE(""https://docs.google.com/spreadsheets/d/11923uPwbBZFjjGgGUA6NLw09EwE0CqkOc4q9oUmW1yo/edit?usp=sharing"",""กำแพงเพชร!J344"")"),40)</f>
        <v>40</v>
      </c>
      <c r="K449" s="163">
        <f t="shared" ref="K449:K452" ca="1" si="115">IF(I449&gt;0,J449*100/I449,0)</f>
        <v>100</v>
      </c>
      <c r="L449" s="181"/>
      <c r="M449" s="181"/>
      <c r="N449" s="181"/>
      <c r="O449" s="181"/>
      <c r="P449" s="181"/>
    </row>
    <row r="450" spans="1:16" ht="21.75" customHeight="1" x14ac:dyDescent="0.3">
      <c r="A450" s="175"/>
      <c r="B450" s="176"/>
      <c r="C450" s="176"/>
      <c r="D450" s="193"/>
      <c r="E450" s="198"/>
      <c r="F450" s="195"/>
      <c r="G450" s="225" t="s">
        <v>162</v>
      </c>
      <c r="H450" s="186" t="s">
        <v>37</v>
      </c>
      <c r="I450" s="339">
        <f ca="1">IFERROR(__xludf.DUMMYFUNCTION("IMPORTRANGE(""https://docs.google.com/spreadsheets/d/11923uPwbBZFjjGgGUA6NLw09EwE0CqkOc4q9oUmW1yo/edit?usp=sharing"",""กำแพงเพชร!I345"")"),20)</f>
        <v>20</v>
      </c>
      <c r="J450" s="188">
        <f ca="1">IFERROR(__xludf.DUMMYFUNCTION("IMPORTRANGE(""https://docs.google.com/spreadsheets/d/11923uPwbBZFjjGgGUA6NLw09EwE0CqkOc4q9oUmW1yo/edit?usp=sharing"",""กำแพงเพชร!J345"")"),20)</f>
        <v>20</v>
      </c>
      <c r="K450" s="163">
        <f t="shared" ca="1" si="115"/>
        <v>100</v>
      </c>
      <c r="L450" s="181"/>
      <c r="M450" s="181"/>
      <c r="N450" s="181"/>
      <c r="O450" s="181"/>
      <c r="P450" s="181"/>
    </row>
    <row r="451" spans="1:16" ht="21.75" customHeight="1" x14ac:dyDescent="0.3">
      <c r="A451" s="175"/>
      <c r="B451" s="176"/>
      <c r="C451" s="176"/>
      <c r="D451" s="193"/>
      <c r="E451" s="198"/>
      <c r="F451" s="195"/>
      <c r="G451" s="279" t="s">
        <v>163</v>
      </c>
      <c r="H451" s="186" t="s">
        <v>37</v>
      </c>
      <c r="I451" s="339">
        <f ca="1">IFERROR(__xludf.DUMMYFUNCTION("IMPORTRANGE(""https://docs.google.com/spreadsheets/d/11923uPwbBZFjjGgGUA6NLw09EwE0CqkOc4q9oUmW1yo/edit?usp=sharing"",""กำแพงเพชร!I346"")"),20)</f>
        <v>20</v>
      </c>
      <c r="J451" s="187">
        <f ca="1">IFERROR(__xludf.DUMMYFUNCTION("IMPORTRANGE(""https://docs.google.com/spreadsheets/d/11923uPwbBZFjjGgGUA6NLw09EwE0CqkOc4q9oUmW1yo/edit?usp=sharing"",""กำแพงเพชร!J346"")"),20)</f>
        <v>20</v>
      </c>
      <c r="K451" s="163">
        <f t="shared" ca="1" si="115"/>
        <v>100</v>
      </c>
      <c r="L451" s="181"/>
      <c r="M451" s="181"/>
      <c r="N451" s="181"/>
      <c r="O451" s="181"/>
      <c r="P451" s="181"/>
    </row>
    <row r="452" spans="1:16" ht="21.75" customHeight="1" x14ac:dyDescent="0.3">
      <c r="A452" s="175"/>
      <c r="B452" s="176"/>
      <c r="C452" s="176"/>
      <c r="D452" s="193"/>
      <c r="E452" s="198"/>
      <c r="F452" s="195"/>
      <c r="G452" s="196" t="s">
        <v>164</v>
      </c>
      <c r="H452" s="186" t="s">
        <v>37</v>
      </c>
      <c r="I452" s="187">
        <f ca="1">IFERROR(__xludf.DUMMYFUNCTION("IMPORTRANGE(""https://docs.google.com/spreadsheets/d/11923uPwbBZFjjGgGUA6NLw09EwE0CqkOc4q9oUmW1yo/edit?usp=sharing"",""กำแพงเพชร!I347"")"),0)</f>
        <v>0</v>
      </c>
      <c r="J452" s="187">
        <f ca="1">IFERROR(__xludf.DUMMYFUNCTION("IMPORTRANGE(""https://docs.google.com/spreadsheets/d/11923uPwbBZFjjGgGUA6NLw09EwE0CqkOc4q9oUmW1yo/edit?usp=sharing"",""กำแพงเพชร!J347"")"),0)</f>
        <v>0</v>
      </c>
      <c r="K452" s="163">
        <f t="shared" ca="1" si="115"/>
        <v>0</v>
      </c>
      <c r="L452" s="181"/>
      <c r="M452" s="181"/>
      <c r="N452" s="181"/>
      <c r="O452" s="181"/>
      <c r="P452" s="181"/>
    </row>
    <row r="453" spans="1:16" ht="21.75" customHeight="1" x14ac:dyDescent="0.3">
      <c r="A453" s="175"/>
      <c r="B453" s="176"/>
      <c r="C453" s="176"/>
      <c r="D453" s="193"/>
      <c r="E453" s="194" t="s">
        <v>54</v>
      </c>
      <c r="F453" s="195"/>
      <c r="G453" s="196"/>
      <c r="H453" s="186"/>
      <c r="I453" s="187"/>
      <c r="J453" s="197">
        <f ca="1">IFERROR(__xludf.DUMMYFUNCTION("IMPORTRANGE(""https://docs.google.com/spreadsheets/d/11923uPwbBZFjjGgGUA6NLw09EwE0CqkOc4q9oUmW1yo/edit?usp=sharing"",""กำแพงเพชร!J348"")"),0)</f>
        <v>0</v>
      </c>
      <c r="K453" s="163"/>
      <c r="L453" s="181"/>
      <c r="M453" s="181"/>
      <c r="N453" s="181"/>
      <c r="O453" s="181"/>
      <c r="P453" s="181"/>
    </row>
    <row r="454" spans="1:16" ht="21.75" customHeight="1" x14ac:dyDescent="0.3">
      <c r="A454" s="175"/>
      <c r="B454" s="176"/>
      <c r="C454" s="176"/>
      <c r="D454" s="205">
        <v>3</v>
      </c>
      <c r="E454" s="206" t="s">
        <v>55</v>
      </c>
      <c r="F454" s="207"/>
      <c r="G454" s="208"/>
      <c r="H454" s="186"/>
      <c r="I454" s="187"/>
      <c r="J454" s="209">
        <f ca="1">IFERROR(__xludf.DUMMYFUNCTION("IMPORTRANGE(""https://docs.google.com/spreadsheets/d/11923uPwbBZFjjGgGUA6NLw09EwE0CqkOc4q9oUmW1yo/edit?usp=sharing"",""กำแพงเพชร!J349"")"),0)</f>
        <v>0</v>
      </c>
      <c r="K454" s="163"/>
      <c r="L454" s="181"/>
      <c r="M454" s="181"/>
      <c r="N454" s="181"/>
      <c r="O454" s="181"/>
      <c r="P454" s="181"/>
    </row>
    <row r="455" spans="1:16" ht="21.75" customHeight="1" x14ac:dyDescent="0.3">
      <c r="A455" s="364"/>
      <c r="B455" s="365">
        <v>5</v>
      </c>
      <c r="C455" s="366" t="s">
        <v>165</v>
      </c>
      <c r="D455" s="366"/>
      <c r="E455" s="366"/>
      <c r="F455" s="366"/>
      <c r="G455" s="367"/>
      <c r="H455" s="368" t="s">
        <v>122</v>
      </c>
      <c r="I455" s="369">
        <f ca="1">IFERROR(__xludf.DUMMYFUNCTION("IMPORTRANGE(""https://docs.google.com/spreadsheets/d/11923uPwbBZFjjGgGUA6NLw09EwE0CqkOc4q9oUmW1yo/edit?usp=sharing"",""กำแพงเพชร!I350"")"),162754)</f>
        <v>162754</v>
      </c>
      <c r="J455" s="369">
        <f ca="1">IFERROR(__xludf.DUMMYFUNCTION("IMPORTRANGE(""https://docs.google.com/spreadsheets/d/11923uPwbBZFjjGgGUA6NLw09EwE0CqkOc4q9oUmW1yo/edit?usp=sharing"",""กำแพงเพชร!J350"")"),0)</f>
        <v>0</v>
      </c>
      <c r="K455" s="370">
        <f ca="1">IF(I455&gt;0,J455*100/I455,0)</f>
        <v>0</v>
      </c>
      <c r="L455" s="371">
        <f ca="1">IFERROR(__xludf.DUMMYFUNCTION("IMPORTRANGE(""https://docs.google.com/spreadsheets/d/11923uPwbBZFjjGgGUA6NLw09EwE0CqkOc4q9oUmW1yo/edit?usp=sharing"",""กำแพงเพชร!L350"")"),1082066)</f>
        <v>1082066</v>
      </c>
      <c r="M455" s="371"/>
      <c r="N455" s="371">
        <f ca="1">IFERROR(__xludf.DUMMYFUNCTION("IMPORTRANGE(""https://docs.google.com/spreadsheets/d/11923uPwbBZFjjGgGUA6NLw09EwE0CqkOc4q9oUmW1yo/edit?usp=sharing"",""กำแพงเพชร!M350"")"),44476.67)</f>
        <v>44476.67</v>
      </c>
      <c r="O455" s="371">
        <f t="shared" ref="O455:O459" ca="1" si="116">+IF(L455&gt;0,N455*100/L455,0)</f>
        <v>4.1103472431441332</v>
      </c>
      <c r="P455" s="371"/>
    </row>
    <row r="456" spans="1:16" ht="21.75" customHeight="1" x14ac:dyDescent="0.3">
      <c r="A456" s="156"/>
      <c r="B456" s="157"/>
      <c r="C456" s="157" t="s">
        <v>16</v>
      </c>
      <c r="D456" s="158" t="s">
        <v>38</v>
      </c>
      <c r="E456" s="159"/>
      <c r="F456" s="159"/>
      <c r="G456" s="160" t="s">
        <v>39</v>
      </c>
      <c r="H456" s="161" t="s">
        <v>12</v>
      </c>
      <c r="I456" s="162" t="s">
        <v>40</v>
      </c>
      <c r="J456" s="162"/>
      <c r="K456" s="163"/>
      <c r="L456" s="164">
        <f ca="1">IFERROR(__xludf.DUMMYFUNCTION("IMPORTRANGE(""https://docs.google.com/spreadsheets/d/11923uPwbBZFjjGgGUA6NLw09EwE0CqkOc4q9oUmW1yo/edit?usp=sharing"",""กำแพงเพชร!L351"")"),0)</f>
        <v>0</v>
      </c>
      <c r="M456" s="164"/>
      <c r="N456" s="168">
        <f ca="1">IFERROR(__xludf.DUMMYFUNCTION("IMPORTRANGE(""https://docs.google.com/spreadsheets/d/11923uPwbBZFjjGgGUA6NLw09EwE0CqkOc4q9oUmW1yo/edit?usp=sharing"",""กำแพงเพชร!M351"")"),0)</f>
        <v>0</v>
      </c>
      <c r="O456" s="168">
        <f t="shared" ca="1" si="116"/>
        <v>0</v>
      </c>
      <c r="P456" s="168"/>
    </row>
    <row r="457" spans="1:16" ht="21.75" customHeight="1" x14ac:dyDescent="0.3">
      <c r="A457" s="156"/>
      <c r="B457" s="157"/>
      <c r="C457" s="157"/>
      <c r="D457" s="166"/>
      <c r="E457" s="159"/>
      <c r="F457" s="159" t="s">
        <v>40</v>
      </c>
      <c r="G457" s="160" t="s">
        <v>41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IFERROR(__xludf.DUMMYFUNCTION("IMPORTRANGE(""https://docs.google.com/spreadsheets/d/11923uPwbBZFjjGgGUA6NLw09EwE0CqkOc4q9oUmW1yo/edit?usp=sharing"",""กำแพงเพชร!L352"")"),1082066)</f>
        <v>1082066</v>
      </c>
      <c r="M457" s="165"/>
      <c r="N457" s="168">
        <f ca="1">IFERROR(__xludf.DUMMYFUNCTION("IMPORTRANGE(""https://docs.google.com/spreadsheets/d/11923uPwbBZFjjGgGUA6NLw09EwE0CqkOc4q9oUmW1yo/edit?usp=sharing"",""กำแพงเพชร!M352"")"),44476.67)</f>
        <v>44476.67</v>
      </c>
      <c r="O457" s="168">
        <f t="shared" ca="1" si="116"/>
        <v>4.1103472431441332</v>
      </c>
      <c r="P457" s="168"/>
    </row>
    <row r="458" spans="1:16" ht="21.75" customHeight="1" x14ac:dyDescent="0.3">
      <c r="A458" s="156"/>
      <c r="B458" s="157"/>
      <c r="C458" s="157"/>
      <c r="D458" s="166"/>
      <c r="E458" s="159"/>
      <c r="F458" s="159"/>
      <c r="G458" s="372" t="s">
        <v>129</v>
      </c>
      <c r="H458" s="161" t="s">
        <v>12</v>
      </c>
      <c r="I458" s="162"/>
      <c r="J458" s="162"/>
      <c r="K458" s="163"/>
      <c r="L458" s="168">
        <f ca="1">IFERROR(__xludf.DUMMYFUNCTION("IMPORTRANGE(""https://docs.google.com/spreadsheets/d/11923uPwbBZFjjGgGUA6NLw09EwE0CqkOc4q9oUmW1yo/edit?usp=sharing"",""กำแพงเพชร!L353"")"),0)</f>
        <v>0</v>
      </c>
      <c r="M458" s="168"/>
      <c r="N458" s="168">
        <f ca="1">IFERROR(__xludf.DUMMYFUNCTION("IMPORTRANGE(""https://docs.google.com/spreadsheets/d/11923uPwbBZFjjGgGUA6NLw09EwE0CqkOc4q9oUmW1yo/edit?usp=sharing"",""กำแพงเพชร!M353"")"),0)</f>
        <v>0</v>
      </c>
      <c r="O458" s="168">
        <f t="shared" ca="1" si="116"/>
        <v>0</v>
      </c>
      <c r="P458" s="168"/>
    </row>
    <row r="459" spans="1:16" ht="21.75" customHeight="1" x14ac:dyDescent="0.3">
      <c r="A459" s="156"/>
      <c r="B459" s="157"/>
      <c r="C459" s="157"/>
      <c r="D459" s="166"/>
      <c r="E459" s="159"/>
      <c r="F459" s="159"/>
      <c r="G459" s="372" t="s">
        <v>130</v>
      </c>
      <c r="H459" s="161" t="s">
        <v>12</v>
      </c>
      <c r="I459" s="162"/>
      <c r="J459" s="162"/>
      <c r="K459" s="163"/>
      <c r="L459" s="168">
        <f ca="1">IFERROR(__xludf.DUMMYFUNCTION("IMPORTRANGE(""https://docs.google.com/spreadsheets/d/11923uPwbBZFjjGgGUA6NLw09EwE0CqkOc4q9oUmW1yo/edit?usp=sharing"",""กำแพงเพชร!L354"")"),1082066)</f>
        <v>1082066</v>
      </c>
      <c r="M459" s="168"/>
      <c r="N459" s="168">
        <f ca="1">IFERROR(__xludf.DUMMYFUNCTION("IMPORTRANGE(""https://docs.google.com/spreadsheets/d/11923uPwbBZFjjGgGUA6NLw09EwE0CqkOc4q9oUmW1yo/edit?usp=sharing"",""กำแพงเพชร!M354"")"),44476.67)</f>
        <v>44476.67</v>
      </c>
      <c r="O459" s="168">
        <f t="shared" ca="1" si="116"/>
        <v>4.1103472431441332</v>
      </c>
      <c r="P459" s="168"/>
    </row>
    <row r="460" spans="1:16" ht="21.75" customHeight="1" x14ac:dyDescent="0.3">
      <c r="A460" s="373"/>
      <c r="B460" s="374"/>
      <c r="C460" s="157"/>
      <c r="D460" s="375"/>
      <c r="E460" s="159"/>
      <c r="F460" s="159"/>
      <c r="G460" s="376" t="s">
        <v>131</v>
      </c>
      <c r="H460" s="161" t="s">
        <v>12</v>
      </c>
      <c r="I460" s="187"/>
      <c r="J460" s="187"/>
      <c r="K460" s="223"/>
      <c r="L460" s="168"/>
      <c r="M460" s="168"/>
      <c r="N460" s="167">
        <f ca="1">IFERROR(__xludf.DUMMYFUNCTION("IMPORTRANGE(""https://docs.google.com/spreadsheets/d/11923uPwbBZFjjGgGUA6NLw09EwE0CqkOc4q9oUmW1yo/edit?usp=sharing"",""กำแพงเพชร!M355"")"),0)</f>
        <v>0</v>
      </c>
      <c r="O460" s="168"/>
      <c r="P460" s="168"/>
    </row>
    <row r="461" spans="1:16" ht="21.75" customHeight="1" x14ac:dyDescent="0.3">
      <c r="A461" s="373"/>
      <c r="B461" s="374"/>
      <c r="C461" s="157"/>
      <c r="D461" s="375"/>
      <c r="E461" s="159"/>
      <c r="F461" s="159"/>
      <c r="G461" s="376" t="s">
        <v>132</v>
      </c>
      <c r="H461" s="161" t="s">
        <v>12</v>
      </c>
      <c r="I461" s="187"/>
      <c r="J461" s="187"/>
      <c r="K461" s="223"/>
      <c r="L461" s="168"/>
      <c r="M461" s="168"/>
      <c r="N461" s="167">
        <f ca="1">IFERROR(__xludf.DUMMYFUNCTION("IMPORTRANGE(""https://docs.google.com/spreadsheets/d/11923uPwbBZFjjGgGUA6NLw09EwE0CqkOc4q9oUmW1yo/edit?usp=sharing"",""กำแพงเพชร!M356"")"),0)</f>
        <v>0</v>
      </c>
      <c r="O461" s="168"/>
      <c r="P461" s="168"/>
    </row>
    <row r="462" spans="1:16" ht="21.75" customHeight="1" x14ac:dyDescent="0.3">
      <c r="A462" s="373"/>
      <c r="B462" s="374"/>
      <c r="C462" s="157"/>
      <c r="D462" s="375"/>
      <c r="E462" s="159"/>
      <c r="F462" s="159"/>
      <c r="G462" s="376" t="s">
        <v>133</v>
      </c>
      <c r="H462" s="161" t="s">
        <v>12</v>
      </c>
      <c r="I462" s="187"/>
      <c r="J462" s="187"/>
      <c r="K462" s="223"/>
      <c r="L462" s="168"/>
      <c r="M462" s="168"/>
      <c r="N462" s="377">
        <f ca="1">IFERROR(__xludf.DUMMYFUNCTION("IMPORTRANGE(""https://docs.google.com/spreadsheets/d/11923uPwbBZFjjGgGUA6NLw09EwE0CqkOc4q9oUmW1yo/edit?usp=sharing"",""กำแพงเพชร!M357"")"),21266.67)</f>
        <v>21266.67</v>
      </c>
      <c r="O462" s="168"/>
      <c r="P462" s="168"/>
    </row>
    <row r="463" spans="1:16" ht="21.75" customHeight="1" x14ac:dyDescent="0.3">
      <c r="A463" s="373"/>
      <c r="B463" s="374"/>
      <c r="C463" s="157"/>
      <c r="D463" s="375"/>
      <c r="E463" s="159"/>
      <c r="F463" s="159"/>
      <c r="G463" s="376" t="s">
        <v>134</v>
      </c>
      <c r="H463" s="161" t="s">
        <v>12</v>
      </c>
      <c r="I463" s="187"/>
      <c r="J463" s="187"/>
      <c r="K463" s="223"/>
      <c r="L463" s="168"/>
      <c r="M463" s="168"/>
      <c r="N463" s="377">
        <f ca="1">IFERROR(__xludf.DUMMYFUNCTION("IMPORTRANGE(""https://docs.google.com/spreadsheets/d/11923uPwbBZFjjGgGUA6NLw09EwE0CqkOc4q9oUmW1yo/edit?usp=sharing"",""กำแพงเพชร!M358"")"),23210)</f>
        <v>23210</v>
      </c>
      <c r="O463" s="168"/>
      <c r="P463" s="168"/>
    </row>
    <row r="464" spans="1:16" ht="21.75" customHeight="1" x14ac:dyDescent="0.3">
      <c r="A464" s="175"/>
      <c r="B464" s="176"/>
      <c r="C464" s="413" t="s">
        <v>166</v>
      </c>
      <c r="D464" s="413"/>
      <c r="E464" s="414"/>
      <c r="F464" s="414"/>
      <c r="G464" s="415"/>
      <c r="H464" s="265" t="s">
        <v>122</v>
      </c>
      <c r="I464" s="266">
        <f ca="1">IFERROR(__xludf.DUMMYFUNCTION("IMPORTRANGE(""https://docs.google.com/spreadsheets/d/11923uPwbBZFjjGgGUA6NLw09EwE0CqkOc4q9oUmW1yo/edit?usp=sharing"",""กำแพงเพชร!I359"")"),162754)</f>
        <v>162754</v>
      </c>
      <c r="J464" s="266">
        <f ca="1">IFERROR(__xludf.DUMMYFUNCTION("IMPORTRANGE(""https://docs.google.com/spreadsheets/d/11923uPwbBZFjjGgGUA6NLw09EwE0CqkOc4q9oUmW1yo/edit?usp=sharing"",""กำแพงเพชร!J359"")"),0)</f>
        <v>0</v>
      </c>
      <c r="K464" s="267">
        <f t="shared" ref="K464:K515" ca="1" si="117">IF(I464&gt;0,J464*100/I464,0)</f>
        <v>0</v>
      </c>
      <c r="L464" s="290"/>
      <c r="M464" s="290"/>
      <c r="N464" s="290"/>
      <c r="O464" s="290"/>
      <c r="P464" s="290"/>
    </row>
    <row r="465" spans="1:16" ht="21.75" customHeight="1" x14ac:dyDescent="0.3">
      <c r="A465" s="400"/>
      <c r="B465" s="401"/>
      <c r="C465" s="401"/>
      <c r="D465" s="402"/>
      <c r="E465" s="193" t="s">
        <v>167</v>
      </c>
      <c r="F465" s="195"/>
      <c r="G465" s="196"/>
      <c r="H465" s="416" t="s">
        <v>122</v>
      </c>
      <c r="I465" s="417">
        <f ca="1">IFERROR(__xludf.DUMMYFUNCTION("IMPORTRANGE(""https://docs.google.com/spreadsheets/d/11923uPwbBZFjjGgGUA6NLw09EwE0CqkOc4q9oUmW1yo/edit?usp=sharing"",""กำแพงเพชร!I360"")"),162754)</f>
        <v>162754</v>
      </c>
      <c r="J465" s="418">
        <f ca="1">IFERROR(__xludf.DUMMYFUNCTION("IMPORTRANGE(""https://docs.google.com/spreadsheets/d/11923uPwbBZFjjGgGUA6NLw09EwE0CqkOc4q9oUmW1yo/edit?usp=sharing"",""กำแพงเพชร!J360"")"),162753)</f>
        <v>162753</v>
      </c>
      <c r="K465" s="201">
        <f t="shared" ca="1" si="117"/>
        <v>99.999385575776941</v>
      </c>
      <c r="L465" s="181"/>
      <c r="M465" s="181"/>
      <c r="N465" s="181"/>
      <c r="O465" s="181"/>
      <c r="P465" s="181"/>
    </row>
    <row r="466" spans="1:16" ht="21.75" customHeight="1" x14ac:dyDescent="0.3">
      <c r="A466" s="400"/>
      <c r="B466" s="401"/>
      <c r="C466" s="401"/>
      <c r="D466" s="402"/>
      <c r="E466" s="195"/>
      <c r="F466" s="195"/>
      <c r="G466" s="196"/>
      <c r="H466" s="416" t="s">
        <v>36</v>
      </c>
      <c r="I466" s="417">
        <f ca="1">IFERROR(__xludf.DUMMYFUNCTION("IMPORTRANGE(""https://docs.google.com/spreadsheets/d/11923uPwbBZFjjGgGUA6NLw09EwE0CqkOc4q9oUmW1yo/edit?usp=sharing"",""กำแพงเพชร!I361"")"),12870)</f>
        <v>12870</v>
      </c>
      <c r="J466" s="418">
        <f ca="1">IFERROR(__xludf.DUMMYFUNCTION("IMPORTRANGE(""https://docs.google.com/spreadsheets/d/11923uPwbBZFjjGgGUA6NLw09EwE0CqkOc4q9oUmW1yo/edit?usp=sharing"",""กำแพงเพชร!J361"")"),12870)</f>
        <v>12870</v>
      </c>
      <c r="K466" s="201">
        <f t="shared" ca="1" si="117"/>
        <v>100</v>
      </c>
      <c r="L466" s="181"/>
      <c r="M466" s="181"/>
      <c r="N466" s="181"/>
      <c r="O466" s="181"/>
      <c r="P466" s="181"/>
    </row>
    <row r="467" spans="1:16" ht="21.75" customHeight="1" x14ac:dyDescent="0.3">
      <c r="A467" s="400"/>
      <c r="B467" s="401"/>
      <c r="C467" s="401"/>
      <c r="D467" s="402"/>
      <c r="E467" s="195"/>
      <c r="F467" s="388" t="s">
        <v>168</v>
      </c>
      <c r="G467" s="419"/>
      <c r="H467" s="420" t="s">
        <v>122</v>
      </c>
      <c r="I467" s="202">
        <f ca="1">IFERROR(__xludf.DUMMYFUNCTION("IMPORTRANGE(""https://docs.google.com/spreadsheets/d/11923uPwbBZFjjGgGUA6NLw09EwE0CqkOc4q9oUmW1yo/edit?usp=sharing"",""กำแพงเพชร!I362"")"),0)</f>
        <v>0</v>
      </c>
      <c r="J467" s="188">
        <f ca="1">IFERROR(__xludf.DUMMYFUNCTION("IMPORTRANGE(""https://docs.google.com/spreadsheets/d/11923uPwbBZFjjGgGUA6NLw09EwE0CqkOc4q9oUmW1yo/edit?usp=sharing"",""กำแพงเพชร!J362"")"),120898)</f>
        <v>120898</v>
      </c>
      <c r="K467" s="163">
        <f t="shared" ca="1" si="117"/>
        <v>0</v>
      </c>
      <c r="L467" s="181"/>
      <c r="M467" s="181"/>
      <c r="N467" s="181"/>
      <c r="O467" s="181"/>
      <c r="P467" s="181"/>
    </row>
    <row r="468" spans="1:16" ht="21.75" customHeight="1" x14ac:dyDescent="0.3">
      <c r="A468" s="400"/>
      <c r="B468" s="401"/>
      <c r="C468" s="401"/>
      <c r="D468" s="402"/>
      <c r="E468" s="195"/>
      <c r="F468" s="195"/>
      <c r="G468" s="419"/>
      <c r="H468" s="420" t="s">
        <v>36</v>
      </c>
      <c r="I468" s="202">
        <f ca="1">IFERROR(__xludf.DUMMYFUNCTION("IMPORTRANGE(""https://docs.google.com/spreadsheets/d/11923uPwbBZFjjGgGUA6NLw09EwE0CqkOc4q9oUmW1yo/edit?usp=sharing"",""กำแพงเพชร!I363"")"),0)</f>
        <v>0</v>
      </c>
      <c r="J468" s="188">
        <f ca="1">IFERROR(__xludf.DUMMYFUNCTION("IMPORTRANGE(""https://docs.google.com/spreadsheets/d/11923uPwbBZFjjGgGUA6NLw09EwE0CqkOc4q9oUmW1yo/edit?usp=sharing"",""กำแพงเพชร!J363"")"),10340)</f>
        <v>10340</v>
      </c>
      <c r="K468" s="163">
        <f t="shared" ca="1" si="117"/>
        <v>0</v>
      </c>
      <c r="L468" s="181"/>
      <c r="M468" s="181"/>
      <c r="N468" s="181"/>
      <c r="O468" s="181"/>
      <c r="P468" s="181"/>
    </row>
    <row r="469" spans="1:16" ht="21.75" customHeight="1" x14ac:dyDescent="0.3">
      <c r="A469" s="400"/>
      <c r="B469" s="401"/>
      <c r="C469" s="401"/>
      <c r="D469" s="402"/>
      <c r="E469" s="195"/>
      <c r="F469" s="388" t="s">
        <v>169</v>
      </c>
      <c r="G469" s="419"/>
      <c r="H469" s="420" t="s">
        <v>122</v>
      </c>
      <c r="I469" s="202">
        <f ca="1">IFERROR(__xludf.DUMMYFUNCTION("IMPORTRANGE(""https://docs.google.com/spreadsheets/d/11923uPwbBZFjjGgGUA6NLw09EwE0CqkOc4q9oUmW1yo/edit?usp=sharing"",""กำแพงเพชร!I364"")"),0)</f>
        <v>0</v>
      </c>
      <c r="J469" s="188">
        <f ca="1">IFERROR(__xludf.DUMMYFUNCTION("IMPORTRANGE(""https://docs.google.com/spreadsheets/d/11923uPwbBZFjjGgGUA6NLw09EwE0CqkOc4q9oUmW1yo/edit?usp=sharing"",""กำแพงเพชร!J364"")"),39440)</f>
        <v>39440</v>
      </c>
      <c r="K469" s="163">
        <f t="shared" ca="1" si="117"/>
        <v>0</v>
      </c>
      <c r="L469" s="181"/>
      <c r="M469" s="181"/>
      <c r="N469" s="181"/>
      <c r="O469" s="181"/>
      <c r="P469" s="181"/>
    </row>
    <row r="470" spans="1:16" ht="21.75" customHeight="1" x14ac:dyDescent="0.3">
      <c r="A470" s="400"/>
      <c r="B470" s="401"/>
      <c r="C470" s="401"/>
      <c r="D470" s="402"/>
      <c r="E470" s="195"/>
      <c r="F470" s="195"/>
      <c r="G470" s="419"/>
      <c r="H470" s="420" t="s">
        <v>36</v>
      </c>
      <c r="I470" s="202">
        <f ca="1">IFERROR(__xludf.DUMMYFUNCTION("IMPORTRANGE(""https://docs.google.com/spreadsheets/d/11923uPwbBZFjjGgGUA6NLw09EwE0CqkOc4q9oUmW1yo/edit?usp=sharing"",""กำแพงเพชร!I365"")"),0)</f>
        <v>0</v>
      </c>
      <c r="J470" s="188">
        <f ca="1">IFERROR(__xludf.DUMMYFUNCTION("IMPORTRANGE(""https://docs.google.com/spreadsheets/d/11923uPwbBZFjjGgGUA6NLw09EwE0CqkOc4q9oUmW1yo/edit?usp=sharing"",""กำแพงเพชร!J365"")"),2301)</f>
        <v>2301</v>
      </c>
      <c r="K470" s="163">
        <f t="shared" ca="1" si="117"/>
        <v>0</v>
      </c>
      <c r="L470" s="181"/>
      <c r="M470" s="181"/>
      <c r="N470" s="181"/>
      <c r="O470" s="181"/>
      <c r="P470" s="181"/>
    </row>
    <row r="471" spans="1:16" ht="21.75" customHeight="1" x14ac:dyDescent="0.3">
      <c r="A471" s="400"/>
      <c r="B471" s="401"/>
      <c r="C471" s="401"/>
      <c r="D471" s="402"/>
      <c r="E471" s="195"/>
      <c r="F471" s="388" t="s">
        <v>170</v>
      </c>
      <c r="G471" s="419"/>
      <c r="H471" s="420" t="s">
        <v>122</v>
      </c>
      <c r="I471" s="202">
        <f ca="1">IFERROR(__xludf.DUMMYFUNCTION("IMPORTRANGE(""https://docs.google.com/spreadsheets/d/11923uPwbBZFjjGgGUA6NLw09EwE0CqkOc4q9oUmW1yo/edit?usp=sharing"",""กำแพงเพชร!I366"")"),0)</f>
        <v>0</v>
      </c>
      <c r="J471" s="188">
        <f ca="1">IFERROR(__xludf.DUMMYFUNCTION("IMPORTRANGE(""https://docs.google.com/spreadsheets/d/11923uPwbBZFjjGgGUA6NLw09EwE0CqkOc4q9oUmW1yo/edit?usp=sharing"",""กำแพงเพชร!J366"")"),2415)</f>
        <v>2415</v>
      </c>
      <c r="K471" s="163">
        <f t="shared" ca="1" si="117"/>
        <v>0</v>
      </c>
      <c r="L471" s="181"/>
      <c r="M471" s="181"/>
      <c r="N471" s="181"/>
      <c r="O471" s="181"/>
      <c r="P471" s="181"/>
    </row>
    <row r="472" spans="1:16" ht="21.75" customHeight="1" x14ac:dyDescent="0.3">
      <c r="A472" s="400"/>
      <c r="B472" s="401"/>
      <c r="C472" s="401"/>
      <c r="D472" s="402"/>
      <c r="E472" s="195"/>
      <c r="F472" s="195"/>
      <c r="G472" s="195"/>
      <c r="H472" s="420" t="s">
        <v>36</v>
      </c>
      <c r="I472" s="202">
        <f ca="1">IFERROR(__xludf.DUMMYFUNCTION("IMPORTRANGE(""https://docs.google.com/spreadsheets/d/11923uPwbBZFjjGgGUA6NLw09EwE0CqkOc4q9oUmW1yo/edit?usp=sharing"",""กำแพงเพชร!I367"")"),0)</f>
        <v>0</v>
      </c>
      <c r="J472" s="188">
        <f ca="1">IFERROR(__xludf.DUMMYFUNCTION("IMPORTRANGE(""https://docs.google.com/spreadsheets/d/11923uPwbBZFjjGgGUA6NLw09EwE0CqkOc4q9oUmW1yo/edit?usp=sharing"",""กำแพงเพชร!J367"")"),229)</f>
        <v>229</v>
      </c>
      <c r="K472" s="163">
        <f t="shared" ca="1" si="117"/>
        <v>0</v>
      </c>
      <c r="L472" s="181"/>
      <c r="M472" s="181"/>
      <c r="N472" s="181"/>
      <c r="O472" s="181"/>
      <c r="P472" s="181"/>
    </row>
    <row r="473" spans="1:16" ht="21.75" customHeight="1" x14ac:dyDescent="0.3">
      <c r="A473" s="400"/>
      <c r="B473" s="401"/>
      <c r="C473" s="401"/>
      <c r="D473" s="402"/>
      <c r="E473" s="289" t="s">
        <v>171</v>
      </c>
      <c r="F473" s="195"/>
      <c r="G473" s="196"/>
      <c r="H473" s="416" t="s">
        <v>122</v>
      </c>
      <c r="I473" s="418">
        <f ca="1">IFERROR(__xludf.DUMMYFUNCTION("IMPORTRANGE(""https://docs.google.com/spreadsheets/d/11923uPwbBZFjjGgGUA6NLw09EwE0CqkOc4q9oUmW1yo/edit?usp=sharing"",""กำแพงเพชร!I368"")"),162754)</f>
        <v>162754</v>
      </c>
      <c r="J473" s="418">
        <f ca="1">IFERROR(__xludf.DUMMYFUNCTION("IMPORTRANGE(""https://docs.google.com/spreadsheets/d/11923uPwbBZFjjGgGUA6NLw09EwE0CqkOc4q9oUmW1yo/edit?usp=sharing"",""กำแพงเพชร!J368"")"),0)</f>
        <v>0</v>
      </c>
      <c r="K473" s="201">
        <f t="shared" ca="1" si="117"/>
        <v>0</v>
      </c>
      <c r="L473" s="181"/>
      <c r="M473" s="181"/>
      <c r="N473" s="181"/>
      <c r="O473" s="181"/>
      <c r="P473" s="181"/>
    </row>
    <row r="474" spans="1:16" ht="21.75" customHeight="1" x14ac:dyDescent="0.3">
      <c r="A474" s="400"/>
      <c r="B474" s="401"/>
      <c r="C474" s="401"/>
      <c r="D474" s="402"/>
      <c r="E474" s="195"/>
      <c r="F474" s="195"/>
      <c r="G474" s="196"/>
      <c r="H474" s="416" t="s">
        <v>36</v>
      </c>
      <c r="I474" s="417">
        <f ca="1">IFERROR(__xludf.DUMMYFUNCTION("IMPORTRANGE(""https://docs.google.com/spreadsheets/d/11923uPwbBZFjjGgGUA6NLw09EwE0CqkOc4q9oUmW1yo/edit?usp=sharing"",""กำแพงเพชร!I369"")"),12870)</f>
        <v>12870</v>
      </c>
      <c r="J474" s="418">
        <f ca="1">IFERROR(__xludf.DUMMYFUNCTION("IMPORTRANGE(""https://docs.google.com/spreadsheets/d/11923uPwbBZFjjGgGUA6NLw09EwE0CqkOc4q9oUmW1yo/edit?usp=sharing"",""กำแพงเพชร!J369"")"),0)</f>
        <v>0</v>
      </c>
      <c r="K474" s="163">
        <f t="shared" ca="1" si="117"/>
        <v>0</v>
      </c>
      <c r="L474" s="181"/>
      <c r="M474" s="181"/>
      <c r="N474" s="181"/>
      <c r="O474" s="181"/>
      <c r="P474" s="181"/>
    </row>
    <row r="475" spans="1:16" ht="21.75" customHeight="1" x14ac:dyDescent="0.3">
      <c r="A475" s="400"/>
      <c r="B475" s="401"/>
      <c r="C475" s="401"/>
      <c r="D475" s="402"/>
      <c r="E475" s="195"/>
      <c r="F475" s="194" t="s">
        <v>172</v>
      </c>
      <c r="G475" s="419"/>
      <c r="H475" s="420" t="s">
        <v>122</v>
      </c>
      <c r="I475" s="202">
        <f ca="1">IFERROR(__xludf.DUMMYFUNCTION("IMPORTRANGE(""https://docs.google.com/spreadsheets/d/11923uPwbBZFjjGgGUA6NLw09EwE0CqkOc4q9oUmW1yo/edit?usp=sharing"",""กำแพงเพชร!I370"")"),0)</f>
        <v>0</v>
      </c>
      <c r="J475" s="188">
        <f ca="1">IFERROR(__xludf.DUMMYFUNCTION("IMPORTRANGE(""https://docs.google.com/spreadsheets/d/11923uPwbBZFjjGgGUA6NLw09EwE0CqkOc4q9oUmW1yo/edit?usp=sharing"",""กำแพงเพชร!J370"")"),0)</f>
        <v>0</v>
      </c>
      <c r="K475" s="163">
        <f t="shared" ca="1" si="117"/>
        <v>0</v>
      </c>
      <c r="L475" s="181"/>
      <c r="M475" s="181"/>
      <c r="N475" s="181"/>
      <c r="O475" s="181"/>
      <c r="P475" s="181"/>
    </row>
    <row r="476" spans="1:16" ht="21.75" customHeight="1" x14ac:dyDescent="0.3">
      <c r="A476" s="400"/>
      <c r="B476" s="401"/>
      <c r="C476" s="401"/>
      <c r="D476" s="402"/>
      <c r="E476" s="195"/>
      <c r="F476" s="195"/>
      <c r="G476" s="419"/>
      <c r="H476" s="420" t="s">
        <v>36</v>
      </c>
      <c r="I476" s="202">
        <f ca="1">IFERROR(__xludf.DUMMYFUNCTION("IMPORTRANGE(""https://docs.google.com/spreadsheets/d/11923uPwbBZFjjGgGUA6NLw09EwE0CqkOc4q9oUmW1yo/edit?usp=sharing"",""กำแพงเพชร!I371"")"),0)</f>
        <v>0</v>
      </c>
      <c r="J476" s="188">
        <f ca="1">IFERROR(__xludf.DUMMYFUNCTION("IMPORTRANGE(""https://docs.google.com/spreadsheets/d/11923uPwbBZFjjGgGUA6NLw09EwE0CqkOc4q9oUmW1yo/edit?usp=sharing"",""กำแพงเพชร!J371"")"),0)</f>
        <v>0</v>
      </c>
      <c r="K476" s="163">
        <f t="shared" ca="1" si="117"/>
        <v>0</v>
      </c>
      <c r="L476" s="181"/>
      <c r="M476" s="181"/>
      <c r="N476" s="181"/>
      <c r="O476" s="181"/>
      <c r="P476" s="181"/>
    </row>
    <row r="477" spans="1:16" ht="21.75" customHeight="1" x14ac:dyDescent="0.3">
      <c r="A477" s="400"/>
      <c r="B477" s="401"/>
      <c r="C477" s="401"/>
      <c r="D477" s="402"/>
      <c r="E477" s="195"/>
      <c r="F477" s="194" t="s">
        <v>173</v>
      </c>
      <c r="G477" s="419"/>
      <c r="H477" s="420" t="s">
        <v>122</v>
      </c>
      <c r="I477" s="202">
        <f ca="1">IFERROR(__xludf.DUMMYFUNCTION("IMPORTRANGE(""https://docs.google.com/spreadsheets/d/11923uPwbBZFjjGgGUA6NLw09EwE0CqkOc4q9oUmW1yo/edit?usp=sharing"",""กำแพงเพชร!I372"")"),0)</f>
        <v>0</v>
      </c>
      <c r="J477" s="188">
        <f ca="1">IFERROR(__xludf.DUMMYFUNCTION("IMPORTRANGE(""https://docs.google.com/spreadsheets/d/11923uPwbBZFjjGgGUA6NLw09EwE0CqkOc4q9oUmW1yo/edit?usp=sharing"",""กำแพงเพชร!J372"")"),0)</f>
        <v>0</v>
      </c>
      <c r="K477" s="163">
        <f t="shared" ca="1" si="117"/>
        <v>0</v>
      </c>
      <c r="L477" s="181"/>
      <c r="M477" s="181"/>
      <c r="N477" s="181"/>
      <c r="O477" s="181"/>
      <c r="P477" s="181"/>
    </row>
    <row r="478" spans="1:16" ht="21.75" customHeight="1" x14ac:dyDescent="0.3">
      <c r="A478" s="400"/>
      <c r="B478" s="401"/>
      <c r="C478" s="401"/>
      <c r="D478" s="402"/>
      <c r="E478" s="195"/>
      <c r="F478" s="195"/>
      <c r="G478" s="419"/>
      <c r="H478" s="420" t="s">
        <v>36</v>
      </c>
      <c r="I478" s="202">
        <f ca="1">IFERROR(__xludf.DUMMYFUNCTION("IMPORTRANGE(""https://docs.google.com/spreadsheets/d/11923uPwbBZFjjGgGUA6NLw09EwE0CqkOc4q9oUmW1yo/edit?usp=sharing"",""กำแพงเพชร!I373"")"),0)</f>
        <v>0</v>
      </c>
      <c r="J478" s="188">
        <f ca="1">IFERROR(__xludf.DUMMYFUNCTION("IMPORTRANGE(""https://docs.google.com/spreadsheets/d/11923uPwbBZFjjGgGUA6NLw09EwE0CqkOc4q9oUmW1yo/edit?usp=sharing"",""กำแพงเพชร!J373"")"),0)</f>
        <v>0</v>
      </c>
      <c r="K478" s="163">
        <f t="shared" ca="1" si="117"/>
        <v>0</v>
      </c>
      <c r="L478" s="181"/>
      <c r="M478" s="181"/>
      <c r="N478" s="181"/>
      <c r="O478" s="181"/>
      <c r="P478" s="181"/>
    </row>
    <row r="479" spans="1:16" ht="21.75" customHeight="1" x14ac:dyDescent="0.3">
      <c r="A479" s="400"/>
      <c r="B479" s="401"/>
      <c r="C479" s="401"/>
      <c r="D479" s="402"/>
      <c r="E479" s="195"/>
      <c r="F479" s="194" t="s">
        <v>174</v>
      </c>
      <c r="G479" s="419"/>
      <c r="H479" s="420" t="s">
        <v>122</v>
      </c>
      <c r="I479" s="202">
        <f ca="1">IFERROR(__xludf.DUMMYFUNCTION("IMPORTRANGE(""https://docs.google.com/spreadsheets/d/11923uPwbBZFjjGgGUA6NLw09EwE0CqkOc4q9oUmW1yo/edit?usp=sharing"",""กำแพงเพชร!I374"")"),0)</f>
        <v>0</v>
      </c>
      <c r="J479" s="188">
        <f ca="1">IFERROR(__xludf.DUMMYFUNCTION("IMPORTRANGE(""https://docs.google.com/spreadsheets/d/11923uPwbBZFjjGgGUA6NLw09EwE0CqkOc4q9oUmW1yo/edit?usp=sharing"",""กำแพงเพชร!J374"")"),0)</f>
        <v>0</v>
      </c>
      <c r="K479" s="163">
        <f t="shared" ca="1" si="117"/>
        <v>0</v>
      </c>
      <c r="L479" s="181"/>
      <c r="M479" s="181"/>
      <c r="N479" s="181"/>
      <c r="O479" s="181"/>
      <c r="P479" s="181"/>
    </row>
    <row r="480" spans="1:16" ht="21.75" customHeight="1" x14ac:dyDescent="0.3">
      <c r="A480" s="400"/>
      <c r="B480" s="401"/>
      <c r="C480" s="401"/>
      <c r="D480" s="402"/>
      <c r="E480" s="195"/>
      <c r="F480" s="195"/>
      <c r="G480" s="196"/>
      <c r="H480" s="420" t="s">
        <v>36</v>
      </c>
      <c r="I480" s="202">
        <f ca="1">IFERROR(__xludf.DUMMYFUNCTION("IMPORTRANGE(""https://docs.google.com/spreadsheets/d/11923uPwbBZFjjGgGUA6NLw09EwE0CqkOc4q9oUmW1yo/edit?usp=sharing"",""กำแพงเพชร!I375"")"),0)</f>
        <v>0</v>
      </c>
      <c r="J480" s="188">
        <f ca="1">IFERROR(__xludf.DUMMYFUNCTION("IMPORTRANGE(""https://docs.google.com/spreadsheets/d/11923uPwbBZFjjGgGUA6NLw09EwE0CqkOc4q9oUmW1yo/edit?usp=sharing"",""กำแพงเพชร!J375"")"),0)</f>
        <v>0</v>
      </c>
      <c r="K480" s="163">
        <f t="shared" ca="1" si="117"/>
        <v>0</v>
      </c>
      <c r="L480" s="181"/>
      <c r="M480" s="181"/>
      <c r="N480" s="181"/>
      <c r="O480" s="181"/>
      <c r="P480" s="181"/>
    </row>
    <row r="481" spans="1:16" ht="21.75" customHeight="1" x14ac:dyDescent="0.3">
      <c r="A481" s="421"/>
      <c r="B481" s="422"/>
      <c r="C481" s="422"/>
      <c r="D481" s="423"/>
      <c r="E481" s="424" t="s">
        <v>175</v>
      </c>
      <c r="F481" s="425"/>
      <c r="G481" s="426"/>
      <c r="H481" s="427" t="s">
        <v>122</v>
      </c>
      <c r="I481" s="418">
        <f ca="1">IFERROR(__xludf.DUMMYFUNCTION("IMPORTRANGE(""https://docs.google.com/spreadsheets/d/11923uPwbBZFjjGgGUA6NLw09EwE0CqkOc4q9oUmW1yo/edit?usp=sharing"",""กำแพงเพชร!I376"")"),162754)</f>
        <v>162754</v>
      </c>
      <c r="J481" s="418">
        <f ca="1">IFERROR(__xludf.DUMMYFUNCTION("IMPORTRANGE(""https://docs.google.com/spreadsheets/d/11923uPwbBZFjjGgGUA6NLw09EwE0CqkOc4q9oUmW1yo/edit?usp=sharing"",""กำแพงเพชร!J376"")"),0)</f>
        <v>0</v>
      </c>
      <c r="K481" s="201">
        <f t="shared" ca="1" si="117"/>
        <v>0</v>
      </c>
      <c r="L481" s="428"/>
      <c r="M481" s="428"/>
      <c r="N481" s="428"/>
      <c r="O481" s="428"/>
      <c r="P481" s="428"/>
    </row>
    <row r="482" spans="1:16" ht="21.75" customHeight="1" x14ac:dyDescent="0.3">
      <c r="A482" s="400"/>
      <c r="B482" s="401"/>
      <c r="C482" s="401"/>
      <c r="D482" s="402"/>
      <c r="E482" s="195"/>
      <c r="F482" s="195"/>
      <c r="G482" s="196"/>
      <c r="H482" s="416" t="s">
        <v>36</v>
      </c>
      <c r="I482" s="417">
        <f ca="1">IFERROR(__xludf.DUMMYFUNCTION("IMPORTRANGE(""https://docs.google.com/spreadsheets/d/11923uPwbBZFjjGgGUA6NLw09EwE0CqkOc4q9oUmW1yo/edit?usp=sharing"",""กำแพงเพชร!I377"")"),12870)</f>
        <v>12870</v>
      </c>
      <c r="J482" s="418">
        <f ca="1">IFERROR(__xludf.DUMMYFUNCTION("IMPORTRANGE(""https://docs.google.com/spreadsheets/d/11923uPwbBZFjjGgGUA6NLw09EwE0CqkOc4q9oUmW1yo/edit?usp=sharing"",""กำแพงเพชร!J377"")"),0)</f>
        <v>0</v>
      </c>
      <c r="K482" s="163">
        <f t="shared" ca="1" si="117"/>
        <v>0</v>
      </c>
      <c r="L482" s="181"/>
      <c r="M482" s="181"/>
      <c r="N482" s="181"/>
      <c r="O482" s="181"/>
      <c r="P482" s="181"/>
    </row>
    <row r="483" spans="1:16" ht="21.75" customHeight="1" x14ac:dyDescent="0.3">
      <c r="A483" s="400"/>
      <c r="B483" s="401"/>
      <c r="C483" s="401"/>
      <c r="D483" s="402"/>
      <c r="E483" s="195"/>
      <c r="F483" s="194" t="s">
        <v>176</v>
      </c>
      <c r="G483" s="419"/>
      <c r="H483" s="420" t="s">
        <v>122</v>
      </c>
      <c r="I483" s="202">
        <f ca="1">IFERROR(__xludf.DUMMYFUNCTION("IMPORTRANGE(""https://docs.google.com/spreadsheets/d/11923uPwbBZFjjGgGUA6NLw09EwE0CqkOc4q9oUmW1yo/edit?usp=sharing"",""กำแพงเพชร!I378"")"),0)</f>
        <v>0</v>
      </c>
      <c r="J483" s="188">
        <f ca="1">IFERROR(__xludf.DUMMYFUNCTION("IMPORTRANGE(""https://docs.google.com/spreadsheets/d/11923uPwbBZFjjGgGUA6NLw09EwE0CqkOc4q9oUmW1yo/edit?usp=sharing"",""กำแพงเพชร!J378"")"),0)</f>
        <v>0</v>
      </c>
      <c r="K483" s="163">
        <f t="shared" ca="1" si="117"/>
        <v>0</v>
      </c>
      <c r="L483" s="181"/>
      <c r="M483" s="181"/>
      <c r="N483" s="181"/>
      <c r="O483" s="181"/>
      <c r="P483" s="181"/>
    </row>
    <row r="484" spans="1:16" ht="21.75" customHeight="1" x14ac:dyDescent="0.3">
      <c r="A484" s="400"/>
      <c r="B484" s="401"/>
      <c r="C484" s="401"/>
      <c r="D484" s="402"/>
      <c r="E484" s="195"/>
      <c r="F484" s="195"/>
      <c r="G484" s="419"/>
      <c r="H484" s="420" t="s">
        <v>36</v>
      </c>
      <c r="I484" s="202">
        <f ca="1">IFERROR(__xludf.DUMMYFUNCTION("IMPORTRANGE(""https://docs.google.com/spreadsheets/d/11923uPwbBZFjjGgGUA6NLw09EwE0CqkOc4q9oUmW1yo/edit?usp=sharing"",""กำแพงเพชร!I379"")"),0)</f>
        <v>0</v>
      </c>
      <c r="J484" s="188">
        <f ca="1">IFERROR(__xludf.DUMMYFUNCTION("IMPORTRANGE(""https://docs.google.com/spreadsheets/d/11923uPwbBZFjjGgGUA6NLw09EwE0CqkOc4q9oUmW1yo/edit?usp=sharing"",""กำแพงเพชร!J379"")"),0)</f>
        <v>0</v>
      </c>
      <c r="K484" s="163">
        <f t="shared" ca="1" si="117"/>
        <v>0</v>
      </c>
      <c r="L484" s="181"/>
      <c r="M484" s="181"/>
      <c r="N484" s="181"/>
      <c r="O484" s="181"/>
      <c r="P484" s="181"/>
    </row>
    <row r="485" spans="1:16" ht="21.75" customHeight="1" x14ac:dyDescent="0.3">
      <c r="A485" s="400"/>
      <c r="B485" s="401"/>
      <c r="C485" s="401"/>
      <c r="D485" s="402"/>
      <c r="E485" s="195"/>
      <c r="F485" s="194" t="s">
        <v>177</v>
      </c>
      <c r="G485" s="419"/>
      <c r="H485" s="420" t="s">
        <v>122</v>
      </c>
      <c r="I485" s="202">
        <f ca="1">IFERROR(__xludf.DUMMYFUNCTION("IMPORTRANGE(""https://docs.google.com/spreadsheets/d/11923uPwbBZFjjGgGUA6NLw09EwE0CqkOc4q9oUmW1yo/edit?usp=sharing"",""กำแพงเพชร!I380"")"),0)</f>
        <v>0</v>
      </c>
      <c r="J485" s="188">
        <f ca="1">IFERROR(__xludf.DUMMYFUNCTION("IMPORTRANGE(""https://docs.google.com/spreadsheets/d/11923uPwbBZFjjGgGUA6NLw09EwE0CqkOc4q9oUmW1yo/edit?usp=sharing"",""กำแพงเพชร!J380"")"),0)</f>
        <v>0</v>
      </c>
      <c r="K485" s="163">
        <f t="shared" ca="1" si="117"/>
        <v>0</v>
      </c>
      <c r="L485" s="181"/>
      <c r="M485" s="181"/>
      <c r="N485" s="181"/>
      <c r="O485" s="181"/>
      <c r="P485" s="181"/>
    </row>
    <row r="486" spans="1:16" ht="21.75" customHeight="1" x14ac:dyDescent="0.3">
      <c r="A486" s="400"/>
      <c r="B486" s="401"/>
      <c r="C486" s="401"/>
      <c r="D486" s="402"/>
      <c r="E486" s="195"/>
      <c r="F486" s="195"/>
      <c r="G486" s="419"/>
      <c r="H486" s="420" t="s">
        <v>36</v>
      </c>
      <c r="I486" s="202">
        <f ca="1">IFERROR(__xludf.DUMMYFUNCTION("IMPORTRANGE(""https://docs.google.com/spreadsheets/d/11923uPwbBZFjjGgGUA6NLw09EwE0CqkOc4q9oUmW1yo/edit?usp=sharing"",""กำแพงเพชร!I381"")"),0)</f>
        <v>0</v>
      </c>
      <c r="J486" s="188">
        <f ca="1">IFERROR(__xludf.DUMMYFUNCTION("IMPORTRANGE(""https://docs.google.com/spreadsheets/d/11923uPwbBZFjjGgGUA6NLw09EwE0CqkOc4q9oUmW1yo/edit?usp=sharing"",""กำแพงเพชร!J381"")"),0)</f>
        <v>0</v>
      </c>
      <c r="K486" s="163">
        <f t="shared" ca="1" si="117"/>
        <v>0</v>
      </c>
      <c r="L486" s="181"/>
      <c r="M486" s="181"/>
      <c r="N486" s="181"/>
      <c r="O486" s="181"/>
      <c r="P486" s="181"/>
    </row>
    <row r="487" spans="1:16" ht="21.75" customHeight="1" x14ac:dyDescent="0.3">
      <c r="A487" s="400"/>
      <c r="B487" s="401"/>
      <c r="C487" s="401"/>
      <c r="D487" s="402"/>
      <c r="E487" s="195"/>
      <c r="F487" s="194" t="s">
        <v>178</v>
      </c>
      <c r="G487" s="419"/>
      <c r="H487" s="420" t="s">
        <v>122</v>
      </c>
      <c r="I487" s="202">
        <f ca="1">IFERROR(__xludf.DUMMYFUNCTION("IMPORTRANGE(""https://docs.google.com/spreadsheets/d/11923uPwbBZFjjGgGUA6NLw09EwE0CqkOc4q9oUmW1yo/edit?usp=sharing"",""กำแพงเพชร!I382"")"),0)</f>
        <v>0</v>
      </c>
      <c r="J487" s="418">
        <f ca="1">IFERROR(__xludf.DUMMYFUNCTION("IMPORTRANGE(""https://docs.google.com/spreadsheets/d/11923uPwbBZFjjGgGUA6NLw09EwE0CqkOc4q9oUmW1yo/edit?usp=sharing"",""กำแพงเพชร!J382"")"),0)</f>
        <v>0</v>
      </c>
      <c r="K487" s="163">
        <f t="shared" ca="1" si="117"/>
        <v>0</v>
      </c>
      <c r="L487" s="181"/>
      <c r="M487" s="181"/>
      <c r="N487" s="181"/>
      <c r="O487" s="181"/>
      <c r="P487" s="181"/>
    </row>
    <row r="488" spans="1:16" ht="21.75" customHeight="1" x14ac:dyDescent="0.3">
      <c r="A488" s="400"/>
      <c r="B488" s="401"/>
      <c r="C488" s="401"/>
      <c r="D488" s="402"/>
      <c r="E488" s="195"/>
      <c r="F488" s="195"/>
      <c r="G488" s="195"/>
      <c r="H488" s="420" t="s">
        <v>36</v>
      </c>
      <c r="I488" s="202">
        <f ca="1">IFERROR(__xludf.DUMMYFUNCTION("IMPORTRANGE(""https://docs.google.com/spreadsheets/d/11923uPwbBZFjjGgGUA6NLw09EwE0CqkOc4q9oUmW1yo/edit?usp=sharing"",""กำแพงเพชร!I383"")"),0)</f>
        <v>0</v>
      </c>
      <c r="J488" s="418">
        <f ca="1">IFERROR(__xludf.DUMMYFUNCTION("IMPORTRANGE(""https://docs.google.com/spreadsheets/d/11923uPwbBZFjjGgGUA6NLw09EwE0CqkOc4q9oUmW1yo/edit?usp=sharing"",""กำแพงเพชร!J383"")"),0)</f>
        <v>0</v>
      </c>
      <c r="K488" s="163">
        <f t="shared" ca="1" si="117"/>
        <v>0</v>
      </c>
      <c r="L488" s="181"/>
      <c r="M488" s="181"/>
      <c r="N488" s="181"/>
      <c r="O488" s="181"/>
      <c r="P488" s="181"/>
    </row>
    <row r="489" spans="1:16" ht="21.75" customHeight="1" x14ac:dyDescent="0.3">
      <c r="A489" s="400"/>
      <c r="B489" s="401"/>
      <c r="C489" s="401"/>
      <c r="D489" s="402"/>
      <c r="E489" s="195"/>
      <c r="F489" s="195"/>
      <c r="G489" s="194" t="s">
        <v>179</v>
      </c>
      <c r="H489" s="420" t="s">
        <v>122</v>
      </c>
      <c r="I489" s="202">
        <f ca="1">IFERROR(__xludf.DUMMYFUNCTION("IMPORTRANGE(""https://docs.google.com/spreadsheets/d/11923uPwbBZFjjGgGUA6NLw09EwE0CqkOc4q9oUmW1yo/edit?usp=sharing"",""กำแพงเพชร!I384"")"),0)</f>
        <v>0</v>
      </c>
      <c r="J489" s="188">
        <f ca="1">IFERROR(__xludf.DUMMYFUNCTION("IMPORTRANGE(""https://docs.google.com/spreadsheets/d/11923uPwbBZFjjGgGUA6NLw09EwE0CqkOc4q9oUmW1yo/edit?usp=sharing"",""กำแพงเพชร!J384"")"),0)</f>
        <v>0</v>
      </c>
      <c r="K489" s="163">
        <f t="shared" ca="1" si="117"/>
        <v>0</v>
      </c>
      <c r="L489" s="181"/>
      <c r="M489" s="181"/>
      <c r="N489" s="181"/>
      <c r="O489" s="181"/>
      <c r="P489" s="181"/>
    </row>
    <row r="490" spans="1:16" ht="21.75" customHeight="1" x14ac:dyDescent="0.3">
      <c r="A490" s="400"/>
      <c r="B490" s="401"/>
      <c r="C490" s="401"/>
      <c r="D490" s="402"/>
      <c r="E490" s="195"/>
      <c r="F490" s="195"/>
      <c r="G490" s="195"/>
      <c r="H490" s="420" t="s">
        <v>36</v>
      </c>
      <c r="I490" s="202">
        <f ca="1">IFERROR(__xludf.DUMMYFUNCTION("IMPORTRANGE(""https://docs.google.com/spreadsheets/d/11923uPwbBZFjjGgGUA6NLw09EwE0CqkOc4q9oUmW1yo/edit?usp=sharing"",""กำแพงเพชร!I385"")"),0)</f>
        <v>0</v>
      </c>
      <c r="J490" s="188">
        <f ca="1">IFERROR(__xludf.DUMMYFUNCTION("IMPORTRANGE(""https://docs.google.com/spreadsheets/d/11923uPwbBZFjjGgGUA6NLw09EwE0CqkOc4q9oUmW1yo/edit?usp=sharing"",""กำแพงเพชร!J385"")"),0)</f>
        <v>0</v>
      </c>
      <c r="K490" s="163">
        <f t="shared" ca="1" si="117"/>
        <v>0</v>
      </c>
      <c r="L490" s="181"/>
      <c r="M490" s="181"/>
      <c r="N490" s="181"/>
      <c r="O490" s="181"/>
      <c r="P490" s="181"/>
    </row>
    <row r="491" spans="1:16" ht="21.75" customHeight="1" x14ac:dyDescent="0.3">
      <c r="A491" s="400"/>
      <c r="B491" s="401"/>
      <c r="C491" s="401"/>
      <c r="D491" s="402"/>
      <c r="E491" s="195"/>
      <c r="F491" s="195"/>
      <c r="G491" s="194" t="s">
        <v>180</v>
      </c>
      <c r="H491" s="420" t="s">
        <v>122</v>
      </c>
      <c r="I491" s="202">
        <f ca="1">IFERROR(__xludf.DUMMYFUNCTION("IMPORTRANGE(""https://docs.google.com/spreadsheets/d/11923uPwbBZFjjGgGUA6NLw09EwE0CqkOc4q9oUmW1yo/edit?usp=sharing"",""กำแพงเพชร!I386"")"),0)</f>
        <v>0</v>
      </c>
      <c r="J491" s="188">
        <f ca="1">IFERROR(__xludf.DUMMYFUNCTION("IMPORTRANGE(""https://docs.google.com/spreadsheets/d/11923uPwbBZFjjGgGUA6NLw09EwE0CqkOc4q9oUmW1yo/edit?usp=sharing"",""กำแพงเพชร!J386"")"),0)</f>
        <v>0</v>
      </c>
      <c r="K491" s="163">
        <f t="shared" ca="1" si="117"/>
        <v>0</v>
      </c>
      <c r="L491" s="181"/>
      <c r="M491" s="181"/>
      <c r="N491" s="181"/>
      <c r="O491" s="181"/>
      <c r="P491" s="181"/>
    </row>
    <row r="492" spans="1:16" ht="21.75" customHeight="1" x14ac:dyDescent="0.3">
      <c r="A492" s="400"/>
      <c r="B492" s="401"/>
      <c r="C492" s="401"/>
      <c r="D492" s="402"/>
      <c r="E492" s="195"/>
      <c r="F492" s="195"/>
      <c r="G492" s="196"/>
      <c r="H492" s="420" t="s">
        <v>36</v>
      </c>
      <c r="I492" s="202">
        <f ca="1">IFERROR(__xludf.DUMMYFUNCTION("IMPORTRANGE(""https://docs.google.com/spreadsheets/d/11923uPwbBZFjjGgGUA6NLw09EwE0CqkOc4q9oUmW1yo/edit?usp=sharing"",""กำแพงเพชร!I387"")"),0)</f>
        <v>0</v>
      </c>
      <c r="J492" s="188">
        <f ca="1">IFERROR(__xludf.DUMMYFUNCTION("IMPORTRANGE(""https://docs.google.com/spreadsheets/d/11923uPwbBZFjjGgGUA6NLw09EwE0CqkOc4q9oUmW1yo/edit?usp=sharing"",""กำแพงเพชร!J387"")"),0)</f>
        <v>0</v>
      </c>
      <c r="K492" s="163">
        <f t="shared" ca="1" si="117"/>
        <v>0</v>
      </c>
      <c r="L492" s="181"/>
      <c r="M492" s="181"/>
      <c r="N492" s="181"/>
      <c r="O492" s="181"/>
      <c r="P492" s="181"/>
    </row>
    <row r="493" spans="1:16" ht="21.75" customHeight="1" x14ac:dyDescent="0.3">
      <c r="A493" s="400"/>
      <c r="B493" s="401"/>
      <c r="C493" s="401"/>
      <c r="D493" s="402"/>
      <c r="E493" s="195"/>
      <c r="F493" s="194" t="s">
        <v>181</v>
      </c>
      <c r="G493" s="419"/>
      <c r="H493" s="420" t="s">
        <v>122</v>
      </c>
      <c r="I493" s="202">
        <f ca="1">IFERROR(__xludf.DUMMYFUNCTION("IMPORTRANGE(""https://docs.google.com/spreadsheets/d/11923uPwbBZFjjGgGUA6NLw09EwE0CqkOc4q9oUmW1yo/edit?usp=sharing"",""กำแพงเพชร!I388"")"),0)</f>
        <v>0</v>
      </c>
      <c r="J493" s="188">
        <f ca="1">IFERROR(__xludf.DUMMYFUNCTION("IMPORTRANGE(""https://docs.google.com/spreadsheets/d/11923uPwbBZFjjGgGUA6NLw09EwE0CqkOc4q9oUmW1yo/edit?usp=sharing"",""กำแพงเพชร!J388"")"),0)</f>
        <v>0</v>
      </c>
      <c r="K493" s="163">
        <f t="shared" ca="1" si="117"/>
        <v>0</v>
      </c>
      <c r="L493" s="181"/>
      <c r="M493" s="181"/>
      <c r="N493" s="181"/>
      <c r="O493" s="181"/>
      <c r="P493" s="181"/>
    </row>
    <row r="494" spans="1:16" ht="21.75" customHeight="1" x14ac:dyDescent="0.3">
      <c r="A494" s="429"/>
      <c r="B494" s="430"/>
      <c r="C494" s="430"/>
      <c r="D494" s="431"/>
      <c r="E494" s="345"/>
      <c r="F494" s="345"/>
      <c r="G494" s="345"/>
      <c r="H494" s="432" t="s">
        <v>36</v>
      </c>
      <c r="I494" s="433">
        <f ca="1">IFERROR(__xludf.DUMMYFUNCTION("IMPORTRANGE(""https://docs.google.com/spreadsheets/d/11923uPwbBZFjjGgGUA6NLw09EwE0CqkOc4q9oUmW1yo/edit?usp=sharing"",""กำแพงเพชร!I389"")"),0)</f>
        <v>0</v>
      </c>
      <c r="J494" s="434">
        <f ca="1">IFERROR(__xludf.DUMMYFUNCTION("IMPORTRANGE(""https://docs.google.com/spreadsheets/d/11923uPwbBZFjjGgGUA6NLw09EwE0CqkOc4q9oUmW1yo/edit?usp=sharing"",""กำแพงเพชร!J389"")"),0)</f>
        <v>0</v>
      </c>
      <c r="K494" s="286">
        <f t="shared" ca="1" si="117"/>
        <v>0</v>
      </c>
      <c r="L494" s="244"/>
      <c r="M494" s="244"/>
      <c r="N494" s="244"/>
      <c r="O494" s="244"/>
      <c r="P494" s="244"/>
    </row>
    <row r="495" spans="1:16" ht="21.75" customHeight="1" x14ac:dyDescent="0.3">
      <c r="A495" s="400"/>
      <c r="B495" s="401"/>
      <c r="C495" s="401"/>
      <c r="D495" s="402"/>
      <c r="E495" s="195"/>
      <c r="F495" s="195">
        <v>3.5</v>
      </c>
      <c r="G495" s="419" t="s">
        <v>182</v>
      </c>
      <c r="H495" s="420" t="s">
        <v>122</v>
      </c>
      <c r="I495" s="433">
        <f ca="1">IFERROR(__xludf.DUMMYFUNCTION("IMPORTRANGE(""https://docs.google.com/spreadsheets/d/11923uPwbBZFjjGgGUA6NLw09EwE0CqkOc4q9oUmW1yo/edit?usp=sharing"",""กำแพงเพชร!I390"")"),0)</f>
        <v>0</v>
      </c>
      <c r="J495" s="434">
        <f ca="1">IFERROR(__xludf.DUMMYFUNCTION("IMPORTRANGE(""https://docs.google.com/spreadsheets/d/11923uPwbBZFjjGgGUA6NLw09EwE0CqkOc4q9oUmW1yo/edit?usp=sharing"",""กำแพงเพชร!J390"")"),0)</f>
        <v>0</v>
      </c>
      <c r="K495" s="163">
        <f t="shared" ca="1" si="117"/>
        <v>0</v>
      </c>
      <c r="L495" s="181"/>
      <c r="M495" s="181"/>
      <c r="N495" s="181"/>
      <c r="O495" s="181"/>
      <c r="P495" s="181"/>
    </row>
    <row r="496" spans="1:16" ht="21.75" customHeight="1" x14ac:dyDescent="0.3">
      <c r="A496" s="429"/>
      <c r="B496" s="430"/>
      <c r="C496" s="430"/>
      <c r="D496" s="431"/>
      <c r="E496" s="345"/>
      <c r="F496" s="345"/>
      <c r="G496" s="345"/>
      <c r="H496" s="432" t="s">
        <v>36</v>
      </c>
      <c r="I496" s="433">
        <f ca="1">IFERROR(__xludf.DUMMYFUNCTION("IMPORTRANGE(""https://docs.google.com/spreadsheets/d/11923uPwbBZFjjGgGUA6NLw09EwE0CqkOc4q9oUmW1yo/edit?usp=sharing"",""กำแพงเพชร!I391"")"),0)</f>
        <v>0</v>
      </c>
      <c r="J496" s="434">
        <f ca="1">IFERROR(__xludf.DUMMYFUNCTION("IMPORTRANGE(""https://docs.google.com/spreadsheets/d/11923uPwbBZFjjGgGUA6NLw09EwE0CqkOc4q9oUmW1yo/edit?usp=sharing"",""กำแพงเพชร!J391"")"),0)</f>
        <v>0</v>
      </c>
      <c r="K496" s="286">
        <f t="shared" ca="1" si="117"/>
        <v>0</v>
      </c>
      <c r="L496" s="244"/>
      <c r="M496" s="244"/>
      <c r="N496" s="244"/>
      <c r="O496" s="244"/>
      <c r="P496" s="244"/>
    </row>
    <row r="497" spans="1:16" ht="21.75" customHeight="1" x14ac:dyDescent="0.3">
      <c r="A497" s="435"/>
      <c r="B497" s="436"/>
      <c r="C497" s="437" t="s">
        <v>183</v>
      </c>
      <c r="D497" s="437"/>
      <c r="E497" s="438"/>
      <c r="F497" s="438"/>
      <c r="G497" s="439"/>
      <c r="H497" s="440" t="s">
        <v>122</v>
      </c>
      <c r="I497" s="441">
        <f ca="1">IFERROR(__xludf.DUMMYFUNCTION("IMPORTRANGE(""https://docs.google.com/spreadsheets/d/11923uPwbBZFjjGgGUA6NLw09EwE0CqkOc4q9oUmW1yo/edit?usp=sharing"",""กำแพงเพชร!I392"")"),6340)</f>
        <v>6340</v>
      </c>
      <c r="J497" s="441">
        <f ca="1">IFERROR(__xludf.DUMMYFUNCTION("IMPORTRANGE(""https://docs.google.com/spreadsheets/d/11923uPwbBZFjjGgGUA6NLw09EwE0CqkOc4q9oUmW1yo/edit?usp=sharing"",""กำแพงเพชร!J392"")"),0)</f>
        <v>0</v>
      </c>
      <c r="K497" s="442">
        <f t="shared" ca="1" si="117"/>
        <v>0</v>
      </c>
      <c r="L497" s="443"/>
      <c r="M497" s="443"/>
      <c r="N497" s="443"/>
      <c r="O497" s="443"/>
      <c r="P497" s="443"/>
    </row>
    <row r="498" spans="1:16" ht="21.75" customHeight="1" x14ac:dyDescent="0.3">
      <c r="A498" s="175"/>
      <c r="B498" s="176"/>
      <c r="C498" s="176"/>
      <c r="D498" s="402"/>
      <c r="E498" s="444" t="s">
        <v>184</v>
      </c>
      <c r="F498" s="445"/>
      <c r="G498" s="446"/>
      <c r="H498" s="447" t="s">
        <v>122</v>
      </c>
      <c r="I498" s="418">
        <f ca="1">IFERROR(__xludf.DUMMYFUNCTION("IMPORTRANGE(""https://docs.google.com/spreadsheets/d/11923uPwbBZFjjGgGUA6NLw09EwE0CqkOc4q9oUmW1yo/edit?usp=sharing"",""กำแพงเพชร!I393"")"),6340)</f>
        <v>6340</v>
      </c>
      <c r="J498" s="418">
        <f ca="1">IFERROR(__xludf.DUMMYFUNCTION("IMPORTRANGE(""https://docs.google.com/spreadsheets/d/11923uPwbBZFjjGgGUA6NLw09EwE0CqkOc4q9oUmW1yo/edit?usp=sharing"",""กำแพงเพชร!J393"")"),0)</f>
        <v>0</v>
      </c>
      <c r="K498" s="163">
        <f t="shared" ca="1" si="117"/>
        <v>0</v>
      </c>
      <c r="L498" s="181"/>
      <c r="M498" s="181"/>
      <c r="N498" s="181"/>
      <c r="O498" s="181"/>
      <c r="P498" s="181"/>
    </row>
    <row r="499" spans="1:16" ht="21.75" customHeight="1" x14ac:dyDescent="0.3">
      <c r="A499" s="175"/>
      <c r="B499" s="176"/>
      <c r="C499" s="176"/>
      <c r="D499" s="193"/>
      <c r="E499" s="445"/>
      <c r="F499" s="445"/>
      <c r="G499" s="446"/>
      <c r="H499" s="447" t="s">
        <v>36</v>
      </c>
      <c r="I499" s="418">
        <f ca="1">IFERROR(__xludf.DUMMYFUNCTION("IMPORTRANGE(""https://docs.google.com/spreadsheets/d/11923uPwbBZFjjGgGUA6NLw09EwE0CqkOc4q9oUmW1yo/edit?usp=sharing"",""กำแพงเพชร!I394"")"),600)</f>
        <v>600</v>
      </c>
      <c r="J499" s="418">
        <f ca="1">IFERROR(__xludf.DUMMYFUNCTION("IMPORTRANGE(""https://docs.google.com/spreadsheets/d/11923uPwbBZFjjGgGUA6NLw09EwE0CqkOc4q9oUmW1yo/edit?usp=sharing"",""กำแพงเพชร!J394"")"),0)</f>
        <v>0</v>
      </c>
      <c r="K499" s="201">
        <f t="shared" ca="1" si="117"/>
        <v>0</v>
      </c>
      <c r="L499" s="181"/>
      <c r="M499" s="181"/>
      <c r="N499" s="181"/>
      <c r="O499" s="181"/>
      <c r="P499" s="181"/>
    </row>
    <row r="500" spans="1:16" ht="21.75" customHeight="1" x14ac:dyDescent="0.3">
      <c r="A500" s="175"/>
      <c r="B500" s="176"/>
      <c r="C500" s="176"/>
      <c r="D500" s="402"/>
      <c r="E500" s="402" t="s">
        <v>185</v>
      </c>
      <c r="F500" s="195"/>
      <c r="G500" s="196"/>
      <c r="H500" s="420" t="s">
        <v>122</v>
      </c>
      <c r="I500" s="202">
        <f ca="1">IFERROR(__xludf.DUMMYFUNCTION("IMPORTRANGE(""https://docs.google.com/spreadsheets/d/11923uPwbBZFjjGgGUA6NLw09EwE0CqkOc4q9oUmW1yo/edit?usp=sharing"",""กำแพงเพชร!I395"")"),0)</f>
        <v>0</v>
      </c>
      <c r="J500" s="162">
        <f ca="1">IFERROR(__xludf.DUMMYFUNCTION("IMPORTRANGE(""https://docs.google.com/spreadsheets/d/11923uPwbBZFjjGgGUA6NLw09EwE0CqkOc4q9oUmW1yo/edit?usp=sharing"",""กำแพงเพชร!J395"")"),0)</f>
        <v>0</v>
      </c>
      <c r="K500" s="163">
        <f t="shared" ca="1" si="117"/>
        <v>0</v>
      </c>
      <c r="L500" s="181"/>
      <c r="M500" s="181"/>
      <c r="N500" s="181"/>
      <c r="O500" s="181"/>
      <c r="P500" s="181"/>
    </row>
    <row r="501" spans="1:16" ht="21.75" customHeight="1" x14ac:dyDescent="0.3">
      <c r="A501" s="175"/>
      <c r="B501" s="176"/>
      <c r="C501" s="176"/>
      <c r="D501" s="193"/>
      <c r="E501" s="195"/>
      <c r="F501" s="195"/>
      <c r="G501" s="196"/>
      <c r="H501" s="420" t="s">
        <v>36</v>
      </c>
      <c r="I501" s="202">
        <f ca="1">IFERROR(__xludf.DUMMYFUNCTION("IMPORTRANGE(""https://docs.google.com/spreadsheets/d/11923uPwbBZFjjGgGUA6NLw09EwE0CqkOc4q9oUmW1yo/edit?usp=sharing"",""กำแพงเพชร!I396"")"),0)</f>
        <v>0</v>
      </c>
      <c r="J501" s="162">
        <f ca="1">IFERROR(__xludf.DUMMYFUNCTION("IMPORTRANGE(""https://docs.google.com/spreadsheets/d/11923uPwbBZFjjGgGUA6NLw09EwE0CqkOc4q9oUmW1yo/edit?usp=sharing"",""กำแพงเพชร!J396"")"),0)</f>
        <v>0</v>
      </c>
      <c r="K501" s="163">
        <f t="shared" ca="1" si="117"/>
        <v>0</v>
      </c>
      <c r="L501" s="181"/>
      <c r="M501" s="181"/>
      <c r="N501" s="181"/>
      <c r="O501" s="181"/>
      <c r="P501" s="181"/>
    </row>
    <row r="502" spans="1:16" ht="21.75" customHeight="1" x14ac:dyDescent="0.3">
      <c r="A502" s="175"/>
      <c r="B502" s="176"/>
      <c r="C502" s="176"/>
      <c r="D502" s="193"/>
      <c r="E502" s="195"/>
      <c r="F502" s="397" t="s">
        <v>186</v>
      </c>
      <c r="G502" s="419"/>
      <c r="H502" s="420" t="s">
        <v>122</v>
      </c>
      <c r="I502" s="202">
        <f ca="1">IFERROR(__xludf.DUMMYFUNCTION("IMPORTRANGE(""https://docs.google.com/spreadsheets/d/11923uPwbBZFjjGgGUA6NLw09EwE0CqkOc4q9oUmW1yo/edit?usp=sharing"",""กำแพงเพชร!I397"")"),0)</f>
        <v>0</v>
      </c>
      <c r="J502" s="188">
        <f ca="1">IFERROR(__xludf.DUMMYFUNCTION("IMPORTRANGE(""https://docs.google.com/spreadsheets/d/11923uPwbBZFjjGgGUA6NLw09EwE0CqkOc4q9oUmW1yo/edit?usp=sharing"",""กำแพงเพชร!J397"")"),0)</f>
        <v>0</v>
      </c>
      <c r="K502" s="163">
        <f t="shared" ca="1" si="117"/>
        <v>0</v>
      </c>
      <c r="L502" s="181"/>
      <c r="M502" s="181"/>
      <c r="N502" s="181"/>
      <c r="O502" s="181"/>
      <c r="P502" s="181"/>
    </row>
    <row r="503" spans="1:16" ht="21.75" customHeight="1" x14ac:dyDescent="0.3">
      <c r="A503" s="175"/>
      <c r="B503" s="176"/>
      <c r="C503" s="176"/>
      <c r="D503" s="193"/>
      <c r="E503" s="195"/>
      <c r="F503" s="195"/>
      <c r="G503" s="419"/>
      <c r="H503" s="420" t="s">
        <v>36</v>
      </c>
      <c r="I503" s="187">
        <f ca="1">IFERROR(__xludf.DUMMYFUNCTION("IMPORTRANGE(""https://docs.google.com/spreadsheets/d/11923uPwbBZFjjGgGUA6NLw09EwE0CqkOc4q9oUmW1yo/edit?usp=sharing"",""กำแพงเพชร!I398"")"),0)</f>
        <v>0</v>
      </c>
      <c r="J503" s="197">
        <f ca="1">IFERROR(__xludf.DUMMYFUNCTION("IMPORTRANGE(""https://docs.google.com/spreadsheets/d/11923uPwbBZFjjGgGUA6NLw09EwE0CqkOc4q9oUmW1yo/edit?usp=sharing"",""กำแพงเพชร!J398"")"),0)</f>
        <v>0</v>
      </c>
      <c r="K503" s="163">
        <f t="shared" ca="1" si="117"/>
        <v>0</v>
      </c>
      <c r="L503" s="181"/>
      <c r="M503" s="181"/>
      <c r="N503" s="181"/>
      <c r="O503" s="181"/>
      <c r="P503" s="181"/>
    </row>
    <row r="504" spans="1:16" ht="21.75" customHeight="1" x14ac:dyDescent="0.3">
      <c r="A504" s="175"/>
      <c r="B504" s="176"/>
      <c r="C504" s="176"/>
      <c r="D504" s="193"/>
      <c r="E504" s="195"/>
      <c r="F504" s="388" t="s">
        <v>187</v>
      </c>
      <c r="G504" s="419"/>
      <c r="H504" s="420" t="s">
        <v>122</v>
      </c>
      <c r="I504" s="203">
        <f ca="1">IFERROR(__xludf.DUMMYFUNCTION("IMPORTRANGE(""https://docs.google.com/spreadsheets/d/11923uPwbBZFjjGgGUA6NLw09EwE0CqkOc4q9oUmW1yo/edit?usp=sharing"",""กำแพงเพชร!I399"")"),0)</f>
        <v>0</v>
      </c>
      <c r="J504" s="188">
        <f ca="1">IFERROR(__xludf.DUMMYFUNCTION("IMPORTRANGE(""https://docs.google.com/spreadsheets/d/11923uPwbBZFjjGgGUA6NLw09EwE0CqkOc4q9oUmW1yo/edit?usp=sharing"",""กำแพงเพชร!J399"")"),0)</f>
        <v>0</v>
      </c>
      <c r="K504" s="163">
        <f t="shared" ca="1" si="117"/>
        <v>0</v>
      </c>
      <c r="L504" s="181"/>
      <c r="M504" s="181"/>
      <c r="N504" s="181"/>
      <c r="O504" s="181"/>
      <c r="P504" s="181"/>
    </row>
    <row r="505" spans="1:16" ht="21.75" customHeight="1" x14ac:dyDescent="0.3">
      <c r="A505" s="175"/>
      <c r="B505" s="176"/>
      <c r="C505" s="176"/>
      <c r="D505" s="193"/>
      <c r="E505" s="195"/>
      <c r="F505" s="195"/>
      <c r="G505" s="419"/>
      <c r="H505" s="420" t="s">
        <v>36</v>
      </c>
      <c r="I505" s="187">
        <f ca="1">IFERROR(__xludf.DUMMYFUNCTION("IMPORTRANGE(""https://docs.google.com/spreadsheets/d/11923uPwbBZFjjGgGUA6NLw09EwE0CqkOc4q9oUmW1yo/edit?usp=sharing"",""กำแพงเพชร!I400"")"),0)</f>
        <v>0</v>
      </c>
      <c r="J505" s="197">
        <f ca="1">IFERROR(__xludf.DUMMYFUNCTION("IMPORTRANGE(""https://docs.google.com/spreadsheets/d/11923uPwbBZFjjGgGUA6NLw09EwE0CqkOc4q9oUmW1yo/edit?usp=sharing"",""กำแพงเพชร!J400"")"),0)</f>
        <v>0</v>
      </c>
      <c r="K505" s="163">
        <f t="shared" ca="1" si="117"/>
        <v>0</v>
      </c>
      <c r="L505" s="181"/>
      <c r="M505" s="181"/>
      <c r="N505" s="181"/>
      <c r="O505" s="181"/>
      <c r="P505" s="181"/>
    </row>
    <row r="506" spans="1:16" ht="21.75" customHeight="1" x14ac:dyDescent="0.3">
      <c r="A506" s="175"/>
      <c r="B506" s="176"/>
      <c r="C506" s="176"/>
      <c r="D506" s="193"/>
      <c r="E506" s="195"/>
      <c r="F506" s="397" t="s">
        <v>188</v>
      </c>
      <c r="G506" s="419"/>
      <c r="H506" s="420" t="s">
        <v>122</v>
      </c>
      <c r="I506" s="203">
        <f ca="1">IFERROR(__xludf.DUMMYFUNCTION("IMPORTRANGE(""https://docs.google.com/spreadsheets/d/11923uPwbBZFjjGgGUA6NLw09EwE0CqkOc4q9oUmW1yo/edit?usp=sharing"",""กำแพงเพชร!I401"")"),0)</f>
        <v>0</v>
      </c>
      <c r="J506" s="188">
        <f ca="1">IFERROR(__xludf.DUMMYFUNCTION("IMPORTRANGE(""https://docs.google.com/spreadsheets/d/11923uPwbBZFjjGgGUA6NLw09EwE0CqkOc4q9oUmW1yo/edit?usp=sharing"",""กำแพงเพชร!J401"")"),0)</f>
        <v>0</v>
      </c>
      <c r="K506" s="163">
        <f t="shared" ca="1" si="117"/>
        <v>0</v>
      </c>
      <c r="L506" s="181"/>
      <c r="M506" s="181"/>
      <c r="N506" s="181"/>
      <c r="O506" s="181"/>
      <c r="P506" s="181"/>
    </row>
    <row r="507" spans="1:16" ht="21.75" customHeight="1" x14ac:dyDescent="0.3">
      <c r="A507" s="175"/>
      <c r="B507" s="176"/>
      <c r="C507" s="176"/>
      <c r="D507" s="193"/>
      <c r="E507" s="195"/>
      <c r="F507" s="195"/>
      <c r="G507" s="195"/>
      <c r="H507" s="420" t="s">
        <v>36</v>
      </c>
      <c r="I507" s="187">
        <f ca="1">IFERROR(__xludf.DUMMYFUNCTION("IMPORTRANGE(""https://docs.google.com/spreadsheets/d/11923uPwbBZFjjGgGUA6NLw09EwE0CqkOc4q9oUmW1yo/edit?usp=sharing"",""กำแพงเพชร!I402"")"),0)</f>
        <v>0</v>
      </c>
      <c r="J507" s="197">
        <f ca="1">IFERROR(__xludf.DUMMYFUNCTION("IMPORTRANGE(""https://docs.google.com/spreadsheets/d/11923uPwbBZFjjGgGUA6NLw09EwE0CqkOc4q9oUmW1yo/edit?usp=sharing"",""กำแพงเพชร!J402"")"),0)</f>
        <v>0</v>
      </c>
      <c r="K507" s="163">
        <f t="shared" ca="1" si="117"/>
        <v>0</v>
      </c>
      <c r="L507" s="181"/>
      <c r="M507" s="181"/>
      <c r="N507" s="181"/>
      <c r="O507" s="181"/>
      <c r="P507" s="181"/>
    </row>
    <row r="508" spans="1:16" ht="21.75" customHeight="1" x14ac:dyDescent="0.3">
      <c r="A508" s="175"/>
      <c r="B508" s="176"/>
      <c r="C508" s="176"/>
      <c r="D508" s="193"/>
      <c r="E508" s="194" t="s">
        <v>189</v>
      </c>
      <c r="F508" s="195"/>
      <c r="G508" s="419"/>
      <c r="H508" s="420" t="s">
        <v>122</v>
      </c>
      <c r="I508" s="187">
        <f ca="1">IFERROR(__xludf.DUMMYFUNCTION("IMPORTRANGE(""https://docs.google.com/spreadsheets/d/11923uPwbBZFjjGgGUA6NLw09EwE0CqkOc4q9oUmW1yo/edit?usp=sharing"",""กำแพงเพชร!I403"")"),0)</f>
        <v>0</v>
      </c>
      <c r="J508" s="162">
        <f ca="1">IFERROR(__xludf.DUMMYFUNCTION("IMPORTRANGE(""https://docs.google.com/spreadsheets/d/11923uPwbBZFjjGgGUA6NLw09EwE0CqkOc4q9oUmW1yo/edit?usp=sharing"",""กำแพงเพชร!J403"")"),0)</f>
        <v>0</v>
      </c>
      <c r="K508" s="163">
        <f t="shared" ca="1" si="117"/>
        <v>0</v>
      </c>
      <c r="L508" s="181"/>
      <c r="M508" s="181"/>
      <c r="N508" s="181"/>
      <c r="O508" s="181"/>
      <c r="P508" s="181"/>
    </row>
    <row r="509" spans="1:16" ht="21.75" customHeight="1" x14ac:dyDescent="0.3">
      <c r="A509" s="175"/>
      <c r="B509" s="176"/>
      <c r="C509" s="176"/>
      <c r="D509" s="193"/>
      <c r="E509" s="195"/>
      <c r="F509" s="195"/>
      <c r="G509" s="195"/>
      <c r="H509" s="420" t="s">
        <v>36</v>
      </c>
      <c r="I509" s="187">
        <f ca="1">IFERROR(__xludf.DUMMYFUNCTION("IMPORTRANGE(""https://docs.google.com/spreadsheets/d/11923uPwbBZFjjGgGUA6NLw09EwE0CqkOc4q9oUmW1yo/edit?usp=sharing"",""กำแพงเพชร!I404"")"),0)</f>
        <v>0</v>
      </c>
      <c r="J509" s="162">
        <f ca="1">IFERROR(__xludf.DUMMYFUNCTION("IMPORTRANGE(""https://docs.google.com/spreadsheets/d/11923uPwbBZFjjGgGUA6NLw09EwE0CqkOc4q9oUmW1yo/edit?usp=sharing"",""กำแพงเพชร!J404"")"),0)</f>
        <v>0</v>
      </c>
      <c r="K509" s="163">
        <f t="shared" ca="1" si="117"/>
        <v>0</v>
      </c>
      <c r="L509" s="181"/>
      <c r="M509" s="181"/>
      <c r="N509" s="181"/>
      <c r="O509" s="181"/>
      <c r="P509" s="181"/>
    </row>
    <row r="510" spans="1:16" ht="21.75" customHeight="1" x14ac:dyDescent="0.3">
      <c r="A510" s="175"/>
      <c r="B510" s="176"/>
      <c r="C510" s="176"/>
      <c r="D510" s="193"/>
      <c r="E510" s="195"/>
      <c r="F510" s="194" t="s">
        <v>190</v>
      </c>
      <c r="G510" s="195"/>
      <c r="H510" s="420" t="s">
        <v>122</v>
      </c>
      <c r="I510" s="187">
        <f ca="1">IFERROR(__xludf.DUMMYFUNCTION("IMPORTRANGE(""https://docs.google.com/spreadsheets/d/11923uPwbBZFjjGgGUA6NLw09EwE0CqkOc4q9oUmW1yo/edit?usp=sharing"",""กำแพงเพชร!I405"")"),0)</f>
        <v>0</v>
      </c>
      <c r="J510" s="197">
        <f ca="1">IFERROR(__xludf.DUMMYFUNCTION("IMPORTRANGE(""https://docs.google.com/spreadsheets/d/11923uPwbBZFjjGgGUA6NLw09EwE0CqkOc4q9oUmW1yo/edit?usp=sharing"",""กำแพงเพชร!J405"")"),0)</f>
        <v>0</v>
      </c>
      <c r="K510" s="163">
        <f t="shared" ca="1" si="117"/>
        <v>0</v>
      </c>
      <c r="L510" s="181"/>
      <c r="M510" s="181"/>
      <c r="N510" s="181"/>
      <c r="O510" s="181"/>
      <c r="P510" s="181"/>
    </row>
    <row r="511" spans="1:16" ht="21.75" customHeight="1" x14ac:dyDescent="0.3">
      <c r="A511" s="175"/>
      <c r="B511" s="176"/>
      <c r="C511" s="176"/>
      <c r="D511" s="193"/>
      <c r="E511" s="195"/>
      <c r="F511" s="195"/>
      <c r="G511" s="195"/>
      <c r="H511" s="420" t="s">
        <v>36</v>
      </c>
      <c r="I511" s="187">
        <f ca="1">IFERROR(__xludf.DUMMYFUNCTION("IMPORTRANGE(""https://docs.google.com/spreadsheets/d/11923uPwbBZFjjGgGUA6NLw09EwE0CqkOc4q9oUmW1yo/edit?usp=sharing"",""กำแพงเพชร!I406"")"),0)</f>
        <v>0</v>
      </c>
      <c r="J511" s="197">
        <f ca="1">IFERROR(__xludf.DUMMYFUNCTION("IMPORTRANGE(""https://docs.google.com/spreadsheets/d/11923uPwbBZFjjGgGUA6NLw09EwE0CqkOc4q9oUmW1yo/edit?usp=sharing"",""กำแพงเพชร!J406"")"),0)</f>
        <v>0</v>
      </c>
      <c r="K511" s="163">
        <f t="shared" ca="1" si="117"/>
        <v>0</v>
      </c>
      <c r="L511" s="181"/>
      <c r="M511" s="181"/>
      <c r="N511" s="181"/>
      <c r="O511" s="181"/>
      <c r="P511" s="181"/>
    </row>
    <row r="512" spans="1:16" ht="21.75" customHeight="1" x14ac:dyDescent="0.3">
      <c r="A512" s="175"/>
      <c r="B512" s="176"/>
      <c r="C512" s="176"/>
      <c r="D512" s="193"/>
      <c r="E512" s="195"/>
      <c r="F512" s="194" t="s">
        <v>191</v>
      </c>
      <c r="G512" s="195"/>
      <c r="H512" s="420" t="s">
        <v>122</v>
      </c>
      <c r="I512" s="187">
        <f ca="1">IFERROR(__xludf.DUMMYFUNCTION("IMPORTRANGE(""https://docs.google.com/spreadsheets/d/11923uPwbBZFjjGgGUA6NLw09EwE0CqkOc4q9oUmW1yo/edit?usp=sharing"",""กำแพงเพชร!I407"")"),0)</f>
        <v>0</v>
      </c>
      <c r="J512" s="197">
        <f ca="1">IFERROR(__xludf.DUMMYFUNCTION("IMPORTRANGE(""https://docs.google.com/spreadsheets/d/11923uPwbBZFjjGgGUA6NLw09EwE0CqkOc4q9oUmW1yo/edit?usp=sharing"",""กำแพงเพชร!J407"")"),0)</f>
        <v>0</v>
      </c>
      <c r="K512" s="163">
        <f t="shared" ca="1" si="117"/>
        <v>0</v>
      </c>
      <c r="L512" s="181"/>
      <c r="M512" s="181"/>
      <c r="N512" s="181"/>
      <c r="O512" s="181"/>
      <c r="P512" s="181"/>
    </row>
    <row r="513" spans="1:16" ht="21.75" customHeight="1" x14ac:dyDescent="0.3">
      <c r="A513" s="175"/>
      <c r="B513" s="176"/>
      <c r="C513" s="176"/>
      <c r="D513" s="193"/>
      <c r="E513" s="195"/>
      <c r="F513" s="195"/>
      <c r="G513" s="196"/>
      <c r="H513" s="420" t="s">
        <v>36</v>
      </c>
      <c r="I513" s="187">
        <f ca="1">IFERROR(__xludf.DUMMYFUNCTION("IMPORTRANGE(""https://docs.google.com/spreadsheets/d/11923uPwbBZFjjGgGUA6NLw09EwE0CqkOc4q9oUmW1yo/edit?usp=sharing"",""กำแพงเพชร!I408"")"),0)</f>
        <v>0</v>
      </c>
      <c r="J513" s="197">
        <f ca="1">IFERROR(__xludf.DUMMYFUNCTION("IMPORTRANGE(""https://docs.google.com/spreadsheets/d/11923uPwbBZFjjGgGUA6NLw09EwE0CqkOc4q9oUmW1yo/edit?usp=sharing"",""กำแพงเพชร!J408"")"),0)</f>
        <v>0</v>
      </c>
      <c r="K513" s="163">
        <f t="shared" ca="1" si="117"/>
        <v>0</v>
      </c>
      <c r="L513" s="181"/>
      <c r="M513" s="181"/>
      <c r="N513" s="181"/>
      <c r="O513" s="181"/>
      <c r="P513" s="181"/>
    </row>
    <row r="514" spans="1:16" ht="21.75" customHeight="1" x14ac:dyDescent="0.3">
      <c r="A514" s="175"/>
      <c r="B514" s="176"/>
      <c r="C514" s="176"/>
      <c r="D514" s="402"/>
      <c r="E514" s="448" t="s">
        <v>192</v>
      </c>
      <c r="F514" s="195"/>
      <c r="G514" s="196"/>
      <c r="H514" s="420" t="s">
        <v>122</v>
      </c>
      <c r="I514" s="187">
        <f ca="1">IFERROR(__xludf.DUMMYFUNCTION("IMPORTRANGE(""https://docs.google.com/spreadsheets/d/11923uPwbBZFjjGgGUA6NLw09EwE0CqkOc4q9oUmW1yo/edit?usp=sharing"",""กำแพงเพชร!I409"")"),0)</f>
        <v>0</v>
      </c>
      <c r="J514" s="197">
        <f ca="1">IFERROR(__xludf.DUMMYFUNCTION("IMPORTRANGE(""https://docs.google.com/spreadsheets/d/11923uPwbBZFjjGgGUA6NLw09EwE0CqkOc4q9oUmW1yo/edit?usp=sharing"",""กำแพงเพชร!J409"")"),0)</f>
        <v>0</v>
      </c>
      <c r="K514" s="163">
        <f t="shared" ca="1" si="117"/>
        <v>0</v>
      </c>
      <c r="L514" s="181"/>
      <c r="M514" s="181"/>
      <c r="N514" s="181"/>
      <c r="O514" s="181"/>
      <c r="P514" s="181"/>
    </row>
    <row r="515" spans="1:16" ht="21.75" customHeight="1" x14ac:dyDescent="0.3">
      <c r="A515" s="175"/>
      <c r="B515" s="176"/>
      <c r="C515" s="176"/>
      <c r="D515" s="193"/>
      <c r="E515" s="195"/>
      <c r="F515" s="195"/>
      <c r="G515" s="196"/>
      <c r="H515" s="420" t="s">
        <v>36</v>
      </c>
      <c r="I515" s="187">
        <f ca="1">IFERROR(__xludf.DUMMYFUNCTION("IMPORTRANGE(""https://docs.google.com/spreadsheets/d/11923uPwbBZFjjGgGUA6NLw09EwE0CqkOc4q9oUmW1yo/edit?usp=sharing"",""กำแพงเพชร!I410"")"),0)</f>
        <v>0</v>
      </c>
      <c r="J515" s="197">
        <f ca="1">IFERROR(__xludf.DUMMYFUNCTION("IMPORTRANGE(""https://docs.google.com/spreadsheets/d/11923uPwbBZFjjGgGUA6NLw09EwE0CqkOc4q9oUmW1yo/edit?usp=sharing"",""กำแพงเพชร!J410"")"),0)</f>
        <v>0</v>
      </c>
      <c r="K515" s="163">
        <f t="shared" ca="1" si="117"/>
        <v>0</v>
      </c>
      <c r="L515" s="181"/>
      <c r="M515" s="181"/>
      <c r="N515" s="181"/>
      <c r="O515" s="181"/>
      <c r="P515" s="181"/>
    </row>
    <row r="516" spans="1:16" ht="21.75" customHeight="1" x14ac:dyDescent="0.3">
      <c r="A516" s="175"/>
      <c r="B516" s="176"/>
      <c r="C516" s="413" t="s">
        <v>193</v>
      </c>
      <c r="D516" s="413"/>
      <c r="E516" s="449"/>
      <c r="F516" s="449"/>
      <c r="G516" s="450"/>
      <c r="H516" s="451" t="s">
        <v>122</v>
      </c>
      <c r="I516" s="266">
        <f ca="1">IFERROR(__xludf.DUMMYFUNCTION("IMPORTRANGE(""https://docs.google.com/spreadsheets/d/11923uPwbBZFjjGgGUA6NLw09EwE0CqkOc4q9oUmW1yo/edit?usp=sharing"",""กำแพงเพชร!I411"")"),0)</f>
        <v>0</v>
      </c>
      <c r="J516" s="266">
        <f ca="1">IFERROR(__xludf.DUMMYFUNCTION("IMPORTRANGE(""https://docs.google.com/spreadsheets/d/11923uPwbBZFjjGgGUA6NLw09EwE0CqkOc4q9oUmW1yo/edit?usp=sharing"",""กำแพงเพชร!J411"")"),0)</f>
        <v>0</v>
      </c>
      <c r="K516" s="267">
        <v>0</v>
      </c>
      <c r="L516" s="181"/>
      <c r="M516" s="181"/>
      <c r="N516" s="181"/>
      <c r="O516" s="181"/>
      <c r="P516" s="181"/>
    </row>
    <row r="517" spans="1:16" ht="21.75" customHeight="1" x14ac:dyDescent="0.3">
      <c r="A517" s="175"/>
      <c r="B517" s="176"/>
      <c r="C517" s="452"/>
      <c r="D517" s="452"/>
      <c r="E517" s="452" t="s">
        <v>194</v>
      </c>
      <c r="F517" s="453"/>
      <c r="G517" s="454"/>
      <c r="H517" s="455" t="s">
        <v>122</v>
      </c>
      <c r="I517" s="282">
        <f ca="1">IFERROR(__xludf.DUMMYFUNCTION("IMPORTRANGE(""https://docs.google.com/spreadsheets/d/11923uPwbBZFjjGgGUA6NLw09EwE0CqkOc4q9oUmW1yo/edit?usp=sharing"",""กำแพงเพชร!I412"")"),0)</f>
        <v>0</v>
      </c>
      <c r="J517" s="282">
        <f ca="1">IFERROR(__xludf.DUMMYFUNCTION("IMPORTRANGE(""https://docs.google.com/spreadsheets/d/11923uPwbBZFjjGgGUA6NLw09EwE0CqkOc4q9oUmW1yo/edit?usp=sharing"",""กำแพงเพชร!J412"")"),0)</f>
        <v>0</v>
      </c>
      <c r="K517" s="283">
        <v>0</v>
      </c>
      <c r="L517" s="181"/>
      <c r="M517" s="181"/>
      <c r="N517" s="181"/>
      <c r="O517" s="181"/>
      <c r="P517" s="181"/>
    </row>
    <row r="518" spans="1:16" ht="21.75" customHeight="1" x14ac:dyDescent="0.3">
      <c r="A518" s="175"/>
      <c r="B518" s="176"/>
      <c r="C518" s="452"/>
      <c r="D518" s="452"/>
      <c r="E518" s="452" t="s">
        <v>195</v>
      </c>
      <c r="F518" s="453"/>
      <c r="G518" s="454"/>
      <c r="H518" s="455" t="s">
        <v>36</v>
      </c>
      <c r="I518" s="282">
        <f ca="1">IFERROR(__xludf.DUMMYFUNCTION("IMPORTRANGE(""https://docs.google.com/spreadsheets/d/11923uPwbBZFjjGgGUA6NLw09EwE0CqkOc4q9oUmW1yo/edit?usp=sharing"",""กำแพงเพชร!I413"")"),0)</f>
        <v>0</v>
      </c>
      <c r="J518" s="282">
        <f ca="1">IFERROR(__xludf.DUMMYFUNCTION("IMPORTRANGE(""https://docs.google.com/spreadsheets/d/11923uPwbBZFjjGgGUA6NLw09EwE0CqkOc4q9oUmW1yo/edit?usp=sharing"",""กำแพงเพชร!J413"")"),0)</f>
        <v>0</v>
      </c>
      <c r="K518" s="283">
        <v>0</v>
      </c>
      <c r="L518" s="181"/>
      <c r="M518" s="181"/>
      <c r="N518" s="181"/>
      <c r="O518" s="181"/>
      <c r="P518" s="181"/>
    </row>
    <row r="519" spans="1:16" ht="21.75" customHeight="1" x14ac:dyDescent="0.3">
      <c r="A519" s="175"/>
      <c r="B519" s="176"/>
      <c r="C519" s="176"/>
      <c r="D519" s="193"/>
      <c r="E519" s="195"/>
      <c r="F519" s="195"/>
      <c r="G519" s="225" t="s">
        <v>196</v>
      </c>
      <c r="H519" s="420" t="s">
        <v>122</v>
      </c>
      <c r="I519" s="187">
        <f ca="1">IFERROR(__xludf.DUMMYFUNCTION("IMPORTRANGE(""https://docs.google.com/spreadsheets/d/11923uPwbBZFjjGgGUA6NLw09EwE0CqkOc4q9oUmW1yo/edit?usp=sharing"",""กำแพงเพชร!I414"")"),0)</f>
        <v>0</v>
      </c>
      <c r="J519" s="187">
        <f ca="1">IFERROR(__xludf.DUMMYFUNCTION("IMPORTRANGE(""https://docs.google.com/spreadsheets/d/11923uPwbBZFjjGgGUA6NLw09EwE0CqkOc4q9oUmW1yo/edit?usp=sharing"",""กำแพงเพชร!J414"")"),0)</f>
        <v>0</v>
      </c>
      <c r="K519" s="163">
        <v>0</v>
      </c>
      <c r="L519" s="181"/>
      <c r="M519" s="181"/>
      <c r="N519" s="181"/>
      <c r="O519" s="181"/>
      <c r="P519" s="181"/>
    </row>
    <row r="520" spans="1:16" ht="21.75" customHeight="1" x14ac:dyDescent="0.3">
      <c r="A520" s="175"/>
      <c r="B520" s="176"/>
      <c r="C520" s="176"/>
      <c r="D520" s="193"/>
      <c r="E520" s="195"/>
      <c r="F520" s="195"/>
      <c r="G520" s="196"/>
      <c r="H520" s="420" t="s">
        <v>36</v>
      </c>
      <c r="I520" s="187">
        <f ca="1">IFERROR(__xludf.DUMMYFUNCTION("IMPORTRANGE(""https://docs.google.com/spreadsheets/d/11923uPwbBZFjjGgGUA6NLw09EwE0CqkOc4q9oUmW1yo/edit?usp=sharing"",""กำแพงเพชร!I415"")"),0)</f>
        <v>0</v>
      </c>
      <c r="J520" s="187">
        <f ca="1">IFERROR(__xludf.DUMMYFUNCTION("IMPORTRANGE(""https://docs.google.com/spreadsheets/d/11923uPwbBZFjjGgGUA6NLw09EwE0CqkOc4q9oUmW1yo/edit?usp=sharing"",""กำแพงเพชร!J415"")"),0)</f>
        <v>0</v>
      </c>
      <c r="K520" s="163">
        <v>0</v>
      </c>
      <c r="L520" s="181"/>
      <c r="M520" s="181"/>
      <c r="N520" s="181"/>
      <c r="O520" s="181"/>
      <c r="P520" s="181"/>
    </row>
    <row r="521" spans="1:16" ht="21.75" customHeight="1" x14ac:dyDescent="0.3">
      <c r="A521" s="175"/>
      <c r="B521" s="176"/>
      <c r="C521" s="176"/>
      <c r="D521" s="193"/>
      <c r="E521" s="195"/>
      <c r="F521" s="195"/>
      <c r="G521" s="225" t="s">
        <v>197</v>
      </c>
      <c r="H521" s="420" t="s">
        <v>122</v>
      </c>
      <c r="I521" s="187">
        <f ca="1">IFERROR(__xludf.DUMMYFUNCTION("IMPORTRANGE(""https://docs.google.com/spreadsheets/d/11923uPwbBZFjjGgGUA6NLw09EwE0CqkOc4q9oUmW1yo/edit?usp=sharing"",""กำแพงเพชร!I416"")"),0)</f>
        <v>0</v>
      </c>
      <c r="J521" s="187">
        <f ca="1">IFERROR(__xludf.DUMMYFUNCTION("IMPORTRANGE(""https://docs.google.com/spreadsheets/d/11923uPwbBZFjjGgGUA6NLw09EwE0CqkOc4q9oUmW1yo/edit?usp=sharing"",""กำแพงเพชร!J416"")"),0)</f>
        <v>0</v>
      </c>
      <c r="K521" s="163">
        <v>0</v>
      </c>
      <c r="L521" s="181"/>
      <c r="M521" s="181"/>
      <c r="N521" s="181"/>
      <c r="O521" s="181"/>
      <c r="P521" s="181"/>
    </row>
    <row r="522" spans="1:16" ht="21.75" customHeight="1" x14ac:dyDescent="0.3">
      <c r="A522" s="175"/>
      <c r="B522" s="176"/>
      <c r="C522" s="176"/>
      <c r="D522" s="193"/>
      <c r="E522" s="195"/>
      <c r="F522" s="195"/>
      <c r="G522" s="196"/>
      <c r="H522" s="420" t="s">
        <v>36</v>
      </c>
      <c r="I522" s="187">
        <f ca="1">IFERROR(__xludf.DUMMYFUNCTION("IMPORTRANGE(""https://docs.google.com/spreadsheets/d/11923uPwbBZFjjGgGUA6NLw09EwE0CqkOc4q9oUmW1yo/edit?usp=sharing"",""กำแพงเพชร!I417"")"),0)</f>
        <v>0</v>
      </c>
      <c r="J522" s="187">
        <f ca="1">IFERROR(__xludf.DUMMYFUNCTION("IMPORTRANGE(""https://docs.google.com/spreadsheets/d/11923uPwbBZFjjGgGUA6NLw09EwE0CqkOc4q9oUmW1yo/edit?usp=sharing"",""กำแพงเพชร!J417"")"),0)</f>
        <v>0</v>
      </c>
      <c r="K522" s="163">
        <v>0</v>
      </c>
      <c r="L522" s="181"/>
      <c r="M522" s="181"/>
      <c r="N522" s="181"/>
      <c r="O522" s="181"/>
      <c r="P522" s="181"/>
    </row>
    <row r="523" spans="1:16" ht="21.75" customHeight="1" x14ac:dyDescent="0.3">
      <c r="A523" s="175"/>
      <c r="B523" s="176"/>
      <c r="C523" s="176"/>
      <c r="D523" s="193"/>
      <c r="E523" s="195"/>
      <c r="F523" s="195"/>
      <c r="G523" s="456" t="s">
        <v>198</v>
      </c>
      <c r="H523" s="420" t="s">
        <v>122</v>
      </c>
      <c r="I523" s="187">
        <f ca="1">IFERROR(__xludf.DUMMYFUNCTION("IMPORTRANGE(""https://docs.google.com/spreadsheets/d/11923uPwbBZFjjGgGUA6NLw09EwE0CqkOc4q9oUmW1yo/edit?usp=sharing"",""กำแพงเพชร!I418"")"),0)</f>
        <v>0</v>
      </c>
      <c r="J523" s="187">
        <f ca="1">IFERROR(__xludf.DUMMYFUNCTION("IMPORTRANGE(""https://docs.google.com/spreadsheets/d/11923uPwbBZFjjGgGUA6NLw09EwE0CqkOc4q9oUmW1yo/edit?usp=sharing"",""กำแพงเพชร!J418"")"),2168)</f>
        <v>2168</v>
      </c>
      <c r="K523" s="163">
        <v>0</v>
      </c>
      <c r="L523" s="181"/>
      <c r="M523" s="181"/>
      <c r="N523" s="181"/>
      <c r="O523" s="181"/>
      <c r="P523" s="181"/>
    </row>
    <row r="524" spans="1:16" ht="21.75" customHeight="1" x14ac:dyDescent="0.3">
      <c r="A524" s="175"/>
      <c r="B524" s="176"/>
      <c r="C524" s="176"/>
      <c r="D524" s="193"/>
      <c r="E524" s="195"/>
      <c r="F524" s="195"/>
      <c r="G524" s="196"/>
      <c r="H524" s="420" t="s">
        <v>36</v>
      </c>
      <c r="I524" s="187">
        <f ca="1">IFERROR(__xludf.DUMMYFUNCTION("IMPORTRANGE(""https://docs.google.com/spreadsheets/d/11923uPwbBZFjjGgGUA6NLw09EwE0CqkOc4q9oUmW1yo/edit?usp=sharing"",""กำแพงเพชร!I419"")"),0)</f>
        <v>0</v>
      </c>
      <c r="J524" s="187">
        <f ca="1">IFERROR(__xludf.DUMMYFUNCTION("IMPORTRANGE(""https://docs.google.com/spreadsheets/d/11923uPwbBZFjjGgGUA6NLw09EwE0CqkOc4q9oUmW1yo/edit?usp=sharing"",""กำแพงเพชร!J419"")"),106)</f>
        <v>106</v>
      </c>
      <c r="K524" s="163">
        <v>0</v>
      </c>
      <c r="L524" s="181"/>
      <c r="M524" s="181"/>
      <c r="N524" s="181"/>
      <c r="O524" s="181"/>
      <c r="P524" s="181"/>
    </row>
    <row r="525" spans="1:16" ht="21.75" customHeight="1" x14ac:dyDescent="0.3">
      <c r="A525" s="175"/>
      <c r="B525" s="176"/>
      <c r="C525" s="452"/>
      <c r="D525" s="452"/>
      <c r="E525" s="452" t="s">
        <v>199</v>
      </c>
      <c r="F525" s="453"/>
      <c r="G525" s="454"/>
      <c r="H525" s="455" t="s">
        <v>122</v>
      </c>
      <c r="I525" s="282">
        <f ca="1">IFERROR(__xludf.DUMMYFUNCTION("IMPORTRANGE(""https://docs.google.com/spreadsheets/d/11923uPwbBZFjjGgGUA6NLw09EwE0CqkOc4q9oUmW1yo/edit?usp=sharing"",""กำแพงเพชร!I420"")"),2168)</f>
        <v>2168</v>
      </c>
      <c r="J525" s="282">
        <f ca="1">IFERROR(__xludf.DUMMYFUNCTION("IMPORTRANGE(""https://docs.google.com/spreadsheets/d/11923uPwbBZFjjGgGUA6NLw09EwE0CqkOc4q9oUmW1yo/edit?usp=sharing"",""กำแพงเพชร!J420"")"),0)</f>
        <v>0</v>
      </c>
      <c r="K525" s="283">
        <v>0</v>
      </c>
      <c r="L525" s="181"/>
      <c r="M525" s="181"/>
      <c r="N525" s="181"/>
      <c r="O525" s="181"/>
      <c r="P525" s="181"/>
    </row>
    <row r="526" spans="1:16" ht="21.75" customHeight="1" x14ac:dyDescent="0.3">
      <c r="A526" s="175"/>
      <c r="B526" s="176"/>
      <c r="C526" s="452"/>
      <c r="D526" s="452"/>
      <c r="E526" s="452" t="s">
        <v>200</v>
      </c>
      <c r="F526" s="453"/>
      <c r="G526" s="454"/>
      <c r="H526" s="455" t="s">
        <v>36</v>
      </c>
      <c r="I526" s="282">
        <f ca="1">IFERROR(__xludf.DUMMYFUNCTION("IMPORTRANGE(""https://docs.google.com/spreadsheets/d/11923uPwbBZFjjGgGUA6NLw09EwE0CqkOc4q9oUmW1yo/edit?usp=sharing"",""กำแพงเพชร!I421"")"),106)</f>
        <v>106</v>
      </c>
      <c r="J526" s="282">
        <f ca="1">IFERROR(__xludf.DUMMYFUNCTION("IMPORTRANGE(""https://docs.google.com/spreadsheets/d/11923uPwbBZFjjGgGUA6NLw09EwE0CqkOc4q9oUmW1yo/edit?usp=sharing"",""กำแพงเพชร!J421"")"),0)</f>
        <v>0</v>
      </c>
      <c r="K526" s="283">
        <v>0</v>
      </c>
      <c r="L526" s="181"/>
      <c r="M526" s="181"/>
      <c r="N526" s="181"/>
      <c r="O526" s="181"/>
      <c r="P526" s="181"/>
    </row>
    <row r="527" spans="1:16" ht="21.75" customHeight="1" x14ac:dyDescent="0.3">
      <c r="A527" s="175"/>
      <c r="B527" s="176"/>
      <c r="C527" s="176"/>
      <c r="D527" s="193"/>
      <c r="E527" s="195"/>
      <c r="F527" s="195"/>
      <c r="G527" s="225" t="s">
        <v>196</v>
      </c>
      <c r="H527" s="420" t="s">
        <v>122</v>
      </c>
      <c r="I527" s="187">
        <f ca="1">IFERROR(__xludf.DUMMYFUNCTION("IMPORTRANGE(""https://docs.google.com/spreadsheets/d/11923uPwbBZFjjGgGUA6NLw09EwE0CqkOc4q9oUmW1yo/edit?usp=sharing"",""กำแพงเพชร!I422"")"),0)</f>
        <v>0</v>
      </c>
      <c r="J527" s="197">
        <f ca="1">IFERROR(__xludf.DUMMYFUNCTION("IMPORTRANGE(""https://docs.google.com/spreadsheets/d/11923uPwbBZFjjGgGUA6NLw09EwE0CqkOc4q9oUmW1yo/edit?usp=sharing"",""กำแพงเพชร!J422"")"),0)</f>
        <v>0</v>
      </c>
      <c r="K527" s="163">
        <v>0</v>
      </c>
      <c r="L527" s="181"/>
      <c r="M527" s="181"/>
      <c r="N527" s="181"/>
      <c r="O527" s="181"/>
      <c r="P527" s="181"/>
    </row>
    <row r="528" spans="1:16" ht="21.75" customHeight="1" x14ac:dyDescent="0.3">
      <c r="A528" s="175"/>
      <c r="B528" s="176"/>
      <c r="C528" s="176"/>
      <c r="D528" s="193"/>
      <c r="E528" s="195"/>
      <c r="F528" s="195"/>
      <c r="G528" s="196"/>
      <c r="H528" s="420" t="s">
        <v>36</v>
      </c>
      <c r="I528" s="187">
        <f ca="1">IFERROR(__xludf.DUMMYFUNCTION("IMPORTRANGE(""https://docs.google.com/spreadsheets/d/11923uPwbBZFjjGgGUA6NLw09EwE0CqkOc4q9oUmW1yo/edit?usp=sharing"",""กำแพงเพชร!I423"")"),0)</f>
        <v>0</v>
      </c>
      <c r="J528" s="197">
        <f ca="1">IFERROR(__xludf.DUMMYFUNCTION("IMPORTRANGE(""https://docs.google.com/spreadsheets/d/11923uPwbBZFjjGgGUA6NLw09EwE0CqkOc4q9oUmW1yo/edit?usp=sharing"",""กำแพงเพชร!J423"")"),0)</f>
        <v>0</v>
      </c>
      <c r="K528" s="163">
        <v>0</v>
      </c>
      <c r="L528" s="181"/>
      <c r="M528" s="181"/>
      <c r="N528" s="181"/>
      <c r="O528" s="181"/>
      <c r="P528" s="181"/>
    </row>
    <row r="529" spans="1:16" ht="21.75" customHeight="1" x14ac:dyDescent="0.3">
      <c r="A529" s="175"/>
      <c r="B529" s="176"/>
      <c r="C529" s="176"/>
      <c r="D529" s="193"/>
      <c r="E529" s="195"/>
      <c r="F529" s="195"/>
      <c r="G529" s="225" t="s">
        <v>197</v>
      </c>
      <c r="H529" s="420" t="s">
        <v>122</v>
      </c>
      <c r="I529" s="187">
        <f ca="1">IFERROR(__xludf.DUMMYFUNCTION("IMPORTRANGE(""https://docs.google.com/spreadsheets/d/11923uPwbBZFjjGgGUA6NLw09EwE0CqkOc4q9oUmW1yo/edit?usp=sharing"",""กำแพงเพชร!I424"")"),0)</f>
        <v>0</v>
      </c>
      <c r="J529" s="197">
        <f ca="1">IFERROR(__xludf.DUMMYFUNCTION("IMPORTRANGE(""https://docs.google.com/spreadsheets/d/11923uPwbBZFjjGgGUA6NLw09EwE0CqkOc4q9oUmW1yo/edit?usp=sharing"",""กำแพงเพชร!J424"")"),0)</f>
        <v>0</v>
      </c>
      <c r="K529" s="163">
        <v>0</v>
      </c>
      <c r="L529" s="181"/>
      <c r="M529" s="181"/>
      <c r="N529" s="181"/>
      <c r="O529" s="181"/>
      <c r="P529" s="181"/>
    </row>
    <row r="530" spans="1:16" ht="21.75" customHeight="1" x14ac:dyDescent="0.3">
      <c r="A530" s="175"/>
      <c r="B530" s="176"/>
      <c r="C530" s="176"/>
      <c r="D530" s="193"/>
      <c r="E530" s="195"/>
      <c r="F530" s="195"/>
      <c r="G530" s="196"/>
      <c r="H530" s="420" t="s">
        <v>36</v>
      </c>
      <c r="I530" s="187">
        <f ca="1">IFERROR(__xludf.DUMMYFUNCTION("IMPORTRANGE(""https://docs.google.com/spreadsheets/d/11923uPwbBZFjjGgGUA6NLw09EwE0CqkOc4q9oUmW1yo/edit?usp=sharing"",""กำแพงเพชร!I425"")"),0)</f>
        <v>0</v>
      </c>
      <c r="J530" s="197">
        <f ca="1">IFERROR(__xludf.DUMMYFUNCTION("IMPORTRANGE(""https://docs.google.com/spreadsheets/d/11923uPwbBZFjjGgGUA6NLw09EwE0CqkOc4q9oUmW1yo/edit?usp=sharing"",""กำแพงเพชร!J425"")"),0)</f>
        <v>0</v>
      </c>
      <c r="K530" s="163">
        <v>0</v>
      </c>
      <c r="L530" s="181"/>
      <c r="M530" s="181"/>
      <c r="N530" s="181"/>
      <c r="O530" s="181"/>
      <c r="P530" s="181"/>
    </row>
    <row r="531" spans="1:16" ht="21.75" customHeight="1" x14ac:dyDescent="0.3">
      <c r="A531" s="175"/>
      <c r="B531" s="176"/>
      <c r="C531" s="176"/>
      <c r="D531" s="193"/>
      <c r="E531" s="195"/>
      <c r="F531" s="195"/>
      <c r="G531" s="225" t="s">
        <v>201</v>
      </c>
      <c r="H531" s="420" t="s">
        <v>122</v>
      </c>
      <c r="I531" s="187">
        <f ca="1">IFERROR(__xludf.DUMMYFUNCTION("IMPORTRANGE(""https://docs.google.com/spreadsheets/d/11923uPwbBZFjjGgGUA6NLw09EwE0CqkOc4q9oUmW1yo/edit?usp=sharing"",""กำแพงเพชร!I426"")"),0)</f>
        <v>0</v>
      </c>
      <c r="J531" s="197">
        <f ca="1">IFERROR(__xludf.DUMMYFUNCTION("IMPORTRANGE(""https://docs.google.com/spreadsheets/d/11923uPwbBZFjjGgGUA6NLw09EwE0CqkOc4q9oUmW1yo/edit?usp=sharing"",""กำแพงเพชร!J426"")"),0)</f>
        <v>0</v>
      </c>
      <c r="K531" s="163">
        <v>0</v>
      </c>
      <c r="L531" s="181"/>
      <c r="M531" s="181"/>
      <c r="N531" s="181"/>
      <c r="O531" s="181"/>
      <c r="P531" s="181"/>
    </row>
    <row r="532" spans="1:16" ht="21.75" customHeight="1" x14ac:dyDescent="0.3">
      <c r="A532" s="457"/>
      <c r="B532" s="458"/>
      <c r="C532" s="458"/>
      <c r="D532" s="459"/>
      <c r="E532" s="460"/>
      <c r="F532" s="460"/>
      <c r="G532" s="461"/>
      <c r="H532" s="462" t="s">
        <v>36</v>
      </c>
      <c r="I532" s="463">
        <f ca="1">IFERROR(__xludf.DUMMYFUNCTION("IMPORTRANGE(""https://docs.google.com/spreadsheets/d/11923uPwbBZFjjGgGUA6NLw09EwE0CqkOc4q9oUmW1yo/edit?usp=sharing"",""กำแพงเพชร!I427"")"),0)</f>
        <v>0</v>
      </c>
      <c r="J532" s="464">
        <f ca="1">IFERROR(__xludf.DUMMYFUNCTION("IMPORTRANGE(""https://docs.google.com/spreadsheets/d/11923uPwbBZFjjGgGUA6NLw09EwE0CqkOc4q9oUmW1yo/edit?usp=sharing"",""กำแพงเพชร!J427"")"),0)</f>
        <v>0</v>
      </c>
      <c r="K532" s="465">
        <v>0</v>
      </c>
      <c r="L532" s="466"/>
      <c r="M532" s="466"/>
      <c r="N532" s="466"/>
      <c r="O532" s="466"/>
      <c r="P532" s="466"/>
    </row>
    <row r="533" spans="1:16" ht="21.75" customHeight="1" x14ac:dyDescent="0.3">
      <c r="A533" s="403"/>
      <c r="B533" s="404">
        <v>6</v>
      </c>
      <c r="C533" s="405" t="s">
        <v>202</v>
      </c>
      <c r="D533" s="405"/>
      <c r="E533" s="405"/>
      <c r="F533" s="405"/>
      <c r="G533" s="406"/>
      <c r="H533" s="407" t="s">
        <v>37</v>
      </c>
      <c r="I533" s="408">
        <f ca="1">IFERROR(__xludf.DUMMYFUNCTION("IMPORTRANGE(""https://docs.google.com/spreadsheets/d/11923uPwbBZFjjGgGUA6NLw09EwE0CqkOc4q9oUmW1yo/edit?usp=sharing"",""กำแพงเพชร!I428"")"),22)</f>
        <v>22</v>
      </c>
      <c r="J533" s="408">
        <f ca="1">IFERROR(__xludf.DUMMYFUNCTION("IMPORTRANGE(""https://docs.google.com/spreadsheets/d/11923uPwbBZFjjGgGUA6NLw09EwE0CqkOc4q9oUmW1yo/edit?usp=sharing"",""กำแพงเพชร!J428"")"),22)</f>
        <v>22</v>
      </c>
      <c r="K533" s="409">
        <f ca="1">IF(I533&gt;0,J533*100/I533,0)</f>
        <v>100</v>
      </c>
      <c r="L533" s="410">
        <f ca="1">IFERROR(__xludf.DUMMYFUNCTION("IMPORTRANGE(""https://docs.google.com/spreadsheets/d/11923uPwbBZFjjGgGUA6NLw09EwE0CqkOc4q9oUmW1yo/edit?usp=sharing"",""กำแพงเพชร!L428"")"),34350)</f>
        <v>34350</v>
      </c>
      <c r="M533" s="410"/>
      <c r="N533" s="410">
        <f ca="1">IFERROR(__xludf.DUMMYFUNCTION("IMPORTRANGE(""https://docs.google.com/spreadsheets/d/11923uPwbBZFjjGgGUA6NLw09EwE0CqkOc4q9oUmW1yo/edit?usp=sharing"",""กำแพงเพชร!M428"")"),29825)</f>
        <v>29825</v>
      </c>
      <c r="O533" s="410">
        <f t="shared" ref="O533:O537" ca="1" si="118">+IF(L533&gt;0,N533*100/L533,0)</f>
        <v>86.826783114992722</v>
      </c>
      <c r="P533" s="410"/>
    </row>
    <row r="534" spans="1:16" ht="21.75" customHeight="1" x14ac:dyDescent="0.3">
      <c r="A534" s="156"/>
      <c r="B534" s="157"/>
      <c r="C534" s="157" t="s">
        <v>16</v>
      </c>
      <c r="D534" s="158" t="s">
        <v>38</v>
      </c>
      <c r="E534" s="159"/>
      <c r="F534" s="159"/>
      <c r="G534" s="160" t="s">
        <v>39</v>
      </c>
      <c r="H534" s="161" t="s">
        <v>12</v>
      </c>
      <c r="I534" s="162" t="s">
        <v>40</v>
      </c>
      <c r="J534" s="162"/>
      <c r="K534" s="163"/>
      <c r="L534" s="164">
        <f ca="1">IFERROR(__xludf.DUMMYFUNCTION("IMPORTRANGE(""https://docs.google.com/spreadsheets/d/11923uPwbBZFjjGgGUA6NLw09EwE0CqkOc4q9oUmW1yo/edit?usp=sharing"",""กำแพงเพชร!L429"")"),0)</f>
        <v>0</v>
      </c>
      <c r="M534" s="164"/>
      <c r="N534" s="168">
        <f ca="1">IFERROR(__xludf.DUMMYFUNCTION("IMPORTRANGE(""https://docs.google.com/spreadsheets/d/11923uPwbBZFjjGgGUA6NLw09EwE0CqkOc4q9oUmW1yo/edit?usp=sharing"",""กำแพงเพชร!M429"")"),0)</f>
        <v>0</v>
      </c>
      <c r="O534" s="168">
        <f t="shared" ca="1" si="118"/>
        <v>0</v>
      </c>
      <c r="P534" s="168"/>
    </row>
    <row r="535" spans="1:16" ht="21.75" customHeight="1" x14ac:dyDescent="0.3">
      <c r="A535" s="156"/>
      <c r="B535" s="157"/>
      <c r="C535" s="157"/>
      <c r="D535" s="166"/>
      <c r="E535" s="159"/>
      <c r="F535" s="159" t="s">
        <v>40</v>
      </c>
      <c r="G535" s="160" t="s">
        <v>41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IFERROR(__xludf.DUMMYFUNCTION("IMPORTRANGE(""https://docs.google.com/spreadsheets/d/11923uPwbBZFjjGgGUA6NLw09EwE0CqkOc4q9oUmW1yo/edit?usp=sharing"",""กำแพงเพชร!L430"")"),34350)</f>
        <v>34350</v>
      </c>
      <c r="M535" s="165"/>
      <c r="N535" s="168">
        <f ca="1">IFERROR(__xludf.DUMMYFUNCTION("IMPORTRANGE(""https://docs.google.com/spreadsheets/d/11923uPwbBZFjjGgGUA6NLw09EwE0CqkOc4q9oUmW1yo/edit?usp=sharing"",""กำแพงเพชร!M430"")"),29825)</f>
        <v>29825</v>
      </c>
      <c r="O535" s="168">
        <f t="shared" ca="1" si="118"/>
        <v>86.826783114992722</v>
      </c>
      <c r="P535" s="168"/>
    </row>
    <row r="536" spans="1:16" ht="21.75" customHeight="1" x14ac:dyDescent="0.3">
      <c r="A536" s="156"/>
      <c r="B536" s="157"/>
      <c r="C536" s="157"/>
      <c r="D536" s="166"/>
      <c r="E536" s="159"/>
      <c r="F536" s="159"/>
      <c r="G536" s="372" t="s">
        <v>129</v>
      </c>
      <c r="H536" s="161" t="s">
        <v>12</v>
      </c>
      <c r="I536" s="162"/>
      <c r="J536" s="162"/>
      <c r="K536" s="163"/>
      <c r="L536" s="168">
        <f ca="1">IFERROR(__xludf.DUMMYFUNCTION("IMPORTRANGE(""https://docs.google.com/spreadsheets/d/11923uPwbBZFjjGgGUA6NLw09EwE0CqkOc4q9oUmW1yo/edit?usp=sharing"",""กำแพงเพชร!L431"")"),0)</f>
        <v>0</v>
      </c>
      <c r="M536" s="168"/>
      <c r="N536" s="168">
        <f ca="1">IFERROR(__xludf.DUMMYFUNCTION("IMPORTRANGE(""https://docs.google.com/spreadsheets/d/11923uPwbBZFjjGgGUA6NLw09EwE0CqkOc4q9oUmW1yo/edit?usp=sharing"",""กำแพงเพชร!M431"")"),0)</f>
        <v>0</v>
      </c>
      <c r="O536" s="168">
        <f t="shared" ca="1" si="118"/>
        <v>0</v>
      </c>
      <c r="P536" s="168"/>
    </row>
    <row r="537" spans="1:16" ht="21.75" customHeight="1" x14ac:dyDescent="0.3">
      <c r="A537" s="156"/>
      <c r="B537" s="157"/>
      <c r="C537" s="157"/>
      <c r="D537" s="166"/>
      <c r="E537" s="159"/>
      <c r="F537" s="159"/>
      <c r="G537" s="372" t="s">
        <v>130</v>
      </c>
      <c r="H537" s="161" t="s">
        <v>12</v>
      </c>
      <c r="I537" s="162"/>
      <c r="J537" s="162"/>
      <c r="K537" s="163"/>
      <c r="L537" s="168">
        <f ca="1">IFERROR(__xludf.DUMMYFUNCTION("IMPORTRANGE(""https://docs.google.com/spreadsheets/d/11923uPwbBZFjjGgGUA6NLw09EwE0CqkOc4q9oUmW1yo/edit?usp=sharing"",""กำแพงเพชร!L432"")"),34350)</f>
        <v>34350</v>
      </c>
      <c r="M537" s="168"/>
      <c r="N537" s="168">
        <f ca="1">IFERROR(__xludf.DUMMYFUNCTION("IMPORTRANGE(""https://docs.google.com/spreadsheets/d/11923uPwbBZFjjGgGUA6NLw09EwE0CqkOc4q9oUmW1yo/edit?usp=sharing"",""กำแพงเพชร!M432"")"),29825)</f>
        <v>29825</v>
      </c>
      <c r="O537" s="168">
        <f t="shared" ca="1" si="118"/>
        <v>86.826783114992722</v>
      </c>
      <c r="P537" s="168"/>
    </row>
    <row r="538" spans="1:16" ht="21.75" customHeight="1" x14ac:dyDescent="0.3">
      <c r="A538" s="373"/>
      <c r="B538" s="374"/>
      <c r="C538" s="157"/>
      <c r="D538" s="375"/>
      <c r="E538" s="159"/>
      <c r="F538" s="159"/>
      <c r="G538" s="376" t="s">
        <v>131</v>
      </c>
      <c r="H538" s="161" t="s">
        <v>12</v>
      </c>
      <c r="I538" s="187"/>
      <c r="J538" s="187"/>
      <c r="K538" s="223"/>
      <c r="L538" s="168"/>
      <c r="M538" s="168"/>
      <c r="N538" s="377">
        <f ca="1">IFERROR(__xludf.DUMMYFUNCTION("IMPORTRANGE(""https://docs.google.com/spreadsheets/d/11923uPwbBZFjjGgGUA6NLw09EwE0CqkOc4q9oUmW1yo/edit?usp=sharing"",""กำแพงเพชร!M433"")"),20160)</f>
        <v>20160</v>
      </c>
      <c r="O538" s="168"/>
      <c r="P538" s="168"/>
    </row>
    <row r="539" spans="1:16" ht="21.75" customHeight="1" x14ac:dyDescent="0.3">
      <c r="A539" s="373"/>
      <c r="B539" s="374"/>
      <c r="C539" s="157"/>
      <c r="D539" s="375"/>
      <c r="E539" s="159"/>
      <c r="F539" s="159"/>
      <c r="G539" s="376" t="s">
        <v>132</v>
      </c>
      <c r="H539" s="161" t="s">
        <v>12</v>
      </c>
      <c r="I539" s="187"/>
      <c r="J539" s="187"/>
      <c r="K539" s="223"/>
      <c r="L539" s="168"/>
      <c r="M539" s="168"/>
      <c r="N539" s="377">
        <f ca="1">IFERROR(__xludf.DUMMYFUNCTION("IMPORTRANGE(""https://docs.google.com/spreadsheets/d/11923uPwbBZFjjGgGUA6NLw09EwE0CqkOc4q9oUmW1yo/edit?usp=sharing"",""กำแพงเพชร!M434"")"),0)</f>
        <v>0</v>
      </c>
      <c r="O539" s="168"/>
      <c r="P539" s="168"/>
    </row>
    <row r="540" spans="1:16" ht="21.75" customHeight="1" x14ac:dyDescent="0.3">
      <c r="A540" s="373"/>
      <c r="B540" s="374"/>
      <c r="C540" s="157"/>
      <c r="D540" s="375"/>
      <c r="E540" s="159"/>
      <c r="F540" s="159"/>
      <c r="G540" s="376" t="s">
        <v>133</v>
      </c>
      <c r="H540" s="161" t="s">
        <v>12</v>
      </c>
      <c r="I540" s="187"/>
      <c r="J540" s="187"/>
      <c r="K540" s="223"/>
      <c r="L540" s="168"/>
      <c r="M540" s="168"/>
      <c r="N540" s="377">
        <f ca="1">IFERROR(__xludf.DUMMYFUNCTION("IMPORTRANGE(""https://docs.google.com/spreadsheets/d/11923uPwbBZFjjGgGUA6NLw09EwE0CqkOc4q9oUmW1yo/edit?usp=sharing"",""กำแพงเพชร!M435"")"),0)</f>
        <v>0</v>
      </c>
      <c r="O540" s="168"/>
      <c r="P540" s="168"/>
    </row>
    <row r="541" spans="1:16" ht="21.75" customHeight="1" x14ac:dyDescent="0.3">
      <c r="A541" s="373"/>
      <c r="B541" s="374"/>
      <c r="C541" s="157"/>
      <c r="D541" s="375"/>
      <c r="E541" s="159"/>
      <c r="F541" s="159"/>
      <c r="G541" s="376" t="s">
        <v>134</v>
      </c>
      <c r="H541" s="161" t="s">
        <v>12</v>
      </c>
      <c r="I541" s="187"/>
      <c r="J541" s="187"/>
      <c r="K541" s="223"/>
      <c r="L541" s="168"/>
      <c r="M541" s="168"/>
      <c r="N541" s="377">
        <f ca="1">IFERROR(__xludf.DUMMYFUNCTION("IMPORTRANGE(""https://docs.google.com/spreadsheets/d/11923uPwbBZFjjGgGUA6NLw09EwE0CqkOc4q9oUmW1yo/edit?usp=sharing"",""กำแพงเพชร!M436"")"),9665)</f>
        <v>9665</v>
      </c>
      <c r="O541" s="168"/>
      <c r="P541" s="168"/>
    </row>
    <row r="542" spans="1:16" ht="21.75" customHeight="1" x14ac:dyDescent="0.3">
      <c r="A542" s="175"/>
      <c r="B542" s="176"/>
      <c r="C542" s="157" t="s">
        <v>16</v>
      </c>
      <c r="D542" s="177" t="s">
        <v>44</v>
      </c>
      <c r="E542" s="178"/>
      <c r="F542" s="178"/>
      <c r="G542" s="179"/>
      <c r="H542" s="180"/>
      <c r="I542" s="162"/>
      <c r="J542" s="162"/>
      <c r="K542" s="163"/>
      <c r="L542" s="181"/>
      <c r="M542" s="181"/>
      <c r="N542" s="181"/>
      <c r="O542" s="181"/>
      <c r="P542" s="181"/>
    </row>
    <row r="543" spans="1:16" ht="21.75" customHeight="1" x14ac:dyDescent="0.3">
      <c r="A543" s="175"/>
      <c r="B543" s="176"/>
      <c r="C543" s="176"/>
      <c r="D543" s="182">
        <v>1</v>
      </c>
      <c r="E543" s="183" t="s">
        <v>45</v>
      </c>
      <c r="F543" s="184"/>
      <c r="G543" s="185"/>
      <c r="H543" s="186"/>
      <c r="I543" s="187"/>
      <c r="J543" s="197">
        <f ca="1">IFERROR(__xludf.DUMMYFUNCTION("IMPORTRANGE(""https://docs.google.com/spreadsheets/d/11923uPwbBZFjjGgGUA6NLw09EwE0CqkOc4q9oUmW1yo/edit?usp=sharing"",""กำแพงเพชร!J438"")"),0)</f>
        <v>0</v>
      </c>
      <c r="K543" s="163"/>
      <c r="L543" s="181"/>
      <c r="M543" s="181"/>
      <c r="N543" s="181"/>
      <c r="O543" s="181"/>
      <c r="P543" s="181"/>
    </row>
    <row r="544" spans="1:16" ht="21.75" customHeight="1" x14ac:dyDescent="0.3">
      <c r="A544" s="175"/>
      <c r="B544" s="176"/>
      <c r="C544" s="176"/>
      <c r="D544" s="189">
        <v>2</v>
      </c>
      <c r="E544" s="190" t="s">
        <v>46</v>
      </c>
      <c r="F544" s="191"/>
      <c r="G544" s="192"/>
      <c r="H544" s="186"/>
      <c r="I544" s="187"/>
      <c r="J544" s="188">
        <f ca="1">IFERROR(__xludf.DUMMYFUNCTION("IMPORTRANGE(""https://docs.google.com/spreadsheets/d/11923uPwbBZFjjGgGUA6NLw09EwE0CqkOc4q9oUmW1yo/edit?usp=sharing"",""กำแพงเพชร!J439"")"),1)</f>
        <v>1</v>
      </c>
      <c r="K544" s="163"/>
      <c r="L544" s="181" t="s">
        <v>40</v>
      </c>
      <c r="M544" s="181"/>
      <c r="N544" s="181" t="s">
        <v>40</v>
      </c>
      <c r="O544" s="181"/>
      <c r="P544" s="181"/>
    </row>
    <row r="545" spans="1:16" ht="21.75" customHeight="1" x14ac:dyDescent="0.3">
      <c r="A545" s="175"/>
      <c r="B545" s="176"/>
      <c r="C545" s="176"/>
      <c r="D545" s="193"/>
      <c r="E545" s="194" t="s">
        <v>47</v>
      </c>
      <c r="F545" s="195"/>
      <c r="G545" s="196"/>
      <c r="H545" s="186"/>
      <c r="I545" s="187"/>
      <c r="J545" s="188">
        <f ca="1">IFERROR(__xludf.DUMMYFUNCTION("IMPORTRANGE(""https://docs.google.com/spreadsheets/d/11923uPwbBZFjjGgGUA6NLw09EwE0CqkOc4q9oUmW1yo/edit?usp=sharing"",""กำแพงเพชร!J440"")"),1)</f>
        <v>1</v>
      </c>
      <c r="K545" s="163"/>
      <c r="L545" s="181"/>
      <c r="M545" s="181"/>
      <c r="N545" s="181"/>
      <c r="O545" s="181"/>
      <c r="P545" s="181"/>
    </row>
    <row r="546" spans="1:16" ht="21.75" customHeight="1" x14ac:dyDescent="0.3">
      <c r="A546" s="175"/>
      <c r="B546" s="176"/>
      <c r="C546" s="176"/>
      <c r="D546" s="193"/>
      <c r="E546" s="194" t="s">
        <v>48</v>
      </c>
      <c r="F546" s="195"/>
      <c r="G546" s="196"/>
      <c r="H546" s="186"/>
      <c r="I546" s="187"/>
      <c r="J546" s="197">
        <f ca="1">IFERROR(__xludf.DUMMYFUNCTION("IMPORTRANGE(""https://docs.google.com/spreadsheets/d/11923uPwbBZFjjGgGUA6NLw09EwE0CqkOc4q9oUmW1yo/edit?usp=sharing"",""กำแพงเพชร!J441"")"),1)</f>
        <v>1</v>
      </c>
      <c r="K546" s="163"/>
      <c r="L546" s="181"/>
      <c r="M546" s="181"/>
      <c r="N546" s="181"/>
      <c r="O546" s="181"/>
      <c r="P546" s="181"/>
    </row>
    <row r="547" spans="1:16" ht="21.75" customHeight="1" x14ac:dyDescent="0.3">
      <c r="A547" s="175"/>
      <c r="B547" s="176"/>
      <c r="C547" s="176"/>
      <c r="D547" s="193"/>
      <c r="E547" s="198"/>
      <c r="F547" s="195"/>
      <c r="G547" s="225" t="s">
        <v>203</v>
      </c>
      <c r="H547" s="186" t="s">
        <v>37</v>
      </c>
      <c r="I547" s="203">
        <f ca="1">IFERROR(__xludf.DUMMYFUNCTION("IMPORTRANGE(""https://docs.google.com/spreadsheets/d/11923uPwbBZFjjGgGUA6NLw09EwE0CqkOc4q9oUmW1yo/edit?usp=sharing"",""กำแพงเพชร!I442"")"),22)</f>
        <v>22</v>
      </c>
      <c r="J547" s="188">
        <f ca="1">IFERROR(__xludf.DUMMYFUNCTION("IMPORTRANGE(""https://docs.google.com/spreadsheets/d/11923uPwbBZFjjGgGUA6NLw09EwE0CqkOc4q9oUmW1yo/edit?usp=sharing"",""กำแพงเพชร!J442"")"),22)</f>
        <v>22</v>
      </c>
      <c r="K547" s="163">
        <f t="shared" ref="K547:K548" ca="1" si="119">IF(I547&gt;0,J547*100/I547,0)</f>
        <v>100</v>
      </c>
      <c r="L547" s="181"/>
      <c r="M547" s="181"/>
      <c r="N547" s="181"/>
      <c r="O547" s="181"/>
      <c r="P547" s="181"/>
    </row>
    <row r="548" spans="1:16" ht="21.75" hidden="1" customHeight="1" x14ac:dyDescent="0.3">
      <c r="A548" s="175"/>
      <c r="B548" s="176"/>
      <c r="C548" s="176"/>
      <c r="D548" s="193"/>
      <c r="E548" s="198"/>
      <c r="F548" s="195"/>
      <c r="G548" s="225" t="s">
        <v>204</v>
      </c>
      <c r="H548" s="186" t="s">
        <v>37</v>
      </c>
      <c r="I548" s="339">
        <f ca="1">IFERROR(__xludf.DUMMYFUNCTION("IMPORTRANGE(""https://docs.google.com/spreadsheets/d/1C3CXT74ZlgGe6_JY_1olB1XN4rF0dxEuIIF-xsYjHgg/edit?usp=sharing"",""งบกองทุน!dr63"")"),0)</f>
        <v>0</v>
      </c>
      <c r="J548" s="197">
        <f ca="1">IFERROR(__xludf.DUMMYFUNCTION("IMPORTRANGE(""https://docs.google.com/spreadsheets/d/11923uPwbBZFjjGgGUA6NLw09EwE0CqkOc4q9oUmW1yo/edit?usp=sharing"",""กำแพงเพชร!J166"")"),0)</f>
        <v>0</v>
      </c>
      <c r="K548" s="163">
        <f t="shared" ca="1" si="119"/>
        <v>0</v>
      </c>
      <c r="L548" s="181"/>
      <c r="M548" s="181"/>
      <c r="N548" s="181"/>
      <c r="O548" s="181"/>
      <c r="P548" s="181"/>
    </row>
    <row r="549" spans="1:16" ht="21.75" customHeight="1" x14ac:dyDescent="0.3">
      <c r="A549" s="175"/>
      <c r="B549" s="176"/>
      <c r="C549" s="176"/>
      <c r="D549" s="193"/>
      <c r="E549" s="194" t="s">
        <v>54</v>
      </c>
      <c r="F549" s="195"/>
      <c r="G549" s="196"/>
      <c r="H549" s="186"/>
      <c r="I549" s="187"/>
      <c r="J549" s="197">
        <f ca="1">IFERROR(__xludf.DUMMYFUNCTION("IMPORTRANGE(""https://docs.google.com/spreadsheets/d/11923uPwbBZFjjGgGUA6NLw09EwE0CqkOc4q9oUmW1yo/edit?usp=sharing"",""กำแพงเพชร!J444"")"),0)</f>
        <v>0</v>
      </c>
      <c r="K549" s="163"/>
      <c r="L549" s="181"/>
      <c r="M549" s="181"/>
      <c r="N549" s="181"/>
      <c r="O549" s="181"/>
      <c r="P549" s="181"/>
    </row>
    <row r="550" spans="1:16" ht="21.75" customHeight="1" x14ac:dyDescent="0.3">
      <c r="A550" s="457"/>
      <c r="B550" s="458"/>
      <c r="C550" s="458"/>
      <c r="D550" s="467">
        <v>3</v>
      </c>
      <c r="E550" s="468" t="s">
        <v>55</v>
      </c>
      <c r="F550" s="469"/>
      <c r="G550" s="470"/>
      <c r="H550" s="471"/>
      <c r="I550" s="463"/>
      <c r="J550" s="472">
        <f ca="1">IFERROR(__xludf.DUMMYFUNCTION("IMPORTRANGE(""https://docs.google.com/spreadsheets/d/11923uPwbBZFjjGgGUA6NLw09EwE0CqkOc4q9oUmW1yo/edit?usp=sharing"",""กำแพงเพชร!J445"")"),0)</f>
        <v>0</v>
      </c>
      <c r="K550" s="465"/>
      <c r="L550" s="466"/>
      <c r="M550" s="466"/>
      <c r="N550" s="466"/>
      <c r="O550" s="466"/>
      <c r="P550" s="466"/>
    </row>
    <row r="551" spans="1:16" ht="21.75" customHeight="1" x14ac:dyDescent="0.3">
      <c r="A551" s="403"/>
      <c r="B551" s="404">
        <v>7</v>
      </c>
      <c r="C551" s="405" t="s">
        <v>205</v>
      </c>
      <c r="D551" s="405"/>
      <c r="E551" s="405"/>
      <c r="F551" s="405"/>
      <c r="G551" s="406"/>
      <c r="H551" s="407" t="s">
        <v>122</v>
      </c>
      <c r="I551" s="408">
        <f ca="1">IFERROR(__xludf.DUMMYFUNCTION("IMPORTRANGE(""https://docs.google.com/spreadsheets/d/11923uPwbBZFjjGgGUA6NLw09EwE0CqkOc4q9oUmW1yo/edit?usp=sharing"",""กำแพงเพชร!I446"")"),5000)</f>
        <v>5000</v>
      </c>
      <c r="J551" s="408">
        <f ca="1">IFERROR(__xludf.DUMMYFUNCTION("IMPORTRANGE(""https://docs.google.com/spreadsheets/d/11923uPwbBZFjjGgGUA6NLw09EwE0CqkOc4q9oUmW1yo/edit?usp=sharing"",""กำแพงเพชร!J446"")"),0)</f>
        <v>0</v>
      </c>
      <c r="K551" s="409">
        <f ca="1">IF(I551&gt;0,J551*100/I551,0)</f>
        <v>0</v>
      </c>
      <c r="L551" s="410">
        <f ca="1">IFERROR(__xludf.DUMMYFUNCTION("IMPORTRANGE(""https://docs.google.com/spreadsheets/d/11923uPwbBZFjjGgGUA6NLw09EwE0CqkOc4q9oUmW1yo/edit?usp=sharing"",""กำแพงเพชร!L446"")"),320000)</f>
        <v>320000</v>
      </c>
      <c r="M551" s="410"/>
      <c r="N551" s="410">
        <f ca="1">IFERROR(__xludf.DUMMYFUNCTION("IMPORTRANGE(""https://docs.google.com/spreadsheets/d/11923uPwbBZFjjGgGUA6NLw09EwE0CqkOc4q9oUmW1yo/edit?usp=sharing"",""กำแพงเพชร!M446"")"),0)</f>
        <v>0</v>
      </c>
      <c r="O551" s="410">
        <f t="shared" ref="O551:O555" ca="1" si="120">+IF(L551&gt;0,N551*100/L551,0)</f>
        <v>0</v>
      </c>
      <c r="P551" s="410"/>
    </row>
    <row r="552" spans="1:16" ht="21.75" customHeight="1" x14ac:dyDescent="0.3">
      <c r="A552" s="156"/>
      <c r="B552" s="157"/>
      <c r="C552" s="157" t="s">
        <v>16</v>
      </c>
      <c r="D552" s="158" t="s">
        <v>38</v>
      </c>
      <c r="E552" s="159"/>
      <c r="F552" s="159"/>
      <c r="G552" s="160" t="s">
        <v>39</v>
      </c>
      <c r="H552" s="161" t="s">
        <v>12</v>
      </c>
      <c r="I552" s="162" t="s">
        <v>40</v>
      </c>
      <c r="J552" s="162"/>
      <c r="K552" s="163"/>
      <c r="L552" s="164">
        <f ca="1">IFERROR(__xludf.DUMMYFUNCTION("IMPORTRANGE(""https://docs.google.com/spreadsheets/d/11923uPwbBZFjjGgGUA6NLw09EwE0CqkOc4q9oUmW1yo/edit?usp=sharing"",""กำแพงเพชร!L447"")"),0)</f>
        <v>0</v>
      </c>
      <c r="M552" s="164"/>
      <c r="N552" s="168">
        <f ca="1">IFERROR(__xludf.DUMMYFUNCTION("IMPORTRANGE(""https://docs.google.com/spreadsheets/d/11923uPwbBZFjjGgGUA6NLw09EwE0CqkOc4q9oUmW1yo/edit?usp=sharing"",""กำแพงเพชร!M447"")"),0)</f>
        <v>0</v>
      </c>
      <c r="O552" s="168">
        <f t="shared" ca="1" si="120"/>
        <v>0</v>
      </c>
      <c r="P552" s="168"/>
    </row>
    <row r="553" spans="1:16" ht="21.75" customHeight="1" x14ac:dyDescent="0.3">
      <c r="A553" s="156"/>
      <c r="B553" s="157"/>
      <c r="C553" s="157"/>
      <c r="D553" s="166"/>
      <c r="E553" s="159"/>
      <c r="F553" s="159" t="s">
        <v>40</v>
      </c>
      <c r="G553" s="160" t="s">
        <v>41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IFERROR(__xludf.DUMMYFUNCTION("IMPORTRANGE(""https://docs.google.com/spreadsheets/d/11923uPwbBZFjjGgGUA6NLw09EwE0CqkOc4q9oUmW1yo/edit?usp=sharing"",""กำแพงเพชร!L448"")"),320000)</f>
        <v>320000</v>
      </c>
      <c r="M553" s="165"/>
      <c r="N553" s="168">
        <f ca="1">IFERROR(__xludf.DUMMYFUNCTION("IMPORTRANGE(""https://docs.google.com/spreadsheets/d/11923uPwbBZFjjGgGUA6NLw09EwE0CqkOc4q9oUmW1yo/edit?usp=sharing"",""กำแพงเพชร!M448"")"),0)</f>
        <v>0</v>
      </c>
      <c r="O553" s="168">
        <f t="shared" ca="1" si="120"/>
        <v>0</v>
      </c>
      <c r="P553" s="168"/>
    </row>
    <row r="554" spans="1:16" ht="21.75" customHeight="1" x14ac:dyDescent="0.3">
      <c r="A554" s="156"/>
      <c r="B554" s="157"/>
      <c r="C554" s="157"/>
      <c r="D554" s="166"/>
      <c r="E554" s="159"/>
      <c r="F554" s="159"/>
      <c r="G554" s="372" t="s">
        <v>129</v>
      </c>
      <c r="H554" s="161" t="s">
        <v>12</v>
      </c>
      <c r="I554" s="162"/>
      <c r="J554" s="162"/>
      <c r="K554" s="163"/>
      <c r="L554" s="168">
        <f ca="1">IFERROR(__xludf.DUMMYFUNCTION("IMPORTRANGE(""https://docs.google.com/spreadsheets/d/11923uPwbBZFjjGgGUA6NLw09EwE0CqkOc4q9oUmW1yo/edit?usp=sharing"",""กำแพงเพชร!L449"")"),0)</f>
        <v>0</v>
      </c>
      <c r="M554" s="168"/>
      <c r="N554" s="168">
        <f ca="1">IFERROR(__xludf.DUMMYFUNCTION("IMPORTRANGE(""https://docs.google.com/spreadsheets/d/11923uPwbBZFjjGgGUA6NLw09EwE0CqkOc4q9oUmW1yo/edit?usp=sharing"",""กำแพงเพชร!M449"")"),0)</f>
        <v>0</v>
      </c>
      <c r="O554" s="168">
        <f t="shared" ca="1" si="120"/>
        <v>0</v>
      </c>
      <c r="P554" s="168"/>
    </row>
    <row r="555" spans="1:16" ht="21.75" customHeight="1" x14ac:dyDescent="0.3">
      <c r="A555" s="156"/>
      <c r="B555" s="157"/>
      <c r="C555" s="157"/>
      <c r="D555" s="166"/>
      <c r="E555" s="159"/>
      <c r="F555" s="159"/>
      <c r="G555" s="372" t="s">
        <v>130</v>
      </c>
      <c r="H555" s="161" t="s">
        <v>12</v>
      </c>
      <c r="I555" s="162"/>
      <c r="J555" s="162"/>
      <c r="K555" s="163"/>
      <c r="L555" s="168">
        <f ca="1">IFERROR(__xludf.DUMMYFUNCTION("IMPORTRANGE(""https://docs.google.com/spreadsheets/d/11923uPwbBZFjjGgGUA6NLw09EwE0CqkOc4q9oUmW1yo/edit?usp=sharing"",""กำแพงเพชร!L450"")"),320000)</f>
        <v>320000</v>
      </c>
      <c r="M555" s="168"/>
      <c r="N555" s="168">
        <f ca="1">IFERROR(__xludf.DUMMYFUNCTION("IMPORTRANGE(""https://docs.google.com/spreadsheets/d/11923uPwbBZFjjGgGUA6NLw09EwE0CqkOc4q9oUmW1yo/edit?usp=sharing"",""กำแพงเพชร!M450"")"),0)</f>
        <v>0</v>
      </c>
      <c r="O555" s="168">
        <f t="shared" ca="1" si="120"/>
        <v>0</v>
      </c>
      <c r="P555" s="168"/>
    </row>
    <row r="556" spans="1:16" ht="21.75" customHeight="1" x14ac:dyDescent="0.3">
      <c r="A556" s="373"/>
      <c r="B556" s="374"/>
      <c r="C556" s="157"/>
      <c r="D556" s="375"/>
      <c r="E556" s="159"/>
      <c r="F556" s="159"/>
      <c r="G556" s="376" t="s">
        <v>131</v>
      </c>
      <c r="H556" s="161" t="s">
        <v>12</v>
      </c>
      <c r="I556" s="187"/>
      <c r="J556" s="187"/>
      <c r="K556" s="223"/>
      <c r="L556" s="168"/>
      <c r="M556" s="168"/>
      <c r="N556" s="167">
        <f ca="1">IFERROR(__xludf.DUMMYFUNCTION("IMPORTRANGE(""https://docs.google.com/spreadsheets/d/11923uPwbBZFjjGgGUA6NLw09EwE0CqkOc4q9oUmW1yo/edit?usp=sharing"",""กำแพงเพชร!M451"")"),0)</f>
        <v>0</v>
      </c>
      <c r="O556" s="168"/>
      <c r="P556" s="168"/>
    </row>
    <row r="557" spans="1:16" ht="21.75" customHeight="1" x14ac:dyDescent="0.3">
      <c r="A557" s="373"/>
      <c r="B557" s="374"/>
      <c r="C557" s="157"/>
      <c r="D557" s="375"/>
      <c r="E557" s="159"/>
      <c r="F557" s="159"/>
      <c r="G557" s="376" t="s">
        <v>132</v>
      </c>
      <c r="H557" s="161" t="s">
        <v>12</v>
      </c>
      <c r="I557" s="187"/>
      <c r="J557" s="187"/>
      <c r="K557" s="223"/>
      <c r="L557" s="168"/>
      <c r="M557" s="168"/>
      <c r="N557" s="167">
        <f ca="1">IFERROR(__xludf.DUMMYFUNCTION("IMPORTRANGE(""https://docs.google.com/spreadsheets/d/11923uPwbBZFjjGgGUA6NLw09EwE0CqkOc4q9oUmW1yo/edit?usp=sharing"",""กำแพงเพชร!M452"")"),0)</f>
        <v>0</v>
      </c>
      <c r="O557" s="168"/>
      <c r="P557" s="168"/>
    </row>
    <row r="558" spans="1:16" ht="21.75" customHeight="1" x14ac:dyDescent="0.3">
      <c r="A558" s="373"/>
      <c r="B558" s="374"/>
      <c r="C558" s="157"/>
      <c r="D558" s="375"/>
      <c r="E558" s="159"/>
      <c r="F558" s="159"/>
      <c r="G558" s="376" t="s">
        <v>133</v>
      </c>
      <c r="H558" s="161" t="s">
        <v>12</v>
      </c>
      <c r="I558" s="187"/>
      <c r="J558" s="187"/>
      <c r="K558" s="223"/>
      <c r="L558" s="168"/>
      <c r="M558" s="168"/>
      <c r="N558" s="167">
        <f ca="1">IFERROR(__xludf.DUMMYFUNCTION("IMPORTRANGE(""https://docs.google.com/spreadsheets/d/11923uPwbBZFjjGgGUA6NLw09EwE0CqkOc4q9oUmW1yo/edit?usp=sharing"",""กำแพงเพชร!M453"")"),0)</f>
        <v>0</v>
      </c>
      <c r="O558" s="168"/>
      <c r="P558" s="168"/>
    </row>
    <row r="559" spans="1:16" ht="21.75" customHeight="1" x14ac:dyDescent="0.3">
      <c r="A559" s="373"/>
      <c r="B559" s="374"/>
      <c r="C559" s="157"/>
      <c r="D559" s="375"/>
      <c r="E559" s="159"/>
      <c r="F559" s="159"/>
      <c r="G559" s="376" t="s">
        <v>134</v>
      </c>
      <c r="H559" s="161" t="s">
        <v>12</v>
      </c>
      <c r="I559" s="187"/>
      <c r="J559" s="187"/>
      <c r="K559" s="223"/>
      <c r="L559" s="168"/>
      <c r="M559" s="168"/>
      <c r="N559" s="167">
        <f ca="1">IFERROR(__xludf.DUMMYFUNCTION("IMPORTRANGE(""https://docs.google.com/spreadsheets/d/11923uPwbBZFjjGgGUA6NLw09EwE0CqkOc4q9oUmW1yo/edit?usp=sharing"",""กำแพงเพชร!M454"")"),0)</f>
        <v>0</v>
      </c>
      <c r="O559" s="168"/>
      <c r="P559" s="168"/>
    </row>
    <row r="560" spans="1:16" ht="21.75" customHeight="1" x14ac:dyDescent="0.3">
      <c r="A560" s="175"/>
      <c r="B560" s="176"/>
      <c r="C560" s="176"/>
      <c r="D560" s="193"/>
      <c r="E560" s="195"/>
      <c r="F560" s="277" t="s">
        <v>206</v>
      </c>
      <c r="G560" s="196"/>
      <c r="H560" s="473" t="s">
        <v>122</v>
      </c>
      <c r="I560" s="162">
        <f ca="1">IFERROR(__xludf.DUMMYFUNCTION("IMPORTRANGE(""https://docs.google.com/spreadsheets/d/11923uPwbBZFjjGgGUA6NLw09EwE0CqkOc4q9oUmW1yo/edit?usp=sharing"",""กำแพงเพชร!I455"")"),5000)</f>
        <v>5000</v>
      </c>
      <c r="J560" s="162">
        <f ca="1">IFERROR(__xludf.DUMMYFUNCTION("IMPORTRANGE(""https://docs.google.com/spreadsheets/d/11923uPwbBZFjjGgGUA6NLw09EwE0CqkOc4q9oUmW1yo/edit?usp=sharing"",""กำแพงเพชร!J455"")"),0)</f>
        <v>0</v>
      </c>
      <c r="K560" s="223">
        <f t="shared" ref="K560:K564" ca="1" si="121">IF(I560&gt;0,J560*100/I560,0)</f>
        <v>0</v>
      </c>
      <c r="L560" s="168"/>
      <c r="M560" s="168"/>
      <c r="N560" s="168"/>
      <c r="O560" s="181"/>
      <c r="P560" s="181"/>
    </row>
    <row r="561" spans="1:16" ht="21.75" customHeight="1" x14ac:dyDescent="0.3">
      <c r="A561" s="175"/>
      <c r="B561" s="176"/>
      <c r="C561" s="176"/>
      <c r="D561" s="193"/>
      <c r="E561" s="195"/>
      <c r="F561" s="195"/>
      <c r="G561" s="196"/>
      <c r="H561" s="473" t="s">
        <v>36</v>
      </c>
      <c r="I561" s="162">
        <f ca="1">IFERROR(__xludf.DUMMYFUNCTION("IMPORTRANGE(""https://docs.google.com/spreadsheets/d/11923uPwbBZFjjGgGUA6NLw09EwE0CqkOc4q9oUmW1yo/edit?usp=sharing"",""กำแพงเพชร!I456"")"),0)</f>
        <v>0</v>
      </c>
      <c r="J561" s="203">
        <f ca="1">IFERROR(__xludf.DUMMYFUNCTION("IMPORTRANGE(""https://docs.google.com/spreadsheets/d/11923uPwbBZFjjGgGUA6NLw09EwE0CqkOc4q9oUmW1yo/edit?usp=sharing"",""กำแพงเพชร!J456"")"),0)</f>
        <v>0</v>
      </c>
      <c r="K561" s="223">
        <f t="shared" ca="1" si="121"/>
        <v>0</v>
      </c>
      <c r="L561" s="168"/>
      <c r="M561" s="168"/>
      <c r="N561" s="168"/>
      <c r="O561" s="181"/>
      <c r="P561" s="181"/>
    </row>
    <row r="562" spans="1:16" ht="21.75" customHeight="1" x14ac:dyDescent="0.3">
      <c r="A562" s="175"/>
      <c r="B562" s="176"/>
      <c r="C562" s="176"/>
      <c r="D562" s="193"/>
      <c r="E562" s="195"/>
      <c r="F562" s="195" t="s">
        <v>207</v>
      </c>
      <c r="G562" s="196"/>
      <c r="H562" s="473" t="s">
        <v>122</v>
      </c>
      <c r="I562" s="162">
        <v>0</v>
      </c>
      <c r="J562" s="203" t="str">
        <f ca="1">IFERROR(__xludf.DUMMYFUNCTION("IMPORTRANGE(""https://docs.google.com/spreadsheets/d/11923uPwbBZFjjGgGUA6NLw09EwE0CqkOc4q9oUmW1yo/edit?usp=sharing"",""กำแพงเพชร!J457"")"),"")</f>
        <v/>
      </c>
      <c r="K562" s="163">
        <f t="shared" si="121"/>
        <v>0</v>
      </c>
      <c r="L562" s="181"/>
      <c r="M562" s="181"/>
      <c r="N562" s="181"/>
      <c r="O562" s="181"/>
      <c r="P562" s="181"/>
    </row>
    <row r="563" spans="1:16" ht="21.75" customHeight="1" x14ac:dyDescent="0.3">
      <c r="A563" s="175"/>
      <c r="B563" s="176"/>
      <c r="C563" s="176"/>
      <c r="D563" s="193"/>
      <c r="E563" s="195"/>
      <c r="F563" s="195"/>
      <c r="G563" s="196"/>
      <c r="H563" s="473" t="s">
        <v>36</v>
      </c>
      <c r="I563" s="162">
        <v>0</v>
      </c>
      <c r="J563" s="187" t="str">
        <f ca="1">IFERROR(__xludf.DUMMYFUNCTION("IMPORTRANGE(""https://docs.google.com/spreadsheets/d/11923uPwbBZFjjGgGUA6NLw09EwE0CqkOc4q9oUmW1yo/edit?usp=sharing"",""กำแพงเพชร!J458"")"),"")</f>
        <v/>
      </c>
      <c r="K563" s="163">
        <f t="shared" si="121"/>
        <v>0</v>
      </c>
      <c r="L563" s="181"/>
      <c r="M563" s="181"/>
      <c r="N563" s="181"/>
      <c r="O563" s="181"/>
      <c r="P563" s="181"/>
    </row>
    <row r="564" spans="1:16" ht="21.75" customHeight="1" x14ac:dyDescent="0.3">
      <c r="A564" s="364"/>
      <c r="B564" s="365">
        <v>8</v>
      </c>
      <c r="C564" s="366" t="s">
        <v>208</v>
      </c>
      <c r="D564" s="366"/>
      <c r="E564" s="366"/>
      <c r="F564" s="366"/>
      <c r="G564" s="367"/>
      <c r="H564" s="368" t="s">
        <v>37</v>
      </c>
      <c r="I564" s="369">
        <f ca="1">IFERROR(__xludf.DUMMYFUNCTION("IMPORTRANGE(""https://docs.google.com/spreadsheets/d/11923uPwbBZFjjGgGUA6NLw09EwE0CqkOc4q9oUmW1yo/edit?usp=sharing"",""กำแพงเพชร!I459"")"),4900)</f>
        <v>4900</v>
      </c>
      <c r="J564" s="369">
        <f ca="1">IFERROR(__xludf.DUMMYFUNCTION("IMPORTRANGE(""https://docs.google.com/spreadsheets/d/11923uPwbBZFjjGgGUA6NLw09EwE0CqkOc4q9oUmW1yo/edit?usp=sharing"",""กำแพงเพชร!J459"")"),2270)</f>
        <v>2270</v>
      </c>
      <c r="K564" s="370">
        <f t="shared" ca="1" si="121"/>
        <v>46.326530612244895</v>
      </c>
      <c r="L564" s="371">
        <f ca="1">IFERROR(__xludf.DUMMYFUNCTION("IMPORTRANGE(""https://docs.google.com/spreadsheets/d/11923uPwbBZFjjGgGUA6NLw09EwE0CqkOc4q9oUmW1yo/edit?usp=sharing"",""กำแพงเพชร!L459"")"),168000)</f>
        <v>168000</v>
      </c>
      <c r="M564" s="371"/>
      <c r="N564" s="371">
        <f ca="1">IFERROR(__xludf.DUMMYFUNCTION("IMPORTRANGE(""https://docs.google.com/spreadsheets/d/11923uPwbBZFjjGgGUA6NLw09EwE0CqkOc4q9oUmW1yo/edit?usp=sharing"",""กำแพงเพชร!M459"")"),0)</f>
        <v>0</v>
      </c>
      <c r="O564" s="371">
        <f t="shared" ref="O564:O568" ca="1" si="122">+IF(L564&gt;0,N564*100/L564,0)</f>
        <v>0</v>
      </c>
      <c r="P564" s="371"/>
    </row>
    <row r="565" spans="1:16" ht="21.75" customHeight="1" x14ac:dyDescent="0.3">
      <c r="A565" s="156"/>
      <c r="B565" s="157"/>
      <c r="C565" s="157" t="s">
        <v>16</v>
      </c>
      <c r="D565" s="158" t="s">
        <v>38</v>
      </c>
      <c r="E565" s="159"/>
      <c r="F565" s="159"/>
      <c r="G565" s="160" t="s">
        <v>39</v>
      </c>
      <c r="H565" s="161" t="s">
        <v>12</v>
      </c>
      <c r="I565" s="162" t="s">
        <v>40</v>
      </c>
      <c r="J565" s="162"/>
      <c r="K565" s="163"/>
      <c r="L565" s="164">
        <f ca="1">IFERROR(__xludf.DUMMYFUNCTION("IMPORTRANGE(""https://docs.google.com/spreadsheets/d/11923uPwbBZFjjGgGUA6NLw09EwE0CqkOc4q9oUmW1yo/edit?usp=sharing"",""กำแพงเพชร!L460"")"),0)</f>
        <v>0</v>
      </c>
      <c r="M565" s="164"/>
      <c r="N565" s="168">
        <f ca="1">IFERROR(__xludf.DUMMYFUNCTION("IMPORTRANGE(""https://docs.google.com/spreadsheets/d/11923uPwbBZFjjGgGUA6NLw09EwE0CqkOc4q9oUmW1yo/edit?usp=sharing"",""กำแพงเพชร!M460"")"),0)</f>
        <v>0</v>
      </c>
      <c r="O565" s="168">
        <f t="shared" ca="1" si="122"/>
        <v>0</v>
      </c>
      <c r="P565" s="168"/>
    </row>
    <row r="566" spans="1:16" ht="21.75" customHeight="1" x14ac:dyDescent="0.3">
      <c r="A566" s="156"/>
      <c r="B566" s="157"/>
      <c r="C566" s="157"/>
      <c r="D566" s="166"/>
      <c r="E566" s="159"/>
      <c r="F566" s="159" t="s">
        <v>40</v>
      </c>
      <c r="G566" s="160" t="s">
        <v>41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IFERROR(__xludf.DUMMYFUNCTION("IMPORTRANGE(""https://docs.google.com/spreadsheets/d/11923uPwbBZFjjGgGUA6NLw09EwE0CqkOc4q9oUmW1yo/edit?usp=sharing"",""กำแพงเพชร!L461"")"),168000)</f>
        <v>168000</v>
      </c>
      <c r="M566" s="165"/>
      <c r="N566" s="168">
        <f ca="1">IFERROR(__xludf.DUMMYFUNCTION("IMPORTRANGE(""https://docs.google.com/spreadsheets/d/11923uPwbBZFjjGgGUA6NLw09EwE0CqkOc4q9oUmW1yo/edit?usp=sharing"",""กำแพงเพชร!M461"")"),0)</f>
        <v>0</v>
      </c>
      <c r="O566" s="168">
        <f t="shared" ca="1" si="122"/>
        <v>0</v>
      </c>
      <c r="P566" s="168"/>
    </row>
    <row r="567" spans="1:16" ht="21.75" customHeight="1" x14ac:dyDescent="0.3">
      <c r="A567" s="156"/>
      <c r="B567" s="157"/>
      <c r="C567" s="157"/>
      <c r="D567" s="166"/>
      <c r="E567" s="159"/>
      <c r="F567" s="159"/>
      <c r="G567" s="372" t="s">
        <v>129</v>
      </c>
      <c r="H567" s="161" t="s">
        <v>12</v>
      </c>
      <c r="I567" s="162"/>
      <c r="J567" s="162"/>
      <c r="K567" s="163"/>
      <c r="L567" s="168">
        <f ca="1">IFERROR(__xludf.DUMMYFUNCTION("IMPORTRANGE(""https://docs.google.com/spreadsheets/d/11923uPwbBZFjjGgGUA6NLw09EwE0CqkOc4q9oUmW1yo/edit?usp=sharing"",""กำแพงเพชร!L462"")"),0)</f>
        <v>0</v>
      </c>
      <c r="M567" s="168"/>
      <c r="N567" s="168">
        <f ca="1">IFERROR(__xludf.DUMMYFUNCTION("IMPORTRANGE(""https://docs.google.com/spreadsheets/d/11923uPwbBZFjjGgGUA6NLw09EwE0CqkOc4q9oUmW1yo/edit?usp=sharing"",""กำแพงเพชร!M462"")"),0)</f>
        <v>0</v>
      </c>
      <c r="O567" s="168">
        <f t="shared" ca="1" si="122"/>
        <v>0</v>
      </c>
      <c r="P567" s="168"/>
    </row>
    <row r="568" spans="1:16" ht="21.75" customHeight="1" x14ac:dyDescent="0.3">
      <c r="A568" s="156"/>
      <c r="B568" s="157"/>
      <c r="C568" s="157"/>
      <c r="D568" s="166"/>
      <c r="E568" s="159"/>
      <c r="F568" s="159"/>
      <c r="G568" s="372" t="s">
        <v>130</v>
      </c>
      <c r="H568" s="161" t="s">
        <v>12</v>
      </c>
      <c r="I568" s="162"/>
      <c r="J568" s="162"/>
      <c r="K568" s="163"/>
      <c r="L568" s="168">
        <f ca="1">IFERROR(__xludf.DUMMYFUNCTION("IMPORTRANGE(""https://docs.google.com/spreadsheets/d/11923uPwbBZFjjGgGUA6NLw09EwE0CqkOc4q9oUmW1yo/edit?usp=sharing"",""กำแพงเพชร!L463"")"),168000)</f>
        <v>168000</v>
      </c>
      <c r="M568" s="168"/>
      <c r="N568" s="168">
        <f ca="1">IFERROR(__xludf.DUMMYFUNCTION("IMPORTRANGE(""https://docs.google.com/spreadsheets/d/11923uPwbBZFjjGgGUA6NLw09EwE0CqkOc4q9oUmW1yo/edit?usp=sharing"",""กำแพงเพชร!M463"")"),0)</f>
        <v>0</v>
      </c>
      <c r="O568" s="168">
        <f t="shared" ca="1" si="122"/>
        <v>0</v>
      </c>
      <c r="P568" s="168"/>
    </row>
    <row r="569" spans="1:16" ht="21.75" customHeight="1" x14ac:dyDescent="0.3">
      <c r="A569" s="373"/>
      <c r="B569" s="374"/>
      <c r="C569" s="157"/>
      <c r="D569" s="375"/>
      <c r="E569" s="159"/>
      <c r="F569" s="159"/>
      <c r="G569" s="376" t="s">
        <v>131</v>
      </c>
      <c r="H569" s="161" t="s">
        <v>12</v>
      </c>
      <c r="I569" s="187"/>
      <c r="J569" s="187"/>
      <c r="K569" s="223"/>
      <c r="L569" s="168"/>
      <c r="M569" s="168"/>
      <c r="N569" s="167">
        <f ca="1">IFERROR(__xludf.DUMMYFUNCTION("IMPORTRANGE(""https://docs.google.com/spreadsheets/d/11923uPwbBZFjjGgGUA6NLw09EwE0CqkOc4q9oUmW1yo/edit?usp=sharing"",""กำแพงเพชร!M464"")"),0)</f>
        <v>0</v>
      </c>
      <c r="O569" s="168"/>
      <c r="P569" s="168"/>
    </row>
    <row r="570" spans="1:16" ht="21.75" customHeight="1" x14ac:dyDescent="0.3">
      <c r="A570" s="373"/>
      <c r="B570" s="374"/>
      <c r="C570" s="157"/>
      <c r="D570" s="375"/>
      <c r="E570" s="159"/>
      <c r="F570" s="159"/>
      <c r="G570" s="376" t="s">
        <v>132</v>
      </c>
      <c r="H570" s="161" t="s">
        <v>12</v>
      </c>
      <c r="I570" s="187"/>
      <c r="J570" s="187"/>
      <c r="K570" s="223"/>
      <c r="L570" s="168"/>
      <c r="M570" s="168"/>
      <c r="N570" s="167">
        <f ca="1">IFERROR(__xludf.DUMMYFUNCTION("IMPORTRANGE(""https://docs.google.com/spreadsheets/d/11923uPwbBZFjjGgGUA6NLw09EwE0CqkOc4q9oUmW1yo/edit?usp=sharing"",""กำแพงเพชร!M465"")"),0)</f>
        <v>0</v>
      </c>
      <c r="O570" s="168"/>
      <c r="P570" s="168"/>
    </row>
    <row r="571" spans="1:16" ht="21.75" customHeight="1" x14ac:dyDescent="0.3">
      <c r="A571" s="373"/>
      <c r="B571" s="374"/>
      <c r="C571" s="157"/>
      <c r="D571" s="375"/>
      <c r="E571" s="159"/>
      <c r="F571" s="159"/>
      <c r="G571" s="376" t="s">
        <v>133</v>
      </c>
      <c r="H571" s="161" t="s">
        <v>12</v>
      </c>
      <c r="I571" s="187"/>
      <c r="J571" s="187"/>
      <c r="K571" s="223"/>
      <c r="L571" s="168"/>
      <c r="M571" s="168"/>
      <c r="N571" s="377">
        <f ca="1">IFERROR(__xludf.DUMMYFUNCTION("IMPORTRANGE(""https://docs.google.com/spreadsheets/d/11923uPwbBZFjjGgGUA6NLw09EwE0CqkOc4q9oUmW1yo/edit?usp=sharing"",""กำแพงเพชร!M466"")"),0)</f>
        <v>0</v>
      </c>
      <c r="O571" s="168"/>
      <c r="P571" s="168"/>
    </row>
    <row r="572" spans="1:16" ht="21.75" customHeight="1" x14ac:dyDescent="0.3">
      <c r="A572" s="373"/>
      <c r="B572" s="374"/>
      <c r="C572" s="157"/>
      <c r="D572" s="375"/>
      <c r="E572" s="159"/>
      <c r="F572" s="159"/>
      <c r="G572" s="376" t="s">
        <v>134</v>
      </c>
      <c r="H572" s="161" t="s">
        <v>12</v>
      </c>
      <c r="I572" s="187"/>
      <c r="J572" s="187"/>
      <c r="K572" s="223"/>
      <c r="L572" s="168"/>
      <c r="M572" s="168"/>
      <c r="N572" s="377">
        <f ca="1">IFERROR(__xludf.DUMMYFUNCTION("IMPORTRANGE(""https://docs.google.com/spreadsheets/d/11923uPwbBZFjjGgGUA6NLw09EwE0CqkOc4q9oUmW1yo/edit?usp=sharing"",""กำแพงเพชร!M467"")"),0)</f>
        <v>0</v>
      </c>
      <c r="O572" s="168"/>
      <c r="P572" s="168"/>
    </row>
    <row r="573" spans="1:16" ht="21.75" customHeight="1" x14ac:dyDescent="0.3">
      <c r="A573" s="175"/>
      <c r="B573" s="176"/>
      <c r="C573" s="176"/>
      <c r="D573" s="195"/>
      <c r="E573" s="194" t="s">
        <v>40</v>
      </c>
      <c r="F573" s="412" t="s">
        <v>209</v>
      </c>
      <c r="G573" s="386"/>
      <c r="H573" s="474" t="s">
        <v>37</v>
      </c>
      <c r="I573" s="418">
        <f ca="1">IFERROR(__xludf.DUMMYFUNCTION("IMPORTRANGE(""https://docs.google.com/spreadsheets/d/11923uPwbBZFjjGgGUA6NLw09EwE0CqkOc4q9oUmW1yo/edit?usp=sharing"",""กำแพงเพชร!I468"")"),4900)</f>
        <v>4900</v>
      </c>
      <c r="J573" s="418">
        <f ca="1">IFERROR(__xludf.DUMMYFUNCTION("IMPORTRANGE(""https://docs.google.com/spreadsheets/d/11923uPwbBZFjjGgGUA6NLw09EwE0CqkOc4q9oUmW1yo/edit?usp=sharing"",""กำแพงเพชร!J468"")"),2270)</f>
        <v>2270</v>
      </c>
      <c r="K573" s="201">
        <f ca="1">IF(I573&gt;0,J573*100/I573,0)</f>
        <v>46.326530612244895</v>
      </c>
      <c r="L573" s="181"/>
      <c r="M573" s="181"/>
      <c r="N573" s="181"/>
      <c r="O573" s="181"/>
      <c r="P573" s="181"/>
    </row>
    <row r="574" spans="1:16" ht="21.75" customHeight="1" x14ac:dyDescent="0.3">
      <c r="A574" s="175"/>
      <c r="B574" s="176"/>
      <c r="C574" s="176"/>
      <c r="D574" s="195"/>
      <c r="E574" s="195"/>
      <c r="F574" s="194" t="s">
        <v>210</v>
      </c>
      <c r="G574" s="196"/>
      <c r="H574" s="473"/>
      <c r="I574" s="162"/>
      <c r="J574" s="162"/>
      <c r="K574" s="163"/>
      <c r="L574" s="181"/>
      <c r="M574" s="181"/>
      <c r="N574" s="181"/>
      <c r="O574" s="181"/>
      <c r="P574" s="181"/>
    </row>
    <row r="575" spans="1:16" ht="21.75" customHeight="1" x14ac:dyDescent="0.3">
      <c r="A575" s="175"/>
      <c r="B575" s="176"/>
      <c r="C575" s="176"/>
      <c r="D575" s="195"/>
      <c r="E575" s="194" t="s">
        <v>40</v>
      </c>
      <c r="F575" s="194" t="s">
        <v>211</v>
      </c>
      <c r="G575" s="196"/>
      <c r="H575" s="473" t="s">
        <v>77</v>
      </c>
      <c r="I575" s="202">
        <f ca="1">IFERROR(__xludf.DUMMYFUNCTION("IMPORTRANGE(""https://docs.google.com/spreadsheets/d/11923uPwbBZFjjGgGUA6NLw09EwE0CqkOc4q9oUmW1yo/edit?usp=sharing"",""กำแพงเพชร!I470"")"),0)</f>
        <v>0</v>
      </c>
      <c r="J575" s="197">
        <f ca="1">IFERROR(__xludf.DUMMYFUNCTION("IMPORTRANGE(""https://docs.google.com/spreadsheets/d/11923uPwbBZFjjGgGUA6NLw09EwE0CqkOc4q9oUmW1yo/edit?usp=sharing"",""กำแพงเพชร!J470"")"),0)</f>
        <v>0</v>
      </c>
      <c r="K575" s="163">
        <f t="shared" ref="K575:K579" ca="1" si="123">IF(I575&gt;0,J575*100/I575,0)</f>
        <v>0</v>
      </c>
      <c r="L575" s="181"/>
      <c r="M575" s="181"/>
      <c r="N575" s="181"/>
      <c r="O575" s="181"/>
      <c r="P575" s="181"/>
    </row>
    <row r="576" spans="1:16" ht="21.75" customHeight="1" x14ac:dyDescent="0.3">
      <c r="A576" s="175"/>
      <c r="B576" s="176"/>
      <c r="C576" s="176"/>
      <c r="D576" s="195"/>
      <c r="E576" s="195"/>
      <c r="F576" s="194" t="s">
        <v>212</v>
      </c>
      <c r="G576" s="196"/>
      <c r="H576" s="473" t="s">
        <v>37</v>
      </c>
      <c r="I576" s="202">
        <f ca="1">IFERROR(__xludf.DUMMYFUNCTION("IMPORTRANGE(""https://docs.google.com/spreadsheets/d/11923uPwbBZFjjGgGUA6NLw09EwE0CqkOc4q9oUmW1yo/edit?usp=sharing"",""กำแพงเพชร!I471"")"),0)</f>
        <v>0</v>
      </c>
      <c r="J576" s="197">
        <f ca="1">IFERROR(__xludf.DUMMYFUNCTION("IMPORTRANGE(""https://docs.google.com/spreadsheets/d/11923uPwbBZFjjGgGUA6NLw09EwE0CqkOc4q9oUmW1yo/edit?usp=sharing"",""กำแพงเพชร!J471"")"),0)</f>
        <v>0</v>
      </c>
      <c r="K576" s="163">
        <f t="shared" ca="1" si="123"/>
        <v>0</v>
      </c>
      <c r="L576" s="181"/>
      <c r="M576" s="181"/>
      <c r="N576" s="181"/>
      <c r="O576" s="181"/>
      <c r="P576" s="181"/>
    </row>
    <row r="577" spans="1:16" ht="21.75" customHeight="1" x14ac:dyDescent="0.3">
      <c r="A577" s="175"/>
      <c r="B577" s="176"/>
      <c r="C577" s="176"/>
      <c r="D577" s="195"/>
      <c r="E577" s="195"/>
      <c r="F577" s="194" t="s">
        <v>213</v>
      </c>
      <c r="G577" s="196"/>
      <c r="H577" s="473" t="s">
        <v>37</v>
      </c>
      <c r="I577" s="202">
        <f ca="1">IFERROR(__xludf.DUMMYFUNCTION("IMPORTRANGE(""https://docs.google.com/spreadsheets/d/11923uPwbBZFjjGgGUA6NLw09EwE0CqkOc4q9oUmW1yo/edit?usp=sharing"",""กำแพงเพชร!I472"")"),0)</f>
        <v>0</v>
      </c>
      <c r="J577" s="188">
        <f ca="1">IFERROR(__xludf.DUMMYFUNCTION("IMPORTRANGE(""https://docs.google.com/spreadsheets/d/11923uPwbBZFjjGgGUA6NLw09EwE0CqkOc4q9oUmW1yo/edit?usp=sharing"",""กำแพงเพชร!J472"")"),2270)</f>
        <v>2270</v>
      </c>
      <c r="K577" s="163">
        <f t="shared" ca="1" si="123"/>
        <v>0</v>
      </c>
      <c r="L577" s="181"/>
      <c r="M577" s="181"/>
      <c r="N577" s="181"/>
      <c r="O577" s="181"/>
      <c r="P577" s="181"/>
    </row>
    <row r="578" spans="1:16" ht="21.75" customHeight="1" x14ac:dyDescent="0.3">
      <c r="A578" s="175"/>
      <c r="B578" s="176"/>
      <c r="C578" s="176"/>
      <c r="D578" s="195"/>
      <c r="E578" s="195"/>
      <c r="F578" s="194" t="s">
        <v>214</v>
      </c>
      <c r="G578" s="419"/>
      <c r="H578" s="473" t="s">
        <v>37</v>
      </c>
      <c r="I578" s="202">
        <f ca="1">IFERROR(__xludf.DUMMYFUNCTION("IMPORTRANGE(""https://docs.google.com/spreadsheets/d/11923uPwbBZFjjGgGUA6NLw09EwE0CqkOc4q9oUmW1yo/edit?usp=sharing"",""กำแพงเพชร!I473"")"),0)</f>
        <v>0</v>
      </c>
      <c r="J578" s="197">
        <f ca="1">IFERROR(__xludf.DUMMYFUNCTION("IMPORTRANGE(""https://docs.google.com/spreadsheets/d/11923uPwbBZFjjGgGUA6NLw09EwE0CqkOc4q9oUmW1yo/edit?usp=sharing"",""กำแพงเพชร!J473"")"),0)</f>
        <v>0</v>
      </c>
      <c r="K578" s="163">
        <f t="shared" ca="1" si="123"/>
        <v>0</v>
      </c>
      <c r="L578" s="181"/>
      <c r="M578" s="181"/>
      <c r="N578" s="181"/>
      <c r="O578" s="181"/>
      <c r="P578" s="181"/>
    </row>
    <row r="579" spans="1:16" ht="21.75" customHeight="1" x14ac:dyDescent="0.3">
      <c r="A579" s="175"/>
      <c r="B579" s="176"/>
      <c r="C579" s="176"/>
      <c r="D579" s="195"/>
      <c r="E579" s="195"/>
      <c r="F579" s="194" t="s">
        <v>215</v>
      </c>
      <c r="G579" s="419"/>
      <c r="H579" s="473" t="s">
        <v>37</v>
      </c>
      <c r="I579" s="202">
        <f ca="1">IFERROR(__xludf.DUMMYFUNCTION("IMPORTRANGE(""https://docs.google.com/spreadsheets/d/11923uPwbBZFjjGgGUA6NLw09EwE0CqkOc4q9oUmW1yo/edit?usp=sharing"",""กำแพงเพชร!I474"")"),0)</f>
        <v>0</v>
      </c>
      <c r="J579" s="197">
        <f ca="1">IFERROR(__xludf.DUMMYFUNCTION("IMPORTRANGE(""https://docs.google.com/spreadsheets/d/11923uPwbBZFjjGgGUA6NLw09EwE0CqkOc4q9oUmW1yo/edit?usp=sharing"",""กำแพงเพชร!J474"")"),0)</f>
        <v>0</v>
      </c>
      <c r="K579" s="163">
        <f t="shared" ca="1" si="123"/>
        <v>0</v>
      </c>
      <c r="L579" s="181"/>
      <c r="M579" s="181"/>
      <c r="N579" s="181"/>
      <c r="O579" s="181"/>
      <c r="P579" s="181"/>
    </row>
    <row r="580" spans="1:16" ht="21.75" customHeight="1" x14ac:dyDescent="0.3">
      <c r="A580" s="364"/>
      <c r="B580" s="365">
        <v>9</v>
      </c>
      <c r="C580" s="475" t="s">
        <v>216</v>
      </c>
      <c r="D580" s="366"/>
      <c r="E580" s="366"/>
      <c r="F580" s="366"/>
      <c r="G580" s="367"/>
      <c r="H580" s="368" t="s">
        <v>37</v>
      </c>
      <c r="I580" s="369">
        <f ca="1">IFERROR(__xludf.DUMMYFUNCTION("IMPORTRANGE(""https://docs.google.com/spreadsheets/d/11923uPwbBZFjjGgGUA6NLw09EwE0CqkOc4q9oUmW1yo/edit?usp=sharing"",""กำแพงเพชร!I475"")"),500)</f>
        <v>500</v>
      </c>
      <c r="J580" s="369">
        <f ca="1">IFERROR(__xludf.DUMMYFUNCTION("IMPORTRANGE(""https://docs.google.com/spreadsheets/d/11923uPwbBZFjjGgGUA6NLw09EwE0CqkOc4q9oUmW1yo/edit?usp=sharing"",""กำแพงเพชร!J475"")"),0)</f>
        <v>0</v>
      </c>
      <c r="K580" s="370">
        <f ca="1">IF(I580&gt;0,J580*100/I580,0)</f>
        <v>0</v>
      </c>
      <c r="L580" s="371">
        <f ca="1">IFERROR(__xludf.DUMMYFUNCTION("IMPORTRANGE(""https://docs.google.com/spreadsheets/d/11923uPwbBZFjjGgGUA6NLw09EwE0CqkOc4q9oUmW1yo/edit?usp=sharing"",""กำแพงเพชร!L475"")"),395350)</f>
        <v>395350</v>
      </c>
      <c r="M580" s="371"/>
      <c r="N580" s="371">
        <f ca="1">IFERROR(__xludf.DUMMYFUNCTION("IMPORTRANGE(""https://docs.google.com/spreadsheets/d/11923uPwbBZFjjGgGUA6NLw09EwE0CqkOc4q9oUmW1yo/edit?usp=sharing"",""กำแพงเพชร!M475"")"),0)</f>
        <v>0</v>
      </c>
      <c r="O580" s="371">
        <f t="shared" ref="O580:O584" ca="1" si="124">+IF(L580&gt;0,N580*100/L580,0)</f>
        <v>0</v>
      </c>
      <c r="P580" s="371"/>
    </row>
    <row r="581" spans="1:16" ht="21.75" customHeight="1" x14ac:dyDescent="0.3">
      <c r="A581" s="156"/>
      <c r="B581" s="157"/>
      <c r="C581" s="157" t="s">
        <v>16</v>
      </c>
      <c r="D581" s="158" t="s">
        <v>38</v>
      </c>
      <c r="E581" s="159"/>
      <c r="F581" s="159"/>
      <c r="G581" s="160" t="s">
        <v>39</v>
      </c>
      <c r="H581" s="161" t="s">
        <v>12</v>
      </c>
      <c r="I581" s="162" t="s">
        <v>40</v>
      </c>
      <c r="J581" s="162"/>
      <c r="K581" s="163"/>
      <c r="L581" s="164">
        <f ca="1">IFERROR(__xludf.DUMMYFUNCTION("IMPORTRANGE(""https://docs.google.com/spreadsheets/d/11923uPwbBZFjjGgGUA6NLw09EwE0CqkOc4q9oUmW1yo/edit?usp=sharing"",""กำแพงเพชร!L476"")"),0)</f>
        <v>0</v>
      </c>
      <c r="M581" s="164"/>
      <c r="N581" s="168">
        <f ca="1">IFERROR(__xludf.DUMMYFUNCTION("IMPORTRANGE(""https://docs.google.com/spreadsheets/d/11923uPwbBZFjjGgGUA6NLw09EwE0CqkOc4q9oUmW1yo/edit?usp=sharing"",""กำแพงเพชร!M476"")"),0)</f>
        <v>0</v>
      </c>
      <c r="O581" s="168">
        <f t="shared" ca="1" si="124"/>
        <v>0</v>
      </c>
      <c r="P581" s="168"/>
    </row>
    <row r="582" spans="1:16" ht="21.75" customHeight="1" x14ac:dyDescent="0.3">
      <c r="A582" s="156"/>
      <c r="B582" s="157"/>
      <c r="C582" s="157"/>
      <c r="D582" s="166"/>
      <c r="E582" s="159"/>
      <c r="F582" s="159" t="s">
        <v>40</v>
      </c>
      <c r="G582" s="160" t="s">
        <v>41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IFERROR(__xludf.DUMMYFUNCTION("IMPORTRANGE(""https://docs.google.com/spreadsheets/d/11923uPwbBZFjjGgGUA6NLw09EwE0CqkOc4q9oUmW1yo/edit?usp=sharing"",""กำแพงเพชร!L477"")"),395350)</f>
        <v>395350</v>
      </c>
      <c r="M582" s="165"/>
      <c r="N582" s="168">
        <f ca="1">IFERROR(__xludf.DUMMYFUNCTION("IMPORTRANGE(""https://docs.google.com/spreadsheets/d/11923uPwbBZFjjGgGUA6NLw09EwE0CqkOc4q9oUmW1yo/edit?usp=sharing"",""กำแพงเพชร!M477"")"),0)</f>
        <v>0</v>
      </c>
      <c r="O582" s="168">
        <f t="shared" ca="1" si="124"/>
        <v>0</v>
      </c>
      <c r="P582" s="168"/>
    </row>
    <row r="583" spans="1:16" ht="21.75" customHeight="1" x14ac:dyDescent="0.3">
      <c r="A583" s="156"/>
      <c r="B583" s="157"/>
      <c r="C583" s="157"/>
      <c r="D583" s="166"/>
      <c r="E583" s="159"/>
      <c r="F583" s="159"/>
      <c r="G583" s="372" t="s">
        <v>129</v>
      </c>
      <c r="H583" s="161" t="s">
        <v>12</v>
      </c>
      <c r="I583" s="162"/>
      <c r="J583" s="162"/>
      <c r="K583" s="163"/>
      <c r="L583" s="168">
        <f ca="1">IFERROR(__xludf.DUMMYFUNCTION("IMPORTRANGE(""https://docs.google.com/spreadsheets/d/11923uPwbBZFjjGgGUA6NLw09EwE0CqkOc4q9oUmW1yo/edit?usp=sharing"",""กำแพงเพชร!L478"")"),0)</f>
        <v>0</v>
      </c>
      <c r="M583" s="168"/>
      <c r="N583" s="168">
        <f ca="1">IFERROR(__xludf.DUMMYFUNCTION("IMPORTRANGE(""https://docs.google.com/spreadsheets/d/11923uPwbBZFjjGgGUA6NLw09EwE0CqkOc4q9oUmW1yo/edit?usp=sharing"",""กำแพงเพชร!M478"")"),0)</f>
        <v>0</v>
      </c>
      <c r="O583" s="168">
        <f t="shared" ca="1" si="124"/>
        <v>0</v>
      </c>
      <c r="P583" s="168"/>
    </row>
    <row r="584" spans="1:16" ht="21.75" customHeight="1" x14ac:dyDescent="0.3">
      <c r="A584" s="156"/>
      <c r="B584" s="157"/>
      <c r="C584" s="157"/>
      <c r="D584" s="166"/>
      <c r="E584" s="159"/>
      <c r="F584" s="159"/>
      <c r="G584" s="372" t="s">
        <v>130</v>
      </c>
      <c r="H584" s="161" t="s">
        <v>12</v>
      </c>
      <c r="I584" s="162"/>
      <c r="J584" s="162"/>
      <c r="K584" s="163"/>
      <c r="L584" s="168">
        <f ca="1">IFERROR(__xludf.DUMMYFUNCTION("IMPORTRANGE(""https://docs.google.com/spreadsheets/d/11923uPwbBZFjjGgGUA6NLw09EwE0CqkOc4q9oUmW1yo/edit?usp=sharing"",""กำแพงเพชร!L479"")"),395350)</f>
        <v>395350</v>
      </c>
      <c r="M584" s="168"/>
      <c r="N584" s="168">
        <f ca="1">IFERROR(__xludf.DUMMYFUNCTION("IMPORTRANGE(""https://docs.google.com/spreadsheets/d/11923uPwbBZFjjGgGUA6NLw09EwE0CqkOc4q9oUmW1yo/edit?usp=sharing"",""กำแพงเพชร!M479"")"),0)</f>
        <v>0</v>
      </c>
      <c r="O584" s="168">
        <f t="shared" ca="1" si="124"/>
        <v>0</v>
      </c>
      <c r="P584" s="168"/>
    </row>
    <row r="585" spans="1:16" ht="21.75" customHeight="1" x14ac:dyDescent="0.3">
      <c r="A585" s="373"/>
      <c r="B585" s="374"/>
      <c r="C585" s="157"/>
      <c r="D585" s="375"/>
      <c r="E585" s="159"/>
      <c r="F585" s="159"/>
      <c r="G585" s="376" t="s">
        <v>131</v>
      </c>
      <c r="H585" s="161" t="s">
        <v>12</v>
      </c>
      <c r="I585" s="187"/>
      <c r="J585" s="187"/>
      <c r="K585" s="223"/>
      <c r="L585" s="168"/>
      <c r="M585" s="168"/>
      <c r="N585" s="167">
        <f ca="1">IFERROR(__xludf.DUMMYFUNCTION("IMPORTRANGE(""https://docs.google.com/spreadsheets/d/11923uPwbBZFjjGgGUA6NLw09EwE0CqkOc4q9oUmW1yo/edit?usp=sharing"",""กำแพงเพชร!M480"")"),0)</f>
        <v>0</v>
      </c>
      <c r="O585" s="168"/>
      <c r="P585" s="168"/>
    </row>
    <row r="586" spans="1:16" ht="21.75" customHeight="1" x14ac:dyDescent="0.3">
      <c r="A586" s="373"/>
      <c r="B586" s="374"/>
      <c r="C586" s="157"/>
      <c r="D586" s="375"/>
      <c r="E586" s="159"/>
      <c r="F586" s="159"/>
      <c r="G586" s="376" t="s">
        <v>132</v>
      </c>
      <c r="H586" s="161" t="s">
        <v>12</v>
      </c>
      <c r="I586" s="187"/>
      <c r="J586" s="187"/>
      <c r="K586" s="223"/>
      <c r="L586" s="168"/>
      <c r="M586" s="168"/>
      <c r="N586" s="167">
        <f ca="1">IFERROR(__xludf.DUMMYFUNCTION("IMPORTRANGE(""https://docs.google.com/spreadsheets/d/11923uPwbBZFjjGgGUA6NLw09EwE0CqkOc4q9oUmW1yo/edit?usp=sharing"",""กำแพงเพชร!M481"")"),0)</f>
        <v>0</v>
      </c>
      <c r="O586" s="168"/>
      <c r="P586" s="168"/>
    </row>
    <row r="587" spans="1:16" ht="21.75" customHeight="1" x14ac:dyDescent="0.3">
      <c r="A587" s="373"/>
      <c r="B587" s="374"/>
      <c r="C587" s="157"/>
      <c r="D587" s="375"/>
      <c r="E587" s="159"/>
      <c r="F587" s="159"/>
      <c r="G587" s="376" t="s">
        <v>133</v>
      </c>
      <c r="H587" s="161" t="s">
        <v>12</v>
      </c>
      <c r="I587" s="187"/>
      <c r="J587" s="187"/>
      <c r="K587" s="223"/>
      <c r="L587" s="168"/>
      <c r="M587" s="168"/>
      <c r="N587" s="167">
        <f ca="1">IFERROR(__xludf.DUMMYFUNCTION("IMPORTRANGE(""https://docs.google.com/spreadsheets/d/11923uPwbBZFjjGgGUA6NLw09EwE0CqkOc4q9oUmW1yo/edit?usp=sharing"",""กำแพงเพชร!M482"")"),0)</f>
        <v>0</v>
      </c>
      <c r="O587" s="168"/>
      <c r="P587" s="168"/>
    </row>
    <row r="588" spans="1:16" ht="21.75" customHeight="1" x14ac:dyDescent="0.3">
      <c r="A588" s="373"/>
      <c r="B588" s="374"/>
      <c r="C588" s="157"/>
      <c r="D588" s="375"/>
      <c r="E588" s="159"/>
      <c r="F588" s="159"/>
      <c r="G588" s="376" t="s">
        <v>134</v>
      </c>
      <c r="H588" s="161" t="s">
        <v>12</v>
      </c>
      <c r="I588" s="187"/>
      <c r="J588" s="187"/>
      <c r="K588" s="223"/>
      <c r="L588" s="168"/>
      <c r="M588" s="168"/>
      <c r="N588" s="167">
        <f ca="1">IFERROR(__xludf.DUMMYFUNCTION("IMPORTRANGE(""https://docs.google.com/spreadsheets/d/11923uPwbBZFjjGgGUA6NLw09EwE0CqkOc4q9oUmW1yo/edit?usp=sharing"",""กำแพงเพชร!M483"")"),0)</f>
        <v>0</v>
      </c>
      <c r="O588" s="168"/>
      <c r="P588" s="168"/>
    </row>
    <row r="589" spans="1:16" ht="21.75" customHeight="1" x14ac:dyDescent="0.3">
      <c r="A589" s="476"/>
      <c r="B589" s="166"/>
      <c r="C589" s="157"/>
      <c r="D589" s="289"/>
      <c r="E589" s="194" t="s">
        <v>217</v>
      </c>
      <c r="F589" s="195"/>
      <c r="G589" s="196"/>
      <c r="H589" s="180" t="s">
        <v>36</v>
      </c>
      <c r="I589" s="339">
        <f ca="1">IFERROR(__xludf.DUMMYFUNCTION("IMPORTRANGE(""https://docs.google.com/spreadsheets/d/11923uPwbBZFjjGgGUA6NLw09EwE0CqkOc4q9oUmW1yo/edit?usp=sharing"",""กำแพงเพชร!I484"")"),500)</f>
        <v>500</v>
      </c>
      <c r="J589" s="187">
        <f ca="1">IFERROR(__xludf.DUMMYFUNCTION("IMPORTRANGE(""https://docs.google.com/spreadsheets/d/11923uPwbBZFjjGgGUA6NLw09EwE0CqkOc4q9oUmW1yo/edit?usp=sharing"",""กำแพงเพชร!J484"")"),26)</f>
        <v>26</v>
      </c>
      <c r="K589" s="163">
        <f t="shared" ref="K589:K596" ca="1" si="125">IF(I589&gt;0,J589*100/I589,0)</f>
        <v>5.2</v>
      </c>
      <c r="L589" s="181"/>
      <c r="M589" s="181"/>
      <c r="N589" s="168"/>
      <c r="O589" s="181"/>
      <c r="P589" s="181"/>
    </row>
    <row r="590" spans="1:16" ht="21.75" customHeight="1" x14ac:dyDescent="0.3">
      <c r="A590" s="476"/>
      <c r="B590" s="166"/>
      <c r="C590" s="157"/>
      <c r="D590" s="289"/>
      <c r="E590" s="195"/>
      <c r="F590" s="195"/>
      <c r="G590" s="196"/>
      <c r="H590" s="180" t="s">
        <v>122</v>
      </c>
      <c r="I590" s="343">
        <f ca="1">IFERROR(__xludf.DUMMYFUNCTION("IMPORTRANGE(""https://docs.google.com/spreadsheets/d/11923uPwbBZFjjGgGUA6NLw09EwE0CqkOc4q9oUmW1yo/edit?usp=sharing"",""กำแพงเพชร!I485"")"),0)</f>
        <v>0</v>
      </c>
      <c r="J590" s="187">
        <f ca="1">IFERROR(__xludf.DUMMYFUNCTION("IMPORTRANGE(""https://docs.google.com/spreadsheets/d/11923uPwbBZFjjGgGUA6NLw09EwE0CqkOc4q9oUmW1yo/edit?usp=sharing"",""กำแพงเพชร!J485"")"),34.53)</f>
        <v>34.53</v>
      </c>
      <c r="K590" s="477">
        <f t="shared" ca="1" si="125"/>
        <v>0</v>
      </c>
      <c r="L590" s="181"/>
      <c r="M590" s="181"/>
      <c r="N590" s="168"/>
      <c r="O590" s="181"/>
      <c r="P590" s="181"/>
    </row>
    <row r="591" spans="1:16" ht="21.75" customHeight="1" x14ac:dyDescent="0.3">
      <c r="A591" s="476"/>
      <c r="B591" s="166"/>
      <c r="C591" s="157"/>
      <c r="D591" s="289"/>
      <c r="E591" s="194" t="s">
        <v>123</v>
      </c>
      <c r="F591" s="195"/>
      <c r="G591" s="196"/>
      <c r="H591" s="180" t="s">
        <v>37</v>
      </c>
      <c r="I591" s="339">
        <f ca="1">IFERROR(__xludf.DUMMYFUNCTION("IMPORTRANGE(""https://docs.google.com/spreadsheets/d/11923uPwbBZFjjGgGUA6NLw09EwE0CqkOc4q9oUmW1yo/edit?usp=sharing"",""กำแพงเพชร!I486"")"),500)</f>
        <v>500</v>
      </c>
      <c r="J591" s="187">
        <f ca="1">IFERROR(__xludf.DUMMYFUNCTION("IMPORTRANGE(""https://docs.google.com/spreadsheets/d/11923uPwbBZFjjGgGUA6NLw09EwE0CqkOc4q9oUmW1yo/edit?usp=sharing"",""กำแพงเพชร!J486"")"),0)</f>
        <v>0</v>
      </c>
      <c r="K591" s="163">
        <f t="shared" ca="1" si="125"/>
        <v>0</v>
      </c>
      <c r="L591" s="181"/>
      <c r="M591" s="181"/>
      <c r="N591" s="181"/>
      <c r="O591" s="181"/>
      <c r="P591" s="181"/>
    </row>
    <row r="592" spans="1:16" ht="21.75" customHeight="1" x14ac:dyDescent="0.3">
      <c r="A592" s="476"/>
      <c r="B592" s="166"/>
      <c r="C592" s="157"/>
      <c r="D592" s="289"/>
      <c r="E592" s="195"/>
      <c r="F592" s="195"/>
      <c r="G592" s="196"/>
      <c r="H592" s="180" t="s">
        <v>122</v>
      </c>
      <c r="I592" s="343">
        <f ca="1">IFERROR(__xludf.DUMMYFUNCTION("IMPORTRANGE(""https://docs.google.com/spreadsheets/d/11923uPwbBZFjjGgGUA6NLw09EwE0CqkOc4q9oUmW1yo/edit?usp=sharing"",""กำแพงเพชร!I487"")"),0)</f>
        <v>0</v>
      </c>
      <c r="J592" s="187">
        <f ca="1">IFERROR(__xludf.DUMMYFUNCTION("IMPORTRANGE(""https://docs.google.com/spreadsheets/d/11923uPwbBZFjjGgGUA6NLw09EwE0CqkOc4q9oUmW1yo/edit?usp=sharing"",""กำแพงเพชร!J487"")"),0)</f>
        <v>0</v>
      </c>
      <c r="K592" s="340">
        <f t="shared" ca="1" si="125"/>
        <v>0</v>
      </c>
      <c r="L592" s="181"/>
      <c r="M592" s="181"/>
      <c r="N592" s="181"/>
      <c r="O592" s="181"/>
      <c r="P592" s="181"/>
    </row>
    <row r="593" spans="1:16" ht="21.75" customHeight="1" x14ac:dyDescent="0.3">
      <c r="A593" s="476"/>
      <c r="B593" s="166"/>
      <c r="C593" s="157"/>
      <c r="D593" s="289"/>
      <c r="E593" s="194" t="s">
        <v>124</v>
      </c>
      <c r="F593" s="195"/>
      <c r="G593" s="196"/>
      <c r="H593" s="180" t="s">
        <v>37</v>
      </c>
      <c r="I593" s="339">
        <f ca="1">IFERROR(__xludf.DUMMYFUNCTION("IMPORTRANGE(""https://docs.google.com/spreadsheets/d/11923uPwbBZFjjGgGUA6NLw09EwE0CqkOc4q9oUmW1yo/edit?usp=sharing"",""กำแพงเพชร!I488"")"),500)</f>
        <v>500</v>
      </c>
      <c r="J593" s="187">
        <f ca="1">IFERROR(__xludf.DUMMYFUNCTION("IMPORTRANGE(""https://docs.google.com/spreadsheets/d/11923uPwbBZFjjGgGUA6NLw09EwE0CqkOc4q9oUmW1yo/edit?usp=sharing"",""กำแพงเพชร!J488"")"),0)</f>
        <v>0</v>
      </c>
      <c r="K593" s="163">
        <f t="shared" ca="1" si="125"/>
        <v>0</v>
      </c>
      <c r="L593" s="181"/>
      <c r="M593" s="181"/>
      <c r="N593" s="181"/>
      <c r="O593" s="181"/>
      <c r="P593" s="181"/>
    </row>
    <row r="594" spans="1:16" ht="21.75" customHeight="1" x14ac:dyDescent="0.3">
      <c r="A594" s="476"/>
      <c r="B594" s="166"/>
      <c r="C594" s="157"/>
      <c r="D594" s="289"/>
      <c r="E594" s="195"/>
      <c r="F594" s="195"/>
      <c r="G594" s="196"/>
      <c r="H594" s="180" t="s">
        <v>122</v>
      </c>
      <c r="I594" s="343">
        <f ca="1">IFERROR(__xludf.DUMMYFUNCTION("IMPORTRANGE(""https://docs.google.com/spreadsheets/d/11923uPwbBZFjjGgGUA6NLw09EwE0CqkOc4q9oUmW1yo/edit?usp=sharing"",""กำแพงเพชร!I489"")"),0)</f>
        <v>0</v>
      </c>
      <c r="J594" s="187">
        <f ca="1">IFERROR(__xludf.DUMMYFUNCTION("IMPORTRANGE(""https://docs.google.com/spreadsheets/d/11923uPwbBZFjjGgGUA6NLw09EwE0CqkOc4q9oUmW1yo/edit?usp=sharing"",""กำแพงเพชร!J489"")"),0)</f>
        <v>0</v>
      </c>
      <c r="K594" s="340">
        <f t="shared" ca="1" si="125"/>
        <v>0</v>
      </c>
      <c r="L594" s="181"/>
      <c r="M594" s="181"/>
      <c r="N594" s="181"/>
      <c r="O594" s="181"/>
      <c r="P594" s="181"/>
    </row>
    <row r="595" spans="1:16" ht="21.75" customHeight="1" x14ac:dyDescent="0.3">
      <c r="A595" s="476"/>
      <c r="B595" s="166"/>
      <c r="C595" s="157"/>
      <c r="D595" s="289"/>
      <c r="E595" s="194" t="s">
        <v>125</v>
      </c>
      <c r="F595" s="195"/>
      <c r="G595" s="196"/>
      <c r="H595" s="180" t="s">
        <v>37</v>
      </c>
      <c r="I595" s="339">
        <f ca="1">IFERROR(__xludf.DUMMYFUNCTION("IMPORTRANGE(""https://docs.google.com/spreadsheets/d/11923uPwbBZFjjGgGUA6NLw09EwE0CqkOc4q9oUmW1yo/edit?usp=sharing"",""กำแพงเพชร!I490"")"),500)</f>
        <v>500</v>
      </c>
      <c r="J595" s="187">
        <f ca="1">IFERROR(__xludf.DUMMYFUNCTION("IMPORTRANGE(""https://docs.google.com/spreadsheets/d/11923uPwbBZFjjGgGUA6NLw09EwE0CqkOc4q9oUmW1yo/edit?usp=sharing"",""กำแพงเพชร!J490"")"),0)</f>
        <v>0</v>
      </c>
      <c r="K595" s="163">
        <f t="shared" ca="1" si="125"/>
        <v>0</v>
      </c>
      <c r="L595" s="181"/>
      <c r="M595" s="181"/>
      <c r="N595" s="181"/>
      <c r="O595" s="181"/>
      <c r="P595" s="181"/>
    </row>
    <row r="596" spans="1:16" ht="21.75" customHeight="1" x14ac:dyDescent="0.3">
      <c r="A596" s="478"/>
      <c r="B596" s="479"/>
      <c r="C596" s="480"/>
      <c r="D596" s="481"/>
      <c r="E596" s="460"/>
      <c r="F596" s="460"/>
      <c r="G596" s="461"/>
      <c r="H596" s="482" t="s">
        <v>122</v>
      </c>
      <c r="I596" s="483">
        <f ca="1">IFERROR(__xludf.DUMMYFUNCTION("IMPORTRANGE(""https://docs.google.com/spreadsheets/d/11923uPwbBZFjjGgGUA6NLw09EwE0CqkOc4q9oUmW1yo/edit?usp=sharing"",""กำแพงเพชร!I491"")"),0)</f>
        <v>0</v>
      </c>
      <c r="J596" s="240">
        <f ca="1">IFERROR(__xludf.DUMMYFUNCTION("IMPORTRANGE(""https://docs.google.com/spreadsheets/d/11923uPwbBZFjjGgGUA6NLw09EwE0CqkOc4q9oUmW1yo/edit?usp=sharing"",""กำแพงเพชร!J491"")"),0)</f>
        <v>0</v>
      </c>
      <c r="K596" s="484">
        <f t="shared" ca="1" si="125"/>
        <v>0</v>
      </c>
      <c r="L596" s="466"/>
      <c r="M596" s="466"/>
      <c r="N596" s="466"/>
      <c r="O596" s="466"/>
      <c r="P596" s="466"/>
    </row>
    <row r="597" spans="1:16" ht="21.75" customHeight="1" x14ac:dyDescent="0.3">
      <c r="A597" s="403"/>
      <c r="B597" s="404">
        <v>10</v>
      </c>
      <c r="C597" s="405" t="s">
        <v>218</v>
      </c>
      <c r="D597" s="405"/>
      <c r="E597" s="405"/>
      <c r="F597" s="405"/>
      <c r="G597" s="406"/>
      <c r="H597" s="407" t="s">
        <v>122</v>
      </c>
      <c r="I597" s="408">
        <f ca="1">IFERROR(__xludf.DUMMYFUNCTION("IMPORTRANGE(""https://docs.google.com/spreadsheets/d/11923uPwbBZFjjGgGUA6NLw09EwE0CqkOc4q9oUmW1yo/edit?usp=sharing"",""กำแพงเพชร!I492"")"),100)</f>
        <v>100</v>
      </c>
      <c r="J597" s="485">
        <f ca="1">IFERROR(__xludf.DUMMYFUNCTION("IMPORTRANGE(""https://docs.google.com/spreadsheets/d/11923uPwbBZFjjGgGUA6NLw09EwE0CqkOc4q9oUmW1yo/edit?usp=sharing"",""กำแพงเพชร!J492"")"),0)</f>
        <v>0</v>
      </c>
      <c r="K597" s="409">
        <f ca="1">IF(I597&gt;0,J597*100/I597,0)</f>
        <v>0</v>
      </c>
      <c r="L597" s="410">
        <f ca="1">IFERROR(__xludf.DUMMYFUNCTION("IMPORTRANGE(""https://docs.google.com/spreadsheets/d/11923uPwbBZFjjGgGUA6NLw09EwE0CqkOc4q9oUmW1yo/edit?usp=sharing"",""กำแพงเพชร!L492"")"),8900)</f>
        <v>8900</v>
      </c>
      <c r="M597" s="410"/>
      <c r="N597" s="410">
        <f ca="1">IFERROR(__xludf.DUMMYFUNCTION("IMPORTRANGE(""https://docs.google.com/spreadsheets/d/11923uPwbBZFjjGgGUA6NLw09EwE0CqkOc4q9oUmW1yo/edit?usp=sharing"",""กำแพงเพชร!M492"")"),1200)</f>
        <v>1200</v>
      </c>
      <c r="O597" s="410">
        <f t="shared" ref="O597:O601" ca="1" si="126">+IF(L597&gt;0,N597*100/L597,0)</f>
        <v>13.48314606741573</v>
      </c>
      <c r="P597" s="410"/>
    </row>
    <row r="598" spans="1:16" ht="21.75" customHeight="1" x14ac:dyDescent="0.3">
      <c r="A598" s="156"/>
      <c r="B598" s="157"/>
      <c r="C598" s="157" t="s">
        <v>16</v>
      </c>
      <c r="D598" s="158" t="s">
        <v>38</v>
      </c>
      <c r="E598" s="159"/>
      <c r="F598" s="159"/>
      <c r="G598" s="160" t="s">
        <v>39</v>
      </c>
      <c r="H598" s="161" t="s">
        <v>12</v>
      </c>
      <c r="I598" s="162" t="s">
        <v>40</v>
      </c>
      <c r="J598" s="162"/>
      <c r="K598" s="163"/>
      <c r="L598" s="164">
        <f ca="1">IFERROR(__xludf.DUMMYFUNCTION("IMPORTRANGE(""https://docs.google.com/spreadsheets/d/11923uPwbBZFjjGgGUA6NLw09EwE0CqkOc4q9oUmW1yo/edit?usp=sharing"",""กำแพงเพชร!L493"")"),0)</f>
        <v>0</v>
      </c>
      <c r="M598" s="164"/>
      <c r="N598" s="168">
        <f ca="1">IFERROR(__xludf.DUMMYFUNCTION("IMPORTRANGE(""https://docs.google.com/spreadsheets/d/11923uPwbBZFjjGgGUA6NLw09EwE0CqkOc4q9oUmW1yo/edit?usp=sharing"",""กำแพงเพชร!M493"")"),0)</f>
        <v>0</v>
      </c>
      <c r="O598" s="168">
        <f t="shared" ca="1" si="126"/>
        <v>0</v>
      </c>
      <c r="P598" s="168"/>
    </row>
    <row r="599" spans="1:16" ht="21.75" customHeight="1" x14ac:dyDescent="0.3">
      <c r="A599" s="156"/>
      <c r="B599" s="157"/>
      <c r="C599" s="157"/>
      <c r="D599" s="166"/>
      <c r="E599" s="159"/>
      <c r="F599" s="159" t="s">
        <v>40</v>
      </c>
      <c r="G599" s="160" t="s">
        <v>41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IFERROR(__xludf.DUMMYFUNCTION("IMPORTRANGE(""https://docs.google.com/spreadsheets/d/11923uPwbBZFjjGgGUA6NLw09EwE0CqkOc4q9oUmW1yo/edit?usp=sharing"",""กำแพงเพชร!L494"")"),8900)</f>
        <v>8900</v>
      </c>
      <c r="M599" s="165"/>
      <c r="N599" s="168">
        <f ca="1">IFERROR(__xludf.DUMMYFUNCTION("IMPORTRANGE(""https://docs.google.com/spreadsheets/d/11923uPwbBZFjjGgGUA6NLw09EwE0CqkOc4q9oUmW1yo/edit?usp=sharing"",""กำแพงเพชร!M494"")"),1200)</f>
        <v>1200</v>
      </c>
      <c r="O599" s="168">
        <f t="shared" ca="1" si="126"/>
        <v>13.48314606741573</v>
      </c>
      <c r="P599" s="168"/>
    </row>
    <row r="600" spans="1:16" ht="21.75" customHeight="1" x14ac:dyDescent="0.3">
      <c r="A600" s="156"/>
      <c r="B600" s="157"/>
      <c r="C600" s="157"/>
      <c r="D600" s="166"/>
      <c r="E600" s="159"/>
      <c r="F600" s="159"/>
      <c r="G600" s="372" t="s">
        <v>129</v>
      </c>
      <c r="H600" s="161" t="s">
        <v>12</v>
      </c>
      <c r="I600" s="162"/>
      <c r="J600" s="162"/>
      <c r="K600" s="163"/>
      <c r="L600" s="168">
        <f ca="1">IFERROR(__xludf.DUMMYFUNCTION("IMPORTRANGE(""https://docs.google.com/spreadsheets/d/11923uPwbBZFjjGgGUA6NLw09EwE0CqkOc4q9oUmW1yo/edit?usp=sharing"",""กำแพงเพชร!L495"")"),0)</f>
        <v>0</v>
      </c>
      <c r="M600" s="168"/>
      <c r="N600" s="168">
        <f ca="1">IFERROR(__xludf.DUMMYFUNCTION("IMPORTRANGE(""https://docs.google.com/spreadsheets/d/11923uPwbBZFjjGgGUA6NLw09EwE0CqkOc4q9oUmW1yo/edit?usp=sharing"",""กำแพงเพชร!M495"")"),0)</f>
        <v>0</v>
      </c>
      <c r="O600" s="168">
        <f t="shared" ca="1" si="126"/>
        <v>0</v>
      </c>
      <c r="P600" s="168"/>
    </row>
    <row r="601" spans="1:16" ht="21.75" customHeight="1" x14ac:dyDescent="0.3">
      <c r="A601" s="156"/>
      <c r="B601" s="157"/>
      <c r="C601" s="157"/>
      <c r="D601" s="166"/>
      <c r="E601" s="159"/>
      <c r="F601" s="159"/>
      <c r="G601" s="372" t="s">
        <v>130</v>
      </c>
      <c r="H601" s="161" t="s">
        <v>12</v>
      </c>
      <c r="I601" s="162"/>
      <c r="J601" s="162"/>
      <c r="K601" s="163"/>
      <c r="L601" s="168">
        <f ca="1">IFERROR(__xludf.DUMMYFUNCTION("IMPORTRANGE(""https://docs.google.com/spreadsheets/d/11923uPwbBZFjjGgGUA6NLw09EwE0CqkOc4q9oUmW1yo/edit?usp=sharing"",""กำแพงเพชร!L496"")"),8900)</f>
        <v>8900</v>
      </c>
      <c r="M601" s="168"/>
      <c r="N601" s="168">
        <f ca="1">IFERROR(__xludf.DUMMYFUNCTION("IMPORTRANGE(""https://docs.google.com/spreadsheets/d/11923uPwbBZFjjGgGUA6NLw09EwE0CqkOc4q9oUmW1yo/edit?usp=sharing"",""กำแพงเพชร!M496"")"),1200)</f>
        <v>1200</v>
      </c>
      <c r="O601" s="168">
        <f t="shared" ca="1" si="126"/>
        <v>13.48314606741573</v>
      </c>
      <c r="P601" s="168"/>
    </row>
    <row r="602" spans="1:16" ht="21.75" customHeight="1" x14ac:dyDescent="0.3">
      <c r="A602" s="373"/>
      <c r="B602" s="374"/>
      <c r="C602" s="157"/>
      <c r="D602" s="375"/>
      <c r="E602" s="159"/>
      <c r="F602" s="159"/>
      <c r="G602" s="376" t="s">
        <v>131</v>
      </c>
      <c r="H602" s="161" t="s">
        <v>12</v>
      </c>
      <c r="I602" s="187"/>
      <c r="J602" s="187"/>
      <c r="K602" s="223"/>
      <c r="L602" s="168"/>
      <c r="M602" s="168"/>
      <c r="N602" s="167">
        <f ca="1">IFERROR(__xludf.DUMMYFUNCTION("IMPORTRANGE(""https://docs.google.com/spreadsheets/d/11923uPwbBZFjjGgGUA6NLw09EwE0CqkOc4q9oUmW1yo/edit?usp=sharing"",""กำแพงเพชร!M497"")"),0)</f>
        <v>0</v>
      </c>
      <c r="O602" s="168"/>
      <c r="P602" s="168"/>
    </row>
    <row r="603" spans="1:16" ht="21.75" customHeight="1" x14ac:dyDescent="0.3">
      <c r="A603" s="373"/>
      <c r="B603" s="374"/>
      <c r="C603" s="157"/>
      <c r="D603" s="375"/>
      <c r="E603" s="159"/>
      <c r="F603" s="159"/>
      <c r="G603" s="376" t="s">
        <v>132</v>
      </c>
      <c r="H603" s="161" t="s">
        <v>12</v>
      </c>
      <c r="I603" s="187"/>
      <c r="J603" s="187"/>
      <c r="K603" s="223"/>
      <c r="L603" s="168"/>
      <c r="M603" s="168"/>
      <c r="N603" s="167">
        <f ca="1">IFERROR(__xludf.DUMMYFUNCTION("IMPORTRANGE(""https://docs.google.com/spreadsheets/d/11923uPwbBZFjjGgGUA6NLw09EwE0CqkOc4q9oUmW1yo/edit?usp=sharing"",""กำแพงเพชร!M498"")"),0)</f>
        <v>0</v>
      </c>
      <c r="O603" s="168"/>
      <c r="P603" s="168"/>
    </row>
    <row r="604" spans="1:16" ht="21.75" customHeight="1" x14ac:dyDescent="0.3">
      <c r="A604" s="373"/>
      <c r="B604" s="374"/>
      <c r="C604" s="157"/>
      <c r="D604" s="375"/>
      <c r="E604" s="159"/>
      <c r="F604" s="159"/>
      <c r="G604" s="376" t="s">
        <v>133</v>
      </c>
      <c r="H604" s="161" t="s">
        <v>12</v>
      </c>
      <c r="I604" s="187"/>
      <c r="J604" s="187"/>
      <c r="K604" s="223"/>
      <c r="L604" s="168"/>
      <c r="M604" s="168"/>
      <c r="N604" s="377">
        <f ca="1">IFERROR(__xludf.DUMMYFUNCTION("IMPORTRANGE(""https://docs.google.com/spreadsheets/d/11923uPwbBZFjjGgGUA6NLw09EwE0CqkOc4q9oUmW1yo/edit?usp=sharing"",""กำแพงเพชร!M499"")"),1200)</f>
        <v>1200</v>
      </c>
      <c r="O604" s="168"/>
      <c r="P604" s="168"/>
    </row>
    <row r="605" spans="1:16" ht="21.75" customHeight="1" x14ac:dyDescent="0.3">
      <c r="A605" s="373"/>
      <c r="B605" s="374"/>
      <c r="C605" s="157"/>
      <c r="D605" s="375"/>
      <c r="E605" s="159"/>
      <c r="F605" s="159"/>
      <c r="G605" s="376" t="s">
        <v>134</v>
      </c>
      <c r="H605" s="161" t="s">
        <v>12</v>
      </c>
      <c r="I605" s="187"/>
      <c r="J605" s="187"/>
      <c r="K605" s="223"/>
      <c r="L605" s="168"/>
      <c r="M605" s="168"/>
      <c r="N605" s="377">
        <f ca="1">IFERROR(__xludf.DUMMYFUNCTION("IMPORTRANGE(""https://docs.google.com/spreadsheets/d/11923uPwbBZFjjGgGUA6NLw09EwE0CqkOc4q9oUmW1yo/edit?usp=sharing"",""กำแพงเพชร!M500"")"),0)</f>
        <v>0</v>
      </c>
      <c r="O605" s="168"/>
      <c r="P605" s="168"/>
    </row>
    <row r="606" spans="1:16" ht="21.75" customHeight="1" x14ac:dyDescent="0.3">
      <c r="A606" s="175"/>
      <c r="B606" s="176"/>
      <c r="C606" s="157" t="s">
        <v>16</v>
      </c>
      <c r="D606" s="177" t="s">
        <v>44</v>
      </c>
      <c r="E606" s="178"/>
      <c r="F606" s="178"/>
      <c r="G606" s="179"/>
      <c r="H606" s="180"/>
      <c r="I606" s="162"/>
      <c r="J606" s="162"/>
      <c r="K606" s="163"/>
      <c r="L606" s="181"/>
      <c r="M606" s="181"/>
      <c r="N606" s="181"/>
      <c r="O606" s="181"/>
      <c r="P606" s="181"/>
    </row>
    <row r="607" spans="1:16" ht="21.75" customHeight="1" x14ac:dyDescent="0.3">
      <c r="A607" s="175"/>
      <c r="B607" s="176"/>
      <c r="C607" s="176"/>
      <c r="D607" s="182">
        <v>1</v>
      </c>
      <c r="E607" s="183" t="s">
        <v>45</v>
      </c>
      <c r="F607" s="184"/>
      <c r="G607" s="185"/>
      <c r="H607" s="186"/>
      <c r="I607" s="187"/>
      <c r="J607" s="197">
        <f ca="1">IFERROR(__xludf.DUMMYFUNCTION("IMPORTRANGE(""https://docs.google.com/spreadsheets/d/11923uPwbBZFjjGgGUA6NLw09EwE0CqkOc4q9oUmW1yo/edit?usp=sharing"",""กำแพงเพชร!J502"")"),0)</f>
        <v>0</v>
      </c>
      <c r="K607" s="163"/>
      <c r="L607" s="181"/>
      <c r="M607" s="181"/>
      <c r="N607" s="181"/>
      <c r="O607" s="181"/>
      <c r="P607" s="181"/>
    </row>
    <row r="608" spans="1:16" ht="21.75" customHeight="1" x14ac:dyDescent="0.3">
      <c r="A608" s="175"/>
      <c r="B608" s="176"/>
      <c r="C608" s="176"/>
      <c r="D608" s="189">
        <v>2</v>
      </c>
      <c r="E608" s="190" t="s">
        <v>46</v>
      </c>
      <c r="F608" s="191"/>
      <c r="G608" s="192"/>
      <c r="H608" s="186"/>
      <c r="I608" s="187"/>
      <c r="J608" s="197">
        <f ca="1">IFERROR(__xludf.DUMMYFUNCTION("IMPORTRANGE(""https://docs.google.com/spreadsheets/d/11923uPwbBZFjjGgGUA6NLw09EwE0CqkOc4q9oUmW1yo/edit?usp=sharing"",""กำแพงเพชร!J503"")"),0)</f>
        <v>0</v>
      </c>
      <c r="K608" s="163"/>
      <c r="L608" s="181" t="s">
        <v>40</v>
      </c>
      <c r="M608" s="181"/>
      <c r="N608" s="181" t="s">
        <v>40</v>
      </c>
      <c r="O608" s="181"/>
      <c r="P608" s="181"/>
    </row>
    <row r="609" spans="1:16" ht="21.75" hidden="1" customHeight="1" x14ac:dyDescent="0.3">
      <c r="A609" s="373"/>
      <c r="B609" s="374"/>
      <c r="C609" s="374"/>
      <c r="D609" s="486"/>
      <c r="E609" s="487" t="s">
        <v>47</v>
      </c>
      <c r="F609" s="488"/>
      <c r="G609" s="379"/>
      <c r="H609" s="186"/>
      <c r="I609" s="187"/>
      <c r="J609" s="187">
        <f ca="1">IFERROR(__xludf.DUMMYFUNCTION("IMPORTRANGE(""https://docs.google.com/spreadsheets/d/11923uPwbBZFjjGgGUA6NLw09EwE0CqkOc4q9oUmW1yo/edit?usp=sharing"",""กำแพงเพชร!J166"")"),0)</f>
        <v>0</v>
      </c>
      <c r="K609" s="223"/>
      <c r="L609" s="168"/>
      <c r="M609" s="168"/>
      <c r="N609" s="168"/>
      <c r="O609" s="168"/>
      <c r="P609" s="168"/>
    </row>
    <row r="610" spans="1:16" ht="21.75" hidden="1" customHeight="1" x14ac:dyDescent="0.3">
      <c r="A610" s="373"/>
      <c r="B610" s="374"/>
      <c r="C610" s="374"/>
      <c r="D610" s="486"/>
      <c r="E610" s="487" t="s">
        <v>48</v>
      </c>
      <c r="F610" s="488"/>
      <c r="G610" s="379"/>
      <c r="H610" s="186"/>
      <c r="I610" s="187"/>
      <c r="J610" s="187">
        <f ca="1">IFERROR(__xludf.DUMMYFUNCTION("IMPORTRANGE(""https://docs.google.com/spreadsheets/d/11923uPwbBZFjjGgGUA6NLw09EwE0CqkOc4q9oUmW1yo/edit?usp=sharing"",""กำแพงเพชร!J166"")"),0)</f>
        <v>0</v>
      </c>
      <c r="K610" s="223"/>
      <c r="L610" s="168"/>
      <c r="M610" s="168"/>
      <c r="N610" s="168"/>
      <c r="O610" s="168"/>
      <c r="P610" s="168"/>
    </row>
    <row r="611" spans="1:16" ht="21.75" customHeight="1" x14ac:dyDescent="0.3">
      <c r="A611" s="175"/>
      <c r="B611" s="176"/>
      <c r="C611" s="176"/>
      <c r="D611" s="193"/>
      <c r="E611" s="195"/>
      <c r="F611" s="195" t="s">
        <v>219</v>
      </c>
      <c r="G611" s="196"/>
      <c r="H611" s="180" t="s">
        <v>122</v>
      </c>
      <c r="I611" s="187">
        <f ca="1">IFERROR(__xludf.DUMMYFUNCTION("IMPORTRANGE(""https://docs.google.com/spreadsheets/d/11923uPwbBZFjjGgGUA6NLw09EwE0CqkOc4q9oUmW1yo/edit?usp=sharing"",""กำแพงเพชร!I506"")"),100)</f>
        <v>100</v>
      </c>
      <c r="J611" s="162">
        <f ca="1">IFERROR(__xludf.DUMMYFUNCTION("IMPORTRANGE(""https://docs.google.com/spreadsheets/d/11923uPwbBZFjjGgGUA6NLw09EwE0CqkOc4q9oUmW1yo/edit?usp=sharing"",""กำแพงเพชร!J506"")"),0)</f>
        <v>0</v>
      </c>
      <c r="K611" s="163">
        <f t="shared" ref="K611:K619" ca="1" si="127">IF(I$611&gt;0,J611*100/I$611,0)</f>
        <v>0</v>
      </c>
      <c r="L611" s="181"/>
      <c r="M611" s="181"/>
      <c r="N611" s="181"/>
      <c r="O611" s="181"/>
      <c r="P611" s="181"/>
    </row>
    <row r="612" spans="1:16" ht="21.75" customHeight="1" x14ac:dyDescent="0.3">
      <c r="A612" s="175"/>
      <c r="B612" s="176"/>
      <c r="C612" s="176"/>
      <c r="D612" s="193"/>
      <c r="E612" s="198"/>
      <c r="F612" s="195"/>
      <c r="G612" s="225" t="s">
        <v>220</v>
      </c>
      <c r="H612" s="180" t="s">
        <v>122</v>
      </c>
      <c r="I612" s="203">
        <f ca="1">IFERROR(__xludf.DUMMYFUNCTION("IMPORTRANGE(""https://docs.google.com/spreadsheets/d/11923uPwbBZFjjGgGUA6NLw09EwE0CqkOc4q9oUmW1yo/edit?usp=sharing"",""กำแพงเพชร!I507"")"),0)</f>
        <v>0</v>
      </c>
      <c r="J612" s="197">
        <f ca="1">IFERROR(__xludf.DUMMYFUNCTION("IMPORTRANGE(""https://docs.google.com/spreadsheets/d/11923uPwbBZFjjGgGUA6NLw09EwE0CqkOc4q9oUmW1yo/edit?usp=sharing"",""กำแพงเพชร!J507"")"),0)</f>
        <v>0</v>
      </c>
      <c r="K612" s="163">
        <f t="shared" ca="1" si="127"/>
        <v>0</v>
      </c>
      <c r="L612" s="181"/>
      <c r="M612" s="181"/>
      <c r="N612" s="181"/>
      <c r="O612" s="181"/>
      <c r="P612" s="181"/>
    </row>
    <row r="613" spans="1:16" ht="21.75" customHeight="1" x14ac:dyDescent="0.3">
      <c r="A613" s="175"/>
      <c r="B613" s="176"/>
      <c r="C613" s="176"/>
      <c r="D613" s="193"/>
      <c r="E613" s="198"/>
      <c r="F613" s="195"/>
      <c r="G613" s="225" t="s">
        <v>221</v>
      </c>
      <c r="H613" s="180" t="s">
        <v>122</v>
      </c>
      <c r="I613" s="203">
        <f ca="1">IFERROR(__xludf.DUMMYFUNCTION("IMPORTRANGE(""https://docs.google.com/spreadsheets/d/11923uPwbBZFjjGgGUA6NLw09EwE0CqkOc4q9oUmW1yo/edit?usp=sharing"",""กำแพงเพชร!I508"")"),0)</f>
        <v>0</v>
      </c>
      <c r="J613" s="197">
        <f ca="1">IFERROR(__xludf.DUMMYFUNCTION("IMPORTRANGE(""https://docs.google.com/spreadsheets/d/11923uPwbBZFjjGgGUA6NLw09EwE0CqkOc4q9oUmW1yo/edit?usp=sharing"",""กำแพงเพชร!J508"")"),0)</f>
        <v>0</v>
      </c>
      <c r="K613" s="163">
        <f t="shared" ca="1" si="127"/>
        <v>0</v>
      </c>
      <c r="L613" s="181"/>
      <c r="M613" s="181"/>
      <c r="N613" s="181"/>
      <c r="O613" s="181"/>
      <c r="P613" s="181"/>
    </row>
    <row r="614" spans="1:16" ht="21.75" customHeight="1" x14ac:dyDescent="0.3">
      <c r="A614" s="175"/>
      <c r="B614" s="176"/>
      <c r="C614" s="176"/>
      <c r="D614" s="193"/>
      <c r="E614" s="198"/>
      <c r="F614" s="195"/>
      <c r="G614" s="225" t="s">
        <v>222</v>
      </c>
      <c r="H614" s="180" t="s">
        <v>122</v>
      </c>
      <c r="I614" s="203">
        <f ca="1">IFERROR(__xludf.DUMMYFUNCTION("IMPORTRANGE(""https://docs.google.com/spreadsheets/d/11923uPwbBZFjjGgGUA6NLw09EwE0CqkOc4q9oUmW1yo/edit?usp=sharing"",""กำแพงเพชร!I509"")"),0)</f>
        <v>0</v>
      </c>
      <c r="J614" s="197">
        <f ca="1">IFERROR(__xludf.DUMMYFUNCTION("IMPORTRANGE(""https://docs.google.com/spreadsheets/d/11923uPwbBZFjjGgGUA6NLw09EwE0CqkOc4q9oUmW1yo/edit?usp=sharing"",""กำแพงเพชร!J509"")"),0)</f>
        <v>0</v>
      </c>
      <c r="K614" s="163">
        <f t="shared" ca="1" si="127"/>
        <v>0</v>
      </c>
      <c r="L614" s="181"/>
      <c r="M614" s="181"/>
      <c r="N614" s="181"/>
      <c r="O614" s="181"/>
      <c r="P614" s="181"/>
    </row>
    <row r="615" spans="1:16" ht="21.75" customHeight="1" x14ac:dyDescent="0.3">
      <c r="A615" s="175"/>
      <c r="B615" s="176"/>
      <c r="C615" s="176"/>
      <c r="D615" s="193"/>
      <c r="E615" s="198"/>
      <c r="F615" s="195"/>
      <c r="G615" s="225" t="s">
        <v>223</v>
      </c>
      <c r="H615" s="180" t="s">
        <v>122</v>
      </c>
      <c r="I615" s="203">
        <f ca="1">IFERROR(__xludf.DUMMYFUNCTION("IMPORTRANGE(""https://docs.google.com/spreadsheets/d/11923uPwbBZFjjGgGUA6NLw09EwE0CqkOc4q9oUmW1yo/edit?usp=sharing"",""กำแพงเพชร!I510"")"),0)</f>
        <v>0</v>
      </c>
      <c r="J615" s="197">
        <f ca="1">IFERROR(__xludf.DUMMYFUNCTION("IMPORTRANGE(""https://docs.google.com/spreadsheets/d/11923uPwbBZFjjGgGUA6NLw09EwE0CqkOc4q9oUmW1yo/edit?usp=sharing"",""กำแพงเพชร!J510"")"),0)</f>
        <v>0</v>
      </c>
      <c r="K615" s="163">
        <f t="shared" ca="1" si="127"/>
        <v>0</v>
      </c>
      <c r="L615" s="181"/>
      <c r="M615" s="181"/>
      <c r="N615" s="181"/>
      <c r="O615" s="181"/>
      <c r="P615" s="181"/>
    </row>
    <row r="616" spans="1:16" ht="21.75" customHeight="1" x14ac:dyDescent="0.3">
      <c r="A616" s="175"/>
      <c r="B616" s="176"/>
      <c r="C616" s="176"/>
      <c r="D616" s="193"/>
      <c r="E616" s="198"/>
      <c r="F616" s="195"/>
      <c r="G616" s="194" t="s">
        <v>224</v>
      </c>
      <c r="H616" s="180" t="s">
        <v>122</v>
      </c>
      <c r="I616" s="203">
        <f ca="1">IFERROR(__xludf.DUMMYFUNCTION("IMPORTRANGE(""https://docs.google.com/spreadsheets/d/11923uPwbBZFjjGgGUA6NLw09EwE0CqkOc4q9oUmW1yo/edit?usp=sharing"",""กำแพงเพชร!I511"")"),0)</f>
        <v>0</v>
      </c>
      <c r="J616" s="197">
        <f ca="1">IFERROR(__xludf.DUMMYFUNCTION("IMPORTRANGE(""https://docs.google.com/spreadsheets/d/11923uPwbBZFjjGgGUA6NLw09EwE0CqkOc4q9oUmW1yo/edit?usp=sharing"",""กำแพงเพชร!J511"")"),0)</f>
        <v>0</v>
      </c>
      <c r="K616" s="163">
        <f t="shared" ca="1" si="127"/>
        <v>0</v>
      </c>
      <c r="L616" s="181"/>
      <c r="M616" s="181"/>
      <c r="N616" s="181"/>
      <c r="O616" s="181"/>
      <c r="P616" s="181"/>
    </row>
    <row r="617" spans="1:16" ht="21.75" customHeight="1" x14ac:dyDescent="0.3">
      <c r="A617" s="175"/>
      <c r="B617" s="176"/>
      <c r="C617" s="176"/>
      <c r="D617" s="193"/>
      <c r="E617" s="198"/>
      <c r="F617" s="195"/>
      <c r="G617" s="194" t="s">
        <v>225</v>
      </c>
      <c r="H617" s="180" t="s">
        <v>122</v>
      </c>
      <c r="I617" s="187">
        <f ca="1">IFERROR(__xludf.DUMMYFUNCTION("IMPORTRANGE(""https://docs.google.com/spreadsheets/d/11923uPwbBZFjjGgGUA6NLw09EwE0CqkOc4q9oUmW1yo/edit?usp=sharing"",""กำแพงเพชร!I512"")"),0)</f>
        <v>0</v>
      </c>
      <c r="J617" s="187">
        <f ca="1">IFERROR(__xludf.DUMMYFUNCTION("IMPORTRANGE(""https://docs.google.com/spreadsheets/d/11923uPwbBZFjjGgGUA6NLw09EwE0CqkOc4q9oUmW1yo/edit?usp=sharing"",""กำแพงเพชร!J512"")"),0)</f>
        <v>0</v>
      </c>
      <c r="K617" s="163">
        <f t="shared" ca="1" si="127"/>
        <v>0</v>
      </c>
      <c r="L617" s="181"/>
      <c r="M617" s="181"/>
      <c r="N617" s="181"/>
      <c r="O617" s="181"/>
      <c r="P617" s="181"/>
    </row>
    <row r="618" spans="1:16" ht="21.75" customHeight="1" x14ac:dyDescent="0.3">
      <c r="A618" s="175"/>
      <c r="B618" s="176"/>
      <c r="C618" s="176"/>
      <c r="D618" s="193"/>
      <c r="E618" s="198"/>
      <c r="F618" s="195"/>
      <c r="G618" s="489" t="s">
        <v>226</v>
      </c>
      <c r="H618" s="180" t="s">
        <v>122</v>
      </c>
      <c r="I618" s="203">
        <f ca="1">IFERROR(__xludf.DUMMYFUNCTION("IMPORTRANGE(""https://docs.google.com/spreadsheets/d/11923uPwbBZFjjGgGUA6NLw09EwE0CqkOc4q9oUmW1yo/edit?usp=sharing"",""กำแพงเพชร!I513"")"),0)</f>
        <v>0</v>
      </c>
      <c r="J618" s="188">
        <f ca="1">IFERROR(__xludf.DUMMYFUNCTION("IMPORTRANGE(""https://docs.google.com/spreadsheets/d/11923uPwbBZFjjGgGUA6NLw09EwE0CqkOc4q9oUmW1yo/edit?usp=sharing"",""กำแพงเพชร!J513"")"),0)</f>
        <v>0</v>
      </c>
      <c r="K618" s="163">
        <f t="shared" ca="1" si="127"/>
        <v>0</v>
      </c>
      <c r="L618" s="181"/>
      <c r="M618" s="181"/>
      <c r="N618" s="181"/>
      <c r="O618" s="181"/>
      <c r="P618" s="181"/>
    </row>
    <row r="619" spans="1:16" ht="21.75" customHeight="1" x14ac:dyDescent="0.3">
      <c r="A619" s="175"/>
      <c r="B619" s="176"/>
      <c r="C619" s="176"/>
      <c r="D619" s="193"/>
      <c r="E619" s="198"/>
      <c r="F619" s="195"/>
      <c r="G619" s="489" t="s">
        <v>227</v>
      </c>
      <c r="H619" s="180" t="s">
        <v>122</v>
      </c>
      <c r="I619" s="203">
        <f ca="1">IFERROR(__xludf.DUMMYFUNCTION("IMPORTRANGE(""https://docs.google.com/spreadsheets/d/11923uPwbBZFjjGgGUA6NLw09EwE0CqkOc4q9oUmW1yo/edit?usp=sharing"",""กำแพงเพชร!I514"")"),0)</f>
        <v>0</v>
      </c>
      <c r="J619" s="188">
        <f ca="1">IFERROR(__xludf.DUMMYFUNCTION("IMPORTRANGE(""https://docs.google.com/spreadsheets/d/11923uPwbBZFjjGgGUA6NLw09EwE0CqkOc4q9oUmW1yo/edit?usp=sharing"",""กำแพงเพชร!J514"")"),0)</f>
        <v>0</v>
      </c>
      <c r="K619" s="163">
        <f t="shared" ca="1" si="127"/>
        <v>0</v>
      </c>
      <c r="L619" s="181"/>
      <c r="M619" s="181"/>
      <c r="N619" s="181"/>
      <c r="O619" s="181"/>
      <c r="P619" s="181"/>
    </row>
    <row r="620" spans="1:16" ht="21.75" customHeight="1" x14ac:dyDescent="0.3">
      <c r="A620" s="175"/>
      <c r="B620" s="176"/>
      <c r="C620" s="176"/>
      <c r="D620" s="193"/>
      <c r="E620" s="195"/>
      <c r="F620" s="194" t="s">
        <v>228</v>
      </c>
      <c r="G620" s="196"/>
      <c r="H620" s="180" t="s">
        <v>122</v>
      </c>
      <c r="I620" s="187">
        <f ca="1">IFERROR(__xludf.DUMMYFUNCTION("IMPORTRANGE(""https://docs.google.com/spreadsheets/d/11923uPwbBZFjjGgGUA6NLw09EwE0CqkOc4q9oUmW1yo/edit?usp=sharing"",""กำแพงเพชร!I515"")"),0)</f>
        <v>0</v>
      </c>
      <c r="J620" s="202">
        <f ca="1">IFERROR(__xludf.DUMMYFUNCTION("IMPORTRANGE(""https://docs.google.com/spreadsheets/d/11923uPwbBZFjjGgGUA6NLw09EwE0CqkOc4q9oUmW1yo/edit?usp=sharing"",""กำแพงเพชร!J515"")"),0)</f>
        <v>0</v>
      </c>
      <c r="K620" s="163">
        <f t="shared" ref="K620:K626" ca="1" si="128">IF(I$620&gt;0,J620*100/I$620,0)</f>
        <v>0</v>
      </c>
      <c r="L620" s="181"/>
      <c r="M620" s="181"/>
      <c r="N620" s="181"/>
      <c r="O620" s="181"/>
      <c r="P620" s="181"/>
    </row>
    <row r="621" spans="1:16" ht="21.75" customHeight="1" x14ac:dyDescent="0.3">
      <c r="A621" s="175"/>
      <c r="B621" s="176"/>
      <c r="C621" s="176"/>
      <c r="D621" s="193"/>
      <c r="E621" s="198"/>
      <c r="F621" s="195"/>
      <c r="G621" s="225" t="s">
        <v>225</v>
      </c>
      <c r="H621" s="180" t="s">
        <v>122</v>
      </c>
      <c r="I621" s="202">
        <f ca="1">IFERROR(__xludf.DUMMYFUNCTION("IMPORTRANGE(""https://docs.google.com/spreadsheets/d/11923uPwbBZFjjGgGUA6NLw09EwE0CqkOc4q9oUmW1yo/edit?usp=sharing"",""กำแพงเพชร!I516"")"),0)</f>
        <v>0</v>
      </c>
      <c r="J621" s="202">
        <f ca="1">IFERROR(__xludf.DUMMYFUNCTION("IMPORTRANGE(""https://docs.google.com/spreadsheets/d/11923uPwbBZFjjGgGUA6NLw09EwE0CqkOc4q9oUmW1yo/edit?usp=sharing"",""กำแพงเพชร!J516"")"),0)</f>
        <v>0</v>
      </c>
      <c r="K621" s="163">
        <f t="shared" ca="1" si="128"/>
        <v>0</v>
      </c>
      <c r="L621" s="181"/>
      <c r="M621" s="181"/>
      <c r="N621" s="181"/>
      <c r="O621" s="181"/>
      <c r="P621" s="181"/>
    </row>
    <row r="622" spans="1:16" ht="21.75" customHeight="1" x14ac:dyDescent="0.3">
      <c r="A622" s="175"/>
      <c r="B622" s="176"/>
      <c r="C622" s="176"/>
      <c r="D622" s="193"/>
      <c r="E622" s="198"/>
      <c r="F622" s="195"/>
      <c r="G622" s="489" t="s">
        <v>226</v>
      </c>
      <c r="H622" s="180" t="s">
        <v>122</v>
      </c>
      <c r="I622" s="203">
        <f ca="1">IFERROR(__xludf.DUMMYFUNCTION("IMPORTRANGE(""https://docs.google.com/spreadsheets/d/11923uPwbBZFjjGgGUA6NLw09EwE0CqkOc4q9oUmW1yo/edit?usp=sharing"",""กำแพงเพชร!I517"")"),0)</f>
        <v>0</v>
      </c>
      <c r="J622" s="188">
        <f ca="1">IFERROR(__xludf.DUMMYFUNCTION("IMPORTRANGE(""https://docs.google.com/spreadsheets/d/11923uPwbBZFjjGgGUA6NLw09EwE0CqkOc4q9oUmW1yo/edit?usp=sharing"",""กำแพงเพชร!J517"")"),0)</f>
        <v>0</v>
      </c>
      <c r="K622" s="163">
        <f t="shared" ca="1" si="128"/>
        <v>0</v>
      </c>
      <c r="L622" s="181"/>
      <c r="M622" s="181"/>
      <c r="N622" s="181"/>
      <c r="O622" s="181"/>
      <c r="P622" s="181"/>
    </row>
    <row r="623" spans="1:16" ht="21.75" customHeight="1" x14ac:dyDescent="0.3">
      <c r="A623" s="175"/>
      <c r="B623" s="176"/>
      <c r="C623" s="176"/>
      <c r="D623" s="193"/>
      <c r="E623" s="198"/>
      <c r="F623" s="195"/>
      <c r="G623" s="489" t="s">
        <v>227</v>
      </c>
      <c r="H623" s="180" t="s">
        <v>122</v>
      </c>
      <c r="I623" s="203">
        <f ca="1">IFERROR(__xludf.DUMMYFUNCTION("IMPORTRANGE(""https://docs.google.com/spreadsheets/d/11923uPwbBZFjjGgGUA6NLw09EwE0CqkOc4q9oUmW1yo/edit?usp=sharing"",""กำแพงเพชร!I518"")"),0)</f>
        <v>0</v>
      </c>
      <c r="J623" s="188">
        <f ca="1">IFERROR(__xludf.DUMMYFUNCTION("IMPORTRANGE(""https://docs.google.com/spreadsheets/d/11923uPwbBZFjjGgGUA6NLw09EwE0CqkOc4q9oUmW1yo/edit?usp=sharing"",""กำแพงเพชร!J518"")"),0)</f>
        <v>0</v>
      </c>
      <c r="K623" s="163">
        <f t="shared" ca="1" si="128"/>
        <v>0</v>
      </c>
      <c r="L623" s="181"/>
      <c r="M623" s="181"/>
      <c r="N623" s="181"/>
      <c r="O623" s="181"/>
      <c r="P623" s="181"/>
    </row>
    <row r="624" spans="1:16" ht="21.75" customHeight="1" x14ac:dyDescent="0.3">
      <c r="A624" s="175"/>
      <c r="B624" s="176"/>
      <c r="C624" s="176"/>
      <c r="D624" s="193"/>
      <c r="E624" s="198"/>
      <c r="F624" s="195"/>
      <c r="G624" s="225" t="s">
        <v>229</v>
      </c>
      <c r="H624" s="180" t="s">
        <v>122</v>
      </c>
      <c r="I624" s="187">
        <f ca="1">IFERROR(__xludf.DUMMYFUNCTION("IMPORTRANGE(""https://docs.google.com/spreadsheets/d/11923uPwbBZFjjGgGUA6NLw09EwE0CqkOc4q9oUmW1yo/edit?usp=sharing"",""กำแพงเพชร!I519"")"),0)</f>
        <v>0</v>
      </c>
      <c r="J624" s="187">
        <f ca="1">IFERROR(__xludf.DUMMYFUNCTION("IMPORTRANGE(""https://docs.google.com/spreadsheets/d/11923uPwbBZFjjGgGUA6NLw09EwE0CqkOc4q9oUmW1yo/edit?usp=sharing"",""กำแพงเพชร!J519"")"),0)</f>
        <v>0</v>
      </c>
      <c r="K624" s="163">
        <f t="shared" ca="1" si="128"/>
        <v>0</v>
      </c>
      <c r="L624" s="181"/>
      <c r="M624" s="181"/>
      <c r="N624" s="181"/>
      <c r="O624" s="181"/>
      <c r="P624" s="181"/>
    </row>
    <row r="625" spans="1:16" ht="21.75" customHeight="1" x14ac:dyDescent="0.3">
      <c r="A625" s="175"/>
      <c r="B625" s="176"/>
      <c r="C625" s="176"/>
      <c r="D625" s="193"/>
      <c r="E625" s="198"/>
      <c r="F625" s="195"/>
      <c r="G625" s="489" t="s">
        <v>230</v>
      </c>
      <c r="H625" s="180" t="s">
        <v>122</v>
      </c>
      <c r="I625" s="203">
        <f ca="1">IFERROR(__xludf.DUMMYFUNCTION("IMPORTRANGE(""https://docs.google.com/spreadsheets/d/11923uPwbBZFjjGgGUA6NLw09EwE0CqkOc4q9oUmW1yo/edit?usp=sharing"",""กำแพงเพชร!I520"")"),0)</f>
        <v>0</v>
      </c>
      <c r="J625" s="188">
        <f ca="1">IFERROR(__xludf.DUMMYFUNCTION("IMPORTRANGE(""https://docs.google.com/spreadsheets/d/11923uPwbBZFjjGgGUA6NLw09EwE0CqkOc4q9oUmW1yo/edit?usp=sharing"",""กำแพงเพชร!J520"")"),0)</f>
        <v>0</v>
      </c>
      <c r="K625" s="163">
        <f t="shared" ca="1" si="128"/>
        <v>0</v>
      </c>
      <c r="L625" s="181"/>
      <c r="M625" s="181"/>
      <c r="N625" s="181"/>
      <c r="O625" s="181"/>
      <c r="P625" s="181"/>
    </row>
    <row r="626" spans="1:16" ht="21.75" customHeight="1" x14ac:dyDescent="0.3">
      <c r="A626" s="175"/>
      <c r="B626" s="176"/>
      <c r="C626" s="176"/>
      <c r="D626" s="193"/>
      <c r="E626" s="198"/>
      <c r="F626" s="195"/>
      <c r="G626" s="489" t="s">
        <v>231</v>
      </c>
      <c r="H626" s="180" t="s">
        <v>122</v>
      </c>
      <c r="I626" s="203">
        <f ca="1">IFERROR(__xludf.DUMMYFUNCTION("IMPORTRANGE(""https://docs.google.com/spreadsheets/d/11923uPwbBZFjjGgGUA6NLw09EwE0CqkOc4q9oUmW1yo/edit?usp=sharing"",""กำแพงเพชร!I521"")"),0)</f>
        <v>0</v>
      </c>
      <c r="J626" s="188">
        <f ca="1">IFERROR(__xludf.DUMMYFUNCTION("IMPORTRANGE(""https://docs.google.com/spreadsheets/d/11923uPwbBZFjjGgGUA6NLw09EwE0CqkOc4q9oUmW1yo/edit?usp=sharing"",""กำแพงเพชร!J521"")"),0)</f>
        <v>0</v>
      </c>
      <c r="K626" s="163">
        <f t="shared" ca="1" si="128"/>
        <v>0</v>
      </c>
      <c r="L626" s="181"/>
      <c r="M626" s="181"/>
      <c r="N626" s="181"/>
      <c r="O626" s="181"/>
      <c r="P626" s="181"/>
    </row>
    <row r="627" spans="1:16" ht="21.75" customHeight="1" x14ac:dyDescent="0.3">
      <c r="A627" s="490" t="s">
        <v>232</v>
      </c>
      <c r="B627" s="491"/>
      <c r="C627" s="491"/>
      <c r="D627" s="491"/>
      <c r="E627" s="491"/>
      <c r="F627" s="491"/>
      <c r="G627" s="492"/>
      <c r="H627" s="493"/>
      <c r="I627" s="494"/>
      <c r="J627" s="494"/>
      <c r="K627" s="495"/>
      <c r="L627" s="495"/>
      <c r="M627" s="495"/>
      <c r="N627" s="495"/>
      <c r="O627" s="496"/>
      <c r="P627" s="496"/>
    </row>
    <row r="628" spans="1:16" ht="21.75" customHeight="1" x14ac:dyDescent="0.3">
      <c r="A628" s="476"/>
      <c r="B628" s="497" t="s">
        <v>233</v>
      </c>
      <c r="C628" s="157"/>
      <c r="D628" s="166"/>
      <c r="E628" s="159"/>
      <c r="F628" s="159"/>
      <c r="G628" s="160"/>
      <c r="H628" s="498" t="s">
        <v>12</v>
      </c>
      <c r="I628" s="339">
        <f ca="1">IFERROR(__xludf.DUMMYFUNCTION("IMPORTRANGE(""https://docs.google.com/spreadsheets/d/11923uPwbBZFjjGgGUA6NLw09EwE0CqkOc4q9oUmW1yo/edit?usp=sharing"",""กำแพงเพชร!I523"")"),5000000)</f>
        <v>5000000</v>
      </c>
      <c r="J628" s="339">
        <f ca="1">IFERROR(__xludf.DUMMYFUNCTION("IMPORTRANGE(""https://docs.google.com/spreadsheets/d/11923uPwbBZFjjGgGUA6NLw09EwE0CqkOc4q9oUmW1yo/edit?usp=sharing"",""กำแพงเพชร!J523"")"),510000)</f>
        <v>510000</v>
      </c>
      <c r="K628" s="340">
        <f t="shared" ref="K628:K635" ca="1" si="129">IF(I628&gt;0,J628*100/I628,0)</f>
        <v>10.199999999999999</v>
      </c>
      <c r="L628" s="340"/>
      <c r="M628" s="340"/>
      <c r="N628" s="340"/>
      <c r="O628" s="168"/>
      <c r="P628" s="168"/>
    </row>
    <row r="629" spans="1:16" ht="21.75" customHeight="1" x14ac:dyDescent="0.3">
      <c r="A629" s="476"/>
      <c r="B629" s="157"/>
      <c r="C629" s="157"/>
      <c r="D629" s="166"/>
      <c r="E629" s="159"/>
      <c r="F629" s="159"/>
      <c r="G629" s="160"/>
      <c r="H629" s="498" t="s">
        <v>37</v>
      </c>
      <c r="I629" s="339">
        <f ca="1">IFERROR(__xludf.DUMMYFUNCTION("IMPORTRANGE(""https://docs.google.com/spreadsheets/d/11923uPwbBZFjjGgGUA6NLw09EwE0CqkOc4q9oUmW1yo/edit?usp=sharing"",""กำแพงเพชร!I524"")"),161)</f>
        <v>161</v>
      </c>
      <c r="J629" s="339">
        <f ca="1">IFERROR(__xludf.DUMMYFUNCTION("IMPORTRANGE(""https://docs.google.com/spreadsheets/d/11923uPwbBZFjjGgGUA6NLw09EwE0CqkOc4q9oUmW1yo/edit?usp=sharing"",""กำแพงเพชร!J524"")"),17)</f>
        <v>17</v>
      </c>
      <c r="K629" s="340">
        <f t="shared" ca="1" si="129"/>
        <v>10.559006211180124</v>
      </c>
      <c r="L629" s="340"/>
      <c r="M629" s="340"/>
      <c r="N629" s="340"/>
      <c r="O629" s="168"/>
      <c r="P629" s="168"/>
    </row>
    <row r="630" spans="1:16" ht="21.75" customHeight="1" x14ac:dyDescent="0.3">
      <c r="A630" s="476"/>
      <c r="B630" s="497" t="s">
        <v>234</v>
      </c>
      <c r="C630" s="157"/>
      <c r="D630" s="166"/>
      <c r="E630" s="159"/>
      <c r="F630" s="159"/>
      <c r="G630" s="160"/>
      <c r="H630" s="498" t="s">
        <v>12</v>
      </c>
      <c r="I630" s="339">
        <f ca="1">IFERROR(__xludf.DUMMYFUNCTION("IMPORTRANGE(""https://docs.google.com/spreadsheets/d/11923uPwbBZFjjGgGUA6NLw09EwE0CqkOc4q9oUmW1yo/edit?usp=sharing"",""กำแพงเพชร!I525"")"),4969936.21)</f>
        <v>4969936.21</v>
      </c>
      <c r="J630" s="339">
        <f ca="1">IFERROR(__xludf.DUMMYFUNCTION("IMPORTRANGE(""https://docs.google.com/spreadsheets/d/11923uPwbBZFjjGgGUA6NLw09EwE0CqkOc4q9oUmW1yo/edit?usp=sharing"",""กำแพงเพชร!J525"")"),819152.81)</f>
        <v>819152.81</v>
      </c>
      <c r="K630" s="340">
        <f t="shared" ca="1" si="129"/>
        <v>16.482159436006121</v>
      </c>
      <c r="L630" s="340"/>
      <c r="M630" s="340"/>
      <c r="N630" s="340"/>
      <c r="O630" s="168"/>
      <c r="P630" s="168"/>
    </row>
    <row r="631" spans="1:16" ht="21.75" customHeight="1" x14ac:dyDescent="0.3">
      <c r="A631" s="476"/>
      <c r="B631" s="157"/>
      <c r="C631" s="157"/>
      <c r="D631" s="166"/>
      <c r="E631" s="159"/>
      <c r="F631" s="159"/>
      <c r="G631" s="160"/>
      <c r="H631" s="498" t="s">
        <v>37</v>
      </c>
      <c r="I631" s="339">
        <f ca="1">IFERROR(__xludf.DUMMYFUNCTION("IMPORTRANGE(""https://docs.google.com/spreadsheets/d/11923uPwbBZFjjGgGUA6NLw09EwE0CqkOc4q9oUmW1yo/edit?usp=sharing"",""กำแพงเพชร!I526"")"),126)</f>
        <v>126</v>
      </c>
      <c r="J631" s="339">
        <f ca="1">IFERROR(__xludf.DUMMYFUNCTION("IMPORTRANGE(""https://docs.google.com/spreadsheets/d/11923uPwbBZFjjGgGUA6NLw09EwE0CqkOc4q9oUmW1yo/edit?usp=sharing"",""กำแพงเพชร!J526"")"),40)</f>
        <v>40</v>
      </c>
      <c r="K631" s="340">
        <f t="shared" ca="1" si="129"/>
        <v>31.746031746031747</v>
      </c>
      <c r="L631" s="340"/>
      <c r="M631" s="340"/>
      <c r="N631" s="340"/>
      <c r="O631" s="168"/>
      <c r="P631" s="168"/>
    </row>
    <row r="632" spans="1:16" ht="21.75" customHeight="1" x14ac:dyDescent="0.3">
      <c r="A632" s="476"/>
      <c r="B632" s="497" t="s">
        <v>235</v>
      </c>
      <c r="C632" s="157"/>
      <c r="D632" s="166"/>
      <c r="E632" s="159"/>
      <c r="F632" s="159"/>
      <c r="G632" s="160"/>
      <c r="H632" s="498" t="s">
        <v>12</v>
      </c>
      <c r="I632" s="339">
        <f ca="1">IFERROR(__xludf.DUMMYFUNCTION("IMPORTRANGE(""https://docs.google.com/spreadsheets/d/11923uPwbBZFjjGgGUA6NLw09EwE0CqkOc4q9oUmW1yo/edit?usp=sharing"",""กำแพงเพชร!I527"")"),2521310.15)</f>
        <v>2521310.15</v>
      </c>
      <c r="J632" s="339">
        <f ca="1">IFERROR(__xludf.DUMMYFUNCTION("IMPORTRANGE(""https://docs.google.com/spreadsheets/d/11923uPwbBZFjjGgGUA6NLw09EwE0CqkOc4q9oUmW1yo/edit?usp=sharing"",""กำแพงเพชร!J527"")"),722651.96)</f>
        <v>722651.96</v>
      </c>
      <c r="K632" s="340">
        <f t="shared" ca="1" si="129"/>
        <v>28.661763805615109</v>
      </c>
      <c r="L632" s="340"/>
      <c r="M632" s="340"/>
      <c r="N632" s="340"/>
      <c r="O632" s="168"/>
      <c r="P632" s="168"/>
    </row>
    <row r="633" spans="1:16" ht="21.75" customHeight="1" x14ac:dyDescent="0.3">
      <c r="A633" s="476"/>
      <c r="B633" s="497"/>
      <c r="C633" s="157"/>
      <c r="D633" s="166"/>
      <c r="E633" s="159"/>
      <c r="F633" s="159"/>
      <c r="G633" s="160"/>
      <c r="H633" s="498" t="s">
        <v>37</v>
      </c>
      <c r="I633" s="339">
        <f ca="1">IFERROR(__xludf.DUMMYFUNCTION("IMPORTRANGE(""https://docs.google.com/spreadsheets/d/11923uPwbBZFjjGgGUA6NLw09EwE0CqkOc4q9oUmW1yo/edit?usp=sharing"",""กำแพงเพชร!I528"")"),293)</f>
        <v>293</v>
      </c>
      <c r="J633" s="339">
        <f ca="1">IFERROR(__xludf.DUMMYFUNCTION("IMPORTRANGE(""https://docs.google.com/spreadsheets/d/11923uPwbBZFjjGgGUA6NLw09EwE0CqkOc4q9oUmW1yo/edit?usp=sharing"",""กำแพงเพชร!J528"")"),132)</f>
        <v>132</v>
      </c>
      <c r="K633" s="340">
        <f t="shared" ca="1" si="129"/>
        <v>45.051194539249146</v>
      </c>
      <c r="L633" s="340"/>
      <c r="M633" s="340"/>
      <c r="N633" s="340"/>
      <c r="O633" s="168"/>
      <c r="P633" s="168"/>
    </row>
    <row r="634" spans="1:16" ht="21.75" customHeight="1" x14ac:dyDescent="0.3">
      <c r="A634" s="476"/>
      <c r="B634" s="497" t="s">
        <v>236</v>
      </c>
      <c r="C634" s="157"/>
      <c r="D634" s="166"/>
      <c r="E634" s="159"/>
      <c r="F634" s="159"/>
      <c r="G634" s="160"/>
      <c r="H634" s="498" t="s">
        <v>12</v>
      </c>
      <c r="I634" s="339">
        <f ca="1">IFERROR(__xludf.DUMMYFUNCTION("IMPORTRANGE(""https://docs.google.com/spreadsheets/d/11923uPwbBZFjjGgGUA6NLw09EwE0CqkOc4q9oUmW1yo/edit?usp=sharing"",""กำแพงเพชร!I529"")"),5000000)</f>
        <v>5000000</v>
      </c>
      <c r="J634" s="339">
        <f ca="1">IFERROR(__xludf.DUMMYFUNCTION("IMPORTRANGE(""https://docs.google.com/spreadsheets/d/11923uPwbBZFjjGgGUA6NLw09EwE0CqkOc4q9oUmW1yo/edit?usp=sharing"",""กำแพงเพชร!J529"")"),0)</f>
        <v>0</v>
      </c>
      <c r="K634" s="340">
        <f t="shared" ca="1" si="129"/>
        <v>0</v>
      </c>
      <c r="L634" s="340"/>
      <c r="M634" s="340"/>
      <c r="N634" s="340"/>
      <c r="O634" s="168"/>
      <c r="P634" s="168"/>
    </row>
    <row r="635" spans="1:16" ht="21.75" customHeight="1" x14ac:dyDescent="0.3">
      <c r="A635" s="478"/>
      <c r="B635" s="480"/>
      <c r="C635" s="480"/>
      <c r="D635" s="479"/>
      <c r="E635" s="499"/>
      <c r="F635" s="499"/>
      <c r="G635" s="500"/>
      <c r="H635" s="501" t="s">
        <v>37</v>
      </c>
      <c r="I635" s="502">
        <f ca="1">IFERROR(__xludf.DUMMYFUNCTION("IMPORTRANGE(""https://docs.google.com/spreadsheets/d/11923uPwbBZFjjGgGUA6NLw09EwE0CqkOc4q9oUmW1yo/edit?usp=sharing"",""กำแพงเพชร!I530"")"),164)</f>
        <v>164</v>
      </c>
      <c r="J635" s="502">
        <f ca="1">IFERROR(__xludf.DUMMYFUNCTION("IMPORTRANGE(""https://docs.google.com/spreadsheets/d/11923uPwbBZFjjGgGUA6NLw09EwE0CqkOc4q9oUmW1yo/edit?usp=sharing"",""กำแพงเพชร!J530"")"),0)</f>
        <v>0</v>
      </c>
      <c r="K635" s="484">
        <f t="shared" ca="1" si="129"/>
        <v>0</v>
      </c>
      <c r="L635" s="484"/>
      <c r="M635" s="484"/>
      <c r="N635" s="484"/>
      <c r="O635" s="503"/>
      <c r="P635" s="503"/>
    </row>
    <row r="636" spans="1:16" ht="21.75" customHeight="1" x14ac:dyDescent="0.3">
      <c r="A636" s="504"/>
      <c r="B636" s="504"/>
      <c r="C636" s="504"/>
      <c r="D636" s="504"/>
      <c r="E636" s="505" t="s">
        <v>237</v>
      </c>
      <c r="F636" s="505"/>
      <c r="G636" s="505"/>
      <c r="H636" s="506"/>
      <c r="I636" s="506"/>
      <c r="J636" s="506"/>
      <c r="K636" s="507"/>
      <c r="L636" s="508"/>
      <c r="M636" s="508"/>
      <c r="N636" s="508"/>
      <c r="O636" s="509"/>
      <c r="P636" s="509"/>
    </row>
    <row r="637" spans="1:16" ht="21.75" customHeight="1" x14ac:dyDescent="0.3">
      <c r="A637" s="504"/>
      <c r="B637" s="504"/>
      <c r="C637" s="504"/>
      <c r="D637" s="504"/>
      <c r="E637" s="506"/>
      <c r="F637" s="506"/>
      <c r="G637" s="506"/>
      <c r="H637" s="506"/>
      <c r="I637" s="506"/>
      <c r="J637" s="506"/>
      <c r="K637" s="507"/>
      <c r="L637" s="508"/>
      <c r="M637" s="508"/>
      <c r="N637" s="508"/>
      <c r="O637" s="509"/>
      <c r="P637" s="509"/>
    </row>
    <row r="638" spans="1:16" ht="21.75" customHeight="1" x14ac:dyDescent="0.3">
      <c r="A638" s="504"/>
      <c r="B638" s="504"/>
      <c r="C638" s="504"/>
      <c r="D638" s="504"/>
      <c r="E638" s="506"/>
      <c r="F638" s="506"/>
      <c r="G638" s="506"/>
      <c r="H638" s="506"/>
      <c r="I638" s="506"/>
      <c r="J638" s="506"/>
      <c r="K638" s="507"/>
      <c r="L638" s="508"/>
      <c r="M638" s="508"/>
      <c r="N638" s="508"/>
      <c r="O638" s="509"/>
      <c r="P638" s="509"/>
    </row>
    <row r="639" spans="1:16" ht="21.75" customHeight="1" x14ac:dyDescent="0.3">
      <c r="A639" s="504"/>
      <c r="B639" s="504"/>
      <c r="C639" s="504"/>
      <c r="D639" s="504"/>
      <c r="E639" s="506"/>
      <c r="F639" s="506"/>
      <c r="G639" s="506"/>
      <c r="H639" s="506"/>
      <c r="I639" s="506"/>
      <c r="J639" s="506"/>
      <c r="K639" s="507"/>
      <c r="L639" s="508"/>
      <c r="M639" s="508"/>
      <c r="N639" s="508"/>
      <c r="O639" s="509"/>
      <c r="P639" s="509"/>
    </row>
    <row r="640" spans="1:16" ht="21.75" customHeight="1" x14ac:dyDescent="0.3">
      <c r="A640" s="504"/>
      <c r="B640" s="504"/>
      <c r="C640" s="504"/>
      <c r="D640" s="504"/>
      <c r="E640" s="506"/>
      <c r="F640" s="506"/>
      <c r="G640" s="506"/>
      <c r="H640" s="506"/>
      <c r="I640" s="506"/>
      <c r="J640" s="506"/>
      <c r="K640" s="507"/>
      <c r="L640" s="508"/>
      <c r="M640" s="508"/>
      <c r="N640" s="508"/>
      <c r="O640" s="509"/>
      <c r="P640" s="509"/>
    </row>
    <row r="641" spans="1:16" ht="21.75" customHeight="1" x14ac:dyDescent="0.3">
      <c r="A641" s="504"/>
      <c r="B641" s="504"/>
      <c r="C641" s="504"/>
      <c r="D641" s="504"/>
      <c r="E641" s="506"/>
      <c r="F641" s="506"/>
      <c r="G641" s="506"/>
      <c r="H641" s="506"/>
      <c r="I641" s="506"/>
      <c r="J641" s="506"/>
      <c r="K641" s="507"/>
      <c r="L641" s="508"/>
      <c r="M641" s="508"/>
      <c r="N641" s="508"/>
      <c r="O641" s="509"/>
      <c r="P641" s="509"/>
    </row>
    <row r="642" spans="1:16" ht="21.75" customHeight="1" x14ac:dyDescent="0.3">
      <c r="A642" s="504"/>
      <c r="B642" s="504"/>
      <c r="C642" s="504"/>
      <c r="D642" s="504"/>
      <c r="E642" s="506"/>
      <c r="F642" s="506"/>
      <c r="G642" s="506"/>
      <c r="H642" s="506"/>
      <c r="I642" s="506"/>
      <c r="J642" s="506"/>
      <c r="K642" s="507"/>
      <c r="L642" s="508"/>
      <c r="M642" s="508"/>
      <c r="N642" s="508"/>
      <c r="O642" s="509"/>
      <c r="P642" s="509"/>
    </row>
    <row r="643" spans="1:16" ht="21.75" customHeight="1" x14ac:dyDescent="0.3">
      <c r="A643" s="504"/>
      <c r="B643" s="504"/>
      <c r="C643" s="504"/>
      <c r="D643" s="504"/>
      <c r="E643" s="506"/>
      <c r="F643" s="506"/>
      <c r="G643" s="506"/>
      <c r="H643" s="506"/>
      <c r="I643" s="506"/>
      <c r="J643" s="506"/>
      <c r="K643" s="507"/>
      <c r="L643" s="508"/>
      <c r="M643" s="508"/>
      <c r="N643" s="508"/>
      <c r="O643" s="509"/>
      <c r="P643" s="509"/>
    </row>
    <row r="644" spans="1:16" ht="21.75" customHeight="1" x14ac:dyDescent="0.3">
      <c r="A644" s="504"/>
      <c r="B644" s="504"/>
      <c r="C644" s="504"/>
      <c r="D644" s="504"/>
      <c r="E644" s="506"/>
      <c r="F644" s="506"/>
      <c r="G644" s="506"/>
      <c r="H644" s="506"/>
      <c r="I644" s="506"/>
      <c r="J644" s="506"/>
      <c r="K644" s="507"/>
      <c r="L644" s="508"/>
      <c r="M644" s="508"/>
      <c r="N644" s="508"/>
      <c r="O644" s="509"/>
      <c r="P644" s="509"/>
    </row>
    <row r="645" spans="1:16" ht="21.75" customHeight="1" x14ac:dyDescent="0.3">
      <c r="A645" s="504"/>
      <c r="B645" s="504"/>
      <c r="C645" s="504"/>
      <c r="D645" s="504"/>
      <c r="E645" s="506"/>
      <c r="F645" s="506"/>
      <c r="G645" s="506"/>
      <c r="H645" s="506"/>
      <c r="I645" s="506"/>
      <c r="J645" s="506"/>
      <c r="K645" s="507"/>
      <c r="L645" s="508"/>
      <c r="M645" s="508"/>
      <c r="N645" s="508"/>
      <c r="O645" s="509"/>
      <c r="P645" s="509"/>
    </row>
    <row r="646" spans="1:16" ht="21.75" customHeight="1" x14ac:dyDescent="0.3">
      <c r="A646" s="504"/>
      <c r="B646" s="504"/>
      <c r="C646" s="504"/>
      <c r="D646" s="504"/>
      <c r="E646" s="506"/>
      <c r="F646" s="506"/>
      <c r="G646" s="506"/>
      <c r="H646" s="506"/>
      <c r="I646" s="506"/>
      <c r="J646" s="506"/>
      <c r="K646" s="507"/>
      <c r="L646" s="508"/>
      <c r="M646" s="508"/>
      <c r="N646" s="508"/>
      <c r="O646" s="509"/>
      <c r="P646" s="509"/>
    </row>
    <row r="647" spans="1:16" ht="21.75" customHeight="1" x14ac:dyDescent="0.3">
      <c r="A647" s="504"/>
      <c r="B647" s="504"/>
      <c r="C647" s="504"/>
      <c r="D647" s="504"/>
      <c r="E647" s="506"/>
      <c r="F647" s="506"/>
      <c r="G647" s="506"/>
      <c r="H647" s="506"/>
      <c r="I647" s="506"/>
      <c r="J647" s="506"/>
      <c r="K647" s="507"/>
      <c r="L647" s="508"/>
      <c r="M647" s="508"/>
      <c r="N647" s="508"/>
      <c r="O647" s="509"/>
      <c r="P647" s="509"/>
    </row>
    <row r="648" spans="1:16" ht="21.75" customHeight="1" x14ac:dyDescent="0.3">
      <c r="A648" s="504"/>
      <c r="B648" s="504"/>
      <c r="C648" s="504"/>
      <c r="D648" s="504"/>
      <c r="E648" s="506"/>
      <c r="F648" s="506"/>
      <c r="G648" s="506"/>
      <c r="H648" s="506"/>
      <c r="I648" s="506"/>
      <c r="J648" s="506"/>
      <c r="K648" s="507"/>
      <c r="L648" s="508"/>
      <c r="M648" s="508"/>
      <c r="N648" s="508"/>
      <c r="O648" s="509"/>
      <c r="P648" s="509"/>
    </row>
    <row r="649" spans="1:16" ht="21.75" customHeight="1" x14ac:dyDescent="0.3">
      <c r="A649" s="504"/>
      <c r="B649" s="504"/>
      <c r="C649" s="504"/>
      <c r="D649" s="504"/>
      <c r="E649" s="506"/>
      <c r="F649" s="506"/>
      <c r="G649" s="506"/>
      <c r="H649" s="506"/>
      <c r="I649" s="506"/>
      <c r="J649" s="506"/>
      <c r="K649" s="507"/>
      <c r="L649" s="508"/>
      <c r="M649" s="508"/>
      <c r="N649" s="508"/>
      <c r="O649" s="509"/>
      <c r="P649" s="509"/>
    </row>
    <row r="650" spans="1:16" ht="21.75" customHeight="1" x14ac:dyDescent="0.3">
      <c r="A650" s="504"/>
      <c r="B650" s="504"/>
      <c r="C650" s="504"/>
      <c r="D650" s="504"/>
      <c r="E650" s="506"/>
      <c r="F650" s="506"/>
      <c r="G650" s="506"/>
      <c r="H650" s="506"/>
      <c r="I650" s="506"/>
      <c r="J650" s="506"/>
      <c r="K650" s="507"/>
      <c r="L650" s="508"/>
      <c r="M650" s="508"/>
      <c r="N650" s="508"/>
      <c r="O650" s="509"/>
      <c r="P650" s="509"/>
    </row>
    <row r="651" spans="1:16" ht="21.75" customHeight="1" x14ac:dyDescent="0.3">
      <c r="A651" s="504"/>
      <c r="B651" s="504"/>
      <c r="C651" s="504"/>
      <c r="D651" s="504"/>
      <c r="E651" s="506"/>
      <c r="F651" s="506"/>
      <c r="G651" s="506"/>
      <c r="H651" s="506"/>
      <c r="I651" s="506"/>
      <c r="J651" s="506"/>
      <c r="K651" s="507"/>
      <c r="L651" s="508"/>
      <c r="M651" s="508"/>
      <c r="N651" s="508"/>
      <c r="O651" s="509"/>
      <c r="P651" s="509"/>
    </row>
    <row r="652" spans="1:16" ht="21.75" customHeight="1" x14ac:dyDescent="0.3">
      <c r="A652" s="504"/>
      <c r="B652" s="504"/>
      <c r="C652" s="504"/>
      <c r="D652" s="504"/>
      <c r="E652" s="506"/>
      <c r="F652" s="506"/>
      <c r="G652" s="506"/>
      <c r="H652" s="506"/>
      <c r="I652" s="506"/>
      <c r="J652" s="506"/>
      <c r="K652" s="507"/>
      <c r="L652" s="508"/>
      <c r="M652" s="508"/>
      <c r="N652" s="508"/>
      <c r="O652" s="509"/>
      <c r="P652" s="509"/>
    </row>
    <row r="653" spans="1:16" ht="21.75" customHeight="1" x14ac:dyDescent="0.3">
      <c r="A653" s="504"/>
      <c r="B653" s="504"/>
      <c r="C653" s="504"/>
      <c r="D653" s="504"/>
      <c r="E653" s="506"/>
      <c r="F653" s="506"/>
      <c r="G653" s="506"/>
      <c r="H653" s="506"/>
      <c r="I653" s="506"/>
      <c r="J653" s="506"/>
      <c r="K653" s="507"/>
      <c r="L653" s="508"/>
      <c r="M653" s="508"/>
      <c r="N653" s="508"/>
      <c r="O653" s="509"/>
      <c r="P653" s="509"/>
    </row>
    <row r="654" spans="1:16" ht="21.75" customHeight="1" x14ac:dyDescent="0.3">
      <c r="A654" s="504"/>
      <c r="B654" s="504"/>
      <c r="C654" s="504"/>
      <c r="D654" s="504"/>
      <c r="E654" s="506"/>
      <c r="F654" s="506"/>
      <c r="G654" s="506"/>
      <c r="H654" s="506"/>
      <c r="I654" s="506"/>
      <c r="J654" s="506"/>
      <c r="K654" s="507"/>
      <c r="L654" s="508"/>
      <c r="M654" s="508"/>
      <c r="N654" s="508"/>
      <c r="O654" s="509"/>
      <c r="P654" s="509"/>
    </row>
    <row r="655" spans="1:16" ht="21.75" customHeight="1" x14ac:dyDescent="0.3">
      <c r="A655" s="504"/>
      <c r="B655" s="504"/>
      <c r="C655" s="504"/>
      <c r="D655" s="504"/>
      <c r="E655" s="506"/>
      <c r="F655" s="506"/>
      <c r="G655" s="506"/>
      <c r="H655" s="506"/>
      <c r="I655" s="506"/>
      <c r="J655" s="506"/>
      <c r="K655" s="507"/>
      <c r="L655" s="508"/>
      <c r="M655" s="508"/>
      <c r="N655" s="508"/>
      <c r="O655" s="509"/>
      <c r="P655" s="509"/>
    </row>
    <row r="656" spans="1:16" ht="21.75" customHeight="1" x14ac:dyDescent="0.3">
      <c r="A656" s="504"/>
      <c r="B656" s="504"/>
      <c r="C656" s="504"/>
      <c r="D656" s="504"/>
      <c r="E656" s="506"/>
      <c r="F656" s="506"/>
      <c r="G656" s="506"/>
      <c r="H656" s="506"/>
      <c r="I656" s="506"/>
      <c r="J656" s="506"/>
      <c r="K656" s="507"/>
      <c r="L656" s="508"/>
      <c r="M656" s="508"/>
      <c r="N656" s="508"/>
      <c r="O656" s="509"/>
      <c r="P656" s="509"/>
    </row>
    <row r="657" spans="1:16" ht="21.75" customHeight="1" x14ac:dyDescent="0.3">
      <c r="A657" s="504"/>
      <c r="B657" s="504"/>
      <c r="C657" s="504"/>
      <c r="D657" s="504"/>
      <c r="E657" s="506"/>
      <c r="F657" s="506"/>
      <c r="G657" s="506"/>
      <c r="H657" s="506"/>
      <c r="I657" s="506"/>
      <c r="J657" s="506"/>
      <c r="K657" s="507"/>
      <c r="L657" s="508"/>
      <c r="M657" s="508"/>
      <c r="N657" s="508"/>
      <c r="O657" s="509"/>
      <c r="P657" s="509"/>
    </row>
    <row r="658" spans="1:16" ht="21.75" customHeight="1" x14ac:dyDescent="0.3">
      <c r="A658" s="504"/>
      <c r="B658" s="504"/>
      <c r="C658" s="504"/>
      <c r="D658" s="504"/>
      <c r="E658" s="506"/>
      <c r="F658" s="506"/>
      <c r="G658" s="506"/>
      <c r="H658" s="506"/>
      <c r="I658" s="506"/>
      <c r="J658" s="506"/>
      <c r="K658" s="507"/>
      <c r="L658" s="508"/>
      <c r="M658" s="508"/>
      <c r="N658" s="508"/>
      <c r="O658" s="509"/>
      <c r="P658" s="509"/>
    </row>
    <row r="659" spans="1:16" ht="21.75" customHeight="1" x14ac:dyDescent="0.3">
      <c r="A659" s="504"/>
      <c r="B659" s="504"/>
      <c r="C659" s="504"/>
      <c r="D659" s="504"/>
      <c r="E659" s="506"/>
      <c r="F659" s="506"/>
      <c r="G659" s="506"/>
      <c r="H659" s="506"/>
      <c r="I659" s="506"/>
      <c r="J659" s="506"/>
      <c r="K659" s="507"/>
      <c r="L659" s="508"/>
      <c r="M659" s="508"/>
      <c r="N659" s="508"/>
      <c r="O659" s="509"/>
      <c r="P659" s="509"/>
    </row>
    <row r="660" spans="1:16" ht="21.75" customHeight="1" x14ac:dyDescent="0.3">
      <c r="A660" s="504"/>
      <c r="B660" s="504"/>
      <c r="C660" s="504"/>
      <c r="D660" s="504"/>
      <c r="E660" s="506"/>
      <c r="F660" s="506"/>
      <c r="G660" s="506"/>
      <c r="H660" s="506"/>
      <c r="I660" s="506"/>
      <c r="J660" s="506"/>
      <c r="K660" s="507"/>
      <c r="L660" s="508"/>
      <c r="M660" s="508"/>
      <c r="N660" s="508"/>
      <c r="O660" s="509"/>
      <c r="P660" s="509"/>
    </row>
    <row r="661" spans="1:16" ht="21.75" customHeight="1" x14ac:dyDescent="0.3">
      <c r="A661" s="504"/>
      <c r="B661" s="504"/>
      <c r="C661" s="504"/>
      <c r="D661" s="504"/>
      <c r="E661" s="506"/>
      <c r="F661" s="506"/>
      <c r="G661" s="506"/>
      <c r="H661" s="506"/>
      <c r="I661" s="506"/>
      <c r="J661" s="506"/>
      <c r="K661" s="507"/>
      <c r="L661" s="508"/>
      <c r="M661" s="508"/>
      <c r="N661" s="508"/>
      <c r="O661" s="509"/>
      <c r="P661" s="509"/>
    </row>
    <row r="662" spans="1:16" ht="21.75" customHeight="1" x14ac:dyDescent="0.3">
      <c r="A662" s="504"/>
      <c r="B662" s="504"/>
      <c r="C662" s="504"/>
      <c r="D662" s="504"/>
      <c r="E662" s="506"/>
      <c r="F662" s="506"/>
      <c r="G662" s="506"/>
      <c r="H662" s="506"/>
      <c r="I662" s="506"/>
      <c r="J662" s="506"/>
      <c r="K662" s="507"/>
      <c r="L662" s="508"/>
      <c r="M662" s="508"/>
      <c r="N662" s="508"/>
      <c r="O662" s="509"/>
      <c r="P662" s="509"/>
    </row>
    <row r="663" spans="1:16" ht="21.75" customHeight="1" x14ac:dyDescent="0.3">
      <c r="A663" s="504"/>
      <c r="B663" s="504"/>
      <c r="C663" s="504"/>
      <c r="D663" s="504"/>
      <c r="E663" s="506"/>
      <c r="F663" s="506"/>
      <c r="G663" s="506"/>
      <c r="H663" s="506"/>
      <c r="I663" s="506"/>
      <c r="J663" s="506"/>
      <c r="K663" s="507"/>
      <c r="L663" s="508"/>
      <c r="M663" s="508"/>
      <c r="N663" s="508"/>
      <c r="O663" s="509"/>
      <c r="P663" s="509"/>
    </row>
    <row r="664" spans="1:16" ht="21.75" customHeight="1" x14ac:dyDescent="0.3">
      <c r="A664" s="504"/>
      <c r="B664" s="504"/>
      <c r="C664" s="504"/>
      <c r="D664" s="504"/>
      <c r="E664" s="506"/>
      <c r="F664" s="506"/>
      <c r="G664" s="506"/>
      <c r="H664" s="506"/>
      <c r="I664" s="506"/>
      <c r="J664" s="506"/>
      <c r="K664" s="507"/>
      <c r="L664" s="508"/>
      <c r="M664" s="508"/>
      <c r="N664" s="508"/>
      <c r="O664" s="509"/>
      <c r="P664" s="509"/>
    </row>
    <row r="665" spans="1:16" ht="21.75" customHeight="1" x14ac:dyDescent="0.3">
      <c r="A665" s="504"/>
      <c r="B665" s="504"/>
      <c r="C665" s="504"/>
      <c r="D665" s="504"/>
      <c r="E665" s="506"/>
      <c r="F665" s="506"/>
      <c r="G665" s="506"/>
      <c r="H665" s="506"/>
      <c r="I665" s="506"/>
      <c r="J665" s="506"/>
      <c r="K665" s="507"/>
      <c r="L665" s="508"/>
      <c r="M665" s="508"/>
      <c r="N665" s="508"/>
      <c r="O665" s="509"/>
      <c r="P665" s="509"/>
    </row>
    <row r="666" spans="1:16" ht="21.75" customHeight="1" x14ac:dyDescent="0.3">
      <c r="A666" s="504"/>
      <c r="B666" s="504"/>
      <c r="C666" s="504"/>
      <c r="D666" s="504"/>
      <c r="E666" s="506"/>
      <c r="F666" s="506"/>
      <c r="G666" s="506"/>
      <c r="H666" s="506"/>
      <c r="I666" s="506"/>
      <c r="J666" s="506"/>
      <c r="K666" s="507"/>
      <c r="L666" s="508"/>
      <c r="M666" s="508"/>
      <c r="N666" s="508"/>
      <c r="O666" s="509"/>
      <c r="P666" s="509"/>
    </row>
    <row r="667" spans="1:16" ht="21.75" customHeight="1" x14ac:dyDescent="0.3">
      <c r="A667" s="504"/>
      <c r="B667" s="504"/>
      <c r="C667" s="504"/>
      <c r="D667" s="504"/>
      <c r="E667" s="506"/>
      <c r="F667" s="506"/>
      <c r="G667" s="506"/>
      <c r="H667" s="506"/>
      <c r="I667" s="506"/>
      <c r="J667" s="506"/>
      <c r="K667" s="507"/>
      <c r="L667" s="508"/>
      <c r="M667" s="508"/>
      <c r="N667" s="508"/>
      <c r="O667" s="509"/>
      <c r="P667" s="509"/>
    </row>
    <row r="668" spans="1:16" ht="21.75" customHeight="1" x14ac:dyDescent="0.3">
      <c r="A668" s="504"/>
      <c r="B668" s="504"/>
      <c r="C668" s="504"/>
      <c r="D668" s="504"/>
      <c r="E668" s="506"/>
      <c r="F668" s="506"/>
      <c r="G668" s="506"/>
      <c r="H668" s="506"/>
      <c r="I668" s="506"/>
      <c r="J668" s="506"/>
      <c r="K668" s="507"/>
      <c r="L668" s="508"/>
      <c r="M668" s="508"/>
      <c r="N668" s="508"/>
      <c r="O668" s="509"/>
      <c r="P668" s="509"/>
    </row>
    <row r="669" spans="1:16" ht="21.75" customHeight="1" x14ac:dyDescent="0.3">
      <c r="A669" s="504"/>
      <c r="B669" s="504"/>
      <c r="C669" s="504"/>
      <c r="D669" s="504"/>
      <c r="E669" s="506"/>
      <c r="F669" s="506"/>
      <c r="G669" s="506"/>
      <c r="H669" s="506"/>
      <c r="I669" s="506"/>
      <c r="J669" s="506"/>
      <c r="K669" s="507"/>
      <c r="L669" s="508"/>
      <c r="M669" s="508"/>
      <c r="N669" s="508"/>
      <c r="O669" s="509"/>
      <c r="P669" s="509"/>
    </row>
    <row r="670" spans="1:16" ht="21.75" customHeight="1" x14ac:dyDescent="0.3">
      <c r="A670" s="504"/>
      <c r="B670" s="504"/>
      <c r="C670" s="504"/>
      <c r="D670" s="504"/>
      <c r="E670" s="506"/>
      <c r="F670" s="506"/>
      <c r="G670" s="506"/>
      <c r="H670" s="506"/>
      <c r="I670" s="506"/>
      <c r="J670" s="506"/>
      <c r="K670" s="507"/>
      <c r="L670" s="508"/>
      <c r="M670" s="508"/>
      <c r="N670" s="508"/>
      <c r="O670" s="509"/>
      <c r="P670" s="509"/>
    </row>
    <row r="671" spans="1:16" ht="21.75" customHeight="1" x14ac:dyDescent="0.3">
      <c r="A671" s="504"/>
      <c r="B671" s="504"/>
      <c r="C671" s="504"/>
      <c r="D671" s="504"/>
      <c r="E671" s="506"/>
      <c r="F671" s="506"/>
      <c r="G671" s="506"/>
      <c r="H671" s="506"/>
      <c r="I671" s="506"/>
      <c r="J671" s="506"/>
      <c r="K671" s="507"/>
      <c r="L671" s="508"/>
      <c r="M671" s="508"/>
      <c r="N671" s="508"/>
      <c r="O671" s="509"/>
      <c r="P671" s="509"/>
    </row>
    <row r="672" spans="1:16" ht="21.75" customHeight="1" x14ac:dyDescent="0.3">
      <c r="A672" s="504"/>
      <c r="B672" s="504"/>
      <c r="C672" s="504"/>
      <c r="D672" s="504"/>
      <c r="E672" s="506"/>
      <c r="F672" s="506"/>
      <c r="G672" s="506"/>
      <c r="H672" s="506"/>
      <c r="I672" s="506"/>
      <c r="J672" s="506"/>
      <c r="K672" s="507"/>
      <c r="L672" s="508"/>
      <c r="M672" s="508"/>
      <c r="N672" s="508"/>
      <c r="O672" s="509"/>
      <c r="P672" s="509"/>
    </row>
    <row r="673" spans="1:16" ht="21.75" customHeight="1" x14ac:dyDescent="0.3">
      <c r="A673" s="504"/>
      <c r="B673" s="504"/>
      <c r="C673" s="504"/>
      <c r="D673" s="504"/>
      <c r="E673" s="506"/>
      <c r="F673" s="506"/>
      <c r="G673" s="506"/>
      <c r="H673" s="506"/>
      <c r="I673" s="506"/>
      <c r="J673" s="506"/>
      <c r="K673" s="507"/>
      <c r="L673" s="508"/>
      <c r="M673" s="508"/>
      <c r="N673" s="508"/>
      <c r="O673" s="509"/>
      <c r="P673" s="509"/>
    </row>
    <row r="674" spans="1:16" ht="21.75" customHeight="1" x14ac:dyDescent="0.3">
      <c r="A674" s="504"/>
      <c r="B674" s="504"/>
      <c r="C674" s="504"/>
      <c r="D674" s="504"/>
      <c r="E674" s="506"/>
      <c r="F674" s="506"/>
      <c r="G674" s="506"/>
      <c r="H674" s="506"/>
      <c r="I674" s="506"/>
      <c r="J674" s="506"/>
      <c r="K674" s="507"/>
      <c r="L674" s="508"/>
      <c r="M674" s="508"/>
      <c r="N674" s="508"/>
      <c r="O674" s="509"/>
      <c r="P674" s="509"/>
    </row>
    <row r="675" spans="1:16" ht="21.75" customHeight="1" x14ac:dyDescent="0.3">
      <c r="A675" s="504"/>
      <c r="B675" s="504"/>
      <c r="C675" s="504"/>
      <c r="D675" s="504"/>
      <c r="E675" s="506"/>
      <c r="F675" s="506"/>
      <c r="G675" s="506"/>
      <c r="H675" s="506"/>
      <c r="I675" s="506"/>
      <c r="J675" s="506"/>
      <c r="K675" s="507"/>
      <c r="L675" s="508"/>
      <c r="M675" s="508"/>
      <c r="N675" s="508"/>
      <c r="O675" s="509"/>
      <c r="P675" s="509"/>
    </row>
    <row r="676" spans="1:16" ht="21.75" customHeight="1" x14ac:dyDescent="0.3">
      <c r="A676" s="504"/>
      <c r="B676" s="504"/>
      <c r="C676" s="504"/>
      <c r="D676" s="504"/>
      <c r="E676" s="506"/>
      <c r="F676" s="506"/>
      <c r="G676" s="506"/>
      <c r="H676" s="506"/>
      <c r="I676" s="506"/>
      <c r="J676" s="506"/>
      <c r="K676" s="507"/>
      <c r="L676" s="508"/>
      <c r="M676" s="508"/>
      <c r="N676" s="508"/>
      <c r="O676" s="509"/>
      <c r="P676" s="509"/>
    </row>
    <row r="677" spans="1:16" ht="21.75" customHeight="1" x14ac:dyDescent="0.3">
      <c r="A677" s="504"/>
      <c r="B677" s="504"/>
      <c r="C677" s="504"/>
      <c r="D677" s="504"/>
      <c r="E677" s="506"/>
      <c r="F677" s="506"/>
      <c r="G677" s="506"/>
      <c r="H677" s="506"/>
      <c r="I677" s="506"/>
      <c r="J677" s="506"/>
      <c r="K677" s="507"/>
      <c r="L677" s="508"/>
      <c r="M677" s="508"/>
      <c r="N677" s="508"/>
      <c r="O677" s="509"/>
      <c r="P677" s="509"/>
    </row>
    <row r="678" spans="1:16" ht="21.75" customHeight="1" x14ac:dyDescent="0.3">
      <c r="A678" s="504"/>
      <c r="B678" s="504"/>
      <c r="C678" s="504"/>
      <c r="D678" s="504"/>
      <c r="E678" s="506"/>
      <c r="F678" s="506"/>
      <c r="G678" s="506"/>
      <c r="H678" s="506"/>
      <c r="I678" s="506"/>
      <c r="J678" s="506"/>
      <c r="K678" s="507"/>
      <c r="L678" s="508"/>
      <c r="M678" s="508"/>
      <c r="N678" s="508"/>
      <c r="O678" s="509"/>
      <c r="P678" s="509"/>
    </row>
    <row r="679" spans="1:16" ht="21.75" customHeight="1" x14ac:dyDescent="0.3">
      <c r="A679" s="504"/>
      <c r="B679" s="504"/>
      <c r="C679" s="504"/>
      <c r="D679" s="504"/>
      <c r="E679" s="506"/>
      <c r="F679" s="506"/>
      <c r="G679" s="506"/>
      <c r="H679" s="506"/>
      <c r="I679" s="506"/>
      <c r="J679" s="506"/>
      <c r="K679" s="507"/>
      <c r="L679" s="508"/>
      <c r="M679" s="508"/>
      <c r="N679" s="508"/>
      <c r="O679" s="509"/>
      <c r="P679" s="509"/>
    </row>
    <row r="680" spans="1:16" ht="21.75" customHeight="1" x14ac:dyDescent="0.3">
      <c r="A680" s="504"/>
      <c r="B680" s="504"/>
      <c r="C680" s="504"/>
      <c r="D680" s="504"/>
      <c r="E680" s="506"/>
      <c r="F680" s="506"/>
      <c r="G680" s="506"/>
      <c r="H680" s="506"/>
      <c r="I680" s="506"/>
      <c r="J680" s="506"/>
      <c r="K680" s="507"/>
      <c r="L680" s="508"/>
      <c r="M680" s="508"/>
      <c r="N680" s="508"/>
      <c r="O680" s="509"/>
      <c r="P680" s="509"/>
    </row>
    <row r="681" spans="1:16" ht="21.75" customHeight="1" x14ac:dyDescent="0.3">
      <c r="A681" s="504"/>
      <c r="B681" s="504"/>
      <c r="C681" s="504"/>
      <c r="D681" s="504"/>
      <c r="E681" s="506"/>
      <c r="F681" s="506"/>
      <c r="G681" s="506"/>
      <c r="H681" s="506"/>
      <c r="I681" s="506"/>
      <c r="J681" s="506"/>
      <c r="K681" s="507"/>
      <c r="L681" s="508"/>
      <c r="M681" s="508"/>
      <c r="N681" s="508"/>
      <c r="O681" s="509"/>
      <c r="P681" s="509"/>
    </row>
    <row r="682" spans="1:16" ht="21.75" customHeight="1" x14ac:dyDescent="0.3">
      <c r="A682" s="504"/>
      <c r="B682" s="504"/>
      <c r="C682" s="504"/>
      <c r="D682" s="504"/>
      <c r="E682" s="506"/>
      <c r="F682" s="506"/>
      <c r="G682" s="506"/>
      <c r="H682" s="506"/>
      <c r="I682" s="506"/>
      <c r="J682" s="506"/>
      <c r="K682" s="507"/>
      <c r="L682" s="508"/>
      <c r="M682" s="508"/>
      <c r="N682" s="508"/>
      <c r="O682" s="509"/>
      <c r="P682" s="509"/>
    </row>
    <row r="683" spans="1:16" ht="21.75" customHeight="1" x14ac:dyDescent="0.3">
      <c r="A683" s="504"/>
      <c r="B683" s="504"/>
      <c r="C683" s="504"/>
      <c r="D683" s="504"/>
      <c r="E683" s="506"/>
      <c r="F683" s="506"/>
      <c r="G683" s="506"/>
      <c r="H683" s="506"/>
      <c r="I683" s="506"/>
      <c r="J683" s="506"/>
      <c r="K683" s="507"/>
      <c r="L683" s="508"/>
      <c r="M683" s="508"/>
      <c r="N683" s="508"/>
      <c r="O683" s="509"/>
      <c r="P683" s="509"/>
    </row>
    <row r="684" spans="1:16" ht="21.75" customHeight="1" x14ac:dyDescent="0.3">
      <c r="A684" s="504"/>
      <c r="B684" s="504"/>
      <c r="C684" s="504"/>
      <c r="D684" s="504"/>
      <c r="E684" s="506"/>
      <c r="F684" s="506"/>
      <c r="G684" s="506"/>
      <c r="H684" s="506"/>
      <c r="I684" s="506"/>
      <c r="J684" s="506"/>
      <c r="K684" s="507"/>
      <c r="L684" s="508"/>
      <c r="M684" s="508"/>
      <c r="N684" s="508"/>
      <c r="O684" s="509"/>
      <c r="P684" s="509"/>
    </row>
    <row r="685" spans="1:16" ht="21.75" customHeight="1" x14ac:dyDescent="0.3">
      <c r="A685" s="504"/>
      <c r="B685" s="504"/>
      <c r="C685" s="504"/>
      <c r="D685" s="504"/>
      <c r="E685" s="506"/>
      <c r="F685" s="506"/>
      <c r="G685" s="506"/>
      <c r="H685" s="506"/>
      <c r="I685" s="506"/>
      <c r="J685" s="506"/>
      <c r="K685" s="507"/>
      <c r="L685" s="508"/>
      <c r="M685" s="508"/>
      <c r="N685" s="508"/>
      <c r="O685" s="509"/>
      <c r="P685" s="509"/>
    </row>
    <row r="686" spans="1:16" ht="21.75" customHeight="1" x14ac:dyDescent="0.3">
      <c r="A686" s="504"/>
      <c r="B686" s="504"/>
      <c r="C686" s="504"/>
      <c r="D686" s="504"/>
      <c r="E686" s="506"/>
      <c r="F686" s="506"/>
      <c r="G686" s="506"/>
      <c r="H686" s="506"/>
      <c r="I686" s="506"/>
      <c r="J686" s="506"/>
      <c r="K686" s="507"/>
      <c r="L686" s="508"/>
      <c r="M686" s="508"/>
      <c r="N686" s="508"/>
      <c r="O686" s="509"/>
      <c r="P686" s="509"/>
    </row>
    <row r="687" spans="1:16" ht="21.75" customHeight="1" x14ac:dyDescent="0.3">
      <c r="A687" s="504"/>
      <c r="B687" s="504"/>
      <c r="C687" s="504"/>
      <c r="D687" s="504"/>
      <c r="E687" s="506"/>
      <c r="F687" s="506"/>
      <c r="G687" s="506"/>
      <c r="H687" s="506"/>
      <c r="I687" s="506"/>
      <c r="J687" s="506"/>
      <c r="K687" s="507"/>
      <c r="L687" s="508"/>
      <c r="M687" s="508"/>
      <c r="N687" s="508"/>
      <c r="O687" s="509"/>
      <c r="P687" s="509"/>
    </row>
    <row r="688" spans="1:16" ht="21.75" customHeight="1" x14ac:dyDescent="0.3">
      <c r="A688" s="504"/>
      <c r="B688" s="504"/>
      <c r="C688" s="504"/>
      <c r="D688" s="504"/>
      <c r="E688" s="506"/>
      <c r="F688" s="506"/>
      <c r="G688" s="506"/>
      <c r="H688" s="506"/>
      <c r="I688" s="506"/>
      <c r="J688" s="506"/>
      <c r="K688" s="507"/>
      <c r="L688" s="508"/>
      <c r="M688" s="508"/>
      <c r="N688" s="508"/>
      <c r="O688" s="509"/>
      <c r="P688" s="509"/>
    </row>
    <row r="689" spans="1:16" ht="21.75" customHeight="1" x14ac:dyDescent="0.3">
      <c r="A689" s="504"/>
      <c r="B689" s="504"/>
      <c r="C689" s="504"/>
      <c r="D689" s="504"/>
      <c r="E689" s="506"/>
      <c r="F689" s="506"/>
      <c r="G689" s="506"/>
      <c r="H689" s="506"/>
      <c r="I689" s="506"/>
      <c r="J689" s="506"/>
      <c r="K689" s="507"/>
      <c r="L689" s="508"/>
      <c r="M689" s="508"/>
      <c r="N689" s="508"/>
      <c r="O689" s="509"/>
      <c r="P689" s="509"/>
    </row>
    <row r="690" spans="1:16" ht="21.75" customHeight="1" x14ac:dyDescent="0.3">
      <c r="A690" s="504"/>
      <c r="B690" s="504"/>
      <c r="C690" s="504"/>
      <c r="D690" s="504"/>
      <c r="E690" s="506"/>
      <c r="F690" s="506"/>
      <c r="G690" s="506"/>
      <c r="H690" s="506"/>
      <c r="I690" s="506"/>
      <c r="J690" s="506"/>
      <c r="K690" s="507"/>
      <c r="L690" s="508"/>
      <c r="M690" s="508"/>
      <c r="N690" s="508"/>
      <c r="O690" s="509"/>
      <c r="P690" s="509"/>
    </row>
    <row r="691" spans="1:16" ht="21.75" customHeight="1" x14ac:dyDescent="0.3">
      <c r="A691" s="504"/>
      <c r="B691" s="504"/>
      <c r="C691" s="504"/>
      <c r="D691" s="504"/>
      <c r="E691" s="506"/>
      <c r="F691" s="506"/>
      <c r="G691" s="506"/>
      <c r="H691" s="506"/>
      <c r="I691" s="506"/>
      <c r="J691" s="506"/>
      <c r="K691" s="507"/>
      <c r="L691" s="508"/>
      <c r="M691" s="508"/>
      <c r="N691" s="508"/>
      <c r="O691" s="509"/>
      <c r="P691" s="509"/>
    </row>
    <row r="692" spans="1:16" ht="21.75" customHeight="1" x14ac:dyDescent="0.3">
      <c r="A692" s="504"/>
      <c r="B692" s="504"/>
      <c r="C692" s="504"/>
      <c r="D692" s="504"/>
      <c r="E692" s="506"/>
      <c r="F692" s="506"/>
      <c r="G692" s="506"/>
      <c r="H692" s="506"/>
      <c r="I692" s="506"/>
      <c r="J692" s="506"/>
      <c r="K692" s="507"/>
      <c r="L692" s="508"/>
      <c r="M692" s="508"/>
      <c r="N692" s="508"/>
      <c r="O692" s="509"/>
      <c r="P692" s="509"/>
    </row>
    <row r="693" spans="1:16" ht="21.75" customHeight="1" x14ac:dyDescent="0.3">
      <c r="A693" s="504"/>
      <c r="B693" s="504"/>
      <c r="C693" s="504"/>
      <c r="D693" s="504"/>
      <c r="E693" s="506"/>
      <c r="F693" s="506"/>
      <c r="G693" s="506"/>
      <c r="H693" s="506"/>
      <c r="I693" s="506"/>
      <c r="J693" s="506"/>
      <c r="K693" s="507"/>
      <c r="L693" s="508"/>
      <c r="M693" s="508"/>
      <c r="N693" s="508"/>
      <c r="O693" s="509"/>
      <c r="P693" s="509"/>
    </row>
    <row r="694" spans="1:16" ht="21.75" customHeight="1" x14ac:dyDescent="0.3">
      <c r="A694" s="504"/>
      <c r="B694" s="504"/>
      <c r="C694" s="504"/>
      <c r="D694" s="504"/>
      <c r="E694" s="506"/>
      <c r="F694" s="506"/>
      <c r="G694" s="506"/>
      <c r="H694" s="506"/>
      <c r="I694" s="506"/>
      <c r="J694" s="506"/>
      <c r="K694" s="507"/>
      <c r="L694" s="508"/>
      <c r="M694" s="508"/>
      <c r="N694" s="508"/>
      <c r="O694" s="509"/>
      <c r="P694" s="509"/>
    </row>
    <row r="695" spans="1:16" ht="21.75" customHeight="1" x14ac:dyDescent="0.3">
      <c r="A695" s="504"/>
      <c r="B695" s="504"/>
      <c r="C695" s="504"/>
      <c r="D695" s="504"/>
      <c r="E695" s="506"/>
      <c r="F695" s="506"/>
      <c r="G695" s="506"/>
      <c r="H695" s="506"/>
      <c r="I695" s="506"/>
      <c r="J695" s="506"/>
      <c r="K695" s="507"/>
      <c r="L695" s="508"/>
      <c r="M695" s="508"/>
      <c r="N695" s="508"/>
      <c r="O695" s="509"/>
      <c r="P695" s="509"/>
    </row>
    <row r="696" spans="1:16" ht="21.75" customHeight="1" x14ac:dyDescent="0.3">
      <c r="A696" s="504"/>
      <c r="B696" s="504"/>
      <c r="C696" s="504"/>
      <c r="D696" s="504"/>
      <c r="E696" s="506"/>
      <c r="F696" s="506"/>
      <c r="G696" s="506"/>
      <c r="H696" s="506"/>
      <c r="I696" s="506"/>
      <c r="J696" s="506"/>
      <c r="K696" s="507"/>
      <c r="L696" s="508"/>
      <c r="M696" s="508"/>
      <c r="N696" s="508"/>
      <c r="O696" s="509"/>
      <c r="P696" s="509"/>
    </row>
    <row r="697" spans="1:16" ht="21.75" customHeight="1" x14ac:dyDescent="0.3">
      <c r="A697" s="504"/>
      <c r="B697" s="504"/>
      <c r="C697" s="504"/>
      <c r="D697" s="504"/>
      <c r="E697" s="506"/>
      <c r="F697" s="506"/>
      <c r="G697" s="506"/>
      <c r="H697" s="506"/>
      <c r="I697" s="506"/>
      <c r="J697" s="506"/>
      <c r="K697" s="507"/>
      <c r="L697" s="508"/>
      <c r="M697" s="508"/>
      <c r="N697" s="508"/>
      <c r="O697" s="509"/>
      <c r="P697" s="509"/>
    </row>
    <row r="698" spans="1:16" ht="21.75" customHeight="1" x14ac:dyDescent="0.3">
      <c r="A698" s="504"/>
      <c r="B698" s="504"/>
      <c r="C698" s="504"/>
      <c r="D698" s="504"/>
      <c r="E698" s="506"/>
      <c r="F698" s="506"/>
      <c r="G698" s="506"/>
      <c r="H698" s="506"/>
      <c r="I698" s="506"/>
      <c r="J698" s="506"/>
      <c r="K698" s="507"/>
      <c r="L698" s="508"/>
      <c r="M698" s="508"/>
      <c r="N698" s="508"/>
      <c r="O698" s="509"/>
      <c r="P698" s="509"/>
    </row>
    <row r="699" spans="1:16" ht="21.75" customHeight="1" x14ac:dyDescent="0.3">
      <c r="A699" s="504"/>
      <c r="B699" s="504"/>
      <c r="C699" s="504"/>
      <c r="D699" s="504"/>
      <c r="E699" s="506"/>
      <c r="F699" s="506"/>
      <c r="G699" s="506"/>
      <c r="H699" s="506"/>
      <c r="I699" s="506"/>
      <c r="J699" s="506"/>
      <c r="K699" s="507"/>
      <c r="L699" s="508"/>
      <c r="M699" s="508"/>
      <c r="N699" s="508"/>
      <c r="O699" s="509"/>
      <c r="P699" s="509"/>
    </row>
    <row r="700" spans="1:16" ht="21.75" customHeight="1" x14ac:dyDescent="0.3">
      <c r="A700" s="504"/>
      <c r="B700" s="504"/>
      <c r="C700" s="504"/>
      <c r="D700" s="504"/>
      <c r="E700" s="506"/>
      <c r="F700" s="506"/>
      <c r="G700" s="506"/>
      <c r="H700" s="506"/>
      <c r="I700" s="506"/>
      <c r="J700" s="506"/>
      <c r="K700" s="507"/>
      <c r="L700" s="508"/>
      <c r="M700" s="508"/>
      <c r="N700" s="508"/>
      <c r="O700" s="509"/>
      <c r="P700" s="509"/>
    </row>
    <row r="701" spans="1:16" ht="21.75" customHeight="1" x14ac:dyDescent="0.3">
      <c r="A701" s="504"/>
      <c r="B701" s="504"/>
      <c r="C701" s="504"/>
      <c r="D701" s="504"/>
      <c r="E701" s="506"/>
      <c r="F701" s="506"/>
      <c r="G701" s="506"/>
      <c r="H701" s="506"/>
      <c r="I701" s="506"/>
      <c r="J701" s="506"/>
      <c r="K701" s="507"/>
      <c r="L701" s="508"/>
      <c r="M701" s="508"/>
      <c r="N701" s="508"/>
      <c r="O701" s="509"/>
      <c r="P701" s="509"/>
    </row>
    <row r="702" spans="1:16" ht="21.75" customHeight="1" x14ac:dyDescent="0.3">
      <c r="A702" s="504"/>
      <c r="B702" s="504"/>
      <c r="C702" s="504"/>
      <c r="D702" s="504"/>
      <c r="E702" s="506"/>
      <c r="F702" s="506"/>
      <c r="G702" s="506"/>
      <c r="H702" s="506"/>
      <c r="I702" s="506"/>
      <c r="J702" s="506"/>
      <c r="K702" s="507"/>
      <c r="L702" s="508"/>
      <c r="M702" s="508"/>
      <c r="N702" s="508"/>
      <c r="O702" s="509"/>
      <c r="P702" s="509"/>
    </row>
    <row r="703" spans="1:16" ht="21.75" customHeight="1" x14ac:dyDescent="0.3">
      <c r="A703" s="504"/>
      <c r="B703" s="504"/>
      <c r="C703" s="504"/>
      <c r="D703" s="504"/>
      <c r="E703" s="506"/>
      <c r="F703" s="506"/>
      <c r="G703" s="506"/>
      <c r="H703" s="506"/>
      <c r="I703" s="506"/>
      <c r="J703" s="506"/>
      <c r="K703" s="507"/>
      <c r="L703" s="508"/>
      <c r="M703" s="508"/>
      <c r="N703" s="508"/>
      <c r="O703" s="509"/>
      <c r="P703" s="509"/>
    </row>
    <row r="704" spans="1:16" ht="21.75" customHeight="1" x14ac:dyDescent="0.3">
      <c r="A704" s="504"/>
      <c r="B704" s="504"/>
      <c r="C704" s="504"/>
      <c r="D704" s="504"/>
      <c r="E704" s="506"/>
      <c r="F704" s="506"/>
      <c r="G704" s="506"/>
      <c r="H704" s="506"/>
      <c r="I704" s="506"/>
      <c r="J704" s="506"/>
      <c r="K704" s="507"/>
      <c r="L704" s="508"/>
      <c r="M704" s="508"/>
      <c r="N704" s="508"/>
      <c r="O704" s="509"/>
      <c r="P704" s="509"/>
    </row>
    <row r="705" spans="1:16" ht="21.75" customHeight="1" x14ac:dyDescent="0.3">
      <c r="A705" s="504"/>
      <c r="B705" s="504"/>
      <c r="C705" s="504"/>
      <c r="D705" s="504"/>
      <c r="E705" s="506"/>
      <c r="F705" s="506"/>
      <c r="G705" s="506"/>
      <c r="H705" s="506"/>
      <c r="I705" s="506"/>
      <c r="J705" s="506"/>
      <c r="K705" s="507"/>
      <c r="L705" s="508"/>
      <c r="M705" s="508"/>
      <c r="N705" s="508"/>
      <c r="O705" s="509"/>
      <c r="P705" s="509"/>
    </row>
    <row r="706" spans="1:16" ht="21.75" customHeight="1" x14ac:dyDescent="0.3">
      <c r="A706" s="504"/>
      <c r="B706" s="504"/>
      <c r="C706" s="504"/>
      <c r="D706" s="504"/>
      <c r="E706" s="506"/>
      <c r="F706" s="506"/>
      <c r="G706" s="506"/>
      <c r="H706" s="506"/>
      <c r="I706" s="506"/>
      <c r="J706" s="506"/>
      <c r="K706" s="507"/>
      <c r="L706" s="508"/>
      <c r="M706" s="508"/>
      <c r="N706" s="508"/>
      <c r="O706" s="509"/>
      <c r="P706" s="509"/>
    </row>
    <row r="707" spans="1:16" ht="21.75" customHeight="1" x14ac:dyDescent="0.3">
      <c r="A707" s="504"/>
      <c r="B707" s="504"/>
      <c r="C707" s="504"/>
      <c r="D707" s="504"/>
      <c r="E707" s="506"/>
      <c r="F707" s="506"/>
      <c r="G707" s="506"/>
      <c r="H707" s="506"/>
      <c r="I707" s="506"/>
      <c r="J707" s="506"/>
      <c r="K707" s="507"/>
      <c r="L707" s="508"/>
      <c r="M707" s="508"/>
      <c r="N707" s="508"/>
      <c r="O707" s="509"/>
      <c r="P707" s="509"/>
    </row>
    <row r="708" spans="1:16" ht="21.75" customHeight="1" x14ac:dyDescent="0.3">
      <c r="A708" s="504"/>
      <c r="B708" s="504"/>
      <c r="C708" s="504"/>
      <c r="D708" s="504"/>
      <c r="E708" s="506"/>
      <c r="F708" s="506"/>
      <c r="G708" s="506"/>
      <c r="H708" s="506"/>
      <c r="I708" s="506"/>
      <c r="J708" s="506"/>
      <c r="K708" s="507"/>
      <c r="L708" s="508"/>
      <c r="M708" s="508"/>
      <c r="N708" s="508"/>
      <c r="O708" s="509"/>
      <c r="P708" s="509"/>
    </row>
    <row r="709" spans="1:16" ht="21.75" customHeight="1" x14ac:dyDescent="0.3">
      <c r="A709" s="504"/>
      <c r="B709" s="504"/>
      <c r="C709" s="504"/>
      <c r="D709" s="504"/>
      <c r="E709" s="506"/>
      <c r="F709" s="506"/>
      <c r="G709" s="506"/>
      <c r="H709" s="506"/>
      <c r="I709" s="506"/>
      <c r="J709" s="506"/>
      <c r="K709" s="507"/>
      <c r="L709" s="508"/>
      <c r="M709" s="508"/>
      <c r="N709" s="508"/>
      <c r="O709" s="509"/>
      <c r="P709" s="509"/>
    </row>
    <row r="710" spans="1:16" ht="21.75" customHeight="1" x14ac:dyDescent="0.3">
      <c r="A710" s="504"/>
      <c r="B710" s="504"/>
      <c r="C710" s="504"/>
      <c r="D710" s="504"/>
      <c r="E710" s="506"/>
      <c r="F710" s="506"/>
      <c r="G710" s="506"/>
      <c r="H710" s="506"/>
      <c r="I710" s="506"/>
      <c r="J710" s="506"/>
      <c r="K710" s="507"/>
      <c r="L710" s="508"/>
      <c r="M710" s="508"/>
      <c r="N710" s="508"/>
      <c r="O710" s="509"/>
      <c r="P710" s="509"/>
    </row>
    <row r="711" spans="1:16" ht="21.75" customHeight="1" x14ac:dyDescent="0.3">
      <c r="A711" s="504"/>
      <c r="B711" s="504"/>
      <c r="C711" s="504"/>
      <c r="D711" s="504"/>
      <c r="E711" s="506"/>
      <c r="F711" s="506"/>
      <c r="G711" s="506"/>
      <c r="H711" s="506"/>
      <c r="I711" s="506"/>
      <c r="J711" s="506"/>
      <c r="K711" s="507"/>
      <c r="L711" s="508"/>
      <c r="M711" s="508"/>
      <c r="N711" s="508"/>
      <c r="O711" s="509"/>
      <c r="P711" s="509"/>
    </row>
    <row r="712" spans="1:16" ht="21.75" customHeight="1" x14ac:dyDescent="0.3">
      <c r="A712" s="504"/>
      <c r="B712" s="504"/>
      <c r="C712" s="504"/>
      <c r="D712" s="504"/>
      <c r="E712" s="506"/>
      <c r="F712" s="506"/>
      <c r="G712" s="506"/>
      <c r="H712" s="506"/>
      <c r="I712" s="506"/>
      <c r="J712" s="506"/>
      <c r="K712" s="507"/>
      <c r="L712" s="508"/>
      <c r="M712" s="508"/>
      <c r="N712" s="508"/>
      <c r="O712" s="509"/>
      <c r="P712" s="509"/>
    </row>
    <row r="713" spans="1:16" ht="21.75" customHeight="1" x14ac:dyDescent="0.3">
      <c r="A713" s="504"/>
      <c r="B713" s="504"/>
      <c r="C713" s="504"/>
      <c r="D713" s="504"/>
      <c r="E713" s="506"/>
      <c r="F713" s="506"/>
      <c r="G713" s="506"/>
      <c r="H713" s="506"/>
      <c r="I713" s="506"/>
      <c r="J713" s="506"/>
      <c r="K713" s="507"/>
      <c r="L713" s="508"/>
      <c r="M713" s="508"/>
      <c r="N713" s="508"/>
      <c r="O713" s="509"/>
      <c r="P713" s="509"/>
    </row>
    <row r="714" spans="1:16" ht="21.75" customHeight="1" x14ac:dyDescent="0.3">
      <c r="A714" s="504"/>
      <c r="B714" s="504"/>
      <c r="C714" s="504"/>
      <c r="D714" s="504"/>
      <c r="E714" s="506"/>
      <c r="F714" s="506"/>
      <c r="G714" s="506"/>
      <c r="H714" s="506"/>
      <c r="I714" s="506"/>
      <c r="J714" s="506"/>
      <c r="K714" s="507"/>
      <c r="L714" s="508"/>
      <c r="M714" s="508"/>
      <c r="N714" s="508"/>
      <c r="O714" s="509"/>
      <c r="P714" s="509"/>
    </row>
    <row r="715" spans="1:16" ht="21.75" customHeight="1" x14ac:dyDescent="0.3">
      <c r="A715" s="504"/>
      <c r="B715" s="504"/>
      <c r="C715" s="504"/>
      <c r="D715" s="504"/>
      <c r="E715" s="506"/>
      <c r="F715" s="506"/>
      <c r="G715" s="506"/>
      <c r="H715" s="506"/>
      <c r="I715" s="506"/>
      <c r="J715" s="506"/>
      <c r="K715" s="507"/>
      <c r="L715" s="508"/>
      <c r="M715" s="508"/>
      <c r="N715" s="508"/>
      <c r="O715" s="509"/>
      <c r="P715" s="509"/>
    </row>
    <row r="716" spans="1:16" ht="21.75" customHeight="1" x14ac:dyDescent="0.3">
      <c r="A716" s="504"/>
      <c r="B716" s="504"/>
      <c r="C716" s="504"/>
      <c r="D716" s="504"/>
      <c r="E716" s="506"/>
      <c r="F716" s="506"/>
      <c r="G716" s="506"/>
      <c r="H716" s="506"/>
      <c r="I716" s="506"/>
      <c r="J716" s="506"/>
      <c r="K716" s="507"/>
      <c r="L716" s="508"/>
      <c r="M716" s="508"/>
      <c r="N716" s="508"/>
      <c r="O716" s="509"/>
      <c r="P716" s="509"/>
    </row>
    <row r="717" spans="1:16" ht="21.75" customHeight="1" x14ac:dyDescent="0.3">
      <c r="A717" s="504"/>
      <c r="B717" s="504"/>
      <c r="C717" s="504"/>
      <c r="D717" s="504"/>
      <c r="E717" s="506"/>
      <c r="F717" s="506"/>
      <c r="G717" s="506"/>
      <c r="H717" s="506"/>
      <c r="I717" s="506"/>
      <c r="J717" s="506"/>
      <c r="K717" s="507"/>
      <c r="L717" s="508"/>
      <c r="M717" s="508"/>
      <c r="N717" s="508"/>
      <c r="O717" s="509"/>
      <c r="P717" s="509"/>
    </row>
    <row r="718" spans="1:16" ht="21.75" customHeight="1" x14ac:dyDescent="0.3">
      <c r="A718" s="504"/>
      <c r="B718" s="504"/>
      <c r="C718" s="504"/>
      <c r="D718" s="504"/>
      <c r="E718" s="506"/>
      <c r="F718" s="506"/>
      <c r="G718" s="506"/>
      <c r="H718" s="506"/>
      <c r="I718" s="506"/>
      <c r="J718" s="506"/>
      <c r="K718" s="507"/>
      <c r="L718" s="508"/>
      <c r="M718" s="508"/>
      <c r="N718" s="508"/>
      <c r="O718" s="509"/>
      <c r="P718" s="509"/>
    </row>
    <row r="719" spans="1:16" ht="21.75" customHeight="1" x14ac:dyDescent="0.3">
      <c r="A719" s="504"/>
      <c r="B719" s="504"/>
      <c r="C719" s="504"/>
      <c r="D719" s="504"/>
      <c r="E719" s="506"/>
      <c r="F719" s="506"/>
      <c r="G719" s="506"/>
      <c r="H719" s="506"/>
      <c r="I719" s="506"/>
      <c r="J719" s="506"/>
      <c r="K719" s="507"/>
      <c r="L719" s="508"/>
      <c r="M719" s="508"/>
      <c r="N719" s="508"/>
      <c r="O719" s="509"/>
      <c r="P719" s="509"/>
    </row>
    <row r="720" spans="1:16" ht="21.75" customHeight="1" x14ac:dyDescent="0.3">
      <c r="A720" s="504"/>
      <c r="B720" s="504"/>
      <c r="C720" s="504"/>
      <c r="D720" s="504"/>
      <c r="E720" s="506"/>
      <c r="F720" s="506"/>
      <c r="G720" s="506"/>
      <c r="H720" s="506"/>
      <c r="I720" s="506"/>
      <c r="J720" s="506"/>
      <c r="K720" s="507"/>
      <c r="L720" s="508"/>
      <c r="M720" s="508"/>
      <c r="N720" s="508"/>
      <c r="O720" s="509"/>
      <c r="P720" s="509"/>
    </row>
    <row r="721" spans="1:16" ht="21.75" customHeight="1" x14ac:dyDescent="0.3">
      <c r="A721" s="504"/>
      <c r="B721" s="504"/>
      <c r="C721" s="504"/>
      <c r="D721" s="504"/>
      <c r="E721" s="506"/>
      <c r="F721" s="506"/>
      <c r="G721" s="506"/>
      <c r="H721" s="506"/>
      <c r="I721" s="506"/>
      <c r="J721" s="506"/>
      <c r="K721" s="507"/>
      <c r="L721" s="508"/>
      <c r="M721" s="508"/>
      <c r="N721" s="508"/>
      <c r="O721" s="509"/>
      <c r="P721" s="509"/>
    </row>
    <row r="722" spans="1:16" ht="21.75" customHeight="1" x14ac:dyDescent="0.3">
      <c r="A722" s="504"/>
      <c r="B722" s="504"/>
      <c r="C722" s="504"/>
      <c r="D722" s="504"/>
      <c r="E722" s="506"/>
      <c r="F722" s="506"/>
      <c r="G722" s="506"/>
      <c r="H722" s="506"/>
      <c r="I722" s="506"/>
      <c r="J722" s="506"/>
      <c r="K722" s="507"/>
      <c r="L722" s="508"/>
      <c r="M722" s="508"/>
      <c r="N722" s="508"/>
      <c r="O722" s="509"/>
      <c r="P722" s="509"/>
    </row>
    <row r="723" spans="1:16" ht="21.75" customHeight="1" x14ac:dyDescent="0.3">
      <c r="A723" s="504"/>
      <c r="B723" s="504"/>
      <c r="C723" s="504"/>
      <c r="D723" s="504"/>
      <c r="E723" s="506"/>
      <c r="F723" s="506"/>
      <c r="G723" s="506"/>
      <c r="H723" s="506"/>
      <c r="I723" s="506"/>
      <c r="J723" s="506"/>
      <c r="K723" s="507"/>
      <c r="L723" s="508"/>
      <c r="M723" s="508"/>
      <c r="N723" s="508"/>
      <c r="O723" s="509"/>
      <c r="P723" s="509"/>
    </row>
    <row r="724" spans="1:16" ht="21.75" customHeight="1" x14ac:dyDescent="0.3">
      <c r="A724" s="504"/>
      <c r="B724" s="504"/>
      <c r="C724" s="504"/>
      <c r="D724" s="504"/>
      <c r="E724" s="506"/>
      <c r="F724" s="506"/>
      <c r="G724" s="506"/>
      <c r="H724" s="506"/>
      <c r="I724" s="506"/>
      <c r="J724" s="506"/>
      <c r="K724" s="507"/>
      <c r="L724" s="508"/>
      <c r="M724" s="508"/>
      <c r="N724" s="508"/>
      <c r="O724" s="509"/>
      <c r="P724" s="509"/>
    </row>
    <row r="725" spans="1:16" ht="21.75" customHeight="1" x14ac:dyDescent="0.3">
      <c r="A725" s="504"/>
      <c r="B725" s="504"/>
      <c r="C725" s="504"/>
      <c r="D725" s="504"/>
      <c r="E725" s="506"/>
      <c r="F725" s="506"/>
      <c r="G725" s="506"/>
      <c r="H725" s="506"/>
      <c r="I725" s="506"/>
      <c r="J725" s="506"/>
      <c r="K725" s="507"/>
      <c r="L725" s="508"/>
      <c r="M725" s="508"/>
      <c r="N725" s="508"/>
      <c r="O725" s="509"/>
      <c r="P725" s="509"/>
    </row>
    <row r="726" spans="1:16" ht="21.75" customHeight="1" x14ac:dyDescent="0.3">
      <c r="A726" s="504"/>
      <c r="B726" s="504"/>
      <c r="C726" s="504"/>
      <c r="D726" s="504"/>
      <c r="E726" s="506"/>
      <c r="F726" s="506"/>
      <c r="G726" s="506"/>
      <c r="H726" s="506"/>
      <c r="I726" s="506"/>
      <c r="J726" s="506"/>
      <c r="K726" s="507"/>
      <c r="L726" s="508"/>
      <c r="M726" s="508"/>
      <c r="N726" s="508"/>
      <c r="O726" s="509"/>
      <c r="P726" s="509"/>
    </row>
    <row r="727" spans="1:16" ht="21.75" customHeight="1" x14ac:dyDescent="0.3">
      <c r="A727" s="504"/>
      <c r="B727" s="504"/>
      <c r="C727" s="504"/>
      <c r="D727" s="504"/>
      <c r="E727" s="506"/>
      <c r="F727" s="506"/>
      <c r="G727" s="506"/>
      <c r="H727" s="506"/>
      <c r="I727" s="506"/>
      <c r="J727" s="506"/>
      <c r="K727" s="507"/>
      <c r="L727" s="508"/>
      <c r="M727" s="508"/>
      <c r="N727" s="508"/>
      <c r="O727" s="509"/>
      <c r="P727" s="509"/>
    </row>
    <row r="728" spans="1:16" ht="21.75" customHeight="1" x14ac:dyDescent="0.3">
      <c r="A728" s="504"/>
      <c r="B728" s="504"/>
      <c r="C728" s="504"/>
      <c r="D728" s="504"/>
      <c r="E728" s="506"/>
      <c r="F728" s="506"/>
      <c r="G728" s="506"/>
      <c r="H728" s="506"/>
      <c r="I728" s="506"/>
      <c r="J728" s="506"/>
      <c r="K728" s="507"/>
      <c r="L728" s="508"/>
      <c r="M728" s="508"/>
      <c r="N728" s="508"/>
      <c r="O728" s="509"/>
      <c r="P728" s="509"/>
    </row>
    <row r="729" spans="1:16" ht="21.75" customHeight="1" x14ac:dyDescent="0.3">
      <c r="A729" s="504"/>
      <c r="B729" s="504"/>
      <c r="C729" s="504"/>
      <c r="D729" s="504"/>
      <c r="E729" s="506"/>
      <c r="F729" s="506"/>
      <c r="G729" s="506"/>
      <c r="H729" s="506"/>
      <c r="I729" s="506"/>
      <c r="J729" s="506"/>
      <c r="K729" s="507"/>
      <c r="L729" s="508"/>
      <c r="M729" s="508"/>
      <c r="N729" s="508"/>
      <c r="O729" s="509"/>
      <c r="P729" s="509"/>
    </row>
    <row r="730" spans="1:16" ht="21.75" customHeight="1" x14ac:dyDescent="0.3">
      <c r="A730" s="504"/>
      <c r="B730" s="504"/>
      <c r="C730" s="504"/>
      <c r="D730" s="504"/>
      <c r="E730" s="506"/>
      <c r="F730" s="506"/>
      <c r="G730" s="506"/>
      <c r="H730" s="506"/>
      <c r="I730" s="506"/>
      <c r="J730" s="506"/>
      <c r="K730" s="507"/>
      <c r="L730" s="508"/>
      <c r="M730" s="508"/>
      <c r="N730" s="508"/>
      <c r="O730" s="509"/>
      <c r="P730" s="509"/>
    </row>
    <row r="731" spans="1:16" ht="21.75" customHeight="1" x14ac:dyDescent="0.3">
      <c r="A731" s="504"/>
      <c r="B731" s="504"/>
      <c r="C731" s="504"/>
      <c r="D731" s="504"/>
      <c r="E731" s="506"/>
      <c r="F731" s="506"/>
      <c r="G731" s="506"/>
      <c r="H731" s="506"/>
      <c r="I731" s="506"/>
      <c r="J731" s="506"/>
      <c r="K731" s="507"/>
      <c r="L731" s="508"/>
      <c r="M731" s="508"/>
      <c r="N731" s="508"/>
      <c r="O731" s="509"/>
      <c r="P731" s="509"/>
    </row>
    <row r="732" spans="1:16" ht="21.75" customHeight="1" x14ac:dyDescent="0.3">
      <c r="A732" s="504"/>
      <c r="B732" s="504"/>
      <c r="C732" s="504"/>
      <c r="D732" s="504"/>
      <c r="E732" s="506"/>
      <c r="F732" s="506"/>
      <c r="G732" s="506"/>
      <c r="H732" s="506"/>
      <c r="I732" s="506"/>
      <c r="J732" s="506"/>
      <c r="K732" s="507"/>
      <c r="L732" s="508"/>
      <c r="M732" s="508"/>
      <c r="N732" s="508"/>
      <c r="O732" s="509"/>
      <c r="P732" s="509"/>
    </row>
    <row r="733" spans="1:16" ht="21.75" customHeight="1" x14ac:dyDescent="0.3">
      <c r="A733" s="504"/>
      <c r="B733" s="504"/>
      <c r="C733" s="504"/>
      <c r="D733" s="504"/>
      <c r="E733" s="506"/>
      <c r="F733" s="506"/>
      <c r="G733" s="506"/>
      <c r="H733" s="506"/>
      <c r="I733" s="506"/>
      <c r="J733" s="506"/>
      <c r="K733" s="507"/>
      <c r="L733" s="508"/>
      <c r="M733" s="508"/>
      <c r="N733" s="508"/>
      <c r="O733" s="509"/>
      <c r="P733" s="509"/>
    </row>
    <row r="734" spans="1:16" ht="21.75" customHeight="1" x14ac:dyDescent="0.3">
      <c r="A734" s="504"/>
      <c r="B734" s="504"/>
      <c r="C734" s="504"/>
      <c r="D734" s="504"/>
      <c r="E734" s="506"/>
      <c r="F734" s="506"/>
      <c r="G734" s="506"/>
      <c r="H734" s="506"/>
      <c r="I734" s="506"/>
      <c r="J734" s="506"/>
      <c r="K734" s="507"/>
      <c r="L734" s="508"/>
      <c r="M734" s="508"/>
      <c r="N734" s="508"/>
      <c r="O734" s="509"/>
      <c r="P734" s="509"/>
    </row>
    <row r="735" spans="1:16" ht="21.75" customHeight="1" x14ac:dyDescent="0.3">
      <c r="A735" s="504"/>
      <c r="B735" s="504"/>
      <c r="C735" s="504"/>
      <c r="D735" s="504"/>
      <c r="E735" s="506"/>
      <c r="F735" s="506"/>
      <c r="G735" s="506"/>
      <c r="H735" s="506"/>
      <c r="I735" s="506"/>
      <c r="J735" s="506"/>
      <c r="K735" s="507"/>
      <c r="L735" s="508"/>
      <c r="M735" s="508"/>
      <c r="N735" s="508"/>
      <c r="O735" s="509"/>
      <c r="P735" s="509"/>
    </row>
    <row r="736" spans="1:16" ht="21.75" customHeight="1" x14ac:dyDescent="0.3">
      <c r="A736" s="504"/>
      <c r="B736" s="504"/>
      <c r="C736" s="504"/>
      <c r="D736" s="504"/>
      <c r="E736" s="506"/>
      <c r="F736" s="506"/>
      <c r="G736" s="506"/>
      <c r="H736" s="506"/>
      <c r="I736" s="506"/>
      <c r="J736" s="506"/>
      <c r="K736" s="507"/>
      <c r="L736" s="508"/>
      <c r="M736" s="508"/>
      <c r="N736" s="508"/>
      <c r="O736" s="509"/>
      <c r="P736" s="509"/>
    </row>
    <row r="737" spans="1:16" ht="21.75" customHeight="1" x14ac:dyDescent="0.3">
      <c r="A737" s="504"/>
      <c r="B737" s="504"/>
      <c r="C737" s="504"/>
      <c r="D737" s="504"/>
      <c r="E737" s="506"/>
      <c r="F737" s="506"/>
      <c r="G737" s="506"/>
      <c r="H737" s="506"/>
      <c r="I737" s="506"/>
      <c r="J737" s="506"/>
      <c r="K737" s="507"/>
      <c r="L737" s="508"/>
      <c r="M737" s="508"/>
      <c r="N737" s="508"/>
      <c r="O737" s="509"/>
      <c r="P737" s="509"/>
    </row>
    <row r="738" spans="1:16" ht="21.75" customHeight="1" x14ac:dyDescent="0.3">
      <c r="A738" s="504"/>
      <c r="B738" s="504"/>
      <c r="C738" s="504"/>
      <c r="D738" s="504"/>
      <c r="E738" s="506"/>
      <c r="F738" s="506"/>
      <c r="G738" s="506"/>
      <c r="H738" s="506"/>
      <c r="I738" s="506"/>
      <c r="J738" s="506"/>
      <c r="K738" s="507"/>
      <c r="L738" s="508"/>
      <c r="M738" s="508"/>
      <c r="N738" s="508"/>
      <c r="O738" s="509"/>
      <c r="P738" s="509"/>
    </row>
    <row r="739" spans="1:16" ht="21.75" customHeight="1" x14ac:dyDescent="0.3">
      <c r="A739" s="504"/>
      <c r="B739" s="504"/>
      <c r="C739" s="504"/>
      <c r="D739" s="504"/>
      <c r="E739" s="506"/>
      <c r="F739" s="506"/>
      <c r="G739" s="506"/>
      <c r="H739" s="506"/>
      <c r="I739" s="506"/>
      <c r="J739" s="506"/>
      <c r="K739" s="507"/>
      <c r="L739" s="508"/>
      <c r="M739" s="508"/>
      <c r="N739" s="508"/>
      <c r="O739" s="509"/>
      <c r="P739" s="509"/>
    </row>
    <row r="740" spans="1:16" ht="21.75" customHeight="1" x14ac:dyDescent="0.3">
      <c r="A740" s="504"/>
      <c r="B740" s="504"/>
      <c r="C740" s="504"/>
      <c r="D740" s="504"/>
      <c r="E740" s="506"/>
      <c r="F740" s="506"/>
      <c r="G740" s="506"/>
      <c r="H740" s="506"/>
      <c r="I740" s="506"/>
      <c r="J740" s="506"/>
      <c r="K740" s="507"/>
      <c r="L740" s="508"/>
      <c r="M740" s="508"/>
      <c r="N740" s="508"/>
      <c r="O740" s="509"/>
      <c r="P740" s="509"/>
    </row>
    <row r="741" spans="1:16" ht="21.75" customHeight="1" x14ac:dyDescent="0.3">
      <c r="A741" s="504"/>
      <c r="B741" s="504"/>
      <c r="C741" s="504"/>
      <c r="D741" s="504"/>
      <c r="E741" s="506"/>
      <c r="F741" s="506"/>
      <c r="G741" s="506"/>
      <c r="H741" s="506"/>
      <c r="I741" s="506"/>
      <c r="J741" s="506"/>
      <c r="K741" s="507"/>
      <c r="L741" s="508"/>
      <c r="M741" s="508"/>
      <c r="N741" s="508"/>
      <c r="O741" s="509"/>
      <c r="P741" s="509"/>
    </row>
    <row r="742" spans="1:16" ht="21.75" customHeight="1" x14ac:dyDescent="0.3">
      <c r="A742" s="504"/>
      <c r="B742" s="504"/>
      <c r="C742" s="504"/>
      <c r="D742" s="504"/>
      <c r="E742" s="506"/>
      <c r="F742" s="506"/>
      <c r="G742" s="506"/>
      <c r="H742" s="506"/>
      <c r="I742" s="506"/>
      <c r="J742" s="506"/>
      <c r="K742" s="507"/>
      <c r="L742" s="508"/>
      <c r="M742" s="508"/>
      <c r="N742" s="508"/>
      <c r="O742" s="509"/>
      <c r="P742" s="509"/>
    </row>
    <row r="743" spans="1:16" ht="21.75" customHeight="1" x14ac:dyDescent="0.3">
      <c r="A743" s="504"/>
      <c r="B743" s="504"/>
      <c r="C743" s="504"/>
      <c r="D743" s="504"/>
      <c r="E743" s="506"/>
      <c r="F743" s="506"/>
      <c r="G743" s="506"/>
      <c r="H743" s="506"/>
      <c r="I743" s="506"/>
      <c r="J743" s="506"/>
      <c r="K743" s="507"/>
      <c r="L743" s="508"/>
      <c r="M743" s="508"/>
      <c r="N743" s="508"/>
      <c r="O743" s="509"/>
      <c r="P743" s="509"/>
    </row>
    <row r="744" spans="1:16" ht="21.75" customHeight="1" x14ac:dyDescent="0.3">
      <c r="A744" s="504"/>
      <c r="B744" s="504"/>
      <c r="C744" s="504"/>
      <c r="D744" s="504"/>
      <c r="E744" s="506"/>
      <c r="F744" s="506"/>
      <c r="G744" s="506"/>
      <c r="H744" s="506"/>
      <c r="I744" s="506"/>
      <c r="J744" s="506"/>
      <c r="K744" s="507"/>
      <c r="L744" s="508"/>
      <c r="M744" s="508"/>
      <c r="N744" s="508"/>
      <c r="O744" s="509"/>
      <c r="P744" s="509"/>
    </row>
    <row r="745" spans="1:16" ht="21.75" customHeight="1" x14ac:dyDescent="0.3">
      <c r="A745" s="504"/>
      <c r="B745" s="504"/>
      <c r="C745" s="504"/>
      <c r="D745" s="504"/>
      <c r="E745" s="506"/>
      <c r="F745" s="506"/>
      <c r="G745" s="506"/>
      <c r="H745" s="506"/>
      <c r="I745" s="506"/>
      <c r="J745" s="506"/>
      <c r="K745" s="507"/>
      <c r="L745" s="508"/>
      <c r="M745" s="508"/>
      <c r="N745" s="508"/>
      <c r="O745" s="509"/>
      <c r="P745" s="509"/>
    </row>
    <row r="746" spans="1:16" ht="21.75" customHeight="1" x14ac:dyDescent="0.3">
      <c r="A746" s="504"/>
      <c r="B746" s="504"/>
      <c r="C746" s="504"/>
      <c r="D746" s="504"/>
      <c r="E746" s="506"/>
      <c r="F746" s="506"/>
      <c r="G746" s="506"/>
      <c r="H746" s="506"/>
      <c r="I746" s="506"/>
      <c r="J746" s="506"/>
      <c r="K746" s="507"/>
      <c r="L746" s="508"/>
      <c r="M746" s="508"/>
      <c r="N746" s="508"/>
      <c r="O746" s="509"/>
      <c r="P746" s="509"/>
    </row>
    <row r="747" spans="1:16" ht="21.75" customHeight="1" x14ac:dyDescent="0.3">
      <c r="A747" s="504"/>
      <c r="B747" s="504"/>
      <c r="C747" s="504"/>
      <c r="D747" s="504"/>
      <c r="E747" s="506"/>
      <c r="F747" s="506"/>
      <c r="G747" s="506"/>
      <c r="H747" s="506"/>
      <c r="I747" s="506"/>
      <c r="J747" s="506"/>
      <c r="K747" s="507"/>
      <c r="L747" s="508"/>
      <c r="M747" s="508"/>
      <c r="N747" s="508"/>
      <c r="O747" s="509"/>
      <c r="P747" s="509"/>
    </row>
    <row r="748" spans="1:16" ht="21.75" customHeight="1" x14ac:dyDescent="0.3">
      <c r="A748" s="504"/>
      <c r="B748" s="504"/>
      <c r="C748" s="504"/>
      <c r="D748" s="504"/>
      <c r="E748" s="506"/>
      <c r="F748" s="506"/>
      <c r="G748" s="506"/>
      <c r="H748" s="506"/>
      <c r="I748" s="506"/>
      <c r="J748" s="506"/>
      <c r="K748" s="507"/>
      <c r="L748" s="508"/>
      <c r="M748" s="508"/>
      <c r="N748" s="508"/>
      <c r="O748" s="509"/>
      <c r="P748" s="509"/>
    </row>
    <row r="749" spans="1:16" ht="21.75" customHeight="1" x14ac:dyDescent="0.3">
      <c r="A749" s="504"/>
      <c r="B749" s="504"/>
      <c r="C749" s="504"/>
      <c r="D749" s="504"/>
      <c r="E749" s="506"/>
      <c r="F749" s="506"/>
      <c r="G749" s="506"/>
      <c r="H749" s="506"/>
      <c r="I749" s="506"/>
      <c r="J749" s="506"/>
      <c r="K749" s="507"/>
      <c r="L749" s="508"/>
      <c r="M749" s="508"/>
      <c r="N749" s="508"/>
      <c r="O749" s="509"/>
      <c r="P749" s="509"/>
    </row>
    <row r="750" spans="1:16" ht="21.75" customHeight="1" x14ac:dyDescent="0.3">
      <c r="A750" s="504"/>
      <c r="B750" s="504"/>
      <c r="C750" s="504"/>
      <c r="D750" s="504"/>
      <c r="E750" s="506"/>
      <c r="F750" s="506"/>
      <c r="G750" s="506"/>
      <c r="H750" s="506"/>
      <c r="I750" s="506"/>
      <c r="J750" s="506"/>
      <c r="K750" s="507"/>
      <c r="L750" s="508"/>
      <c r="M750" s="508"/>
      <c r="N750" s="508"/>
      <c r="O750" s="509"/>
      <c r="P750" s="509"/>
    </row>
    <row r="751" spans="1:16" ht="21.75" customHeight="1" x14ac:dyDescent="0.3">
      <c r="A751" s="504"/>
      <c r="B751" s="504"/>
      <c r="C751" s="504"/>
      <c r="D751" s="504"/>
      <c r="E751" s="506"/>
      <c r="F751" s="506"/>
      <c r="G751" s="506"/>
      <c r="H751" s="506"/>
      <c r="I751" s="506"/>
      <c r="J751" s="506"/>
      <c r="K751" s="507"/>
      <c r="L751" s="508"/>
      <c r="M751" s="508"/>
      <c r="N751" s="508"/>
      <c r="O751" s="509"/>
      <c r="P751" s="509"/>
    </row>
    <row r="752" spans="1:16" ht="21.75" customHeight="1" x14ac:dyDescent="0.3">
      <c r="A752" s="504"/>
      <c r="B752" s="504"/>
      <c r="C752" s="504"/>
      <c r="D752" s="504"/>
      <c r="E752" s="506"/>
      <c r="F752" s="506"/>
      <c r="G752" s="506"/>
      <c r="H752" s="506"/>
      <c r="I752" s="506"/>
      <c r="J752" s="506"/>
      <c r="K752" s="507"/>
      <c r="L752" s="508"/>
      <c r="M752" s="508"/>
      <c r="N752" s="508"/>
      <c r="O752" s="509"/>
      <c r="P752" s="509"/>
    </row>
    <row r="753" spans="1:16" ht="21.75" customHeight="1" x14ac:dyDescent="0.3">
      <c r="A753" s="504"/>
      <c r="B753" s="504"/>
      <c r="C753" s="504"/>
      <c r="D753" s="504"/>
      <c r="E753" s="506"/>
      <c r="F753" s="506"/>
      <c r="G753" s="506"/>
      <c r="H753" s="506"/>
      <c r="I753" s="506"/>
      <c r="J753" s="506"/>
      <c r="K753" s="507"/>
      <c r="L753" s="508"/>
      <c r="M753" s="508"/>
      <c r="N753" s="508"/>
      <c r="O753" s="509"/>
      <c r="P753" s="509"/>
    </row>
    <row r="754" spans="1:16" ht="21.75" customHeight="1" x14ac:dyDescent="0.3">
      <c r="A754" s="504"/>
      <c r="B754" s="504"/>
      <c r="C754" s="504"/>
      <c r="D754" s="504"/>
      <c r="E754" s="506"/>
      <c r="F754" s="506"/>
      <c r="G754" s="506"/>
      <c r="H754" s="506"/>
      <c r="I754" s="506"/>
      <c r="J754" s="506"/>
      <c r="K754" s="507"/>
      <c r="L754" s="508"/>
      <c r="M754" s="508"/>
      <c r="N754" s="508"/>
      <c r="O754" s="509"/>
      <c r="P754" s="509"/>
    </row>
    <row r="755" spans="1:16" ht="21.75" customHeight="1" x14ac:dyDescent="0.3">
      <c r="A755" s="504"/>
      <c r="B755" s="504"/>
      <c r="C755" s="504"/>
      <c r="D755" s="504"/>
      <c r="E755" s="506"/>
      <c r="F755" s="506"/>
      <c r="G755" s="506"/>
      <c r="H755" s="506"/>
      <c r="I755" s="506"/>
      <c r="J755" s="506"/>
      <c r="K755" s="507"/>
      <c r="L755" s="508"/>
      <c r="M755" s="508"/>
      <c r="N755" s="508"/>
      <c r="O755" s="509"/>
      <c r="P755" s="509"/>
    </row>
    <row r="756" spans="1:16" ht="21.75" customHeight="1" x14ac:dyDescent="0.3">
      <c r="A756" s="504"/>
      <c r="B756" s="504"/>
      <c r="C756" s="504"/>
      <c r="D756" s="504"/>
      <c r="E756" s="506"/>
      <c r="F756" s="506"/>
      <c r="G756" s="506"/>
      <c r="H756" s="506"/>
      <c r="I756" s="506"/>
      <c r="J756" s="506"/>
      <c r="K756" s="507"/>
      <c r="L756" s="508"/>
      <c r="M756" s="508"/>
      <c r="N756" s="508"/>
      <c r="O756" s="509"/>
      <c r="P756" s="509"/>
    </row>
    <row r="757" spans="1:16" ht="21.75" customHeight="1" x14ac:dyDescent="0.3">
      <c r="A757" s="504"/>
      <c r="B757" s="504"/>
      <c r="C757" s="504"/>
      <c r="D757" s="504"/>
      <c r="E757" s="506"/>
      <c r="F757" s="506"/>
      <c r="G757" s="506"/>
      <c r="H757" s="506"/>
      <c r="I757" s="506"/>
      <c r="J757" s="506"/>
      <c r="K757" s="507"/>
      <c r="L757" s="508"/>
      <c r="M757" s="508"/>
      <c r="N757" s="508"/>
      <c r="O757" s="509"/>
      <c r="P757" s="509"/>
    </row>
    <row r="758" spans="1:16" ht="21.75" customHeight="1" x14ac:dyDescent="0.3">
      <c r="A758" s="504"/>
      <c r="B758" s="504"/>
      <c r="C758" s="504"/>
      <c r="D758" s="504"/>
      <c r="E758" s="506"/>
      <c r="F758" s="506"/>
      <c r="G758" s="506"/>
      <c r="H758" s="506"/>
      <c r="I758" s="506"/>
      <c r="J758" s="506"/>
      <c r="K758" s="507"/>
      <c r="L758" s="508"/>
      <c r="M758" s="508"/>
      <c r="N758" s="508"/>
      <c r="O758" s="509"/>
      <c r="P758" s="509"/>
    </row>
    <row r="759" spans="1:16" ht="21.75" customHeight="1" x14ac:dyDescent="0.3">
      <c r="A759" s="504"/>
      <c r="B759" s="504"/>
      <c r="C759" s="504"/>
      <c r="D759" s="504"/>
      <c r="E759" s="506"/>
      <c r="F759" s="506"/>
      <c r="G759" s="506"/>
      <c r="H759" s="506"/>
      <c r="I759" s="506"/>
      <c r="J759" s="506"/>
      <c r="K759" s="507"/>
      <c r="L759" s="508"/>
      <c r="M759" s="508"/>
      <c r="N759" s="508"/>
      <c r="O759" s="509"/>
      <c r="P759" s="509"/>
    </row>
    <row r="760" spans="1:16" ht="21.75" customHeight="1" x14ac:dyDescent="0.3">
      <c r="A760" s="504"/>
      <c r="B760" s="504"/>
      <c r="C760" s="504"/>
      <c r="D760" s="504"/>
      <c r="E760" s="506"/>
      <c r="F760" s="506"/>
      <c r="G760" s="506"/>
      <c r="H760" s="506"/>
      <c r="I760" s="506"/>
      <c r="J760" s="506"/>
      <c r="K760" s="507"/>
      <c r="L760" s="508"/>
      <c r="M760" s="508"/>
      <c r="N760" s="508"/>
      <c r="O760" s="509"/>
      <c r="P760" s="509"/>
    </row>
    <row r="761" spans="1:16" ht="21.75" customHeight="1" x14ac:dyDescent="0.3">
      <c r="A761" s="504"/>
      <c r="B761" s="504"/>
      <c r="C761" s="504"/>
      <c r="D761" s="504"/>
      <c r="E761" s="506"/>
      <c r="F761" s="506"/>
      <c r="G761" s="506"/>
      <c r="H761" s="506"/>
      <c r="I761" s="506"/>
      <c r="J761" s="506"/>
      <c r="K761" s="507"/>
      <c r="L761" s="508"/>
      <c r="M761" s="508"/>
      <c r="N761" s="508"/>
      <c r="O761" s="509"/>
      <c r="P761" s="509"/>
    </row>
    <row r="762" spans="1:16" ht="21.75" customHeight="1" x14ac:dyDescent="0.3">
      <c r="A762" s="504"/>
      <c r="B762" s="504"/>
      <c r="C762" s="504"/>
      <c r="D762" s="504"/>
      <c r="E762" s="506"/>
      <c r="F762" s="506"/>
      <c r="G762" s="506"/>
      <c r="H762" s="506"/>
      <c r="I762" s="506"/>
      <c r="J762" s="506"/>
      <c r="K762" s="507"/>
      <c r="L762" s="508"/>
      <c r="M762" s="508"/>
      <c r="N762" s="508"/>
      <c r="O762" s="509"/>
      <c r="P762" s="509"/>
    </row>
    <row r="763" spans="1:16" ht="21.75" customHeight="1" x14ac:dyDescent="0.3">
      <c r="A763" s="504"/>
      <c r="B763" s="504"/>
      <c r="C763" s="504"/>
      <c r="D763" s="504"/>
      <c r="E763" s="506"/>
      <c r="F763" s="506"/>
      <c r="G763" s="506"/>
      <c r="H763" s="506"/>
      <c r="I763" s="506"/>
      <c r="J763" s="506"/>
      <c r="K763" s="507"/>
      <c r="L763" s="508"/>
      <c r="M763" s="508"/>
      <c r="N763" s="508"/>
      <c r="O763" s="509"/>
      <c r="P763" s="509"/>
    </row>
    <row r="764" spans="1:16" ht="21.75" customHeight="1" x14ac:dyDescent="0.3">
      <c r="A764" s="504"/>
      <c r="B764" s="504"/>
      <c r="C764" s="504"/>
      <c r="D764" s="504"/>
      <c r="E764" s="506"/>
      <c r="F764" s="506"/>
      <c r="G764" s="506"/>
      <c r="H764" s="506"/>
      <c r="I764" s="506"/>
      <c r="J764" s="506"/>
      <c r="K764" s="507"/>
      <c r="L764" s="508"/>
      <c r="M764" s="508"/>
      <c r="N764" s="508"/>
      <c r="O764" s="509"/>
      <c r="P764" s="509"/>
    </row>
    <row r="765" spans="1:16" ht="21.75" customHeight="1" x14ac:dyDescent="0.3">
      <c r="A765" s="504"/>
      <c r="B765" s="504"/>
      <c r="C765" s="504"/>
      <c r="D765" s="504"/>
      <c r="E765" s="506"/>
      <c r="F765" s="506"/>
      <c r="G765" s="506"/>
      <c r="H765" s="506"/>
      <c r="I765" s="506"/>
      <c r="J765" s="506"/>
      <c r="K765" s="507"/>
      <c r="L765" s="508"/>
      <c r="M765" s="508"/>
      <c r="N765" s="508"/>
      <c r="O765" s="509"/>
      <c r="P765" s="509"/>
    </row>
    <row r="766" spans="1:16" ht="21.75" customHeight="1" x14ac:dyDescent="0.3">
      <c r="A766" s="504"/>
      <c r="B766" s="504"/>
      <c r="C766" s="504"/>
      <c r="D766" s="504"/>
      <c r="E766" s="506"/>
      <c r="F766" s="506"/>
      <c r="G766" s="506"/>
      <c r="H766" s="506"/>
      <c r="I766" s="506"/>
      <c r="J766" s="506"/>
      <c r="K766" s="507"/>
      <c r="L766" s="508"/>
      <c r="M766" s="508"/>
      <c r="N766" s="508"/>
      <c r="O766" s="509"/>
      <c r="P766" s="509"/>
    </row>
    <row r="767" spans="1:16" ht="21.75" customHeight="1" x14ac:dyDescent="0.3">
      <c r="A767" s="504"/>
      <c r="B767" s="504"/>
      <c r="C767" s="504"/>
      <c r="D767" s="504"/>
      <c r="E767" s="506"/>
      <c r="F767" s="506"/>
      <c r="G767" s="506"/>
      <c r="H767" s="506"/>
      <c r="I767" s="506"/>
      <c r="J767" s="506"/>
      <c r="K767" s="507"/>
      <c r="L767" s="508"/>
      <c r="M767" s="508"/>
      <c r="N767" s="508"/>
      <c r="O767" s="509"/>
      <c r="P767" s="509"/>
    </row>
    <row r="768" spans="1:16" ht="21.75" customHeight="1" x14ac:dyDescent="0.3">
      <c r="A768" s="504"/>
      <c r="B768" s="504"/>
      <c r="C768" s="504"/>
      <c r="D768" s="504"/>
      <c r="E768" s="506"/>
      <c r="F768" s="506"/>
      <c r="G768" s="506"/>
      <c r="H768" s="506"/>
      <c r="I768" s="506"/>
      <c r="J768" s="506"/>
      <c r="K768" s="507"/>
      <c r="L768" s="508"/>
      <c r="M768" s="508"/>
      <c r="N768" s="508"/>
      <c r="O768" s="509"/>
      <c r="P768" s="509"/>
    </row>
    <row r="769" spans="1:16" ht="21.75" customHeight="1" x14ac:dyDescent="0.3">
      <c r="A769" s="504"/>
      <c r="B769" s="504"/>
      <c r="C769" s="504"/>
      <c r="D769" s="504"/>
      <c r="E769" s="506"/>
      <c r="F769" s="506"/>
      <c r="G769" s="506"/>
      <c r="H769" s="506"/>
      <c r="I769" s="506"/>
      <c r="J769" s="506"/>
      <c r="K769" s="507"/>
      <c r="L769" s="508"/>
      <c r="M769" s="508"/>
      <c r="N769" s="508"/>
      <c r="O769" s="509"/>
      <c r="P769" s="509"/>
    </row>
    <row r="770" spans="1:16" ht="21.75" customHeight="1" x14ac:dyDescent="0.3">
      <c r="A770" s="504"/>
      <c r="B770" s="504"/>
      <c r="C770" s="504"/>
      <c r="D770" s="504"/>
      <c r="E770" s="506"/>
      <c r="F770" s="506"/>
      <c r="G770" s="506"/>
      <c r="H770" s="506"/>
      <c r="I770" s="506"/>
      <c r="J770" s="506"/>
      <c r="K770" s="507"/>
      <c r="L770" s="508"/>
      <c r="M770" s="508"/>
      <c r="N770" s="508"/>
      <c r="O770" s="509"/>
      <c r="P770" s="509"/>
    </row>
    <row r="771" spans="1:16" ht="21.75" customHeight="1" x14ac:dyDescent="0.3">
      <c r="A771" s="504"/>
      <c r="B771" s="504"/>
      <c r="C771" s="504"/>
      <c r="D771" s="504"/>
      <c r="E771" s="506"/>
      <c r="F771" s="506"/>
      <c r="G771" s="506"/>
      <c r="H771" s="506"/>
      <c r="I771" s="506"/>
      <c r="J771" s="506"/>
      <c r="K771" s="507"/>
      <c r="L771" s="508"/>
      <c r="M771" s="508"/>
      <c r="N771" s="508"/>
      <c r="O771" s="509"/>
      <c r="P771" s="509"/>
    </row>
    <row r="772" spans="1:16" ht="21.75" customHeight="1" x14ac:dyDescent="0.3">
      <c r="A772" s="504"/>
      <c r="B772" s="504"/>
      <c r="C772" s="504"/>
      <c r="D772" s="504"/>
      <c r="E772" s="506"/>
      <c r="F772" s="506"/>
      <c r="G772" s="506"/>
      <c r="H772" s="506"/>
      <c r="I772" s="506"/>
      <c r="J772" s="506"/>
      <c r="K772" s="507"/>
      <c r="L772" s="508"/>
      <c r="M772" s="508"/>
      <c r="N772" s="508"/>
      <c r="O772" s="509"/>
      <c r="P772" s="509"/>
    </row>
    <row r="773" spans="1:16" ht="21.75" customHeight="1" x14ac:dyDescent="0.3">
      <c r="A773" s="504"/>
      <c r="B773" s="504"/>
      <c r="C773" s="504"/>
      <c r="D773" s="504"/>
      <c r="E773" s="506"/>
      <c r="F773" s="506"/>
      <c r="G773" s="506"/>
      <c r="H773" s="506"/>
      <c r="I773" s="506"/>
      <c r="J773" s="506"/>
      <c r="K773" s="507"/>
      <c r="L773" s="508"/>
      <c r="M773" s="508"/>
      <c r="N773" s="508"/>
      <c r="O773" s="509"/>
      <c r="P773" s="509"/>
    </row>
    <row r="774" spans="1:16" ht="21.75" customHeight="1" x14ac:dyDescent="0.3">
      <c r="A774" s="504"/>
      <c r="B774" s="504"/>
      <c r="C774" s="504"/>
      <c r="D774" s="504"/>
      <c r="E774" s="506"/>
      <c r="F774" s="506"/>
      <c r="G774" s="506"/>
      <c r="H774" s="506"/>
      <c r="I774" s="506"/>
      <c r="J774" s="506"/>
      <c r="K774" s="507"/>
      <c r="L774" s="508"/>
      <c r="M774" s="508"/>
      <c r="N774" s="508"/>
      <c r="O774" s="509"/>
      <c r="P774" s="509"/>
    </row>
    <row r="775" spans="1:16" ht="21.75" customHeight="1" x14ac:dyDescent="0.3">
      <c r="A775" s="504"/>
      <c r="B775" s="504"/>
      <c r="C775" s="504"/>
      <c r="D775" s="504"/>
      <c r="E775" s="506"/>
      <c r="F775" s="506"/>
      <c r="G775" s="506"/>
      <c r="H775" s="506"/>
      <c r="I775" s="506"/>
      <c r="J775" s="506"/>
      <c r="K775" s="507"/>
      <c r="L775" s="508"/>
      <c r="M775" s="508"/>
      <c r="N775" s="508"/>
      <c r="O775" s="509"/>
      <c r="P775" s="509"/>
    </row>
    <row r="776" spans="1:16" ht="21.75" customHeight="1" x14ac:dyDescent="0.3">
      <c r="A776" s="504"/>
      <c r="B776" s="504"/>
      <c r="C776" s="504"/>
      <c r="D776" s="504"/>
      <c r="E776" s="506"/>
      <c r="F776" s="506"/>
      <c r="G776" s="506"/>
      <c r="H776" s="506"/>
      <c r="I776" s="506"/>
      <c r="J776" s="506"/>
      <c r="K776" s="507"/>
      <c r="L776" s="508"/>
      <c r="M776" s="508"/>
      <c r="N776" s="508"/>
      <c r="O776" s="509"/>
      <c r="P776" s="509"/>
    </row>
    <row r="777" spans="1:16" ht="21.75" customHeight="1" x14ac:dyDescent="0.3">
      <c r="A777" s="504"/>
      <c r="B777" s="504"/>
      <c r="C777" s="504"/>
      <c r="D777" s="504"/>
      <c r="E777" s="506"/>
      <c r="F777" s="506"/>
      <c r="G777" s="506"/>
      <c r="H777" s="506"/>
      <c r="I777" s="506"/>
      <c r="J777" s="506"/>
      <c r="K777" s="507"/>
      <c r="L777" s="508"/>
      <c r="M777" s="508"/>
      <c r="N777" s="508"/>
      <c r="O777" s="509"/>
      <c r="P777" s="509"/>
    </row>
    <row r="778" spans="1:16" ht="21.75" customHeight="1" x14ac:dyDescent="0.3">
      <c r="A778" s="504"/>
      <c r="B778" s="504"/>
      <c r="C778" s="504"/>
      <c r="D778" s="504"/>
      <c r="E778" s="506"/>
      <c r="F778" s="506"/>
      <c r="G778" s="506"/>
      <c r="H778" s="506"/>
      <c r="I778" s="506"/>
      <c r="J778" s="506"/>
      <c r="K778" s="507"/>
      <c r="L778" s="508"/>
      <c r="M778" s="508"/>
      <c r="N778" s="508"/>
      <c r="O778" s="509"/>
      <c r="P778" s="509"/>
    </row>
    <row r="779" spans="1:16" ht="21.75" customHeight="1" x14ac:dyDescent="0.3">
      <c r="A779" s="504"/>
      <c r="B779" s="504"/>
      <c r="C779" s="504"/>
      <c r="D779" s="504"/>
      <c r="E779" s="506"/>
      <c r="F779" s="506"/>
      <c r="G779" s="506"/>
      <c r="H779" s="506"/>
      <c r="I779" s="506"/>
      <c r="J779" s="506"/>
      <c r="K779" s="507"/>
      <c r="L779" s="508"/>
      <c r="M779" s="508"/>
      <c r="N779" s="508"/>
      <c r="O779" s="509"/>
      <c r="P779" s="509"/>
    </row>
    <row r="780" spans="1:16" ht="21.75" customHeight="1" x14ac:dyDescent="0.3">
      <c r="A780" s="504"/>
      <c r="B780" s="504"/>
      <c r="C780" s="504"/>
      <c r="D780" s="504"/>
      <c r="E780" s="506"/>
      <c r="F780" s="506"/>
      <c r="G780" s="506"/>
      <c r="H780" s="506"/>
      <c r="I780" s="506"/>
      <c r="J780" s="506"/>
      <c r="K780" s="507"/>
      <c r="L780" s="508"/>
      <c r="M780" s="508"/>
      <c r="N780" s="508"/>
      <c r="O780" s="509"/>
      <c r="P780" s="509"/>
    </row>
    <row r="781" spans="1:16" ht="21.75" customHeight="1" x14ac:dyDescent="0.3">
      <c r="A781" s="504"/>
      <c r="B781" s="504"/>
      <c r="C781" s="504"/>
      <c r="D781" s="504"/>
      <c r="E781" s="506"/>
      <c r="F781" s="506"/>
      <c r="G781" s="506"/>
      <c r="H781" s="506"/>
      <c r="I781" s="506"/>
      <c r="J781" s="506"/>
      <c r="K781" s="507"/>
      <c r="L781" s="508"/>
      <c r="M781" s="508"/>
      <c r="N781" s="508"/>
      <c r="O781" s="509"/>
      <c r="P781" s="509"/>
    </row>
    <row r="782" spans="1:16" ht="21.75" customHeight="1" x14ac:dyDescent="0.3">
      <c r="A782" s="504"/>
      <c r="B782" s="504"/>
      <c r="C782" s="504"/>
      <c r="D782" s="504"/>
      <c r="E782" s="506"/>
      <c r="F782" s="506"/>
      <c r="G782" s="506"/>
      <c r="H782" s="506"/>
      <c r="I782" s="506"/>
      <c r="J782" s="506"/>
      <c r="K782" s="507"/>
      <c r="L782" s="508"/>
      <c r="M782" s="508"/>
      <c r="N782" s="508"/>
      <c r="O782" s="509"/>
      <c r="P782" s="509"/>
    </row>
    <row r="783" spans="1:16" ht="21.75" customHeight="1" x14ac:dyDescent="0.3">
      <c r="A783" s="504"/>
      <c r="B783" s="504"/>
      <c r="C783" s="504"/>
      <c r="D783" s="504"/>
      <c r="E783" s="506"/>
      <c r="F783" s="506"/>
      <c r="G783" s="506"/>
      <c r="H783" s="506"/>
      <c r="I783" s="506"/>
      <c r="J783" s="506"/>
      <c r="K783" s="507"/>
      <c r="L783" s="508"/>
      <c r="M783" s="508"/>
      <c r="N783" s="508"/>
      <c r="O783" s="509"/>
      <c r="P783" s="509"/>
    </row>
    <row r="784" spans="1:16" ht="21.75" customHeight="1" x14ac:dyDescent="0.3">
      <c r="A784" s="504"/>
      <c r="B784" s="504"/>
      <c r="C784" s="504"/>
      <c r="D784" s="504"/>
      <c r="E784" s="506"/>
      <c r="F784" s="506"/>
      <c r="G784" s="506"/>
      <c r="H784" s="506"/>
      <c r="I784" s="506"/>
      <c r="J784" s="506"/>
      <c r="K784" s="507"/>
      <c r="L784" s="508"/>
      <c r="M784" s="508"/>
      <c r="N784" s="508"/>
      <c r="O784" s="509"/>
      <c r="P784" s="509"/>
    </row>
    <row r="785" spans="1:16" ht="21.75" customHeight="1" x14ac:dyDescent="0.3">
      <c r="A785" s="504"/>
      <c r="B785" s="504"/>
      <c r="C785" s="504"/>
      <c r="D785" s="504"/>
      <c r="E785" s="506"/>
      <c r="F785" s="506"/>
      <c r="G785" s="506"/>
      <c r="H785" s="506"/>
      <c r="I785" s="506"/>
      <c r="J785" s="506"/>
      <c r="K785" s="507"/>
      <c r="L785" s="508"/>
      <c r="M785" s="508"/>
      <c r="N785" s="508"/>
      <c r="O785" s="509"/>
      <c r="P785" s="509"/>
    </row>
    <row r="786" spans="1:16" ht="21.75" customHeight="1" x14ac:dyDescent="0.3">
      <c r="A786" s="504"/>
      <c r="B786" s="504"/>
      <c r="C786" s="504"/>
      <c r="D786" s="504"/>
      <c r="E786" s="506"/>
      <c r="F786" s="506"/>
      <c r="G786" s="506"/>
      <c r="H786" s="506"/>
      <c r="I786" s="506"/>
      <c r="J786" s="506"/>
      <c r="K786" s="507"/>
      <c r="L786" s="508"/>
      <c r="M786" s="508"/>
      <c r="N786" s="508"/>
      <c r="O786" s="509"/>
      <c r="P786" s="509"/>
    </row>
    <row r="787" spans="1:16" ht="21.75" customHeight="1" x14ac:dyDescent="0.3">
      <c r="A787" s="504"/>
      <c r="B787" s="504"/>
      <c r="C787" s="504"/>
      <c r="D787" s="504"/>
      <c r="E787" s="506"/>
      <c r="F787" s="506"/>
      <c r="G787" s="506"/>
      <c r="H787" s="506"/>
      <c r="I787" s="506"/>
      <c r="J787" s="506"/>
      <c r="K787" s="507"/>
      <c r="L787" s="508"/>
      <c r="M787" s="508"/>
      <c r="N787" s="508"/>
      <c r="O787" s="509"/>
      <c r="P787" s="509"/>
    </row>
    <row r="788" spans="1:16" ht="21.75" customHeight="1" x14ac:dyDescent="0.3">
      <c r="A788" s="504"/>
      <c r="B788" s="504"/>
      <c r="C788" s="504"/>
      <c r="D788" s="504"/>
      <c r="E788" s="506"/>
      <c r="F788" s="506"/>
      <c r="G788" s="506"/>
      <c r="H788" s="506"/>
      <c r="I788" s="506"/>
      <c r="J788" s="506"/>
      <c r="K788" s="507"/>
      <c r="L788" s="508"/>
      <c r="M788" s="508"/>
      <c r="N788" s="508"/>
      <c r="O788" s="509"/>
      <c r="P788" s="509"/>
    </row>
    <row r="789" spans="1:16" ht="21.75" customHeight="1" x14ac:dyDescent="0.3">
      <c r="A789" s="504"/>
      <c r="B789" s="504"/>
      <c r="C789" s="504"/>
      <c r="D789" s="504"/>
      <c r="E789" s="506"/>
      <c r="F789" s="506"/>
      <c r="G789" s="506"/>
      <c r="H789" s="506"/>
      <c r="I789" s="506"/>
      <c r="J789" s="506"/>
      <c r="K789" s="507"/>
      <c r="L789" s="508"/>
      <c r="M789" s="508"/>
      <c r="N789" s="508"/>
      <c r="O789" s="509"/>
      <c r="P789" s="509"/>
    </row>
    <row r="790" spans="1:16" ht="21.75" customHeight="1" x14ac:dyDescent="0.3">
      <c r="A790" s="504"/>
      <c r="B790" s="504"/>
      <c r="C790" s="504"/>
      <c r="D790" s="504"/>
      <c r="E790" s="506"/>
      <c r="F790" s="506"/>
      <c r="G790" s="506"/>
      <c r="H790" s="506"/>
      <c r="I790" s="506"/>
      <c r="J790" s="506"/>
      <c r="K790" s="507"/>
      <c r="L790" s="508"/>
      <c r="M790" s="508"/>
      <c r="N790" s="508"/>
      <c r="O790" s="509"/>
      <c r="P790" s="509"/>
    </row>
    <row r="791" spans="1:16" ht="21.75" customHeight="1" x14ac:dyDescent="0.3">
      <c r="A791" s="504"/>
      <c r="B791" s="504"/>
      <c r="C791" s="504"/>
      <c r="D791" s="504"/>
      <c r="E791" s="506"/>
      <c r="F791" s="506"/>
      <c r="G791" s="506"/>
      <c r="H791" s="506"/>
      <c r="I791" s="506"/>
      <c r="J791" s="506"/>
      <c r="K791" s="507"/>
      <c r="L791" s="508"/>
      <c r="M791" s="508"/>
      <c r="N791" s="508"/>
      <c r="O791" s="509"/>
      <c r="P791" s="509"/>
    </row>
    <row r="792" spans="1:16" ht="21.75" customHeight="1" x14ac:dyDescent="0.3">
      <c r="A792" s="504"/>
      <c r="B792" s="504"/>
      <c r="C792" s="504"/>
      <c r="D792" s="504"/>
      <c r="E792" s="506"/>
      <c r="F792" s="506"/>
      <c r="G792" s="506"/>
      <c r="H792" s="506"/>
      <c r="I792" s="506"/>
      <c r="J792" s="506"/>
      <c r="K792" s="507"/>
      <c r="L792" s="508"/>
      <c r="M792" s="508"/>
      <c r="N792" s="508"/>
      <c r="O792" s="509"/>
      <c r="P792" s="509"/>
    </row>
    <row r="793" spans="1:16" ht="21.75" customHeight="1" x14ac:dyDescent="0.3">
      <c r="A793" s="504"/>
      <c r="B793" s="504"/>
      <c r="C793" s="504"/>
      <c r="D793" s="504"/>
      <c r="E793" s="506"/>
      <c r="F793" s="506"/>
      <c r="G793" s="506"/>
      <c r="H793" s="506"/>
      <c r="I793" s="506"/>
      <c r="J793" s="506"/>
      <c r="K793" s="507"/>
      <c r="L793" s="508"/>
      <c r="M793" s="508"/>
      <c r="N793" s="508"/>
      <c r="O793" s="509"/>
      <c r="P793" s="509"/>
    </row>
    <row r="794" spans="1:16" ht="21.75" customHeight="1" x14ac:dyDescent="0.3">
      <c r="A794" s="504"/>
      <c r="B794" s="504"/>
      <c r="C794" s="504"/>
      <c r="D794" s="504"/>
      <c r="E794" s="506"/>
      <c r="F794" s="506"/>
      <c r="G794" s="506"/>
      <c r="H794" s="506"/>
      <c r="I794" s="506"/>
      <c r="J794" s="506"/>
      <c r="K794" s="507"/>
      <c r="L794" s="508"/>
      <c r="M794" s="508"/>
      <c r="N794" s="508"/>
      <c r="O794" s="509"/>
      <c r="P794" s="509"/>
    </row>
    <row r="795" spans="1:16" ht="21.75" customHeight="1" x14ac:dyDescent="0.3">
      <c r="A795" s="504"/>
      <c r="B795" s="504"/>
      <c r="C795" s="504"/>
      <c r="D795" s="504"/>
      <c r="E795" s="506"/>
      <c r="F795" s="506"/>
      <c r="G795" s="506"/>
      <c r="H795" s="506"/>
      <c r="I795" s="506"/>
      <c r="J795" s="506"/>
      <c r="K795" s="507"/>
      <c r="L795" s="508"/>
      <c r="M795" s="508"/>
      <c r="N795" s="508"/>
      <c r="O795" s="509"/>
      <c r="P795" s="509"/>
    </row>
    <row r="796" spans="1:16" ht="21.75" customHeight="1" x14ac:dyDescent="0.3">
      <c r="A796" s="504"/>
      <c r="B796" s="504"/>
      <c r="C796" s="504"/>
      <c r="D796" s="504"/>
      <c r="E796" s="506"/>
      <c r="F796" s="506"/>
      <c r="G796" s="506"/>
      <c r="H796" s="506"/>
      <c r="I796" s="506"/>
      <c r="J796" s="506"/>
      <c r="K796" s="507"/>
      <c r="L796" s="508"/>
      <c r="M796" s="508"/>
      <c r="N796" s="508"/>
      <c r="O796" s="509"/>
      <c r="P796" s="509"/>
    </row>
    <row r="797" spans="1:16" ht="21.75" customHeight="1" x14ac:dyDescent="0.3">
      <c r="A797" s="504"/>
      <c r="B797" s="504"/>
      <c r="C797" s="504"/>
      <c r="D797" s="504"/>
      <c r="E797" s="506"/>
      <c r="F797" s="506"/>
      <c r="G797" s="506"/>
      <c r="H797" s="506"/>
      <c r="I797" s="506"/>
      <c r="J797" s="506"/>
      <c r="K797" s="507"/>
      <c r="L797" s="508"/>
      <c r="M797" s="508"/>
      <c r="N797" s="508"/>
      <c r="O797" s="509"/>
      <c r="P797" s="509"/>
    </row>
    <row r="798" spans="1:16" ht="21.75" customHeight="1" x14ac:dyDescent="0.3">
      <c r="A798" s="504"/>
      <c r="B798" s="504"/>
      <c r="C798" s="504"/>
      <c r="D798" s="504"/>
      <c r="E798" s="506"/>
      <c r="F798" s="506"/>
      <c r="G798" s="506"/>
      <c r="H798" s="506"/>
      <c r="I798" s="506"/>
      <c r="J798" s="506"/>
      <c r="K798" s="507"/>
      <c r="L798" s="508"/>
      <c r="M798" s="508"/>
      <c r="N798" s="508"/>
      <c r="O798" s="509"/>
      <c r="P798" s="509"/>
    </row>
    <row r="799" spans="1:16" ht="21.75" customHeight="1" x14ac:dyDescent="0.3">
      <c r="A799" s="504"/>
      <c r="B799" s="504"/>
      <c r="C799" s="504"/>
      <c r="D799" s="504"/>
      <c r="E799" s="506"/>
      <c r="F799" s="506"/>
      <c r="G799" s="506"/>
      <c r="H799" s="506"/>
      <c r="I799" s="506"/>
      <c r="J799" s="506"/>
      <c r="K799" s="507"/>
      <c r="L799" s="508"/>
      <c r="M799" s="508"/>
      <c r="N799" s="508"/>
      <c r="O799" s="509"/>
      <c r="P799" s="509"/>
    </row>
    <row r="800" spans="1:16" ht="21.75" customHeight="1" x14ac:dyDescent="0.3">
      <c r="A800" s="504"/>
      <c r="B800" s="504"/>
      <c r="C800" s="504"/>
      <c r="D800" s="504"/>
      <c r="E800" s="506"/>
      <c r="F800" s="506"/>
      <c r="G800" s="506"/>
      <c r="H800" s="506"/>
      <c r="I800" s="506"/>
      <c r="J800" s="506"/>
      <c r="K800" s="507"/>
      <c r="L800" s="508"/>
      <c r="M800" s="508"/>
      <c r="N800" s="508"/>
      <c r="O800" s="509"/>
      <c r="P800" s="509"/>
    </row>
    <row r="801" spans="1:16" ht="21.75" customHeight="1" x14ac:dyDescent="0.3">
      <c r="A801" s="504"/>
      <c r="B801" s="504"/>
      <c r="C801" s="504"/>
      <c r="D801" s="504"/>
      <c r="E801" s="506"/>
      <c r="F801" s="506"/>
      <c r="G801" s="506"/>
      <c r="H801" s="506"/>
      <c r="I801" s="506"/>
      <c r="J801" s="506"/>
      <c r="K801" s="507"/>
      <c r="L801" s="508"/>
      <c r="M801" s="508"/>
      <c r="N801" s="508"/>
      <c r="O801" s="509"/>
      <c r="P801" s="509"/>
    </row>
    <row r="802" spans="1:16" ht="21.75" customHeight="1" x14ac:dyDescent="0.3">
      <c r="A802" s="504"/>
      <c r="B802" s="504"/>
      <c r="C802" s="504"/>
      <c r="D802" s="504"/>
      <c r="E802" s="506"/>
      <c r="F802" s="506"/>
      <c r="G802" s="506"/>
      <c r="H802" s="506"/>
      <c r="I802" s="506"/>
      <c r="J802" s="506"/>
      <c r="K802" s="507"/>
      <c r="L802" s="508"/>
      <c r="M802" s="508"/>
      <c r="N802" s="508"/>
      <c r="O802" s="509"/>
      <c r="P802" s="509"/>
    </row>
    <row r="803" spans="1:16" ht="21.75" customHeight="1" x14ac:dyDescent="0.3">
      <c r="A803" s="504"/>
      <c r="B803" s="504"/>
      <c r="C803" s="504"/>
      <c r="D803" s="504"/>
      <c r="E803" s="506"/>
      <c r="F803" s="506"/>
      <c r="G803" s="506"/>
      <c r="H803" s="506"/>
      <c r="I803" s="506"/>
      <c r="J803" s="506"/>
      <c r="K803" s="507"/>
      <c r="L803" s="508"/>
      <c r="M803" s="508"/>
      <c r="N803" s="508"/>
      <c r="O803" s="509"/>
      <c r="P803" s="509"/>
    </row>
    <row r="804" spans="1:16" ht="21.75" customHeight="1" x14ac:dyDescent="0.3">
      <c r="A804" s="504"/>
      <c r="B804" s="504"/>
      <c r="C804" s="504"/>
      <c r="D804" s="504"/>
      <c r="E804" s="506"/>
      <c r="F804" s="506"/>
      <c r="G804" s="506"/>
      <c r="H804" s="506"/>
      <c r="I804" s="506"/>
      <c r="J804" s="506"/>
      <c r="K804" s="507"/>
      <c r="L804" s="508"/>
      <c r="M804" s="508"/>
      <c r="N804" s="508"/>
      <c r="O804" s="509"/>
      <c r="P804" s="509"/>
    </row>
    <row r="805" spans="1:16" ht="21.75" customHeight="1" x14ac:dyDescent="0.3">
      <c r="A805" s="504"/>
      <c r="B805" s="504"/>
      <c r="C805" s="504"/>
      <c r="D805" s="504"/>
      <c r="E805" s="506"/>
      <c r="F805" s="506"/>
      <c r="G805" s="506"/>
      <c r="H805" s="506"/>
      <c r="I805" s="506"/>
      <c r="J805" s="506"/>
      <c r="K805" s="507"/>
      <c r="L805" s="508"/>
      <c r="M805" s="508"/>
      <c r="N805" s="508"/>
      <c r="O805" s="509"/>
      <c r="P805" s="509"/>
    </row>
    <row r="806" spans="1:16" ht="21.75" customHeight="1" x14ac:dyDescent="0.3">
      <c r="A806" s="504"/>
      <c r="B806" s="504"/>
      <c r="C806" s="504"/>
      <c r="D806" s="504"/>
      <c r="E806" s="506"/>
      <c r="F806" s="506"/>
      <c r="G806" s="506"/>
      <c r="H806" s="506"/>
      <c r="I806" s="506"/>
      <c r="J806" s="506"/>
      <c r="K806" s="507"/>
      <c r="L806" s="508"/>
      <c r="M806" s="508"/>
      <c r="N806" s="508"/>
      <c r="O806" s="509"/>
      <c r="P806" s="509"/>
    </row>
    <row r="807" spans="1:16" ht="21.75" customHeight="1" x14ac:dyDescent="0.3">
      <c r="A807" s="504"/>
      <c r="B807" s="504"/>
      <c r="C807" s="504"/>
      <c r="D807" s="504"/>
      <c r="E807" s="506"/>
      <c r="F807" s="506"/>
      <c r="G807" s="506"/>
      <c r="H807" s="506"/>
      <c r="I807" s="506"/>
      <c r="J807" s="506"/>
      <c r="K807" s="507"/>
      <c r="L807" s="508"/>
      <c r="M807" s="508"/>
      <c r="N807" s="508"/>
      <c r="O807" s="509"/>
      <c r="P807" s="509"/>
    </row>
    <row r="808" spans="1:16" ht="21.75" customHeight="1" x14ac:dyDescent="0.3">
      <c r="A808" s="504"/>
      <c r="B808" s="504"/>
      <c r="C808" s="504"/>
      <c r="D808" s="504"/>
      <c r="E808" s="506"/>
      <c r="F808" s="506"/>
      <c r="G808" s="506"/>
      <c r="H808" s="506"/>
      <c r="I808" s="506"/>
      <c r="J808" s="506"/>
      <c r="K808" s="507"/>
      <c r="L808" s="508"/>
      <c r="M808" s="508"/>
      <c r="N808" s="508"/>
      <c r="O808" s="509"/>
      <c r="P808" s="509"/>
    </row>
    <row r="809" spans="1:16" ht="21.75" customHeight="1" x14ac:dyDescent="0.3">
      <c r="A809" s="504"/>
      <c r="B809" s="504"/>
      <c r="C809" s="504"/>
      <c r="D809" s="504"/>
      <c r="E809" s="506"/>
      <c r="F809" s="506"/>
      <c r="G809" s="506"/>
      <c r="H809" s="506"/>
      <c r="I809" s="506"/>
      <c r="J809" s="506"/>
      <c r="K809" s="507"/>
      <c r="L809" s="508"/>
      <c r="M809" s="508"/>
      <c r="N809" s="508"/>
      <c r="O809" s="509"/>
      <c r="P809" s="509"/>
    </row>
    <row r="810" spans="1:16" ht="21.75" customHeight="1" x14ac:dyDescent="0.3">
      <c r="A810" s="504"/>
      <c r="B810" s="504"/>
      <c r="C810" s="504"/>
      <c r="D810" s="504"/>
      <c r="E810" s="506"/>
      <c r="F810" s="506"/>
      <c r="G810" s="506"/>
      <c r="H810" s="506"/>
      <c r="I810" s="506"/>
      <c r="J810" s="506"/>
      <c r="K810" s="507"/>
      <c r="L810" s="508"/>
      <c r="M810" s="508"/>
      <c r="N810" s="508"/>
      <c r="O810" s="509"/>
      <c r="P810" s="509"/>
    </row>
    <row r="811" spans="1:16" ht="21.75" customHeight="1" x14ac:dyDescent="0.3">
      <c r="A811" s="504"/>
      <c r="B811" s="504"/>
      <c r="C811" s="504"/>
      <c r="D811" s="504"/>
      <c r="E811" s="506"/>
      <c r="F811" s="506"/>
      <c r="G811" s="506"/>
      <c r="H811" s="506"/>
      <c r="I811" s="506"/>
      <c r="J811" s="506"/>
      <c r="K811" s="507"/>
      <c r="L811" s="508"/>
      <c r="M811" s="508"/>
      <c r="N811" s="508"/>
      <c r="O811" s="509"/>
      <c r="P811" s="509"/>
    </row>
    <row r="812" spans="1:16" ht="21.75" customHeight="1" x14ac:dyDescent="0.3">
      <c r="A812" s="504"/>
      <c r="B812" s="504"/>
      <c r="C812" s="504"/>
      <c r="D812" s="504"/>
      <c r="E812" s="506"/>
      <c r="F812" s="506"/>
      <c r="G812" s="506"/>
      <c r="H812" s="506"/>
      <c r="I812" s="506"/>
      <c r="J812" s="506"/>
      <c r="K812" s="507"/>
      <c r="L812" s="508"/>
      <c r="M812" s="508"/>
      <c r="N812" s="508"/>
      <c r="O812" s="509"/>
      <c r="P812" s="509"/>
    </row>
    <row r="813" spans="1:16" ht="21.75" customHeight="1" x14ac:dyDescent="0.3">
      <c r="A813" s="504"/>
      <c r="B813" s="504"/>
      <c r="C813" s="504"/>
      <c r="D813" s="504"/>
      <c r="E813" s="506"/>
      <c r="F813" s="506"/>
      <c r="G813" s="506"/>
      <c r="H813" s="506"/>
      <c r="I813" s="506"/>
      <c r="J813" s="506"/>
      <c r="K813" s="507"/>
      <c r="L813" s="508"/>
      <c r="M813" s="508"/>
      <c r="N813" s="508"/>
      <c r="O813" s="509"/>
      <c r="P813" s="509"/>
    </row>
    <row r="814" spans="1:16" ht="21.75" customHeight="1" x14ac:dyDescent="0.3">
      <c r="A814" s="504"/>
      <c r="B814" s="504"/>
      <c r="C814" s="504"/>
      <c r="D814" s="504"/>
      <c r="E814" s="506"/>
      <c r="F814" s="506"/>
      <c r="G814" s="506"/>
      <c r="H814" s="506"/>
      <c r="I814" s="506"/>
      <c r="J814" s="506"/>
      <c r="K814" s="507"/>
      <c r="L814" s="508"/>
      <c r="M814" s="508"/>
      <c r="N814" s="508"/>
      <c r="O814" s="509"/>
      <c r="P814" s="509"/>
    </row>
    <row r="815" spans="1:16" ht="21.75" customHeight="1" x14ac:dyDescent="0.3">
      <c r="A815" s="504"/>
      <c r="B815" s="504"/>
      <c r="C815" s="504"/>
      <c r="D815" s="504"/>
      <c r="E815" s="506"/>
      <c r="F815" s="506"/>
      <c r="G815" s="506"/>
      <c r="H815" s="506"/>
      <c r="I815" s="506"/>
      <c r="J815" s="506"/>
      <c r="K815" s="507"/>
      <c r="L815" s="508"/>
      <c r="M815" s="508"/>
      <c r="N815" s="508"/>
      <c r="O815" s="509"/>
      <c r="P815" s="509"/>
    </row>
    <row r="816" spans="1:16" ht="21.75" customHeight="1" x14ac:dyDescent="0.3">
      <c r="A816" s="504"/>
      <c r="B816" s="504"/>
      <c r="C816" s="504"/>
      <c r="D816" s="504"/>
      <c r="E816" s="506"/>
      <c r="F816" s="506"/>
      <c r="G816" s="506"/>
      <c r="H816" s="506"/>
      <c r="I816" s="506"/>
      <c r="J816" s="506"/>
      <c r="K816" s="507"/>
      <c r="L816" s="508"/>
      <c r="M816" s="508"/>
      <c r="N816" s="508"/>
      <c r="O816" s="509"/>
      <c r="P816" s="509"/>
    </row>
    <row r="817" spans="1:16" ht="21.75" customHeight="1" x14ac:dyDescent="0.3">
      <c r="A817" s="504"/>
      <c r="B817" s="504"/>
      <c r="C817" s="504"/>
      <c r="D817" s="504"/>
      <c r="E817" s="506"/>
      <c r="F817" s="506"/>
      <c r="G817" s="506"/>
      <c r="H817" s="506"/>
      <c r="I817" s="506"/>
      <c r="J817" s="506"/>
      <c r="K817" s="507"/>
      <c r="L817" s="508"/>
      <c r="M817" s="508"/>
      <c r="N817" s="508"/>
      <c r="O817" s="509"/>
      <c r="P817" s="509"/>
    </row>
    <row r="818" spans="1:16" ht="21.75" customHeight="1" x14ac:dyDescent="0.3">
      <c r="A818" s="504"/>
      <c r="B818" s="504"/>
      <c r="C818" s="504"/>
      <c r="D818" s="504"/>
      <c r="E818" s="506"/>
      <c r="F818" s="506"/>
      <c r="G818" s="506"/>
      <c r="H818" s="506"/>
      <c r="I818" s="506"/>
      <c r="J818" s="506"/>
      <c r="K818" s="507"/>
      <c r="L818" s="508"/>
      <c r="M818" s="508"/>
      <c r="N818" s="508"/>
      <c r="O818" s="509"/>
      <c r="P818" s="509"/>
    </row>
    <row r="819" spans="1:16" ht="21.75" customHeight="1" x14ac:dyDescent="0.3">
      <c r="A819" s="504"/>
      <c r="B819" s="504"/>
      <c r="C819" s="504"/>
      <c r="D819" s="504"/>
      <c r="E819" s="506"/>
      <c r="F819" s="506"/>
      <c r="G819" s="506"/>
      <c r="H819" s="506"/>
      <c r="I819" s="506"/>
      <c r="J819" s="506"/>
      <c r="K819" s="507"/>
      <c r="L819" s="508"/>
      <c r="M819" s="508"/>
      <c r="N819" s="508"/>
      <c r="O819" s="509"/>
      <c r="P819" s="509"/>
    </row>
    <row r="820" spans="1:16" ht="21.75" customHeight="1" x14ac:dyDescent="0.3">
      <c r="A820" s="504"/>
      <c r="B820" s="504"/>
      <c r="C820" s="504"/>
      <c r="D820" s="504"/>
      <c r="E820" s="506"/>
      <c r="F820" s="506"/>
      <c r="G820" s="506"/>
      <c r="H820" s="506"/>
      <c r="I820" s="506"/>
      <c r="J820" s="506"/>
      <c r="K820" s="507"/>
      <c r="L820" s="508"/>
      <c r="M820" s="508"/>
      <c r="N820" s="508"/>
      <c r="O820" s="509"/>
      <c r="P820" s="509"/>
    </row>
    <row r="821" spans="1:16" ht="21.75" customHeight="1" x14ac:dyDescent="0.3">
      <c r="A821" s="504"/>
      <c r="B821" s="504"/>
      <c r="C821" s="504"/>
      <c r="D821" s="504"/>
      <c r="E821" s="506"/>
      <c r="F821" s="506"/>
      <c r="G821" s="506"/>
      <c r="H821" s="506"/>
      <c r="I821" s="506"/>
      <c r="J821" s="506"/>
      <c r="K821" s="507"/>
      <c r="L821" s="508"/>
      <c r="M821" s="508"/>
      <c r="N821" s="508"/>
      <c r="O821" s="509"/>
      <c r="P821" s="509"/>
    </row>
    <row r="822" spans="1:16" ht="21.75" customHeight="1" x14ac:dyDescent="0.3">
      <c r="A822" s="504"/>
      <c r="B822" s="504"/>
      <c r="C822" s="504"/>
      <c r="D822" s="504"/>
      <c r="E822" s="506"/>
      <c r="F822" s="506"/>
      <c r="G822" s="506"/>
      <c r="H822" s="506"/>
      <c r="I822" s="506"/>
      <c r="J822" s="506"/>
      <c r="K822" s="507"/>
      <c r="L822" s="508"/>
      <c r="M822" s="508"/>
      <c r="N822" s="508"/>
      <c r="O822" s="509"/>
      <c r="P822" s="509"/>
    </row>
    <row r="823" spans="1:16" ht="21.75" customHeight="1" x14ac:dyDescent="0.3">
      <c r="A823" s="504"/>
      <c r="B823" s="504"/>
      <c r="C823" s="504"/>
      <c r="D823" s="504"/>
      <c r="E823" s="506"/>
      <c r="F823" s="506"/>
      <c r="G823" s="506"/>
      <c r="H823" s="506"/>
      <c r="I823" s="506"/>
      <c r="J823" s="506"/>
      <c r="K823" s="507"/>
      <c r="L823" s="508"/>
      <c r="M823" s="508"/>
      <c r="N823" s="508"/>
      <c r="O823" s="509"/>
      <c r="P823" s="509"/>
    </row>
    <row r="824" spans="1:16" ht="21.75" customHeight="1" x14ac:dyDescent="0.3">
      <c r="A824" s="504"/>
      <c r="B824" s="504"/>
      <c r="C824" s="504"/>
      <c r="D824" s="504"/>
      <c r="E824" s="506"/>
      <c r="F824" s="506"/>
      <c r="G824" s="506"/>
      <c r="H824" s="506"/>
      <c r="I824" s="506"/>
      <c r="J824" s="506"/>
      <c r="K824" s="507"/>
      <c r="L824" s="508"/>
      <c r="M824" s="508"/>
      <c r="N824" s="508"/>
      <c r="O824" s="509"/>
      <c r="P824" s="509"/>
    </row>
    <row r="825" spans="1:16" ht="21.75" customHeight="1" x14ac:dyDescent="0.3">
      <c r="A825" s="504"/>
      <c r="B825" s="504"/>
      <c r="C825" s="504"/>
      <c r="D825" s="504"/>
      <c r="E825" s="506"/>
      <c r="F825" s="506"/>
      <c r="G825" s="506"/>
      <c r="H825" s="506"/>
      <c r="I825" s="506"/>
      <c r="J825" s="506"/>
      <c r="K825" s="507"/>
      <c r="L825" s="508"/>
      <c r="M825" s="508"/>
      <c r="N825" s="508"/>
      <c r="O825" s="509"/>
      <c r="P825" s="509"/>
    </row>
    <row r="826" spans="1:16" ht="21.75" customHeight="1" x14ac:dyDescent="0.3">
      <c r="A826" s="504"/>
      <c r="B826" s="504"/>
      <c r="C826" s="504"/>
      <c r="D826" s="504"/>
      <c r="E826" s="506"/>
      <c r="F826" s="506"/>
      <c r="G826" s="506"/>
      <c r="H826" s="506"/>
      <c r="I826" s="506"/>
      <c r="J826" s="506"/>
      <c r="K826" s="507"/>
      <c r="L826" s="508"/>
      <c r="M826" s="508"/>
      <c r="N826" s="508"/>
      <c r="O826" s="509"/>
      <c r="P826" s="509"/>
    </row>
    <row r="827" spans="1:16" ht="21.75" customHeight="1" x14ac:dyDescent="0.3">
      <c r="A827" s="504"/>
      <c r="B827" s="504"/>
      <c r="C827" s="504"/>
      <c r="D827" s="504"/>
      <c r="E827" s="506"/>
      <c r="F827" s="506"/>
      <c r="G827" s="506"/>
      <c r="H827" s="506"/>
      <c r="I827" s="506"/>
      <c r="J827" s="506"/>
      <c r="K827" s="507"/>
      <c r="L827" s="508"/>
      <c r="M827" s="508"/>
      <c r="N827" s="508"/>
      <c r="O827" s="509"/>
      <c r="P827" s="509"/>
    </row>
    <row r="828" spans="1:16" ht="21.75" customHeight="1" x14ac:dyDescent="0.3">
      <c r="A828" s="504"/>
      <c r="B828" s="504"/>
      <c r="C828" s="504"/>
      <c r="D828" s="504"/>
      <c r="E828" s="506"/>
      <c r="F828" s="506"/>
      <c r="G828" s="506"/>
      <c r="H828" s="506"/>
      <c r="I828" s="506"/>
      <c r="J828" s="506"/>
      <c r="K828" s="507"/>
      <c r="L828" s="508"/>
      <c r="M828" s="508"/>
      <c r="N828" s="508"/>
      <c r="O828" s="509"/>
      <c r="P828" s="509"/>
    </row>
    <row r="829" spans="1:16" ht="21.75" customHeight="1" x14ac:dyDescent="0.3">
      <c r="A829" s="504"/>
      <c r="B829" s="504"/>
      <c r="C829" s="504"/>
      <c r="D829" s="504"/>
      <c r="E829" s="506"/>
      <c r="F829" s="506"/>
      <c r="G829" s="506"/>
      <c r="H829" s="506"/>
      <c r="I829" s="506"/>
      <c r="J829" s="506"/>
      <c r="K829" s="507"/>
      <c r="L829" s="508"/>
      <c r="M829" s="508"/>
      <c r="N829" s="508"/>
      <c r="O829" s="509"/>
      <c r="P829" s="509"/>
    </row>
    <row r="830" spans="1:16" ht="21.75" customHeight="1" x14ac:dyDescent="0.3">
      <c r="A830" s="504"/>
      <c r="B830" s="504"/>
      <c r="C830" s="504"/>
      <c r="D830" s="504"/>
      <c r="E830" s="506"/>
      <c r="F830" s="506"/>
      <c r="G830" s="506"/>
      <c r="H830" s="506"/>
      <c r="I830" s="506"/>
      <c r="J830" s="506"/>
      <c r="K830" s="507"/>
      <c r="L830" s="508"/>
      <c r="M830" s="508"/>
      <c r="N830" s="508"/>
      <c r="O830" s="509"/>
      <c r="P830" s="509"/>
    </row>
    <row r="831" spans="1:16" ht="21.75" customHeight="1" x14ac:dyDescent="0.3">
      <c r="A831" s="504"/>
      <c r="B831" s="504"/>
      <c r="C831" s="504"/>
      <c r="D831" s="504"/>
      <c r="E831" s="506"/>
      <c r="F831" s="506"/>
      <c r="G831" s="506"/>
      <c r="H831" s="506"/>
      <c r="I831" s="506"/>
      <c r="J831" s="506"/>
      <c r="K831" s="507"/>
      <c r="L831" s="508"/>
      <c r="M831" s="508"/>
      <c r="N831" s="508"/>
      <c r="O831" s="509"/>
      <c r="P831" s="509"/>
    </row>
    <row r="832" spans="1:16" ht="21.75" customHeight="1" x14ac:dyDescent="0.3">
      <c r="A832" s="504"/>
      <c r="B832" s="504"/>
      <c r="C832" s="504"/>
      <c r="D832" s="504"/>
      <c r="E832" s="506"/>
      <c r="F832" s="506"/>
      <c r="G832" s="506"/>
      <c r="H832" s="506"/>
      <c r="I832" s="506"/>
      <c r="J832" s="506"/>
      <c r="K832" s="507"/>
      <c r="L832" s="508"/>
      <c r="M832" s="508"/>
      <c r="N832" s="508"/>
      <c r="O832" s="509"/>
      <c r="P832" s="509"/>
    </row>
    <row r="833" spans="1:16" ht="21.75" customHeight="1" x14ac:dyDescent="0.3">
      <c r="A833" s="504"/>
      <c r="B833" s="504"/>
      <c r="C833" s="504"/>
      <c r="D833" s="504"/>
      <c r="E833" s="506"/>
      <c r="F833" s="506"/>
      <c r="G833" s="506"/>
      <c r="H833" s="506"/>
      <c r="I833" s="506"/>
      <c r="J833" s="506"/>
      <c r="K833" s="507"/>
      <c r="L833" s="508"/>
      <c r="M833" s="508"/>
      <c r="N833" s="508"/>
      <c r="O833" s="509"/>
      <c r="P833" s="509"/>
    </row>
    <row r="834" spans="1:16" ht="21.75" customHeight="1" x14ac:dyDescent="0.3">
      <c r="A834" s="504"/>
      <c r="B834" s="504"/>
      <c r="C834" s="504"/>
      <c r="D834" s="504"/>
      <c r="E834" s="506"/>
      <c r="F834" s="506"/>
      <c r="G834" s="506"/>
      <c r="H834" s="506"/>
      <c r="I834" s="506"/>
      <c r="J834" s="506"/>
      <c r="K834" s="507"/>
      <c r="L834" s="508"/>
      <c r="M834" s="508"/>
      <c r="N834" s="508"/>
      <c r="O834" s="509"/>
      <c r="P834" s="509"/>
    </row>
    <row r="835" spans="1:16" ht="21.75" customHeight="1" x14ac:dyDescent="0.3">
      <c r="A835" s="504"/>
      <c r="B835" s="504"/>
      <c r="C835" s="504"/>
      <c r="D835" s="504"/>
      <c r="E835" s="506"/>
      <c r="F835" s="506"/>
      <c r="G835" s="506"/>
      <c r="H835" s="506"/>
      <c r="I835" s="506"/>
      <c r="J835" s="506"/>
      <c r="K835" s="507"/>
      <c r="L835" s="508"/>
      <c r="M835" s="508"/>
      <c r="N835" s="508"/>
      <c r="O835" s="509"/>
      <c r="P835" s="509"/>
    </row>
    <row r="836" spans="1:16" ht="21.75" customHeight="1" x14ac:dyDescent="0.3">
      <c r="A836" s="504"/>
      <c r="B836" s="504"/>
      <c r="C836" s="504"/>
      <c r="D836" s="504"/>
      <c r="E836" s="506"/>
      <c r="F836" s="506"/>
      <c r="G836" s="506"/>
      <c r="H836" s="506"/>
      <c r="I836" s="506"/>
      <c r="J836" s="506"/>
      <c r="K836" s="507"/>
      <c r="L836" s="508"/>
      <c r="M836" s="508"/>
      <c r="N836" s="508"/>
      <c r="O836" s="509"/>
      <c r="P836" s="509"/>
    </row>
    <row r="837" spans="1:16" ht="21.75" customHeight="1" x14ac:dyDescent="0.3">
      <c r="A837" s="504"/>
      <c r="B837" s="504"/>
      <c r="C837" s="504"/>
      <c r="D837" s="504"/>
      <c r="E837" s="506"/>
      <c r="F837" s="506"/>
      <c r="G837" s="506"/>
      <c r="H837" s="506"/>
      <c r="I837" s="506"/>
      <c r="J837" s="506"/>
      <c r="K837" s="507"/>
      <c r="L837" s="508"/>
      <c r="M837" s="508"/>
      <c r="N837" s="508"/>
      <c r="O837" s="509"/>
      <c r="P837" s="509"/>
    </row>
    <row r="838" spans="1:16" ht="21.75" customHeight="1" x14ac:dyDescent="0.3">
      <c r="A838" s="504"/>
      <c r="B838" s="504"/>
      <c r="C838" s="504"/>
      <c r="D838" s="504"/>
      <c r="E838" s="506"/>
      <c r="F838" s="506"/>
      <c r="G838" s="506"/>
      <c r="H838" s="506"/>
      <c r="I838" s="506"/>
      <c r="J838" s="506"/>
      <c r="K838" s="507"/>
      <c r="L838" s="508"/>
      <c r="M838" s="508"/>
      <c r="N838" s="508"/>
      <c r="O838" s="509"/>
      <c r="P838" s="509"/>
    </row>
    <row r="839" spans="1:16" ht="21.75" customHeight="1" x14ac:dyDescent="0.3">
      <c r="A839" s="504"/>
      <c r="B839" s="504"/>
      <c r="C839" s="504"/>
      <c r="D839" s="504"/>
      <c r="E839" s="506"/>
      <c r="F839" s="506"/>
      <c r="G839" s="506"/>
      <c r="H839" s="506"/>
      <c r="I839" s="506"/>
      <c r="J839" s="506"/>
      <c r="K839" s="507"/>
      <c r="L839" s="508"/>
      <c r="M839" s="508"/>
      <c r="N839" s="508"/>
      <c r="O839" s="509"/>
      <c r="P839" s="509"/>
    </row>
    <row r="840" spans="1:16" ht="21.75" customHeight="1" x14ac:dyDescent="0.3">
      <c r="A840" s="504"/>
      <c r="B840" s="504"/>
      <c r="C840" s="504"/>
      <c r="D840" s="504"/>
      <c r="E840" s="506"/>
      <c r="F840" s="506"/>
      <c r="G840" s="506"/>
      <c r="H840" s="506"/>
      <c r="I840" s="506"/>
      <c r="J840" s="506"/>
      <c r="K840" s="507"/>
      <c r="L840" s="508"/>
      <c r="M840" s="508"/>
      <c r="N840" s="508"/>
      <c r="O840" s="509"/>
      <c r="P840" s="509"/>
    </row>
    <row r="841" spans="1:16" ht="21.75" customHeight="1" x14ac:dyDescent="0.3">
      <c r="A841" s="504"/>
      <c r="B841" s="504"/>
      <c r="C841" s="504"/>
      <c r="D841" s="504"/>
      <c r="E841" s="506"/>
      <c r="F841" s="506"/>
      <c r="G841" s="506"/>
      <c r="H841" s="506"/>
      <c r="I841" s="506"/>
      <c r="J841" s="506"/>
      <c r="K841" s="507"/>
      <c r="L841" s="508"/>
      <c r="M841" s="508"/>
      <c r="N841" s="508"/>
      <c r="O841" s="509"/>
      <c r="P841" s="509"/>
    </row>
    <row r="842" spans="1:16" ht="21.75" customHeight="1" x14ac:dyDescent="0.3">
      <c r="A842" s="504"/>
      <c r="B842" s="504"/>
      <c r="C842" s="504"/>
      <c r="D842" s="504"/>
      <c r="E842" s="506"/>
      <c r="F842" s="506"/>
      <c r="G842" s="506"/>
      <c r="H842" s="506"/>
      <c r="I842" s="506"/>
      <c r="J842" s="506"/>
      <c r="K842" s="507"/>
      <c r="L842" s="508"/>
      <c r="M842" s="508"/>
      <c r="N842" s="508"/>
      <c r="O842" s="509"/>
      <c r="P842" s="509"/>
    </row>
    <row r="843" spans="1:16" ht="21.75" customHeight="1" x14ac:dyDescent="0.3">
      <c r="A843" s="504"/>
      <c r="B843" s="504"/>
      <c r="C843" s="504"/>
      <c r="D843" s="504"/>
      <c r="E843" s="506"/>
      <c r="F843" s="506"/>
      <c r="G843" s="506"/>
      <c r="H843" s="506"/>
      <c r="I843" s="506"/>
      <c r="J843" s="506"/>
      <c r="K843" s="507"/>
      <c r="L843" s="508"/>
      <c r="M843" s="508"/>
      <c r="N843" s="508"/>
      <c r="O843" s="509"/>
      <c r="P843" s="509"/>
    </row>
    <row r="844" spans="1:16" ht="21.75" customHeight="1" x14ac:dyDescent="0.3">
      <c r="A844" s="504"/>
      <c r="B844" s="504"/>
      <c r="C844" s="504"/>
      <c r="D844" s="504"/>
      <c r="E844" s="506"/>
      <c r="F844" s="506"/>
      <c r="G844" s="506"/>
      <c r="H844" s="506"/>
      <c r="I844" s="506"/>
      <c r="J844" s="506"/>
      <c r="K844" s="507"/>
      <c r="L844" s="508"/>
      <c r="M844" s="508"/>
      <c r="N844" s="508"/>
      <c r="O844" s="509"/>
      <c r="P844" s="509"/>
    </row>
    <row r="845" spans="1:16" ht="21.75" customHeight="1" x14ac:dyDescent="0.3">
      <c r="A845" s="504"/>
      <c r="B845" s="504"/>
      <c r="C845" s="504"/>
      <c r="D845" s="504"/>
      <c r="E845" s="506"/>
      <c r="F845" s="506"/>
      <c r="G845" s="506"/>
      <c r="H845" s="506"/>
      <c r="I845" s="506"/>
      <c r="J845" s="506"/>
      <c r="K845" s="507"/>
      <c r="L845" s="508"/>
      <c r="M845" s="508"/>
      <c r="N845" s="508"/>
      <c r="O845" s="509"/>
      <c r="P845" s="509"/>
    </row>
    <row r="846" spans="1:16" ht="21.75" customHeight="1" x14ac:dyDescent="0.3">
      <c r="A846" s="504"/>
      <c r="B846" s="504"/>
      <c r="C846" s="504"/>
      <c r="D846" s="504"/>
      <c r="E846" s="506"/>
      <c r="F846" s="506"/>
      <c r="G846" s="506"/>
      <c r="H846" s="506"/>
      <c r="I846" s="506"/>
      <c r="J846" s="506"/>
      <c r="K846" s="507"/>
      <c r="L846" s="508"/>
      <c r="M846" s="508"/>
      <c r="N846" s="508"/>
      <c r="O846" s="509"/>
      <c r="P846" s="509"/>
    </row>
    <row r="847" spans="1:16" ht="21.75" customHeight="1" x14ac:dyDescent="0.3">
      <c r="A847" s="504"/>
      <c r="B847" s="504"/>
      <c r="C847" s="504"/>
      <c r="D847" s="504"/>
      <c r="E847" s="506"/>
      <c r="F847" s="506"/>
      <c r="G847" s="506"/>
      <c r="H847" s="506"/>
      <c r="I847" s="506"/>
      <c r="J847" s="506"/>
      <c r="K847" s="507"/>
      <c r="L847" s="508"/>
      <c r="M847" s="508"/>
      <c r="N847" s="508"/>
      <c r="O847" s="509"/>
      <c r="P847" s="509"/>
    </row>
    <row r="848" spans="1:16" ht="21.75" customHeight="1" x14ac:dyDescent="0.3">
      <c r="A848" s="504"/>
      <c r="B848" s="504"/>
      <c r="C848" s="504"/>
      <c r="D848" s="504"/>
      <c r="E848" s="506"/>
      <c r="F848" s="506"/>
      <c r="G848" s="506"/>
      <c r="H848" s="506"/>
      <c r="I848" s="506"/>
      <c r="J848" s="506"/>
      <c r="K848" s="507"/>
      <c r="L848" s="508"/>
      <c r="M848" s="508"/>
      <c r="N848" s="508"/>
      <c r="O848" s="509"/>
      <c r="P848" s="509"/>
    </row>
    <row r="849" spans="1:16" ht="21.75" customHeight="1" x14ac:dyDescent="0.3">
      <c r="A849" s="504"/>
      <c r="B849" s="504"/>
      <c r="C849" s="504"/>
      <c r="D849" s="504"/>
      <c r="E849" s="506"/>
      <c r="F849" s="506"/>
      <c r="G849" s="506"/>
      <c r="H849" s="506"/>
      <c r="I849" s="506"/>
      <c r="J849" s="506"/>
      <c r="K849" s="507"/>
      <c r="L849" s="508"/>
      <c r="M849" s="508"/>
      <c r="N849" s="508"/>
      <c r="O849" s="509"/>
      <c r="P849" s="509"/>
    </row>
    <row r="850" spans="1:16" ht="21.75" customHeight="1" x14ac:dyDescent="0.3">
      <c r="A850" s="504"/>
      <c r="B850" s="504"/>
      <c r="C850" s="504"/>
      <c r="D850" s="504"/>
      <c r="E850" s="506"/>
      <c r="F850" s="506"/>
      <c r="G850" s="506"/>
      <c r="H850" s="506"/>
      <c r="I850" s="506"/>
      <c r="J850" s="506"/>
      <c r="K850" s="507"/>
      <c r="L850" s="508"/>
      <c r="M850" s="508"/>
      <c r="N850" s="508"/>
      <c r="O850" s="509"/>
      <c r="P850" s="509"/>
    </row>
    <row r="851" spans="1:16" ht="21.75" customHeight="1" x14ac:dyDescent="0.3">
      <c r="A851" s="504"/>
      <c r="B851" s="504"/>
      <c r="C851" s="504"/>
      <c r="D851" s="504"/>
      <c r="E851" s="506"/>
      <c r="F851" s="506"/>
      <c r="G851" s="506"/>
      <c r="H851" s="506"/>
      <c r="I851" s="506"/>
      <c r="J851" s="506"/>
      <c r="K851" s="507"/>
      <c r="L851" s="508"/>
      <c r="M851" s="508"/>
      <c r="N851" s="508"/>
      <c r="O851" s="509"/>
      <c r="P851" s="509"/>
    </row>
    <row r="852" spans="1:16" ht="21.75" customHeight="1" x14ac:dyDescent="0.3">
      <c r="A852" s="504"/>
      <c r="B852" s="504"/>
      <c r="C852" s="504"/>
      <c r="D852" s="504"/>
      <c r="E852" s="506"/>
      <c r="F852" s="506"/>
      <c r="G852" s="506"/>
      <c r="H852" s="506"/>
      <c r="I852" s="506"/>
      <c r="J852" s="506"/>
      <c r="K852" s="507"/>
      <c r="L852" s="508"/>
      <c r="M852" s="508"/>
      <c r="N852" s="508"/>
      <c r="O852" s="509"/>
      <c r="P852" s="509"/>
    </row>
    <row r="853" spans="1:16" ht="21.75" customHeight="1" x14ac:dyDescent="0.3">
      <c r="A853" s="504"/>
      <c r="B853" s="504"/>
      <c r="C853" s="504"/>
      <c r="D853" s="504"/>
      <c r="E853" s="506"/>
      <c r="F853" s="506"/>
      <c r="G853" s="506"/>
      <c r="H853" s="506"/>
      <c r="I853" s="506"/>
      <c r="J853" s="506"/>
      <c r="K853" s="507"/>
      <c r="L853" s="508"/>
      <c r="M853" s="508"/>
      <c r="N853" s="508"/>
      <c r="O853" s="509"/>
      <c r="P853" s="509"/>
    </row>
    <row r="854" spans="1:16" ht="21.75" customHeight="1" x14ac:dyDescent="0.3">
      <c r="A854" s="504"/>
      <c r="B854" s="504"/>
      <c r="C854" s="504"/>
      <c r="D854" s="504"/>
      <c r="E854" s="506"/>
      <c r="F854" s="506"/>
      <c r="G854" s="506"/>
      <c r="H854" s="506"/>
      <c r="I854" s="506"/>
      <c r="J854" s="506"/>
      <c r="K854" s="507"/>
      <c r="L854" s="508"/>
      <c r="M854" s="508"/>
      <c r="N854" s="508"/>
      <c r="O854" s="509"/>
      <c r="P854" s="509"/>
    </row>
    <row r="855" spans="1:16" ht="21.75" customHeight="1" x14ac:dyDescent="0.3">
      <c r="A855" s="504"/>
      <c r="B855" s="504"/>
      <c r="C855" s="504"/>
      <c r="D855" s="504"/>
      <c r="E855" s="506"/>
      <c r="F855" s="506"/>
      <c r="G855" s="506"/>
      <c r="H855" s="506"/>
      <c r="I855" s="506"/>
      <c r="J855" s="506"/>
      <c r="K855" s="507"/>
      <c r="L855" s="508"/>
      <c r="M855" s="508"/>
      <c r="N855" s="508"/>
      <c r="O855" s="509"/>
      <c r="P855" s="509"/>
    </row>
    <row r="856" spans="1:16" ht="21.75" customHeight="1" x14ac:dyDescent="0.3">
      <c r="A856" s="504"/>
      <c r="B856" s="504"/>
      <c r="C856" s="504"/>
      <c r="D856" s="504"/>
      <c r="E856" s="506"/>
      <c r="F856" s="506"/>
      <c r="G856" s="506"/>
      <c r="H856" s="506"/>
      <c r="I856" s="506"/>
      <c r="J856" s="506"/>
      <c r="K856" s="507"/>
      <c r="L856" s="508"/>
      <c r="M856" s="508"/>
      <c r="N856" s="508"/>
      <c r="O856" s="509"/>
      <c r="P856" s="509"/>
    </row>
    <row r="857" spans="1:16" ht="21.75" customHeight="1" x14ac:dyDescent="0.3">
      <c r="A857" s="504"/>
      <c r="B857" s="504"/>
      <c r="C857" s="504"/>
      <c r="D857" s="504"/>
      <c r="E857" s="506"/>
      <c r="F857" s="506"/>
      <c r="G857" s="506"/>
      <c r="H857" s="506"/>
      <c r="I857" s="506"/>
      <c r="J857" s="506"/>
      <c r="K857" s="507"/>
      <c r="L857" s="508"/>
      <c r="M857" s="508"/>
      <c r="N857" s="508"/>
      <c r="O857" s="509"/>
      <c r="P857" s="509"/>
    </row>
    <row r="858" spans="1:16" ht="21.75" customHeight="1" x14ac:dyDescent="0.3">
      <c r="A858" s="504"/>
      <c r="B858" s="504"/>
      <c r="C858" s="504"/>
      <c r="D858" s="504"/>
      <c r="E858" s="506"/>
      <c r="F858" s="506"/>
      <c r="G858" s="506"/>
      <c r="H858" s="506"/>
      <c r="I858" s="506"/>
      <c r="J858" s="506"/>
      <c r="K858" s="507"/>
      <c r="L858" s="508"/>
      <c r="M858" s="508"/>
      <c r="N858" s="508"/>
      <c r="O858" s="509"/>
      <c r="P858" s="509"/>
    </row>
    <row r="859" spans="1:16" ht="21.75" customHeight="1" x14ac:dyDescent="0.3">
      <c r="A859" s="504"/>
      <c r="B859" s="504"/>
      <c r="C859" s="504"/>
      <c r="D859" s="504"/>
      <c r="E859" s="506"/>
      <c r="F859" s="506"/>
      <c r="G859" s="506"/>
      <c r="H859" s="506"/>
      <c r="I859" s="506"/>
      <c r="J859" s="506"/>
      <c r="K859" s="507"/>
      <c r="L859" s="508"/>
      <c r="M859" s="508"/>
      <c r="N859" s="508"/>
      <c r="O859" s="509"/>
      <c r="P859" s="509"/>
    </row>
    <row r="860" spans="1:16" ht="21.75" customHeight="1" x14ac:dyDescent="0.3">
      <c r="A860" s="504"/>
      <c r="B860" s="504"/>
      <c r="C860" s="504"/>
      <c r="D860" s="504"/>
      <c r="E860" s="506"/>
      <c r="F860" s="506"/>
      <c r="G860" s="506"/>
      <c r="H860" s="506"/>
      <c r="I860" s="506"/>
      <c r="J860" s="506"/>
      <c r="K860" s="507"/>
      <c r="L860" s="508"/>
      <c r="M860" s="508"/>
      <c r="N860" s="508"/>
      <c r="O860" s="509"/>
      <c r="P860" s="509"/>
    </row>
    <row r="861" spans="1:16" ht="21.75" customHeight="1" x14ac:dyDescent="0.3">
      <c r="A861" s="504"/>
      <c r="B861" s="504"/>
      <c r="C861" s="504"/>
      <c r="D861" s="504"/>
      <c r="E861" s="506"/>
      <c r="F861" s="506"/>
      <c r="G861" s="506"/>
      <c r="H861" s="506"/>
      <c r="I861" s="506"/>
      <c r="J861" s="506"/>
      <c r="K861" s="507"/>
      <c r="L861" s="508"/>
      <c r="M861" s="508"/>
      <c r="N861" s="508"/>
      <c r="O861" s="509"/>
      <c r="P861" s="509"/>
    </row>
    <row r="862" spans="1:16" ht="21.75" customHeight="1" x14ac:dyDescent="0.3">
      <c r="A862" s="504"/>
      <c r="B862" s="504"/>
      <c r="C862" s="504"/>
      <c r="D862" s="504"/>
      <c r="E862" s="506"/>
      <c r="F862" s="506"/>
      <c r="G862" s="506"/>
      <c r="H862" s="506"/>
      <c r="I862" s="506"/>
      <c r="J862" s="506"/>
      <c r="K862" s="507"/>
      <c r="L862" s="508"/>
      <c r="M862" s="508"/>
      <c r="N862" s="508"/>
      <c r="O862" s="509"/>
      <c r="P862" s="509"/>
    </row>
    <row r="863" spans="1:16" ht="21.75" customHeight="1" x14ac:dyDescent="0.3">
      <c r="A863" s="504"/>
      <c r="B863" s="504"/>
      <c r="C863" s="504"/>
      <c r="D863" s="504"/>
      <c r="E863" s="506"/>
      <c r="F863" s="506"/>
      <c r="G863" s="506"/>
      <c r="H863" s="506"/>
      <c r="I863" s="506"/>
      <c r="J863" s="506"/>
      <c r="K863" s="507"/>
      <c r="L863" s="508"/>
      <c r="M863" s="508"/>
      <c r="N863" s="508"/>
      <c r="O863" s="509"/>
      <c r="P863" s="509"/>
    </row>
    <row r="864" spans="1:16" ht="21.75" customHeight="1" x14ac:dyDescent="0.3">
      <c r="A864" s="504"/>
      <c r="B864" s="504"/>
      <c r="C864" s="504"/>
      <c r="D864" s="504"/>
      <c r="E864" s="506"/>
      <c r="F864" s="506"/>
      <c r="G864" s="506"/>
      <c r="H864" s="506"/>
      <c r="I864" s="506"/>
      <c r="J864" s="506"/>
      <c r="K864" s="507"/>
      <c r="L864" s="508"/>
      <c r="M864" s="508"/>
      <c r="N864" s="508"/>
      <c r="O864" s="509"/>
      <c r="P864" s="509"/>
    </row>
    <row r="865" spans="1:16" ht="21.75" customHeight="1" x14ac:dyDescent="0.3">
      <c r="A865" s="504"/>
      <c r="B865" s="504"/>
      <c r="C865" s="504"/>
      <c r="D865" s="504"/>
      <c r="E865" s="506"/>
      <c r="F865" s="506"/>
      <c r="G865" s="506"/>
      <c r="H865" s="506"/>
      <c r="I865" s="506"/>
      <c r="J865" s="506"/>
      <c r="K865" s="507"/>
      <c r="L865" s="508"/>
      <c r="M865" s="508"/>
      <c r="N865" s="508"/>
      <c r="O865" s="509"/>
      <c r="P865" s="509"/>
    </row>
    <row r="866" spans="1:16" ht="21.75" customHeight="1" x14ac:dyDescent="0.3">
      <c r="A866" s="504"/>
      <c r="B866" s="504"/>
      <c r="C866" s="504"/>
      <c r="D866" s="504"/>
      <c r="E866" s="506"/>
      <c r="F866" s="506"/>
      <c r="G866" s="506"/>
      <c r="H866" s="506"/>
      <c r="I866" s="506"/>
      <c r="J866" s="506"/>
      <c r="K866" s="507"/>
      <c r="L866" s="508"/>
      <c r="M866" s="508"/>
      <c r="N866" s="508"/>
      <c r="O866" s="509"/>
      <c r="P866" s="509"/>
    </row>
    <row r="867" spans="1:16" ht="21.75" customHeight="1" x14ac:dyDescent="0.3">
      <c r="A867" s="504"/>
      <c r="B867" s="504"/>
      <c r="C867" s="504"/>
      <c r="D867" s="504"/>
      <c r="E867" s="506"/>
      <c r="F867" s="506"/>
      <c r="G867" s="506"/>
      <c r="H867" s="506"/>
      <c r="I867" s="506"/>
      <c r="J867" s="506"/>
      <c r="K867" s="507"/>
      <c r="L867" s="508"/>
      <c r="M867" s="508"/>
      <c r="N867" s="508"/>
      <c r="O867" s="509"/>
      <c r="P867" s="509"/>
    </row>
    <row r="868" spans="1:16" ht="21.75" customHeight="1" x14ac:dyDescent="0.3">
      <c r="A868" s="504"/>
      <c r="B868" s="504"/>
      <c r="C868" s="504"/>
      <c r="D868" s="504"/>
      <c r="E868" s="506"/>
      <c r="F868" s="506"/>
      <c r="G868" s="506"/>
      <c r="H868" s="506"/>
      <c r="I868" s="506"/>
      <c r="J868" s="506"/>
      <c r="K868" s="507"/>
      <c r="L868" s="508"/>
      <c r="M868" s="508"/>
      <c r="N868" s="508"/>
      <c r="O868" s="509"/>
      <c r="P868" s="509"/>
    </row>
    <row r="869" spans="1:16" ht="21.75" customHeight="1" x14ac:dyDescent="0.3">
      <c r="A869" s="504"/>
      <c r="B869" s="504"/>
      <c r="C869" s="504"/>
      <c r="D869" s="504"/>
      <c r="E869" s="506"/>
      <c r="F869" s="506"/>
      <c r="G869" s="506"/>
      <c r="H869" s="506"/>
      <c r="I869" s="506"/>
      <c r="J869" s="506"/>
      <c r="K869" s="507"/>
      <c r="L869" s="508"/>
      <c r="M869" s="508"/>
      <c r="N869" s="508"/>
      <c r="O869" s="509"/>
      <c r="P869" s="509"/>
    </row>
    <row r="870" spans="1:16" ht="21.75" customHeight="1" x14ac:dyDescent="0.3">
      <c r="A870" s="504"/>
      <c r="B870" s="504"/>
      <c r="C870" s="504"/>
      <c r="D870" s="504"/>
      <c r="E870" s="506"/>
      <c r="F870" s="506"/>
      <c r="G870" s="506"/>
      <c r="H870" s="506"/>
      <c r="I870" s="506"/>
      <c r="J870" s="506"/>
      <c r="K870" s="507"/>
      <c r="L870" s="508"/>
      <c r="M870" s="508"/>
      <c r="N870" s="508"/>
      <c r="O870" s="509"/>
      <c r="P870" s="509"/>
    </row>
    <row r="871" spans="1:16" ht="21.75" customHeight="1" x14ac:dyDescent="0.3">
      <c r="A871" s="504"/>
      <c r="B871" s="504"/>
      <c r="C871" s="504"/>
      <c r="D871" s="504"/>
      <c r="E871" s="506"/>
      <c r="F871" s="506"/>
      <c r="G871" s="506"/>
      <c r="H871" s="506"/>
      <c r="I871" s="506"/>
      <c r="J871" s="506"/>
      <c r="K871" s="507"/>
      <c r="L871" s="508"/>
      <c r="M871" s="508"/>
      <c r="N871" s="508"/>
      <c r="O871" s="509"/>
      <c r="P871" s="509"/>
    </row>
    <row r="872" spans="1:16" ht="21.75" customHeight="1" x14ac:dyDescent="0.3">
      <c r="A872" s="504"/>
      <c r="B872" s="504"/>
      <c r="C872" s="504"/>
      <c r="D872" s="504"/>
      <c r="E872" s="506"/>
      <c r="F872" s="506"/>
      <c r="G872" s="506"/>
      <c r="H872" s="506"/>
      <c r="I872" s="506"/>
      <c r="J872" s="506"/>
      <c r="K872" s="507"/>
      <c r="L872" s="508"/>
      <c r="M872" s="508"/>
      <c r="N872" s="508"/>
      <c r="O872" s="509"/>
      <c r="P872" s="509"/>
    </row>
    <row r="873" spans="1:16" ht="21.75" customHeight="1" x14ac:dyDescent="0.3">
      <c r="A873" s="504"/>
      <c r="B873" s="504"/>
      <c r="C873" s="504"/>
      <c r="D873" s="504"/>
      <c r="E873" s="506"/>
      <c r="F873" s="506"/>
      <c r="G873" s="506"/>
      <c r="H873" s="506"/>
      <c r="I873" s="506"/>
      <c r="J873" s="506"/>
      <c r="K873" s="507"/>
      <c r="L873" s="508"/>
      <c r="M873" s="508"/>
      <c r="N873" s="508"/>
      <c r="O873" s="509"/>
      <c r="P873" s="509"/>
    </row>
    <row r="874" spans="1:16" ht="21.75" customHeight="1" x14ac:dyDescent="0.3">
      <c r="A874" s="504"/>
      <c r="B874" s="504"/>
      <c r="C874" s="504"/>
      <c r="D874" s="504"/>
      <c r="E874" s="506"/>
      <c r="F874" s="506"/>
      <c r="G874" s="506"/>
      <c r="H874" s="506"/>
      <c r="I874" s="506"/>
      <c r="J874" s="506"/>
      <c r="K874" s="507"/>
      <c r="L874" s="508"/>
      <c r="M874" s="508"/>
      <c r="N874" s="508"/>
      <c r="O874" s="509"/>
      <c r="P874" s="509"/>
    </row>
    <row r="875" spans="1:16" ht="21.75" customHeight="1" x14ac:dyDescent="0.3">
      <c r="A875" s="504"/>
      <c r="B875" s="504"/>
      <c r="C875" s="504"/>
      <c r="D875" s="504"/>
      <c r="E875" s="506"/>
      <c r="F875" s="506"/>
      <c r="G875" s="506"/>
      <c r="H875" s="506"/>
      <c r="I875" s="506"/>
      <c r="J875" s="506"/>
      <c r="K875" s="507"/>
      <c r="L875" s="508"/>
      <c r="M875" s="508"/>
      <c r="N875" s="508"/>
      <c r="O875" s="509"/>
      <c r="P875" s="509"/>
    </row>
    <row r="876" spans="1:16" ht="21.75" customHeight="1" x14ac:dyDescent="0.3">
      <c r="A876" s="504"/>
      <c r="B876" s="504"/>
      <c r="C876" s="504"/>
      <c r="D876" s="504"/>
      <c r="E876" s="506"/>
      <c r="F876" s="506"/>
      <c r="G876" s="506"/>
      <c r="H876" s="506"/>
      <c r="I876" s="506"/>
      <c r="J876" s="506"/>
      <c r="K876" s="507"/>
      <c r="L876" s="508"/>
      <c r="M876" s="508"/>
      <c r="N876" s="508"/>
      <c r="O876" s="509"/>
      <c r="P876" s="509"/>
    </row>
    <row r="877" spans="1:16" ht="21.75" customHeight="1" x14ac:dyDescent="0.3">
      <c r="A877" s="504"/>
      <c r="B877" s="504"/>
      <c r="C877" s="504"/>
      <c r="D877" s="504"/>
      <c r="E877" s="506"/>
      <c r="F877" s="506"/>
      <c r="G877" s="506"/>
      <c r="H877" s="506"/>
      <c r="I877" s="506"/>
      <c r="J877" s="506"/>
      <c r="K877" s="507"/>
      <c r="L877" s="508"/>
      <c r="M877" s="508"/>
      <c r="N877" s="508"/>
      <c r="O877" s="509"/>
      <c r="P877" s="509"/>
    </row>
    <row r="878" spans="1:16" ht="21.75" customHeight="1" x14ac:dyDescent="0.3">
      <c r="A878" s="504"/>
      <c r="B878" s="504"/>
      <c r="C878" s="504"/>
      <c r="D878" s="504"/>
      <c r="E878" s="506"/>
      <c r="F878" s="506"/>
      <c r="G878" s="506"/>
      <c r="H878" s="506"/>
      <c r="I878" s="506"/>
      <c r="J878" s="506"/>
      <c r="K878" s="507"/>
      <c r="L878" s="508"/>
      <c r="M878" s="508"/>
      <c r="N878" s="508"/>
      <c r="O878" s="509"/>
      <c r="P878" s="509"/>
    </row>
    <row r="879" spans="1:16" ht="21.75" customHeight="1" x14ac:dyDescent="0.3">
      <c r="A879" s="504"/>
      <c r="B879" s="504"/>
      <c r="C879" s="504"/>
      <c r="D879" s="504"/>
      <c r="E879" s="506"/>
      <c r="F879" s="506"/>
      <c r="G879" s="506"/>
      <c r="H879" s="506"/>
      <c r="I879" s="506"/>
      <c r="J879" s="506"/>
      <c r="K879" s="507"/>
      <c r="L879" s="508"/>
      <c r="M879" s="508"/>
      <c r="N879" s="508"/>
      <c r="O879" s="509"/>
      <c r="P879" s="509"/>
    </row>
    <row r="880" spans="1:16" ht="21.75" customHeight="1" x14ac:dyDescent="0.3">
      <c r="A880" s="504"/>
      <c r="B880" s="504"/>
      <c r="C880" s="504"/>
      <c r="D880" s="504"/>
      <c r="E880" s="506"/>
      <c r="F880" s="506"/>
      <c r="G880" s="506"/>
      <c r="H880" s="506"/>
      <c r="I880" s="506"/>
      <c r="J880" s="506"/>
      <c r="K880" s="507"/>
      <c r="L880" s="508"/>
      <c r="M880" s="508"/>
      <c r="N880" s="508"/>
      <c r="O880" s="509"/>
      <c r="P880" s="509"/>
    </row>
    <row r="881" spans="1:16" ht="21.75" customHeight="1" x14ac:dyDescent="0.3">
      <c r="A881" s="504"/>
      <c r="B881" s="504"/>
      <c r="C881" s="504"/>
      <c r="D881" s="504"/>
      <c r="E881" s="506"/>
      <c r="F881" s="506"/>
      <c r="G881" s="506"/>
      <c r="H881" s="506"/>
      <c r="I881" s="506"/>
      <c r="J881" s="506"/>
      <c r="K881" s="507"/>
      <c r="L881" s="508"/>
      <c r="M881" s="508"/>
      <c r="N881" s="508"/>
      <c r="O881" s="509"/>
      <c r="P881" s="509"/>
    </row>
    <row r="882" spans="1:16" ht="21.75" customHeight="1" x14ac:dyDescent="0.3">
      <c r="A882" s="504"/>
      <c r="B882" s="504"/>
      <c r="C882" s="504"/>
      <c r="D882" s="504"/>
      <c r="E882" s="506"/>
      <c r="F882" s="506"/>
      <c r="G882" s="506"/>
      <c r="H882" s="506"/>
      <c r="I882" s="506"/>
      <c r="J882" s="506"/>
      <c r="K882" s="507"/>
      <c r="L882" s="508"/>
      <c r="M882" s="508"/>
      <c r="N882" s="508"/>
      <c r="O882" s="509"/>
      <c r="P882" s="509"/>
    </row>
    <row r="883" spans="1:16" ht="21.75" customHeight="1" x14ac:dyDescent="0.3">
      <c r="A883" s="504"/>
      <c r="B883" s="504"/>
      <c r="C883" s="504"/>
      <c r="D883" s="504"/>
      <c r="E883" s="506"/>
      <c r="F883" s="506"/>
      <c r="G883" s="506"/>
      <c r="H883" s="506"/>
      <c r="I883" s="506"/>
      <c r="J883" s="506"/>
      <c r="K883" s="507"/>
      <c r="L883" s="508"/>
      <c r="M883" s="508"/>
      <c r="N883" s="508"/>
      <c r="O883" s="509"/>
      <c r="P883" s="509"/>
    </row>
    <row r="884" spans="1:16" ht="21.75" customHeight="1" x14ac:dyDescent="0.3">
      <c r="A884" s="504"/>
      <c r="B884" s="504"/>
      <c r="C884" s="504"/>
      <c r="D884" s="504"/>
      <c r="E884" s="506"/>
      <c r="F884" s="506"/>
      <c r="G884" s="506"/>
      <c r="H884" s="506"/>
      <c r="I884" s="506"/>
      <c r="J884" s="506"/>
      <c r="K884" s="507"/>
      <c r="L884" s="508"/>
      <c r="M884" s="508"/>
      <c r="N884" s="508"/>
      <c r="O884" s="509"/>
      <c r="P884" s="509"/>
    </row>
    <row r="885" spans="1:16" ht="21.75" customHeight="1" x14ac:dyDescent="0.3">
      <c r="A885" s="504"/>
      <c r="B885" s="504"/>
      <c r="C885" s="504"/>
      <c r="D885" s="504"/>
      <c r="E885" s="506"/>
      <c r="F885" s="506"/>
      <c r="G885" s="506"/>
      <c r="H885" s="506"/>
      <c r="I885" s="506"/>
      <c r="J885" s="506"/>
      <c r="K885" s="507"/>
      <c r="L885" s="508"/>
      <c r="M885" s="508"/>
      <c r="N885" s="508"/>
      <c r="O885" s="509"/>
      <c r="P885" s="509"/>
    </row>
    <row r="886" spans="1:16" ht="21.75" customHeight="1" x14ac:dyDescent="0.3">
      <c r="A886" s="504"/>
      <c r="B886" s="504"/>
      <c r="C886" s="504"/>
      <c r="D886" s="504"/>
      <c r="E886" s="506"/>
      <c r="F886" s="506"/>
      <c r="G886" s="506"/>
      <c r="H886" s="506"/>
      <c r="I886" s="506"/>
      <c r="J886" s="506"/>
      <c r="K886" s="507"/>
      <c r="L886" s="508"/>
      <c r="M886" s="508"/>
      <c r="N886" s="508"/>
      <c r="O886" s="509"/>
      <c r="P886" s="509"/>
    </row>
    <row r="887" spans="1:16" ht="21.75" customHeight="1" x14ac:dyDescent="0.3">
      <c r="A887" s="504"/>
      <c r="B887" s="504"/>
      <c r="C887" s="504"/>
      <c r="D887" s="504"/>
      <c r="E887" s="506"/>
      <c r="F887" s="506"/>
      <c r="G887" s="506"/>
      <c r="H887" s="506"/>
      <c r="I887" s="506"/>
      <c r="J887" s="506"/>
      <c r="K887" s="507"/>
      <c r="L887" s="508"/>
      <c r="M887" s="508"/>
      <c r="N887" s="508"/>
      <c r="O887" s="509"/>
      <c r="P887" s="509"/>
    </row>
    <row r="888" spans="1:16" ht="21.75" customHeight="1" x14ac:dyDescent="0.3">
      <c r="A888" s="504"/>
      <c r="B888" s="504"/>
      <c r="C888" s="504"/>
      <c r="D888" s="504"/>
      <c r="E888" s="506"/>
      <c r="F888" s="506"/>
      <c r="G888" s="506"/>
      <c r="H888" s="506"/>
      <c r="I888" s="506"/>
      <c r="J888" s="506"/>
      <c r="K888" s="507"/>
      <c r="L888" s="508"/>
      <c r="M888" s="508"/>
      <c r="N888" s="508"/>
      <c r="O888" s="509"/>
      <c r="P888" s="509"/>
    </row>
    <row r="889" spans="1:16" ht="21.75" customHeight="1" x14ac:dyDescent="0.3">
      <c r="A889" s="504"/>
      <c r="B889" s="504"/>
      <c r="C889" s="504"/>
      <c r="D889" s="504"/>
      <c r="E889" s="506"/>
      <c r="F889" s="506"/>
      <c r="G889" s="506"/>
      <c r="H889" s="506"/>
      <c r="I889" s="506"/>
      <c r="J889" s="506"/>
      <c r="K889" s="507"/>
      <c r="L889" s="508"/>
      <c r="M889" s="508"/>
      <c r="N889" s="508"/>
      <c r="O889" s="509"/>
      <c r="P889" s="509"/>
    </row>
    <row r="890" spans="1:16" ht="21.75" customHeight="1" x14ac:dyDescent="0.3">
      <c r="A890" s="504"/>
      <c r="B890" s="504"/>
      <c r="C890" s="504"/>
      <c r="D890" s="504"/>
      <c r="E890" s="506"/>
      <c r="F890" s="506"/>
      <c r="G890" s="506"/>
      <c r="H890" s="506"/>
      <c r="I890" s="506"/>
      <c r="J890" s="506"/>
      <c r="K890" s="507"/>
      <c r="L890" s="508"/>
      <c r="M890" s="508"/>
      <c r="N890" s="508"/>
      <c r="O890" s="509"/>
      <c r="P890" s="509"/>
    </row>
    <row r="891" spans="1:16" ht="21.75" customHeight="1" x14ac:dyDescent="0.3">
      <c r="A891" s="504"/>
      <c r="B891" s="504"/>
      <c r="C891" s="504"/>
      <c r="D891" s="504"/>
      <c r="E891" s="506"/>
      <c r="F891" s="506"/>
      <c r="G891" s="506"/>
      <c r="H891" s="506"/>
      <c r="I891" s="506"/>
      <c r="J891" s="506"/>
      <c r="K891" s="507"/>
      <c r="L891" s="508"/>
      <c r="M891" s="508"/>
      <c r="N891" s="508"/>
      <c r="O891" s="509"/>
      <c r="P891" s="509"/>
    </row>
    <row r="892" spans="1:16" ht="21.75" customHeight="1" x14ac:dyDescent="0.3">
      <c r="A892" s="504"/>
      <c r="B892" s="504"/>
      <c r="C892" s="504"/>
      <c r="D892" s="504"/>
      <c r="E892" s="506"/>
      <c r="F892" s="506"/>
      <c r="G892" s="506"/>
      <c r="H892" s="506"/>
      <c r="I892" s="506"/>
      <c r="J892" s="506"/>
      <c r="K892" s="507"/>
      <c r="L892" s="508"/>
      <c r="M892" s="508"/>
      <c r="N892" s="508"/>
      <c r="O892" s="509"/>
      <c r="P892" s="509"/>
    </row>
    <row r="893" spans="1:16" ht="21.75" customHeight="1" x14ac:dyDescent="0.3">
      <c r="A893" s="504"/>
      <c r="B893" s="504"/>
      <c r="C893" s="504"/>
      <c r="D893" s="504"/>
      <c r="E893" s="506"/>
      <c r="F893" s="506"/>
      <c r="G893" s="506"/>
      <c r="H893" s="506"/>
      <c r="I893" s="506"/>
      <c r="J893" s="506"/>
      <c r="K893" s="507"/>
      <c r="L893" s="508"/>
      <c r="M893" s="508"/>
      <c r="N893" s="508"/>
      <c r="O893" s="509"/>
      <c r="P893" s="509"/>
    </row>
    <row r="894" spans="1:16" ht="21.75" customHeight="1" x14ac:dyDescent="0.3">
      <c r="A894" s="504"/>
      <c r="B894" s="504"/>
      <c r="C894" s="504"/>
      <c r="D894" s="504"/>
      <c r="E894" s="506"/>
      <c r="F894" s="506"/>
      <c r="G894" s="506"/>
      <c r="H894" s="506"/>
      <c r="I894" s="506"/>
      <c r="J894" s="506"/>
      <c r="K894" s="507"/>
      <c r="L894" s="508"/>
      <c r="M894" s="508"/>
      <c r="N894" s="508"/>
      <c r="O894" s="509"/>
      <c r="P894" s="509"/>
    </row>
    <row r="895" spans="1:16" ht="21.75" customHeight="1" x14ac:dyDescent="0.3">
      <c r="A895" s="504"/>
      <c r="B895" s="504"/>
      <c r="C895" s="504"/>
      <c r="D895" s="504"/>
      <c r="E895" s="506"/>
      <c r="F895" s="506"/>
      <c r="G895" s="506"/>
      <c r="H895" s="506"/>
      <c r="I895" s="506"/>
      <c r="J895" s="506"/>
      <c r="K895" s="507"/>
      <c r="L895" s="508"/>
      <c r="M895" s="508"/>
      <c r="N895" s="508"/>
      <c r="O895" s="509"/>
      <c r="P895" s="509"/>
    </row>
    <row r="896" spans="1:16" ht="21.75" customHeight="1" x14ac:dyDescent="0.3">
      <c r="A896" s="504"/>
      <c r="B896" s="504"/>
      <c r="C896" s="504"/>
      <c r="D896" s="504"/>
      <c r="E896" s="506"/>
      <c r="F896" s="506"/>
      <c r="G896" s="506"/>
      <c r="H896" s="506"/>
      <c r="I896" s="506"/>
      <c r="J896" s="506"/>
      <c r="K896" s="507"/>
      <c r="L896" s="508"/>
      <c r="M896" s="508"/>
      <c r="N896" s="508"/>
      <c r="O896" s="509"/>
      <c r="P896" s="509"/>
    </row>
    <row r="897" spans="1:16" ht="21.75" customHeight="1" x14ac:dyDescent="0.3">
      <c r="A897" s="504"/>
      <c r="B897" s="504"/>
      <c r="C897" s="504"/>
      <c r="D897" s="504"/>
      <c r="E897" s="506"/>
      <c r="F897" s="506"/>
      <c r="G897" s="506"/>
      <c r="H897" s="506"/>
      <c r="I897" s="506"/>
      <c r="J897" s="506"/>
      <c r="K897" s="507"/>
      <c r="L897" s="508"/>
      <c r="M897" s="508"/>
      <c r="N897" s="508"/>
      <c r="O897" s="509"/>
      <c r="P897" s="509"/>
    </row>
    <row r="898" spans="1:16" ht="21.75" customHeight="1" x14ac:dyDescent="0.3">
      <c r="A898" s="504"/>
      <c r="B898" s="504"/>
      <c r="C898" s="504"/>
      <c r="D898" s="504"/>
      <c r="E898" s="506"/>
      <c r="F898" s="506"/>
      <c r="G898" s="506"/>
      <c r="H898" s="506"/>
      <c r="I898" s="506"/>
      <c r="J898" s="506"/>
      <c r="K898" s="507"/>
      <c r="L898" s="508"/>
      <c r="M898" s="508"/>
      <c r="N898" s="508"/>
      <c r="O898" s="509"/>
      <c r="P898" s="509"/>
    </row>
    <row r="899" spans="1:16" ht="21.75" customHeight="1" x14ac:dyDescent="0.3">
      <c r="A899" s="504"/>
      <c r="B899" s="504"/>
      <c r="C899" s="504"/>
      <c r="D899" s="504"/>
      <c r="E899" s="506"/>
      <c r="F899" s="506"/>
      <c r="G899" s="506"/>
      <c r="H899" s="506"/>
      <c r="I899" s="506"/>
      <c r="J899" s="506"/>
      <c r="K899" s="507"/>
      <c r="L899" s="508"/>
      <c r="M899" s="508"/>
      <c r="N899" s="508"/>
      <c r="O899" s="509"/>
      <c r="P899" s="509"/>
    </row>
    <row r="900" spans="1:16" ht="21.75" customHeight="1" x14ac:dyDescent="0.3">
      <c r="A900" s="504"/>
      <c r="B900" s="504"/>
      <c r="C900" s="504"/>
      <c r="D900" s="504"/>
      <c r="E900" s="506"/>
      <c r="F900" s="506"/>
      <c r="G900" s="506"/>
      <c r="H900" s="506"/>
      <c r="I900" s="506"/>
      <c r="J900" s="506"/>
      <c r="K900" s="507"/>
      <c r="L900" s="508"/>
      <c r="M900" s="508"/>
      <c r="N900" s="508"/>
      <c r="O900" s="509"/>
      <c r="P900" s="509"/>
    </row>
    <row r="901" spans="1:16" ht="21.75" customHeight="1" x14ac:dyDescent="0.3">
      <c r="A901" s="504"/>
      <c r="B901" s="504"/>
      <c r="C901" s="504"/>
      <c r="D901" s="504"/>
      <c r="E901" s="506"/>
      <c r="F901" s="506"/>
      <c r="G901" s="506"/>
      <c r="H901" s="506"/>
      <c r="I901" s="506"/>
      <c r="J901" s="506"/>
      <c r="K901" s="507"/>
      <c r="L901" s="508"/>
      <c r="M901" s="508"/>
      <c r="N901" s="508"/>
      <c r="O901" s="509"/>
      <c r="P901" s="509"/>
    </row>
    <row r="902" spans="1:16" ht="21.75" customHeight="1" x14ac:dyDescent="0.3">
      <c r="A902" s="504"/>
      <c r="B902" s="504"/>
      <c r="C902" s="504"/>
      <c r="D902" s="504"/>
      <c r="E902" s="506"/>
      <c r="F902" s="506"/>
      <c r="G902" s="506"/>
      <c r="H902" s="506"/>
      <c r="I902" s="506"/>
      <c r="J902" s="506"/>
      <c r="K902" s="507"/>
      <c r="L902" s="508"/>
      <c r="M902" s="508"/>
      <c r="N902" s="508"/>
      <c r="O902" s="509"/>
      <c r="P902" s="509"/>
    </row>
    <row r="903" spans="1:16" ht="21.75" customHeight="1" x14ac:dyDescent="0.3">
      <c r="A903" s="504"/>
      <c r="B903" s="504"/>
      <c r="C903" s="504"/>
      <c r="D903" s="504"/>
      <c r="E903" s="506"/>
      <c r="F903" s="506"/>
      <c r="G903" s="506"/>
      <c r="H903" s="506"/>
      <c r="I903" s="506"/>
      <c r="J903" s="506"/>
      <c r="K903" s="507"/>
      <c r="L903" s="508"/>
      <c r="M903" s="508"/>
      <c r="N903" s="508"/>
      <c r="O903" s="509"/>
      <c r="P903" s="509"/>
    </row>
    <row r="904" spans="1:16" ht="21.75" customHeight="1" x14ac:dyDescent="0.3">
      <c r="A904" s="504"/>
      <c r="B904" s="504"/>
      <c r="C904" s="504"/>
      <c r="D904" s="504"/>
      <c r="E904" s="506"/>
      <c r="F904" s="506"/>
      <c r="G904" s="506"/>
      <c r="H904" s="506"/>
      <c r="I904" s="506"/>
      <c r="J904" s="506"/>
      <c r="K904" s="507"/>
      <c r="L904" s="508"/>
      <c r="M904" s="508"/>
      <c r="N904" s="508"/>
      <c r="O904" s="509"/>
      <c r="P904" s="509"/>
    </row>
    <row r="905" spans="1:16" ht="21.75" customHeight="1" x14ac:dyDescent="0.3">
      <c r="A905" s="504"/>
      <c r="B905" s="504"/>
      <c r="C905" s="504"/>
      <c r="D905" s="504"/>
      <c r="E905" s="506"/>
      <c r="F905" s="506"/>
      <c r="G905" s="506"/>
      <c r="H905" s="506"/>
      <c r="I905" s="506"/>
      <c r="J905" s="506"/>
      <c r="K905" s="507"/>
      <c r="L905" s="508"/>
      <c r="M905" s="508"/>
      <c r="N905" s="508"/>
      <c r="O905" s="509"/>
      <c r="P905" s="509"/>
    </row>
    <row r="906" spans="1:16" ht="21.75" customHeight="1" x14ac:dyDescent="0.3">
      <c r="A906" s="504"/>
      <c r="B906" s="504"/>
      <c r="C906" s="504"/>
      <c r="D906" s="504"/>
      <c r="E906" s="506"/>
      <c r="F906" s="506"/>
      <c r="G906" s="506"/>
      <c r="H906" s="506"/>
      <c r="I906" s="506"/>
      <c r="J906" s="506"/>
      <c r="K906" s="507"/>
      <c r="L906" s="508"/>
      <c r="M906" s="508"/>
      <c r="N906" s="508"/>
      <c r="O906" s="509"/>
      <c r="P906" s="509"/>
    </row>
    <row r="907" spans="1:16" ht="21.75" customHeight="1" x14ac:dyDescent="0.3">
      <c r="A907" s="504"/>
      <c r="B907" s="504"/>
      <c r="C907" s="504"/>
      <c r="D907" s="504"/>
      <c r="E907" s="506"/>
      <c r="F907" s="506"/>
      <c r="G907" s="506"/>
      <c r="H907" s="506"/>
      <c r="I907" s="506"/>
      <c r="J907" s="506"/>
      <c r="K907" s="507"/>
      <c r="L907" s="508"/>
      <c r="M907" s="508"/>
      <c r="N907" s="508"/>
      <c r="O907" s="509"/>
      <c r="P907" s="509"/>
    </row>
    <row r="908" spans="1:16" ht="21.75" customHeight="1" x14ac:dyDescent="0.3">
      <c r="A908" s="504"/>
      <c r="B908" s="504"/>
      <c r="C908" s="504"/>
      <c r="D908" s="504"/>
      <c r="E908" s="506"/>
      <c r="F908" s="506"/>
      <c r="G908" s="506"/>
      <c r="H908" s="506"/>
      <c r="I908" s="506"/>
      <c r="J908" s="506"/>
      <c r="K908" s="507"/>
      <c r="L908" s="508"/>
      <c r="M908" s="508"/>
      <c r="N908" s="508"/>
      <c r="O908" s="509"/>
      <c r="P908" s="509"/>
    </row>
    <row r="909" spans="1:16" ht="21.75" customHeight="1" x14ac:dyDescent="0.3">
      <c r="A909" s="504"/>
      <c r="B909" s="504"/>
      <c r="C909" s="504"/>
      <c r="D909" s="504"/>
      <c r="E909" s="506"/>
      <c r="F909" s="506"/>
      <c r="G909" s="506"/>
      <c r="H909" s="506"/>
      <c r="I909" s="506"/>
      <c r="J909" s="506"/>
      <c r="K909" s="507"/>
      <c r="L909" s="508"/>
      <c r="M909" s="508"/>
      <c r="N909" s="508"/>
      <c r="O909" s="509"/>
      <c r="P909" s="509"/>
    </row>
    <row r="910" spans="1:16" ht="21.75" customHeight="1" x14ac:dyDescent="0.3">
      <c r="A910" s="504"/>
      <c r="B910" s="504"/>
      <c r="C910" s="504"/>
      <c r="D910" s="504"/>
      <c r="E910" s="506"/>
      <c r="F910" s="506"/>
      <c r="G910" s="506"/>
      <c r="H910" s="506"/>
      <c r="I910" s="506"/>
      <c r="J910" s="506"/>
      <c r="K910" s="507"/>
      <c r="L910" s="508"/>
      <c r="M910" s="508"/>
      <c r="N910" s="508"/>
      <c r="O910" s="509"/>
      <c r="P910" s="509"/>
    </row>
    <row r="911" spans="1:16" ht="21.75" customHeight="1" x14ac:dyDescent="0.3">
      <c r="A911" s="504"/>
      <c r="B911" s="504"/>
      <c r="C911" s="504"/>
      <c r="D911" s="504"/>
      <c r="E911" s="506"/>
      <c r="F911" s="506"/>
      <c r="G911" s="506"/>
      <c r="H911" s="506"/>
      <c r="I911" s="506"/>
      <c r="J911" s="506"/>
      <c r="K911" s="507"/>
      <c r="L911" s="508"/>
      <c r="M911" s="508"/>
      <c r="N911" s="508"/>
      <c r="O911" s="509"/>
      <c r="P911" s="509"/>
    </row>
    <row r="912" spans="1:16" ht="21.75" customHeight="1" x14ac:dyDescent="0.3">
      <c r="A912" s="504"/>
      <c r="B912" s="504"/>
      <c r="C912" s="504"/>
      <c r="D912" s="504"/>
      <c r="E912" s="506"/>
      <c r="F912" s="506"/>
      <c r="G912" s="506"/>
      <c r="H912" s="506"/>
      <c r="I912" s="506"/>
      <c r="J912" s="506"/>
      <c r="K912" s="507"/>
      <c r="L912" s="508"/>
      <c r="M912" s="508"/>
      <c r="N912" s="508"/>
      <c r="O912" s="509"/>
      <c r="P912" s="509"/>
    </row>
    <row r="913" spans="1:16" ht="21.75" customHeight="1" x14ac:dyDescent="0.3">
      <c r="A913" s="504"/>
      <c r="B913" s="504"/>
      <c r="C913" s="504"/>
      <c r="D913" s="504"/>
      <c r="E913" s="506"/>
      <c r="F913" s="506"/>
      <c r="G913" s="506"/>
      <c r="H913" s="506"/>
      <c r="I913" s="506"/>
      <c r="J913" s="506"/>
      <c r="K913" s="507"/>
      <c r="L913" s="508"/>
      <c r="M913" s="508"/>
      <c r="N913" s="508"/>
      <c r="O913" s="509"/>
      <c r="P913" s="509"/>
    </row>
    <row r="914" spans="1:16" ht="21.75" customHeight="1" x14ac:dyDescent="0.3">
      <c r="A914" s="504"/>
      <c r="B914" s="504"/>
      <c r="C914" s="504"/>
      <c r="D914" s="504"/>
      <c r="E914" s="506"/>
      <c r="F914" s="506"/>
      <c r="G914" s="506"/>
      <c r="H914" s="506"/>
      <c r="I914" s="506"/>
      <c r="J914" s="506"/>
      <c r="K914" s="507"/>
      <c r="L914" s="508"/>
      <c r="M914" s="508"/>
      <c r="N914" s="508"/>
      <c r="O914" s="509"/>
      <c r="P914" s="509"/>
    </row>
    <row r="915" spans="1:16" ht="21.75" customHeight="1" x14ac:dyDescent="0.3">
      <c r="A915" s="504"/>
      <c r="B915" s="504"/>
      <c r="C915" s="504"/>
      <c r="D915" s="504"/>
      <c r="E915" s="506"/>
      <c r="F915" s="506"/>
      <c r="G915" s="506"/>
      <c r="H915" s="506"/>
      <c r="I915" s="506"/>
      <c r="J915" s="506"/>
      <c r="K915" s="507"/>
      <c r="L915" s="508"/>
      <c r="M915" s="508"/>
      <c r="N915" s="508"/>
      <c r="O915" s="509"/>
      <c r="P915" s="509"/>
    </row>
    <row r="916" spans="1:16" ht="21.75" customHeight="1" x14ac:dyDescent="0.3">
      <c r="A916" s="504"/>
      <c r="B916" s="504"/>
      <c r="C916" s="504"/>
      <c r="D916" s="504"/>
      <c r="E916" s="506"/>
      <c r="F916" s="506"/>
      <c r="G916" s="506"/>
      <c r="H916" s="506"/>
      <c r="I916" s="506"/>
      <c r="J916" s="506"/>
      <c r="K916" s="507"/>
      <c r="L916" s="508"/>
      <c r="M916" s="508"/>
      <c r="N916" s="508"/>
      <c r="O916" s="509"/>
      <c r="P916" s="509"/>
    </row>
    <row r="917" spans="1:16" ht="21.75" customHeight="1" x14ac:dyDescent="0.3">
      <c r="A917" s="504"/>
      <c r="B917" s="504"/>
      <c r="C917" s="504"/>
      <c r="D917" s="504"/>
      <c r="E917" s="506"/>
      <c r="F917" s="506"/>
      <c r="G917" s="506"/>
      <c r="H917" s="506"/>
      <c r="I917" s="506"/>
      <c r="J917" s="506"/>
      <c r="K917" s="507"/>
      <c r="L917" s="508"/>
      <c r="M917" s="508"/>
      <c r="N917" s="508"/>
      <c r="O917" s="509"/>
      <c r="P917" s="509"/>
    </row>
    <row r="918" spans="1:16" ht="21.75" customHeight="1" x14ac:dyDescent="0.3">
      <c r="A918" s="504"/>
      <c r="B918" s="504"/>
      <c r="C918" s="504"/>
      <c r="D918" s="504"/>
      <c r="E918" s="506"/>
      <c r="F918" s="506"/>
      <c r="G918" s="506"/>
      <c r="H918" s="506"/>
      <c r="I918" s="506"/>
      <c r="J918" s="506"/>
      <c r="K918" s="507"/>
      <c r="L918" s="508"/>
      <c r="M918" s="508"/>
      <c r="N918" s="508"/>
      <c r="O918" s="509"/>
      <c r="P918" s="509"/>
    </row>
    <row r="919" spans="1:16" ht="21.75" customHeight="1" x14ac:dyDescent="0.3">
      <c r="A919" s="504"/>
      <c r="B919" s="504"/>
      <c r="C919" s="504"/>
      <c r="D919" s="504"/>
      <c r="E919" s="506"/>
      <c r="F919" s="506"/>
      <c r="G919" s="506"/>
      <c r="H919" s="506"/>
      <c r="I919" s="506"/>
      <c r="J919" s="506"/>
      <c r="K919" s="507"/>
      <c r="L919" s="508"/>
      <c r="M919" s="508"/>
      <c r="N919" s="508"/>
      <c r="O919" s="509"/>
      <c r="P919" s="509"/>
    </row>
    <row r="920" spans="1:16" ht="21.75" customHeight="1" x14ac:dyDescent="0.3">
      <c r="A920" s="504"/>
      <c r="B920" s="504"/>
      <c r="C920" s="504"/>
      <c r="D920" s="504"/>
      <c r="E920" s="506"/>
      <c r="F920" s="506"/>
      <c r="G920" s="506"/>
      <c r="H920" s="506"/>
      <c r="I920" s="506"/>
      <c r="J920" s="506"/>
      <c r="K920" s="507"/>
      <c r="L920" s="508"/>
      <c r="M920" s="508"/>
      <c r="N920" s="508"/>
      <c r="O920" s="509"/>
      <c r="P920" s="509"/>
    </row>
    <row r="921" spans="1:16" ht="21.75" customHeight="1" x14ac:dyDescent="0.3">
      <c r="A921" s="504"/>
      <c r="B921" s="504"/>
      <c r="C921" s="504"/>
      <c r="D921" s="504"/>
      <c r="E921" s="506"/>
      <c r="F921" s="506"/>
      <c r="G921" s="506"/>
      <c r="H921" s="506"/>
      <c r="I921" s="506"/>
      <c r="J921" s="506"/>
      <c r="K921" s="507"/>
      <c r="L921" s="508"/>
      <c r="M921" s="508"/>
      <c r="N921" s="508"/>
      <c r="O921" s="509"/>
      <c r="P921" s="509"/>
    </row>
    <row r="922" spans="1:16" ht="21.75" customHeight="1" x14ac:dyDescent="0.3">
      <c r="A922" s="504"/>
      <c r="B922" s="504"/>
      <c r="C922" s="504"/>
      <c r="D922" s="504"/>
      <c r="E922" s="506"/>
      <c r="F922" s="506"/>
      <c r="G922" s="506"/>
      <c r="H922" s="506"/>
      <c r="I922" s="506"/>
      <c r="J922" s="506"/>
      <c r="K922" s="507"/>
      <c r="L922" s="508"/>
      <c r="M922" s="508"/>
      <c r="N922" s="508"/>
      <c r="O922" s="509"/>
      <c r="P922" s="509"/>
    </row>
    <row r="923" spans="1:16" ht="21.75" customHeight="1" x14ac:dyDescent="0.3">
      <c r="A923" s="504"/>
      <c r="B923" s="504"/>
      <c r="C923" s="504"/>
      <c r="D923" s="504"/>
      <c r="E923" s="506"/>
      <c r="F923" s="506"/>
      <c r="G923" s="506"/>
      <c r="H923" s="506"/>
      <c r="I923" s="506"/>
      <c r="J923" s="506"/>
      <c r="K923" s="507"/>
      <c r="L923" s="508"/>
      <c r="M923" s="508"/>
      <c r="N923" s="508"/>
      <c r="O923" s="509"/>
      <c r="P923" s="509"/>
    </row>
    <row r="924" spans="1:16" ht="21.75" customHeight="1" x14ac:dyDescent="0.3">
      <c r="A924" s="504"/>
      <c r="B924" s="504"/>
      <c r="C924" s="504"/>
      <c r="D924" s="504"/>
      <c r="E924" s="506"/>
      <c r="F924" s="506"/>
      <c r="G924" s="506"/>
      <c r="H924" s="506"/>
      <c r="I924" s="506"/>
      <c r="J924" s="506"/>
      <c r="K924" s="507"/>
      <c r="L924" s="508"/>
      <c r="M924" s="508"/>
      <c r="N924" s="508"/>
      <c r="O924" s="509"/>
      <c r="P924" s="509"/>
    </row>
    <row r="925" spans="1:16" ht="21.75" customHeight="1" x14ac:dyDescent="0.3">
      <c r="A925" s="504"/>
      <c r="B925" s="504"/>
      <c r="C925" s="504"/>
      <c r="D925" s="504"/>
      <c r="E925" s="506"/>
      <c r="F925" s="506"/>
      <c r="G925" s="506"/>
      <c r="H925" s="506"/>
      <c r="I925" s="506"/>
      <c r="J925" s="506"/>
      <c r="K925" s="507"/>
      <c r="L925" s="508"/>
      <c r="M925" s="508"/>
      <c r="N925" s="508"/>
      <c r="O925" s="509"/>
      <c r="P925" s="509"/>
    </row>
    <row r="926" spans="1:16" ht="21.75" customHeight="1" x14ac:dyDescent="0.3">
      <c r="A926" s="504"/>
      <c r="B926" s="504"/>
      <c r="C926" s="504"/>
      <c r="D926" s="504"/>
      <c r="E926" s="506"/>
      <c r="F926" s="506"/>
      <c r="G926" s="506"/>
      <c r="H926" s="506"/>
      <c r="I926" s="506"/>
      <c r="J926" s="506"/>
      <c r="K926" s="507"/>
      <c r="L926" s="508"/>
      <c r="M926" s="508"/>
      <c r="N926" s="508"/>
      <c r="O926" s="509"/>
      <c r="P926" s="509"/>
    </row>
    <row r="927" spans="1:16" ht="21.75" customHeight="1" x14ac:dyDescent="0.3">
      <c r="A927" s="504"/>
      <c r="B927" s="504"/>
      <c r="C927" s="504"/>
      <c r="D927" s="504"/>
      <c r="E927" s="506"/>
      <c r="F927" s="506"/>
      <c r="G927" s="506"/>
      <c r="H927" s="506"/>
      <c r="I927" s="506"/>
      <c r="J927" s="506"/>
      <c r="K927" s="507"/>
      <c r="L927" s="508"/>
      <c r="M927" s="508"/>
      <c r="N927" s="508"/>
      <c r="O927" s="509"/>
      <c r="P927" s="509"/>
    </row>
    <row r="928" spans="1:16" ht="21.75" customHeight="1" x14ac:dyDescent="0.3">
      <c r="A928" s="504"/>
      <c r="B928" s="504"/>
      <c r="C928" s="504"/>
      <c r="D928" s="504"/>
      <c r="E928" s="506"/>
      <c r="F928" s="506"/>
      <c r="G928" s="506"/>
      <c r="H928" s="506"/>
      <c r="I928" s="506"/>
      <c r="J928" s="506"/>
      <c r="K928" s="507"/>
      <c r="L928" s="508"/>
      <c r="M928" s="508"/>
      <c r="N928" s="508"/>
      <c r="O928" s="509"/>
      <c r="P928" s="509"/>
    </row>
    <row r="929" spans="1:16" ht="21.75" customHeight="1" x14ac:dyDescent="0.3">
      <c r="A929" s="504"/>
      <c r="B929" s="504"/>
      <c r="C929" s="504"/>
      <c r="D929" s="504"/>
      <c r="E929" s="506"/>
      <c r="F929" s="506"/>
      <c r="G929" s="506"/>
      <c r="H929" s="506"/>
      <c r="I929" s="506"/>
      <c r="J929" s="506"/>
      <c r="K929" s="507"/>
      <c r="L929" s="508"/>
      <c r="M929" s="508"/>
      <c r="N929" s="508"/>
      <c r="O929" s="509"/>
      <c r="P929" s="509"/>
    </row>
    <row r="930" spans="1:16" ht="21.75" customHeight="1" x14ac:dyDescent="0.3">
      <c r="A930" s="504"/>
      <c r="B930" s="504"/>
      <c r="C930" s="504"/>
      <c r="D930" s="504"/>
      <c r="E930" s="506"/>
      <c r="F930" s="506"/>
      <c r="G930" s="506"/>
      <c r="H930" s="506"/>
      <c r="I930" s="506"/>
      <c r="J930" s="506"/>
      <c r="K930" s="507"/>
      <c r="L930" s="508"/>
      <c r="M930" s="508"/>
      <c r="N930" s="508"/>
      <c r="O930" s="509"/>
      <c r="P930" s="509"/>
    </row>
    <row r="931" spans="1:16" ht="21.75" customHeight="1" x14ac:dyDescent="0.3">
      <c r="A931" s="504"/>
      <c r="B931" s="504"/>
      <c r="C931" s="504"/>
      <c r="D931" s="504"/>
      <c r="E931" s="506"/>
      <c r="F931" s="506"/>
      <c r="G931" s="506"/>
      <c r="H931" s="506"/>
      <c r="I931" s="506"/>
      <c r="J931" s="506"/>
      <c r="K931" s="507"/>
      <c r="L931" s="508"/>
      <c r="M931" s="508"/>
      <c r="N931" s="508"/>
      <c r="O931" s="509"/>
      <c r="P931" s="509"/>
    </row>
    <row r="932" spans="1:16" ht="21.75" customHeight="1" x14ac:dyDescent="0.3">
      <c r="A932" s="504"/>
      <c r="B932" s="504"/>
      <c r="C932" s="504"/>
      <c r="D932" s="504"/>
      <c r="E932" s="506"/>
      <c r="F932" s="506"/>
      <c r="G932" s="506"/>
      <c r="H932" s="506"/>
      <c r="I932" s="506"/>
      <c r="J932" s="506"/>
      <c r="K932" s="507"/>
      <c r="L932" s="508"/>
      <c r="M932" s="508"/>
      <c r="N932" s="508"/>
      <c r="O932" s="509"/>
      <c r="P932" s="509"/>
    </row>
    <row r="933" spans="1:16" ht="21.75" customHeight="1" x14ac:dyDescent="0.3">
      <c r="A933" s="504"/>
      <c r="B933" s="504"/>
      <c r="C933" s="504"/>
      <c r="D933" s="504"/>
      <c r="E933" s="506"/>
      <c r="F933" s="506"/>
      <c r="G933" s="506"/>
      <c r="H933" s="506"/>
      <c r="I933" s="506"/>
      <c r="J933" s="506"/>
      <c r="K933" s="507"/>
      <c r="L933" s="508"/>
      <c r="M933" s="508"/>
      <c r="N933" s="508"/>
      <c r="O933" s="509"/>
      <c r="P933" s="509"/>
    </row>
    <row r="934" spans="1:16" ht="21.75" customHeight="1" x14ac:dyDescent="0.3">
      <c r="A934" s="504"/>
      <c r="B934" s="504"/>
      <c r="C934" s="504"/>
      <c r="D934" s="504"/>
      <c r="E934" s="506"/>
      <c r="F934" s="506"/>
      <c r="G934" s="506"/>
      <c r="H934" s="506"/>
      <c r="I934" s="506"/>
      <c r="J934" s="506"/>
      <c r="K934" s="507"/>
      <c r="L934" s="508"/>
      <c r="M934" s="508"/>
      <c r="N934" s="508"/>
      <c r="O934" s="509"/>
      <c r="P934" s="509"/>
    </row>
    <row r="935" spans="1:16" ht="21.75" customHeight="1" x14ac:dyDescent="0.3">
      <c r="A935" s="504"/>
      <c r="B935" s="504"/>
      <c r="C935" s="504"/>
      <c r="D935" s="504"/>
      <c r="E935" s="506"/>
      <c r="F935" s="506"/>
      <c r="G935" s="506"/>
      <c r="H935" s="506"/>
      <c r="I935" s="506"/>
      <c r="J935" s="506"/>
      <c r="K935" s="507"/>
      <c r="L935" s="508"/>
      <c r="M935" s="508"/>
      <c r="N935" s="508"/>
      <c r="O935" s="509"/>
      <c r="P935" s="509"/>
    </row>
    <row r="936" spans="1:16" ht="21.75" customHeight="1" x14ac:dyDescent="0.3">
      <c r="A936" s="504"/>
      <c r="B936" s="504"/>
      <c r="C936" s="504"/>
      <c r="D936" s="504"/>
      <c r="E936" s="506"/>
      <c r="F936" s="506"/>
      <c r="G936" s="506"/>
      <c r="H936" s="506"/>
      <c r="I936" s="506"/>
      <c r="J936" s="506"/>
      <c r="K936" s="507"/>
      <c r="L936" s="508"/>
      <c r="M936" s="508"/>
      <c r="N936" s="508"/>
      <c r="O936" s="509"/>
      <c r="P936" s="509"/>
    </row>
    <row r="937" spans="1:16" ht="21.75" customHeight="1" x14ac:dyDescent="0.3">
      <c r="A937" s="504"/>
      <c r="B937" s="504"/>
      <c r="C937" s="504"/>
      <c r="D937" s="504"/>
      <c r="E937" s="506"/>
      <c r="F937" s="506"/>
      <c r="G937" s="506"/>
      <c r="H937" s="506"/>
      <c r="I937" s="506"/>
      <c r="J937" s="506"/>
      <c r="K937" s="507"/>
      <c r="L937" s="508"/>
      <c r="M937" s="508"/>
      <c r="N937" s="508"/>
      <c r="O937" s="509"/>
      <c r="P937" s="509"/>
    </row>
    <row r="938" spans="1:16" ht="21.75" customHeight="1" x14ac:dyDescent="0.3">
      <c r="A938" s="504"/>
      <c r="B938" s="504"/>
      <c r="C938" s="504"/>
      <c r="D938" s="504"/>
      <c r="E938" s="506"/>
      <c r="F938" s="506"/>
      <c r="G938" s="506"/>
      <c r="H938" s="506"/>
      <c r="I938" s="506"/>
      <c r="J938" s="506"/>
      <c r="K938" s="507"/>
      <c r="L938" s="508"/>
      <c r="M938" s="508"/>
      <c r="N938" s="508"/>
      <c r="O938" s="509"/>
      <c r="P938" s="509"/>
    </row>
    <row r="939" spans="1:16" ht="21.75" customHeight="1" x14ac:dyDescent="0.3">
      <c r="A939" s="504"/>
      <c r="B939" s="504"/>
      <c r="C939" s="504"/>
      <c r="D939" s="504"/>
      <c r="E939" s="506"/>
      <c r="F939" s="506"/>
      <c r="G939" s="506"/>
      <c r="H939" s="506"/>
      <c r="I939" s="506"/>
      <c r="J939" s="506"/>
      <c r="K939" s="507"/>
      <c r="L939" s="508"/>
      <c r="M939" s="508"/>
      <c r="N939" s="508"/>
      <c r="O939" s="509"/>
      <c r="P939" s="509"/>
    </row>
    <row r="940" spans="1:16" ht="21.75" customHeight="1" x14ac:dyDescent="0.3">
      <c r="A940" s="504"/>
      <c r="B940" s="504"/>
      <c r="C940" s="504"/>
      <c r="D940" s="504"/>
      <c r="E940" s="506"/>
      <c r="F940" s="506"/>
      <c r="G940" s="506"/>
      <c r="H940" s="506"/>
      <c r="I940" s="506"/>
      <c r="J940" s="506"/>
      <c r="K940" s="507"/>
      <c r="L940" s="508"/>
      <c r="M940" s="508"/>
      <c r="N940" s="508"/>
      <c r="O940" s="509"/>
      <c r="P940" s="509"/>
    </row>
    <row r="941" spans="1:16" ht="21.75" customHeight="1" x14ac:dyDescent="0.3">
      <c r="A941" s="504"/>
      <c r="B941" s="504"/>
      <c r="C941" s="504"/>
      <c r="D941" s="504"/>
      <c r="E941" s="506"/>
      <c r="F941" s="506"/>
      <c r="G941" s="506"/>
      <c r="H941" s="506"/>
      <c r="I941" s="506"/>
      <c r="J941" s="506"/>
      <c r="K941" s="507"/>
      <c r="L941" s="508"/>
      <c r="M941" s="508"/>
      <c r="N941" s="508"/>
      <c r="O941" s="509"/>
      <c r="P941" s="509"/>
    </row>
    <row r="942" spans="1:16" ht="21.75" customHeight="1" x14ac:dyDescent="0.3">
      <c r="A942" s="504"/>
      <c r="B942" s="504"/>
      <c r="C942" s="504"/>
      <c r="D942" s="504"/>
      <c r="E942" s="506"/>
      <c r="F942" s="506"/>
      <c r="G942" s="506"/>
      <c r="H942" s="506"/>
      <c r="I942" s="506"/>
      <c r="J942" s="506"/>
      <c r="K942" s="507"/>
      <c r="L942" s="508"/>
      <c r="M942" s="508"/>
      <c r="N942" s="508"/>
      <c r="O942" s="509"/>
      <c r="P942" s="509"/>
    </row>
    <row r="943" spans="1:16" ht="21.75" customHeight="1" x14ac:dyDescent="0.3">
      <c r="A943" s="504"/>
      <c r="B943" s="504"/>
      <c r="C943" s="504"/>
      <c r="D943" s="504"/>
      <c r="E943" s="506"/>
      <c r="F943" s="506"/>
      <c r="G943" s="506"/>
      <c r="H943" s="506"/>
      <c r="I943" s="506"/>
      <c r="J943" s="506"/>
      <c r="K943" s="507"/>
      <c r="L943" s="508"/>
      <c r="M943" s="508"/>
      <c r="N943" s="508"/>
      <c r="O943" s="509"/>
      <c r="P943" s="509"/>
    </row>
    <row r="944" spans="1:16" ht="21.75" customHeight="1" x14ac:dyDescent="0.3">
      <c r="A944" s="504"/>
      <c r="B944" s="504"/>
      <c r="C944" s="504"/>
      <c r="D944" s="504"/>
      <c r="E944" s="506"/>
      <c r="F944" s="506"/>
      <c r="G944" s="506"/>
      <c r="H944" s="506"/>
      <c r="I944" s="506"/>
      <c r="J944" s="506"/>
      <c r="K944" s="507"/>
      <c r="L944" s="508"/>
      <c r="M944" s="508"/>
      <c r="N944" s="508"/>
      <c r="O944" s="509"/>
      <c r="P944" s="509"/>
    </row>
    <row r="945" spans="1:16" ht="21.75" customHeight="1" x14ac:dyDescent="0.3">
      <c r="A945" s="504"/>
      <c r="B945" s="504"/>
      <c r="C945" s="504"/>
      <c r="D945" s="504"/>
      <c r="E945" s="506"/>
      <c r="F945" s="506"/>
      <c r="G945" s="506"/>
      <c r="H945" s="506"/>
      <c r="I945" s="506"/>
      <c r="J945" s="506"/>
      <c r="K945" s="507"/>
      <c r="L945" s="508"/>
      <c r="M945" s="508"/>
      <c r="N945" s="508"/>
      <c r="O945" s="509"/>
      <c r="P945" s="509"/>
    </row>
    <row r="946" spans="1:16" ht="21.75" customHeight="1" x14ac:dyDescent="0.3">
      <c r="A946" s="504"/>
      <c r="B946" s="504"/>
      <c r="C946" s="504"/>
      <c r="D946" s="504"/>
      <c r="E946" s="506"/>
      <c r="F946" s="506"/>
      <c r="G946" s="506"/>
      <c r="H946" s="506"/>
      <c r="I946" s="506"/>
      <c r="J946" s="506"/>
      <c r="K946" s="507"/>
      <c r="L946" s="508"/>
      <c r="M946" s="508"/>
      <c r="N946" s="508"/>
      <c r="O946" s="509"/>
      <c r="P946" s="509"/>
    </row>
    <row r="947" spans="1:16" ht="21.75" customHeight="1" x14ac:dyDescent="0.3">
      <c r="A947" s="504"/>
      <c r="B947" s="504"/>
      <c r="C947" s="504"/>
      <c r="D947" s="504"/>
      <c r="E947" s="506"/>
      <c r="F947" s="506"/>
      <c r="G947" s="506"/>
      <c r="H947" s="506"/>
      <c r="I947" s="506"/>
      <c r="J947" s="506"/>
      <c r="K947" s="507"/>
      <c r="L947" s="508"/>
      <c r="M947" s="508"/>
      <c r="N947" s="508"/>
      <c r="O947" s="509"/>
      <c r="P947" s="509"/>
    </row>
    <row r="948" spans="1:16" ht="21.75" customHeight="1" x14ac:dyDescent="0.3">
      <c r="A948" s="504"/>
      <c r="B948" s="504"/>
      <c r="C948" s="504"/>
      <c r="D948" s="504"/>
      <c r="E948" s="506"/>
      <c r="F948" s="506"/>
      <c r="G948" s="506"/>
      <c r="H948" s="506"/>
      <c r="I948" s="506"/>
      <c r="J948" s="506"/>
      <c r="K948" s="507"/>
      <c r="L948" s="508"/>
      <c r="M948" s="508"/>
      <c r="N948" s="508"/>
      <c r="O948" s="509"/>
      <c r="P948" s="509"/>
    </row>
    <row r="949" spans="1:16" ht="21.75" customHeight="1" x14ac:dyDescent="0.3">
      <c r="A949" s="504"/>
      <c r="B949" s="504"/>
      <c r="C949" s="504"/>
      <c r="D949" s="504"/>
      <c r="E949" s="506"/>
      <c r="F949" s="506"/>
      <c r="G949" s="506"/>
      <c r="H949" s="506"/>
      <c r="I949" s="506"/>
      <c r="J949" s="506"/>
      <c r="K949" s="507"/>
      <c r="L949" s="508"/>
      <c r="M949" s="508"/>
      <c r="N949" s="508"/>
      <c r="O949" s="509"/>
      <c r="P949" s="509"/>
    </row>
    <row r="950" spans="1:16" ht="21.75" customHeight="1" x14ac:dyDescent="0.3">
      <c r="A950" s="504"/>
      <c r="B950" s="504"/>
      <c r="C950" s="504"/>
      <c r="D950" s="504"/>
      <c r="E950" s="506"/>
      <c r="F950" s="506"/>
      <c r="G950" s="506"/>
      <c r="H950" s="506"/>
      <c r="I950" s="506"/>
      <c r="J950" s="506"/>
      <c r="K950" s="507"/>
      <c r="L950" s="508"/>
      <c r="M950" s="508"/>
      <c r="N950" s="508"/>
      <c r="O950" s="509"/>
      <c r="P950" s="509"/>
    </row>
    <row r="951" spans="1:16" ht="21.75" customHeight="1" x14ac:dyDescent="0.3">
      <c r="A951" s="504"/>
      <c r="B951" s="504"/>
      <c r="C951" s="504"/>
      <c r="D951" s="504"/>
      <c r="E951" s="506"/>
      <c r="F951" s="506"/>
      <c r="G951" s="506"/>
      <c r="H951" s="506"/>
      <c r="I951" s="506"/>
      <c r="J951" s="506"/>
      <c r="K951" s="507"/>
      <c r="L951" s="508"/>
      <c r="M951" s="508"/>
      <c r="N951" s="508"/>
      <c r="O951" s="509"/>
      <c r="P951" s="509"/>
    </row>
    <row r="952" spans="1:16" ht="21.75" customHeight="1" x14ac:dyDescent="0.3">
      <c r="A952" s="504"/>
      <c r="B952" s="504"/>
      <c r="C952" s="504"/>
      <c r="D952" s="504"/>
      <c r="E952" s="506"/>
      <c r="F952" s="506"/>
      <c r="G952" s="506"/>
      <c r="H952" s="506"/>
      <c r="I952" s="506"/>
      <c r="J952" s="506"/>
      <c r="K952" s="507"/>
      <c r="L952" s="508"/>
      <c r="M952" s="508"/>
      <c r="N952" s="508"/>
      <c r="O952" s="509"/>
      <c r="P952" s="509"/>
    </row>
    <row r="953" spans="1:16" ht="21.75" customHeight="1" x14ac:dyDescent="0.3">
      <c r="A953" s="504"/>
      <c r="B953" s="504"/>
      <c r="C953" s="504"/>
      <c r="D953" s="504"/>
      <c r="E953" s="506"/>
      <c r="F953" s="506"/>
      <c r="G953" s="506"/>
      <c r="H953" s="506"/>
      <c r="I953" s="506"/>
      <c r="J953" s="506"/>
      <c r="K953" s="507"/>
      <c r="L953" s="508"/>
      <c r="M953" s="508"/>
      <c r="N953" s="508"/>
      <c r="O953" s="509"/>
      <c r="P953" s="509"/>
    </row>
    <row r="954" spans="1:16" ht="21.75" customHeight="1" x14ac:dyDescent="0.3">
      <c r="A954" s="504"/>
      <c r="B954" s="504"/>
      <c r="C954" s="504"/>
      <c r="D954" s="504"/>
      <c r="E954" s="506"/>
      <c r="F954" s="506"/>
      <c r="G954" s="506"/>
      <c r="H954" s="506"/>
      <c r="I954" s="506"/>
      <c r="J954" s="506"/>
      <c r="K954" s="507"/>
      <c r="L954" s="508"/>
      <c r="M954" s="508"/>
      <c r="N954" s="508"/>
      <c r="O954" s="509"/>
      <c r="P954" s="509"/>
    </row>
    <row r="955" spans="1:16" ht="21.75" customHeight="1" x14ac:dyDescent="0.3">
      <c r="A955" s="504"/>
      <c r="B955" s="504"/>
      <c r="C955" s="504"/>
      <c r="D955" s="504"/>
      <c r="E955" s="506"/>
      <c r="F955" s="506"/>
      <c r="G955" s="506"/>
      <c r="H955" s="506"/>
      <c r="I955" s="506"/>
      <c r="J955" s="506"/>
      <c r="K955" s="507"/>
      <c r="L955" s="508"/>
      <c r="M955" s="508"/>
      <c r="N955" s="508"/>
      <c r="O955" s="509"/>
      <c r="P955" s="509"/>
    </row>
    <row r="956" spans="1:16" ht="21.75" customHeight="1" x14ac:dyDescent="0.3">
      <c r="A956" s="504"/>
      <c r="B956" s="504"/>
      <c r="C956" s="504"/>
      <c r="D956" s="504"/>
      <c r="E956" s="506"/>
      <c r="F956" s="506"/>
      <c r="G956" s="506"/>
      <c r="H956" s="506"/>
      <c r="I956" s="506"/>
      <c r="J956" s="506"/>
      <c r="K956" s="507"/>
      <c r="L956" s="508"/>
      <c r="M956" s="508"/>
      <c r="N956" s="508"/>
      <c r="O956" s="509"/>
      <c r="P956" s="509"/>
    </row>
    <row r="957" spans="1:16" ht="21.75" customHeight="1" x14ac:dyDescent="0.3">
      <c r="A957" s="504"/>
      <c r="B957" s="504"/>
      <c r="C957" s="504"/>
      <c r="D957" s="504"/>
      <c r="E957" s="506"/>
      <c r="F957" s="506"/>
      <c r="G957" s="506"/>
      <c r="H957" s="506"/>
      <c r="I957" s="506"/>
      <c r="J957" s="506"/>
      <c r="K957" s="507"/>
      <c r="L957" s="508"/>
      <c r="M957" s="508"/>
      <c r="N957" s="508"/>
      <c r="O957" s="509"/>
      <c r="P957" s="509"/>
    </row>
    <row r="958" spans="1:16" ht="21.75" customHeight="1" x14ac:dyDescent="0.3">
      <c r="A958" s="504"/>
      <c r="B958" s="504"/>
      <c r="C958" s="504"/>
      <c r="D958" s="504"/>
      <c r="E958" s="506"/>
      <c r="F958" s="506"/>
      <c r="G958" s="506"/>
      <c r="H958" s="506"/>
      <c r="I958" s="506"/>
      <c r="J958" s="506"/>
      <c r="K958" s="507"/>
      <c r="L958" s="508"/>
      <c r="M958" s="508"/>
      <c r="N958" s="508"/>
      <c r="O958" s="509"/>
      <c r="P958" s="509"/>
    </row>
    <row r="959" spans="1:16" ht="21.75" customHeight="1" x14ac:dyDescent="0.3">
      <c r="A959" s="504"/>
      <c r="B959" s="504"/>
      <c r="C959" s="504"/>
      <c r="D959" s="504"/>
      <c r="E959" s="506"/>
      <c r="F959" s="506"/>
      <c r="G959" s="506"/>
      <c r="H959" s="506"/>
      <c r="I959" s="506"/>
      <c r="J959" s="506"/>
      <c r="K959" s="507"/>
      <c r="L959" s="508"/>
      <c r="M959" s="508"/>
      <c r="N959" s="508"/>
      <c r="O959" s="509"/>
      <c r="P959" s="509"/>
    </row>
    <row r="960" spans="1:16" ht="21.75" customHeight="1" x14ac:dyDescent="0.3">
      <c r="A960" s="504"/>
      <c r="B960" s="504"/>
      <c r="C960" s="504"/>
      <c r="D960" s="504"/>
      <c r="E960" s="506"/>
      <c r="F960" s="506"/>
      <c r="G960" s="506"/>
      <c r="H960" s="506"/>
      <c r="I960" s="506"/>
      <c r="J960" s="506"/>
      <c r="K960" s="507"/>
      <c r="L960" s="508"/>
      <c r="M960" s="508"/>
      <c r="N960" s="508"/>
      <c r="O960" s="509"/>
      <c r="P960" s="509"/>
    </row>
    <row r="961" spans="1:16" ht="21.75" customHeight="1" x14ac:dyDescent="0.3">
      <c r="A961" s="504"/>
      <c r="B961" s="504"/>
      <c r="C961" s="504"/>
      <c r="D961" s="504"/>
      <c r="E961" s="506"/>
      <c r="F961" s="506"/>
      <c r="G961" s="506"/>
      <c r="H961" s="506"/>
      <c r="I961" s="506"/>
      <c r="J961" s="506"/>
      <c r="K961" s="507"/>
      <c r="L961" s="508"/>
      <c r="M961" s="508"/>
      <c r="N961" s="508"/>
      <c r="O961" s="509"/>
      <c r="P961" s="509"/>
    </row>
    <row r="962" spans="1:16" ht="21.75" customHeight="1" x14ac:dyDescent="0.3">
      <c r="A962" s="504"/>
      <c r="B962" s="504"/>
      <c r="C962" s="504"/>
      <c r="D962" s="504"/>
      <c r="E962" s="506"/>
      <c r="F962" s="506"/>
      <c r="G962" s="506"/>
      <c r="H962" s="506"/>
      <c r="I962" s="506"/>
      <c r="J962" s="506"/>
      <c r="K962" s="507"/>
      <c r="L962" s="508"/>
      <c r="M962" s="508"/>
      <c r="N962" s="508"/>
      <c r="O962" s="509"/>
      <c r="P962" s="509"/>
    </row>
    <row r="963" spans="1:16" ht="21.75" customHeight="1" x14ac:dyDescent="0.3">
      <c r="A963" s="504"/>
      <c r="B963" s="504"/>
      <c r="C963" s="504"/>
      <c r="D963" s="504"/>
      <c r="E963" s="506"/>
      <c r="F963" s="506"/>
      <c r="G963" s="506"/>
      <c r="H963" s="506"/>
      <c r="I963" s="506"/>
      <c r="J963" s="506"/>
      <c r="K963" s="507"/>
      <c r="L963" s="508"/>
      <c r="M963" s="508"/>
      <c r="N963" s="508"/>
      <c r="O963" s="509"/>
      <c r="P963" s="509"/>
    </row>
    <row r="964" spans="1:16" ht="21.75" customHeight="1" x14ac:dyDescent="0.3">
      <c r="A964" s="504"/>
      <c r="B964" s="504"/>
      <c r="C964" s="504"/>
      <c r="D964" s="504"/>
      <c r="E964" s="506"/>
      <c r="F964" s="506"/>
      <c r="G964" s="506"/>
      <c r="H964" s="506"/>
      <c r="I964" s="506"/>
      <c r="J964" s="506"/>
      <c r="K964" s="507"/>
      <c r="L964" s="508"/>
      <c r="M964" s="508"/>
      <c r="N964" s="508"/>
      <c r="O964" s="509"/>
      <c r="P964" s="509"/>
    </row>
    <row r="965" spans="1:16" ht="21.75" customHeight="1" x14ac:dyDescent="0.3">
      <c r="A965" s="504"/>
      <c r="B965" s="504"/>
      <c r="C965" s="504"/>
      <c r="D965" s="504"/>
      <c r="E965" s="506"/>
      <c r="F965" s="506"/>
      <c r="G965" s="506"/>
      <c r="H965" s="506"/>
      <c r="I965" s="506"/>
      <c r="J965" s="506"/>
      <c r="K965" s="507"/>
      <c r="L965" s="508"/>
      <c r="M965" s="508"/>
      <c r="N965" s="508"/>
      <c r="O965" s="509"/>
      <c r="P965" s="509"/>
    </row>
    <row r="966" spans="1:16" ht="21.75" customHeight="1" x14ac:dyDescent="0.3">
      <c r="A966" s="504"/>
      <c r="B966" s="504"/>
      <c r="C966" s="504"/>
      <c r="D966" s="504"/>
      <c r="E966" s="506"/>
      <c r="F966" s="506"/>
      <c r="G966" s="506"/>
      <c r="H966" s="506"/>
      <c r="I966" s="506"/>
      <c r="J966" s="506"/>
      <c r="K966" s="507"/>
      <c r="L966" s="508"/>
      <c r="M966" s="508"/>
      <c r="N966" s="508"/>
      <c r="O966" s="509"/>
      <c r="P966" s="509"/>
    </row>
    <row r="967" spans="1:16" ht="21.75" customHeight="1" x14ac:dyDescent="0.3">
      <c r="A967" s="504"/>
      <c r="B967" s="504"/>
      <c r="C967" s="504"/>
      <c r="D967" s="504"/>
      <c r="E967" s="506"/>
      <c r="F967" s="506"/>
      <c r="G967" s="506"/>
      <c r="H967" s="506"/>
      <c r="I967" s="506"/>
      <c r="J967" s="506"/>
      <c r="K967" s="507"/>
      <c r="L967" s="508"/>
      <c r="M967" s="508"/>
      <c r="N967" s="508"/>
      <c r="O967" s="509"/>
      <c r="P967" s="509"/>
    </row>
    <row r="968" spans="1:16" ht="21.75" customHeight="1" x14ac:dyDescent="0.3">
      <c r="A968" s="504"/>
      <c r="B968" s="504"/>
      <c r="C968" s="504"/>
      <c r="D968" s="504"/>
      <c r="E968" s="506"/>
      <c r="F968" s="506"/>
      <c r="G968" s="506"/>
      <c r="H968" s="506"/>
      <c r="I968" s="506"/>
      <c r="J968" s="506"/>
      <c r="K968" s="507"/>
      <c r="L968" s="508"/>
      <c r="M968" s="508"/>
      <c r="N968" s="508"/>
      <c r="O968" s="509"/>
      <c r="P968" s="509"/>
    </row>
    <row r="969" spans="1:16" ht="21.75" customHeight="1" x14ac:dyDescent="0.3">
      <c r="A969" s="504"/>
      <c r="B969" s="504"/>
      <c r="C969" s="504"/>
      <c r="D969" s="504"/>
      <c r="E969" s="506"/>
      <c r="F969" s="506"/>
      <c r="G969" s="506"/>
      <c r="H969" s="506"/>
      <c r="I969" s="506"/>
      <c r="J969" s="506"/>
      <c r="K969" s="507"/>
      <c r="L969" s="508"/>
      <c r="M969" s="508"/>
      <c r="N969" s="508"/>
      <c r="O969" s="509"/>
      <c r="P969" s="509"/>
    </row>
    <row r="970" spans="1:16" ht="21.75" customHeight="1" x14ac:dyDescent="0.3">
      <c r="A970" s="504"/>
      <c r="B970" s="504"/>
      <c r="C970" s="504"/>
      <c r="D970" s="504"/>
      <c r="E970" s="506"/>
      <c r="F970" s="506"/>
      <c r="G970" s="506"/>
      <c r="H970" s="506"/>
      <c r="I970" s="506"/>
      <c r="J970" s="506"/>
      <c r="K970" s="507"/>
      <c r="L970" s="508"/>
      <c r="M970" s="508"/>
      <c r="N970" s="508"/>
      <c r="O970" s="509"/>
      <c r="P970" s="509"/>
    </row>
    <row r="971" spans="1:16" ht="21.75" customHeight="1" x14ac:dyDescent="0.3">
      <c r="A971" s="504"/>
      <c r="B971" s="504"/>
      <c r="C971" s="504"/>
      <c r="D971" s="504"/>
      <c r="E971" s="506"/>
      <c r="F971" s="506"/>
      <c r="G971" s="506"/>
      <c r="H971" s="506"/>
      <c r="I971" s="506"/>
      <c r="J971" s="506"/>
      <c r="K971" s="507"/>
      <c r="L971" s="508"/>
      <c r="M971" s="508"/>
      <c r="N971" s="508"/>
      <c r="O971" s="509"/>
      <c r="P971" s="509"/>
    </row>
    <row r="972" spans="1:16" ht="21.75" customHeight="1" x14ac:dyDescent="0.3">
      <c r="A972" s="504"/>
      <c r="B972" s="504"/>
      <c r="C972" s="504"/>
      <c r="D972" s="504"/>
      <c r="E972" s="506"/>
      <c r="F972" s="506"/>
      <c r="G972" s="506"/>
      <c r="H972" s="506"/>
      <c r="I972" s="506"/>
      <c r="J972" s="506"/>
      <c r="K972" s="507"/>
      <c r="L972" s="508"/>
      <c r="M972" s="508"/>
      <c r="N972" s="508"/>
      <c r="O972" s="509"/>
      <c r="P972" s="509"/>
    </row>
    <row r="973" spans="1:16" ht="21.75" customHeight="1" x14ac:dyDescent="0.3">
      <c r="A973" s="504"/>
      <c r="B973" s="504"/>
      <c r="C973" s="504"/>
      <c r="D973" s="504"/>
      <c r="E973" s="506"/>
      <c r="F973" s="506"/>
      <c r="G973" s="506"/>
      <c r="H973" s="506"/>
      <c r="I973" s="506"/>
      <c r="J973" s="506"/>
      <c r="K973" s="507"/>
      <c r="L973" s="508"/>
      <c r="M973" s="508"/>
      <c r="N973" s="508"/>
      <c r="O973" s="509"/>
      <c r="P973" s="509"/>
    </row>
    <row r="974" spans="1:16" ht="21.75" customHeight="1" x14ac:dyDescent="0.3">
      <c r="A974" s="504"/>
      <c r="B974" s="504"/>
      <c r="C974" s="504"/>
      <c r="D974" s="504"/>
      <c r="E974" s="506"/>
      <c r="F974" s="506"/>
      <c r="G974" s="506"/>
      <c r="H974" s="506"/>
      <c r="I974" s="506"/>
      <c r="J974" s="506"/>
      <c r="K974" s="507"/>
      <c r="L974" s="508"/>
      <c r="M974" s="508"/>
      <c r="N974" s="508"/>
      <c r="O974" s="509"/>
      <c r="P974" s="509"/>
    </row>
    <row r="975" spans="1:16" ht="21.75" customHeight="1" x14ac:dyDescent="0.3">
      <c r="A975" s="504"/>
      <c r="B975" s="504"/>
      <c r="C975" s="504"/>
      <c r="D975" s="504"/>
      <c r="E975" s="506"/>
      <c r="F975" s="506"/>
      <c r="G975" s="506"/>
      <c r="H975" s="506"/>
      <c r="I975" s="506"/>
      <c r="J975" s="506"/>
      <c r="K975" s="507"/>
      <c r="L975" s="508"/>
      <c r="M975" s="508"/>
      <c r="N975" s="508"/>
      <c r="O975" s="509"/>
      <c r="P975" s="509"/>
    </row>
    <row r="976" spans="1:16" ht="21.75" customHeight="1" x14ac:dyDescent="0.3">
      <c r="A976" s="504"/>
      <c r="B976" s="504"/>
      <c r="C976" s="504"/>
      <c r="D976" s="504"/>
      <c r="E976" s="506"/>
      <c r="F976" s="506"/>
      <c r="G976" s="506"/>
      <c r="H976" s="506"/>
      <c r="I976" s="506"/>
      <c r="J976" s="506"/>
      <c r="K976" s="507"/>
      <c r="L976" s="508"/>
      <c r="M976" s="508"/>
      <c r="N976" s="508"/>
      <c r="O976" s="509"/>
      <c r="P976" s="509"/>
    </row>
    <row r="977" spans="1:16" ht="21.75" customHeight="1" x14ac:dyDescent="0.3">
      <c r="A977" s="504"/>
      <c r="B977" s="504"/>
      <c r="C977" s="504"/>
      <c r="D977" s="504"/>
      <c r="E977" s="506"/>
      <c r="F977" s="506"/>
      <c r="G977" s="506"/>
      <c r="H977" s="506"/>
      <c r="I977" s="506"/>
      <c r="J977" s="506"/>
      <c r="K977" s="507"/>
      <c r="L977" s="508"/>
      <c r="M977" s="508"/>
      <c r="N977" s="508"/>
      <c r="O977" s="509"/>
      <c r="P977" s="509"/>
    </row>
    <row r="978" spans="1:16" ht="21.75" customHeight="1" x14ac:dyDescent="0.3">
      <c r="A978" s="504"/>
      <c r="B978" s="504"/>
      <c r="C978" s="504"/>
      <c r="D978" s="504"/>
      <c r="E978" s="506"/>
      <c r="F978" s="506"/>
      <c r="G978" s="506"/>
      <c r="H978" s="506"/>
      <c r="I978" s="506"/>
      <c r="J978" s="506"/>
      <c r="K978" s="507"/>
      <c r="L978" s="508"/>
      <c r="M978" s="508"/>
      <c r="N978" s="508"/>
      <c r="O978" s="509"/>
      <c r="P978" s="509"/>
    </row>
    <row r="979" spans="1:16" ht="21.75" customHeight="1" x14ac:dyDescent="0.3">
      <c r="A979" s="504"/>
      <c r="B979" s="504"/>
      <c r="C979" s="504"/>
      <c r="D979" s="504"/>
      <c r="E979" s="506"/>
      <c r="F979" s="506"/>
      <c r="G979" s="506"/>
      <c r="H979" s="506"/>
      <c r="I979" s="506"/>
      <c r="J979" s="506"/>
      <c r="K979" s="507"/>
      <c r="L979" s="508"/>
      <c r="M979" s="508"/>
      <c r="N979" s="508"/>
      <c r="O979" s="509"/>
      <c r="P979" s="509"/>
    </row>
    <row r="980" spans="1:16" ht="21.75" customHeight="1" x14ac:dyDescent="0.3">
      <c r="A980" s="504"/>
      <c r="B980" s="504"/>
      <c r="C980" s="504"/>
      <c r="D980" s="504"/>
      <c r="E980" s="506"/>
      <c r="F980" s="506"/>
      <c r="G980" s="506"/>
      <c r="H980" s="506"/>
      <c r="I980" s="506"/>
      <c r="J980" s="506"/>
      <c r="K980" s="507"/>
      <c r="L980" s="508"/>
      <c r="M980" s="508"/>
      <c r="N980" s="508"/>
      <c r="O980" s="509"/>
      <c r="P980" s="509"/>
    </row>
    <row r="981" spans="1:16" ht="21.75" customHeight="1" x14ac:dyDescent="0.3">
      <c r="A981" s="504"/>
      <c r="B981" s="504"/>
      <c r="C981" s="504"/>
      <c r="D981" s="504"/>
      <c r="E981" s="506"/>
      <c r="F981" s="506"/>
      <c r="G981" s="506"/>
      <c r="H981" s="506"/>
      <c r="I981" s="506"/>
      <c r="J981" s="506"/>
      <c r="K981" s="507"/>
      <c r="L981" s="508"/>
      <c r="M981" s="508"/>
      <c r="N981" s="508"/>
      <c r="O981" s="509"/>
      <c r="P981" s="509"/>
    </row>
    <row r="982" spans="1:16" ht="21.75" customHeight="1" x14ac:dyDescent="0.3">
      <c r="A982" s="504"/>
      <c r="B982" s="504"/>
      <c r="C982" s="504"/>
      <c r="D982" s="504"/>
      <c r="E982" s="506"/>
      <c r="F982" s="506"/>
      <c r="G982" s="506"/>
      <c r="H982" s="506"/>
      <c r="I982" s="506"/>
      <c r="J982" s="506"/>
      <c r="K982" s="507"/>
      <c r="L982" s="508"/>
      <c r="M982" s="508"/>
      <c r="N982" s="508"/>
      <c r="O982" s="509"/>
      <c r="P982" s="509"/>
    </row>
    <row r="983" spans="1:16" ht="21.75" customHeight="1" x14ac:dyDescent="0.3">
      <c r="A983" s="504"/>
      <c r="B983" s="504"/>
      <c r="C983" s="504"/>
      <c r="D983" s="504"/>
      <c r="E983" s="506"/>
      <c r="F983" s="506"/>
      <c r="G983" s="506"/>
      <c r="H983" s="506"/>
      <c r="I983" s="506"/>
      <c r="J983" s="506"/>
      <c r="K983" s="507"/>
      <c r="L983" s="508"/>
      <c r="M983" s="508"/>
      <c r="N983" s="508"/>
      <c r="O983" s="509"/>
      <c r="P983" s="509"/>
    </row>
    <row r="984" spans="1:16" ht="21.75" customHeight="1" x14ac:dyDescent="0.3">
      <c r="A984" s="504"/>
      <c r="B984" s="504"/>
      <c r="C984" s="504"/>
      <c r="D984" s="504"/>
      <c r="E984" s="506"/>
      <c r="F984" s="506"/>
      <c r="G984" s="506"/>
      <c r="H984" s="506"/>
      <c r="I984" s="506"/>
      <c r="J984" s="506"/>
      <c r="K984" s="507"/>
      <c r="L984" s="508"/>
      <c r="M984" s="508"/>
      <c r="N984" s="508"/>
      <c r="O984" s="509"/>
      <c r="P984" s="509"/>
    </row>
    <row r="985" spans="1:16" ht="21.75" customHeight="1" x14ac:dyDescent="0.3">
      <c r="A985" s="504"/>
      <c r="B985" s="504"/>
      <c r="C985" s="504"/>
      <c r="D985" s="504"/>
      <c r="E985" s="506"/>
      <c r="F985" s="506"/>
      <c r="G985" s="506"/>
      <c r="H985" s="506"/>
      <c r="I985" s="506"/>
      <c r="J985" s="506"/>
      <c r="K985" s="507"/>
      <c r="L985" s="508"/>
      <c r="M985" s="508"/>
      <c r="N985" s="508"/>
      <c r="O985" s="509"/>
      <c r="P985" s="509"/>
    </row>
    <row r="986" spans="1:16" ht="21.75" customHeight="1" x14ac:dyDescent="0.3">
      <c r="A986" s="504"/>
      <c r="B986" s="504"/>
      <c r="C986" s="504"/>
      <c r="D986" s="504"/>
      <c r="E986" s="506"/>
      <c r="F986" s="506"/>
      <c r="G986" s="506"/>
      <c r="H986" s="506"/>
      <c r="I986" s="506"/>
      <c r="J986" s="506"/>
      <c r="K986" s="507"/>
      <c r="L986" s="508"/>
      <c r="M986" s="508"/>
      <c r="N986" s="508"/>
      <c r="O986" s="509"/>
      <c r="P986" s="509"/>
    </row>
    <row r="987" spans="1:16" ht="21.75" customHeight="1" x14ac:dyDescent="0.3">
      <c r="A987" s="504"/>
      <c r="B987" s="504"/>
      <c r="C987" s="504"/>
      <c r="D987" s="504"/>
      <c r="E987" s="506"/>
      <c r="F987" s="506"/>
      <c r="G987" s="506"/>
      <c r="H987" s="506"/>
      <c r="I987" s="506"/>
      <c r="J987" s="506"/>
      <c r="K987" s="507"/>
      <c r="L987" s="508"/>
      <c r="M987" s="508"/>
      <c r="N987" s="508"/>
      <c r="O987" s="509"/>
      <c r="P987" s="509"/>
    </row>
    <row r="988" spans="1:16" ht="21.75" customHeight="1" x14ac:dyDescent="0.3">
      <c r="A988" s="504"/>
      <c r="B988" s="504"/>
      <c r="C988" s="504"/>
      <c r="D988" s="504"/>
      <c r="E988" s="506"/>
      <c r="F988" s="506"/>
      <c r="G988" s="506"/>
      <c r="H988" s="506"/>
      <c r="I988" s="506"/>
      <c r="J988" s="506"/>
      <c r="K988" s="507"/>
      <c r="L988" s="508"/>
      <c r="M988" s="508"/>
      <c r="N988" s="508"/>
      <c r="O988" s="509"/>
      <c r="P988" s="509"/>
    </row>
    <row r="989" spans="1:16" ht="21.75" customHeight="1" x14ac:dyDescent="0.3">
      <c r="A989" s="504"/>
      <c r="B989" s="504"/>
      <c r="C989" s="504"/>
      <c r="D989" s="504"/>
      <c r="E989" s="506"/>
      <c r="F989" s="506"/>
      <c r="G989" s="506"/>
      <c r="H989" s="506"/>
      <c r="I989" s="506"/>
      <c r="J989" s="506"/>
      <c r="K989" s="507"/>
      <c r="L989" s="508"/>
      <c r="M989" s="508"/>
      <c r="N989" s="508"/>
      <c r="O989" s="509"/>
      <c r="P989" s="509"/>
    </row>
    <row r="990" spans="1:16" ht="21.75" customHeight="1" x14ac:dyDescent="0.3">
      <c r="A990" s="504"/>
      <c r="B990" s="504"/>
      <c r="C990" s="504"/>
      <c r="D990" s="504"/>
      <c r="E990" s="506"/>
      <c r="F990" s="506"/>
      <c r="G990" s="506"/>
      <c r="H990" s="506"/>
      <c r="I990" s="506"/>
      <c r="J990" s="506"/>
      <c r="K990" s="507"/>
      <c r="L990" s="508"/>
      <c r="M990" s="508"/>
      <c r="N990" s="508"/>
      <c r="O990" s="509"/>
      <c r="P990" s="509"/>
    </row>
    <row r="991" spans="1:16" ht="21.75" customHeight="1" x14ac:dyDescent="0.3">
      <c r="A991" s="504"/>
      <c r="B991" s="504"/>
      <c r="C991" s="504"/>
      <c r="D991" s="504"/>
      <c r="E991" s="506"/>
      <c r="F991" s="506"/>
      <c r="G991" s="506"/>
      <c r="H991" s="506"/>
      <c r="I991" s="506"/>
      <c r="J991" s="506"/>
      <c r="K991" s="507"/>
      <c r="L991" s="508"/>
      <c r="M991" s="508"/>
      <c r="N991" s="508"/>
      <c r="O991" s="509"/>
      <c r="P991" s="509"/>
    </row>
    <row r="992" spans="1:16" ht="21.75" customHeight="1" x14ac:dyDescent="0.3">
      <c r="A992" s="504"/>
      <c r="B992" s="504"/>
      <c r="C992" s="504"/>
      <c r="D992" s="504"/>
      <c r="E992" s="506"/>
      <c r="F992" s="506"/>
      <c r="G992" s="506"/>
      <c r="H992" s="506"/>
      <c r="I992" s="506"/>
      <c r="J992" s="506"/>
      <c r="K992" s="507"/>
      <c r="L992" s="508"/>
      <c r="M992" s="508"/>
      <c r="N992" s="508"/>
      <c r="O992" s="509"/>
      <c r="P992" s="509"/>
    </row>
    <row r="993" spans="1:16" ht="21.75" customHeight="1" x14ac:dyDescent="0.3">
      <c r="A993" s="504"/>
      <c r="B993" s="504"/>
      <c r="C993" s="504"/>
      <c r="D993" s="504"/>
      <c r="E993" s="506"/>
      <c r="F993" s="506"/>
      <c r="G993" s="506"/>
      <c r="H993" s="506"/>
      <c r="I993" s="506"/>
      <c r="J993" s="506"/>
      <c r="K993" s="507"/>
      <c r="L993" s="508"/>
      <c r="M993" s="508"/>
      <c r="N993" s="508"/>
      <c r="O993" s="509"/>
      <c r="P993" s="509"/>
    </row>
    <row r="994" spans="1:16" ht="21.75" customHeight="1" x14ac:dyDescent="0.3">
      <c r="A994" s="504"/>
      <c r="B994" s="504"/>
      <c r="C994" s="504"/>
      <c r="D994" s="504"/>
      <c r="E994" s="506"/>
      <c r="F994" s="506"/>
      <c r="G994" s="506"/>
      <c r="H994" s="506"/>
      <c r="I994" s="506"/>
      <c r="J994" s="506"/>
      <c r="K994" s="507"/>
      <c r="L994" s="508"/>
      <c r="M994" s="508"/>
      <c r="N994" s="508"/>
      <c r="O994" s="509"/>
      <c r="P994" s="509"/>
    </row>
    <row r="995" spans="1:16" ht="21.75" customHeight="1" x14ac:dyDescent="0.3">
      <c r="A995" s="504"/>
      <c r="B995" s="504"/>
      <c r="C995" s="504"/>
      <c r="D995" s="504"/>
      <c r="E995" s="506"/>
      <c r="F995" s="506"/>
      <c r="G995" s="506"/>
      <c r="H995" s="506"/>
      <c r="I995" s="506"/>
      <c r="J995" s="506"/>
      <c r="K995" s="507"/>
      <c r="L995" s="508"/>
      <c r="M995" s="508"/>
      <c r="N995" s="508"/>
      <c r="O995" s="509"/>
      <c r="P995" s="509"/>
    </row>
    <row r="996" spans="1:16" ht="21.75" customHeight="1" x14ac:dyDescent="0.3">
      <c r="A996" s="504"/>
      <c r="B996" s="504"/>
      <c r="C996" s="504"/>
      <c r="D996" s="504"/>
      <c r="E996" s="506"/>
      <c r="F996" s="506"/>
      <c r="G996" s="506"/>
      <c r="H996" s="506"/>
      <c r="I996" s="506"/>
      <c r="J996" s="506"/>
      <c r="K996" s="507"/>
      <c r="L996" s="508"/>
      <c r="M996" s="508"/>
      <c r="N996" s="508"/>
      <c r="O996" s="509"/>
      <c r="P996" s="509"/>
    </row>
    <row r="997" spans="1:16" ht="21.75" customHeight="1" x14ac:dyDescent="0.3">
      <c r="A997" s="504"/>
      <c r="B997" s="504"/>
      <c r="C997" s="504"/>
      <c r="D997" s="504"/>
      <c r="E997" s="506"/>
      <c r="F997" s="506"/>
      <c r="G997" s="506"/>
      <c r="H997" s="506"/>
      <c r="I997" s="506"/>
      <c r="J997" s="506"/>
      <c r="K997" s="507"/>
      <c r="L997" s="508"/>
      <c r="M997" s="508"/>
      <c r="N997" s="508"/>
      <c r="O997" s="509"/>
      <c r="P997" s="509"/>
    </row>
    <row r="998" spans="1:16" ht="21.75" customHeight="1" x14ac:dyDescent="0.3">
      <c r="A998" s="504"/>
      <c r="B998" s="504"/>
      <c r="C998" s="504"/>
      <c r="D998" s="504"/>
      <c r="E998" s="506"/>
      <c r="F998" s="506"/>
      <c r="G998" s="506"/>
      <c r="H998" s="506"/>
      <c r="I998" s="506"/>
      <c r="J998" s="506"/>
      <c r="K998" s="507"/>
      <c r="L998" s="508"/>
      <c r="M998" s="508"/>
      <c r="N998" s="508"/>
      <c r="O998" s="509"/>
      <c r="P998" s="509"/>
    </row>
    <row r="999" spans="1:16" ht="21.75" customHeight="1" x14ac:dyDescent="0.3">
      <c r="A999" s="504"/>
      <c r="B999" s="504"/>
      <c r="C999" s="504"/>
      <c r="D999" s="504"/>
      <c r="E999" s="506"/>
      <c r="F999" s="506"/>
      <c r="G999" s="506"/>
      <c r="H999" s="506"/>
      <c r="I999" s="506"/>
      <c r="J999" s="506"/>
      <c r="K999" s="507"/>
      <c r="L999" s="508"/>
      <c r="M999" s="508"/>
      <c r="N999" s="508"/>
      <c r="O999" s="509"/>
      <c r="P999" s="509"/>
    </row>
    <row r="1000" spans="1:16" ht="21.75" customHeight="1" x14ac:dyDescent="0.3">
      <c r="A1000" s="504"/>
      <c r="B1000" s="504"/>
      <c r="C1000" s="504"/>
      <c r="D1000" s="504"/>
      <c r="E1000" s="506"/>
      <c r="F1000" s="506"/>
      <c r="G1000" s="506"/>
      <c r="H1000" s="506"/>
      <c r="I1000" s="506"/>
      <c r="J1000" s="506"/>
      <c r="K1000" s="507"/>
      <c r="L1000" s="508"/>
      <c r="M1000" s="508"/>
      <c r="N1000" s="508"/>
      <c r="O1000" s="509"/>
      <c r="P1000" s="509"/>
    </row>
    <row r="1001" spans="1:16" ht="21.75" customHeight="1" x14ac:dyDescent="0.3">
      <c r="A1001" s="504"/>
      <c r="B1001" s="504"/>
      <c r="C1001" s="504"/>
      <c r="D1001" s="504"/>
      <c r="E1001" s="506"/>
      <c r="F1001" s="506"/>
      <c r="G1001" s="506"/>
      <c r="H1001" s="506"/>
      <c r="I1001" s="506"/>
      <c r="J1001" s="506"/>
      <c r="K1001" s="507"/>
      <c r="L1001" s="508"/>
      <c r="M1001" s="508"/>
      <c r="N1001" s="508"/>
      <c r="O1001" s="509"/>
      <c r="P1001" s="509"/>
    </row>
    <row r="1002" spans="1:16" ht="21.75" customHeight="1" x14ac:dyDescent="0.3">
      <c r="A1002" s="504"/>
      <c r="B1002" s="504"/>
      <c r="C1002" s="504"/>
      <c r="D1002" s="504"/>
      <c r="E1002" s="506"/>
      <c r="F1002" s="506"/>
      <c r="G1002" s="506"/>
      <c r="H1002" s="506"/>
      <c r="I1002" s="506"/>
      <c r="J1002" s="506"/>
      <c r="K1002" s="507"/>
      <c r="L1002" s="508"/>
      <c r="M1002" s="508"/>
      <c r="N1002" s="508"/>
      <c r="O1002" s="509"/>
      <c r="P1002" s="509"/>
    </row>
    <row r="1003" spans="1:16" ht="21.75" customHeight="1" x14ac:dyDescent="0.3">
      <c r="A1003" s="504"/>
      <c r="B1003" s="504"/>
      <c r="C1003" s="504"/>
      <c r="D1003" s="504"/>
      <c r="E1003" s="506"/>
      <c r="F1003" s="506"/>
      <c r="G1003" s="506"/>
      <c r="H1003" s="506"/>
      <c r="I1003" s="506"/>
      <c r="J1003" s="506"/>
      <c r="K1003" s="507"/>
      <c r="L1003" s="508"/>
      <c r="M1003" s="508"/>
      <c r="N1003" s="508"/>
      <c r="O1003" s="509"/>
      <c r="P1003" s="509"/>
    </row>
    <row r="1004" spans="1:16" ht="21.75" customHeight="1" x14ac:dyDescent="0.3">
      <c r="A1004" s="504"/>
      <c r="B1004" s="504"/>
      <c r="C1004" s="504"/>
      <c r="D1004" s="504"/>
      <c r="E1004" s="506"/>
      <c r="F1004" s="506"/>
      <c r="G1004" s="506"/>
      <c r="H1004" s="506"/>
      <c r="I1004" s="506"/>
      <c r="J1004" s="506"/>
      <c r="K1004" s="507"/>
      <c r="L1004" s="508"/>
      <c r="M1004" s="508"/>
      <c r="N1004" s="508"/>
      <c r="O1004" s="509"/>
      <c r="P1004" s="509"/>
    </row>
    <row r="1005" spans="1:16" ht="21.75" customHeight="1" x14ac:dyDescent="0.3">
      <c r="A1005" s="504"/>
      <c r="B1005" s="504"/>
      <c r="C1005" s="504"/>
      <c r="D1005" s="504"/>
      <c r="E1005" s="506"/>
      <c r="F1005" s="506"/>
      <c r="G1005" s="506"/>
      <c r="H1005" s="506"/>
      <c r="I1005" s="506"/>
      <c r="J1005" s="506"/>
      <c r="K1005" s="507"/>
      <c r="L1005" s="508"/>
      <c r="M1005" s="508"/>
      <c r="N1005" s="508"/>
      <c r="O1005" s="509"/>
      <c r="P1005" s="509"/>
    </row>
    <row r="1006" spans="1:16" ht="21.75" customHeight="1" x14ac:dyDescent="0.3">
      <c r="A1006" s="504"/>
      <c r="B1006" s="504"/>
      <c r="C1006" s="504"/>
      <c r="D1006" s="504"/>
      <c r="E1006" s="506"/>
      <c r="F1006" s="506"/>
      <c r="G1006" s="506"/>
      <c r="H1006" s="506"/>
      <c r="I1006" s="506"/>
      <c r="J1006" s="506"/>
      <c r="K1006" s="507"/>
      <c r="L1006" s="508"/>
      <c r="M1006" s="508"/>
      <c r="N1006" s="508"/>
      <c r="O1006" s="509"/>
      <c r="P1006" s="509"/>
    </row>
    <row r="1007" spans="1:16" ht="21.75" customHeight="1" x14ac:dyDescent="0.3">
      <c r="A1007" s="504"/>
      <c r="B1007" s="504"/>
      <c r="C1007" s="504"/>
      <c r="D1007" s="504"/>
      <c r="E1007" s="506"/>
      <c r="F1007" s="506"/>
      <c r="G1007" s="506"/>
      <c r="H1007" s="506"/>
      <c r="I1007" s="506"/>
      <c r="J1007" s="506"/>
      <c r="K1007" s="507"/>
      <c r="L1007" s="508"/>
      <c r="M1007" s="508"/>
      <c r="N1007" s="508"/>
      <c r="O1007" s="509"/>
      <c r="P1007" s="509"/>
    </row>
    <row r="1008" spans="1:16" ht="21.75" customHeight="1" x14ac:dyDescent="0.3">
      <c r="A1008" s="504"/>
      <c r="B1008" s="504"/>
      <c r="C1008" s="504"/>
      <c r="D1008" s="504"/>
      <c r="E1008" s="506"/>
      <c r="F1008" s="506"/>
      <c r="G1008" s="506"/>
      <c r="H1008" s="506"/>
      <c r="I1008" s="506"/>
      <c r="J1008" s="506"/>
      <c r="K1008" s="507"/>
      <c r="L1008" s="508"/>
      <c r="M1008" s="508"/>
      <c r="N1008" s="508"/>
      <c r="O1008" s="509"/>
      <c r="P1008" s="509"/>
    </row>
    <row r="1009" spans="1:16" ht="21.75" customHeight="1" x14ac:dyDescent="0.3">
      <c r="A1009" s="504"/>
      <c r="B1009" s="504"/>
      <c r="C1009" s="504"/>
      <c r="D1009" s="504"/>
      <c r="E1009" s="506"/>
      <c r="F1009" s="506"/>
      <c r="G1009" s="506"/>
      <c r="H1009" s="506"/>
      <c r="I1009" s="506"/>
      <c r="J1009" s="506"/>
      <c r="K1009" s="507"/>
      <c r="L1009" s="508"/>
      <c r="M1009" s="508"/>
      <c r="N1009" s="508"/>
      <c r="O1009" s="509"/>
      <c r="P1009" s="509"/>
    </row>
    <row r="1010" spans="1:16" ht="21.75" customHeight="1" x14ac:dyDescent="0.3">
      <c r="A1010" s="504"/>
      <c r="B1010" s="504"/>
      <c r="C1010" s="504"/>
      <c r="D1010" s="504"/>
      <c r="E1010" s="506"/>
      <c r="F1010" s="506"/>
      <c r="G1010" s="506"/>
      <c r="H1010" s="506"/>
      <c r="I1010" s="506"/>
      <c r="J1010" s="506"/>
      <c r="K1010" s="507"/>
      <c r="L1010" s="508"/>
      <c r="M1010" s="508"/>
      <c r="N1010" s="508"/>
      <c r="O1010" s="509"/>
      <c r="P1010" s="509"/>
    </row>
    <row r="1011" spans="1:16" ht="21.75" customHeight="1" x14ac:dyDescent="0.3">
      <c r="A1011" s="504"/>
      <c r="B1011" s="504"/>
      <c r="C1011" s="504"/>
      <c r="D1011" s="504"/>
      <c r="E1011" s="506"/>
      <c r="F1011" s="506"/>
      <c r="G1011" s="506"/>
      <c r="H1011" s="506"/>
      <c r="I1011" s="506"/>
      <c r="J1011" s="506"/>
      <c r="K1011" s="507"/>
      <c r="L1011" s="508"/>
      <c r="M1011" s="508"/>
      <c r="N1011" s="508"/>
      <c r="O1011" s="509"/>
      <c r="P1011" s="509"/>
    </row>
    <row r="1012" spans="1:16" ht="21.75" customHeight="1" x14ac:dyDescent="0.3">
      <c r="A1012" s="504"/>
      <c r="B1012" s="504"/>
      <c r="C1012" s="504"/>
      <c r="D1012" s="504"/>
      <c r="E1012" s="506"/>
      <c r="F1012" s="506"/>
      <c r="G1012" s="506"/>
      <c r="H1012" s="506"/>
      <c r="I1012" s="506"/>
      <c r="J1012" s="506"/>
      <c r="K1012" s="507"/>
      <c r="L1012" s="508"/>
      <c r="M1012" s="508"/>
      <c r="N1012" s="508"/>
      <c r="O1012" s="509"/>
      <c r="P1012" s="509"/>
    </row>
    <row r="1013" spans="1:16" ht="21.75" customHeight="1" x14ac:dyDescent="0.3">
      <c r="A1013" s="504"/>
      <c r="B1013" s="504"/>
      <c r="C1013" s="504"/>
      <c r="D1013" s="504"/>
      <c r="E1013" s="506"/>
      <c r="F1013" s="506"/>
      <c r="G1013" s="506"/>
      <c r="H1013" s="506"/>
      <c r="I1013" s="506"/>
      <c r="J1013" s="506"/>
      <c r="K1013" s="507"/>
      <c r="L1013" s="508"/>
      <c r="M1013" s="508"/>
      <c r="N1013" s="508"/>
      <c r="O1013" s="509"/>
      <c r="P1013" s="509"/>
    </row>
    <row r="1014" spans="1:16" ht="21.75" customHeight="1" x14ac:dyDescent="0.3">
      <c r="A1014" s="504"/>
      <c r="B1014" s="504"/>
      <c r="C1014" s="504"/>
      <c r="D1014" s="504"/>
      <c r="E1014" s="506"/>
      <c r="F1014" s="506"/>
      <c r="G1014" s="506"/>
      <c r="H1014" s="506"/>
      <c r="I1014" s="506"/>
      <c r="J1014" s="506"/>
      <c r="K1014" s="507"/>
      <c r="L1014" s="508"/>
      <c r="M1014" s="508"/>
      <c r="N1014" s="508"/>
      <c r="O1014" s="509"/>
      <c r="P1014" s="509"/>
    </row>
    <row r="1015" spans="1:16" ht="21.75" customHeight="1" x14ac:dyDescent="0.3">
      <c r="A1015" s="504"/>
      <c r="B1015" s="504"/>
      <c r="C1015" s="504"/>
      <c r="D1015" s="504"/>
      <c r="E1015" s="506"/>
      <c r="F1015" s="506"/>
      <c r="G1015" s="506"/>
      <c r="H1015" s="506"/>
      <c r="I1015" s="506"/>
      <c r="J1015" s="506"/>
      <c r="K1015" s="507"/>
      <c r="L1015" s="508"/>
      <c r="M1015" s="508"/>
      <c r="N1015" s="508"/>
      <c r="O1015" s="509"/>
      <c r="P1015" s="509"/>
    </row>
    <row r="1016" spans="1:16" ht="21.75" customHeight="1" x14ac:dyDescent="0.3">
      <c r="A1016" s="504"/>
      <c r="B1016" s="504"/>
      <c r="C1016" s="504"/>
      <c r="D1016" s="504"/>
      <c r="E1016" s="506"/>
      <c r="F1016" s="506"/>
      <c r="G1016" s="506"/>
      <c r="H1016" s="506"/>
      <c r="I1016" s="506"/>
      <c r="J1016" s="506"/>
      <c r="K1016" s="507"/>
      <c r="L1016" s="508"/>
      <c r="M1016" s="508"/>
      <c r="N1016" s="508"/>
      <c r="O1016" s="509"/>
      <c r="P1016" s="509"/>
    </row>
    <row r="1017" spans="1:16" ht="21.75" customHeight="1" x14ac:dyDescent="0.3">
      <c r="A1017" s="504"/>
      <c r="B1017" s="504"/>
      <c r="C1017" s="504"/>
      <c r="D1017" s="504"/>
      <c r="E1017" s="506"/>
      <c r="F1017" s="506"/>
      <c r="G1017" s="506"/>
      <c r="H1017" s="506"/>
      <c r="I1017" s="506"/>
      <c r="J1017" s="506"/>
      <c r="K1017" s="507"/>
      <c r="L1017" s="508"/>
      <c r="M1017" s="508"/>
      <c r="N1017" s="508"/>
      <c r="O1017" s="509"/>
      <c r="P1017" s="509"/>
    </row>
    <row r="1018" spans="1:16" ht="21.75" customHeight="1" x14ac:dyDescent="0.3">
      <c r="A1018" s="504"/>
      <c r="B1018" s="504"/>
      <c r="C1018" s="504"/>
      <c r="D1018" s="504"/>
      <c r="E1018" s="506"/>
      <c r="F1018" s="506"/>
      <c r="G1018" s="506"/>
      <c r="H1018" s="506"/>
      <c r="I1018" s="506"/>
      <c r="J1018" s="506"/>
      <c r="K1018" s="507"/>
      <c r="L1018" s="508"/>
      <c r="M1018" s="508"/>
      <c r="N1018" s="508"/>
      <c r="O1018" s="509"/>
      <c r="P1018" s="509"/>
    </row>
    <row r="1019" spans="1:16" ht="21.75" customHeight="1" x14ac:dyDescent="0.3">
      <c r="A1019" s="504"/>
      <c r="B1019" s="504"/>
      <c r="C1019" s="504"/>
      <c r="D1019" s="504"/>
      <c r="E1019" s="506"/>
      <c r="F1019" s="506"/>
      <c r="G1019" s="506"/>
      <c r="H1019" s="506"/>
      <c r="I1019" s="506"/>
      <c r="J1019" s="506"/>
      <c r="K1019" s="507"/>
      <c r="L1019" s="508"/>
      <c r="M1019" s="508"/>
      <c r="N1019" s="508"/>
      <c r="O1019" s="509"/>
      <c r="P1019" s="509"/>
    </row>
    <row r="1020" spans="1:16" ht="21.75" customHeight="1" x14ac:dyDescent="0.3">
      <c r="A1020" s="504"/>
      <c r="B1020" s="504"/>
      <c r="C1020" s="504"/>
      <c r="D1020" s="504"/>
      <c r="E1020" s="506"/>
      <c r="F1020" s="506"/>
      <c r="G1020" s="506"/>
      <c r="H1020" s="506"/>
      <c r="I1020" s="506"/>
      <c r="J1020" s="506"/>
      <c r="K1020" s="507"/>
      <c r="L1020" s="508"/>
      <c r="M1020" s="508"/>
      <c r="N1020" s="508"/>
      <c r="O1020" s="509"/>
      <c r="P1020" s="509"/>
    </row>
    <row r="1021" spans="1:16" ht="21.75" customHeight="1" x14ac:dyDescent="0.3">
      <c r="A1021" s="504"/>
      <c r="B1021" s="504"/>
      <c r="C1021" s="504"/>
      <c r="D1021" s="504"/>
      <c r="E1021" s="506"/>
      <c r="F1021" s="506"/>
      <c r="G1021" s="506"/>
      <c r="H1021" s="506"/>
      <c r="I1021" s="506"/>
      <c r="J1021" s="506"/>
      <c r="K1021" s="507"/>
      <c r="L1021" s="508"/>
      <c r="M1021" s="508"/>
      <c r="N1021" s="508"/>
      <c r="O1021" s="509"/>
      <c r="P1021" s="509"/>
    </row>
    <row r="1022" spans="1:16" ht="21.75" customHeight="1" x14ac:dyDescent="0.3">
      <c r="A1022" s="504"/>
      <c r="B1022" s="504"/>
      <c r="C1022" s="504"/>
      <c r="D1022" s="504"/>
      <c r="E1022" s="506"/>
      <c r="F1022" s="506"/>
      <c r="G1022" s="506"/>
      <c r="H1022" s="506"/>
      <c r="I1022" s="506"/>
      <c r="J1022" s="506"/>
      <c r="K1022" s="507"/>
      <c r="L1022" s="508"/>
      <c r="M1022" s="508"/>
      <c r="N1022" s="508"/>
      <c r="O1022" s="509"/>
      <c r="P1022" s="509"/>
    </row>
    <row r="1023" spans="1:16" ht="21.75" customHeight="1" x14ac:dyDescent="0.3">
      <c r="A1023" s="504"/>
      <c r="B1023" s="504"/>
      <c r="C1023" s="504"/>
      <c r="D1023" s="504"/>
      <c r="E1023" s="506"/>
      <c r="F1023" s="506"/>
      <c r="G1023" s="506"/>
      <c r="H1023" s="506"/>
      <c r="I1023" s="506"/>
      <c r="J1023" s="506"/>
      <c r="K1023" s="507"/>
      <c r="L1023" s="508"/>
      <c r="M1023" s="508"/>
      <c r="N1023" s="508"/>
      <c r="O1023" s="509"/>
      <c r="P1023" s="509"/>
    </row>
    <row r="1024" spans="1:16" ht="21.75" customHeight="1" x14ac:dyDescent="0.3">
      <c r="A1024" s="504"/>
      <c r="B1024" s="504"/>
      <c r="C1024" s="504"/>
      <c r="D1024" s="504"/>
      <c r="E1024" s="506"/>
      <c r="F1024" s="506"/>
      <c r="G1024" s="506"/>
      <c r="H1024" s="506"/>
      <c r="I1024" s="506"/>
      <c r="J1024" s="506"/>
      <c r="K1024" s="507"/>
      <c r="L1024" s="508"/>
      <c r="M1024" s="508"/>
      <c r="N1024" s="508"/>
      <c r="O1024" s="509"/>
      <c r="P1024" s="509"/>
    </row>
    <row r="1025" spans="1:16" ht="21.75" customHeight="1" x14ac:dyDescent="0.3">
      <c r="A1025" s="504"/>
      <c r="B1025" s="504"/>
      <c r="C1025" s="504"/>
      <c r="D1025" s="504"/>
      <c r="E1025" s="506"/>
      <c r="F1025" s="506"/>
      <c r="G1025" s="506"/>
      <c r="H1025" s="506"/>
      <c r="I1025" s="506"/>
      <c r="J1025" s="506"/>
      <c r="K1025" s="507"/>
      <c r="L1025" s="508"/>
      <c r="M1025" s="508"/>
      <c r="N1025" s="508"/>
      <c r="O1025" s="509"/>
      <c r="P1025" s="509"/>
    </row>
    <row r="1026" spans="1:16" ht="21.75" customHeight="1" x14ac:dyDescent="0.3">
      <c r="A1026" s="504"/>
      <c r="B1026" s="504"/>
      <c r="C1026" s="504"/>
      <c r="D1026" s="504"/>
      <c r="E1026" s="506"/>
      <c r="F1026" s="506"/>
      <c r="G1026" s="506"/>
      <c r="H1026" s="506"/>
      <c r="I1026" s="506"/>
      <c r="J1026" s="506"/>
      <c r="K1026" s="507"/>
      <c r="L1026" s="508"/>
      <c r="M1026" s="508"/>
      <c r="N1026" s="508"/>
      <c r="O1026" s="509"/>
      <c r="P1026" s="509"/>
    </row>
    <row r="1027" spans="1:16" ht="21.75" customHeight="1" x14ac:dyDescent="0.3">
      <c r="A1027" s="504"/>
      <c r="B1027" s="504"/>
      <c r="C1027" s="504"/>
      <c r="D1027" s="504"/>
      <c r="E1027" s="506"/>
      <c r="F1027" s="506"/>
      <c r="G1027" s="506"/>
      <c r="H1027" s="506"/>
      <c r="I1027" s="506"/>
      <c r="J1027" s="506"/>
      <c r="K1027" s="507"/>
      <c r="L1027" s="508"/>
      <c r="M1027" s="508"/>
      <c r="N1027" s="508"/>
      <c r="O1027" s="509"/>
      <c r="P1027" s="509"/>
    </row>
    <row r="1028" spans="1:16" ht="21.75" customHeight="1" x14ac:dyDescent="0.3">
      <c r="A1028" s="504"/>
      <c r="B1028" s="504"/>
      <c r="C1028" s="504"/>
      <c r="D1028" s="504"/>
      <c r="E1028" s="506"/>
      <c r="F1028" s="506"/>
      <c r="G1028" s="506"/>
      <c r="H1028" s="506"/>
      <c r="I1028" s="506"/>
      <c r="J1028" s="506"/>
      <c r="K1028" s="507"/>
      <c r="L1028" s="508"/>
      <c r="M1028" s="508"/>
      <c r="N1028" s="508"/>
      <c r="O1028" s="509"/>
      <c r="P1028" s="509"/>
    </row>
    <row r="1029" spans="1:16" ht="21.75" customHeight="1" x14ac:dyDescent="0.3">
      <c r="A1029" s="504"/>
      <c r="B1029" s="504"/>
      <c r="C1029" s="504"/>
      <c r="D1029" s="504"/>
      <c r="E1029" s="506"/>
      <c r="F1029" s="506"/>
      <c r="G1029" s="506"/>
      <c r="H1029" s="506"/>
      <c r="I1029" s="506"/>
      <c r="J1029" s="506"/>
      <c r="K1029" s="507"/>
      <c r="L1029" s="508"/>
      <c r="M1029" s="508"/>
      <c r="N1029" s="508"/>
      <c r="O1029" s="509"/>
      <c r="P1029" s="509"/>
    </row>
    <row r="1030" spans="1:16" ht="21.75" customHeight="1" x14ac:dyDescent="0.3">
      <c r="A1030" s="504"/>
      <c r="B1030" s="504"/>
      <c r="C1030" s="504"/>
      <c r="D1030" s="504"/>
      <c r="E1030" s="506"/>
      <c r="F1030" s="506"/>
      <c r="G1030" s="506"/>
      <c r="H1030" s="506"/>
      <c r="I1030" s="506"/>
      <c r="J1030" s="506"/>
      <c r="K1030" s="507"/>
      <c r="L1030" s="508"/>
      <c r="M1030" s="508"/>
      <c r="N1030" s="508"/>
      <c r="O1030" s="509"/>
      <c r="P1030" s="509"/>
    </row>
    <row r="1031" spans="1:16" ht="21.75" customHeight="1" x14ac:dyDescent="0.3">
      <c r="A1031" s="504"/>
      <c r="B1031" s="504"/>
      <c r="C1031" s="504"/>
      <c r="D1031" s="504"/>
      <c r="E1031" s="506"/>
      <c r="F1031" s="506"/>
      <c r="G1031" s="506"/>
      <c r="H1031" s="506"/>
      <c r="I1031" s="506"/>
      <c r="J1031" s="506"/>
      <c r="K1031" s="507"/>
      <c r="L1031" s="508"/>
      <c r="M1031" s="508"/>
      <c r="N1031" s="508"/>
      <c r="O1031" s="509"/>
      <c r="P1031" s="509"/>
    </row>
    <row r="1032" spans="1:16" ht="21.75" customHeight="1" x14ac:dyDescent="0.3">
      <c r="A1032" s="504"/>
      <c r="B1032" s="504"/>
      <c r="C1032" s="504"/>
      <c r="D1032" s="504"/>
      <c r="E1032" s="506"/>
      <c r="F1032" s="506"/>
      <c r="G1032" s="506"/>
      <c r="H1032" s="506"/>
      <c r="I1032" s="506"/>
      <c r="J1032" s="506"/>
      <c r="K1032" s="507"/>
      <c r="L1032" s="508"/>
      <c r="M1032" s="508"/>
      <c r="N1032" s="508"/>
      <c r="O1032" s="509"/>
      <c r="P1032" s="509"/>
    </row>
    <row r="1033" spans="1:16" ht="21.75" customHeight="1" x14ac:dyDescent="0.3">
      <c r="A1033" s="504"/>
      <c r="B1033" s="504"/>
      <c r="C1033" s="504"/>
      <c r="D1033" s="504"/>
      <c r="E1033" s="506"/>
      <c r="F1033" s="506"/>
      <c r="G1033" s="506"/>
      <c r="H1033" s="506"/>
      <c r="I1033" s="506"/>
      <c r="J1033" s="506"/>
      <c r="K1033" s="507"/>
      <c r="L1033" s="508"/>
      <c r="M1033" s="508"/>
      <c r="N1033" s="508"/>
      <c r="O1033" s="509"/>
      <c r="P1033" s="509"/>
    </row>
    <row r="1034" spans="1:16" ht="21.75" customHeight="1" x14ac:dyDescent="0.3">
      <c r="A1034" s="504"/>
      <c r="B1034" s="504"/>
      <c r="C1034" s="504"/>
      <c r="D1034" s="504"/>
      <c r="E1034" s="506"/>
      <c r="F1034" s="506"/>
      <c r="G1034" s="506"/>
      <c r="H1034" s="506"/>
      <c r="I1034" s="506"/>
      <c r="J1034" s="506"/>
      <c r="K1034" s="507"/>
      <c r="L1034" s="508"/>
      <c r="M1034" s="508"/>
      <c r="N1034" s="508"/>
      <c r="O1034" s="509"/>
      <c r="P1034" s="509"/>
    </row>
    <row r="1035" spans="1:16" ht="21.75" customHeight="1" x14ac:dyDescent="0.3">
      <c r="A1035" s="504"/>
      <c r="B1035" s="504"/>
      <c r="C1035" s="504"/>
      <c r="D1035" s="504"/>
      <c r="E1035" s="506"/>
      <c r="F1035" s="506"/>
      <c r="G1035" s="506"/>
      <c r="H1035" s="506"/>
      <c r="I1035" s="506"/>
      <c r="J1035" s="506"/>
      <c r="K1035" s="507"/>
      <c r="L1035" s="508"/>
      <c r="M1035" s="508"/>
      <c r="N1035" s="508"/>
      <c r="O1035" s="509"/>
      <c r="P1035" s="509"/>
    </row>
    <row r="1036" spans="1:16" ht="21.75" customHeight="1" x14ac:dyDescent="0.3">
      <c r="A1036" s="504"/>
      <c r="B1036" s="504"/>
      <c r="C1036" s="504"/>
      <c r="D1036" s="504"/>
      <c r="E1036" s="506"/>
      <c r="F1036" s="506"/>
      <c r="G1036" s="506"/>
      <c r="H1036" s="506"/>
      <c r="I1036" s="506"/>
      <c r="J1036" s="506"/>
      <c r="K1036" s="507"/>
      <c r="L1036" s="508"/>
      <c r="M1036" s="508"/>
      <c r="N1036" s="508"/>
      <c r="O1036" s="509"/>
      <c r="P1036" s="509"/>
    </row>
    <row r="1037" spans="1:16" ht="21.75" customHeight="1" x14ac:dyDescent="0.3">
      <c r="A1037" s="504"/>
      <c r="B1037" s="504"/>
      <c r="C1037" s="504"/>
      <c r="D1037" s="504"/>
      <c r="E1037" s="506"/>
      <c r="F1037" s="506"/>
      <c r="G1037" s="506"/>
      <c r="H1037" s="506"/>
      <c r="I1037" s="506"/>
      <c r="J1037" s="506"/>
      <c r="K1037" s="507"/>
      <c r="L1037" s="508"/>
      <c r="M1037" s="508"/>
      <c r="N1037" s="508"/>
      <c r="O1037" s="509"/>
      <c r="P1037" s="509"/>
    </row>
    <row r="1038" spans="1:16" ht="21.75" customHeight="1" x14ac:dyDescent="0.3">
      <c r="A1038" s="504"/>
      <c r="B1038" s="504"/>
      <c r="C1038" s="504"/>
      <c r="D1038" s="504"/>
      <c r="E1038" s="506"/>
      <c r="F1038" s="506"/>
      <c r="G1038" s="506"/>
      <c r="H1038" s="506"/>
      <c r="I1038" s="506"/>
      <c r="J1038" s="506"/>
      <c r="K1038" s="507"/>
      <c r="L1038" s="508"/>
      <c r="M1038" s="508"/>
      <c r="N1038" s="508"/>
      <c r="O1038" s="509"/>
      <c r="P1038" s="509"/>
    </row>
    <row r="1039" spans="1:16" ht="21.75" customHeight="1" x14ac:dyDescent="0.3">
      <c r="A1039" s="504"/>
      <c r="B1039" s="504"/>
      <c r="C1039" s="504"/>
      <c r="D1039" s="504"/>
      <c r="E1039" s="506"/>
      <c r="F1039" s="506"/>
      <c r="G1039" s="506"/>
      <c r="H1039" s="506"/>
      <c r="I1039" s="506"/>
      <c r="J1039" s="506"/>
      <c r="K1039" s="507"/>
      <c r="L1039" s="508"/>
      <c r="M1039" s="508"/>
      <c r="N1039" s="508"/>
      <c r="O1039" s="509"/>
      <c r="P1039" s="509"/>
    </row>
    <row r="1040" spans="1:16" ht="21.75" customHeight="1" x14ac:dyDescent="0.3">
      <c r="A1040" s="504"/>
      <c r="B1040" s="504"/>
      <c r="C1040" s="504"/>
      <c r="D1040" s="504"/>
      <c r="E1040" s="506"/>
      <c r="F1040" s="506"/>
      <c r="G1040" s="506"/>
      <c r="H1040" s="506"/>
      <c r="I1040" s="506"/>
      <c r="J1040" s="506"/>
      <c r="K1040" s="507"/>
      <c r="L1040" s="508"/>
      <c r="M1040" s="508"/>
      <c r="N1040" s="508"/>
      <c r="O1040" s="509"/>
      <c r="P1040" s="509"/>
    </row>
    <row r="1041" spans="1:16" ht="21.75" customHeight="1" x14ac:dyDescent="0.3">
      <c r="A1041" s="504"/>
      <c r="B1041" s="504"/>
      <c r="C1041" s="504"/>
      <c r="D1041" s="504"/>
      <c r="E1041" s="506"/>
      <c r="F1041" s="506"/>
      <c r="G1041" s="506"/>
      <c r="H1041" s="506"/>
      <c r="I1041" s="506"/>
      <c r="J1041" s="506"/>
      <c r="K1041" s="507"/>
      <c r="L1041" s="508"/>
      <c r="M1041" s="508"/>
      <c r="N1041" s="508"/>
      <c r="O1041" s="509"/>
      <c r="P1041" s="509"/>
    </row>
    <row r="1042" spans="1:16" ht="21.75" customHeight="1" x14ac:dyDescent="0.3">
      <c r="A1042" s="504"/>
      <c r="B1042" s="504"/>
      <c r="C1042" s="504"/>
      <c r="D1042" s="504"/>
      <c r="E1042" s="506"/>
      <c r="F1042" s="506"/>
      <c r="G1042" s="506"/>
      <c r="H1042" s="506"/>
      <c r="I1042" s="506"/>
      <c r="J1042" s="506"/>
      <c r="K1042" s="507"/>
      <c r="L1042" s="508"/>
      <c r="M1042" s="508"/>
      <c r="N1042" s="508"/>
      <c r="O1042" s="509"/>
      <c r="P1042" s="509"/>
    </row>
    <row r="1043" spans="1:16" ht="21.75" customHeight="1" x14ac:dyDescent="0.3">
      <c r="A1043" s="504"/>
      <c r="B1043" s="504"/>
      <c r="C1043" s="504"/>
      <c r="D1043" s="504"/>
      <c r="E1043" s="506"/>
      <c r="F1043" s="506"/>
      <c r="G1043" s="506"/>
      <c r="H1043" s="506"/>
      <c r="I1043" s="506"/>
      <c r="J1043" s="506"/>
      <c r="K1043" s="507"/>
      <c r="L1043" s="508"/>
      <c r="M1043" s="508"/>
      <c r="N1043" s="508"/>
      <c r="O1043" s="509"/>
      <c r="P1043" s="509"/>
    </row>
    <row r="1044" spans="1:16" ht="21.75" customHeight="1" x14ac:dyDescent="0.3">
      <c r="A1044" s="504"/>
      <c r="B1044" s="504"/>
      <c r="C1044" s="504"/>
      <c r="D1044" s="504"/>
      <c r="E1044" s="506"/>
      <c r="F1044" s="506"/>
      <c r="G1044" s="506"/>
      <c r="H1044" s="506"/>
      <c r="I1044" s="506"/>
      <c r="J1044" s="506"/>
      <c r="K1044" s="507"/>
      <c r="L1044" s="508"/>
      <c r="M1044" s="508"/>
      <c r="N1044" s="508"/>
      <c r="O1044" s="509"/>
      <c r="P1044" s="509"/>
    </row>
    <row r="1045" spans="1:16" ht="21.75" customHeight="1" x14ac:dyDescent="0.3">
      <c r="A1045" s="504"/>
      <c r="B1045" s="504"/>
      <c r="C1045" s="504"/>
      <c r="D1045" s="504"/>
      <c r="E1045" s="506"/>
      <c r="F1045" s="506"/>
      <c r="G1045" s="506"/>
      <c r="H1045" s="506"/>
      <c r="I1045" s="506"/>
      <c r="J1045" s="506"/>
      <c r="K1045" s="507"/>
      <c r="L1045" s="508"/>
      <c r="M1045" s="508"/>
      <c r="N1045" s="508"/>
      <c r="O1045" s="509"/>
      <c r="P1045" s="509"/>
    </row>
    <row r="1046" spans="1:16" ht="21.75" customHeight="1" x14ac:dyDescent="0.3">
      <c r="A1046" s="504"/>
      <c r="B1046" s="504"/>
      <c r="C1046" s="504"/>
      <c r="D1046" s="504"/>
      <c r="E1046" s="506"/>
      <c r="F1046" s="506"/>
      <c r="G1046" s="506"/>
      <c r="H1046" s="506"/>
      <c r="I1046" s="506"/>
      <c r="J1046" s="506"/>
      <c r="K1046" s="507"/>
      <c r="L1046" s="508"/>
      <c r="M1046" s="508"/>
      <c r="N1046" s="508"/>
      <c r="O1046" s="509"/>
      <c r="P1046" s="509"/>
    </row>
    <row r="1047" spans="1:16" ht="21.75" customHeight="1" x14ac:dyDescent="0.3">
      <c r="A1047" s="504"/>
      <c r="B1047" s="504"/>
      <c r="C1047" s="504"/>
      <c r="D1047" s="504"/>
      <c r="E1047" s="506"/>
      <c r="F1047" s="506"/>
      <c r="G1047" s="506"/>
      <c r="H1047" s="506"/>
      <c r="I1047" s="506"/>
      <c r="J1047" s="506"/>
      <c r="K1047" s="507"/>
      <c r="L1047" s="508"/>
      <c r="M1047" s="508"/>
      <c r="N1047" s="508"/>
      <c r="O1047" s="509"/>
      <c r="P1047" s="509"/>
    </row>
    <row r="1048" spans="1:16" ht="21.75" customHeight="1" x14ac:dyDescent="0.3">
      <c r="A1048" s="504"/>
      <c r="B1048" s="504"/>
      <c r="C1048" s="504"/>
      <c r="D1048" s="504"/>
      <c r="E1048" s="506"/>
      <c r="F1048" s="506"/>
      <c r="G1048" s="506"/>
      <c r="H1048" s="506"/>
      <c r="I1048" s="506"/>
      <c r="J1048" s="506"/>
      <c r="K1048" s="507"/>
      <c r="L1048" s="508"/>
      <c r="M1048" s="508"/>
      <c r="N1048" s="508"/>
      <c r="O1048" s="509"/>
      <c r="P1048" s="509"/>
    </row>
    <row r="1049" spans="1:16" ht="21.75" customHeight="1" x14ac:dyDescent="0.3">
      <c r="A1049" s="504"/>
      <c r="B1049" s="504"/>
      <c r="C1049" s="504"/>
      <c r="D1049" s="504"/>
      <c r="E1049" s="506"/>
      <c r="F1049" s="506"/>
      <c r="G1049" s="506"/>
      <c r="H1049" s="506"/>
      <c r="I1049" s="506"/>
      <c r="J1049" s="506"/>
      <c r="K1049" s="507"/>
      <c r="L1049" s="508"/>
      <c r="M1049" s="508"/>
      <c r="N1049" s="508"/>
      <c r="O1049" s="509"/>
      <c r="P1049" s="509"/>
    </row>
    <row r="1050" spans="1:16" ht="21.75" customHeight="1" x14ac:dyDescent="0.3">
      <c r="A1050" s="504"/>
      <c r="B1050" s="504"/>
      <c r="C1050" s="504"/>
      <c r="D1050" s="504"/>
      <c r="E1050" s="506"/>
      <c r="F1050" s="506"/>
      <c r="G1050" s="506"/>
      <c r="H1050" s="506"/>
      <c r="I1050" s="506"/>
      <c r="J1050" s="506"/>
      <c r="K1050" s="507"/>
      <c r="L1050" s="508"/>
      <c r="M1050" s="508"/>
      <c r="N1050" s="508"/>
      <c r="O1050" s="509"/>
      <c r="P1050" s="509"/>
    </row>
    <row r="1051" spans="1:16" ht="21.75" customHeight="1" x14ac:dyDescent="0.3">
      <c r="A1051" s="504"/>
      <c r="B1051" s="504"/>
      <c r="C1051" s="504"/>
      <c r="D1051" s="504"/>
      <c r="E1051" s="506"/>
      <c r="F1051" s="506"/>
      <c r="G1051" s="506"/>
      <c r="H1051" s="506"/>
      <c r="I1051" s="506"/>
      <c r="J1051" s="506"/>
      <c r="K1051" s="507"/>
      <c r="L1051" s="508"/>
      <c r="M1051" s="508"/>
      <c r="N1051" s="508"/>
      <c r="O1051" s="509"/>
      <c r="P1051" s="509"/>
    </row>
    <row r="1052" spans="1:16" ht="21.75" customHeight="1" x14ac:dyDescent="0.3">
      <c r="A1052" s="504"/>
      <c r="B1052" s="504"/>
      <c r="C1052" s="504"/>
      <c r="D1052" s="504"/>
      <c r="E1052" s="506"/>
      <c r="F1052" s="506"/>
      <c r="G1052" s="506"/>
      <c r="H1052" s="506"/>
      <c r="I1052" s="506"/>
      <c r="J1052" s="506"/>
      <c r="K1052" s="507"/>
      <c r="L1052" s="508"/>
      <c r="M1052" s="508"/>
      <c r="N1052" s="508"/>
      <c r="O1052" s="509"/>
      <c r="P1052" s="509"/>
    </row>
    <row r="1053" spans="1:16" ht="21.75" customHeight="1" x14ac:dyDescent="0.3">
      <c r="A1053" s="504"/>
      <c r="B1053" s="504"/>
      <c r="C1053" s="504"/>
      <c r="D1053" s="504"/>
      <c r="E1053" s="506"/>
      <c r="F1053" s="506"/>
      <c r="G1053" s="506"/>
      <c r="H1053" s="506"/>
      <c r="I1053" s="506"/>
      <c r="J1053" s="506"/>
      <c r="K1053" s="507"/>
      <c r="L1053" s="508"/>
      <c r="M1053" s="508"/>
      <c r="N1053" s="508"/>
      <c r="O1053" s="509"/>
      <c r="P1053" s="509"/>
    </row>
    <row r="1054" spans="1:16" ht="21.75" customHeight="1" x14ac:dyDescent="0.3">
      <c r="A1054" s="504"/>
      <c r="B1054" s="504"/>
      <c r="C1054" s="504"/>
      <c r="D1054" s="504"/>
      <c r="E1054" s="506"/>
      <c r="F1054" s="506"/>
      <c r="G1054" s="506"/>
      <c r="H1054" s="506"/>
      <c r="I1054" s="506"/>
      <c r="J1054" s="506"/>
      <c r="K1054" s="507"/>
      <c r="L1054" s="508"/>
      <c r="M1054" s="508"/>
      <c r="N1054" s="508"/>
      <c r="O1054" s="509"/>
      <c r="P1054" s="509"/>
    </row>
    <row r="1055" spans="1:16" ht="21.75" customHeight="1" x14ac:dyDescent="0.3">
      <c r="A1055" s="504"/>
      <c r="B1055" s="504"/>
      <c r="C1055" s="504"/>
      <c r="D1055" s="504"/>
      <c r="E1055" s="506"/>
      <c r="F1055" s="506"/>
      <c r="G1055" s="506"/>
      <c r="H1055" s="506"/>
      <c r="I1055" s="506"/>
      <c r="J1055" s="506"/>
      <c r="K1055" s="507"/>
      <c r="L1055" s="508"/>
      <c r="M1055" s="508"/>
      <c r="N1055" s="508"/>
      <c r="O1055" s="509"/>
      <c r="P1055" s="509"/>
    </row>
    <row r="1056" spans="1:16" ht="21.75" customHeight="1" x14ac:dyDescent="0.3">
      <c r="A1056" s="504"/>
      <c r="B1056" s="504"/>
      <c r="C1056" s="504"/>
      <c r="D1056" s="504"/>
      <c r="E1056" s="506"/>
      <c r="F1056" s="506"/>
      <c r="G1056" s="506"/>
      <c r="H1056" s="506"/>
      <c r="I1056" s="506"/>
      <c r="J1056" s="506"/>
      <c r="K1056" s="507"/>
      <c r="L1056" s="508"/>
      <c r="M1056" s="508"/>
      <c r="N1056" s="508"/>
      <c r="O1056" s="509"/>
      <c r="P1056" s="509"/>
    </row>
    <row r="1057" spans="1:16" ht="21.75" customHeight="1" x14ac:dyDescent="0.3">
      <c r="A1057" s="504"/>
      <c r="B1057" s="504"/>
      <c r="C1057" s="504"/>
      <c r="D1057" s="504"/>
      <c r="E1057" s="506"/>
      <c r="F1057" s="506"/>
      <c r="G1057" s="506"/>
      <c r="H1057" s="506"/>
      <c r="I1057" s="506"/>
      <c r="J1057" s="506"/>
      <c r="K1057" s="507"/>
      <c r="L1057" s="508"/>
      <c r="M1057" s="508"/>
      <c r="N1057" s="508"/>
      <c r="O1057" s="509"/>
      <c r="P1057" s="509"/>
    </row>
    <row r="1058" spans="1:16" ht="21.75" customHeight="1" x14ac:dyDescent="0.3">
      <c r="A1058" s="504"/>
      <c r="B1058" s="504"/>
      <c r="C1058" s="504"/>
      <c r="D1058" s="504"/>
      <c r="E1058" s="506"/>
      <c r="F1058" s="506"/>
      <c r="G1058" s="506"/>
      <c r="H1058" s="506"/>
      <c r="I1058" s="506"/>
      <c r="J1058" s="506"/>
      <c r="K1058" s="507"/>
      <c r="L1058" s="508"/>
      <c r="M1058" s="508"/>
      <c r="N1058" s="508"/>
      <c r="O1058" s="509"/>
      <c r="P1058" s="509"/>
    </row>
    <row r="1059" spans="1:16" ht="21.75" customHeight="1" x14ac:dyDescent="0.3">
      <c r="A1059" s="504"/>
      <c r="B1059" s="504"/>
      <c r="C1059" s="504"/>
      <c r="D1059" s="504"/>
      <c r="E1059" s="506"/>
      <c r="F1059" s="506"/>
      <c r="G1059" s="506"/>
      <c r="H1059" s="506"/>
      <c r="I1059" s="506"/>
      <c r="J1059" s="506"/>
      <c r="K1059" s="507"/>
      <c r="L1059" s="508"/>
      <c r="M1059" s="508"/>
      <c r="N1059" s="508"/>
      <c r="O1059" s="509"/>
      <c r="P1059" s="509"/>
    </row>
    <row r="1060" spans="1:16" ht="21.75" customHeight="1" x14ac:dyDescent="0.3">
      <c r="A1060" s="504"/>
      <c r="B1060" s="504"/>
      <c r="C1060" s="504"/>
      <c r="D1060" s="504"/>
      <c r="E1060" s="506"/>
      <c r="F1060" s="506"/>
      <c r="G1060" s="506"/>
      <c r="H1060" s="506"/>
      <c r="I1060" s="506"/>
      <c r="J1060" s="506"/>
      <c r="K1060" s="507"/>
      <c r="L1060" s="508"/>
      <c r="M1060" s="508"/>
      <c r="N1060" s="508"/>
      <c r="O1060" s="509"/>
      <c r="P1060" s="509"/>
    </row>
    <row r="1061" spans="1:16" ht="21.75" customHeight="1" x14ac:dyDescent="0.3">
      <c r="A1061" s="504"/>
      <c r="B1061" s="504"/>
      <c r="C1061" s="504"/>
      <c r="D1061" s="504"/>
      <c r="E1061" s="506"/>
      <c r="F1061" s="506"/>
      <c r="G1061" s="506"/>
      <c r="H1061" s="506"/>
      <c r="I1061" s="506"/>
      <c r="J1061" s="506"/>
      <c r="K1061" s="507"/>
      <c r="L1061" s="508"/>
      <c r="M1061" s="508"/>
      <c r="N1061" s="508"/>
      <c r="O1061" s="509"/>
      <c r="P1061" s="509"/>
    </row>
    <row r="1062" spans="1:16" ht="21.75" customHeight="1" x14ac:dyDescent="0.3">
      <c r="A1062" s="504"/>
      <c r="B1062" s="504"/>
      <c r="C1062" s="504"/>
      <c r="D1062" s="504"/>
      <c r="E1062" s="506"/>
      <c r="F1062" s="506"/>
      <c r="G1062" s="506"/>
      <c r="H1062" s="506"/>
      <c r="I1062" s="506"/>
      <c r="J1062" s="506"/>
      <c r="K1062" s="507"/>
      <c r="L1062" s="508"/>
      <c r="M1062" s="508"/>
      <c r="N1062" s="508"/>
      <c r="O1062" s="509"/>
      <c r="P1062" s="509"/>
    </row>
    <row r="1063" spans="1:16" ht="21.75" customHeight="1" x14ac:dyDescent="0.3">
      <c r="A1063" s="504"/>
      <c r="B1063" s="504"/>
      <c r="C1063" s="504"/>
      <c r="D1063" s="504"/>
      <c r="E1063" s="506"/>
      <c r="F1063" s="506"/>
      <c r="G1063" s="506"/>
      <c r="H1063" s="506"/>
      <c r="I1063" s="506"/>
      <c r="J1063" s="506"/>
      <c r="K1063" s="507"/>
      <c r="L1063" s="508"/>
      <c r="M1063" s="508"/>
      <c r="N1063" s="508"/>
      <c r="O1063" s="509"/>
      <c r="P1063" s="509"/>
    </row>
    <row r="1064" spans="1:16" ht="21.75" customHeight="1" x14ac:dyDescent="0.3">
      <c r="A1064" s="504"/>
      <c r="B1064" s="504"/>
      <c r="C1064" s="504"/>
      <c r="D1064" s="504"/>
      <c r="E1064" s="506"/>
      <c r="F1064" s="506"/>
      <c r="G1064" s="506"/>
      <c r="H1064" s="506"/>
      <c r="I1064" s="506"/>
      <c r="J1064" s="506"/>
      <c r="K1064" s="507"/>
      <c r="L1064" s="508"/>
      <c r="M1064" s="508"/>
      <c r="N1064" s="508"/>
      <c r="O1064" s="509"/>
      <c r="P1064" s="509"/>
    </row>
    <row r="1065" spans="1:16" ht="21.75" customHeight="1" x14ac:dyDescent="0.3">
      <c r="A1065" s="504"/>
      <c r="B1065" s="504"/>
      <c r="C1065" s="504"/>
      <c r="D1065" s="504"/>
      <c r="E1065" s="506"/>
      <c r="F1065" s="506"/>
      <c r="G1065" s="506"/>
      <c r="H1065" s="506"/>
      <c r="I1065" s="506"/>
      <c r="J1065" s="506"/>
      <c r="K1065" s="507"/>
      <c r="L1065" s="508"/>
      <c r="M1065" s="508"/>
      <c r="N1065" s="508"/>
      <c r="O1065" s="509"/>
      <c r="P1065" s="509"/>
    </row>
    <row r="1066" spans="1:16" ht="21.75" customHeight="1" x14ac:dyDescent="0.3">
      <c r="A1066" s="504"/>
      <c r="B1066" s="504"/>
      <c r="C1066" s="504"/>
      <c r="D1066" s="504"/>
      <c r="E1066" s="506"/>
      <c r="F1066" s="506"/>
      <c r="G1066" s="506"/>
      <c r="H1066" s="506"/>
      <c r="I1066" s="506"/>
      <c r="J1066" s="506"/>
      <c r="K1066" s="507"/>
      <c r="L1066" s="508"/>
      <c r="M1066" s="508"/>
      <c r="N1066" s="508"/>
      <c r="O1066" s="509"/>
      <c r="P1066" s="509"/>
    </row>
    <row r="1067" spans="1:16" ht="21.75" customHeight="1" x14ac:dyDescent="0.3">
      <c r="A1067" s="504"/>
      <c r="B1067" s="504"/>
      <c r="C1067" s="504"/>
      <c r="D1067" s="504"/>
      <c r="E1067" s="506"/>
      <c r="F1067" s="506"/>
      <c r="G1067" s="506"/>
      <c r="H1067" s="506"/>
      <c r="I1067" s="506"/>
      <c r="J1067" s="506"/>
      <c r="K1067" s="507"/>
      <c r="L1067" s="508"/>
      <c r="M1067" s="508"/>
      <c r="N1067" s="508"/>
      <c r="O1067" s="509"/>
      <c r="P1067" s="509"/>
    </row>
    <row r="1068" spans="1:16" ht="21.75" customHeight="1" x14ac:dyDescent="0.3">
      <c r="A1068" s="504"/>
      <c r="B1068" s="504"/>
      <c r="C1068" s="504"/>
      <c r="D1068" s="504"/>
      <c r="E1068" s="506"/>
      <c r="F1068" s="506"/>
      <c r="G1068" s="506"/>
      <c r="H1068" s="506"/>
      <c r="I1068" s="506"/>
      <c r="J1068" s="506"/>
      <c r="K1068" s="507"/>
      <c r="L1068" s="508"/>
      <c r="M1068" s="508"/>
      <c r="N1068" s="508"/>
      <c r="O1068" s="509"/>
      <c r="P1068" s="509"/>
    </row>
    <row r="1069" spans="1:16" ht="21.75" customHeight="1" x14ac:dyDescent="0.3">
      <c r="A1069" s="504"/>
      <c r="B1069" s="504"/>
      <c r="C1069" s="504"/>
      <c r="D1069" s="504"/>
      <c r="E1069" s="506"/>
      <c r="F1069" s="506"/>
      <c r="G1069" s="506"/>
      <c r="H1069" s="506"/>
      <c r="I1069" s="506"/>
      <c r="J1069" s="506"/>
      <c r="K1069" s="507"/>
      <c r="L1069" s="508"/>
      <c r="M1069" s="508"/>
      <c r="N1069" s="508"/>
      <c r="O1069" s="509"/>
      <c r="P1069" s="509"/>
    </row>
    <row r="1070" spans="1:16" ht="21.75" customHeight="1" x14ac:dyDescent="0.3">
      <c r="A1070" s="504"/>
      <c r="B1070" s="504"/>
      <c r="C1070" s="504"/>
      <c r="D1070" s="504"/>
      <c r="E1070" s="506"/>
      <c r="F1070" s="506"/>
      <c r="G1070" s="506"/>
      <c r="H1070" s="506"/>
      <c r="I1070" s="506"/>
      <c r="J1070" s="506"/>
      <c r="K1070" s="507"/>
      <c r="L1070" s="508"/>
      <c r="M1070" s="508"/>
      <c r="N1070" s="508"/>
      <c r="O1070" s="509"/>
      <c r="P1070" s="509"/>
    </row>
    <row r="1071" spans="1:16" ht="21.75" customHeight="1" x14ac:dyDescent="0.3">
      <c r="A1071" s="504"/>
      <c r="B1071" s="504"/>
      <c r="C1071" s="504"/>
      <c r="D1071" s="504"/>
      <c r="E1071" s="506"/>
      <c r="F1071" s="506"/>
      <c r="G1071" s="506"/>
      <c r="H1071" s="506"/>
      <c r="I1071" s="506"/>
      <c r="J1071" s="506"/>
      <c r="K1071" s="507"/>
      <c r="L1071" s="508"/>
      <c r="M1071" s="508"/>
      <c r="N1071" s="508"/>
      <c r="O1071" s="509"/>
      <c r="P1071" s="509"/>
    </row>
    <row r="1072" spans="1:16" ht="21.75" customHeight="1" x14ac:dyDescent="0.3">
      <c r="A1072" s="504"/>
      <c r="B1072" s="504"/>
      <c r="C1072" s="504"/>
      <c r="D1072" s="504"/>
      <c r="E1072" s="506"/>
      <c r="F1072" s="506"/>
      <c r="G1072" s="506"/>
      <c r="H1072" s="506"/>
      <c r="I1072" s="506"/>
      <c r="J1072" s="506"/>
      <c r="K1072" s="507"/>
      <c r="L1072" s="508"/>
      <c r="M1072" s="508"/>
      <c r="N1072" s="508"/>
      <c r="O1072" s="509"/>
      <c r="P1072" s="509"/>
    </row>
    <row r="1073" spans="1:16" ht="21.75" customHeight="1" x14ac:dyDescent="0.3">
      <c r="A1073" s="504"/>
      <c r="B1073" s="504"/>
      <c r="C1073" s="504"/>
      <c r="D1073" s="504"/>
      <c r="E1073" s="506"/>
      <c r="F1073" s="506"/>
      <c r="G1073" s="506"/>
      <c r="H1073" s="506"/>
      <c r="I1073" s="506"/>
      <c r="J1073" s="506"/>
      <c r="K1073" s="507"/>
      <c r="L1073" s="508"/>
      <c r="M1073" s="508"/>
      <c r="N1073" s="508"/>
      <c r="O1073" s="509"/>
      <c r="P1073" s="509"/>
    </row>
    <row r="1074" spans="1:16" ht="21.75" customHeight="1" x14ac:dyDescent="0.3">
      <c r="A1074" s="504"/>
      <c r="B1074" s="504"/>
      <c r="C1074" s="504"/>
      <c r="D1074" s="504"/>
      <c r="E1074" s="506"/>
      <c r="F1074" s="506"/>
      <c r="G1074" s="506"/>
      <c r="H1074" s="506"/>
      <c r="I1074" s="506"/>
      <c r="J1074" s="506"/>
      <c r="K1074" s="507"/>
      <c r="L1074" s="508"/>
      <c r="M1074" s="508"/>
      <c r="N1074" s="508"/>
      <c r="O1074" s="509"/>
      <c r="P1074" s="509"/>
    </row>
    <row r="1075" spans="1:16" ht="21.75" customHeight="1" x14ac:dyDescent="0.3">
      <c r="A1075" s="504"/>
      <c r="B1075" s="504"/>
      <c r="C1075" s="504"/>
      <c r="D1075" s="504"/>
      <c r="E1075" s="506"/>
      <c r="F1075" s="506"/>
      <c r="G1075" s="506"/>
      <c r="H1075" s="506"/>
      <c r="I1075" s="506"/>
      <c r="J1075" s="506"/>
      <c r="K1075" s="507"/>
      <c r="L1075" s="508"/>
      <c r="M1075" s="508"/>
      <c r="N1075" s="508"/>
      <c r="O1075" s="509"/>
      <c r="P1075" s="509"/>
    </row>
    <row r="1076" spans="1:16" ht="21.75" customHeight="1" x14ac:dyDescent="0.3">
      <c r="A1076" s="504"/>
      <c r="B1076" s="504"/>
      <c r="C1076" s="504"/>
      <c r="D1076" s="504"/>
      <c r="E1076" s="506"/>
      <c r="F1076" s="506"/>
      <c r="G1076" s="506"/>
      <c r="H1076" s="506"/>
      <c r="I1076" s="506"/>
      <c r="J1076" s="506"/>
      <c r="K1076" s="507"/>
      <c r="L1076" s="508"/>
      <c r="M1076" s="508"/>
      <c r="N1076" s="508"/>
      <c r="O1076" s="509"/>
      <c r="P1076" s="509"/>
    </row>
    <row r="1077" spans="1:16" ht="21.75" customHeight="1" x14ac:dyDescent="0.3">
      <c r="A1077" s="504"/>
      <c r="B1077" s="504"/>
      <c r="C1077" s="504"/>
      <c r="D1077" s="504"/>
      <c r="E1077" s="506"/>
      <c r="F1077" s="506"/>
      <c r="G1077" s="506"/>
      <c r="H1077" s="506"/>
      <c r="I1077" s="506"/>
      <c r="J1077" s="506"/>
      <c r="K1077" s="507"/>
      <c r="L1077" s="508"/>
      <c r="M1077" s="508"/>
      <c r="N1077" s="508"/>
      <c r="O1077" s="509"/>
      <c r="P1077" s="509"/>
    </row>
    <row r="1078" spans="1:16" ht="21.75" customHeight="1" x14ac:dyDescent="0.3">
      <c r="A1078" s="504"/>
      <c r="B1078" s="504"/>
      <c r="C1078" s="504"/>
      <c r="D1078" s="504"/>
      <c r="E1078" s="506"/>
      <c r="F1078" s="506"/>
      <c r="G1078" s="506"/>
      <c r="H1078" s="506"/>
      <c r="I1078" s="506"/>
      <c r="J1078" s="506"/>
      <c r="K1078" s="507"/>
      <c r="L1078" s="508"/>
      <c r="M1078" s="508"/>
      <c r="N1078" s="508"/>
      <c r="O1078" s="509"/>
      <c r="P1078" s="509"/>
    </row>
    <row r="1079" spans="1:16" ht="21.75" customHeight="1" x14ac:dyDescent="0.3">
      <c r="A1079" s="504"/>
      <c r="B1079" s="504"/>
      <c r="C1079" s="504"/>
      <c r="D1079" s="504"/>
      <c r="E1079" s="506"/>
      <c r="F1079" s="506"/>
      <c r="G1079" s="506"/>
      <c r="H1079" s="506"/>
      <c r="I1079" s="506"/>
      <c r="J1079" s="506"/>
      <c r="K1079" s="507"/>
      <c r="L1079" s="508"/>
      <c r="M1079" s="508"/>
      <c r="N1079" s="508"/>
      <c r="O1079" s="509"/>
      <c r="P1079" s="509"/>
    </row>
    <row r="1080" spans="1:16" ht="21.75" customHeight="1" x14ac:dyDescent="0.3">
      <c r="A1080" s="504"/>
      <c r="B1080" s="504"/>
      <c r="C1080" s="504"/>
      <c r="D1080" s="504"/>
      <c r="E1080" s="506"/>
      <c r="F1080" s="506"/>
      <c r="G1080" s="506"/>
      <c r="H1080" s="506"/>
      <c r="I1080" s="506"/>
      <c r="J1080" s="506"/>
      <c r="K1080" s="507"/>
      <c r="L1080" s="508"/>
      <c r="M1080" s="508"/>
      <c r="N1080" s="508"/>
      <c r="O1080" s="509"/>
      <c r="P1080" s="509"/>
    </row>
    <row r="1081" spans="1:16" ht="21.75" customHeight="1" x14ac:dyDescent="0.3">
      <c r="A1081" s="504"/>
      <c r="B1081" s="504"/>
      <c r="C1081" s="504"/>
      <c r="D1081" s="504"/>
      <c r="E1081" s="506"/>
      <c r="F1081" s="506"/>
      <c r="G1081" s="506"/>
      <c r="H1081" s="506"/>
      <c r="I1081" s="506"/>
      <c r="J1081" s="506"/>
      <c r="K1081" s="507"/>
      <c r="L1081" s="508"/>
      <c r="M1081" s="508"/>
      <c r="N1081" s="508"/>
      <c r="O1081" s="509"/>
      <c r="P1081" s="509"/>
    </row>
    <row r="1082" spans="1:16" ht="21.75" customHeight="1" x14ac:dyDescent="0.3">
      <c r="A1082" s="504"/>
      <c r="B1082" s="504"/>
      <c r="C1082" s="504"/>
      <c r="D1082" s="504"/>
      <c r="E1082" s="506"/>
      <c r="F1082" s="506"/>
      <c r="G1082" s="506"/>
      <c r="H1082" s="506"/>
      <c r="I1082" s="506"/>
      <c r="J1082" s="506"/>
      <c r="K1082" s="507"/>
      <c r="L1082" s="508"/>
      <c r="M1082" s="508"/>
      <c r="N1082" s="508"/>
      <c r="O1082" s="509"/>
      <c r="P1082" s="509"/>
    </row>
    <row r="1083" spans="1:16" ht="21.75" customHeight="1" x14ac:dyDescent="0.3">
      <c r="A1083" s="504"/>
      <c r="B1083" s="504"/>
      <c r="C1083" s="504"/>
      <c r="D1083" s="504"/>
      <c r="E1083" s="506"/>
      <c r="F1083" s="506"/>
      <c r="G1083" s="506"/>
      <c r="H1083" s="506"/>
      <c r="I1083" s="506"/>
      <c r="J1083" s="506"/>
      <c r="K1083" s="507"/>
      <c r="L1083" s="508"/>
      <c r="M1083" s="508"/>
      <c r="N1083" s="508"/>
      <c r="O1083" s="509"/>
      <c r="P1083" s="509"/>
    </row>
    <row r="1084" spans="1:16" ht="21.75" customHeight="1" x14ac:dyDescent="0.3">
      <c r="A1084" s="504"/>
      <c r="B1084" s="504"/>
      <c r="C1084" s="504"/>
      <c r="D1084" s="504"/>
      <c r="E1084" s="506"/>
      <c r="F1084" s="506"/>
      <c r="G1084" s="506"/>
      <c r="H1084" s="506"/>
      <c r="I1084" s="506"/>
      <c r="J1084" s="506"/>
      <c r="K1084" s="507"/>
      <c r="L1084" s="508"/>
      <c r="M1084" s="508"/>
      <c r="N1084" s="508"/>
      <c r="O1084" s="509"/>
      <c r="P1084" s="509"/>
    </row>
    <row r="1085" spans="1:16" ht="21.75" customHeight="1" x14ac:dyDescent="0.3">
      <c r="A1085" s="504"/>
      <c r="B1085" s="504"/>
      <c r="C1085" s="504"/>
      <c r="D1085" s="504"/>
      <c r="E1085" s="506"/>
      <c r="F1085" s="506"/>
      <c r="G1085" s="506"/>
      <c r="H1085" s="506"/>
      <c r="I1085" s="506"/>
      <c r="J1085" s="506"/>
      <c r="K1085" s="507"/>
      <c r="L1085" s="508"/>
      <c r="M1085" s="508"/>
      <c r="N1085" s="508"/>
      <c r="O1085" s="509"/>
      <c r="P1085" s="509"/>
    </row>
    <row r="1086" spans="1:16" ht="21.75" customHeight="1" x14ac:dyDescent="0.3">
      <c r="A1086" s="504"/>
      <c r="B1086" s="504"/>
      <c r="C1086" s="504"/>
      <c r="D1086" s="504"/>
      <c r="E1086" s="506"/>
      <c r="F1086" s="506"/>
      <c r="G1086" s="506"/>
      <c r="H1086" s="506"/>
      <c r="I1086" s="506"/>
      <c r="J1086" s="506"/>
      <c r="K1086" s="507"/>
      <c r="L1086" s="508"/>
      <c r="M1086" s="508"/>
      <c r="N1086" s="508"/>
      <c r="O1086" s="509"/>
      <c r="P1086" s="509"/>
    </row>
    <row r="1087" spans="1:16" ht="21.75" customHeight="1" x14ac:dyDescent="0.3">
      <c r="A1087" s="504"/>
      <c r="B1087" s="504"/>
      <c r="C1087" s="504"/>
      <c r="D1087" s="504"/>
      <c r="E1087" s="506"/>
      <c r="F1087" s="506"/>
      <c r="G1087" s="506"/>
      <c r="H1087" s="506"/>
      <c r="I1087" s="506"/>
      <c r="J1087" s="506"/>
      <c r="K1087" s="507"/>
      <c r="L1087" s="508"/>
      <c r="M1087" s="508"/>
      <c r="N1087" s="508"/>
      <c r="O1087" s="509"/>
      <c r="P1087" s="509"/>
    </row>
    <row r="1088" spans="1:16" ht="21.75" customHeight="1" x14ac:dyDescent="0.3">
      <c r="A1088" s="504"/>
      <c r="B1088" s="504"/>
      <c r="C1088" s="504"/>
      <c r="D1088" s="504"/>
      <c r="E1088" s="506"/>
      <c r="F1088" s="506"/>
      <c r="G1088" s="506"/>
      <c r="H1088" s="506"/>
      <c r="I1088" s="506"/>
      <c r="J1088" s="506"/>
      <c r="K1088" s="507"/>
      <c r="L1088" s="508"/>
      <c r="M1088" s="508"/>
      <c r="N1088" s="508"/>
      <c r="O1088" s="509"/>
      <c r="P1088" s="509"/>
    </row>
    <row r="1089" spans="1:16" ht="21.75" customHeight="1" x14ac:dyDescent="0.3">
      <c r="A1089" s="504"/>
      <c r="B1089" s="504"/>
      <c r="C1089" s="504"/>
      <c r="D1089" s="504"/>
      <c r="E1089" s="506"/>
      <c r="F1089" s="506"/>
      <c r="G1089" s="506"/>
      <c r="H1089" s="506"/>
      <c r="I1089" s="506"/>
      <c r="J1089" s="506"/>
      <c r="K1089" s="507"/>
      <c r="L1089" s="508"/>
      <c r="M1089" s="508"/>
      <c r="N1089" s="508"/>
      <c r="O1089" s="509"/>
      <c r="P1089" s="509"/>
    </row>
    <row r="1090" spans="1:16" ht="21.75" customHeight="1" x14ac:dyDescent="0.3">
      <c r="A1090" s="504"/>
      <c r="B1090" s="504"/>
      <c r="C1090" s="504"/>
      <c r="D1090" s="504"/>
      <c r="E1090" s="506"/>
      <c r="F1090" s="506"/>
      <c r="G1090" s="506"/>
      <c r="H1090" s="506"/>
      <c r="I1090" s="506"/>
      <c r="J1090" s="506"/>
      <c r="K1090" s="507"/>
      <c r="L1090" s="508"/>
      <c r="M1090" s="508"/>
      <c r="N1090" s="508"/>
      <c r="O1090" s="509"/>
      <c r="P1090" s="509"/>
    </row>
    <row r="1091" spans="1:16" ht="21.75" customHeight="1" x14ac:dyDescent="0.3">
      <c r="A1091" s="504"/>
      <c r="B1091" s="504"/>
      <c r="C1091" s="504"/>
      <c r="D1091" s="504"/>
      <c r="E1091" s="506"/>
      <c r="F1091" s="506"/>
      <c r="G1091" s="506"/>
      <c r="H1091" s="506"/>
      <c r="I1091" s="506"/>
      <c r="J1091" s="506"/>
      <c r="K1091" s="507"/>
      <c r="L1091" s="508"/>
      <c r="M1091" s="508"/>
      <c r="N1091" s="508"/>
      <c r="O1091" s="509"/>
      <c r="P1091" s="509"/>
    </row>
    <row r="1092" spans="1:16" ht="21.75" customHeight="1" x14ac:dyDescent="0.3">
      <c r="A1092" s="504"/>
      <c r="B1092" s="504"/>
      <c r="C1092" s="504"/>
      <c r="D1092" s="504"/>
      <c r="E1092" s="506"/>
      <c r="F1092" s="506"/>
      <c r="G1092" s="506"/>
      <c r="H1092" s="506"/>
      <c r="I1092" s="506"/>
      <c r="J1092" s="506"/>
      <c r="K1092" s="507"/>
      <c r="L1092" s="508"/>
      <c r="M1092" s="508"/>
      <c r="N1092" s="508"/>
      <c r="O1092" s="509"/>
      <c r="P1092" s="509"/>
    </row>
    <row r="1093" spans="1:16" ht="21.75" customHeight="1" x14ac:dyDescent="0.3">
      <c r="A1093" s="504"/>
      <c r="B1093" s="504"/>
      <c r="C1093" s="504"/>
      <c r="D1093" s="504"/>
      <c r="E1093" s="506"/>
      <c r="F1093" s="506"/>
      <c r="G1093" s="506"/>
      <c r="H1093" s="506"/>
      <c r="I1093" s="506"/>
      <c r="J1093" s="506"/>
      <c r="K1093" s="507"/>
      <c r="L1093" s="508"/>
      <c r="M1093" s="508"/>
      <c r="N1093" s="508"/>
      <c r="O1093" s="509"/>
      <c r="P1093" s="509"/>
    </row>
    <row r="1094" spans="1:16" ht="21.75" customHeight="1" x14ac:dyDescent="0.3">
      <c r="A1094" s="504"/>
      <c r="B1094" s="504"/>
      <c r="C1094" s="504"/>
      <c r="D1094" s="504"/>
      <c r="E1094" s="506"/>
      <c r="F1094" s="506"/>
      <c r="G1094" s="506"/>
      <c r="H1094" s="506"/>
      <c r="I1094" s="506"/>
      <c r="J1094" s="506"/>
      <c r="K1094" s="507"/>
      <c r="L1094" s="508"/>
      <c r="M1094" s="508"/>
      <c r="N1094" s="508"/>
      <c r="O1094" s="509"/>
      <c r="P1094" s="509"/>
    </row>
    <row r="1095" spans="1:16" ht="21.75" customHeight="1" x14ac:dyDescent="0.3">
      <c r="A1095" s="504"/>
      <c r="B1095" s="504"/>
      <c r="C1095" s="504"/>
      <c r="D1095" s="504"/>
      <c r="E1095" s="506"/>
      <c r="F1095" s="506"/>
      <c r="G1095" s="506"/>
      <c r="H1095" s="506"/>
      <c r="I1095" s="506"/>
      <c r="J1095" s="506"/>
      <c r="K1095" s="507"/>
      <c r="L1095" s="508"/>
      <c r="M1095" s="508"/>
      <c r="N1095" s="508"/>
      <c r="O1095" s="509"/>
      <c r="P1095" s="509"/>
    </row>
    <row r="1096" spans="1:16" ht="21.75" customHeight="1" x14ac:dyDescent="0.3">
      <c r="A1096" s="504"/>
      <c r="B1096" s="504"/>
      <c r="C1096" s="504"/>
      <c r="D1096" s="504"/>
      <c r="E1096" s="506"/>
      <c r="F1096" s="506"/>
      <c r="G1096" s="506"/>
      <c r="H1096" s="506"/>
      <c r="I1096" s="506"/>
      <c r="J1096" s="506"/>
      <c r="K1096" s="507"/>
      <c r="L1096" s="508"/>
      <c r="M1096" s="508"/>
      <c r="N1096" s="508"/>
      <c r="O1096" s="509"/>
      <c r="P1096" s="509"/>
    </row>
    <row r="1097" spans="1:16" ht="21.75" customHeight="1" x14ac:dyDescent="0.3">
      <c r="A1097" s="504"/>
      <c r="B1097" s="504"/>
      <c r="C1097" s="504"/>
      <c r="D1097" s="504"/>
      <c r="E1097" s="506"/>
      <c r="F1097" s="506"/>
      <c r="G1097" s="506"/>
      <c r="H1097" s="506"/>
      <c r="I1097" s="506"/>
      <c r="J1097" s="506"/>
      <c r="K1097" s="507"/>
      <c r="L1097" s="508"/>
      <c r="M1097" s="508"/>
      <c r="N1097" s="508"/>
      <c r="O1097" s="509"/>
      <c r="P1097" s="509"/>
    </row>
    <row r="1098" spans="1:16" ht="21.75" customHeight="1" x14ac:dyDescent="0.3">
      <c r="A1098" s="504"/>
      <c r="B1098" s="504"/>
      <c r="C1098" s="504"/>
      <c r="D1098" s="504"/>
      <c r="E1098" s="506"/>
      <c r="F1098" s="506"/>
      <c r="G1098" s="506"/>
      <c r="H1098" s="506"/>
      <c r="I1098" s="506"/>
      <c r="J1098" s="506"/>
      <c r="K1098" s="507"/>
      <c r="L1098" s="508"/>
      <c r="M1098" s="508"/>
      <c r="N1098" s="508"/>
      <c r="O1098" s="509"/>
      <c r="P1098" s="509"/>
    </row>
    <row r="1099" spans="1:16" ht="21.75" customHeight="1" x14ac:dyDescent="0.3">
      <c r="A1099" s="504"/>
      <c r="B1099" s="504"/>
      <c r="C1099" s="504"/>
      <c r="D1099" s="504"/>
      <c r="E1099" s="506"/>
      <c r="F1099" s="506"/>
      <c r="G1099" s="506"/>
      <c r="H1099" s="506"/>
      <c r="I1099" s="506"/>
      <c r="J1099" s="506"/>
      <c r="K1099" s="507"/>
      <c r="L1099" s="508"/>
      <c r="M1099" s="508"/>
      <c r="N1099" s="508"/>
      <c r="O1099" s="509"/>
      <c r="P1099" s="509"/>
    </row>
    <row r="1100" spans="1:16" ht="21.75" customHeight="1" x14ac:dyDescent="0.3">
      <c r="A1100" s="504"/>
      <c r="B1100" s="504"/>
      <c r="C1100" s="504"/>
      <c r="D1100" s="504"/>
      <c r="E1100" s="506"/>
      <c r="F1100" s="506"/>
      <c r="G1100" s="506"/>
      <c r="H1100" s="506"/>
      <c r="I1100" s="506"/>
      <c r="J1100" s="506"/>
      <c r="K1100" s="507"/>
      <c r="L1100" s="508"/>
      <c r="M1100" s="508"/>
      <c r="N1100" s="508"/>
      <c r="O1100" s="509"/>
      <c r="P1100" s="509"/>
    </row>
    <row r="1101" spans="1:16" ht="21.75" customHeight="1" x14ac:dyDescent="0.3">
      <c r="A1101" s="504"/>
      <c r="B1101" s="504"/>
      <c r="C1101" s="504"/>
      <c r="D1101" s="504"/>
      <c r="E1101" s="506"/>
      <c r="F1101" s="506"/>
      <c r="G1101" s="506"/>
      <c r="H1101" s="506"/>
      <c r="I1101" s="506"/>
      <c r="J1101" s="506"/>
      <c r="K1101" s="507"/>
      <c r="L1101" s="508"/>
      <c r="M1101" s="508"/>
      <c r="N1101" s="508"/>
      <c r="O1101" s="509"/>
      <c r="P1101" s="509"/>
    </row>
    <row r="1102" spans="1:16" ht="21.75" customHeight="1" x14ac:dyDescent="0.3">
      <c r="A1102" s="504"/>
      <c r="B1102" s="504"/>
      <c r="C1102" s="504"/>
      <c r="D1102" s="504"/>
      <c r="E1102" s="506"/>
      <c r="F1102" s="506"/>
      <c r="G1102" s="506"/>
      <c r="H1102" s="506"/>
      <c r="I1102" s="506"/>
      <c r="J1102" s="506"/>
      <c r="K1102" s="507"/>
      <c r="L1102" s="508"/>
      <c r="M1102" s="508"/>
      <c r="N1102" s="508"/>
      <c r="O1102" s="509"/>
      <c r="P1102" s="509"/>
    </row>
    <row r="1103" spans="1:16" ht="21.75" customHeight="1" x14ac:dyDescent="0.3">
      <c r="A1103" s="504"/>
      <c r="B1103" s="504"/>
      <c r="C1103" s="504"/>
      <c r="D1103" s="504"/>
      <c r="E1103" s="506"/>
      <c r="F1103" s="506"/>
      <c r="G1103" s="506"/>
      <c r="H1103" s="506"/>
      <c r="I1103" s="506"/>
      <c r="J1103" s="506"/>
      <c r="K1103" s="507"/>
      <c r="L1103" s="508"/>
      <c r="M1103" s="508"/>
      <c r="N1103" s="508"/>
      <c r="O1103" s="509"/>
      <c r="P1103" s="509"/>
    </row>
    <row r="1104" spans="1:16" ht="21.75" customHeight="1" x14ac:dyDescent="0.3">
      <c r="A1104" s="504"/>
      <c r="B1104" s="504"/>
      <c r="C1104" s="504"/>
      <c r="D1104" s="504"/>
      <c r="E1104" s="506"/>
      <c r="F1104" s="506"/>
      <c r="G1104" s="506"/>
      <c r="H1104" s="506"/>
      <c r="I1104" s="506"/>
      <c r="J1104" s="506"/>
      <c r="K1104" s="507"/>
      <c r="L1104" s="508"/>
      <c r="M1104" s="508"/>
      <c r="N1104" s="508"/>
      <c r="O1104" s="509"/>
      <c r="P1104" s="509"/>
    </row>
    <row r="1105" spans="1:16" ht="21.75" customHeight="1" x14ac:dyDescent="0.3">
      <c r="A1105" s="504"/>
      <c r="B1105" s="504"/>
      <c r="C1105" s="504"/>
      <c r="D1105" s="504"/>
      <c r="E1105" s="506"/>
      <c r="F1105" s="506"/>
      <c r="G1105" s="506"/>
      <c r="H1105" s="506"/>
      <c r="I1105" s="506"/>
      <c r="J1105" s="506"/>
      <c r="K1105" s="507"/>
      <c r="L1105" s="508"/>
      <c r="M1105" s="508"/>
      <c r="N1105" s="508"/>
      <c r="O1105" s="509"/>
      <c r="P1105" s="509"/>
    </row>
    <row r="1106" spans="1:16" ht="21.75" customHeight="1" x14ac:dyDescent="0.3">
      <c r="A1106" s="504"/>
      <c r="B1106" s="504"/>
      <c r="C1106" s="504"/>
      <c r="D1106" s="504"/>
      <c r="E1106" s="506"/>
      <c r="F1106" s="506"/>
      <c r="G1106" s="506"/>
      <c r="H1106" s="506"/>
      <c r="I1106" s="506"/>
      <c r="J1106" s="506"/>
      <c r="K1106" s="507"/>
      <c r="L1106" s="508"/>
      <c r="M1106" s="508"/>
      <c r="N1106" s="508"/>
      <c r="O1106" s="509"/>
      <c r="P1106" s="509"/>
    </row>
    <row r="1107" spans="1:16" ht="21.75" customHeight="1" x14ac:dyDescent="0.3">
      <c r="A1107" s="504"/>
      <c r="B1107" s="504"/>
      <c r="C1107" s="504"/>
      <c r="D1107" s="504"/>
      <c r="E1107" s="506"/>
      <c r="F1107" s="506"/>
      <c r="G1107" s="506"/>
      <c r="H1107" s="506"/>
      <c r="I1107" s="506"/>
      <c r="J1107" s="506"/>
      <c r="K1107" s="507"/>
      <c r="L1107" s="508"/>
      <c r="M1107" s="508"/>
      <c r="N1107" s="508"/>
      <c r="O1107" s="509"/>
      <c r="P1107" s="509"/>
    </row>
    <row r="1108" spans="1:16" ht="21.75" customHeight="1" x14ac:dyDescent="0.3">
      <c r="A1108" s="504"/>
      <c r="B1108" s="504"/>
      <c r="C1108" s="504"/>
      <c r="D1108" s="504"/>
      <c r="E1108" s="506"/>
      <c r="F1108" s="506"/>
      <c r="G1108" s="506"/>
      <c r="H1108" s="506"/>
      <c r="I1108" s="506"/>
      <c r="J1108" s="506"/>
      <c r="K1108" s="507"/>
      <c r="L1108" s="508"/>
      <c r="M1108" s="508"/>
      <c r="N1108" s="508"/>
      <c r="O1108" s="509"/>
      <c r="P1108" s="509"/>
    </row>
    <row r="1109" spans="1:16" ht="21.75" customHeight="1" x14ac:dyDescent="0.3">
      <c r="A1109" s="504"/>
      <c r="B1109" s="504"/>
      <c r="C1109" s="504"/>
      <c r="D1109" s="504"/>
      <c r="E1109" s="506"/>
      <c r="F1109" s="506"/>
      <c r="G1109" s="506"/>
      <c r="H1109" s="506"/>
      <c r="I1109" s="506"/>
      <c r="J1109" s="506"/>
      <c r="K1109" s="507"/>
      <c r="L1109" s="508"/>
      <c r="M1109" s="508"/>
      <c r="N1109" s="508"/>
      <c r="O1109" s="509"/>
      <c r="P1109" s="509"/>
    </row>
    <row r="1110" spans="1:16" ht="21.75" customHeight="1" x14ac:dyDescent="0.3">
      <c r="A1110" s="504"/>
      <c r="B1110" s="504"/>
      <c r="C1110" s="504"/>
      <c r="D1110" s="504"/>
      <c r="E1110" s="506"/>
      <c r="F1110" s="506"/>
      <c r="G1110" s="506"/>
      <c r="H1110" s="506"/>
      <c r="I1110" s="506"/>
      <c r="J1110" s="506"/>
      <c r="K1110" s="507"/>
      <c r="L1110" s="508"/>
      <c r="M1110" s="508"/>
      <c r="N1110" s="508"/>
      <c r="O1110" s="509"/>
      <c r="P1110" s="509"/>
    </row>
    <row r="1111" spans="1:16" ht="21.75" customHeight="1" x14ac:dyDescent="0.3">
      <c r="A1111" s="504"/>
      <c r="B1111" s="504"/>
      <c r="C1111" s="504"/>
      <c r="D1111" s="504"/>
      <c r="E1111" s="506"/>
      <c r="F1111" s="506"/>
      <c r="G1111" s="506"/>
      <c r="H1111" s="506"/>
      <c r="I1111" s="506"/>
      <c r="J1111" s="506"/>
      <c r="K1111" s="507"/>
      <c r="L1111" s="508"/>
      <c r="M1111" s="508"/>
      <c r="N1111" s="508"/>
      <c r="O1111" s="509"/>
      <c r="P1111" s="509"/>
    </row>
    <row r="1112" spans="1:16" ht="21.75" customHeight="1" x14ac:dyDescent="0.3">
      <c r="A1112" s="504"/>
      <c r="B1112" s="504"/>
      <c r="C1112" s="504"/>
      <c r="D1112" s="504"/>
      <c r="E1112" s="506"/>
      <c r="F1112" s="506"/>
      <c r="G1112" s="506"/>
      <c r="H1112" s="506"/>
      <c r="I1112" s="506"/>
      <c r="J1112" s="506"/>
      <c r="K1112" s="507"/>
      <c r="L1112" s="508"/>
      <c r="M1112" s="508"/>
      <c r="N1112" s="508"/>
      <c r="O1112" s="509"/>
      <c r="P1112" s="509"/>
    </row>
    <row r="1113" spans="1:16" ht="21.75" customHeight="1" x14ac:dyDescent="0.3">
      <c r="A1113" s="504"/>
      <c r="B1113" s="504"/>
      <c r="C1113" s="504"/>
      <c r="D1113" s="504"/>
      <c r="E1113" s="506"/>
      <c r="F1113" s="506"/>
      <c r="G1113" s="506"/>
      <c r="H1113" s="506"/>
      <c r="I1113" s="506"/>
      <c r="J1113" s="506"/>
      <c r="K1113" s="507"/>
      <c r="L1113" s="508"/>
      <c r="M1113" s="508"/>
      <c r="N1113" s="508"/>
      <c r="O1113" s="509"/>
      <c r="P1113" s="509"/>
    </row>
    <row r="1114" spans="1:16" ht="21.75" customHeight="1" x14ac:dyDescent="0.3">
      <c r="A1114" s="504"/>
      <c r="B1114" s="504"/>
      <c r="C1114" s="504"/>
      <c r="D1114" s="504"/>
      <c r="E1114" s="506"/>
      <c r="F1114" s="506"/>
      <c r="G1114" s="506"/>
      <c r="H1114" s="506"/>
      <c r="I1114" s="506"/>
      <c r="J1114" s="506"/>
      <c r="K1114" s="507"/>
      <c r="L1114" s="508"/>
      <c r="M1114" s="508"/>
      <c r="N1114" s="508"/>
      <c r="O1114" s="509"/>
      <c r="P1114" s="509"/>
    </row>
    <row r="1115" spans="1:16" ht="21.75" customHeight="1" x14ac:dyDescent="0.3">
      <c r="A1115" s="504"/>
      <c r="B1115" s="504"/>
      <c r="C1115" s="504"/>
      <c r="D1115" s="504"/>
      <c r="E1115" s="506"/>
      <c r="F1115" s="506"/>
      <c r="G1115" s="506"/>
      <c r="H1115" s="506"/>
      <c r="I1115" s="506"/>
      <c r="J1115" s="506"/>
      <c r="K1115" s="507"/>
      <c r="L1115" s="508"/>
      <c r="M1115" s="508"/>
      <c r="N1115" s="508"/>
      <c r="O1115" s="509"/>
      <c r="P1115" s="509"/>
    </row>
    <row r="1116" spans="1:16" ht="21.75" customHeight="1" x14ac:dyDescent="0.3">
      <c r="A1116" s="504"/>
      <c r="B1116" s="504"/>
      <c r="C1116" s="504"/>
      <c r="D1116" s="504"/>
      <c r="E1116" s="506"/>
      <c r="F1116" s="506"/>
      <c r="G1116" s="506"/>
      <c r="H1116" s="506"/>
      <c r="I1116" s="506"/>
      <c r="J1116" s="506"/>
      <c r="K1116" s="507"/>
      <c r="L1116" s="508"/>
      <c r="M1116" s="508"/>
      <c r="N1116" s="508"/>
      <c r="O1116" s="509"/>
      <c r="P1116" s="509"/>
    </row>
    <row r="1117" spans="1:16" ht="21.75" customHeight="1" x14ac:dyDescent="0.3">
      <c r="A1117" s="504"/>
      <c r="B1117" s="504"/>
      <c r="C1117" s="504"/>
      <c r="D1117" s="504"/>
      <c r="E1117" s="506"/>
      <c r="F1117" s="506"/>
      <c r="G1117" s="506"/>
      <c r="H1117" s="506"/>
      <c r="I1117" s="506"/>
      <c r="J1117" s="506"/>
      <c r="K1117" s="507"/>
      <c r="L1117" s="508"/>
      <c r="M1117" s="508"/>
      <c r="N1117" s="508"/>
      <c r="O1117" s="509"/>
      <c r="P1117" s="509"/>
    </row>
    <row r="1118" spans="1:16" ht="21.75" customHeight="1" x14ac:dyDescent="0.3">
      <c r="A1118" s="504"/>
      <c r="B1118" s="504"/>
      <c r="C1118" s="504"/>
      <c r="D1118" s="504"/>
      <c r="E1118" s="506"/>
      <c r="F1118" s="506"/>
      <c r="G1118" s="506"/>
      <c r="H1118" s="506"/>
      <c r="I1118" s="506"/>
      <c r="J1118" s="506"/>
      <c r="K1118" s="507"/>
      <c r="L1118" s="508"/>
      <c r="M1118" s="508"/>
      <c r="N1118" s="508"/>
      <c r="O1118" s="509"/>
      <c r="P1118" s="509"/>
    </row>
    <row r="1119" spans="1:16" ht="21.75" customHeight="1" x14ac:dyDescent="0.3">
      <c r="A1119" s="504"/>
      <c r="B1119" s="504"/>
      <c r="C1119" s="504"/>
      <c r="D1119" s="504"/>
      <c r="E1119" s="506"/>
      <c r="F1119" s="506"/>
      <c r="G1119" s="506"/>
      <c r="H1119" s="506"/>
      <c r="I1119" s="506"/>
      <c r="J1119" s="506"/>
      <c r="K1119" s="507"/>
      <c r="L1119" s="508"/>
      <c r="M1119" s="508"/>
      <c r="N1119" s="508"/>
      <c r="O1119" s="509"/>
      <c r="P1119" s="509"/>
    </row>
    <row r="1120" spans="1:16" ht="21.75" customHeight="1" x14ac:dyDescent="0.3">
      <c r="A1120" s="504"/>
      <c r="B1120" s="504"/>
      <c r="C1120" s="504"/>
      <c r="D1120" s="504"/>
      <c r="E1120" s="506"/>
      <c r="F1120" s="506"/>
      <c r="G1120" s="506"/>
      <c r="H1120" s="506"/>
      <c r="I1120" s="506"/>
      <c r="J1120" s="506"/>
      <c r="K1120" s="507"/>
      <c r="L1120" s="508"/>
      <c r="M1120" s="508"/>
      <c r="N1120" s="508"/>
      <c r="O1120" s="509"/>
      <c r="P1120" s="509"/>
    </row>
    <row r="1121" spans="1:16" ht="21.75" customHeight="1" x14ac:dyDescent="0.3">
      <c r="A1121" s="504"/>
      <c r="B1121" s="504"/>
      <c r="C1121" s="504"/>
      <c r="D1121" s="504"/>
      <c r="E1121" s="506"/>
      <c r="F1121" s="506"/>
      <c r="G1121" s="506"/>
      <c r="H1121" s="506"/>
      <c r="I1121" s="506"/>
      <c r="J1121" s="506"/>
      <c r="K1121" s="507"/>
      <c r="L1121" s="508"/>
      <c r="M1121" s="508"/>
      <c r="N1121" s="508"/>
      <c r="O1121" s="509"/>
      <c r="P1121" s="509"/>
    </row>
    <row r="1122" spans="1:16" ht="21.75" customHeight="1" x14ac:dyDescent="0.3">
      <c r="A1122" s="504"/>
      <c r="B1122" s="504"/>
      <c r="C1122" s="504"/>
      <c r="D1122" s="504"/>
      <c r="E1122" s="506"/>
      <c r="F1122" s="506"/>
      <c r="G1122" s="506"/>
      <c r="H1122" s="506"/>
      <c r="I1122" s="506"/>
      <c r="J1122" s="506"/>
      <c r="K1122" s="507"/>
      <c r="L1122" s="508"/>
      <c r="M1122" s="508"/>
      <c r="N1122" s="508"/>
      <c r="O1122" s="509"/>
      <c r="P1122" s="509"/>
    </row>
    <row r="1123" spans="1:16" ht="21.75" customHeight="1" x14ac:dyDescent="0.3">
      <c r="A1123" s="504"/>
      <c r="B1123" s="504"/>
      <c r="C1123" s="504"/>
      <c r="D1123" s="504"/>
      <c r="E1123" s="506"/>
      <c r="F1123" s="506"/>
      <c r="G1123" s="506"/>
      <c r="H1123" s="506"/>
      <c r="I1123" s="506"/>
      <c r="J1123" s="506"/>
      <c r="K1123" s="507"/>
      <c r="L1123" s="508"/>
      <c r="M1123" s="508"/>
      <c r="N1123" s="508"/>
      <c r="O1123" s="509"/>
      <c r="P1123" s="509"/>
    </row>
    <row r="1124" spans="1:16" ht="21.75" customHeight="1" x14ac:dyDescent="0.3">
      <c r="A1124" s="504"/>
      <c r="B1124" s="504"/>
      <c r="C1124" s="504"/>
      <c r="D1124" s="504"/>
      <c r="E1124" s="506"/>
      <c r="F1124" s="506"/>
      <c r="G1124" s="506"/>
      <c r="H1124" s="506"/>
      <c r="I1124" s="506"/>
      <c r="J1124" s="506"/>
      <c r="K1124" s="507"/>
      <c r="L1124" s="508"/>
      <c r="M1124" s="508"/>
      <c r="N1124" s="508"/>
      <c r="O1124" s="509"/>
      <c r="P1124" s="509"/>
    </row>
    <row r="1125" spans="1:16" ht="21.75" customHeight="1" x14ac:dyDescent="0.3">
      <c r="A1125" s="504"/>
      <c r="B1125" s="504"/>
      <c r="C1125" s="504"/>
      <c r="D1125" s="504"/>
      <c r="E1125" s="506"/>
      <c r="F1125" s="506"/>
      <c r="G1125" s="506"/>
      <c r="H1125" s="506"/>
      <c r="I1125" s="506"/>
      <c r="J1125" s="506"/>
      <c r="K1125" s="507"/>
      <c r="L1125" s="508"/>
      <c r="M1125" s="508"/>
      <c r="N1125" s="508"/>
      <c r="O1125" s="509"/>
      <c r="P1125" s="509"/>
    </row>
    <row r="1126" spans="1:16" ht="21.75" customHeight="1" x14ac:dyDescent="0.3">
      <c r="A1126" s="504"/>
      <c r="B1126" s="504"/>
      <c r="C1126" s="504"/>
      <c r="D1126" s="504"/>
      <c r="E1126" s="506"/>
      <c r="F1126" s="506"/>
      <c r="G1126" s="506"/>
      <c r="H1126" s="506"/>
      <c r="I1126" s="506"/>
      <c r="J1126" s="506"/>
      <c r="K1126" s="507"/>
      <c r="L1126" s="508"/>
      <c r="M1126" s="508"/>
      <c r="N1126" s="508"/>
      <c r="O1126" s="509"/>
      <c r="P1126" s="509"/>
    </row>
    <row r="1127" spans="1:16" ht="21.75" customHeight="1" x14ac:dyDescent="0.3">
      <c r="A1127" s="504"/>
      <c r="B1127" s="504"/>
      <c r="C1127" s="504"/>
      <c r="D1127" s="504"/>
      <c r="E1127" s="506"/>
      <c r="F1127" s="506"/>
      <c r="G1127" s="506"/>
      <c r="H1127" s="506"/>
      <c r="I1127" s="506"/>
      <c r="J1127" s="506"/>
      <c r="K1127" s="507"/>
      <c r="L1127" s="508"/>
      <c r="M1127" s="508"/>
      <c r="N1127" s="508"/>
      <c r="O1127" s="509"/>
      <c r="P1127" s="509"/>
    </row>
    <row r="1128" spans="1:16" ht="21.75" customHeight="1" x14ac:dyDescent="0.3">
      <c r="A1128" s="504"/>
      <c r="B1128" s="504"/>
      <c r="C1128" s="504"/>
      <c r="D1128" s="504"/>
      <c r="E1128" s="506"/>
      <c r="F1128" s="506"/>
      <c r="G1128" s="506"/>
      <c r="H1128" s="506"/>
      <c r="I1128" s="506"/>
      <c r="J1128" s="506"/>
      <c r="K1128" s="507"/>
      <c r="L1128" s="508"/>
      <c r="M1128" s="508"/>
      <c r="N1128" s="508"/>
      <c r="O1128" s="509"/>
      <c r="P1128" s="509"/>
    </row>
    <row r="1129" spans="1:16" ht="21.75" customHeight="1" x14ac:dyDescent="0.3">
      <c r="A1129" s="504"/>
      <c r="B1129" s="504"/>
      <c r="C1129" s="504"/>
      <c r="D1129" s="504"/>
      <c r="E1129" s="506"/>
      <c r="F1129" s="506"/>
      <c r="G1129" s="506"/>
      <c r="H1129" s="506"/>
      <c r="I1129" s="506"/>
      <c r="J1129" s="506"/>
      <c r="K1129" s="507"/>
      <c r="L1129" s="508"/>
      <c r="M1129" s="508"/>
      <c r="N1129" s="508"/>
      <c r="O1129" s="509"/>
      <c r="P1129" s="509"/>
    </row>
    <row r="1130" spans="1:16" ht="21.75" customHeight="1" x14ac:dyDescent="0.3">
      <c r="A1130" s="504"/>
      <c r="B1130" s="504"/>
      <c r="C1130" s="504"/>
      <c r="D1130" s="504"/>
      <c r="E1130" s="506"/>
      <c r="F1130" s="506"/>
      <c r="G1130" s="506"/>
      <c r="H1130" s="506"/>
      <c r="I1130" s="506"/>
      <c r="J1130" s="506"/>
      <c r="K1130" s="507"/>
      <c r="L1130" s="508"/>
      <c r="M1130" s="508"/>
      <c r="N1130" s="508"/>
      <c r="O1130" s="509"/>
      <c r="P1130" s="509"/>
    </row>
    <row r="1131" spans="1:16" ht="21.75" customHeight="1" x14ac:dyDescent="0.3">
      <c r="A1131" s="504"/>
      <c r="B1131" s="504"/>
      <c r="C1131" s="504"/>
      <c r="D1131" s="504"/>
      <c r="E1131" s="506"/>
      <c r="F1131" s="506"/>
      <c r="G1131" s="506"/>
      <c r="H1131" s="506"/>
      <c r="I1131" s="506"/>
      <c r="J1131" s="506"/>
      <c r="K1131" s="507"/>
      <c r="L1131" s="508"/>
      <c r="M1131" s="508"/>
      <c r="N1131" s="508"/>
      <c r="O1131" s="509"/>
      <c r="P1131" s="509"/>
    </row>
    <row r="1132" spans="1:16" ht="21.75" customHeight="1" x14ac:dyDescent="0.3">
      <c r="A1132" s="504"/>
      <c r="B1132" s="504"/>
      <c r="C1132" s="504"/>
      <c r="D1132" s="504"/>
      <c r="E1132" s="506"/>
      <c r="F1132" s="506"/>
      <c r="G1132" s="506"/>
      <c r="H1132" s="506"/>
      <c r="I1132" s="506"/>
      <c r="J1132" s="506"/>
      <c r="K1132" s="507"/>
      <c r="L1132" s="508"/>
      <c r="M1132" s="508"/>
      <c r="N1132" s="508"/>
      <c r="O1132" s="509"/>
      <c r="P1132" s="509"/>
    </row>
    <row r="1133" spans="1:16" ht="21.75" customHeight="1" x14ac:dyDescent="0.3">
      <c r="A1133" s="504"/>
      <c r="B1133" s="504"/>
      <c r="C1133" s="504"/>
      <c r="D1133" s="504"/>
      <c r="E1133" s="506"/>
      <c r="F1133" s="506"/>
      <c r="G1133" s="506"/>
      <c r="H1133" s="506"/>
      <c r="I1133" s="506"/>
      <c r="J1133" s="506"/>
      <c r="K1133" s="507"/>
      <c r="L1133" s="508"/>
      <c r="M1133" s="508"/>
      <c r="N1133" s="508"/>
      <c r="O1133" s="509"/>
      <c r="P1133" s="509"/>
    </row>
    <row r="1134" spans="1:16" ht="21.75" customHeight="1" x14ac:dyDescent="0.3">
      <c r="A1134" s="504"/>
      <c r="B1134" s="504"/>
      <c r="C1134" s="504"/>
      <c r="D1134" s="504"/>
      <c r="E1134" s="506"/>
      <c r="F1134" s="506"/>
      <c r="G1134" s="506"/>
      <c r="H1134" s="506"/>
      <c r="I1134" s="506"/>
      <c r="J1134" s="506"/>
      <c r="K1134" s="507"/>
      <c r="L1134" s="508"/>
      <c r="M1134" s="508"/>
      <c r="N1134" s="508"/>
      <c r="O1134" s="509"/>
      <c r="P1134" s="509"/>
    </row>
    <row r="1135" spans="1:16" ht="21.75" customHeight="1" x14ac:dyDescent="0.3">
      <c r="A1135" s="504"/>
      <c r="B1135" s="504"/>
      <c r="C1135" s="504"/>
      <c r="D1135" s="504"/>
      <c r="E1135" s="506"/>
      <c r="F1135" s="506"/>
      <c r="G1135" s="506"/>
      <c r="H1135" s="506"/>
      <c r="I1135" s="506"/>
      <c r="J1135" s="506"/>
      <c r="K1135" s="507"/>
      <c r="L1135" s="508"/>
      <c r="M1135" s="508"/>
      <c r="N1135" s="508"/>
      <c r="O1135" s="509"/>
      <c r="P1135" s="509"/>
    </row>
    <row r="1136" spans="1:16" ht="21.75" customHeight="1" x14ac:dyDescent="0.3">
      <c r="A1136" s="504"/>
      <c r="B1136" s="504"/>
      <c r="C1136" s="504"/>
      <c r="D1136" s="504"/>
      <c r="E1136" s="506"/>
      <c r="F1136" s="506"/>
      <c r="G1136" s="506"/>
      <c r="H1136" s="506"/>
      <c r="I1136" s="506"/>
      <c r="J1136" s="506"/>
      <c r="K1136" s="507"/>
      <c r="L1136" s="508"/>
      <c r="M1136" s="508"/>
      <c r="N1136" s="508"/>
      <c r="O1136" s="509"/>
      <c r="P1136" s="509"/>
    </row>
    <row r="1137" spans="1:16" ht="21.75" customHeight="1" x14ac:dyDescent="0.3">
      <c r="A1137" s="504"/>
      <c r="B1137" s="504"/>
      <c r="C1137" s="504"/>
      <c r="D1137" s="504"/>
      <c r="E1137" s="506"/>
      <c r="F1137" s="506"/>
      <c r="G1137" s="506"/>
      <c r="H1137" s="506"/>
      <c r="I1137" s="506"/>
      <c r="J1137" s="506"/>
      <c r="K1137" s="507"/>
      <c r="L1137" s="508"/>
      <c r="M1137" s="508"/>
      <c r="N1137" s="508"/>
      <c r="O1137" s="509"/>
      <c r="P1137" s="509"/>
    </row>
    <row r="1138" spans="1:16" ht="21.75" customHeight="1" x14ac:dyDescent="0.3">
      <c r="A1138" s="504"/>
      <c r="B1138" s="504"/>
      <c r="C1138" s="504"/>
      <c r="D1138" s="504"/>
      <c r="E1138" s="506"/>
      <c r="F1138" s="506"/>
      <c r="G1138" s="506"/>
      <c r="H1138" s="506"/>
      <c r="I1138" s="506"/>
      <c r="J1138" s="506"/>
      <c r="K1138" s="507"/>
      <c r="L1138" s="508"/>
      <c r="M1138" s="508"/>
      <c r="N1138" s="508"/>
      <c r="O1138" s="509"/>
      <c r="P1138" s="509"/>
    </row>
    <row r="1139" spans="1:16" ht="21.75" customHeight="1" x14ac:dyDescent="0.3">
      <c r="A1139" s="504"/>
      <c r="B1139" s="504"/>
      <c r="C1139" s="504"/>
      <c r="D1139" s="504"/>
      <c r="E1139" s="506"/>
      <c r="F1139" s="506"/>
      <c r="G1139" s="506"/>
      <c r="H1139" s="506"/>
      <c r="I1139" s="506"/>
      <c r="J1139" s="506"/>
      <c r="K1139" s="507"/>
      <c r="L1139" s="508"/>
      <c r="M1139" s="508"/>
      <c r="N1139" s="508"/>
      <c r="O1139" s="509"/>
      <c r="P1139" s="509"/>
    </row>
    <row r="1140" spans="1:16" ht="21.75" customHeight="1" x14ac:dyDescent="0.3">
      <c r="A1140" s="504"/>
      <c r="B1140" s="504"/>
      <c r="C1140" s="504"/>
      <c r="D1140" s="504"/>
      <c r="E1140" s="506"/>
      <c r="F1140" s="506"/>
      <c r="G1140" s="506"/>
      <c r="H1140" s="506"/>
      <c r="I1140" s="506"/>
      <c r="J1140" s="506"/>
      <c r="K1140" s="507"/>
      <c r="L1140" s="508"/>
      <c r="M1140" s="508"/>
      <c r="N1140" s="508"/>
      <c r="O1140" s="509"/>
      <c r="P1140" s="509"/>
    </row>
    <row r="1141" spans="1:16" ht="21.75" customHeight="1" x14ac:dyDescent="0.3">
      <c r="A1141" s="504"/>
      <c r="B1141" s="504"/>
      <c r="C1141" s="504"/>
      <c r="D1141" s="504"/>
      <c r="E1141" s="506"/>
      <c r="F1141" s="506"/>
      <c r="G1141" s="506"/>
      <c r="H1141" s="506"/>
      <c r="I1141" s="506"/>
      <c r="J1141" s="506"/>
      <c r="K1141" s="507"/>
      <c r="L1141" s="508"/>
      <c r="M1141" s="508"/>
      <c r="N1141" s="508"/>
      <c r="O1141" s="509"/>
      <c r="P1141" s="509"/>
    </row>
    <row r="1142" spans="1:16" ht="21.75" customHeight="1" x14ac:dyDescent="0.3">
      <c r="A1142" s="504"/>
      <c r="B1142" s="504"/>
      <c r="C1142" s="504"/>
      <c r="D1142" s="504"/>
      <c r="E1142" s="506"/>
      <c r="F1142" s="506"/>
      <c r="G1142" s="506"/>
      <c r="H1142" s="506"/>
      <c r="I1142" s="506"/>
      <c r="J1142" s="506"/>
      <c r="K1142" s="507"/>
      <c r="L1142" s="508"/>
      <c r="M1142" s="508"/>
      <c r="N1142" s="508"/>
      <c r="O1142" s="509"/>
      <c r="P1142" s="509"/>
    </row>
    <row r="1143" spans="1:16" ht="21.75" customHeight="1" x14ac:dyDescent="0.3">
      <c r="A1143" s="504"/>
      <c r="B1143" s="504"/>
      <c r="C1143" s="504"/>
      <c r="D1143" s="504"/>
      <c r="E1143" s="506"/>
      <c r="F1143" s="506"/>
      <c r="G1143" s="506"/>
      <c r="H1143" s="506"/>
      <c r="I1143" s="506"/>
      <c r="J1143" s="506"/>
      <c r="K1143" s="507"/>
      <c r="L1143" s="508"/>
      <c r="M1143" s="508"/>
      <c r="N1143" s="508"/>
      <c r="O1143" s="509"/>
      <c r="P1143" s="509"/>
    </row>
  </sheetData>
  <mergeCells count="49">
    <mergeCell ref="D310:G310"/>
    <mergeCell ref="D317:E317"/>
    <mergeCell ref="D329:G329"/>
    <mergeCell ref="D336:E336"/>
    <mergeCell ref="D140:G140"/>
    <mergeCell ref="D147:E147"/>
    <mergeCell ref="D220:G220"/>
    <mergeCell ref="D227:E227"/>
    <mergeCell ref="D250:G250"/>
    <mergeCell ref="D257:E257"/>
    <mergeCell ref="D271:G271"/>
    <mergeCell ref="D118:G118"/>
    <mergeCell ref="D125:E125"/>
    <mergeCell ref="D278:E278"/>
    <mergeCell ref="D290:G290"/>
    <mergeCell ref="D297:E297"/>
    <mergeCell ref="D60:E60"/>
    <mergeCell ref="D66:G66"/>
    <mergeCell ref="D73:E73"/>
    <mergeCell ref="D94:G94"/>
    <mergeCell ref="D101:E101"/>
    <mergeCell ref="D44:F44"/>
    <mergeCell ref="D48:E48"/>
    <mergeCell ref="B52:G52"/>
    <mergeCell ref="D53:G53"/>
    <mergeCell ref="D56:F56"/>
    <mergeCell ref="D31:F31"/>
    <mergeCell ref="D35:E35"/>
    <mergeCell ref="A38:G38"/>
    <mergeCell ref="B39:G39"/>
    <mergeCell ref="D41:G41"/>
    <mergeCell ref="D18:G18"/>
    <mergeCell ref="D21:F21"/>
    <mergeCell ref="D25:E25"/>
    <mergeCell ref="A27:G27"/>
    <mergeCell ref="D28:G28"/>
    <mergeCell ref="A7:G7"/>
    <mergeCell ref="D8:G8"/>
    <mergeCell ref="D11:F11"/>
    <mergeCell ref="D15:E15"/>
    <mergeCell ref="A17:G17"/>
    <mergeCell ref="H5:H6"/>
    <mergeCell ref="I5:K5"/>
    <mergeCell ref="L5:M5"/>
    <mergeCell ref="N5:P5"/>
    <mergeCell ref="A5:G6"/>
    <mergeCell ref="A1:P1"/>
    <mergeCell ref="A2:P2"/>
    <mergeCell ref="A3:P3"/>
  </mergeCells>
  <printOptions horizontalCentered="1"/>
  <pageMargins left="0.23622047244094491" right="0.27559055118110237" top="0.31496062992125984" bottom="0.39370078740157483" header="0" footer="0"/>
  <pageSetup paperSize="9" scale="39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46" max="16383" man="1"/>
    <brk id="326" max="16383" man="1"/>
    <brk id="400" max="16383" man="1"/>
    <brk id="486" max="16383" man="1"/>
    <brk id="563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J7" sqref="J7"/>
      <selection pane="bottomLeft" activeCell="J568" sqref="J568"/>
    </sheetView>
  </sheetViews>
  <sheetFormatPr defaultColWidth="12.6640625" defaultRowHeight="15" customHeight="1" x14ac:dyDescent="0.3"/>
  <cols>
    <col min="1" max="3" width="2.75" customWidth="1"/>
    <col min="4" max="6" width="5" customWidth="1"/>
    <col min="7" max="7" width="70.9140625" customWidth="1"/>
    <col min="8" max="8" width="9.5" customWidth="1"/>
    <col min="9" max="10" width="13.9140625" customWidth="1"/>
    <col min="11" max="11" width="10.08203125" bestFit="1" customWidth="1"/>
    <col min="12" max="12" width="16.33203125" bestFit="1" customWidth="1"/>
    <col min="13" max="13" width="17.6640625" customWidth="1"/>
    <col min="14" max="14" width="19.5" customWidth="1"/>
    <col min="15" max="15" width="16.5" customWidth="1"/>
    <col min="16" max="16" width="18" customWidth="1"/>
  </cols>
  <sheetData>
    <row r="1" spans="1:16" ht="18" customHeight="1" x14ac:dyDescent="0.3">
      <c r="A1" s="512" t="s">
        <v>0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</row>
    <row r="2" spans="1:16" ht="18" customHeight="1" x14ac:dyDescent="0.3">
      <c r="A2" s="512" t="s">
        <v>240</v>
      </c>
      <c r="B2" s="512"/>
      <c r="C2" s="512"/>
      <c r="D2" s="512"/>
      <c r="E2" s="512"/>
      <c r="F2" s="512"/>
      <c r="G2" s="512"/>
      <c r="H2" s="512"/>
      <c r="I2" s="512"/>
      <c r="J2" s="512"/>
      <c r="K2" s="512"/>
      <c r="L2" s="512"/>
      <c r="M2" s="512"/>
      <c r="N2" s="512"/>
      <c r="O2" s="512"/>
      <c r="P2" s="512"/>
    </row>
    <row r="3" spans="1:16" ht="18" customHeight="1" x14ac:dyDescent="0.3">
      <c r="A3" s="512" t="s">
        <v>272</v>
      </c>
      <c r="B3" s="512"/>
      <c r="C3" s="512"/>
      <c r="D3" s="512"/>
      <c r="E3" s="512"/>
      <c r="F3" s="512"/>
      <c r="G3" s="512"/>
      <c r="H3" s="512"/>
      <c r="I3" s="512"/>
      <c r="J3" s="512"/>
      <c r="K3" s="512"/>
      <c r="L3" s="512"/>
      <c r="M3" s="512"/>
      <c r="N3" s="512"/>
      <c r="O3" s="512"/>
      <c r="P3" s="512"/>
    </row>
    <row r="4" spans="1:16" ht="33.75" customHeight="1" x14ac:dyDescent="0.3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3">
      <c r="A5" s="520" t="s">
        <v>2</v>
      </c>
      <c r="B5" s="521"/>
      <c r="C5" s="521"/>
      <c r="D5" s="521"/>
      <c r="E5" s="521"/>
      <c r="F5" s="521"/>
      <c r="G5" s="522"/>
      <c r="H5" s="513" t="s">
        <v>3</v>
      </c>
      <c r="I5" s="515" t="s">
        <v>4</v>
      </c>
      <c r="J5" s="516"/>
      <c r="K5" s="517"/>
      <c r="L5" s="518" t="s">
        <v>5</v>
      </c>
      <c r="M5" s="517"/>
      <c r="N5" s="519" t="s">
        <v>6</v>
      </c>
      <c r="O5" s="516"/>
      <c r="P5" s="517"/>
    </row>
    <row r="6" spans="1:16" ht="21.75" customHeight="1" x14ac:dyDescent="0.3">
      <c r="A6" s="523"/>
      <c r="B6" s="524"/>
      <c r="C6" s="524"/>
      <c r="D6" s="524"/>
      <c r="E6" s="524"/>
      <c r="F6" s="524"/>
      <c r="G6" s="525"/>
      <c r="H6" s="514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45">
      <c r="A7" s="526" t="s">
        <v>15</v>
      </c>
      <c r="B7" s="516"/>
      <c r="C7" s="516"/>
      <c r="D7" s="516"/>
      <c r="E7" s="516"/>
      <c r="F7" s="516"/>
      <c r="G7" s="517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45">
      <c r="A8" s="17"/>
      <c r="B8" s="18"/>
      <c r="C8" s="19" t="s">
        <v>16</v>
      </c>
      <c r="D8" s="527" t="s">
        <v>17</v>
      </c>
      <c r="E8" s="528"/>
      <c r="F8" s="528"/>
      <c r="G8" s="528"/>
      <c r="H8" s="20" t="s">
        <v>12</v>
      </c>
      <c r="I8" s="21"/>
      <c r="J8" s="21"/>
      <c r="K8" s="22"/>
      <c r="L8" s="23">
        <f t="shared" ref="L8:N8" ca="1" si="0">L9+L10</f>
        <v>7068659</v>
      </c>
      <c r="M8" s="23">
        <f t="shared" ca="1" si="0"/>
        <v>2615550</v>
      </c>
      <c r="N8" s="23">
        <f t="shared" ca="1" si="0"/>
        <v>2428928</v>
      </c>
      <c r="O8" s="22">
        <f t="shared" ref="O8:O16" ca="1" si="1">IF(L8&gt;0,N8*100/L8,0)</f>
        <v>34.361934845067502</v>
      </c>
      <c r="P8" s="22">
        <f t="shared" ref="P8:P16" ca="1" si="2">IF(M8&gt;0,N8*100/M8,0)</f>
        <v>92.864904131062303</v>
      </c>
    </row>
    <row r="9" spans="1:16" ht="21.75" customHeight="1" x14ac:dyDescent="0.45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45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7068659</v>
      </c>
      <c r="M10" s="30">
        <f t="shared" ca="1" si="4"/>
        <v>2615550</v>
      </c>
      <c r="N10" s="30">
        <f t="shared" ca="1" si="4"/>
        <v>2428928</v>
      </c>
      <c r="O10" s="29">
        <f t="shared" ca="1" si="1"/>
        <v>34.361934845067502</v>
      </c>
      <c r="P10" s="29">
        <f t="shared" ca="1" si="2"/>
        <v>92.864904131062303</v>
      </c>
    </row>
    <row r="11" spans="1:16" ht="21.75" customHeight="1" x14ac:dyDescent="0.45">
      <c r="A11" s="31"/>
      <c r="B11" s="32"/>
      <c r="C11" s="33" t="s">
        <v>16</v>
      </c>
      <c r="D11" s="529" t="s">
        <v>20</v>
      </c>
      <c r="E11" s="530"/>
      <c r="F11" s="530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45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6883859</v>
      </c>
      <c r="M12" s="38">
        <f t="shared" ca="1" si="6"/>
        <v>2430750</v>
      </c>
      <c r="N12" s="38">
        <f t="shared" ca="1" si="6"/>
        <v>2244128</v>
      </c>
      <c r="O12" s="38">
        <f t="shared" ca="1" si="1"/>
        <v>32.599854238734409</v>
      </c>
      <c r="P12" s="38">
        <f t="shared" ca="1" si="2"/>
        <v>92.322451918132259</v>
      </c>
    </row>
    <row r="13" spans="1:16" ht="21.75" customHeight="1" x14ac:dyDescent="0.45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2745700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45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4138159</v>
      </c>
      <c r="M14" s="38">
        <f t="shared" si="8"/>
        <v>0</v>
      </c>
      <c r="N14" s="38">
        <f t="shared" ca="1" si="8"/>
        <v>478980</v>
      </c>
      <c r="O14" s="38">
        <f t="shared" ca="1" si="1"/>
        <v>11.574712329806564</v>
      </c>
      <c r="P14" s="38">
        <f t="shared" si="2"/>
        <v>0</v>
      </c>
    </row>
    <row r="15" spans="1:16" ht="21.75" customHeight="1" x14ac:dyDescent="0.45">
      <c r="A15" s="31"/>
      <c r="B15" s="32"/>
      <c r="C15" s="33" t="s">
        <v>16</v>
      </c>
      <c r="D15" s="529" t="s">
        <v>23</v>
      </c>
      <c r="E15" s="530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45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184800</v>
      </c>
      <c r="M16" s="38">
        <f t="shared" ca="1" si="10"/>
        <v>184800</v>
      </c>
      <c r="N16" s="38">
        <f t="shared" ca="1" si="10"/>
        <v>184800</v>
      </c>
      <c r="O16" s="49">
        <f t="shared" ca="1" si="1"/>
        <v>100</v>
      </c>
      <c r="P16" s="49">
        <f t="shared" ca="1" si="2"/>
        <v>100</v>
      </c>
    </row>
    <row r="17" spans="1:16" ht="21.75" customHeight="1" x14ac:dyDescent="0.45">
      <c r="A17" s="526" t="s">
        <v>24</v>
      </c>
      <c r="B17" s="516"/>
      <c r="C17" s="516"/>
      <c r="D17" s="516"/>
      <c r="E17" s="516"/>
      <c r="F17" s="516"/>
      <c r="G17" s="517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45">
      <c r="A18" s="17"/>
      <c r="B18" s="18"/>
      <c r="C18" s="19" t="s">
        <v>16</v>
      </c>
      <c r="D18" s="527" t="s">
        <v>17</v>
      </c>
      <c r="E18" s="528"/>
      <c r="F18" s="528"/>
      <c r="G18" s="528"/>
      <c r="H18" s="20" t="s">
        <v>12</v>
      </c>
      <c r="I18" s="21"/>
      <c r="J18" s="21"/>
      <c r="K18" s="22"/>
      <c r="L18" s="23">
        <f t="shared" ref="L18:N18" ca="1" si="11">L19+L20</f>
        <v>4633740</v>
      </c>
      <c r="M18" s="23">
        <f t="shared" ca="1" si="11"/>
        <v>2615550</v>
      </c>
      <c r="N18" s="23">
        <f t="shared" ca="1" si="11"/>
        <v>1949948</v>
      </c>
      <c r="O18" s="22">
        <f t="shared" ref="O18:O20" ca="1" si="12">IF(L18&gt;0,N18*100/L18,0)</f>
        <v>42.081515147591361</v>
      </c>
      <c r="P18" s="22">
        <f t="shared" ref="P18:P26" ca="1" si="13">IF(M18&gt;0,N18*100/M18,0)</f>
        <v>74.552120968821086</v>
      </c>
    </row>
    <row r="19" spans="1:16" ht="21.75" customHeight="1" x14ac:dyDescent="0.45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45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4633740</v>
      </c>
      <c r="M20" s="30">
        <f t="shared" ca="1" si="15"/>
        <v>2615550</v>
      </c>
      <c r="N20" s="30">
        <f t="shared" ca="1" si="15"/>
        <v>1949948</v>
      </c>
      <c r="O20" s="29">
        <f t="shared" ca="1" si="12"/>
        <v>42.081515147591361</v>
      </c>
      <c r="P20" s="29">
        <f t="shared" ca="1" si="13"/>
        <v>74.552120968821086</v>
      </c>
    </row>
    <row r="21" spans="1:16" ht="21.75" customHeight="1" x14ac:dyDescent="0.45">
      <c r="A21" s="31"/>
      <c r="B21" s="32"/>
      <c r="C21" s="33" t="s">
        <v>16</v>
      </c>
      <c r="D21" s="529" t="s">
        <v>20</v>
      </c>
      <c r="E21" s="530"/>
      <c r="F21" s="530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45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4448940</v>
      </c>
      <c r="M22" s="41">
        <f t="shared" ca="1" si="18"/>
        <v>2430750</v>
      </c>
      <c r="N22" s="38">
        <f t="shared" ca="1" si="18"/>
        <v>1765148</v>
      </c>
      <c r="O22" s="38">
        <f t="shared" ca="1" si="17"/>
        <v>39.6756980314412</v>
      </c>
      <c r="P22" s="38">
        <f t="shared" ca="1" si="13"/>
        <v>72.617422606191511</v>
      </c>
    </row>
    <row r="23" spans="1:16" ht="21.75" customHeight="1" x14ac:dyDescent="0.45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2745700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45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1703240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45">
      <c r="A25" s="31"/>
      <c r="B25" s="32"/>
      <c r="C25" s="33" t="s">
        <v>16</v>
      </c>
      <c r="D25" s="529" t="s">
        <v>23</v>
      </c>
      <c r="E25" s="530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45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184800</v>
      </c>
      <c r="M26" s="49">
        <f t="shared" ca="1" si="22"/>
        <v>184800</v>
      </c>
      <c r="N26" s="49">
        <f t="shared" ca="1" si="22"/>
        <v>184800</v>
      </c>
      <c r="O26" s="49">
        <f t="shared" ca="1" si="17"/>
        <v>100</v>
      </c>
      <c r="P26" s="49">
        <f t="shared" ca="1" si="13"/>
        <v>100</v>
      </c>
    </row>
    <row r="27" spans="1:16" ht="21.75" customHeight="1" x14ac:dyDescent="0.45">
      <c r="A27" s="526" t="s">
        <v>25</v>
      </c>
      <c r="B27" s="516"/>
      <c r="C27" s="516"/>
      <c r="D27" s="516"/>
      <c r="E27" s="516"/>
      <c r="F27" s="516"/>
      <c r="G27" s="517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45">
      <c r="A28" s="17"/>
      <c r="B28" s="18"/>
      <c r="C28" s="19" t="s">
        <v>16</v>
      </c>
      <c r="D28" s="527" t="s">
        <v>17</v>
      </c>
      <c r="E28" s="528"/>
      <c r="F28" s="528"/>
      <c r="G28" s="528"/>
      <c r="H28" s="20" t="s">
        <v>12</v>
      </c>
      <c r="I28" s="21"/>
      <c r="J28" s="21"/>
      <c r="K28" s="22"/>
      <c r="L28" s="23">
        <f t="shared" ref="L28:N28" ca="1" si="23">L29+L30</f>
        <v>2434919</v>
      </c>
      <c r="M28" s="23">
        <f t="shared" si="23"/>
        <v>0</v>
      </c>
      <c r="N28" s="23">
        <f t="shared" ca="1" si="23"/>
        <v>478980</v>
      </c>
      <c r="O28" s="22">
        <f t="shared" ref="O28:O30" ca="1" si="24">IF(L28&gt;0,N28*100/L28,0)</f>
        <v>19.671290913578645</v>
      </c>
      <c r="P28" s="22">
        <f t="shared" ref="P28:P37" si="25">IF(M28&gt;0,N28*100/M28,0)</f>
        <v>0</v>
      </c>
    </row>
    <row r="29" spans="1:16" ht="21.75" customHeight="1" x14ac:dyDescent="0.45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45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2434919</v>
      </c>
      <c r="M30" s="30">
        <f t="shared" si="27"/>
        <v>0</v>
      </c>
      <c r="N30" s="30">
        <f t="shared" ca="1" si="27"/>
        <v>478980</v>
      </c>
      <c r="O30" s="29">
        <f t="shared" ca="1" si="24"/>
        <v>19.671290913578645</v>
      </c>
      <c r="P30" s="29">
        <f t="shared" si="25"/>
        <v>0</v>
      </c>
    </row>
    <row r="31" spans="1:16" ht="21.75" customHeight="1" x14ac:dyDescent="0.45">
      <c r="A31" s="31"/>
      <c r="B31" s="32"/>
      <c r="C31" s="33" t="s">
        <v>16</v>
      </c>
      <c r="D31" s="529" t="s">
        <v>20</v>
      </c>
      <c r="E31" s="530"/>
      <c r="F31" s="530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45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2434919</v>
      </c>
      <c r="M32" s="38">
        <f t="shared" si="30"/>
        <v>0</v>
      </c>
      <c r="N32" s="38">
        <f t="shared" ca="1" si="30"/>
        <v>478980</v>
      </c>
      <c r="O32" s="38">
        <f t="shared" ca="1" si="29"/>
        <v>19.671290913578645</v>
      </c>
      <c r="P32" s="38">
        <f t="shared" si="25"/>
        <v>0</v>
      </c>
    </row>
    <row r="33" spans="1:16" ht="21.75" customHeight="1" x14ac:dyDescent="0.45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45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2434919</v>
      </c>
      <c r="M34" s="38">
        <f t="shared" si="32"/>
        <v>0</v>
      </c>
      <c r="N34" s="38">
        <f t="shared" ca="1" si="32"/>
        <v>478980</v>
      </c>
      <c r="O34" s="38">
        <f t="shared" ca="1" si="29"/>
        <v>19.671290913578645</v>
      </c>
      <c r="P34" s="38">
        <f t="shared" si="25"/>
        <v>0</v>
      </c>
    </row>
    <row r="35" spans="1:16" ht="21.75" customHeight="1" x14ac:dyDescent="0.45">
      <c r="A35" s="31"/>
      <c r="B35" s="32"/>
      <c r="C35" s="33" t="s">
        <v>16</v>
      </c>
      <c r="D35" s="529" t="s">
        <v>23</v>
      </c>
      <c r="E35" s="530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45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3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4633740</v>
      </c>
      <c r="M37" s="54">
        <f t="shared" ca="1" si="33"/>
        <v>2615550</v>
      </c>
      <c r="N37" s="54">
        <f t="shared" ca="1" si="33"/>
        <v>1949948</v>
      </c>
      <c r="O37" s="55">
        <f t="shared" ca="1" si="29"/>
        <v>42.081515147591361</v>
      </c>
      <c r="P37" s="55">
        <f t="shared" ca="1" si="25"/>
        <v>74.552120968821086</v>
      </c>
    </row>
    <row r="38" spans="1:16" ht="21.75" customHeight="1" x14ac:dyDescent="0.45">
      <c r="A38" s="531" t="s">
        <v>27</v>
      </c>
      <c r="B38" s="516"/>
      <c r="C38" s="516"/>
      <c r="D38" s="516"/>
      <c r="E38" s="516"/>
      <c r="F38" s="516"/>
      <c r="G38" s="517"/>
      <c r="H38" s="56"/>
      <c r="I38" s="57"/>
      <c r="J38" s="57"/>
      <c r="K38" s="58"/>
      <c r="L38" s="59"/>
      <c r="M38" s="59"/>
      <c r="N38" s="59"/>
      <c r="O38" s="59"/>
      <c r="P38" s="59"/>
    </row>
    <row r="39" spans="1:16" ht="21.75" customHeight="1" x14ac:dyDescent="0.45">
      <c r="A39" s="60"/>
      <c r="B39" s="532" t="s">
        <v>28</v>
      </c>
      <c r="C39" s="528"/>
      <c r="D39" s="528"/>
      <c r="E39" s="528"/>
      <c r="F39" s="528"/>
      <c r="G39" s="528"/>
      <c r="H39" s="61"/>
      <c r="I39" s="62"/>
      <c r="J39" s="62"/>
      <c r="K39" s="63"/>
      <c r="L39" s="64"/>
      <c r="M39" s="64"/>
      <c r="N39" s="64"/>
      <c r="O39" s="63"/>
      <c r="P39" s="63"/>
    </row>
    <row r="40" spans="1:16" ht="21.75" customHeight="1" x14ac:dyDescent="0.45">
      <c r="A40" s="65"/>
      <c r="B40" s="66" t="s">
        <v>29</v>
      </c>
      <c r="C40" s="67"/>
      <c r="D40" s="67"/>
      <c r="E40" s="67"/>
      <c r="F40" s="67"/>
      <c r="G40" s="67"/>
      <c r="H40" s="68"/>
      <c r="I40" s="69"/>
      <c r="J40" s="69"/>
      <c r="K40" s="70"/>
      <c r="L40" s="71"/>
      <c r="M40" s="71"/>
      <c r="N40" s="71"/>
      <c r="O40" s="70"/>
      <c r="P40" s="70"/>
    </row>
    <row r="41" spans="1:16" ht="21.75" customHeight="1" x14ac:dyDescent="0.45">
      <c r="A41" s="72"/>
      <c r="B41" s="73"/>
      <c r="C41" s="74" t="s">
        <v>16</v>
      </c>
      <c r="D41" s="533" t="s">
        <v>17</v>
      </c>
      <c r="E41" s="530"/>
      <c r="F41" s="530"/>
      <c r="G41" s="530"/>
      <c r="H41" s="75" t="s">
        <v>12</v>
      </c>
      <c r="I41" s="76"/>
      <c r="J41" s="76"/>
      <c r="K41" s="77"/>
      <c r="L41" s="78">
        <f t="shared" ref="L41:N41" ca="1" si="34">L42+L43</f>
        <v>750700</v>
      </c>
      <c r="M41" s="78">
        <f t="shared" ca="1" si="34"/>
        <v>375400</v>
      </c>
      <c r="N41" s="78">
        <f t="shared" ca="1" si="34"/>
        <v>316563</v>
      </c>
      <c r="O41" s="77">
        <f t="shared" ref="O41:O43" ca="1" si="35">IF(L41&gt;0,N41*100/L41,0)</f>
        <v>42.169042227254565</v>
      </c>
      <c r="P41" s="77">
        <f t="shared" ref="P41:P43" ca="1" si="36">IF(M41&gt;0,N41*100/M41,0)</f>
        <v>84.326851358550883</v>
      </c>
    </row>
    <row r="42" spans="1:16" ht="21.75" customHeight="1" x14ac:dyDescent="0.45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45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750700</v>
      </c>
      <c r="M43" s="78">
        <f t="shared" ca="1" si="38"/>
        <v>375400</v>
      </c>
      <c r="N43" s="78">
        <f t="shared" ca="1" si="38"/>
        <v>316563</v>
      </c>
      <c r="O43" s="77">
        <f t="shared" ca="1" si="35"/>
        <v>42.169042227254565</v>
      </c>
      <c r="P43" s="77">
        <f t="shared" ca="1" si="36"/>
        <v>84.326851358550883</v>
      </c>
    </row>
    <row r="44" spans="1:16" ht="21.75" customHeight="1" x14ac:dyDescent="0.45">
      <c r="A44" s="79"/>
      <c r="B44" s="80"/>
      <c r="C44" s="81" t="s">
        <v>16</v>
      </c>
      <c r="D44" s="534" t="s">
        <v>20</v>
      </c>
      <c r="E44" s="530"/>
      <c r="F44" s="530"/>
      <c r="G44" s="82" t="s">
        <v>18</v>
      </c>
      <c r="H44" s="83" t="s">
        <v>12</v>
      </c>
      <c r="I44" s="84"/>
      <c r="J44" s="84"/>
      <c r="K44" s="85"/>
      <c r="L44" s="86">
        <v>0</v>
      </c>
      <c r="M44" s="510"/>
      <c r="N44" s="511"/>
      <c r="O44" s="511"/>
      <c r="P44" s="511"/>
    </row>
    <row r="45" spans="1:16" ht="21.75" customHeight="1" x14ac:dyDescent="0.45">
      <c r="A45" s="79"/>
      <c r="B45" s="80"/>
      <c r="C45" s="80"/>
      <c r="D45" s="80"/>
      <c r="E45" s="88"/>
      <c r="F45" s="89"/>
      <c r="G45" s="82" t="s">
        <v>19</v>
      </c>
      <c r="H45" s="83" t="s">
        <v>12</v>
      </c>
      <c r="I45" s="84"/>
      <c r="J45" s="84"/>
      <c r="K45" s="85"/>
      <c r="L45" s="38">
        <f ca="1">L46+L47</f>
        <v>750700</v>
      </c>
      <c r="M45" s="49">
        <f ca="1">IFERROR(__xludf.DUMMYFUNCTION("IMPORTRANGE(""https://docs.google.com/spreadsheets/d/1Yj_ptqi66GCucihVvJfMjLAmec39IyEx_6qawtMGysU/edit?usp=sharing"",""สบก!Q21"")"),375400)</f>
        <v>375400</v>
      </c>
      <c r="N45" s="49">
        <f ca="1">IFERROR(__xludf.DUMMYFUNCTION("IMPORTRANGE(""https://docs.google.com/spreadsheets/d/1Yj_ptqi66GCucihVvJfMjLAmec39IyEx_6qawtMGysU/edit?usp=sharing"",""สบก!R21"")"),316563)</f>
        <v>316563</v>
      </c>
      <c r="O45" s="38">
        <f ca="1">IF(L45&gt;0,N45*100/L45,0)</f>
        <v>42.169042227254565</v>
      </c>
      <c r="P45" s="38">
        <f ca="1">IF(M45&gt;0,N45*100/M45,0)</f>
        <v>84.326851358550883</v>
      </c>
    </row>
    <row r="46" spans="1:16" ht="21.75" customHeight="1" x14ac:dyDescent="0.45">
      <c r="A46" s="79"/>
      <c r="B46" s="80"/>
      <c r="C46" s="80"/>
      <c r="D46" s="80"/>
      <c r="E46" s="88"/>
      <c r="F46" s="88"/>
      <c r="G46" s="82" t="s">
        <v>21</v>
      </c>
      <c r="H46" s="83" t="s">
        <v>12</v>
      </c>
      <c r="I46" s="84"/>
      <c r="J46" s="84"/>
      <c r="K46" s="85"/>
      <c r="L46" s="49">
        <f ca="1">IFERROR(__xludf.DUMMYFUNCTION("IMPORTRANGE(""https://docs.google.com/spreadsheets/d/1Yj_ptqi66GCucihVvJfMjLAmec39IyEx_6qawtMGysU/edit?usp=sharing"",""สบก!M21"")"),750700)</f>
        <v>750700</v>
      </c>
      <c r="M46" s="41"/>
      <c r="N46" s="38"/>
      <c r="O46" s="38"/>
      <c r="P46" s="38"/>
    </row>
    <row r="47" spans="1:16" ht="21.75" customHeight="1" x14ac:dyDescent="0.45">
      <c r="A47" s="79"/>
      <c r="B47" s="80"/>
      <c r="C47" s="80"/>
      <c r="D47" s="80"/>
      <c r="E47" s="88"/>
      <c r="F47" s="88"/>
      <c r="G47" s="82" t="s">
        <v>22</v>
      </c>
      <c r="H47" s="83" t="s">
        <v>12</v>
      </c>
      <c r="I47" s="84"/>
      <c r="J47" s="84"/>
      <c r="K47" s="85"/>
      <c r="L47" s="49">
        <f ca="1">IFERROR(__xludf.DUMMYFUNCTION("IMPORTRANGE(""https://docs.google.com/spreadsheets/d/1Yj_ptqi66GCucihVvJfMjLAmec39IyEx_6qawtMGysU/edit?usp=sharing"",""สบก!N21"")"),0)</f>
        <v>0</v>
      </c>
      <c r="M47" s="41"/>
      <c r="N47" s="38"/>
      <c r="O47" s="38"/>
      <c r="P47" s="38"/>
    </row>
    <row r="48" spans="1:16" ht="21.75" customHeight="1" x14ac:dyDescent="0.45">
      <c r="A48" s="79"/>
      <c r="B48" s="80"/>
      <c r="C48" s="81" t="s">
        <v>16</v>
      </c>
      <c r="D48" s="534" t="s">
        <v>23</v>
      </c>
      <c r="E48" s="530"/>
      <c r="F48" s="88"/>
      <c r="G48" s="82" t="s">
        <v>18</v>
      </c>
      <c r="H48" s="83" t="s">
        <v>12</v>
      </c>
      <c r="I48" s="84"/>
      <c r="J48" s="84"/>
      <c r="K48" s="85"/>
      <c r="L48" s="50">
        <v>0</v>
      </c>
      <c r="M48" s="41"/>
      <c r="N48" s="41"/>
      <c r="O48" s="41"/>
      <c r="P48" s="41"/>
    </row>
    <row r="49" spans="1:16" ht="21.75" customHeight="1" x14ac:dyDescent="0.45">
      <c r="A49" s="90"/>
      <c r="B49" s="91"/>
      <c r="C49" s="91"/>
      <c r="D49" s="91"/>
      <c r="E49" s="92"/>
      <c r="F49" s="92"/>
      <c r="G49" s="93" t="s">
        <v>19</v>
      </c>
      <c r="H49" s="94" t="s">
        <v>12</v>
      </c>
      <c r="I49" s="95"/>
      <c r="J49" s="95"/>
      <c r="K49" s="96"/>
      <c r="L49" s="49">
        <f ca="1">IFERROR(__xludf.DUMMYFUNCTION("IMPORTRANGE(""https://docs.google.com/spreadsheets/d/1Yj_ptqi66GCucihVvJfMjLAmec39IyEx_6qawtMGysU/edit?usp=sharing"",""สบก!O21"")"),0)</f>
        <v>0</v>
      </c>
      <c r="M49" s="49"/>
      <c r="N49" s="49">
        <f ca="1">IFERROR(__xludf.DUMMYFUNCTION("IMPORTRANGE(""https://docs.google.com/spreadsheets/d/1Yj_ptqi66GCucihVvJfMjLAmec39IyEx_6qawtMGysU/edit?usp=sharing"",""สบก!S21"")"),0)</f>
        <v>0</v>
      </c>
      <c r="O49" s="49">
        <f ca="1">IF(L49&gt;0,N49*100/L49,0)</f>
        <v>0</v>
      </c>
      <c r="P49" s="49"/>
    </row>
    <row r="50" spans="1:16" ht="21.75" customHeight="1" x14ac:dyDescent="0.45">
      <c r="A50" s="97" t="s">
        <v>30</v>
      </c>
      <c r="B50" s="98"/>
      <c r="C50" s="98"/>
      <c r="D50" s="98"/>
      <c r="E50" s="98"/>
      <c r="F50" s="98"/>
      <c r="G50" s="98"/>
      <c r="H50" s="99"/>
      <c r="I50" s="100"/>
      <c r="J50" s="100"/>
      <c r="K50" s="101"/>
      <c r="L50" s="102"/>
      <c r="M50" s="102"/>
      <c r="N50" s="102"/>
      <c r="O50" s="101"/>
      <c r="P50" s="101"/>
    </row>
    <row r="51" spans="1:16" ht="21.75" customHeight="1" x14ac:dyDescent="0.45">
      <c r="A51" s="103"/>
      <c r="B51" s="104" t="s">
        <v>31</v>
      </c>
      <c r="C51" s="104"/>
      <c r="D51" s="104"/>
      <c r="E51" s="104"/>
      <c r="F51" s="104"/>
      <c r="G51" s="104"/>
      <c r="H51" s="105"/>
      <c r="I51" s="106"/>
      <c r="J51" s="106"/>
      <c r="K51" s="107"/>
      <c r="L51" s="108"/>
      <c r="M51" s="108"/>
      <c r="N51" s="108"/>
      <c r="O51" s="107"/>
      <c r="P51" s="107"/>
    </row>
    <row r="52" spans="1:16" ht="21.75" customHeight="1" x14ac:dyDescent="0.45">
      <c r="A52" s="109"/>
      <c r="B52" s="535" t="s">
        <v>32</v>
      </c>
      <c r="C52" s="530"/>
      <c r="D52" s="530"/>
      <c r="E52" s="530"/>
      <c r="F52" s="530"/>
      <c r="G52" s="530"/>
      <c r="H52" s="110"/>
      <c r="I52" s="111"/>
      <c r="J52" s="111"/>
      <c r="K52" s="112"/>
      <c r="L52" s="113"/>
      <c r="M52" s="113"/>
      <c r="N52" s="113"/>
      <c r="O52" s="112"/>
      <c r="P52" s="112"/>
    </row>
    <row r="53" spans="1:16" ht="21.75" customHeight="1" x14ac:dyDescent="0.45">
      <c r="A53" s="114"/>
      <c r="B53" s="115"/>
      <c r="C53" s="116" t="s">
        <v>16</v>
      </c>
      <c r="D53" s="536" t="s">
        <v>17</v>
      </c>
      <c r="E53" s="530"/>
      <c r="F53" s="530"/>
      <c r="G53" s="530"/>
      <c r="H53" s="117" t="s">
        <v>12</v>
      </c>
      <c r="I53" s="118"/>
      <c r="J53" s="118"/>
      <c r="K53" s="119"/>
      <c r="L53" s="120">
        <f t="shared" ref="L53:N53" ca="1" si="39">L54+L55</f>
        <v>700000</v>
      </c>
      <c r="M53" s="120">
        <f t="shared" ca="1" si="39"/>
        <v>367640</v>
      </c>
      <c r="N53" s="120">
        <f t="shared" ca="1" si="39"/>
        <v>283128</v>
      </c>
      <c r="O53" s="119">
        <f t="shared" ref="O53:O55" ca="1" si="40">IF(L53&gt;0,N53*100/L53,0)</f>
        <v>40.446857142857141</v>
      </c>
      <c r="P53" s="119">
        <f t="shared" ref="P53:P55" ca="1" si="41">IF(M53&gt;0,N53*100/M53,0)</f>
        <v>77.012294636057007</v>
      </c>
    </row>
    <row r="54" spans="1:16" ht="21.75" customHeight="1" x14ac:dyDescent="0.45">
      <c r="A54" s="114"/>
      <c r="B54" s="115"/>
      <c r="C54" s="115"/>
      <c r="D54" s="115"/>
      <c r="E54" s="115"/>
      <c r="F54" s="115"/>
      <c r="G54" s="116" t="s">
        <v>18</v>
      </c>
      <c r="H54" s="117" t="s">
        <v>12</v>
      </c>
      <c r="I54" s="118"/>
      <c r="J54" s="118"/>
      <c r="K54" s="119"/>
      <c r="L54" s="120">
        <f t="shared" ref="L54:N54" si="42">L56+L60</f>
        <v>0</v>
      </c>
      <c r="M54" s="120">
        <f t="shared" si="42"/>
        <v>0</v>
      </c>
      <c r="N54" s="120">
        <f t="shared" si="42"/>
        <v>0</v>
      </c>
      <c r="O54" s="119">
        <f t="shared" si="40"/>
        <v>0</v>
      </c>
      <c r="P54" s="119">
        <f t="shared" si="41"/>
        <v>0</v>
      </c>
    </row>
    <row r="55" spans="1:16" ht="21.75" customHeight="1" x14ac:dyDescent="0.45">
      <c r="A55" s="114"/>
      <c r="B55" s="115"/>
      <c r="C55" s="115"/>
      <c r="D55" s="115"/>
      <c r="E55" s="115"/>
      <c r="F55" s="115"/>
      <c r="G55" s="116" t="s">
        <v>19</v>
      </c>
      <c r="H55" s="117" t="s">
        <v>12</v>
      </c>
      <c r="I55" s="118"/>
      <c r="J55" s="118"/>
      <c r="K55" s="119"/>
      <c r="L55" s="120">
        <f t="shared" ref="L55:N55" ca="1" si="43">L57+L61</f>
        <v>700000</v>
      </c>
      <c r="M55" s="120">
        <f t="shared" ca="1" si="43"/>
        <v>367640</v>
      </c>
      <c r="N55" s="120">
        <f t="shared" ca="1" si="43"/>
        <v>283128</v>
      </c>
      <c r="O55" s="119">
        <f t="shared" ca="1" si="40"/>
        <v>40.446857142857141</v>
      </c>
      <c r="P55" s="119">
        <f t="shared" ca="1" si="41"/>
        <v>77.012294636057007</v>
      </c>
    </row>
    <row r="56" spans="1:16" ht="21.75" customHeight="1" x14ac:dyDescent="0.45">
      <c r="A56" s="79"/>
      <c r="B56" s="80"/>
      <c r="C56" s="81" t="s">
        <v>16</v>
      </c>
      <c r="D56" s="534" t="s">
        <v>20</v>
      </c>
      <c r="E56" s="530"/>
      <c r="F56" s="530"/>
      <c r="G56" s="82" t="s">
        <v>18</v>
      </c>
      <c r="H56" s="83" t="s">
        <v>12</v>
      </c>
      <c r="I56" s="84"/>
      <c r="J56" s="84"/>
      <c r="K56" s="85"/>
      <c r="L56" s="511">
        <v>0</v>
      </c>
      <c r="M56" s="510"/>
      <c r="N56" s="511"/>
      <c r="O56" s="511"/>
      <c r="P56" s="511"/>
    </row>
    <row r="57" spans="1:16" ht="21.75" customHeight="1" x14ac:dyDescent="0.45">
      <c r="A57" s="79"/>
      <c r="B57" s="80"/>
      <c r="C57" s="80"/>
      <c r="D57" s="80"/>
      <c r="E57" s="88"/>
      <c r="F57" s="89"/>
      <c r="G57" s="82" t="s">
        <v>19</v>
      </c>
      <c r="H57" s="83" t="s">
        <v>12</v>
      </c>
      <c r="I57" s="84"/>
      <c r="J57" s="84"/>
      <c r="K57" s="85"/>
      <c r="L57" s="38">
        <f ca="1">L58+L59</f>
        <v>700000</v>
      </c>
      <c r="M57" s="49">
        <f ca="1">IFERROR(__xludf.DUMMYFUNCTION("IMPORTRANGE(""https://docs.google.com/spreadsheets/d/1Yj_ptqi66GCucihVvJfMjLAmec39IyEx_6qawtMGysU/edit?usp=sharing"",""สบก!Z21"")"),367640)</f>
        <v>367640</v>
      </c>
      <c r="N57" s="49">
        <f ca="1">IFERROR(__xludf.DUMMYFUNCTION("IMPORTRANGE(""https://docs.google.com/spreadsheets/d/1Yj_ptqi66GCucihVvJfMjLAmec39IyEx_6qawtMGysU/edit?usp=sharing"",""สบก!AA21"")"),283128)</f>
        <v>283128</v>
      </c>
      <c r="O57" s="38">
        <f ca="1">IF(L57&gt;0,N57*100/L57,0)</f>
        <v>40.446857142857141</v>
      </c>
      <c r="P57" s="38">
        <f ca="1">IF(M57&gt;0,N57*100/M57,0)</f>
        <v>77.012294636057007</v>
      </c>
    </row>
    <row r="58" spans="1:16" ht="21.75" customHeight="1" x14ac:dyDescent="0.45">
      <c r="A58" s="79"/>
      <c r="B58" s="80"/>
      <c r="C58" s="80"/>
      <c r="D58" s="80"/>
      <c r="E58" s="88"/>
      <c r="F58" s="88"/>
      <c r="G58" s="82" t="s">
        <v>21</v>
      </c>
      <c r="H58" s="83" t="s">
        <v>12</v>
      </c>
      <c r="I58" s="84"/>
      <c r="J58" s="84"/>
      <c r="K58" s="85"/>
      <c r="L58" s="49">
        <f ca="1">IFERROR(__xludf.DUMMYFUNCTION("IMPORTRANGE(""https://docs.google.com/spreadsheets/d/1Yj_ptqi66GCucihVvJfMjLAmec39IyEx_6qawtMGysU/edit?usp=sharing"",""สบก!V21"")"),700000)</f>
        <v>700000</v>
      </c>
      <c r="M58" s="41"/>
      <c r="N58" s="38"/>
      <c r="O58" s="38"/>
      <c r="P58" s="38"/>
    </row>
    <row r="59" spans="1:16" ht="21.75" customHeight="1" x14ac:dyDescent="0.45">
      <c r="A59" s="79"/>
      <c r="B59" s="80"/>
      <c r="C59" s="80"/>
      <c r="D59" s="80"/>
      <c r="E59" s="88"/>
      <c r="F59" s="88"/>
      <c r="G59" s="82" t="s">
        <v>22</v>
      </c>
      <c r="H59" s="83" t="s">
        <v>12</v>
      </c>
      <c r="I59" s="84"/>
      <c r="J59" s="84"/>
      <c r="K59" s="85"/>
      <c r="L59" s="49">
        <f ca="1">IFERROR(__xludf.DUMMYFUNCTION("IMPORTRANGE(""https://docs.google.com/spreadsheets/d/1Yj_ptqi66GCucihVvJfMjLAmec39IyEx_6qawtMGysU/edit?usp=sharing"",""สบก!W21"")"),0)</f>
        <v>0</v>
      </c>
      <c r="M59" s="41"/>
      <c r="N59" s="38"/>
      <c r="O59" s="38"/>
      <c r="P59" s="38"/>
    </row>
    <row r="60" spans="1:16" ht="21.75" customHeight="1" x14ac:dyDescent="0.45">
      <c r="A60" s="79"/>
      <c r="B60" s="80"/>
      <c r="C60" s="81" t="s">
        <v>16</v>
      </c>
      <c r="D60" s="534" t="s">
        <v>23</v>
      </c>
      <c r="E60" s="530"/>
      <c r="F60" s="88"/>
      <c r="G60" s="82" t="s">
        <v>18</v>
      </c>
      <c r="H60" s="83" t="s">
        <v>12</v>
      </c>
      <c r="I60" s="84"/>
      <c r="J60" s="84"/>
      <c r="K60" s="85"/>
      <c r="L60" s="50">
        <v>0</v>
      </c>
      <c r="M60" s="41"/>
      <c r="N60" s="41"/>
      <c r="O60" s="41"/>
      <c r="P60" s="41"/>
    </row>
    <row r="61" spans="1:16" ht="21.75" customHeight="1" x14ac:dyDescent="0.45">
      <c r="A61" s="90"/>
      <c r="B61" s="91"/>
      <c r="C61" s="91"/>
      <c r="D61" s="91"/>
      <c r="E61" s="92"/>
      <c r="F61" s="92"/>
      <c r="G61" s="93" t="s">
        <v>19</v>
      </c>
      <c r="H61" s="94" t="s">
        <v>12</v>
      </c>
      <c r="I61" s="95"/>
      <c r="J61" s="95"/>
      <c r="K61" s="96"/>
      <c r="L61" s="49">
        <f ca="1">IFERROR(__xludf.DUMMYFUNCTION("IMPORTRANGE(""https://docs.google.com/spreadsheets/d/1Yj_ptqi66GCucihVvJfMjLAmec39IyEx_6qawtMGysU/edit?usp=sharing"",""สบก!X21"")"),0)</f>
        <v>0</v>
      </c>
      <c r="M61" s="49"/>
      <c r="N61" s="49">
        <f ca="1">IFERROR(__xludf.DUMMYFUNCTION("IMPORTRANGE(""https://docs.google.com/spreadsheets/d/1Yj_ptqi66GCucihVvJfMjLAmec39IyEx_6qawtMGysU/edit?usp=sharing"",""สบก!AB21"")"),0)</f>
        <v>0</v>
      </c>
      <c r="O61" s="49">
        <f ca="1">IF(L61&gt;0,N61*100/L61,0)</f>
        <v>0</v>
      </c>
      <c r="P61" s="49"/>
    </row>
    <row r="62" spans="1:16" ht="21.75" customHeight="1" x14ac:dyDescent="0.3">
      <c r="A62" s="121" t="s">
        <v>33</v>
      </c>
      <c r="B62" s="122"/>
      <c r="C62" s="122"/>
      <c r="D62" s="122"/>
      <c r="E62" s="123"/>
      <c r="F62" s="123"/>
      <c r="G62" s="123"/>
      <c r="H62" s="124"/>
      <c r="I62" s="125"/>
      <c r="J62" s="125"/>
      <c r="K62" s="126"/>
      <c r="L62" s="127"/>
      <c r="M62" s="127"/>
      <c r="N62" s="127"/>
      <c r="O62" s="127"/>
      <c r="P62" s="127"/>
    </row>
    <row r="63" spans="1:16" ht="21.75" customHeight="1" x14ac:dyDescent="0.3">
      <c r="A63" s="128" t="s">
        <v>34</v>
      </c>
      <c r="B63" s="129"/>
      <c r="C63" s="130"/>
      <c r="D63" s="129"/>
      <c r="E63" s="131"/>
      <c r="F63" s="131"/>
      <c r="G63" s="131"/>
      <c r="H63" s="132"/>
      <c r="I63" s="133"/>
      <c r="J63" s="133"/>
      <c r="K63" s="134"/>
      <c r="L63" s="135"/>
      <c r="M63" s="135"/>
      <c r="N63" s="135"/>
      <c r="O63" s="136"/>
      <c r="P63" s="136"/>
    </row>
    <row r="64" spans="1:16" ht="21.75" customHeight="1" x14ac:dyDescent="0.3">
      <c r="A64" s="137"/>
      <c r="B64" s="138" t="s">
        <v>35</v>
      </c>
      <c r="C64" s="138"/>
      <c r="D64" s="139"/>
      <c r="E64" s="138"/>
      <c r="F64" s="138"/>
      <c r="G64" s="138"/>
      <c r="H64" s="140" t="s">
        <v>36</v>
      </c>
      <c r="I64" s="141">
        <f ca="1">IFERROR(__xludf.DUMMYFUNCTION("IMPORTRANGE(""https://docs.google.com/spreadsheets/d/11923uPwbBZFjjGgGUA6NLw09EwE0CqkOc4q9oUmW1yo/edit?usp=sharing"",""เชียงราย!I9"")"),1)</f>
        <v>1</v>
      </c>
      <c r="J64" s="141">
        <f ca="1">IFERROR(__xludf.DUMMYFUNCTION("IMPORTRANGE(""https://docs.google.com/spreadsheets/d/11923uPwbBZFjjGgGUA6NLw09EwE0CqkOc4q9oUmW1yo/edit?usp=sharing"",""เชียงราย!J9"")"),1)</f>
        <v>1</v>
      </c>
      <c r="K64" s="142">
        <f t="shared" ref="K64:K65" ca="1" si="44">IF(I64&gt;0,J64*100/I64,0)</f>
        <v>100</v>
      </c>
      <c r="L64" s="143"/>
      <c r="M64" s="143"/>
      <c r="N64" s="144"/>
      <c r="O64" s="142"/>
      <c r="P64" s="142"/>
    </row>
    <row r="65" spans="1:16" ht="21.75" customHeight="1" x14ac:dyDescent="0.3">
      <c r="A65" s="137"/>
      <c r="B65" s="138"/>
      <c r="C65" s="138"/>
      <c r="D65" s="139"/>
      <c r="E65" s="138"/>
      <c r="F65" s="138"/>
      <c r="G65" s="138"/>
      <c r="H65" s="140" t="s">
        <v>37</v>
      </c>
      <c r="I65" s="141">
        <f ca="1">IFERROR(__xludf.DUMMYFUNCTION("IMPORTRANGE(""https://docs.google.com/spreadsheets/d/11923uPwbBZFjjGgGUA6NLw09EwE0CqkOc4q9oUmW1yo/edit?usp=sharing"",""เชียงราย!I10"")"),60)</f>
        <v>60</v>
      </c>
      <c r="J65" s="141">
        <f ca="1">IFERROR(__xludf.DUMMYFUNCTION("IMPORTRANGE(""https://docs.google.com/spreadsheets/d/11923uPwbBZFjjGgGUA6NLw09EwE0CqkOc4q9oUmW1yo/edit?usp=sharing"",""เชียงราย!J10"")"),60)</f>
        <v>60</v>
      </c>
      <c r="K65" s="142">
        <f t="shared" ca="1" si="44"/>
        <v>100</v>
      </c>
      <c r="L65" s="144"/>
      <c r="M65" s="144"/>
      <c r="N65" s="144"/>
      <c r="O65" s="142"/>
      <c r="P65" s="142"/>
    </row>
    <row r="66" spans="1:16" ht="21.75" customHeight="1" x14ac:dyDescent="0.45">
      <c r="A66" s="145"/>
      <c r="B66" s="146"/>
      <c r="C66" s="147" t="s">
        <v>16</v>
      </c>
      <c r="D66" s="537" t="s">
        <v>17</v>
      </c>
      <c r="E66" s="528"/>
      <c r="F66" s="528"/>
      <c r="G66" s="528"/>
      <c r="H66" s="148" t="s">
        <v>12</v>
      </c>
      <c r="I66" s="149"/>
      <c r="J66" s="149"/>
      <c r="K66" s="150"/>
      <c r="L66" s="151">
        <f t="shared" ref="L66:N66" ca="1" si="45">L67+L68</f>
        <v>548000</v>
      </c>
      <c r="M66" s="151">
        <f t="shared" ca="1" si="45"/>
        <v>310620</v>
      </c>
      <c r="N66" s="151">
        <f t="shared" ca="1" si="45"/>
        <v>179215</v>
      </c>
      <c r="O66" s="150">
        <f t="shared" ref="O66:O68" ca="1" si="46">IF(L66&gt;0,N66*100/L66,0)</f>
        <v>32.70346715328467</v>
      </c>
      <c r="P66" s="150">
        <f t="shared" ref="P66:P68" ca="1" si="47">IF(M66&gt;0,N66*100/M66,0)</f>
        <v>57.695898525529586</v>
      </c>
    </row>
    <row r="67" spans="1:16" ht="21.75" customHeight="1" x14ac:dyDescent="0.45">
      <c r="A67" s="152"/>
      <c r="B67" s="32"/>
      <c r="C67" s="32"/>
      <c r="D67" s="32"/>
      <c r="E67" s="32"/>
      <c r="F67" s="32"/>
      <c r="G67" s="33" t="s">
        <v>18</v>
      </c>
      <c r="H67" s="153" t="s">
        <v>12</v>
      </c>
      <c r="I67" s="154"/>
      <c r="J67" s="154"/>
      <c r="K67" s="155"/>
      <c r="L67" s="87">
        <f t="shared" ref="L67:N67" si="48">L69+L73</f>
        <v>0</v>
      </c>
      <c r="M67" s="87">
        <f t="shared" si="48"/>
        <v>0</v>
      </c>
      <c r="N67" s="87">
        <f t="shared" si="48"/>
        <v>0</v>
      </c>
      <c r="O67" s="155">
        <f t="shared" si="46"/>
        <v>0</v>
      </c>
      <c r="P67" s="155">
        <f t="shared" si="47"/>
        <v>0</v>
      </c>
    </row>
    <row r="68" spans="1:16" ht="21.75" customHeight="1" x14ac:dyDescent="0.45">
      <c r="A68" s="152"/>
      <c r="B68" s="32"/>
      <c r="C68" s="32"/>
      <c r="D68" s="32"/>
      <c r="E68" s="32"/>
      <c r="F68" s="32"/>
      <c r="G68" s="33" t="s">
        <v>19</v>
      </c>
      <c r="H68" s="153" t="s">
        <v>12</v>
      </c>
      <c r="I68" s="154"/>
      <c r="J68" s="154"/>
      <c r="K68" s="155"/>
      <c r="L68" s="87">
        <f t="shared" ref="L68:N68" ca="1" si="49">L70+L74</f>
        <v>548000</v>
      </c>
      <c r="M68" s="87">
        <f t="shared" ca="1" si="49"/>
        <v>310620</v>
      </c>
      <c r="N68" s="87">
        <f t="shared" ca="1" si="49"/>
        <v>179215</v>
      </c>
      <c r="O68" s="155">
        <f t="shared" ca="1" si="46"/>
        <v>32.70346715328467</v>
      </c>
      <c r="P68" s="155">
        <f t="shared" ca="1" si="47"/>
        <v>57.695898525529586</v>
      </c>
    </row>
    <row r="69" spans="1:16" ht="21.75" customHeight="1" x14ac:dyDescent="0.3">
      <c r="A69" s="156"/>
      <c r="B69" s="157"/>
      <c r="C69" s="157" t="s">
        <v>16</v>
      </c>
      <c r="D69" s="158" t="s">
        <v>38</v>
      </c>
      <c r="E69" s="159"/>
      <c r="F69" s="159"/>
      <c r="G69" s="160" t="s">
        <v>39</v>
      </c>
      <c r="H69" s="161" t="s">
        <v>12</v>
      </c>
      <c r="I69" s="162" t="s">
        <v>40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3">
      <c r="A70" s="156"/>
      <c r="B70" s="157"/>
      <c r="C70" s="157"/>
      <c r="D70" s="166"/>
      <c r="E70" s="159"/>
      <c r="F70" s="159" t="s">
        <v>40</v>
      </c>
      <c r="G70" s="160" t="s">
        <v>41</v>
      </c>
      <c r="H70" s="161" t="s">
        <v>12</v>
      </c>
      <c r="I70" s="162"/>
      <c r="J70" s="162"/>
      <c r="K70" s="163"/>
      <c r="L70" s="167">
        <f ca="1">L71+L72</f>
        <v>548000</v>
      </c>
      <c r="M70" s="167">
        <f ca="1">IFERROR(__xludf.DUMMYFUNCTION("IMPORTRANGE(""https://docs.google.com/spreadsheets/d/1Yj_ptqi66GCucihVvJfMjLAmec39IyEx_6qawtMGysU/edit?usp=sharing"",""สบก!AI21"")"),310620)</f>
        <v>310620</v>
      </c>
      <c r="N70" s="168">
        <f ca="1">IFERROR(__xludf.DUMMYFUNCTION("IMPORTRANGE(""https://docs.google.com/spreadsheets/d/1Yj_ptqi66GCucihVvJfMjLAmec39IyEx_6qawtMGysU/edit?usp=sharing"",""สบก!AJ21"")"),179215)</f>
        <v>179215</v>
      </c>
      <c r="O70" s="168">
        <f ca="1">IF(L70&gt;0,N70*100/L70,0)</f>
        <v>32.70346715328467</v>
      </c>
      <c r="P70" s="168">
        <f ca="1">IF(M70&gt;0,N70*100/M70,0)</f>
        <v>57.695898525529586</v>
      </c>
    </row>
    <row r="71" spans="1:16" ht="21.75" customHeight="1" x14ac:dyDescent="0.3">
      <c r="A71" s="156"/>
      <c r="B71" s="157"/>
      <c r="C71" s="157"/>
      <c r="D71" s="166"/>
      <c r="E71" s="159"/>
      <c r="F71" s="159"/>
      <c r="G71" s="169" t="s">
        <v>42</v>
      </c>
      <c r="H71" s="161" t="s">
        <v>12</v>
      </c>
      <c r="I71" s="162"/>
      <c r="J71" s="162"/>
      <c r="K71" s="163"/>
      <c r="L71" s="167">
        <f ca="1">IFERROR(__xludf.DUMMYFUNCTION("IMPORTRANGE(""https://docs.google.com/spreadsheets/d/1Yj_ptqi66GCucihVvJfMjLAmec39IyEx_6qawtMGysU/edit?usp=sharing"",""สบก!AE21"")"),0)</f>
        <v>0</v>
      </c>
      <c r="M71" s="167"/>
      <c r="N71" s="167"/>
      <c r="O71" s="168"/>
      <c r="P71" s="168"/>
    </row>
    <row r="72" spans="1:16" ht="21.75" customHeight="1" x14ac:dyDescent="0.3">
      <c r="A72" s="156"/>
      <c r="B72" s="157"/>
      <c r="C72" s="157"/>
      <c r="D72" s="166"/>
      <c r="E72" s="159"/>
      <c r="F72" s="159"/>
      <c r="G72" s="169" t="s">
        <v>43</v>
      </c>
      <c r="H72" s="161" t="s">
        <v>12</v>
      </c>
      <c r="I72" s="162"/>
      <c r="J72" s="162"/>
      <c r="K72" s="163"/>
      <c r="L72" s="167">
        <f ca="1">IFERROR(__xludf.DUMMYFUNCTION("IMPORTRANGE(""https://docs.google.com/spreadsheets/d/1Yj_ptqi66GCucihVvJfMjLAmec39IyEx_6qawtMGysU/edit?usp=sharing"",""สบก!AF21"")"),548000)</f>
        <v>548000</v>
      </c>
      <c r="M72" s="167"/>
      <c r="N72" s="167"/>
      <c r="O72" s="168"/>
      <c r="P72" s="168"/>
    </row>
    <row r="73" spans="1:16" ht="21.75" customHeight="1" x14ac:dyDescent="0.45">
      <c r="A73" s="170"/>
      <c r="B73" s="80"/>
      <c r="C73" s="81" t="s">
        <v>16</v>
      </c>
      <c r="D73" s="534" t="s">
        <v>23</v>
      </c>
      <c r="E73" s="530"/>
      <c r="F73" s="88"/>
      <c r="G73" s="82" t="s">
        <v>18</v>
      </c>
      <c r="H73" s="171" t="s">
        <v>12</v>
      </c>
      <c r="I73" s="84"/>
      <c r="J73" s="84"/>
      <c r="K73" s="85"/>
      <c r="L73" s="41">
        <v>0</v>
      </c>
      <c r="M73" s="41"/>
      <c r="N73" s="41"/>
      <c r="O73" s="41"/>
      <c r="P73" s="41"/>
    </row>
    <row r="74" spans="1:16" ht="21.75" customHeight="1" x14ac:dyDescent="0.45">
      <c r="A74" s="172"/>
      <c r="B74" s="91"/>
      <c r="C74" s="91"/>
      <c r="D74" s="173"/>
      <c r="E74" s="92"/>
      <c r="F74" s="92"/>
      <c r="G74" s="93" t="s">
        <v>19</v>
      </c>
      <c r="H74" s="174" t="s">
        <v>12</v>
      </c>
      <c r="I74" s="95"/>
      <c r="J74" s="95"/>
      <c r="K74" s="96"/>
      <c r="L74" s="49">
        <f ca="1">IFERROR(__xludf.DUMMYFUNCTION("IMPORTRANGE(""https://docs.google.com/spreadsheets/d/1Yj_ptqi66GCucihVvJfMjLAmec39IyEx_6qawtMGysU/edit?usp=sharing"",""สบก!AG21"")"),0)</f>
        <v>0</v>
      </c>
      <c r="M74" s="49"/>
      <c r="N74" s="49">
        <f ca="1">IFERROR(__xludf.DUMMYFUNCTION("IMPORTRANGE(""https://docs.google.com/spreadsheets/d/1Yj_ptqi66GCucihVvJfMjLAmec39IyEx_6qawtMGysU/edit?usp=sharing"",""สบก!AK21"")"),0)</f>
        <v>0</v>
      </c>
      <c r="O74" s="49">
        <f ca="1">IF(L74&gt;0,N74*100/L74,0)</f>
        <v>0</v>
      </c>
      <c r="P74" s="49"/>
    </row>
    <row r="75" spans="1:16" ht="21.75" customHeight="1" x14ac:dyDescent="0.3">
      <c r="A75" s="175"/>
      <c r="B75" s="176"/>
      <c r="C75" s="157" t="s">
        <v>16</v>
      </c>
      <c r="D75" s="177" t="s">
        <v>44</v>
      </c>
      <c r="E75" s="178"/>
      <c r="F75" s="178"/>
      <c r="G75" s="179"/>
      <c r="H75" s="180"/>
      <c r="I75" s="162"/>
      <c r="J75" s="162"/>
      <c r="K75" s="163"/>
      <c r="L75" s="181"/>
      <c r="M75" s="181"/>
      <c r="N75" s="181"/>
      <c r="O75" s="181"/>
      <c r="P75" s="181"/>
    </row>
    <row r="76" spans="1:16" ht="21.75" customHeight="1" x14ac:dyDescent="0.3">
      <c r="A76" s="175"/>
      <c r="B76" s="176"/>
      <c r="C76" s="176"/>
      <c r="D76" s="182">
        <v>1</v>
      </c>
      <c r="E76" s="183" t="s">
        <v>45</v>
      </c>
      <c r="F76" s="184"/>
      <c r="G76" s="185"/>
      <c r="H76" s="186"/>
      <c r="I76" s="187"/>
      <c r="J76" s="188">
        <f ca="1">IFERROR(__xludf.DUMMYFUNCTION("IMPORTRANGE(""https://docs.google.com/spreadsheets/d/11923uPwbBZFjjGgGUA6NLw09EwE0CqkOc4q9oUmW1yo/edit?usp=sharing"",""เชียงราย!J16"")"),0)</f>
        <v>0</v>
      </c>
      <c r="K76" s="163"/>
      <c r="L76" s="181"/>
      <c r="M76" s="181"/>
      <c r="N76" s="181"/>
      <c r="O76" s="181"/>
      <c r="P76" s="181"/>
    </row>
    <row r="77" spans="1:16" ht="21.75" customHeight="1" x14ac:dyDescent="0.3">
      <c r="A77" s="175"/>
      <c r="B77" s="176"/>
      <c r="C77" s="176"/>
      <c r="D77" s="189">
        <v>2</v>
      </c>
      <c r="E77" s="190" t="s">
        <v>46</v>
      </c>
      <c r="F77" s="191"/>
      <c r="G77" s="192"/>
      <c r="H77" s="186"/>
      <c r="I77" s="187"/>
      <c r="J77" s="188">
        <f ca="1">IFERROR(__xludf.DUMMYFUNCTION("IMPORTRANGE(""https://docs.google.com/spreadsheets/d/11923uPwbBZFjjGgGUA6NLw09EwE0CqkOc4q9oUmW1yo/edit?usp=sharing"",""เชียงราย!J17"")"),1)</f>
        <v>1</v>
      </c>
      <c r="K77" s="163"/>
      <c r="L77" s="181" t="s">
        <v>40</v>
      </c>
      <c r="M77" s="181"/>
      <c r="N77" s="181" t="s">
        <v>40</v>
      </c>
      <c r="O77" s="181"/>
      <c r="P77" s="181"/>
    </row>
    <row r="78" spans="1:16" ht="21.75" customHeight="1" x14ac:dyDescent="0.3">
      <c r="A78" s="175"/>
      <c r="B78" s="176"/>
      <c r="C78" s="176"/>
      <c r="D78" s="193"/>
      <c r="E78" s="194" t="s">
        <v>47</v>
      </c>
      <c r="F78" s="195"/>
      <c r="G78" s="196"/>
      <c r="H78" s="186"/>
      <c r="I78" s="187"/>
      <c r="J78" s="188">
        <f ca="1">IFERROR(__xludf.DUMMYFUNCTION("IMPORTRANGE(""https://docs.google.com/spreadsheets/d/11923uPwbBZFjjGgGUA6NLw09EwE0CqkOc4q9oUmW1yo/edit?usp=sharing"",""เชียงราย!J18"")"),1)</f>
        <v>1</v>
      </c>
      <c r="K78" s="163"/>
      <c r="L78" s="181"/>
      <c r="M78" s="181"/>
      <c r="N78" s="181"/>
      <c r="O78" s="181"/>
      <c r="P78" s="181"/>
    </row>
    <row r="79" spans="1:16" ht="21.75" customHeight="1" x14ac:dyDescent="0.3">
      <c r="A79" s="175"/>
      <c r="B79" s="176"/>
      <c r="C79" s="176"/>
      <c r="D79" s="193"/>
      <c r="E79" s="194" t="s">
        <v>48</v>
      </c>
      <c r="F79" s="195"/>
      <c r="G79" s="196"/>
      <c r="H79" s="186"/>
      <c r="I79" s="187"/>
      <c r="J79" s="197">
        <f ca="1">IFERROR(__xludf.DUMMYFUNCTION("IMPORTRANGE(""https://docs.google.com/spreadsheets/d/11923uPwbBZFjjGgGUA6NLw09EwE0CqkOc4q9oUmW1yo/edit?usp=sharing"",""เชียงราย!J19"")"),1)</f>
        <v>1</v>
      </c>
      <c r="K79" s="163"/>
      <c r="L79" s="181"/>
      <c r="M79" s="181"/>
      <c r="N79" s="181"/>
      <c r="O79" s="181"/>
      <c r="P79" s="181"/>
    </row>
    <row r="80" spans="1:16" ht="21.75" customHeight="1" x14ac:dyDescent="0.3">
      <c r="A80" s="175"/>
      <c r="B80" s="176"/>
      <c r="C80" s="176"/>
      <c r="D80" s="193"/>
      <c r="E80" s="198"/>
      <c r="F80" s="194" t="s">
        <v>49</v>
      </c>
      <c r="G80" s="195"/>
      <c r="H80" s="199" t="s">
        <v>36</v>
      </c>
      <c r="I80" s="200">
        <f ca="1">IFERROR(__xludf.DUMMYFUNCTION("IMPORTRANGE(""https://docs.google.com/spreadsheets/d/11923uPwbBZFjjGgGUA6NLw09EwE0CqkOc4q9oUmW1yo/edit?usp=sharing"",""เชียงราย!I20"")"),1)</f>
        <v>1</v>
      </c>
      <c r="J80" s="200">
        <f ca="1">IFERROR(__xludf.DUMMYFUNCTION("IMPORTRANGE(""https://docs.google.com/spreadsheets/d/11923uPwbBZFjjGgGUA6NLw09EwE0CqkOc4q9oUmW1yo/edit?usp=sharing"",""เชียงราย!J20"")"),1)</f>
        <v>1</v>
      </c>
      <c r="K80" s="201">
        <f t="shared" ref="K80:K88" ca="1" si="50">IF(I80&gt;0,J80*100/I80,0)</f>
        <v>100</v>
      </c>
      <c r="L80" s="181"/>
      <c r="M80" s="181"/>
      <c r="N80" s="181"/>
      <c r="O80" s="181"/>
      <c r="P80" s="181"/>
    </row>
    <row r="81" spans="1:16" ht="21.75" customHeight="1" x14ac:dyDescent="0.3">
      <c r="A81" s="175"/>
      <c r="B81" s="176"/>
      <c r="C81" s="176"/>
      <c r="D81" s="193"/>
      <c r="E81" s="198"/>
      <c r="F81" s="195"/>
      <c r="G81" s="196"/>
      <c r="H81" s="199" t="s">
        <v>37</v>
      </c>
      <c r="I81" s="200">
        <f ca="1">IFERROR(__xludf.DUMMYFUNCTION("IMPORTRANGE(""https://docs.google.com/spreadsheets/d/11923uPwbBZFjjGgGUA6NLw09EwE0CqkOc4q9oUmW1yo/edit?usp=sharing"",""เชียงราย!I21"")"),60)</f>
        <v>60</v>
      </c>
      <c r="J81" s="200">
        <f ca="1">IFERROR(__xludf.DUMMYFUNCTION("IMPORTRANGE(""https://docs.google.com/spreadsheets/d/11923uPwbBZFjjGgGUA6NLw09EwE0CqkOc4q9oUmW1yo/edit?usp=sharing"",""เชียงราย!J21"")"),60)</f>
        <v>60</v>
      </c>
      <c r="K81" s="201">
        <f t="shared" ca="1" si="50"/>
        <v>100</v>
      </c>
      <c r="L81" s="181"/>
      <c r="M81" s="181"/>
      <c r="N81" s="181"/>
      <c r="O81" s="181"/>
      <c r="P81" s="181"/>
    </row>
    <row r="82" spans="1:16" ht="21.75" customHeight="1" x14ac:dyDescent="0.3">
      <c r="A82" s="175"/>
      <c r="B82" s="176"/>
      <c r="C82" s="176"/>
      <c r="D82" s="193"/>
      <c r="E82" s="198"/>
      <c r="F82" s="195"/>
      <c r="G82" s="195" t="s">
        <v>50</v>
      </c>
      <c r="H82" s="180" t="s">
        <v>36</v>
      </c>
      <c r="I82" s="202">
        <f ca="1">IFERROR(__xludf.DUMMYFUNCTION("IMPORTRANGE(""https://docs.google.com/spreadsheets/d/11923uPwbBZFjjGgGUA6NLw09EwE0CqkOc4q9oUmW1yo/edit?usp=sharing"",""เชียงราย!I22"")"),1)</f>
        <v>1</v>
      </c>
      <c r="J82" s="203">
        <f ca="1">IFERROR(__xludf.DUMMYFUNCTION("IMPORTRANGE(""https://docs.google.com/spreadsheets/d/11923uPwbBZFjjGgGUA6NLw09EwE0CqkOc4q9oUmW1yo/edit?usp=sharing"",""เชียงราย!J22"")"),1)</f>
        <v>1</v>
      </c>
      <c r="K82" s="163">
        <f t="shared" ca="1" si="50"/>
        <v>100</v>
      </c>
      <c r="L82" s="181"/>
      <c r="M82" s="181"/>
      <c r="N82" s="181"/>
      <c r="O82" s="181"/>
      <c r="P82" s="181"/>
    </row>
    <row r="83" spans="1:16" ht="21.75" customHeight="1" x14ac:dyDescent="0.3">
      <c r="A83" s="175"/>
      <c r="B83" s="176"/>
      <c r="C83" s="176"/>
      <c r="D83" s="193"/>
      <c r="E83" s="198"/>
      <c r="F83" s="195"/>
      <c r="G83" s="196"/>
      <c r="H83" s="180" t="s">
        <v>37</v>
      </c>
      <c r="I83" s="202">
        <f ca="1">IFERROR(__xludf.DUMMYFUNCTION("IMPORTRANGE(""https://docs.google.com/spreadsheets/d/11923uPwbBZFjjGgGUA6NLw09EwE0CqkOc4q9oUmW1yo/edit?usp=sharing"",""เชียงราย!I23"")"),60)</f>
        <v>60</v>
      </c>
      <c r="J83" s="203">
        <f ca="1">IFERROR(__xludf.DUMMYFUNCTION("IMPORTRANGE(""https://docs.google.com/spreadsheets/d/11923uPwbBZFjjGgGUA6NLw09EwE0CqkOc4q9oUmW1yo/edit?usp=sharing"",""เชียงราย!J23"")"),60)</f>
        <v>60</v>
      </c>
      <c r="K83" s="163">
        <f t="shared" ca="1" si="50"/>
        <v>100</v>
      </c>
      <c r="L83" s="181"/>
      <c r="M83" s="181"/>
      <c r="N83" s="181"/>
      <c r="O83" s="181"/>
      <c r="P83" s="181"/>
    </row>
    <row r="84" spans="1:16" ht="21.75" customHeight="1" x14ac:dyDescent="0.3">
      <c r="A84" s="175"/>
      <c r="B84" s="176"/>
      <c r="C84" s="176"/>
      <c r="D84" s="193"/>
      <c r="E84" s="198"/>
      <c r="F84" s="195"/>
      <c r="G84" s="195" t="s">
        <v>51</v>
      </c>
      <c r="H84" s="180" t="s">
        <v>36</v>
      </c>
      <c r="I84" s="202">
        <f ca="1">IFERROR(__xludf.DUMMYFUNCTION("IMPORTRANGE(""https://docs.google.com/spreadsheets/d/11923uPwbBZFjjGgGUA6NLw09EwE0CqkOc4q9oUmW1yo/edit?usp=sharing"",""เชียงราย!I24"")"),0)</f>
        <v>0</v>
      </c>
      <c r="J84" s="188">
        <f ca="1">IFERROR(__xludf.DUMMYFUNCTION("IMPORTRANGE(""https://docs.google.com/spreadsheets/d/11923uPwbBZFjjGgGUA6NLw09EwE0CqkOc4q9oUmW1yo/edit?usp=sharing"",""เชียงราย!J24"")"),0)</f>
        <v>0</v>
      </c>
      <c r="K84" s="163">
        <f t="shared" ca="1" si="50"/>
        <v>0</v>
      </c>
      <c r="L84" s="181"/>
      <c r="M84" s="181"/>
      <c r="N84" s="181"/>
      <c r="O84" s="181"/>
      <c r="P84" s="181"/>
    </row>
    <row r="85" spans="1:16" ht="21.75" customHeight="1" x14ac:dyDescent="0.3">
      <c r="A85" s="175"/>
      <c r="B85" s="176"/>
      <c r="C85" s="176"/>
      <c r="D85" s="193"/>
      <c r="E85" s="198"/>
      <c r="F85" s="195"/>
      <c r="G85" s="196"/>
      <c r="H85" s="180" t="s">
        <v>37</v>
      </c>
      <c r="I85" s="202">
        <f ca="1">IFERROR(__xludf.DUMMYFUNCTION("IMPORTRANGE(""https://docs.google.com/spreadsheets/d/11923uPwbBZFjjGgGUA6NLw09EwE0CqkOc4q9oUmW1yo/edit?usp=sharing"",""เชียงราย!I25"")"),0)</f>
        <v>0</v>
      </c>
      <c r="J85" s="188">
        <f ca="1">IFERROR(__xludf.DUMMYFUNCTION("IMPORTRANGE(""https://docs.google.com/spreadsheets/d/11923uPwbBZFjjGgGUA6NLw09EwE0CqkOc4q9oUmW1yo/edit?usp=sharing"",""เชียงราย!J25"")"),0)</f>
        <v>0</v>
      </c>
      <c r="K85" s="163">
        <f t="shared" ca="1" si="50"/>
        <v>0</v>
      </c>
      <c r="L85" s="181"/>
      <c r="M85" s="181"/>
      <c r="N85" s="181"/>
      <c r="O85" s="181"/>
      <c r="P85" s="181"/>
    </row>
    <row r="86" spans="1:16" ht="21.75" customHeight="1" x14ac:dyDescent="0.3">
      <c r="A86" s="175"/>
      <c r="B86" s="176"/>
      <c r="C86" s="176"/>
      <c r="D86" s="193"/>
      <c r="E86" s="198"/>
      <c r="F86" s="195"/>
      <c r="G86" s="195" t="s">
        <v>52</v>
      </c>
      <c r="H86" s="180" t="s">
        <v>36</v>
      </c>
      <c r="I86" s="202">
        <f ca="1">IFERROR(__xludf.DUMMYFUNCTION("IMPORTRANGE(""https://docs.google.com/spreadsheets/d/11923uPwbBZFjjGgGUA6NLw09EwE0CqkOc4q9oUmW1yo/edit?usp=sharing"",""เชียงราย!I26"")"),0)</f>
        <v>0</v>
      </c>
      <c r="J86" s="203">
        <f ca="1">IFERROR(__xludf.DUMMYFUNCTION("IMPORTRANGE(""https://docs.google.com/spreadsheets/d/11923uPwbBZFjjGgGUA6NLw09EwE0CqkOc4q9oUmW1yo/edit?usp=sharing"",""เชียงราย!J26"")"),0)</f>
        <v>0</v>
      </c>
      <c r="K86" s="163">
        <f t="shared" ca="1" si="50"/>
        <v>0</v>
      </c>
      <c r="L86" s="181"/>
      <c r="M86" s="181"/>
      <c r="N86" s="181"/>
      <c r="O86" s="181"/>
      <c r="P86" s="181"/>
    </row>
    <row r="87" spans="1:16" ht="21.75" customHeight="1" x14ac:dyDescent="0.3">
      <c r="A87" s="175"/>
      <c r="B87" s="176"/>
      <c r="C87" s="176"/>
      <c r="D87" s="193"/>
      <c r="E87" s="198"/>
      <c r="F87" s="195"/>
      <c r="G87" s="196"/>
      <c r="H87" s="180" t="s">
        <v>37</v>
      </c>
      <c r="I87" s="202">
        <f ca="1">IFERROR(__xludf.DUMMYFUNCTION("IMPORTRANGE(""https://docs.google.com/spreadsheets/d/11923uPwbBZFjjGgGUA6NLw09EwE0CqkOc4q9oUmW1yo/edit?usp=sharing"",""เชียงราย!I27"")"),0)</f>
        <v>0</v>
      </c>
      <c r="J87" s="203">
        <f ca="1">IFERROR(__xludf.DUMMYFUNCTION("IMPORTRANGE(""https://docs.google.com/spreadsheets/d/11923uPwbBZFjjGgGUA6NLw09EwE0CqkOc4q9oUmW1yo/edit?usp=sharing"",""เชียงราย!J27"")"),0)</f>
        <v>0</v>
      </c>
      <c r="K87" s="163">
        <f t="shared" ca="1" si="50"/>
        <v>0</v>
      </c>
      <c r="L87" s="181"/>
      <c r="M87" s="181"/>
      <c r="N87" s="181"/>
      <c r="O87" s="181"/>
      <c r="P87" s="181"/>
    </row>
    <row r="88" spans="1:16" ht="21.75" customHeight="1" x14ac:dyDescent="0.3">
      <c r="A88" s="175"/>
      <c r="B88" s="176"/>
      <c r="C88" s="176"/>
      <c r="D88" s="193"/>
      <c r="E88" s="198"/>
      <c r="F88" s="204" t="s">
        <v>53</v>
      </c>
      <c r="G88" s="195"/>
      <c r="H88" s="180" t="s">
        <v>37</v>
      </c>
      <c r="I88" s="202">
        <f ca="1">IFERROR(__xludf.DUMMYFUNCTION("IMPORTRANGE(""https://docs.google.com/spreadsheets/d/11923uPwbBZFjjGgGUA6NLw09EwE0CqkOc4q9oUmW1yo/edit?usp=sharing"",""เชียงราย!I28"")"),60)</f>
        <v>60</v>
      </c>
      <c r="J88" s="203">
        <f ca="1">IFERROR(__xludf.DUMMYFUNCTION("IMPORTRANGE(""https://docs.google.com/spreadsheets/d/11923uPwbBZFjjGgGUA6NLw09EwE0CqkOc4q9oUmW1yo/edit?usp=sharing"",""เชียงราย!J28"")"),0)</f>
        <v>0</v>
      </c>
      <c r="K88" s="163">
        <f t="shared" ca="1" si="50"/>
        <v>0</v>
      </c>
      <c r="L88" s="181"/>
      <c r="M88" s="181"/>
      <c r="N88" s="181"/>
      <c r="O88" s="181"/>
      <c r="P88" s="181"/>
    </row>
    <row r="89" spans="1:16" ht="21.75" customHeight="1" x14ac:dyDescent="0.3">
      <c r="A89" s="175"/>
      <c r="B89" s="176"/>
      <c r="C89" s="176"/>
      <c r="D89" s="193"/>
      <c r="E89" s="194" t="s">
        <v>54</v>
      </c>
      <c r="F89" s="195"/>
      <c r="G89" s="196"/>
      <c r="H89" s="186"/>
      <c r="I89" s="187"/>
      <c r="J89" s="197">
        <f ca="1">IFERROR(__xludf.DUMMYFUNCTION("IMPORTRANGE(""https://docs.google.com/spreadsheets/d/11923uPwbBZFjjGgGUA6NLw09EwE0CqkOc4q9oUmW1yo/edit?usp=sharing"",""เชียงราย!J29"")"),0)</f>
        <v>0</v>
      </c>
      <c r="K89" s="163"/>
      <c r="L89" s="181"/>
      <c r="M89" s="181"/>
      <c r="N89" s="181"/>
      <c r="O89" s="181"/>
      <c r="P89" s="181"/>
    </row>
    <row r="90" spans="1:16" ht="21.75" customHeight="1" x14ac:dyDescent="0.3">
      <c r="A90" s="175"/>
      <c r="B90" s="176"/>
      <c r="C90" s="176"/>
      <c r="D90" s="205">
        <v>3</v>
      </c>
      <c r="E90" s="206" t="s">
        <v>55</v>
      </c>
      <c r="F90" s="207"/>
      <c r="G90" s="208"/>
      <c r="H90" s="186"/>
      <c r="I90" s="187"/>
      <c r="J90" s="209">
        <f ca="1">IFERROR(__xludf.DUMMYFUNCTION("IMPORTRANGE(""https://docs.google.com/spreadsheets/d/11923uPwbBZFjjGgGUA6NLw09EwE0CqkOc4q9oUmW1yo/edit?usp=sharing"",""เชียงราย!J30"")"),0)</f>
        <v>0</v>
      </c>
      <c r="K90" s="163"/>
      <c r="L90" s="181"/>
      <c r="M90" s="181"/>
      <c r="N90" s="181"/>
      <c r="O90" s="181"/>
      <c r="P90" s="181"/>
    </row>
    <row r="91" spans="1:16" ht="21.75" customHeight="1" x14ac:dyDescent="0.3">
      <c r="A91" s="210" t="s">
        <v>56</v>
      </c>
      <c r="B91" s="211"/>
      <c r="C91" s="212"/>
      <c r="D91" s="211"/>
      <c r="E91" s="213"/>
      <c r="F91" s="213"/>
      <c r="G91" s="214"/>
      <c r="H91" s="215"/>
      <c r="I91" s="216"/>
      <c r="J91" s="216"/>
      <c r="K91" s="217"/>
      <c r="L91" s="218"/>
      <c r="M91" s="218"/>
      <c r="N91" s="218"/>
      <c r="O91" s="219"/>
      <c r="P91" s="219"/>
    </row>
    <row r="92" spans="1:16" ht="21.75" customHeight="1" x14ac:dyDescent="0.3">
      <c r="A92" s="137"/>
      <c r="B92" s="138" t="s">
        <v>57</v>
      </c>
      <c r="C92" s="138"/>
      <c r="D92" s="139"/>
      <c r="E92" s="138"/>
      <c r="F92" s="138"/>
      <c r="G92" s="220"/>
      <c r="H92" s="140" t="s">
        <v>37</v>
      </c>
      <c r="I92" s="141">
        <f ca="1">IFERROR(__xludf.DUMMYFUNCTION("IMPORTRANGE(""https://docs.google.com/spreadsheets/d/11923uPwbBZFjjGgGUA6NLw09EwE0CqkOc4q9oUmW1yo/edit?usp=sharing"",""เชียงราย!I32"")"),7)</f>
        <v>7</v>
      </c>
      <c r="J92" s="141">
        <f ca="1">IFERROR(__xludf.DUMMYFUNCTION("IMPORTRANGE(""https://docs.google.com/spreadsheets/d/11923uPwbBZFjjGgGUA6NLw09EwE0CqkOc4q9oUmW1yo/edit?usp=sharing"",""เชียงราย!J32"")"),0)</f>
        <v>0</v>
      </c>
      <c r="K92" s="142">
        <f t="shared" ref="K92:K93" ca="1" si="51">IF(I92&gt;0,J92*100/I92,0)</f>
        <v>0</v>
      </c>
      <c r="L92" s="221"/>
      <c r="M92" s="221"/>
      <c r="N92" s="222"/>
      <c r="O92" s="142"/>
      <c r="P92" s="142"/>
    </row>
    <row r="93" spans="1:16" ht="21.75" customHeight="1" x14ac:dyDescent="0.3">
      <c r="A93" s="137"/>
      <c r="B93" s="138"/>
      <c r="C93" s="138"/>
      <c r="D93" s="139" t="s">
        <v>58</v>
      </c>
      <c r="E93" s="138"/>
      <c r="F93" s="138"/>
      <c r="G93" s="220"/>
      <c r="H93" s="140" t="s">
        <v>59</v>
      </c>
      <c r="I93" s="141">
        <f ca="1">IFERROR(__xludf.DUMMYFUNCTION("IMPORTRANGE(""https://docs.google.com/spreadsheets/d/11923uPwbBZFjjGgGUA6NLw09EwE0CqkOc4q9oUmW1yo/edit?usp=sharing"",""เชียงราย!I33"")"),2)</f>
        <v>2</v>
      </c>
      <c r="J93" s="141">
        <f ca="1">IFERROR(__xludf.DUMMYFUNCTION("IMPORTRANGE(""https://docs.google.com/spreadsheets/d/11923uPwbBZFjjGgGUA6NLw09EwE0CqkOc4q9oUmW1yo/edit?usp=sharing"",""เชียงราย!J33"")"),2)</f>
        <v>2</v>
      </c>
      <c r="K93" s="142">
        <f t="shared" ca="1" si="51"/>
        <v>100</v>
      </c>
      <c r="L93" s="222"/>
      <c r="M93" s="222"/>
      <c r="N93" s="222"/>
      <c r="O93" s="142"/>
      <c r="P93" s="142"/>
    </row>
    <row r="94" spans="1:16" ht="21.75" customHeight="1" x14ac:dyDescent="0.45">
      <c r="A94" s="145"/>
      <c r="B94" s="146"/>
      <c r="C94" s="147" t="s">
        <v>16</v>
      </c>
      <c r="D94" s="537" t="s">
        <v>17</v>
      </c>
      <c r="E94" s="528"/>
      <c r="F94" s="528"/>
      <c r="G94" s="528"/>
      <c r="H94" s="148" t="s">
        <v>12</v>
      </c>
      <c r="I94" s="162"/>
      <c r="J94" s="162"/>
      <c r="K94" s="163"/>
      <c r="L94" s="151">
        <f t="shared" ref="L94:N94" ca="1" si="52">L95+L96</f>
        <v>318960</v>
      </c>
      <c r="M94" s="151">
        <f t="shared" ca="1" si="52"/>
        <v>265590</v>
      </c>
      <c r="N94" s="151">
        <f t="shared" ca="1" si="52"/>
        <v>194550</v>
      </c>
      <c r="O94" s="150">
        <f t="shared" ref="O94:O96" ca="1" si="53">IF(L94&gt;0,N94*100/L94,0)</f>
        <v>60.995109104589915</v>
      </c>
      <c r="P94" s="150">
        <f t="shared" ref="P94:P96" ca="1" si="54">IF(M94&gt;0,N94*100/M94,0)</f>
        <v>73.25200497006665</v>
      </c>
    </row>
    <row r="95" spans="1:16" ht="21.75" customHeight="1" x14ac:dyDescent="0.45">
      <c r="A95" s="152"/>
      <c r="B95" s="32"/>
      <c r="C95" s="32"/>
      <c r="D95" s="32"/>
      <c r="E95" s="32"/>
      <c r="F95" s="32"/>
      <c r="G95" s="33" t="s">
        <v>18</v>
      </c>
      <c r="H95" s="153" t="s">
        <v>12</v>
      </c>
      <c r="I95" s="162"/>
      <c r="J95" s="162"/>
      <c r="K95" s="163"/>
      <c r="L95" s="87">
        <f t="shared" ref="L95:N95" si="55">L97+L101</f>
        <v>0</v>
      </c>
      <c r="M95" s="87">
        <f t="shared" si="55"/>
        <v>0</v>
      </c>
      <c r="N95" s="87">
        <f t="shared" si="55"/>
        <v>0</v>
      </c>
      <c r="O95" s="155">
        <f t="shared" si="53"/>
        <v>0</v>
      </c>
      <c r="P95" s="155">
        <f t="shared" si="54"/>
        <v>0</v>
      </c>
    </row>
    <row r="96" spans="1:16" ht="21.75" customHeight="1" x14ac:dyDescent="0.45">
      <c r="A96" s="152"/>
      <c r="B96" s="32"/>
      <c r="C96" s="32"/>
      <c r="D96" s="32"/>
      <c r="E96" s="32"/>
      <c r="F96" s="32"/>
      <c r="G96" s="33" t="s">
        <v>19</v>
      </c>
      <c r="H96" s="153" t="s">
        <v>12</v>
      </c>
      <c r="I96" s="162"/>
      <c r="J96" s="162"/>
      <c r="K96" s="163"/>
      <c r="L96" s="87">
        <f t="shared" ref="L96:N96" ca="1" si="56">L98+L102</f>
        <v>318960</v>
      </c>
      <c r="M96" s="87">
        <f t="shared" ca="1" si="56"/>
        <v>265590</v>
      </c>
      <c r="N96" s="87">
        <f t="shared" ca="1" si="56"/>
        <v>194550</v>
      </c>
      <c r="O96" s="155">
        <f t="shared" ca="1" si="53"/>
        <v>60.995109104589915</v>
      </c>
      <c r="P96" s="155">
        <f t="shared" ca="1" si="54"/>
        <v>73.25200497006665</v>
      </c>
    </row>
    <row r="97" spans="1:16" ht="21.75" customHeight="1" x14ac:dyDescent="0.3">
      <c r="A97" s="156"/>
      <c r="B97" s="157"/>
      <c r="C97" s="157" t="s">
        <v>16</v>
      </c>
      <c r="D97" s="158" t="s">
        <v>38</v>
      </c>
      <c r="E97" s="159"/>
      <c r="F97" s="159"/>
      <c r="G97" s="160" t="s">
        <v>39</v>
      </c>
      <c r="H97" s="161" t="s">
        <v>12</v>
      </c>
      <c r="I97" s="162" t="s">
        <v>40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3">
      <c r="A98" s="156"/>
      <c r="B98" s="157"/>
      <c r="C98" s="157"/>
      <c r="D98" s="166"/>
      <c r="E98" s="159"/>
      <c r="F98" s="159" t="s">
        <v>40</v>
      </c>
      <c r="G98" s="160" t="s">
        <v>41</v>
      </c>
      <c r="H98" s="161" t="s">
        <v>12</v>
      </c>
      <c r="I98" s="162"/>
      <c r="J98" s="162"/>
      <c r="K98" s="163"/>
      <c r="L98" s="167">
        <f ca="1">L99+L100</f>
        <v>134160</v>
      </c>
      <c r="M98" s="167">
        <f ca="1">IFERROR(__xludf.DUMMYFUNCTION("IMPORTRANGE(""https://docs.google.com/spreadsheets/d/1Yj_ptqi66GCucihVvJfMjLAmec39IyEx_6qawtMGysU/edit?usp=sharing"",""สบก!AR21"")"),80790)</f>
        <v>80790</v>
      </c>
      <c r="N98" s="168">
        <f ca="1">IFERROR(__xludf.DUMMYFUNCTION("IMPORTRANGE(""https://docs.google.com/spreadsheets/d/1Yj_ptqi66GCucihVvJfMjLAmec39IyEx_6qawtMGysU/edit?usp=sharing"",""สบก!AS21"")"),9750)</f>
        <v>9750</v>
      </c>
      <c r="O98" s="168">
        <f ca="1">IF(L98&gt;0,N98*100/L98,0)</f>
        <v>7.2674418604651159</v>
      </c>
      <c r="P98" s="168">
        <f ca="1">IF(M98&gt;0,N98*100/M98,0)</f>
        <v>12.068325287783141</v>
      </c>
    </row>
    <row r="99" spans="1:16" ht="21.75" customHeight="1" x14ac:dyDescent="0.3">
      <c r="A99" s="156"/>
      <c r="B99" s="157"/>
      <c r="C99" s="157"/>
      <c r="D99" s="166"/>
      <c r="E99" s="159"/>
      <c r="F99" s="159"/>
      <c r="G99" s="169" t="s">
        <v>42</v>
      </c>
      <c r="H99" s="161" t="s">
        <v>12</v>
      </c>
      <c r="I99" s="162"/>
      <c r="J99" s="162"/>
      <c r="K99" s="163"/>
      <c r="L99" s="167">
        <f ca="1">IFERROR(__xludf.DUMMYFUNCTION("IMPORTRANGE(""https://docs.google.com/spreadsheets/d/1Yj_ptqi66GCucihVvJfMjLAmec39IyEx_6qawtMGysU/edit?usp=sharing"",""สบก!AN21"")"),0)</f>
        <v>0</v>
      </c>
      <c r="M99" s="167"/>
      <c r="N99" s="167"/>
      <c r="O99" s="168"/>
      <c r="P99" s="168"/>
    </row>
    <row r="100" spans="1:16" ht="21.75" customHeight="1" x14ac:dyDescent="0.3">
      <c r="A100" s="156"/>
      <c r="B100" s="157"/>
      <c r="C100" s="157"/>
      <c r="D100" s="166"/>
      <c r="E100" s="159"/>
      <c r="F100" s="159"/>
      <c r="G100" s="169" t="s">
        <v>43</v>
      </c>
      <c r="H100" s="161" t="s">
        <v>12</v>
      </c>
      <c r="I100" s="162"/>
      <c r="J100" s="187"/>
      <c r="K100" s="223"/>
      <c r="L100" s="167">
        <f ca="1">IFERROR(__xludf.DUMMYFUNCTION("IMPORTRANGE(""https://docs.google.com/spreadsheets/d/1Yj_ptqi66GCucihVvJfMjLAmec39IyEx_6qawtMGysU/edit?usp=sharing"",""สบก!AO21"")"),134160)</f>
        <v>134160</v>
      </c>
      <c r="M100" s="167"/>
      <c r="N100" s="167"/>
      <c r="O100" s="168"/>
      <c r="P100" s="168"/>
    </row>
    <row r="101" spans="1:16" ht="21.75" customHeight="1" x14ac:dyDescent="0.45">
      <c r="A101" s="170"/>
      <c r="B101" s="80"/>
      <c r="C101" s="81" t="s">
        <v>16</v>
      </c>
      <c r="D101" s="534" t="s">
        <v>23</v>
      </c>
      <c r="E101" s="530"/>
      <c r="F101" s="88"/>
      <c r="G101" s="82" t="s">
        <v>18</v>
      </c>
      <c r="H101" s="171" t="s">
        <v>12</v>
      </c>
      <c r="I101" s="187"/>
      <c r="J101" s="187"/>
      <c r="K101" s="223"/>
      <c r="L101" s="41">
        <v>0</v>
      </c>
      <c r="M101" s="41"/>
      <c r="N101" s="41"/>
      <c r="O101" s="41"/>
      <c r="P101" s="41"/>
    </row>
    <row r="102" spans="1:16" ht="21.75" customHeight="1" x14ac:dyDescent="0.45">
      <c r="A102" s="172"/>
      <c r="B102" s="91"/>
      <c r="C102" s="91"/>
      <c r="D102" s="173"/>
      <c r="E102" s="92"/>
      <c r="F102" s="92"/>
      <c r="G102" s="93" t="s">
        <v>19</v>
      </c>
      <c r="H102" s="174" t="s">
        <v>12</v>
      </c>
      <c r="I102" s="187"/>
      <c r="J102" s="187"/>
      <c r="K102" s="223"/>
      <c r="L102" s="49">
        <f ca="1">IFERROR(__xludf.DUMMYFUNCTION("IMPORTRANGE(""https://docs.google.com/spreadsheets/d/1Yj_ptqi66GCucihVvJfMjLAmec39IyEx_6qawtMGysU/edit?usp=sharing"",""สบก!AP21"")"),184800)</f>
        <v>184800</v>
      </c>
      <c r="M102" s="49">
        <f ca="1">L102</f>
        <v>184800</v>
      </c>
      <c r="N102" s="49">
        <f ca="1">IFERROR(__xludf.DUMMYFUNCTION("IMPORTRANGE(""https://docs.google.com/spreadsheets/d/1Yj_ptqi66GCucihVvJfMjLAmec39IyEx_6qawtMGysU/edit?usp=sharing"",""สบก!AT21"")"),184800)</f>
        <v>184800</v>
      </c>
      <c r="O102" s="49">
        <f ca="1">IF(L102&gt;0,N102*100/L102,0)</f>
        <v>100</v>
      </c>
      <c r="P102" s="49">
        <f ca="1">IF(M102&gt;0,N102*100/M102,0)</f>
        <v>100</v>
      </c>
    </row>
    <row r="103" spans="1:16" ht="21.75" customHeight="1" x14ac:dyDescent="0.3">
      <c r="A103" s="175"/>
      <c r="B103" s="176"/>
      <c r="C103" s="157" t="s">
        <v>16</v>
      </c>
      <c r="D103" s="177" t="s">
        <v>44</v>
      </c>
      <c r="E103" s="178"/>
      <c r="F103" s="178"/>
      <c r="G103" s="179"/>
      <c r="H103" s="180"/>
      <c r="I103" s="162"/>
      <c r="J103" s="187"/>
      <c r="K103" s="223"/>
      <c r="L103" s="168"/>
      <c r="M103" s="168"/>
      <c r="N103" s="168"/>
      <c r="O103" s="181"/>
      <c r="P103" s="181"/>
    </row>
    <row r="104" spans="1:16" ht="21.75" customHeight="1" x14ac:dyDescent="0.3">
      <c r="A104" s="175"/>
      <c r="B104" s="176"/>
      <c r="C104" s="176"/>
      <c r="D104" s="182">
        <v>1</v>
      </c>
      <c r="E104" s="183" t="s">
        <v>45</v>
      </c>
      <c r="F104" s="184"/>
      <c r="G104" s="185"/>
      <c r="H104" s="186"/>
      <c r="I104" s="187"/>
      <c r="J104" s="187">
        <f ca="1">IFERROR(__xludf.DUMMYFUNCTION("IMPORTRANGE(""https://docs.google.com/spreadsheets/d/11923uPwbBZFjjGgGUA6NLw09EwE0CqkOc4q9oUmW1yo/edit?usp=sharing"",""เชียงราย!J39"")"),0)</f>
        <v>0</v>
      </c>
      <c r="K104" s="223"/>
      <c r="L104" s="168"/>
      <c r="M104" s="168"/>
      <c r="N104" s="168"/>
      <c r="O104" s="181"/>
      <c r="P104" s="181"/>
    </row>
    <row r="105" spans="1:16" ht="21.75" customHeight="1" x14ac:dyDescent="0.3">
      <c r="A105" s="175"/>
      <c r="B105" s="176"/>
      <c r="C105" s="176"/>
      <c r="D105" s="189">
        <v>2</v>
      </c>
      <c r="E105" s="190" t="s">
        <v>46</v>
      </c>
      <c r="F105" s="191"/>
      <c r="G105" s="192"/>
      <c r="H105" s="186"/>
      <c r="I105" s="187"/>
      <c r="J105" s="187">
        <f ca="1">IFERROR(__xludf.DUMMYFUNCTION("IMPORTRANGE(""https://docs.google.com/spreadsheets/d/11923uPwbBZFjjGgGUA6NLw09EwE0CqkOc4q9oUmW1yo/edit?usp=sharing"",""เชียงราย!J40"")"),1)</f>
        <v>1</v>
      </c>
      <c r="K105" s="223"/>
      <c r="L105" s="168" t="s">
        <v>40</v>
      </c>
      <c r="M105" s="168"/>
      <c r="N105" s="168" t="s">
        <v>40</v>
      </c>
      <c r="O105" s="181"/>
      <c r="P105" s="181"/>
    </row>
    <row r="106" spans="1:16" ht="21.75" customHeight="1" x14ac:dyDescent="0.3">
      <c r="A106" s="175"/>
      <c r="B106" s="176"/>
      <c r="C106" s="176"/>
      <c r="D106" s="193"/>
      <c r="E106" s="194" t="s">
        <v>47</v>
      </c>
      <c r="F106" s="195"/>
      <c r="G106" s="196"/>
      <c r="H106" s="186"/>
      <c r="I106" s="187"/>
      <c r="J106" s="187">
        <f ca="1">IFERROR(__xludf.DUMMYFUNCTION("IMPORTRANGE(""https://docs.google.com/spreadsheets/d/11923uPwbBZFjjGgGUA6NLw09EwE0CqkOc4q9oUmW1yo/edit?usp=sharing"",""เชียงราย!J41"")"),1)</f>
        <v>1</v>
      </c>
      <c r="K106" s="223"/>
      <c r="L106" s="168"/>
      <c r="M106" s="168"/>
      <c r="N106" s="168"/>
      <c r="O106" s="181"/>
      <c r="P106" s="181"/>
    </row>
    <row r="107" spans="1:16" ht="21.75" customHeight="1" x14ac:dyDescent="0.3">
      <c r="A107" s="175"/>
      <c r="B107" s="176"/>
      <c r="C107" s="176"/>
      <c r="D107" s="193"/>
      <c r="E107" s="194" t="s">
        <v>48</v>
      </c>
      <c r="F107" s="195"/>
      <c r="G107" s="196"/>
      <c r="H107" s="186"/>
      <c r="I107" s="187"/>
      <c r="J107" s="187">
        <f ca="1">IFERROR(__xludf.DUMMYFUNCTION("IMPORTRANGE(""https://docs.google.com/spreadsheets/d/11923uPwbBZFjjGgGUA6NLw09EwE0CqkOc4q9oUmW1yo/edit?usp=sharing"",""เชียงราย!J42"")"),1)</f>
        <v>1</v>
      </c>
      <c r="K107" s="223"/>
      <c r="L107" s="168"/>
      <c r="M107" s="168"/>
      <c r="N107" s="168"/>
      <c r="O107" s="181"/>
      <c r="P107" s="181"/>
    </row>
    <row r="108" spans="1:16" ht="21.75" customHeight="1" x14ac:dyDescent="0.3">
      <c r="A108" s="175"/>
      <c r="B108" s="176"/>
      <c r="C108" s="176"/>
      <c r="D108" s="193"/>
      <c r="E108" s="195"/>
      <c r="F108" s="195" t="s">
        <v>60</v>
      </c>
      <c r="G108" s="195"/>
      <c r="H108" s="180" t="s">
        <v>61</v>
      </c>
      <c r="I108" s="202">
        <f ca="1">IFERROR(__xludf.DUMMYFUNCTION("IMPORTRANGE(""https://docs.google.com/spreadsheets/d/11923uPwbBZFjjGgGUA6NLw09EwE0CqkOc4q9oUmW1yo/edit?usp=sharing"",""เชียงราย!I43"")"),1)</f>
        <v>1</v>
      </c>
      <c r="J108" s="203">
        <f ca="1">IFERROR(__xludf.DUMMYFUNCTION("IMPORTRANGE(""https://docs.google.com/spreadsheets/d/11923uPwbBZFjjGgGUA6NLw09EwE0CqkOc4q9oUmW1yo/edit?usp=sharing"",""เชียงราย!J43"")"),0)</f>
        <v>0</v>
      </c>
      <c r="K108" s="223">
        <f t="shared" ref="K108:K113" ca="1" si="57">IF(I108&gt;0,J108*100/I108,0)</f>
        <v>0</v>
      </c>
      <c r="L108" s="168"/>
      <c r="M108" s="168"/>
      <c r="N108" s="168"/>
      <c r="O108" s="181"/>
      <c r="P108" s="181"/>
    </row>
    <row r="109" spans="1:16" ht="21.75" customHeight="1" x14ac:dyDescent="0.3">
      <c r="A109" s="175"/>
      <c r="B109" s="176"/>
      <c r="C109" s="176"/>
      <c r="D109" s="193"/>
      <c r="E109" s="198"/>
      <c r="F109" s="194" t="s">
        <v>62</v>
      </c>
      <c r="G109" s="195"/>
      <c r="H109" s="180" t="s">
        <v>37</v>
      </c>
      <c r="I109" s="202">
        <f ca="1">IFERROR(__xludf.DUMMYFUNCTION("IMPORTRANGE(""https://docs.google.com/spreadsheets/d/11923uPwbBZFjjGgGUA6NLw09EwE0CqkOc4q9oUmW1yo/edit?usp=sharing"",""เชียงราย!I44"")"),7)</f>
        <v>7</v>
      </c>
      <c r="J109" s="203">
        <f ca="1">IFERROR(__xludf.DUMMYFUNCTION("IMPORTRANGE(""https://docs.google.com/spreadsheets/d/11923uPwbBZFjjGgGUA6NLw09EwE0CqkOc4q9oUmW1yo/edit?usp=sharing"",""เชียงราย!J44"")"),0)</f>
        <v>0</v>
      </c>
      <c r="K109" s="223">
        <f t="shared" ca="1" si="57"/>
        <v>0</v>
      </c>
      <c r="L109" s="168"/>
      <c r="M109" s="168"/>
      <c r="N109" s="168"/>
      <c r="O109" s="181"/>
      <c r="P109" s="181"/>
    </row>
    <row r="110" spans="1:16" ht="21.75" customHeight="1" x14ac:dyDescent="0.3">
      <c r="A110" s="175"/>
      <c r="B110" s="176"/>
      <c r="C110" s="176"/>
      <c r="D110" s="193"/>
      <c r="E110" s="198"/>
      <c r="F110" s="195"/>
      <c r="G110" s="224" t="s">
        <v>63</v>
      </c>
      <c r="H110" s="180" t="s">
        <v>37</v>
      </c>
      <c r="I110" s="202">
        <f ca="1">IFERROR(__xludf.DUMMYFUNCTION("IMPORTRANGE(""https://docs.google.com/spreadsheets/d/11923uPwbBZFjjGgGUA6NLw09EwE0CqkOc4q9oUmW1yo/edit?usp=sharing"",""เชียงราย!I45"")"),7)</f>
        <v>7</v>
      </c>
      <c r="J110" s="203">
        <f ca="1">IFERROR(__xludf.DUMMYFUNCTION("IMPORTRANGE(""https://docs.google.com/spreadsheets/d/11923uPwbBZFjjGgGUA6NLw09EwE0CqkOc4q9oUmW1yo/edit?usp=sharing"",""เชียงราย!J45"")"),7)</f>
        <v>7</v>
      </c>
      <c r="K110" s="223">
        <f t="shared" ca="1" si="57"/>
        <v>100</v>
      </c>
      <c r="L110" s="168"/>
      <c r="M110" s="168"/>
      <c r="N110" s="168"/>
      <c r="O110" s="181"/>
      <c r="P110" s="181"/>
    </row>
    <row r="111" spans="1:16" ht="21.75" customHeight="1" x14ac:dyDescent="0.3">
      <c r="A111" s="175"/>
      <c r="B111" s="176"/>
      <c r="C111" s="176"/>
      <c r="D111" s="193"/>
      <c r="E111" s="198"/>
      <c r="F111" s="195"/>
      <c r="G111" s="224" t="s">
        <v>64</v>
      </c>
      <c r="H111" s="180" t="s">
        <v>37</v>
      </c>
      <c r="I111" s="202">
        <f ca="1">IFERROR(__xludf.DUMMYFUNCTION("IMPORTRANGE(""https://docs.google.com/spreadsheets/d/11923uPwbBZFjjGgGUA6NLw09EwE0CqkOc4q9oUmW1yo/edit?usp=sharing"",""เชียงราย!I46"")"),7)</f>
        <v>7</v>
      </c>
      <c r="J111" s="203">
        <f ca="1">IFERROR(__xludf.DUMMYFUNCTION("IMPORTRANGE(""https://docs.google.com/spreadsheets/d/11923uPwbBZFjjGgGUA6NLw09EwE0CqkOc4q9oUmW1yo/edit?usp=sharing"",""เชียงราย!J46"")"),0)</f>
        <v>0</v>
      </c>
      <c r="K111" s="223">
        <f t="shared" ca="1" si="57"/>
        <v>0</v>
      </c>
      <c r="L111" s="168"/>
      <c r="M111" s="168"/>
      <c r="N111" s="168"/>
      <c r="O111" s="181"/>
      <c r="P111" s="181"/>
    </row>
    <row r="112" spans="1:16" ht="21.75" customHeight="1" x14ac:dyDescent="0.3">
      <c r="A112" s="175"/>
      <c r="B112" s="176"/>
      <c r="C112" s="176"/>
      <c r="D112" s="193"/>
      <c r="E112" s="198"/>
      <c r="F112" s="195"/>
      <c r="G112" s="225" t="s">
        <v>65</v>
      </c>
      <c r="H112" s="180" t="s">
        <v>37</v>
      </c>
      <c r="I112" s="202">
        <f ca="1">IFERROR(__xludf.DUMMYFUNCTION("IMPORTRANGE(""https://docs.google.com/spreadsheets/d/11923uPwbBZFjjGgGUA6NLw09EwE0CqkOc4q9oUmW1yo/edit?usp=sharing"",""เชียงราย!I47"")"),7)</f>
        <v>7</v>
      </c>
      <c r="J112" s="203">
        <f ca="1">IFERROR(__xludf.DUMMYFUNCTION("IMPORTRANGE(""https://docs.google.com/spreadsheets/d/11923uPwbBZFjjGgGUA6NLw09EwE0CqkOc4q9oUmW1yo/edit?usp=sharing"",""เชียงราย!J47"")"),0)</f>
        <v>0</v>
      </c>
      <c r="K112" s="223">
        <f t="shared" ca="1" si="57"/>
        <v>0</v>
      </c>
      <c r="L112" s="168"/>
      <c r="M112" s="168"/>
      <c r="N112" s="168"/>
      <c r="O112" s="181"/>
      <c r="P112" s="181"/>
    </row>
    <row r="113" spans="1:16" ht="21.75" customHeight="1" x14ac:dyDescent="0.3">
      <c r="A113" s="175"/>
      <c r="B113" s="176"/>
      <c r="C113" s="176"/>
      <c r="D113" s="193"/>
      <c r="E113" s="198"/>
      <c r="F113" s="195" t="s">
        <v>66</v>
      </c>
      <c r="G113" s="195"/>
      <c r="H113" s="180" t="s">
        <v>59</v>
      </c>
      <c r="I113" s="202">
        <f ca="1">IFERROR(__xludf.DUMMYFUNCTION("IMPORTRANGE(""https://docs.google.com/spreadsheets/d/11923uPwbBZFjjGgGUA6NLw09EwE0CqkOc4q9oUmW1yo/edit?usp=sharing"",""เชียงราย!I48"")"),2)</f>
        <v>2</v>
      </c>
      <c r="J113" s="203">
        <f ca="1">IFERROR(__xludf.DUMMYFUNCTION("IMPORTRANGE(""https://docs.google.com/spreadsheets/d/11923uPwbBZFjjGgGUA6NLw09EwE0CqkOc4q9oUmW1yo/edit?usp=sharing"",""เชียงราย!J48"")"),2)</f>
        <v>2</v>
      </c>
      <c r="K113" s="223">
        <f t="shared" ca="1" si="57"/>
        <v>100</v>
      </c>
      <c r="L113" s="168"/>
      <c r="M113" s="168"/>
      <c r="N113" s="168"/>
      <c r="O113" s="181"/>
      <c r="P113" s="181"/>
    </row>
    <row r="114" spans="1:16" ht="21.75" customHeight="1" x14ac:dyDescent="0.3">
      <c r="A114" s="175"/>
      <c r="B114" s="176"/>
      <c r="C114" s="176"/>
      <c r="D114" s="193"/>
      <c r="E114" s="194" t="s">
        <v>54</v>
      </c>
      <c r="F114" s="195"/>
      <c r="G114" s="196"/>
      <c r="H114" s="186"/>
      <c r="I114" s="187"/>
      <c r="J114" s="187">
        <f ca="1">IFERROR(__xludf.DUMMYFUNCTION("IMPORTRANGE(""https://docs.google.com/spreadsheets/d/11923uPwbBZFjjGgGUA6NLw09EwE0CqkOc4q9oUmW1yo/edit?usp=sharing"",""เชียงราย!J49"")"),0)</f>
        <v>0</v>
      </c>
      <c r="K114" s="223"/>
      <c r="L114" s="168"/>
      <c r="M114" s="168"/>
      <c r="N114" s="168"/>
      <c r="O114" s="181"/>
      <c r="P114" s="181"/>
    </row>
    <row r="115" spans="1:16" ht="21.75" customHeight="1" x14ac:dyDescent="0.3">
      <c r="A115" s="175"/>
      <c r="B115" s="176"/>
      <c r="C115" s="176"/>
      <c r="D115" s="205">
        <v>3</v>
      </c>
      <c r="E115" s="206" t="s">
        <v>55</v>
      </c>
      <c r="F115" s="207"/>
      <c r="G115" s="208"/>
      <c r="H115" s="186"/>
      <c r="I115" s="187"/>
      <c r="J115" s="226">
        <f ca="1">IFERROR(__xludf.DUMMYFUNCTION("IMPORTRANGE(""https://docs.google.com/spreadsheets/d/11923uPwbBZFjjGgGUA6NLw09EwE0CqkOc4q9oUmW1yo/edit?usp=sharing"",""เชียงราย!J50"")"),0)</f>
        <v>0</v>
      </c>
      <c r="K115" s="223"/>
      <c r="L115" s="168"/>
      <c r="M115" s="168"/>
      <c r="N115" s="168"/>
      <c r="O115" s="181"/>
      <c r="P115" s="181"/>
    </row>
    <row r="116" spans="1:16" ht="21.75" customHeight="1" x14ac:dyDescent="0.3">
      <c r="A116" s="210" t="s">
        <v>67</v>
      </c>
      <c r="B116" s="227"/>
      <c r="C116" s="228"/>
      <c r="D116" s="227"/>
      <c r="E116" s="229"/>
      <c r="F116" s="229"/>
      <c r="G116" s="230"/>
      <c r="H116" s="215"/>
      <c r="I116" s="216"/>
      <c r="J116" s="216"/>
      <c r="K116" s="217"/>
      <c r="L116" s="218"/>
      <c r="M116" s="218"/>
      <c r="N116" s="218"/>
      <c r="O116" s="219"/>
      <c r="P116" s="219"/>
    </row>
    <row r="117" spans="1:16" ht="21.75" customHeight="1" x14ac:dyDescent="0.3">
      <c r="A117" s="137"/>
      <c r="B117" s="138" t="s">
        <v>68</v>
      </c>
      <c r="C117" s="231"/>
      <c r="D117" s="139"/>
      <c r="E117" s="138"/>
      <c r="F117" s="138"/>
      <c r="G117" s="220"/>
      <c r="H117" s="140" t="s">
        <v>37</v>
      </c>
      <c r="I117" s="141">
        <f ca="1">IFERROR(__xludf.DUMMYFUNCTION("IMPORTRANGE(""https://docs.google.com/spreadsheets/d/11923uPwbBZFjjGgGUA6NLw09EwE0CqkOc4q9oUmW1yo/edit?usp=sharing"",""เชียงราย!I52"")"),0)</f>
        <v>0</v>
      </c>
      <c r="J117" s="141">
        <f ca="1">IFERROR(__xludf.DUMMYFUNCTION("IMPORTRANGE(""https://docs.google.com/spreadsheets/d/11923uPwbBZFjjGgGUA6NLw09EwE0CqkOc4q9oUmW1yo/edit?usp=sharing"",""เชียงราย!J52"")"),0)</f>
        <v>0</v>
      </c>
      <c r="K117" s="142">
        <f ca="1">IF(I117&gt;0,J117*100/I117,0)</f>
        <v>0</v>
      </c>
      <c r="L117" s="143"/>
      <c r="M117" s="143"/>
      <c r="N117" s="144"/>
      <c r="O117" s="142"/>
      <c r="P117" s="142"/>
    </row>
    <row r="118" spans="1:16" ht="21.75" customHeight="1" x14ac:dyDescent="0.45">
      <c r="A118" s="145"/>
      <c r="B118" s="146"/>
      <c r="C118" s="147" t="s">
        <v>16</v>
      </c>
      <c r="D118" s="537" t="s">
        <v>17</v>
      </c>
      <c r="E118" s="528"/>
      <c r="F118" s="528"/>
      <c r="G118" s="528"/>
      <c r="H118" s="148" t="s">
        <v>12</v>
      </c>
      <c r="I118" s="162"/>
      <c r="J118" s="162"/>
      <c r="K118" s="163"/>
      <c r="L118" s="151">
        <f t="shared" ref="L118:N118" ca="1" si="58">L119+L120</f>
        <v>0</v>
      </c>
      <c r="M118" s="151">
        <f t="shared" ca="1" si="58"/>
        <v>0</v>
      </c>
      <c r="N118" s="151">
        <f t="shared" ca="1" si="58"/>
        <v>0</v>
      </c>
      <c r="O118" s="150">
        <f t="shared" ref="O118:O120" ca="1" si="59">IF(L118&gt;0,N118*100/L118,0)</f>
        <v>0</v>
      </c>
      <c r="P118" s="150">
        <f t="shared" ref="P118:P120" ca="1" si="60">IF(M118&gt;0,N118*100/M118,0)</f>
        <v>0</v>
      </c>
    </row>
    <row r="119" spans="1:16" ht="21.75" customHeight="1" x14ac:dyDescent="0.45">
      <c r="A119" s="152"/>
      <c r="B119" s="32"/>
      <c r="C119" s="32"/>
      <c r="D119" s="32"/>
      <c r="E119" s="32"/>
      <c r="F119" s="32"/>
      <c r="G119" s="33" t="s">
        <v>18</v>
      </c>
      <c r="H119" s="153" t="s">
        <v>12</v>
      </c>
      <c r="I119" s="162"/>
      <c r="J119" s="162"/>
      <c r="K119" s="163"/>
      <c r="L119" s="87">
        <f t="shared" ref="L119:N119" si="61">L121+L125</f>
        <v>0</v>
      </c>
      <c r="M119" s="87">
        <f t="shared" si="61"/>
        <v>0</v>
      </c>
      <c r="N119" s="87">
        <f t="shared" si="61"/>
        <v>0</v>
      </c>
      <c r="O119" s="155">
        <f t="shared" si="59"/>
        <v>0</v>
      </c>
      <c r="P119" s="155">
        <f t="shared" si="60"/>
        <v>0</v>
      </c>
    </row>
    <row r="120" spans="1:16" ht="21.75" customHeight="1" x14ac:dyDescent="0.45">
      <c r="A120" s="152"/>
      <c r="B120" s="32"/>
      <c r="C120" s="32"/>
      <c r="D120" s="32"/>
      <c r="E120" s="32"/>
      <c r="F120" s="32"/>
      <c r="G120" s="33" t="s">
        <v>19</v>
      </c>
      <c r="H120" s="153" t="s">
        <v>12</v>
      </c>
      <c r="I120" s="162"/>
      <c r="J120" s="162"/>
      <c r="K120" s="163"/>
      <c r="L120" s="87">
        <f t="shared" ref="L120:N120" ca="1" si="62">L122+L126</f>
        <v>0</v>
      </c>
      <c r="M120" s="87">
        <f t="shared" ca="1" si="62"/>
        <v>0</v>
      </c>
      <c r="N120" s="87">
        <f t="shared" ca="1" si="62"/>
        <v>0</v>
      </c>
      <c r="O120" s="155">
        <f t="shared" ca="1" si="59"/>
        <v>0</v>
      </c>
      <c r="P120" s="155">
        <f t="shared" ca="1" si="60"/>
        <v>0</v>
      </c>
    </row>
    <row r="121" spans="1:16" ht="21.75" customHeight="1" x14ac:dyDescent="0.3">
      <c r="A121" s="156"/>
      <c r="B121" s="157"/>
      <c r="C121" s="157" t="s">
        <v>16</v>
      </c>
      <c r="D121" s="158" t="s">
        <v>38</v>
      </c>
      <c r="E121" s="159"/>
      <c r="F121" s="159"/>
      <c r="G121" s="160" t="s">
        <v>39</v>
      </c>
      <c r="H121" s="161" t="s">
        <v>12</v>
      </c>
      <c r="I121" s="162" t="s">
        <v>40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3">
      <c r="A122" s="156"/>
      <c r="B122" s="157"/>
      <c r="C122" s="157"/>
      <c r="D122" s="166"/>
      <c r="E122" s="159"/>
      <c r="F122" s="159" t="s">
        <v>40</v>
      </c>
      <c r="G122" s="160" t="s">
        <v>41</v>
      </c>
      <c r="H122" s="161" t="s">
        <v>12</v>
      </c>
      <c r="I122" s="162"/>
      <c r="J122" s="162"/>
      <c r="K122" s="163"/>
      <c r="L122" s="167">
        <f ca="1">L123+L124</f>
        <v>0</v>
      </c>
      <c r="M122" s="167">
        <f ca="1">IFERROR(__xludf.DUMMYFUNCTION("IMPORTRANGE(""https://docs.google.com/spreadsheets/d/1Yj_ptqi66GCucihVvJfMjLAmec39IyEx_6qawtMGysU/edit?usp=sharing"",""สบก!BA21"")"),0)</f>
        <v>0</v>
      </c>
      <c r="N122" s="168">
        <f ca="1">IFERROR(__xludf.DUMMYFUNCTION("IMPORTRANGE(""https://docs.google.com/spreadsheets/d/1Yj_ptqi66GCucihVvJfMjLAmec39IyEx_6qawtMGysU/edit?usp=sharing"",""สบก!BB21"")"),0)</f>
        <v>0</v>
      </c>
      <c r="O122" s="168">
        <f ca="1">IF(L122&gt;0,N122*100/L122,0)</f>
        <v>0</v>
      </c>
      <c r="P122" s="168">
        <f ca="1">IF(M122&gt;0,N122*100/M122,0)</f>
        <v>0</v>
      </c>
    </row>
    <row r="123" spans="1:16" ht="21.75" customHeight="1" x14ac:dyDescent="0.3">
      <c r="A123" s="156"/>
      <c r="B123" s="157"/>
      <c r="C123" s="157"/>
      <c r="D123" s="166"/>
      <c r="E123" s="159"/>
      <c r="F123" s="159"/>
      <c r="G123" s="169" t="s">
        <v>42</v>
      </c>
      <c r="H123" s="161" t="s">
        <v>12</v>
      </c>
      <c r="I123" s="162"/>
      <c r="J123" s="162"/>
      <c r="K123" s="163"/>
      <c r="L123" s="167">
        <f ca="1">IFERROR(__xludf.DUMMYFUNCTION("IMPORTRANGE(""https://docs.google.com/spreadsheets/d/1Yj_ptqi66GCucihVvJfMjLAmec39IyEx_6qawtMGysU/edit?usp=sharing"",""สบก!AW21"")"),0)</f>
        <v>0</v>
      </c>
      <c r="M123" s="167"/>
      <c r="N123" s="167"/>
      <c r="O123" s="168"/>
      <c r="P123" s="168"/>
    </row>
    <row r="124" spans="1:16" ht="21.75" customHeight="1" x14ac:dyDescent="0.3">
      <c r="A124" s="156"/>
      <c r="B124" s="157"/>
      <c r="C124" s="157"/>
      <c r="D124" s="166"/>
      <c r="E124" s="159"/>
      <c r="F124" s="159"/>
      <c r="G124" s="169" t="s">
        <v>43</v>
      </c>
      <c r="H124" s="161" t="s">
        <v>12</v>
      </c>
      <c r="I124" s="162"/>
      <c r="J124" s="187"/>
      <c r="K124" s="223"/>
      <c r="L124" s="167">
        <f ca="1">IFERROR(__xludf.DUMMYFUNCTION("IMPORTRANGE(""https://docs.google.com/spreadsheets/d/1Yj_ptqi66GCucihVvJfMjLAmec39IyEx_6qawtMGysU/edit?usp=sharing"",""สบก!AX21"")"),0)</f>
        <v>0</v>
      </c>
      <c r="M124" s="167"/>
      <c r="N124" s="167"/>
      <c r="O124" s="168"/>
      <c r="P124" s="168"/>
    </row>
    <row r="125" spans="1:16" ht="21.75" customHeight="1" x14ac:dyDescent="0.45">
      <c r="A125" s="170"/>
      <c r="B125" s="80"/>
      <c r="C125" s="81" t="s">
        <v>16</v>
      </c>
      <c r="D125" s="534" t="s">
        <v>23</v>
      </c>
      <c r="E125" s="530"/>
      <c r="F125" s="88"/>
      <c r="G125" s="82" t="s">
        <v>18</v>
      </c>
      <c r="H125" s="171" t="s">
        <v>12</v>
      </c>
      <c r="I125" s="187"/>
      <c r="J125" s="187"/>
      <c r="K125" s="223"/>
      <c r="L125" s="41">
        <v>0</v>
      </c>
      <c r="M125" s="41"/>
      <c r="N125" s="41"/>
      <c r="O125" s="41"/>
      <c r="P125" s="41"/>
    </row>
    <row r="126" spans="1:16" ht="21.75" customHeight="1" x14ac:dyDescent="0.45">
      <c r="A126" s="172"/>
      <c r="B126" s="91"/>
      <c r="C126" s="91"/>
      <c r="D126" s="173"/>
      <c r="E126" s="92"/>
      <c r="F126" s="92"/>
      <c r="G126" s="93" t="s">
        <v>19</v>
      </c>
      <c r="H126" s="174" t="s">
        <v>12</v>
      </c>
      <c r="I126" s="187"/>
      <c r="J126" s="187"/>
      <c r="K126" s="223"/>
      <c r="L126" s="49">
        <f ca="1">IFERROR(__xludf.DUMMYFUNCTION("IMPORTRANGE(""https://docs.google.com/spreadsheets/d/1Yj_ptqi66GCucihVvJfMjLAmec39IyEx_6qawtMGysU/edit?usp=sharing"",""สบก!AY21"")"),0)</f>
        <v>0</v>
      </c>
      <c r="M126" s="49"/>
      <c r="N126" s="49">
        <f ca="1">IFERROR(__xludf.DUMMYFUNCTION("IMPORTRANGE(""https://docs.google.com/spreadsheets/d/1Yj_ptqi66GCucihVvJfMjLAmec39IyEx_6qawtMGysU/edit?usp=sharing"",""สบก!BC21"")"),0)</f>
        <v>0</v>
      </c>
      <c r="O126" s="49">
        <f ca="1">IF(L126&gt;0,N126*100/L126,0)</f>
        <v>0</v>
      </c>
      <c r="P126" s="49"/>
    </row>
    <row r="127" spans="1:16" ht="21.75" customHeight="1" x14ac:dyDescent="0.3">
      <c r="A127" s="175"/>
      <c r="B127" s="176"/>
      <c r="C127" s="157" t="s">
        <v>16</v>
      </c>
      <c r="D127" s="232" t="s">
        <v>241</v>
      </c>
      <c r="E127" s="178"/>
      <c r="F127" s="178"/>
      <c r="G127" s="179"/>
      <c r="H127" s="180"/>
      <c r="I127" s="162"/>
      <c r="J127" s="187"/>
      <c r="K127" s="223"/>
      <c r="L127" s="168"/>
      <c r="M127" s="168"/>
      <c r="N127" s="168"/>
      <c r="O127" s="181"/>
      <c r="P127" s="181"/>
    </row>
    <row r="128" spans="1:16" ht="21.75" customHeight="1" x14ac:dyDescent="0.3">
      <c r="A128" s="175"/>
      <c r="B128" s="176"/>
      <c r="C128" s="176"/>
      <c r="D128" s="182">
        <v>1</v>
      </c>
      <c r="E128" s="183" t="s">
        <v>45</v>
      </c>
      <c r="F128" s="184"/>
      <c r="G128" s="185"/>
      <c r="H128" s="186"/>
      <c r="I128" s="187"/>
      <c r="J128" s="203">
        <f ca="1">IFERROR(__xludf.DUMMYFUNCTION("IMPORTRANGE(""https://docs.google.com/spreadsheets/d/11923uPwbBZFjjGgGUA6NLw09EwE0CqkOc4q9oUmW1yo/edit?usp=sharing"",""เชียงราย!J58"")"),0)</f>
        <v>0</v>
      </c>
      <c r="K128" s="223"/>
      <c r="L128" s="168"/>
      <c r="M128" s="168"/>
      <c r="N128" s="168"/>
      <c r="O128" s="181"/>
      <c r="P128" s="181"/>
    </row>
    <row r="129" spans="1:16" ht="21.75" customHeight="1" x14ac:dyDescent="0.3">
      <c r="A129" s="175"/>
      <c r="B129" s="176"/>
      <c r="C129" s="176"/>
      <c r="D129" s="189">
        <v>2</v>
      </c>
      <c r="E129" s="190" t="s">
        <v>46</v>
      </c>
      <c r="F129" s="191"/>
      <c r="G129" s="192"/>
      <c r="H129" s="186"/>
      <c r="I129" s="187"/>
      <c r="J129" s="187">
        <f ca="1">IFERROR(__xludf.DUMMYFUNCTION("IMPORTRANGE(""https://docs.google.com/spreadsheets/d/11923uPwbBZFjjGgGUA6NLw09EwE0CqkOc4q9oUmW1yo/edit?usp=sharing"",""เชียงราย!J59"")"),0)</f>
        <v>0</v>
      </c>
      <c r="K129" s="223"/>
      <c r="L129" s="168" t="s">
        <v>40</v>
      </c>
      <c r="M129" s="168"/>
      <c r="N129" s="168" t="s">
        <v>40</v>
      </c>
      <c r="O129" s="181"/>
      <c r="P129" s="181"/>
    </row>
    <row r="130" spans="1:16" ht="21.75" customHeight="1" x14ac:dyDescent="0.3">
      <c r="A130" s="175"/>
      <c r="B130" s="176"/>
      <c r="C130" s="176"/>
      <c r="D130" s="193"/>
      <c r="E130" s="194" t="s">
        <v>47</v>
      </c>
      <c r="F130" s="195"/>
      <c r="G130" s="196"/>
      <c r="H130" s="186"/>
      <c r="I130" s="187"/>
      <c r="J130" s="187">
        <f ca="1">IFERROR(__xludf.DUMMYFUNCTION("IMPORTRANGE(""https://docs.google.com/spreadsheets/d/11923uPwbBZFjjGgGUA6NLw09EwE0CqkOc4q9oUmW1yo/edit?usp=sharing"",""เชียงราย!J60"")"),0)</f>
        <v>0</v>
      </c>
      <c r="K130" s="223"/>
      <c r="L130" s="168"/>
      <c r="M130" s="168"/>
      <c r="N130" s="168"/>
      <c r="O130" s="181"/>
      <c r="P130" s="181"/>
    </row>
    <row r="131" spans="1:16" ht="21.75" customHeight="1" x14ac:dyDescent="0.3">
      <c r="A131" s="175"/>
      <c r="B131" s="176"/>
      <c r="C131" s="176"/>
      <c r="D131" s="193"/>
      <c r="E131" s="194" t="s">
        <v>48</v>
      </c>
      <c r="F131" s="195"/>
      <c r="G131" s="196"/>
      <c r="H131" s="186"/>
      <c r="I131" s="187"/>
      <c r="J131" s="187">
        <f ca="1">IFERROR(__xludf.DUMMYFUNCTION("IMPORTRANGE(""https://docs.google.com/spreadsheets/d/11923uPwbBZFjjGgGUA6NLw09EwE0CqkOc4q9oUmW1yo/edit?usp=sharing"",""เชียงราย!J61"")"),0)</f>
        <v>0</v>
      </c>
      <c r="K131" s="223"/>
      <c r="L131" s="168"/>
      <c r="M131" s="168"/>
      <c r="N131" s="168"/>
      <c r="O131" s="181"/>
      <c r="P131" s="181"/>
    </row>
    <row r="132" spans="1:16" ht="21.75" customHeight="1" x14ac:dyDescent="0.3">
      <c r="A132" s="175"/>
      <c r="B132" s="176"/>
      <c r="C132" s="176"/>
      <c r="D132" s="193"/>
      <c r="E132" s="198"/>
      <c r="F132" s="194" t="s">
        <v>70</v>
      </c>
      <c r="G132" s="196"/>
      <c r="H132" s="180" t="s">
        <v>37</v>
      </c>
      <c r="I132" s="187">
        <f ca="1">IFERROR(__xludf.DUMMYFUNCTION("IMPORTRANGE(""https://docs.google.com/spreadsheets/d/11923uPwbBZFjjGgGUA6NLw09EwE0CqkOc4q9oUmW1yo/edit?usp=sharing"",""เชียงราย!I62"")"),0)</f>
        <v>0</v>
      </c>
      <c r="J132" s="203">
        <f ca="1">IFERROR(__xludf.DUMMYFUNCTION("IMPORTRANGE(""https://docs.google.com/spreadsheets/d/11923uPwbBZFjjGgGUA6NLw09EwE0CqkOc4q9oUmW1yo/edit?usp=sharing"",""เชียงราย!J62"")"),0)</f>
        <v>0</v>
      </c>
      <c r="K132" s="223">
        <f t="shared" ref="K132:K133" ca="1" si="63">IF(I132&gt;0,J132*100/I132,0)</f>
        <v>0</v>
      </c>
      <c r="L132" s="168"/>
      <c r="M132" s="168"/>
      <c r="N132" s="168"/>
      <c r="O132" s="181"/>
      <c r="P132" s="181"/>
    </row>
    <row r="133" spans="1:16" ht="21.75" customHeight="1" x14ac:dyDescent="0.3">
      <c r="A133" s="175"/>
      <c r="B133" s="176"/>
      <c r="C133" s="176"/>
      <c r="D133" s="193"/>
      <c r="E133" s="198"/>
      <c r="F133" s="194" t="s">
        <v>71</v>
      </c>
      <c r="G133" s="196"/>
      <c r="H133" s="180" t="s">
        <v>37</v>
      </c>
      <c r="I133" s="187">
        <f ca="1">IFERROR(__xludf.DUMMYFUNCTION("IMPORTRANGE(""https://docs.google.com/spreadsheets/d/11923uPwbBZFjjGgGUA6NLw09EwE0CqkOc4q9oUmW1yo/edit?usp=sharing"",""เชียงราย!I63"")"),0)</f>
        <v>0</v>
      </c>
      <c r="J133" s="203">
        <f ca="1">IFERROR(__xludf.DUMMYFUNCTION("IMPORTRANGE(""https://docs.google.com/spreadsheets/d/11923uPwbBZFjjGgGUA6NLw09EwE0CqkOc4q9oUmW1yo/edit?usp=sharing"",""เชียงราย!J63"")"),0)</f>
        <v>0</v>
      </c>
      <c r="K133" s="223">
        <f t="shared" ca="1" si="63"/>
        <v>0</v>
      </c>
      <c r="L133" s="168"/>
      <c r="M133" s="168"/>
      <c r="N133" s="168"/>
      <c r="O133" s="181"/>
      <c r="P133" s="181"/>
    </row>
    <row r="134" spans="1:16" ht="21.75" customHeight="1" x14ac:dyDescent="0.3">
      <c r="A134" s="175"/>
      <c r="B134" s="176"/>
      <c r="C134" s="176"/>
      <c r="D134" s="193"/>
      <c r="E134" s="194" t="s">
        <v>54</v>
      </c>
      <c r="F134" s="195"/>
      <c r="G134" s="196"/>
      <c r="H134" s="186"/>
      <c r="I134" s="187"/>
      <c r="J134" s="187">
        <f ca="1">IFERROR(__xludf.DUMMYFUNCTION("IMPORTRANGE(""https://docs.google.com/spreadsheets/d/11923uPwbBZFjjGgGUA6NLw09EwE0CqkOc4q9oUmW1yo/edit?usp=sharing"",""เชียงราย!J64"")"),0)</f>
        <v>0</v>
      </c>
      <c r="K134" s="223"/>
      <c r="L134" s="168"/>
      <c r="M134" s="168"/>
      <c r="N134" s="168"/>
      <c r="O134" s="181"/>
      <c r="P134" s="181"/>
    </row>
    <row r="135" spans="1:16" ht="21.75" customHeight="1" x14ac:dyDescent="0.3">
      <c r="A135" s="233"/>
      <c r="B135" s="234"/>
      <c r="C135" s="234"/>
      <c r="D135" s="235">
        <v>3</v>
      </c>
      <c r="E135" s="236" t="s">
        <v>55</v>
      </c>
      <c r="F135" s="237"/>
      <c r="G135" s="238"/>
      <c r="H135" s="239"/>
      <c r="I135" s="240"/>
      <c r="J135" s="241">
        <f ca="1">IFERROR(__xludf.DUMMYFUNCTION("IMPORTRANGE(""https://docs.google.com/spreadsheets/d/11923uPwbBZFjjGgGUA6NLw09EwE0CqkOc4q9oUmW1yo/edit?usp=sharing"",""เชียงราย!J65"")"),0)</f>
        <v>0</v>
      </c>
      <c r="K135" s="242"/>
      <c r="L135" s="243"/>
      <c r="M135" s="243"/>
      <c r="N135" s="243"/>
      <c r="O135" s="244"/>
      <c r="P135" s="244"/>
    </row>
    <row r="136" spans="1:16" ht="21.75" customHeight="1" x14ac:dyDescent="0.3">
      <c r="A136" s="245" t="s">
        <v>72</v>
      </c>
      <c r="B136" s="246"/>
      <c r="C136" s="246"/>
      <c r="D136" s="246"/>
      <c r="E136" s="247"/>
      <c r="F136" s="247"/>
      <c r="G136" s="248"/>
      <c r="H136" s="249"/>
      <c r="I136" s="250"/>
      <c r="J136" s="250"/>
      <c r="K136" s="251"/>
      <c r="L136" s="252"/>
      <c r="M136" s="252"/>
      <c r="N136" s="252"/>
      <c r="O136" s="252"/>
      <c r="P136" s="252"/>
    </row>
    <row r="137" spans="1:16" ht="21.75" customHeight="1" x14ac:dyDescent="0.3">
      <c r="A137" s="253" t="s">
        <v>73</v>
      </c>
      <c r="B137" s="254"/>
      <c r="C137" s="254"/>
      <c r="D137" s="255"/>
      <c r="E137" s="255"/>
      <c r="F137" s="255"/>
      <c r="G137" s="256"/>
      <c r="H137" s="257"/>
      <c r="I137" s="258"/>
      <c r="J137" s="258"/>
      <c r="K137" s="259"/>
      <c r="L137" s="259"/>
      <c r="M137" s="259"/>
      <c r="N137" s="259"/>
      <c r="O137" s="260"/>
      <c r="P137" s="260"/>
    </row>
    <row r="138" spans="1:16" ht="21.75" customHeight="1" x14ac:dyDescent="0.3">
      <c r="A138" s="261"/>
      <c r="B138" s="262" t="s">
        <v>74</v>
      </c>
      <c r="C138" s="263"/>
      <c r="D138" s="262"/>
      <c r="E138" s="262"/>
      <c r="F138" s="262"/>
      <c r="G138" s="264"/>
      <c r="H138" s="265" t="s">
        <v>37</v>
      </c>
      <c r="I138" s="266">
        <f ca="1">IFERROR(__xludf.DUMMYFUNCTION("IMPORTRANGE(""https://docs.google.com/spreadsheets/d/11923uPwbBZFjjGgGUA6NLw09EwE0CqkOc4q9oUmW1yo/edit?usp=sharing"",""เชียงราย!I68"")"),15)</f>
        <v>15</v>
      </c>
      <c r="J138" s="266">
        <f ca="1">IFERROR(__xludf.DUMMYFUNCTION("IMPORTRANGE(""https://docs.google.com/spreadsheets/d/11923uPwbBZFjjGgGUA6NLw09EwE0CqkOc4q9oUmW1yo/edit?usp=sharing"",""เชียงราย!J68"")"),15)</f>
        <v>15</v>
      </c>
      <c r="K138" s="267">
        <f ca="1">IF(I138&gt;0,J138*100/I138,0)</f>
        <v>100</v>
      </c>
      <c r="L138" s="268"/>
      <c r="M138" s="268"/>
      <c r="N138" s="268"/>
      <c r="O138" s="267"/>
      <c r="P138" s="267"/>
    </row>
    <row r="139" spans="1:16" ht="21.75" customHeight="1" x14ac:dyDescent="0.3">
      <c r="A139" s="261"/>
      <c r="B139" s="262" t="s">
        <v>75</v>
      </c>
      <c r="C139" s="263"/>
      <c r="D139" s="262"/>
      <c r="E139" s="262"/>
      <c r="F139" s="262"/>
      <c r="G139" s="264"/>
      <c r="H139" s="265"/>
      <c r="I139" s="266"/>
      <c r="J139" s="266"/>
      <c r="K139" s="267"/>
      <c r="L139" s="268"/>
      <c r="M139" s="268"/>
      <c r="N139" s="268"/>
      <c r="O139" s="267"/>
      <c r="P139" s="267"/>
    </row>
    <row r="140" spans="1:16" ht="21.75" customHeight="1" x14ac:dyDescent="0.45">
      <c r="A140" s="145"/>
      <c r="B140" s="146"/>
      <c r="C140" s="147" t="s">
        <v>16</v>
      </c>
      <c r="D140" s="537" t="s">
        <v>17</v>
      </c>
      <c r="E140" s="528"/>
      <c r="F140" s="528"/>
      <c r="G140" s="528"/>
      <c r="H140" s="148" t="s">
        <v>12</v>
      </c>
      <c r="I140" s="162"/>
      <c r="J140" s="162"/>
      <c r="K140" s="163"/>
      <c r="L140" s="151">
        <f t="shared" ref="L140:N140" ca="1" si="64">L141+L142</f>
        <v>579900</v>
      </c>
      <c r="M140" s="151">
        <f t="shared" ca="1" si="64"/>
        <v>328450</v>
      </c>
      <c r="N140" s="151">
        <f t="shared" ca="1" si="64"/>
        <v>235701</v>
      </c>
      <c r="O140" s="150">
        <f t="shared" ref="O140:O142" ca="1" si="65">IF(L140&gt;0,N140*100/L140,0)</f>
        <v>40.64511122607346</v>
      </c>
      <c r="P140" s="150">
        <f t="shared" ref="P140:P142" ca="1" si="66">IF(M140&gt;0,N140*100/M140,0)</f>
        <v>71.761607550616532</v>
      </c>
    </row>
    <row r="141" spans="1:16" ht="21.75" customHeight="1" x14ac:dyDescent="0.45">
      <c r="A141" s="152"/>
      <c r="B141" s="32"/>
      <c r="C141" s="32"/>
      <c r="D141" s="32"/>
      <c r="E141" s="32"/>
      <c r="F141" s="32"/>
      <c r="G141" s="33" t="s">
        <v>18</v>
      </c>
      <c r="H141" s="153" t="s">
        <v>12</v>
      </c>
      <c r="I141" s="162"/>
      <c r="J141" s="162"/>
      <c r="K141" s="163"/>
      <c r="L141" s="87">
        <f t="shared" ref="L141:N141" si="67">L143+L147</f>
        <v>0</v>
      </c>
      <c r="M141" s="87">
        <f t="shared" si="67"/>
        <v>0</v>
      </c>
      <c r="N141" s="87">
        <f t="shared" si="67"/>
        <v>0</v>
      </c>
      <c r="O141" s="155">
        <f t="shared" si="65"/>
        <v>0</v>
      </c>
      <c r="P141" s="155">
        <f t="shared" si="66"/>
        <v>0</v>
      </c>
    </row>
    <row r="142" spans="1:16" ht="21.75" customHeight="1" x14ac:dyDescent="0.45">
      <c r="A142" s="152"/>
      <c r="B142" s="32"/>
      <c r="C142" s="32"/>
      <c r="D142" s="32"/>
      <c r="E142" s="32"/>
      <c r="F142" s="32"/>
      <c r="G142" s="33" t="s">
        <v>19</v>
      </c>
      <c r="H142" s="153" t="s">
        <v>12</v>
      </c>
      <c r="I142" s="162"/>
      <c r="J142" s="162"/>
      <c r="K142" s="163"/>
      <c r="L142" s="87">
        <f t="shared" ref="L142:N142" ca="1" si="68">L144+L148</f>
        <v>579900</v>
      </c>
      <c r="M142" s="87">
        <f t="shared" ca="1" si="68"/>
        <v>328450</v>
      </c>
      <c r="N142" s="87">
        <f t="shared" ca="1" si="68"/>
        <v>235701</v>
      </c>
      <c r="O142" s="155">
        <f t="shared" ca="1" si="65"/>
        <v>40.64511122607346</v>
      </c>
      <c r="P142" s="155">
        <f t="shared" ca="1" si="66"/>
        <v>71.761607550616532</v>
      </c>
    </row>
    <row r="143" spans="1:16" ht="21.75" customHeight="1" x14ac:dyDescent="0.3">
      <c r="A143" s="156"/>
      <c r="B143" s="157"/>
      <c r="C143" s="157" t="s">
        <v>16</v>
      </c>
      <c r="D143" s="158" t="s">
        <v>38</v>
      </c>
      <c r="E143" s="159"/>
      <c r="F143" s="159"/>
      <c r="G143" s="160" t="s">
        <v>39</v>
      </c>
      <c r="H143" s="161" t="s">
        <v>12</v>
      </c>
      <c r="I143" s="162" t="s">
        <v>40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3">
      <c r="A144" s="156"/>
      <c r="B144" s="157"/>
      <c r="C144" s="157"/>
      <c r="D144" s="166"/>
      <c r="E144" s="159"/>
      <c r="F144" s="159" t="s">
        <v>40</v>
      </c>
      <c r="G144" s="160" t="s">
        <v>41</v>
      </c>
      <c r="H144" s="161" t="s">
        <v>12</v>
      </c>
      <c r="I144" s="162"/>
      <c r="J144" s="162"/>
      <c r="K144" s="163"/>
      <c r="L144" s="167">
        <f ca="1">L145+L146</f>
        <v>579900</v>
      </c>
      <c r="M144" s="167">
        <f ca="1">IFERROR(__xludf.DUMMYFUNCTION("IMPORTRANGE(""https://docs.google.com/spreadsheets/d/1Yj_ptqi66GCucihVvJfMjLAmec39IyEx_6qawtMGysU/edit?usp=sharing"",""สบก!BJ21"")"),328450)</f>
        <v>328450</v>
      </c>
      <c r="N144" s="168">
        <f ca="1">IFERROR(__xludf.DUMMYFUNCTION("IMPORTRANGE(""https://docs.google.com/spreadsheets/d/1Yj_ptqi66GCucihVvJfMjLAmec39IyEx_6qawtMGysU/edit?usp=sharing"",""สบก!BK21"")"),235701)</f>
        <v>235701</v>
      </c>
      <c r="O144" s="168">
        <f ca="1">IF(L144&gt;0,N144*100/L144,0)</f>
        <v>40.64511122607346</v>
      </c>
      <c r="P144" s="168">
        <f ca="1">IF(M144&gt;0,N144*100/M144,0)</f>
        <v>71.761607550616532</v>
      </c>
    </row>
    <row r="145" spans="1:16" ht="21.75" customHeight="1" x14ac:dyDescent="0.3">
      <c r="A145" s="156"/>
      <c r="B145" s="157"/>
      <c r="C145" s="157"/>
      <c r="D145" s="166"/>
      <c r="E145" s="159"/>
      <c r="F145" s="159"/>
      <c r="G145" s="169" t="s">
        <v>42</v>
      </c>
      <c r="H145" s="161" t="s">
        <v>12</v>
      </c>
      <c r="I145" s="162"/>
      <c r="J145" s="162"/>
      <c r="K145" s="163"/>
      <c r="L145" s="167">
        <f ca="1">IFERROR(__xludf.DUMMYFUNCTION("IMPORTRANGE(""https://docs.google.com/spreadsheets/d/1Yj_ptqi66GCucihVvJfMjLAmec39IyEx_6qawtMGysU/edit?usp=sharing"",""สบก!BF21"")"),463400)</f>
        <v>463400</v>
      </c>
      <c r="M145" s="167"/>
      <c r="N145" s="167"/>
      <c r="O145" s="168"/>
      <c r="P145" s="168"/>
    </row>
    <row r="146" spans="1:16" ht="21.75" customHeight="1" x14ac:dyDescent="0.3">
      <c r="A146" s="156"/>
      <c r="B146" s="157"/>
      <c r="C146" s="157"/>
      <c r="D146" s="166"/>
      <c r="E146" s="159"/>
      <c r="F146" s="159"/>
      <c r="G146" s="169" t="s">
        <v>43</v>
      </c>
      <c r="H146" s="161" t="s">
        <v>12</v>
      </c>
      <c r="I146" s="162"/>
      <c r="J146" s="162"/>
      <c r="K146" s="163"/>
      <c r="L146" s="167">
        <f ca="1">IFERROR(__xludf.DUMMYFUNCTION("IMPORTRANGE(""https://docs.google.com/spreadsheets/d/1Yj_ptqi66GCucihVvJfMjLAmec39IyEx_6qawtMGysU/edit?usp=sharing"",""สบก!BG21"")"),116500)</f>
        <v>116500</v>
      </c>
      <c r="M146" s="167"/>
      <c r="N146" s="167"/>
      <c r="O146" s="168"/>
      <c r="P146" s="168"/>
    </row>
    <row r="147" spans="1:16" ht="21.75" customHeight="1" x14ac:dyDescent="0.45">
      <c r="A147" s="170"/>
      <c r="B147" s="80"/>
      <c r="C147" s="81" t="s">
        <v>16</v>
      </c>
      <c r="D147" s="534" t="s">
        <v>23</v>
      </c>
      <c r="E147" s="530"/>
      <c r="F147" s="88"/>
      <c r="G147" s="82" t="s">
        <v>18</v>
      </c>
      <c r="H147" s="171" t="s">
        <v>12</v>
      </c>
      <c r="I147" s="187"/>
      <c r="J147" s="187"/>
      <c r="K147" s="223"/>
      <c r="L147" s="41">
        <v>0</v>
      </c>
      <c r="M147" s="41"/>
      <c r="N147" s="41"/>
      <c r="O147" s="41"/>
      <c r="P147" s="41"/>
    </row>
    <row r="148" spans="1:16" ht="21.75" customHeight="1" x14ac:dyDescent="0.45">
      <c r="A148" s="172"/>
      <c r="B148" s="91"/>
      <c r="C148" s="91"/>
      <c r="D148" s="173"/>
      <c r="E148" s="92"/>
      <c r="F148" s="92"/>
      <c r="G148" s="93" t="s">
        <v>19</v>
      </c>
      <c r="H148" s="174" t="s">
        <v>12</v>
      </c>
      <c r="I148" s="187"/>
      <c r="J148" s="187"/>
      <c r="K148" s="223"/>
      <c r="L148" s="49">
        <f ca="1">IFERROR(__xludf.DUMMYFUNCTION("IMPORTRANGE(""https://docs.google.com/spreadsheets/d/1Yj_ptqi66GCucihVvJfMjLAmec39IyEx_6qawtMGysU/edit?usp=sharing"",""สบก!BH21"")"),0)</f>
        <v>0</v>
      </c>
      <c r="M148" s="49"/>
      <c r="N148" s="49">
        <f ca="1">IFERROR(__xludf.DUMMYFUNCTION("IMPORTRANGE(""https://docs.google.com/spreadsheets/d/1Yj_ptqi66GCucihVvJfMjLAmec39IyEx_6qawtMGysU/edit?usp=sharing"",""สบก!BL21"")"),0)</f>
        <v>0</v>
      </c>
      <c r="O148" s="49">
        <f ca="1">IF(L148&gt;0,N148*100/L148,0)</f>
        <v>0</v>
      </c>
      <c r="P148" s="49"/>
    </row>
    <row r="149" spans="1:16" ht="21.75" customHeight="1" x14ac:dyDescent="0.3">
      <c r="A149" s="269"/>
      <c r="B149" s="270"/>
      <c r="C149" s="271" t="s">
        <v>76</v>
      </c>
      <c r="D149" s="271"/>
      <c r="E149" s="271"/>
      <c r="F149" s="271"/>
      <c r="G149" s="272"/>
      <c r="H149" s="273" t="s">
        <v>77</v>
      </c>
      <c r="I149" s="274">
        <f ca="1">IFERROR(__xludf.DUMMYFUNCTION("IMPORTRANGE(""https://docs.google.com/spreadsheets/d/11923uPwbBZFjjGgGUA6NLw09EwE0CqkOc4q9oUmW1yo/edit?usp=sharing"",""เชียงราย!I74"")"),4)</f>
        <v>4</v>
      </c>
      <c r="J149" s="274">
        <f ca="1">IFERROR(__xludf.DUMMYFUNCTION("IMPORTRANGE(""https://docs.google.com/spreadsheets/d/11923uPwbBZFjjGgGUA6NLw09EwE0CqkOc4q9oUmW1yo/edit?usp=sharing"",""เชียงราย!J74"")"),1)</f>
        <v>1</v>
      </c>
      <c r="K149" s="275">
        <f ca="1">IF(I149&gt;0,J149*100/I149,0)</f>
        <v>25</v>
      </c>
      <c r="L149" s="276"/>
      <c r="M149" s="276"/>
      <c r="N149" s="276"/>
      <c r="O149" s="276"/>
      <c r="P149" s="276"/>
    </row>
    <row r="150" spans="1:16" ht="21.75" customHeight="1" x14ac:dyDescent="0.3">
      <c r="A150" s="156"/>
      <c r="B150" s="157"/>
      <c r="C150" s="157" t="s">
        <v>16</v>
      </c>
      <c r="D150" s="158" t="s">
        <v>38</v>
      </c>
      <c r="E150" s="159"/>
      <c r="F150" s="159"/>
      <c r="G150" s="160" t="s">
        <v>39</v>
      </c>
      <c r="H150" s="161" t="s">
        <v>12</v>
      </c>
      <c r="I150" s="162" t="s">
        <v>40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3">
      <c r="A151" s="156"/>
      <c r="B151" s="157"/>
      <c r="C151" s="157"/>
      <c r="D151" s="166"/>
      <c r="E151" s="159"/>
      <c r="F151" s="159" t="s">
        <v>40</v>
      </c>
      <c r="G151" s="160" t="s">
        <v>41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3">
      <c r="A152" s="156"/>
      <c r="B152" s="157"/>
      <c r="C152" s="157"/>
      <c r="D152" s="166"/>
      <c r="E152" s="159"/>
      <c r="F152" s="159"/>
      <c r="G152" s="169" t="s">
        <v>43</v>
      </c>
      <c r="H152" s="161" t="s">
        <v>12</v>
      </c>
      <c r="I152" s="162"/>
      <c r="J152" s="162"/>
      <c r="K152" s="163"/>
      <c r="L152" s="168"/>
      <c r="M152" s="168"/>
      <c r="N152" s="167"/>
      <c r="O152" s="168"/>
      <c r="P152" s="168"/>
    </row>
    <row r="153" spans="1:16" ht="21.75" customHeight="1" x14ac:dyDescent="0.3">
      <c r="A153" s="175"/>
      <c r="B153" s="176"/>
      <c r="C153" s="157" t="s">
        <v>16</v>
      </c>
      <c r="D153" s="177" t="s">
        <v>44</v>
      </c>
      <c r="E153" s="178"/>
      <c r="F153" s="178"/>
      <c r="G153" s="179"/>
      <c r="H153" s="180"/>
      <c r="I153" s="162"/>
      <c r="J153" s="162"/>
      <c r="K153" s="163"/>
      <c r="L153" s="181"/>
      <c r="M153" s="181"/>
      <c r="N153" s="181"/>
      <c r="O153" s="181"/>
      <c r="P153" s="181"/>
    </row>
    <row r="154" spans="1:16" ht="21.75" customHeight="1" x14ac:dyDescent="0.3">
      <c r="A154" s="175"/>
      <c r="B154" s="176"/>
      <c r="C154" s="176"/>
      <c r="D154" s="182">
        <v>1</v>
      </c>
      <c r="E154" s="183" t="s">
        <v>45</v>
      </c>
      <c r="F154" s="184"/>
      <c r="G154" s="185"/>
      <c r="H154" s="186"/>
      <c r="I154" s="187"/>
      <c r="J154" s="188">
        <f ca="1">IFERROR(__xludf.DUMMYFUNCTION("IMPORTRANGE(""https://docs.google.com/spreadsheets/d/11923uPwbBZFjjGgGUA6NLw09EwE0CqkOc4q9oUmW1yo/edit?usp=sharing"",""เชียงราย!J79"")"),0)</f>
        <v>0</v>
      </c>
      <c r="K154" s="163"/>
      <c r="L154" s="181"/>
      <c r="M154" s="181"/>
      <c r="N154" s="181"/>
      <c r="O154" s="181"/>
      <c r="P154" s="181"/>
    </row>
    <row r="155" spans="1:16" ht="21.75" customHeight="1" x14ac:dyDescent="0.3">
      <c r="A155" s="175"/>
      <c r="B155" s="176"/>
      <c r="C155" s="176"/>
      <c r="D155" s="189">
        <v>2</v>
      </c>
      <c r="E155" s="190" t="s">
        <v>46</v>
      </c>
      <c r="F155" s="191"/>
      <c r="G155" s="192"/>
      <c r="H155" s="186"/>
      <c r="I155" s="187"/>
      <c r="J155" s="197">
        <f ca="1">IFERROR(__xludf.DUMMYFUNCTION("IMPORTRANGE(""https://docs.google.com/spreadsheets/d/11923uPwbBZFjjGgGUA6NLw09EwE0CqkOc4q9oUmW1yo/edit?usp=sharing"",""เชียงราย!J80"")"),1)</f>
        <v>1</v>
      </c>
      <c r="K155" s="163"/>
      <c r="L155" s="181"/>
      <c r="M155" s="181"/>
      <c r="N155" s="181"/>
      <c r="O155" s="181"/>
      <c r="P155" s="181"/>
    </row>
    <row r="156" spans="1:16" ht="21.75" customHeight="1" x14ac:dyDescent="0.3">
      <c r="A156" s="175"/>
      <c r="B156" s="176"/>
      <c r="C156" s="176"/>
      <c r="D156" s="193"/>
      <c r="E156" s="194" t="s">
        <v>47</v>
      </c>
      <c r="F156" s="195"/>
      <c r="G156" s="196"/>
      <c r="H156" s="186"/>
      <c r="I156" s="187"/>
      <c r="J156" s="197">
        <f ca="1">IFERROR(__xludf.DUMMYFUNCTION("IMPORTRANGE(""https://docs.google.com/spreadsheets/d/11923uPwbBZFjjGgGUA6NLw09EwE0CqkOc4q9oUmW1yo/edit?usp=sharing"",""เชียงราย!J81"")"),1)</f>
        <v>1</v>
      </c>
      <c r="K156" s="163"/>
      <c r="L156" s="181"/>
      <c r="M156" s="181"/>
      <c r="N156" s="181"/>
      <c r="O156" s="181"/>
      <c r="P156" s="181"/>
    </row>
    <row r="157" spans="1:16" ht="21.75" customHeight="1" x14ac:dyDescent="0.3">
      <c r="A157" s="175"/>
      <c r="B157" s="176"/>
      <c r="C157" s="176"/>
      <c r="D157" s="193"/>
      <c r="E157" s="194" t="s">
        <v>48</v>
      </c>
      <c r="F157" s="195"/>
      <c r="G157" s="196"/>
      <c r="H157" s="186"/>
      <c r="I157" s="187"/>
      <c r="J157" s="197">
        <f ca="1">IFERROR(__xludf.DUMMYFUNCTION("IMPORTRANGE(""https://docs.google.com/spreadsheets/d/11923uPwbBZFjjGgGUA6NLw09EwE0CqkOc4q9oUmW1yo/edit?usp=sharing"",""เชียงราย!J82"")"),1)</f>
        <v>1</v>
      </c>
      <c r="K157" s="163"/>
      <c r="L157" s="181"/>
      <c r="M157" s="181"/>
      <c r="N157" s="181"/>
      <c r="O157" s="181"/>
      <c r="P157" s="181"/>
    </row>
    <row r="158" spans="1:16" ht="21.75" customHeight="1" x14ac:dyDescent="0.3">
      <c r="A158" s="175"/>
      <c r="B158" s="176"/>
      <c r="C158" s="176"/>
      <c r="D158" s="193"/>
      <c r="E158" s="198"/>
      <c r="F158" s="194" t="s">
        <v>78</v>
      </c>
      <c r="G158" s="196"/>
      <c r="H158" s="180" t="s">
        <v>77</v>
      </c>
      <c r="I158" s="187">
        <f ca="1">IFERROR(__xludf.DUMMYFUNCTION("IMPORTRANGE(""https://docs.google.com/spreadsheets/d/11923uPwbBZFjjGgGUA6NLw09EwE0CqkOc4q9oUmW1yo/edit?usp=sharing"",""เชียงราย!I83"")"),4)</f>
        <v>4</v>
      </c>
      <c r="J158" s="188">
        <f ca="1">IFERROR(__xludf.DUMMYFUNCTION("IMPORTRANGE(""https://docs.google.com/spreadsheets/d/11923uPwbBZFjjGgGUA6NLw09EwE0CqkOc4q9oUmW1yo/edit?usp=sharing"",""เชียงราย!J83"")"),1)</f>
        <v>1</v>
      </c>
      <c r="K158" s="163">
        <f ca="1">IF(I158&gt;0,J158*100/I158,0)</f>
        <v>25</v>
      </c>
      <c r="L158" s="181"/>
      <c r="M158" s="181"/>
      <c r="N158" s="181"/>
      <c r="O158" s="181"/>
      <c r="P158" s="181"/>
    </row>
    <row r="159" spans="1:16" ht="21.75" customHeight="1" x14ac:dyDescent="0.3">
      <c r="A159" s="175"/>
      <c r="B159" s="176"/>
      <c r="C159" s="176"/>
      <c r="D159" s="193"/>
      <c r="E159" s="195"/>
      <c r="F159" s="277" t="s">
        <v>79</v>
      </c>
      <c r="G159" s="196"/>
      <c r="H159" s="278" t="s">
        <v>37</v>
      </c>
      <c r="I159" s="187"/>
      <c r="J159" s="203">
        <f ca="1">IFERROR(__xludf.DUMMYFUNCTION("IMPORTRANGE(""https://docs.google.com/spreadsheets/d/11923uPwbBZFjjGgGUA6NLw09EwE0CqkOc4q9oUmW1yo/edit?usp=sharing"",""เชียงราย!J84"")"),15)</f>
        <v>15</v>
      </c>
      <c r="K159" s="163"/>
      <c r="L159" s="181"/>
      <c r="M159" s="181"/>
      <c r="N159" s="181"/>
      <c r="O159" s="181"/>
      <c r="P159" s="181"/>
    </row>
    <row r="160" spans="1:16" ht="21.75" customHeight="1" x14ac:dyDescent="0.45">
      <c r="A160" s="175"/>
      <c r="B160" s="176"/>
      <c r="C160" s="176"/>
      <c r="D160" s="193"/>
      <c r="E160" s="195"/>
      <c r="F160" s="195"/>
      <c r="G160" s="279" t="s">
        <v>80</v>
      </c>
      <c r="H160" s="278" t="s">
        <v>37</v>
      </c>
      <c r="I160" s="187"/>
      <c r="J160" s="280">
        <f ca="1">IFERROR(__xludf.DUMMYFUNCTION("IMPORTRANGE(""https://docs.google.com/spreadsheets/d/11923uPwbBZFjjGgGUA6NLw09EwE0CqkOc4q9oUmW1yo/edit?usp=sharing"",""เชียงราย!J85"")"),13)</f>
        <v>13</v>
      </c>
      <c r="K160" s="163"/>
      <c r="L160" s="181"/>
      <c r="M160" s="181"/>
      <c r="N160" s="181"/>
      <c r="O160" s="181"/>
      <c r="P160" s="181"/>
    </row>
    <row r="161" spans="1:16" ht="21.75" customHeight="1" x14ac:dyDescent="0.45">
      <c r="A161" s="175"/>
      <c r="B161" s="176"/>
      <c r="C161" s="176"/>
      <c r="D161" s="193"/>
      <c r="E161" s="195"/>
      <c r="F161" s="195"/>
      <c r="G161" s="279" t="s">
        <v>81</v>
      </c>
      <c r="H161" s="278" t="s">
        <v>37</v>
      </c>
      <c r="I161" s="187"/>
      <c r="J161" s="280">
        <f ca="1">IFERROR(__xludf.DUMMYFUNCTION("IMPORTRANGE(""https://docs.google.com/spreadsheets/d/11923uPwbBZFjjGgGUA6NLw09EwE0CqkOc4q9oUmW1yo/edit?usp=sharing"",""เชียงราย!J86"")"),2)</f>
        <v>2</v>
      </c>
      <c r="K161" s="163"/>
      <c r="L161" s="181"/>
      <c r="M161" s="181"/>
      <c r="N161" s="181"/>
      <c r="O161" s="181"/>
      <c r="P161" s="181"/>
    </row>
    <row r="162" spans="1:16" ht="21.75" customHeight="1" x14ac:dyDescent="0.3">
      <c r="A162" s="175"/>
      <c r="B162" s="176"/>
      <c r="C162" s="176"/>
      <c r="D162" s="193"/>
      <c r="E162" s="194" t="s">
        <v>54</v>
      </c>
      <c r="F162" s="195"/>
      <c r="G162" s="196"/>
      <c r="H162" s="186"/>
      <c r="I162" s="187"/>
      <c r="J162" s="197">
        <f ca="1">IFERROR(__xludf.DUMMYFUNCTION("IMPORTRANGE(""https://docs.google.com/spreadsheets/d/11923uPwbBZFjjGgGUA6NLw09EwE0CqkOc4q9oUmW1yo/edit?usp=sharing"",""เชียงราย!J87"")"),0)</f>
        <v>0</v>
      </c>
      <c r="K162" s="163"/>
      <c r="L162" s="181"/>
      <c r="M162" s="181"/>
      <c r="N162" s="181"/>
      <c r="O162" s="181"/>
      <c r="P162" s="181"/>
    </row>
    <row r="163" spans="1:16" ht="21.75" customHeight="1" x14ac:dyDescent="0.3">
      <c r="A163" s="175"/>
      <c r="B163" s="176"/>
      <c r="C163" s="176"/>
      <c r="D163" s="205">
        <v>3</v>
      </c>
      <c r="E163" s="206" t="s">
        <v>55</v>
      </c>
      <c r="F163" s="207"/>
      <c r="G163" s="208"/>
      <c r="H163" s="186"/>
      <c r="I163" s="187"/>
      <c r="J163" s="209">
        <f ca="1">IFERROR(__xludf.DUMMYFUNCTION("IMPORTRANGE(""https://docs.google.com/spreadsheets/d/11923uPwbBZFjjGgGUA6NLw09EwE0CqkOc4q9oUmW1yo/edit?usp=sharing"",""เชียงราย!J88"")"),0)</f>
        <v>0</v>
      </c>
      <c r="K163" s="163"/>
      <c r="L163" s="181"/>
      <c r="M163" s="181"/>
      <c r="N163" s="181"/>
      <c r="O163" s="181"/>
      <c r="P163" s="181"/>
    </row>
    <row r="164" spans="1:16" ht="21.75" customHeight="1" x14ac:dyDescent="0.3">
      <c r="A164" s="269"/>
      <c r="B164" s="270"/>
      <c r="C164" s="271" t="s">
        <v>82</v>
      </c>
      <c r="D164" s="271"/>
      <c r="E164" s="271"/>
      <c r="F164" s="271"/>
      <c r="G164" s="272"/>
      <c r="H164" s="281" t="s">
        <v>83</v>
      </c>
      <c r="I164" s="282">
        <f ca="1">IFERROR(__xludf.DUMMYFUNCTION("IMPORTRANGE(""https://docs.google.com/spreadsheets/d/11923uPwbBZFjjGgGUA6NLw09EwE0CqkOc4q9oUmW1yo/edit?usp=sharing"",""เชียงราย!I89"")"),5)</f>
        <v>5</v>
      </c>
      <c r="J164" s="282">
        <f ca="1">IFERROR(__xludf.DUMMYFUNCTION("IMPORTRANGE(""https://docs.google.com/spreadsheets/d/11923uPwbBZFjjGgGUA6NLw09EwE0CqkOc4q9oUmW1yo/edit?usp=sharing"",""เชียงราย!J89"")"),5)</f>
        <v>5</v>
      </c>
      <c r="K164" s="283">
        <f ca="1">IF(I164&gt;0,J164*100/I164,0)</f>
        <v>100</v>
      </c>
      <c r="L164" s="276"/>
      <c r="M164" s="276"/>
      <c r="N164" s="276"/>
      <c r="O164" s="276"/>
      <c r="P164" s="276"/>
    </row>
    <row r="165" spans="1:16" ht="21.75" customHeight="1" x14ac:dyDescent="0.3">
      <c r="A165" s="156"/>
      <c r="B165" s="157"/>
      <c r="C165" s="157" t="s">
        <v>16</v>
      </c>
      <c r="D165" s="158" t="s">
        <v>38</v>
      </c>
      <c r="E165" s="159"/>
      <c r="F165" s="159"/>
      <c r="G165" s="160" t="s">
        <v>39</v>
      </c>
      <c r="H165" s="161" t="s">
        <v>12</v>
      </c>
      <c r="I165" s="162" t="s">
        <v>40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3">
      <c r="A166" s="156"/>
      <c r="B166" s="157"/>
      <c r="C166" s="157"/>
      <c r="D166" s="166"/>
      <c r="E166" s="159"/>
      <c r="F166" s="159" t="s">
        <v>40</v>
      </c>
      <c r="G166" s="160" t="s">
        <v>41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3">
      <c r="A167" s="156"/>
      <c r="B167" s="157"/>
      <c r="C167" s="157"/>
      <c r="D167" s="166"/>
      <c r="E167" s="159"/>
      <c r="F167" s="159"/>
      <c r="G167" s="169" t="s">
        <v>43</v>
      </c>
      <c r="H167" s="161" t="s">
        <v>12</v>
      </c>
      <c r="I167" s="162"/>
      <c r="J167" s="162"/>
      <c r="K167" s="163"/>
      <c r="L167" s="168"/>
      <c r="M167" s="168"/>
      <c r="N167" s="167"/>
      <c r="O167" s="168"/>
      <c r="P167" s="168"/>
    </row>
    <row r="168" spans="1:16" ht="21.75" customHeight="1" x14ac:dyDescent="0.3">
      <c r="A168" s="175"/>
      <c r="B168" s="176"/>
      <c r="C168" s="157" t="s">
        <v>16</v>
      </c>
      <c r="D168" s="177" t="s">
        <v>44</v>
      </c>
      <c r="E168" s="178"/>
      <c r="F168" s="178"/>
      <c r="G168" s="179"/>
      <c r="H168" s="180"/>
      <c r="I168" s="162"/>
      <c r="J168" s="162"/>
      <c r="K168" s="163"/>
      <c r="L168" s="181"/>
      <c r="M168" s="181"/>
      <c r="N168" s="181"/>
      <c r="O168" s="181"/>
      <c r="P168" s="181"/>
    </row>
    <row r="169" spans="1:16" ht="21.75" customHeight="1" x14ac:dyDescent="0.3">
      <c r="A169" s="175"/>
      <c r="B169" s="176"/>
      <c r="C169" s="176"/>
      <c r="D169" s="182">
        <v>1</v>
      </c>
      <c r="E169" s="183" t="s">
        <v>45</v>
      </c>
      <c r="F169" s="184"/>
      <c r="G169" s="185"/>
      <c r="H169" s="186"/>
      <c r="I169" s="187"/>
      <c r="J169" s="188">
        <f ca="1">IFERROR(__xludf.DUMMYFUNCTION("IMPORTRANGE(""https://docs.google.com/spreadsheets/d/11923uPwbBZFjjGgGUA6NLw09EwE0CqkOc4q9oUmW1yo/edit?usp=sharing"",""เชียงราย!J94"")"),0)</f>
        <v>0</v>
      </c>
      <c r="K169" s="163"/>
      <c r="L169" s="181"/>
      <c r="M169" s="181"/>
      <c r="N169" s="181"/>
      <c r="O169" s="181"/>
      <c r="P169" s="181"/>
    </row>
    <row r="170" spans="1:16" ht="21.75" customHeight="1" x14ac:dyDescent="0.3">
      <c r="A170" s="175"/>
      <c r="B170" s="176"/>
      <c r="C170" s="176"/>
      <c r="D170" s="189">
        <v>2</v>
      </c>
      <c r="E170" s="190" t="s">
        <v>46</v>
      </c>
      <c r="F170" s="191"/>
      <c r="G170" s="192"/>
      <c r="H170" s="186"/>
      <c r="I170" s="187"/>
      <c r="J170" s="197">
        <f ca="1">IFERROR(__xludf.DUMMYFUNCTION("IMPORTRANGE(""https://docs.google.com/spreadsheets/d/11923uPwbBZFjjGgGUA6NLw09EwE0CqkOc4q9oUmW1yo/edit?usp=sharing"",""เชียงราย!J95"")"),1)</f>
        <v>1</v>
      </c>
      <c r="K170" s="163"/>
      <c r="L170" s="181"/>
      <c r="M170" s="181"/>
      <c r="N170" s="181"/>
      <c r="O170" s="181"/>
      <c r="P170" s="181"/>
    </row>
    <row r="171" spans="1:16" ht="21.75" customHeight="1" x14ac:dyDescent="0.3">
      <c r="A171" s="175"/>
      <c r="B171" s="176"/>
      <c r="C171" s="176"/>
      <c r="D171" s="193"/>
      <c r="E171" s="194" t="s">
        <v>47</v>
      </c>
      <c r="F171" s="195"/>
      <c r="G171" s="196"/>
      <c r="H171" s="186"/>
      <c r="I171" s="187"/>
      <c r="J171" s="197">
        <f ca="1">IFERROR(__xludf.DUMMYFUNCTION("IMPORTRANGE(""https://docs.google.com/spreadsheets/d/11923uPwbBZFjjGgGUA6NLw09EwE0CqkOc4q9oUmW1yo/edit?usp=sharing"",""เชียงราย!J96"")"),1)</f>
        <v>1</v>
      </c>
      <c r="K171" s="163"/>
      <c r="L171" s="181"/>
      <c r="M171" s="181"/>
      <c r="N171" s="181"/>
      <c r="O171" s="181"/>
      <c r="P171" s="181"/>
    </row>
    <row r="172" spans="1:16" ht="21.75" customHeight="1" x14ac:dyDescent="0.3">
      <c r="A172" s="175"/>
      <c r="B172" s="176"/>
      <c r="C172" s="176"/>
      <c r="D172" s="193"/>
      <c r="E172" s="194" t="s">
        <v>48</v>
      </c>
      <c r="F172" s="195"/>
      <c r="G172" s="196"/>
      <c r="H172" s="186"/>
      <c r="I172" s="187"/>
      <c r="J172" s="197">
        <f ca="1">IFERROR(__xludf.DUMMYFUNCTION("IMPORTRANGE(""https://docs.google.com/spreadsheets/d/11923uPwbBZFjjGgGUA6NLw09EwE0CqkOc4q9oUmW1yo/edit?usp=sharing"",""เชียงราย!J97"")"),1)</f>
        <v>1</v>
      </c>
      <c r="K172" s="163"/>
      <c r="L172" s="181"/>
      <c r="M172" s="181"/>
      <c r="N172" s="181"/>
      <c r="O172" s="181"/>
      <c r="P172" s="181"/>
    </row>
    <row r="173" spans="1:16" ht="21.75" customHeight="1" x14ac:dyDescent="0.3">
      <c r="A173" s="175"/>
      <c r="B173" s="176"/>
      <c r="C173" s="176"/>
      <c r="D173" s="193"/>
      <c r="E173" s="198"/>
      <c r="F173" s="204" t="s">
        <v>84</v>
      </c>
      <c r="G173" s="196"/>
      <c r="H173" s="180" t="s">
        <v>83</v>
      </c>
      <c r="I173" s="187">
        <f ca="1">IFERROR(__xludf.DUMMYFUNCTION("IMPORTRANGE(""https://docs.google.com/spreadsheets/d/11923uPwbBZFjjGgGUA6NLw09EwE0CqkOc4q9oUmW1yo/edit?usp=sharing"",""เชียงราย!I98"")"),5)</f>
        <v>5</v>
      </c>
      <c r="J173" s="188">
        <f ca="1">IFERROR(__xludf.DUMMYFUNCTION("IMPORTRANGE(""https://docs.google.com/spreadsheets/d/11923uPwbBZFjjGgGUA6NLw09EwE0CqkOc4q9oUmW1yo/edit?usp=sharing"",""เชียงราย!J98"")"),5)</f>
        <v>5</v>
      </c>
      <c r="K173" s="163">
        <f ca="1">IF(I173&gt;0,J173*100/I173,0)</f>
        <v>100</v>
      </c>
      <c r="L173" s="168"/>
      <c r="M173" s="168"/>
      <c r="N173" s="167"/>
      <c r="O173" s="168"/>
      <c r="P173" s="168"/>
    </row>
    <row r="174" spans="1:16" ht="21.75" customHeight="1" x14ac:dyDescent="0.3">
      <c r="A174" s="175"/>
      <c r="B174" s="176"/>
      <c r="C174" s="176"/>
      <c r="D174" s="193"/>
      <c r="E174" s="194" t="s">
        <v>54</v>
      </c>
      <c r="F174" s="195"/>
      <c r="G174" s="196"/>
      <c r="H174" s="186"/>
      <c r="I174" s="187"/>
      <c r="J174" s="197">
        <f ca="1">IFERROR(__xludf.DUMMYFUNCTION("IMPORTRANGE(""https://docs.google.com/spreadsheets/d/11923uPwbBZFjjGgGUA6NLw09EwE0CqkOc4q9oUmW1yo/edit?usp=sharing"",""เชียงราย!J99"")"),0)</f>
        <v>0</v>
      </c>
      <c r="K174" s="163"/>
      <c r="L174" s="181"/>
      <c r="M174" s="181"/>
      <c r="N174" s="181"/>
      <c r="O174" s="181"/>
      <c r="P174" s="181"/>
    </row>
    <row r="175" spans="1:16" ht="21.75" customHeight="1" x14ac:dyDescent="0.3">
      <c r="A175" s="175"/>
      <c r="B175" s="176"/>
      <c r="C175" s="176"/>
      <c r="D175" s="205">
        <v>3</v>
      </c>
      <c r="E175" s="206" t="s">
        <v>55</v>
      </c>
      <c r="F175" s="207"/>
      <c r="G175" s="208"/>
      <c r="H175" s="186"/>
      <c r="I175" s="187"/>
      <c r="J175" s="209">
        <f ca="1">IFERROR(__xludf.DUMMYFUNCTION("IMPORTRANGE(""https://docs.google.com/spreadsheets/d/11923uPwbBZFjjGgGUA6NLw09EwE0CqkOc4q9oUmW1yo/edit?usp=sharing"",""เชียงราย!J100"")"),0)</f>
        <v>0</v>
      </c>
      <c r="K175" s="163"/>
      <c r="L175" s="181"/>
      <c r="M175" s="181"/>
      <c r="N175" s="181"/>
      <c r="O175" s="181"/>
      <c r="P175" s="181"/>
    </row>
    <row r="176" spans="1:16" ht="21.75" customHeight="1" x14ac:dyDescent="0.3">
      <c r="A176" s="269"/>
      <c r="B176" s="270"/>
      <c r="C176" s="271" t="s">
        <v>85</v>
      </c>
      <c r="D176" s="271"/>
      <c r="E176" s="271"/>
      <c r="F176" s="271"/>
      <c r="G176" s="272"/>
      <c r="H176" s="281" t="s">
        <v>83</v>
      </c>
      <c r="I176" s="282">
        <f ca="1">IFERROR(__xludf.DUMMYFUNCTION("IMPORTRANGE(""https://docs.google.com/spreadsheets/d/11923uPwbBZFjjGgGUA6NLw09EwE0CqkOc4q9oUmW1yo/edit?usp=sharing"",""เชียงราย!I101"")"),0)</f>
        <v>0</v>
      </c>
      <c r="J176" s="282">
        <f ca="1">IFERROR(__xludf.DUMMYFUNCTION("IMPORTRANGE(""https://docs.google.com/spreadsheets/d/11923uPwbBZFjjGgGUA6NLw09EwE0CqkOc4q9oUmW1yo/edit?usp=sharing"",""เชียงราย!J101"")"),0)</f>
        <v>0</v>
      </c>
      <c r="K176" s="283">
        <f ca="1">IF(I176&gt;0,J176*100/I176,0)</f>
        <v>0</v>
      </c>
      <c r="L176" s="276"/>
      <c r="M176" s="276"/>
      <c r="N176" s="276"/>
      <c r="O176" s="276"/>
      <c r="P176" s="276"/>
    </row>
    <row r="177" spans="1:16" ht="21.75" customHeight="1" x14ac:dyDescent="0.3">
      <c r="A177" s="156"/>
      <c r="B177" s="157"/>
      <c r="C177" s="157" t="s">
        <v>16</v>
      </c>
      <c r="D177" s="158" t="s">
        <v>38</v>
      </c>
      <c r="E177" s="159"/>
      <c r="F177" s="159"/>
      <c r="G177" s="160" t="s">
        <v>39</v>
      </c>
      <c r="H177" s="161" t="s">
        <v>12</v>
      </c>
      <c r="I177" s="162" t="s">
        <v>40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3">
      <c r="A178" s="156"/>
      <c r="B178" s="157"/>
      <c r="C178" s="157"/>
      <c r="D178" s="166"/>
      <c r="E178" s="159"/>
      <c r="F178" s="159" t="s">
        <v>40</v>
      </c>
      <c r="G178" s="160" t="s">
        <v>41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3">
      <c r="A179" s="156"/>
      <c r="B179" s="157"/>
      <c r="C179" s="157"/>
      <c r="D179" s="166"/>
      <c r="E179" s="159"/>
      <c r="F179" s="159"/>
      <c r="G179" s="169" t="s">
        <v>43</v>
      </c>
      <c r="H179" s="161" t="s">
        <v>12</v>
      </c>
      <c r="I179" s="162"/>
      <c r="J179" s="187"/>
      <c r="K179" s="223"/>
      <c r="L179" s="168"/>
      <c r="M179" s="168"/>
      <c r="N179" s="167"/>
      <c r="O179" s="168"/>
      <c r="P179" s="168"/>
    </row>
    <row r="180" spans="1:16" ht="21.75" customHeight="1" x14ac:dyDescent="0.3">
      <c r="A180" s="175"/>
      <c r="B180" s="176"/>
      <c r="C180" s="157" t="s">
        <v>16</v>
      </c>
      <c r="D180" s="177" t="s">
        <v>44</v>
      </c>
      <c r="E180" s="178"/>
      <c r="F180" s="178"/>
      <c r="G180" s="179"/>
      <c r="H180" s="180"/>
      <c r="I180" s="162"/>
      <c r="J180" s="187"/>
      <c r="K180" s="223"/>
      <c r="L180" s="168"/>
      <c r="M180" s="168"/>
      <c r="N180" s="168"/>
      <c r="O180" s="181"/>
      <c r="P180" s="181"/>
    </row>
    <row r="181" spans="1:16" ht="21.75" customHeight="1" x14ac:dyDescent="0.3">
      <c r="A181" s="175"/>
      <c r="B181" s="176"/>
      <c r="C181" s="176"/>
      <c r="D181" s="182">
        <v>1</v>
      </c>
      <c r="E181" s="183" t="s">
        <v>45</v>
      </c>
      <c r="F181" s="184"/>
      <c r="G181" s="185"/>
      <c r="H181" s="186"/>
      <c r="I181" s="187"/>
      <c r="J181" s="187">
        <f ca="1">IFERROR(__xludf.DUMMYFUNCTION("IMPORTRANGE(""https://docs.google.com/spreadsheets/d/11923uPwbBZFjjGgGUA6NLw09EwE0CqkOc4q9oUmW1yo/edit?usp=sharing"",""เชียงราย!J106"")"),0)</f>
        <v>0</v>
      </c>
      <c r="K181" s="223"/>
      <c r="L181" s="168"/>
      <c r="M181" s="168"/>
      <c r="N181" s="168"/>
      <c r="O181" s="181"/>
      <c r="P181" s="181"/>
    </row>
    <row r="182" spans="1:16" ht="21.75" customHeight="1" x14ac:dyDescent="0.3">
      <c r="A182" s="175"/>
      <c r="B182" s="176"/>
      <c r="C182" s="176"/>
      <c r="D182" s="189">
        <v>2</v>
      </c>
      <c r="E182" s="190" t="s">
        <v>46</v>
      </c>
      <c r="F182" s="191"/>
      <c r="G182" s="192"/>
      <c r="H182" s="186"/>
      <c r="I182" s="187"/>
      <c r="J182" s="187">
        <f ca="1">IFERROR(__xludf.DUMMYFUNCTION("IMPORTRANGE(""https://docs.google.com/spreadsheets/d/11923uPwbBZFjjGgGUA6NLw09EwE0CqkOc4q9oUmW1yo/edit?usp=sharing"",""เชียงราย!J107"")"),0)</f>
        <v>0</v>
      </c>
      <c r="K182" s="223"/>
      <c r="L182" s="168"/>
      <c r="M182" s="168"/>
      <c r="N182" s="168"/>
      <c r="O182" s="181"/>
      <c r="P182" s="181"/>
    </row>
    <row r="183" spans="1:16" ht="21.75" customHeight="1" x14ac:dyDescent="0.3">
      <c r="A183" s="175"/>
      <c r="B183" s="176"/>
      <c r="C183" s="176"/>
      <c r="D183" s="193"/>
      <c r="E183" s="194" t="s">
        <v>47</v>
      </c>
      <c r="F183" s="195"/>
      <c r="G183" s="196"/>
      <c r="H183" s="186"/>
      <c r="I183" s="187"/>
      <c r="J183" s="187">
        <f ca="1">IFERROR(__xludf.DUMMYFUNCTION("IMPORTRANGE(""https://docs.google.com/spreadsheets/d/11923uPwbBZFjjGgGUA6NLw09EwE0CqkOc4q9oUmW1yo/edit?usp=sharing"",""เชียงราย!J108"")"),0)</f>
        <v>0</v>
      </c>
      <c r="K183" s="223"/>
      <c r="L183" s="168"/>
      <c r="M183" s="168"/>
      <c r="N183" s="168"/>
      <c r="O183" s="181"/>
      <c r="P183" s="181"/>
    </row>
    <row r="184" spans="1:16" ht="21.75" customHeight="1" x14ac:dyDescent="0.3">
      <c r="A184" s="175"/>
      <c r="B184" s="176"/>
      <c r="C184" s="176"/>
      <c r="D184" s="193"/>
      <c r="E184" s="194" t="s">
        <v>48</v>
      </c>
      <c r="F184" s="195"/>
      <c r="G184" s="196"/>
      <c r="H184" s="186"/>
      <c r="I184" s="187"/>
      <c r="J184" s="187">
        <f ca="1">IFERROR(__xludf.DUMMYFUNCTION("IMPORTRANGE(""https://docs.google.com/spreadsheets/d/11923uPwbBZFjjGgGUA6NLw09EwE0CqkOc4q9oUmW1yo/edit?usp=sharing"",""เชียงราย!J109"")"),0)</f>
        <v>0</v>
      </c>
      <c r="K184" s="223"/>
      <c r="L184" s="168"/>
      <c r="M184" s="168"/>
      <c r="N184" s="168"/>
      <c r="O184" s="181"/>
      <c r="P184" s="181"/>
    </row>
    <row r="185" spans="1:16" ht="21.75" customHeight="1" x14ac:dyDescent="0.3">
      <c r="A185" s="175"/>
      <c r="B185" s="176"/>
      <c r="C185" s="176"/>
      <c r="D185" s="193"/>
      <c r="E185" s="198"/>
      <c r="F185" s="194" t="s">
        <v>86</v>
      </c>
      <c r="G185" s="196"/>
      <c r="H185" s="180" t="s">
        <v>83</v>
      </c>
      <c r="I185" s="187">
        <f ca="1">IFERROR(__xludf.DUMMYFUNCTION("IMPORTRANGE(""https://docs.google.com/spreadsheets/d/11923uPwbBZFjjGgGUA6NLw09EwE0CqkOc4q9oUmW1yo/edit?usp=sharing"",""เชียงราย!I110"")"),0)</f>
        <v>0</v>
      </c>
      <c r="J185" s="203">
        <f ca="1">IFERROR(__xludf.DUMMYFUNCTION("IMPORTRANGE(""https://docs.google.com/spreadsheets/d/11923uPwbBZFjjGgGUA6NLw09EwE0CqkOc4q9oUmW1yo/edit?usp=sharing"",""เชียงราย!J110"")"),0)</f>
        <v>0</v>
      </c>
      <c r="K185" s="223">
        <f t="shared" ref="K185:K186" ca="1" si="69">IF(I185&gt;0,J185*100/I185,0)</f>
        <v>0</v>
      </c>
      <c r="L185" s="168"/>
      <c r="M185" s="168"/>
      <c r="N185" s="167"/>
      <c r="O185" s="168"/>
      <c r="P185" s="168"/>
    </row>
    <row r="186" spans="1:16" ht="21.75" customHeight="1" x14ac:dyDescent="0.3">
      <c r="A186" s="175"/>
      <c r="B186" s="176"/>
      <c r="C186" s="176"/>
      <c r="D186" s="193"/>
      <c r="E186" s="198"/>
      <c r="F186" s="194" t="s">
        <v>87</v>
      </c>
      <c r="G186" s="196"/>
      <c r="H186" s="180" t="s">
        <v>83</v>
      </c>
      <c r="I186" s="187">
        <f ca="1">IFERROR(__xludf.DUMMYFUNCTION("IMPORTRANGE(""https://docs.google.com/spreadsheets/d/11923uPwbBZFjjGgGUA6NLw09EwE0CqkOc4q9oUmW1yo/edit?usp=sharing"",""เชียงราย!I111"")"),0)</f>
        <v>0</v>
      </c>
      <c r="J186" s="203">
        <f ca="1">IFERROR(__xludf.DUMMYFUNCTION("IMPORTRANGE(""https://docs.google.com/spreadsheets/d/11923uPwbBZFjjGgGUA6NLw09EwE0CqkOc4q9oUmW1yo/edit?usp=sharing"",""เชียงราย!J111"")"),0)</f>
        <v>0</v>
      </c>
      <c r="K186" s="223">
        <f t="shared" ca="1" si="69"/>
        <v>0</v>
      </c>
      <c r="L186" s="168"/>
      <c r="M186" s="168"/>
      <c r="N186" s="167"/>
      <c r="O186" s="168"/>
      <c r="P186" s="168"/>
    </row>
    <row r="187" spans="1:16" ht="21.75" customHeight="1" x14ac:dyDescent="0.3">
      <c r="A187" s="175"/>
      <c r="B187" s="176"/>
      <c r="C187" s="176"/>
      <c r="D187" s="193"/>
      <c r="E187" s="194" t="s">
        <v>54</v>
      </c>
      <c r="F187" s="195"/>
      <c r="G187" s="196"/>
      <c r="H187" s="186"/>
      <c r="I187" s="187"/>
      <c r="J187" s="187">
        <f ca="1">IFERROR(__xludf.DUMMYFUNCTION("IMPORTRANGE(""https://docs.google.com/spreadsheets/d/11923uPwbBZFjjGgGUA6NLw09EwE0CqkOc4q9oUmW1yo/edit?usp=sharing"",""เชียงราย!J112"")"),0)</f>
        <v>0</v>
      </c>
      <c r="K187" s="223"/>
      <c r="L187" s="168"/>
      <c r="M187" s="168"/>
      <c r="N187" s="168"/>
      <c r="O187" s="181"/>
      <c r="P187" s="181"/>
    </row>
    <row r="188" spans="1:16" ht="21.75" customHeight="1" x14ac:dyDescent="0.3">
      <c r="A188" s="175"/>
      <c r="B188" s="176"/>
      <c r="C188" s="176"/>
      <c r="D188" s="205">
        <v>3</v>
      </c>
      <c r="E188" s="206" t="s">
        <v>55</v>
      </c>
      <c r="F188" s="207"/>
      <c r="G188" s="208"/>
      <c r="H188" s="186"/>
      <c r="I188" s="187"/>
      <c r="J188" s="226">
        <f ca="1">IFERROR(__xludf.DUMMYFUNCTION("IMPORTRANGE(""https://docs.google.com/spreadsheets/d/11923uPwbBZFjjGgGUA6NLw09EwE0CqkOc4q9oUmW1yo/edit?usp=sharing"",""เชียงราย!J113"")"),0)</f>
        <v>0</v>
      </c>
      <c r="K188" s="223"/>
      <c r="L188" s="168"/>
      <c r="M188" s="168"/>
      <c r="N188" s="168"/>
      <c r="O188" s="181"/>
      <c r="P188" s="181"/>
    </row>
    <row r="189" spans="1:16" ht="21.75" customHeight="1" x14ac:dyDescent="0.3">
      <c r="A189" s="269"/>
      <c r="B189" s="270"/>
      <c r="C189" s="271" t="s">
        <v>88</v>
      </c>
      <c r="D189" s="271"/>
      <c r="E189" s="271"/>
      <c r="F189" s="271"/>
      <c r="G189" s="272"/>
      <c r="H189" s="284" t="s">
        <v>89</v>
      </c>
      <c r="I189" s="282">
        <f ca="1">IFERROR(__xludf.DUMMYFUNCTION("IMPORTRANGE(""https://docs.google.com/spreadsheets/d/11923uPwbBZFjjGgGUA6NLw09EwE0CqkOc4q9oUmW1yo/edit?usp=sharing"",""เชียงราย!I114"")"),60000)</f>
        <v>60000</v>
      </c>
      <c r="J189" s="282">
        <f ca="1">IFERROR(__xludf.DUMMYFUNCTION("IMPORTRANGE(""https://docs.google.com/spreadsheets/d/11923uPwbBZFjjGgGUA6NLw09EwE0CqkOc4q9oUmW1yo/edit?usp=sharing"",""เชียงราย!J114"")"),0)</f>
        <v>0</v>
      </c>
      <c r="K189" s="283">
        <f ca="1">IF(I189&gt;0,J189*100/I189,0)</f>
        <v>0</v>
      </c>
      <c r="L189" s="276"/>
      <c r="M189" s="276"/>
      <c r="N189" s="276"/>
      <c r="O189" s="276"/>
      <c r="P189" s="276"/>
    </row>
    <row r="190" spans="1:16" ht="21.75" customHeight="1" x14ac:dyDescent="0.3">
      <c r="A190" s="156"/>
      <c r="B190" s="157"/>
      <c r="C190" s="157" t="s">
        <v>16</v>
      </c>
      <c r="D190" s="158" t="s">
        <v>38</v>
      </c>
      <c r="E190" s="159"/>
      <c r="F190" s="159"/>
      <c r="G190" s="160" t="s">
        <v>39</v>
      </c>
      <c r="H190" s="161" t="s">
        <v>12</v>
      </c>
      <c r="I190" s="162" t="s">
        <v>40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3">
      <c r="A191" s="156"/>
      <c r="B191" s="157"/>
      <c r="C191" s="157"/>
      <c r="D191" s="166"/>
      <c r="E191" s="159"/>
      <c r="F191" s="159" t="s">
        <v>40</v>
      </c>
      <c r="G191" s="160" t="s">
        <v>41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3">
      <c r="A192" s="156"/>
      <c r="B192" s="157"/>
      <c r="C192" s="157"/>
      <c r="D192" s="166"/>
      <c r="E192" s="159"/>
      <c r="F192" s="159"/>
      <c r="G192" s="169" t="s">
        <v>43</v>
      </c>
      <c r="H192" s="161" t="s">
        <v>12</v>
      </c>
      <c r="I192" s="162"/>
      <c r="J192" s="162"/>
      <c r="K192" s="163"/>
      <c r="L192" s="168"/>
      <c r="M192" s="168"/>
      <c r="N192" s="167"/>
      <c r="O192" s="168"/>
      <c r="P192" s="168"/>
    </row>
    <row r="193" spans="1:16" ht="21.75" customHeight="1" x14ac:dyDescent="0.3">
      <c r="A193" s="175"/>
      <c r="B193" s="176"/>
      <c r="C193" s="157" t="s">
        <v>16</v>
      </c>
      <c r="D193" s="177" t="s">
        <v>44</v>
      </c>
      <c r="E193" s="178"/>
      <c r="F193" s="178"/>
      <c r="G193" s="179"/>
      <c r="H193" s="180"/>
      <c r="I193" s="162"/>
      <c r="J193" s="162"/>
      <c r="K193" s="163"/>
      <c r="L193" s="181"/>
      <c r="M193" s="181"/>
      <c r="N193" s="181"/>
      <c r="O193" s="181"/>
      <c r="P193" s="181"/>
    </row>
    <row r="194" spans="1:16" ht="21.75" customHeight="1" x14ac:dyDescent="0.3">
      <c r="A194" s="175"/>
      <c r="B194" s="176"/>
      <c r="C194" s="176"/>
      <c r="D194" s="182">
        <v>1</v>
      </c>
      <c r="E194" s="183" t="s">
        <v>45</v>
      </c>
      <c r="F194" s="184"/>
      <c r="G194" s="185"/>
      <c r="H194" s="186"/>
      <c r="I194" s="187"/>
      <c r="J194" s="197">
        <f ca="1">IFERROR(__xludf.DUMMYFUNCTION("IMPORTRANGE(""https://docs.google.com/spreadsheets/d/11923uPwbBZFjjGgGUA6NLw09EwE0CqkOc4q9oUmW1yo/edit?usp=sharing"",""เชียงราย!J119"")"),0)</f>
        <v>0</v>
      </c>
      <c r="K194" s="163"/>
      <c r="L194" s="181"/>
      <c r="M194" s="181"/>
      <c r="N194" s="181"/>
      <c r="O194" s="181"/>
      <c r="P194" s="181"/>
    </row>
    <row r="195" spans="1:16" ht="21.75" customHeight="1" x14ac:dyDescent="0.3">
      <c r="A195" s="175"/>
      <c r="B195" s="176"/>
      <c r="C195" s="176"/>
      <c r="D195" s="189">
        <v>2</v>
      </c>
      <c r="E195" s="190" t="s">
        <v>46</v>
      </c>
      <c r="F195" s="191"/>
      <c r="G195" s="192"/>
      <c r="H195" s="186"/>
      <c r="I195" s="187"/>
      <c r="J195" s="188">
        <f ca="1">IFERROR(__xludf.DUMMYFUNCTION("IMPORTRANGE(""https://docs.google.com/spreadsheets/d/11923uPwbBZFjjGgGUA6NLw09EwE0CqkOc4q9oUmW1yo/edit?usp=sharing"",""เชียงราย!J120"")"),1)</f>
        <v>1</v>
      </c>
      <c r="K195" s="163"/>
      <c r="L195" s="181"/>
      <c r="M195" s="181"/>
      <c r="N195" s="181"/>
      <c r="O195" s="181"/>
      <c r="P195" s="181"/>
    </row>
    <row r="196" spans="1:16" ht="21.75" customHeight="1" x14ac:dyDescent="0.3">
      <c r="A196" s="175"/>
      <c r="B196" s="176"/>
      <c r="C196" s="176"/>
      <c r="D196" s="193"/>
      <c r="E196" s="194" t="s">
        <v>47</v>
      </c>
      <c r="F196" s="195"/>
      <c r="G196" s="196"/>
      <c r="H196" s="186"/>
      <c r="I196" s="187"/>
      <c r="J196" s="188">
        <f ca="1">IFERROR(__xludf.DUMMYFUNCTION("IMPORTRANGE(""https://docs.google.com/spreadsheets/d/11923uPwbBZFjjGgGUA6NLw09EwE0CqkOc4q9oUmW1yo/edit?usp=sharing"",""เชียงราย!J121"")"),1)</f>
        <v>1</v>
      </c>
      <c r="K196" s="163"/>
      <c r="L196" s="181"/>
      <c r="M196" s="181"/>
      <c r="N196" s="181"/>
      <c r="O196" s="181"/>
      <c r="P196" s="181"/>
    </row>
    <row r="197" spans="1:16" ht="21.75" customHeight="1" x14ac:dyDescent="0.3">
      <c r="A197" s="175"/>
      <c r="B197" s="176"/>
      <c r="C197" s="176"/>
      <c r="D197" s="193"/>
      <c r="E197" s="194" t="s">
        <v>48</v>
      </c>
      <c r="F197" s="195"/>
      <c r="G197" s="196"/>
      <c r="H197" s="186"/>
      <c r="I197" s="187"/>
      <c r="J197" s="197">
        <f ca="1">IFERROR(__xludf.DUMMYFUNCTION("IMPORTRANGE(""https://docs.google.com/spreadsheets/d/11923uPwbBZFjjGgGUA6NLw09EwE0CqkOc4q9oUmW1yo/edit?usp=sharing"",""เชียงราย!J122"")"),0)</f>
        <v>0</v>
      </c>
      <c r="K197" s="163"/>
      <c r="L197" s="181"/>
      <c r="M197" s="181"/>
      <c r="N197" s="181"/>
      <c r="O197" s="181"/>
      <c r="P197" s="181"/>
    </row>
    <row r="198" spans="1:16" ht="21.75" customHeight="1" x14ac:dyDescent="0.3">
      <c r="A198" s="175"/>
      <c r="B198" s="176"/>
      <c r="C198" s="176"/>
      <c r="D198" s="193"/>
      <c r="E198" s="195"/>
      <c r="F198" s="195" t="s">
        <v>90</v>
      </c>
      <c r="G198" s="196"/>
      <c r="H198" s="180"/>
      <c r="I198" s="187"/>
      <c r="J198" s="187"/>
      <c r="K198" s="163"/>
      <c r="L198" s="181"/>
      <c r="M198" s="181"/>
      <c r="N198" s="181"/>
      <c r="O198" s="181"/>
      <c r="P198" s="181"/>
    </row>
    <row r="199" spans="1:16" ht="21.75" customHeight="1" x14ac:dyDescent="0.3">
      <c r="A199" s="175"/>
      <c r="B199" s="176"/>
      <c r="C199" s="176"/>
      <c r="D199" s="193"/>
      <c r="E199" s="198"/>
      <c r="F199" s="195"/>
      <c r="G199" s="194" t="s">
        <v>91</v>
      </c>
      <c r="H199" s="180" t="s">
        <v>89</v>
      </c>
      <c r="I199" s="187">
        <f ca="1">IFERROR(__xludf.DUMMYFUNCTION("IMPORTRANGE(""https://docs.google.com/spreadsheets/d/11923uPwbBZFjjGgGUA6NLw09EwE0CqkOc4q9oUmW1yo/edit?usp=sharing"",""เชียงราย!I124"")"),60000)</f>
        <v>60000</v>
      </c>
      <c r="J199" s="188">
        <f ca="1">IFERROR(__xludf.DUMMYFUNCTION("IMPORTRANGE(""https://docs.google.com/spreadsheets/d/11923uPwbBZFjjGgGUA6NLw09EwE0CqkOc4q9oUmW1yo/edit?usp=sharing"",""เชียงราย!J124"")"),0)</f>
        <v>0</v>
      </c>
      <c r="K199" s="163">
        <f t="shared" ref="K199:K201" ca="1" si="70">IF(I199&gt;0,J199*100/I199,0)</f>
        <v>0</v>
      </c>
      <c r="L199" s="181"/>
      <c r="M199" s="181"/>
      <c r="N199" s="181"/>
      <c r="O199" s="181"/>
      <c r="P199" s="181"/>
    </row>
    <row r="200" spans="1:16" ht="21.75" customHeight="1" x14ac:dyDescent="0.3">
      <c r="A200" s="175"/>
      <c r="B200" s="176"/>
      <c r="C200" s="176"/>
      <c r="D200" s="193"/>
      <c r="E200" s="198"/>
      <c r="F200" s="195"/>
      <c r="G200" s="194" t="s">
        <v>92</v>
      </c>
      <c r="H200" s="180" t="s">
        <v>89</v>
      </c>
      <c r="I200" s="187">
        <f ca="1">IFERROR(__xludf.DUMMYFUNCTION("IMPORTRANGE(""https://docs.google.com/spreadsheets/d/11923uPwbBZFjjGgGUA6NLw09EwE0CqkOc4q9oUmW1yo/edit?usp=sharing"",""เชียงราย!I125"")"),60000)</f>
        <v>60000</v>
      </c>
      <c r="J200" s="188">
        <f ca="1">IFERROR(__xludf.DUMMYFUNCTION("IMPORTRANGE(""https://docs.google.com/spreadsheets/d/11923uPwbBZFjjGgGUA6NLw09EwE0CqkOc4q9oUmW1yo/edit?usp=sharing"",""เชียงราย!J125"")"),0)</f>
        <v>0</v>
      </c>
      <c r="K200" s="163">
        <f t="shared" ca="1" si="70"/>
        <v>0</v>
      </c>
      <c r="L200" s="168"/>
      <c r="M200" s="168"/>
      <c r="N200" s="167"/>
      <c r="O200" s="168"/>
      <c r="P200" s="168"/>
    </row>
    <row r="201" spans="1:16" ht="21.75" customHeight="1" x14ac:dyDescent="0.3">
      <c r="A201" s="175"/>
      <c r="B201" s="176"/>
      <c r="C201" s="176"/>
      <c r="D201" s="193"/>
      <c r="E201" s="198"/>
      <c r="F201" s="195" t="s">
        <v>93</v>
      </c>
      <c r="G201" s="196"/>
      <c r="H201" s="180" t="s">
        <v>37</v>
      </c>
      <c r="I201" s="187">
        <f ca="1">IFERROR(__xludf.DUMMYFUNCTION("IMPORTRANGE(""https://docs.google.com/spreadsheets/d/11923uPwbBZFjjGgGUA6NLw09EwE0CqkOc4q9oUmW1yo/edit?usp=sharing"",""เชียงราย!I126"")"),15)</f>
        <v>15</v>
      </c>
      <c r="J201" s="188">
        <f ca="1">IFERROR(__xludf.DUMMYFUNCTION("IMPORTRANGE(""https://docs.google.com/spreadsheets/d/11923uPwbBZFjjGgGUA6NLw09EwE0CqkOc4q9oUmW1yo/edit?usp=sharing"",""เชียงราย!J126"")"),15)</f>
        <v>15</v>
      </c>
      <c r="K201" s="163">
        <f t="shared" ca="1" si="70"/>
        <v>100</v>
      </c>
      <c r="L201" s="168"/>
      <c r="M201" s="168"/>
      <c r="N201" s="167"/>
      <c r="O201" s="168"/>
      <c r="P201" s="168"/>
    </row>
    <row r="202" spans="1:16" ht="21.75" customHeight="1" x14ac:dyDescent="0.3">
      <c r="A202" s="175"/>
      <c r="B202" s="176"/>
      <c r="C202" s="176"/>
      <c r="D202" s="193"/>
      <c r="E202" s="194" t="s">
        <v>54</v>
      </c>
      <c r="F202" s="195"/>
      <c r="G202" s="196"/>
      <c r="H202" s="186"/>
      <c r="I202" s="187"/>
      <c r="J202" s="197">
        <f ca="1">IFERROR(__xludf.DUMMYFUNCTION("IMPORTRANGE(""https://docs.google.com/spreadsheets/d/11923uPwbBZFjjGgGUA6NLw09EwE0CqkOc4q9oUmW1yo/edit?usp=sharing"",""เชียงราย!J127"")"),0)</f>
        <v>0</v>
      </c>
      <c r="K202" s="163"/>
      <c r="L202" s="181"/>
      <c r="M202" s="181"/>
      <c r="N202" s="181"/>
      <c r="O202" s="181"/>
      <c r="P202" s="181"/>
    </row>
    <row r="203" spans="1:16" ht="21.75" customHeight="1" x14ac:dyDescent="0.3">
      <c r="A203" s="233"/>
      <c r="B203" s="234"/>
      <c r="C203" s="234"/>
      <c r="D203" s="235">
        <v>3</v>
      </c>
      <c r="E203" s="236" t="s">
        <v>55</v>
      </c>
      <c r="F203" s="237"/>
      <c r="G203" s="238"/>
      <c r="H203" s="239"/>
      <c r="I203" s="240"/>
      <c r="J203" s="285">
        <f ca="1">IFERROR(__xludf.DUMMYFUNCTION("IMPORTRANGE(""https://docs.google.com/spreadsheets/d/11923uPwbBZFjjGgGUA6NLw09EwE0CqkOc4q9oUmW1yo/edit?usp=sharing"",""เชียงราย!J128"")"),0)</f>
        <v>0</v>
      </c>
      <c r="K203" s="286"/>
      <c r="L203" s="244"/>
      <c r="M203" s="244"/>
      <c r="N203" s="244"/>
      <c r="O203" s="244"/>
      <c r="P203" s="244"/>
    </row>
    <row r="204" spans="1:16" ht="21.75" customHeight="1" x14ac:dyDescent="0.3">
      <c r="A204" s="269"/>
      <c r="B204" s="270"/>
      <c r="C204" s="287" t="s">
        <v>94</v>
      </c>
      <c r="D204" s="271"/>
      <c r="E204" s="271"/>
      <c r="F204" s="271"/>
      <c r="G204" s="272"/>
      <c r="H204" s="284" t="s">
        <v>37</v>
      </c>
      <c r="I204" s="282">
        <f ca="1">IFERROR(__xludf.DUMMYFUNCTION("IMPORTRANGE(""https://docs.google.com/spreadsheets/d/11923uPwbBZFjjGgGUA6NLw09EwE0CqkOc4q9oUmW1yo/edit?usp=sharing"",""เชียงราย!I129"")"),0)</f>
        <v>0</v>
      </c>
      <c r="J204" s="282">
        <f ca="1">IFERROR(__xludf.DUMMYFUNCTION("IMPORTRANGE(""https://docs.google.com/spreadsheets/d/11923uPwbBZFjjGgGUA6NLw09EwE0CqkOc4q9oUmW1yo/edit?usp=sharing"",""เชียงราย!J129"")"),0)</f>
        <v>0</v>
      </c>
      <c r="K204" s="283">
        <f ca="1">IF(I204&gt;0,J204*100/I204,0)</f>
        <v>0</v>
      </c>
      <c r="L204" s="276"/>
      <c r="M204" s="276"/>
      <c r="N204" s="276"/>
      <c r="O204" s="276"/>
      <c r="P204" s="276"/>
    </row>
    <row r="205" spans="1:16" ht="21.75" customHeight="1" x14ac:dyDescent="0.3">
      <c r="A205" s="156"/>
      <c r="B205" s="157"/>
      <c r="C205" s="157" t="s">
        <v>16</v>
      </c>
      <c r="D205" s="158" t="s">
        <v>38</v>
      </c>
      <c r="E205" s="159"/>
      <c r="F205" s="159"/>
      <c r="G205" s="160" t="s">
        <v>39</v>
      </c>
      <c r="H205" s="161" t="s">
        <v>12</v>
      </c>
      <c r="I205" s="162" t="s">
        <v>40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3">
      <c r="A206" s="156"/>
      <c r="B206" s="157"/>
      <c r="C206" s="157"/>
      <c r="D206" s="166"/>
      <c r="E206" s="159"/>
      <c r="F206" s="159" t="s">
        <v>40</v>
      </c>
      <c r="G206" s="160" t="s">
        <v>41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3">
      <c r="A207" s="156"/>
      <c r="B207" s="157"/>
      <c r="C207" s="157"/>
      <c r="D207" s="166"/>
      <c r="E207" s="159"/>
      <c r="F207" s="159"/>
      <c r="G207" s="169" t="s">
        <v>43</v>
      </c>
      <c r="H207" s="161" t="s">
        <v>12</v>
      </c>
      <c r="I207" s="162"/>
      <c r="J207" s="187"/>
      <c r="K207" s="223"/>
      <c r="L207" s="168"/>
      <c r="M207" s="168"/>
      <c r="N207" s="167"/>
      <c r="O207" s="168"/>
      <c r="P207" s="168"/>
    </row>
    <row r="208" spans="1:16" ht="21.75" customHeight="1" x14ac:dyDescent="0.3">
      <c r="A208" s="175"/>
      <c r="B208" s="176"/>
      <c r="C208" s="157" t="s">
        <v>16</v>
      </c>
      <c r="D208" s="177" t="s">
        <v>44</v>
      </c>
      <c r="E208" s="178"/>
      <c r="F208" s="178"/>
      <c r="G208" s="179"/>
      <c r="H208" s="180"/>
      <c r="I208" s="162"/>
      <c r="J208" s="187"/>
      <c r="K208" s="223"/>
      <c r="L208" s="168"/>
      <c r="M208" s="168"/>
      <c r="N208" s="168"/>
      <c r="O208" s="181"/>
      <c r="P208" s="181"/>
    </row>
    <row r="209" spans="1:16" ht="21.75" customHeight="1" x14ac:dyDescent="0.3">
      <c r="A209" s="175"/>
      <c r="B209" s="176"/>
      <c r="C209" s="176"/>
      <c r="D209" s="182">
        <v>1</v>
      </c>
      <c r="E209" s="183" t="s">
        <v>45</v>
      </c>
      <c r="F209" s="184"/>
      <c r="G209" s="185"/>
      <c r="H209" s="186"/>
      <c r="I209" s="187"/>
      <c r="J209" s="187">
        <f ca="1">IFERROR(__xludf.DUMMYFUNCTION("IMPORTRANGE(""https://docs.google.com/spreadsheets/d/11923uPwbBZFjjGgGUA6NLw09EwE0CqkOc4q9oUmW1yo/edit?usp=sharing"",""เชียงราย!J134"")"),0)</f>
        <v>0</v>
      </c>
      <c r="K209" s="223"/>
      <c r="L209" s="168"/>
      <c r="M209" s="168"/>
      <c r="N209" s="168"/>
      <c r="O209" s="181"/>
      <c r="P209" s="181"/>
    </row>
    <row r="210" spans="1:16" ht="21.75" customHeight="1" x14ac:dyDescent="0.3">
      <c r="A210" s="175"/>
      <c r="B210" s="176"/>
      <c r="C210" s="176"/>
      <c r="D210" s="189">
        <v>2</v>
      </c>
      <c r="E210" s="190" t="s">
        <v>46</v>
      </c>
      <c r="F210" s="191"/>
      <c r="G210" s="192"/>
      <c r="H210" s="186"/>
      <c r="I210" s="187"/>
      <c r="J210" s="187">
        <f ca="1">IFERROR(__xludf.DUMMYFUNCTION("IMPORTRANGE(""https://docs.google.com/spreadsheets/d/11923uPwbBZFjjGgGUA6NLw09EwE0CqkOc4q9oUmW1yo/edit?usp=sharing"",""เชียงราย!J135"")"),0)</f>
        <v>0</v>
      </c>
      <c r="K210" s="223"/>
      <c r="L210" s="168"/>
      <c r="M210" s="168"/>
      <c r="N210" s="168"/>
      <c r="O210" s="181"/>
      <c r="P210" s="181"/>
    </row>
    <row r="211" spans="1:16" ht="21.75" customHeight="1" x14ac:dyDescent="0.3">
      <c r="A211" s="175"/>
      <c r="B211" s="176"/>
      <c r="C211" s="176"/>
      <c r="D211" s="193"/>
      <c r="E211" s="194" t="s">
        <v>47</v>
      </c>
      <c r="F211" s="195"/>
      <c r="G211" s="196"/>
      <c r="H211" s="186"/>
      <c r="I211" s="187"/>
      <c r="J211" s="187">
        <f ca="1">IFERROR(__xludf.DUMMYFUNCTION("IMPORTRANGE(""https://docs.google.com/spreadsheets/d/11923uPwbBZFjjGgGUA6NLw09EwE0CqkOc4q9oUmW1yo/edit?usp=sharing"",""เชียงราย!J136"")"),0)</f>
        <v>0</v>
      </c>
      <c r="K211" s="223"/>
      <c r="L211" s="168"/>
      <c r="M211" s="168"/>
      <c r="N211" s="168"/>
      <c r="O211" s="181"/>
      <c r="P211" s="181"/>
    </row>
    <row r="212" spans="1:16" ht="21.75" customHeight="1" x14ac:dyDescent="0.3">
      <c r="A212" s="175"/>
      <c r="B212" s="176"/>
      <c r="C212" s="176"/>
      <c r="D212" s="193"/>
      <c r="E212" s="194" t="s">
        <v>48</v>
      </c>
      <c r="F212" s="195"/>
      <c r="G212" s="196"/>
      <c r="H212" s="186"/>
      <c r="I212" s="187"/>
      <c r="J212" s="187">
        <f ca="1">IFERROR(__xludf.DUMMYFUNCTION("IMPORTRANGE(""https://docs.google.com/spreadsheets/d/11923uPwbBZFjjGgGUA6NLw09EwE0CqkOc4q9oUmW1yo/edit?usp=sharing"",""เชียงราย!J137"")"),0)</f>
        <v>0</v>
      </c>
      <c r="K212" s="223"/>
      <c r="L212" s="168"/>
      <c r="M212" s="168"/>
      <c r="N212" s="168"/>
      <c r="O212" s="181"/>
      <c r="P212" s="181"/>
    </row>
    <row r="213" spans="1:16" ht="21.75" customHeight="1" x14ac:dyDescent="0.3">
      <c r="A213" s="175"/>
      <c r="B213" s="176"/>
      <c r="C213" s="176"/>
      <c r="D213" s="193"/>
      <c r="E213" s="198"/>
      <c r="F213" s="195" t="s">
        <v>95</v>
      </c>
      <c r="G213" s="196"/>
      <c r="H213" s="180" t="s">
        <v>37</v>
      </c>
      <c r="I213" s="187">
        <f ca="1">IFERROR(__xludf.DUMMYFUNCTION("IMPORTRANGE(""https://docs.google.com/spreadsheets/d/11923uPwbBZFjjGgGUA6NLw09EwE0CqkOc4q9oUmW1yo/edit?usp=sharing"",""เชียงราย!I138"")"),0)</f>
        <v>0</v>
      </c>
      <c r="J213" s="203">
        <f ca="1">IFERROR(__xludf.DUMMYFUNCTION("IMPORTRANGE(""https://docs.google.com/spreadsheets/d/11923uPwbBZFjjGgGUA6NLw09EwE0CqkOc4q9oUmW1yo/edit?usp=sharing"",""เชียงราย!J138"")"),0)</f>
        <v>0</v>
      </c>
      <c r="K213" s="223">
        <f ca="1">IF(I213&gt;0,J213*100/I213,0)</f>
        <v>0</v>
      </c>
      <c r="L213" s="168"/>
      <c r="M213" s="168"/>
      <c r="N213" s="167"/>
      <c r="O213" s="168"/>
      <c r="P213" s="168"/>
    </row>
    <row r="214" spans="1:16" ht="21.75" customHeight="1" x14ac:dyDescent="0.3">
      <c r="A214" s="175"/>
      <c r="B214" s="176"/>
      <c r="C214" s="176"/>
      <c r="D214" s="193"/>
      <c r="E214" s="198"/>
      <c r="F214" s="194" t="s">
        <v>53</v>
      </c>
      <c r="G214" s="196"/>
      <c r="H214" s="180"/>
      <c r="I214" s="187"/>
      <c r="J214" s="187"/>
      <c r="K214" s="223"/>
      <c r="L214" s="168"/>
      <c r="M214" s="168"/>
      <c r="N214" s="168"/>
      <c r="O214" s="181"/>
      <c r="P214" s="181"/>
    </row>
    <row r="215" spans="1:16" ht="21.75" customHeight="1" x14ac:dyDescent="0.3">
      <c r="A215" s="175"/>
      <c r="B215" s="176"/>
      <c r="C215" s="176"/>
      <c r="D215" s="193"/>
      <c r="E215" s="198"/>
      <c r="F215" s="195"/>
      <c r="G215" s="225" t="s">
        <v>96</v>
      </c>
      <c r="H215" s="180" t="s">
        <v>37</v>
      </c>
      <c r="I215" s="187">
        <f ca="1">IFERROR(__xludf.DUMMYFUNCTION("IMPORTRANGE(""https://docs.google.com/spreadsheets/d/11923uPwbBZFjjGgGUA6NLw09EwE0CqkOc4q9oUmW1yo/edit?usp=sharing"",""เชียงราย!I140"")"),0)</f>
        <v>0</v>
      </c>
      <c r="J215" s="203">
        <f ca="1">IFERROR(__xludf.DUMMYFUNCTION("IMPORTRANGE(""https://docs.google.com/spreadsheets/d/11923uPwbBZFjjGgGUA6NLw09EwE0CqkOc4q9oUmW1yo/edit?usp=sharing"",""เชียงราย!J140"")"),0)</f>
        <v>0</v>
      </c>
      <c r="K215" s="223">
        <f t="shared" ref="K215:K216" ca="1" si="71">IF(I215&gt;0,J215*100/I215,0)</f>
        <v>0</v>
      </c>
      <c r="L215" s="168"/>
      <c r="M215" s="168"/>
      <c r="N215" s="167"/>
      <c r="O215" s="168"/>
      <c r="P215" s="168"/>
    </row>
    <row r="216" spans="1:16" ht="21.75" customHeight="1" x14ac:dyDescent="0.3">
      <c r="A216" s="175"/>
      <c r="B216" s="176"/>
      <c r="C216" s="176"/>
      <c r="D216" s="193"/>
      <c r="E216" s="198"/>
      <c r="F216" s="195"/>
      <c r="G216" s="225" t="s">
        <v>97</v>
      </c>
      <c r="H216" s="180" t="s">
        <v>59</v>
      </c>
      <c r="I216" s="187">
        <f ca="1">IFERROR(__xludf.DUMMYFUNCTION("IMPORTRANGE(""https://docs.google.com/spreadsheets/d/11923uPwbBZFjjGgGUA6NLw09EwE0CqkOc4q9oUmW1yo/edit?usp=sharing"",""เชียงราย!I141"")"),0)</f>
        <v>0</v>
      </c>
      <c r="J216" s="203">
        <f ca="1">IFERROR(__xludf.DUMMYFUNCTION("IMPORTRANGE(""https://docs.google.com/spreadsheets/d/11923uPwbBZFjjGgGUA6NLw09EwE0CqkOc4q9oUmW1yo/edit?usp=sharing"",""เชียงราย!J141"")"),0)</f>
        <v>0</v>
      </c>
      <c r="K216" s="223">
        <f t="shared" ca="1" si="71"/>
        <v>0</v>
      </c>
      <c r="L216" s="168"/>
      <c r="M216" s="168"/>
      <c r="N216" s="167"/>
      <c r="O216" s="168"/>
      <c r="P216" s="168"/>
    </row>
    <row r="217" spans="1:16" ht="21.75" customHeight="1" x14ac:dyDescent="0.3">
      <c r="A217" s="175"/>
      <c r="B217" s="176"/>
      <c r="C217" s="176"/>
      <c r="D217" s="193"/>
      <c r="E217" s="194" t="s">
        <v>54</v>
      </c>
      <c r="F217" s="195"/>
      <c r="G217" s="196"/>
      <c r="H217" s="186"/>
      <c r="I217" s="187"/>
      <c r="J217" s="187">
        <f ca="1">IFERROR(__xludf.DUMMYFUNCTION("IMPORTRANGE(""https://docs.google.com/spreadsheets/d/11923uPwbBZFjjGgGUA6NLw09EwE0CqkOc4q9oUmW1yo/edit?usp=sharing"",""เชียงราย!J142"")"),0)</f>
        <v>0</v>
      </c>
      <c r="K217" s="223"/>
      <c r="L217" s="168"/>
      <c r="M217" s="168"/>
      <c r="N217" s="168"/>
      <c r="O217" s="181"/>
      <c r="P217" s="181"/>
    </row>
    <row r="218" spans="1:16" ht="21.75" customHeight="1" x14ac:dyDescent="0.3">
      <c r="A218" s="233"/>
      <c r="B218" s="234"/>
      <c r="C218" s="234"/>
      <c r="D218" s="235">
        <v>3</v>
      </c>
      <c r="E218" s="236" t="s">
        <v>55</v>
      </c>
      <c r="F218" s="237"/>
      <c r="G218" s="238"/>
      <c r="H218" s="239"/>
      <c r="I218" s="240"/>
      <c r="J218" s="241">
        <f ca="1">IFERROR(__xludf.DUMMYFUNCTION("IMPORTRANGE(""https://docs.google.com/spreadsheets/d/11923uPwbBZFjjGgGUA6NLw09EwE0CqkOc4q9oUmW1yo/edit?usp=sharing"",""เชียงราย!J143"")"),0)</f>
        <v>0</v>
      </c>
      <c r="K218" s="242"/>
      <c r="L218" s="243"/>
      <c r="M218" s="243"/>
      <c r="N218" s="243"/>
      <c r="O218" s="244"/>
      <c r="P218" s="244"/>
    </row>
    <row r="219" spans="1:16" ht="21.75" customHeight="1" x14ac:dyDescent="0.3">
      <c r="A219" s="261"/>
      <c r="B219" s="262" t="s">
        <v>98</v>
      </c>
      <c r="C219" s="263"/>
      <c r="D219" s="262"/>
      <c r="E219" s="262"/>
      <c r="F219" s="262"/>
      <c r="G219" s="264"/>
      <c r="H219" s="265" t="s">
        <v>37</v>
      </c>
      <c r="I219" s="266">
        <f ca="1">IFERROR(__xludf.DUMMYFUNCTION("IMPORTRANGE(""https://docs.google.com/spreadsheets/d/11923uPwbBZFjjGgGUA6NLw09EwE0CqkOc4q9oUmW1yo/edit?usp=sharing"",""เชียงราย!I144"")"),14)</f>
        <v>14</v>
      </c>
      <c r="J219" s="266">
        <f ca="1">IFERROR(__xludf.DUMMYFUNCTION("IMPORTRANGE(""https://docs.google.com/spreadsheets/d/11923uPwbBZFjjGgGUA6NLw09EwE0CqkOc4q9oUmW1yo/edit?usp=sharing"",""เชียงราย!J144"")"),14)</f>
        <v>14</v>
      </c>
      <c r="K219" s="267">
        <f ca="1">IF(I219&gt;0,J219*100/I219,0)</f>
        <v>100</v>
      </c>
      <c r="L219" s="268"/>
      <c r="M219" s="268"/>
      <c r="N219" s="268"/>
      <c r="O219" s="267"/>
      <c r="P219" s="267"/>
    </row>
    <row r="220" spans="1:16" ht="21.75" customHeight="1" x14ac:dyDescent="0.45">
      <c r="A220" s="145"/>
      <c r="B220" s="146"/>
      <c r="C220" s="147" t="s">
        <v>16</v>
      </c>
      <c r="D220" s="537" t="s">
        <v>17</v>
      </c>
      <c r="E220" s="528"/>
      <c r="F220" s="528"/>
      <c r="G220" s="528"/>
      <c r="H220" s="148" t="s">
        <v>12</v>
      </c>
      <c r="I220" s="162"/>
      <c r="J220" s="162"/>
      <c r="K220" s="163"/>
      <c r="L220" s="151">
        <f t="shared" ref="L220:N220" ca="1" si="72">L221+L222</f>
        <v>20210</v>
      </c>
      <c r="M220" s="151">
        <f t="shared" ca="1" si="72"/>
        <v>20210</v>
      </c>
      <c r="N220" s="151">
        <f t="shared" ca="1" si="72"/>
        <v>19940</v>
      </c>
      <c r="O220" s="150">
        <f t="shared" ref="O220:O222" ca="1" si="73">IF(L220&gt;0,N220*100/L220,0)</f>
        <v>98.66402770905492</v>
      </c>
      <c r="P220" s="150">
        <f t="shared" ref="P220:P222" ca="1" si="74">IF(M220&gt;0,N220*100/M220,0)</f>
        <v>98.66402770905492</v>
      </c>
    </row>
    <row r="221" spans="1:16" ht="21.75" customHeight="1" x14ac:dyDescent="0.45">
      <c r="A221" s="152"/>
      <c r="B221" s="32"/>
      <c r="C221" s="32"/>
      <c r="D221" s="32"/>
      <c r="E221" s="32"/>
      <c r="F221" s="32"/>
      <c r="G221" s="33" t="s">
        <v>18</v>
      </c>
      <c r="H221" s="153" t="s">
        <v>12</v>
      </c>
      <c r="I221" s="162"/>
      <c r="J221" s="162"/>
      <c r="K221" s="163"/>
      <c r="L221" s="87">
        <f t="shared" ref="L221:N221" si="75">L223+L227</f>
        <v>0</v>
      </c>
      <c r="M221" s="87">
        <f t="shared" si="75"/>
        <v>0</v>
      </c>
      <c r="N221" s="87">
        <f t="shared" si="75"/>
        <v>0</v>
      </c>
      <c r="O221" s="155">
        <f t="shared" si="73"/>
        <v>0</v>
      </c>
      <c r="P221" s="155">
        <f t="shared" si="74"/>
        <v>0</v>
      </c>
    </row>
    <row r="222" spans="1:16" ht="21.75" customHeight="1" x14ac:dyDescent="0.45">
      <c r="A222" s="152"/>
      <c r="B222" s="32"/>
      <c r="C222" s="32"/>
      <c r="D222" s="32"/>
      <c r="E222" s="32"/>
      <c r="F222" s="32"/>
      <c r="G222" s="33" t="s">
        <v>19</v>
      </c>
      <c r="H222" s="153" t="s">
        <v>12</v>
      </c>
      <c r="I222" s="162"/>
      <c r="J222" s="162"/>
      <c r="K222" s="163"/>
      <c r="L222" s="87">
        <f t="shared" ref="L222:N222" ca="1" si="76">L224+L228</f>
        <v>20210</v>
      </c>
      <c r="M222" s="87">
        <f t="shared" ca="1" si="76"/>
        <v>20210</v>
      </c>
      <c r="N222" s="87">
        <f t="shared" ca="1" si="76"/>
        <v>19940</v>
      </c>
      <c r="O222" s="155">
        <f t="shared" ca="1" si="73"/>
        <v>98.66402770905492</v>
      </c>
      <c r="P222" s="155">
        <f t="shared" ca="1" si="74"/>
        <v>98.66402770905492</v>
      </c>
    </row>
    <row r="223" spans="1:16" ht="21.75" customHeight="1" x14ac:dyDescent="0.3">
      <c r="A223" s="156"/>
      <c r="B223" s="157"/>
      <c r="C223" s="157" t="s">
        <v>16</v>
      </c>
      <c r="D223" s="158" t="s">
        <v>38</v>
      </c>
      <c r="E223" s="159"/>
      <c r="F223" s="159"/>
      <c r="G223" s="160" t="s">
        <v>39</v>
      </c>
      <c r="H223" s="161" t="s">
        <v>12</v>
      </c>
      <c r="I223" s="162" t="s">
        <v>40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3">
      <c r="A224" s="156"/>
      <c r="B224" s="157"/>
      <c r="C224" s="157"/>
      <c r="D224" s="166"/>
      <c r="E224" s="159"/>
      <c r="F224" s="159" t="s">
        <v>40</v>
      </c>
      <c r="G224" s="160" t="s">
        <v>41</v>
      </c>
      <c r="H224" s="161" t="s">
        <v>12</v>
      </c>
      <c r="I224" s="162"/>
      <c r="J224" s="162"/>
      <c r="K224" s="163"/>
      <c r="L224" s="167">
        <f ca="1">L225+L226</f>
        <v>20210</v>
      </c>
      <c r="M224" s="167">
        <f ca="1">IFERROR(__xludf.DUMMYFUNCTION("IMPORTRANGE(""https://docs.google.com/spreadsheets/d/1Yj_ptqi66GCucihVvJfMjLAmec39IyEx_6qawtMGysU/edit?usp=sharing"",""สบก!BS21"")"),20210)</f>
        <v>20210</v>
      </c>
      <c r="N224" s="168">
        <f ca="1">IFERROR(__xludf.DUMMYFUNCTION("IMPORTRANGE(""https://docs.google.com/spreadsheets/d/1Yj_ptqi66GCucihVvJfMjLAmec39IyEx_6qawtMGysU/edit?usp=sharing"",""สบก!BT21"")"),19940)</f>
        <v>19940</v>
      </c>
      <c r="O224" s="168">
        <f ca="1">IF(L224&gt;0,N224*100/L224,0)</f>
        <v>98.66402770905492</v>
      </c>
      <c r="P224" s="168">
        <f ca="1">IF(M224&gt;0,N224*100/M224,0)</f>
        <v>98.66402770905492</v>
      </c>
    </row>
    <row r="225" spans="1:16" ht="21.75" customHeight="1" x14ac:dyDescent="0.3">
      <c r="A225" s="156"/>
      <c r="B225" s="157"/>
      <c r="C225" s="157"/>
      <c r="D225" s="166"/>
      <c r="E225" s="159"/>
      <c r="F225" s="159"/>
      <c r="G225" s="169" t="s">
        <v>42</v>
      </c>
      <c r="H225" s="161" t="s">
        <v>12</v>
      </c>
      <c r="I225" s="162"/>
      <c r="J225" s="162"/>
      <c r="K225" s="163"/>
      <c r="L225" s="167">
        <f ca="1">IFERROR(__xludf.DUMMYFUNCTION("IMPORTRANGE(""https://docs.google.com/spreadsheets/d/1Yj_ptqi66GCucihVvJfMjLAmec39IyEx_6qawtMGysU/edit?usp=sharing"",""สบก!BO21"")"),0)</f>
        <v>0</v>
      </c>
      <c r="M225" s="167"/>
      <c r="N225" s="167"/>
      <c r="O225" s="168"/>
      <c r="P225" s="168"/>
    </row>
    <row r="226" spans="1:16" ht="21.75" customHeight="1" x14ac:dyDescent="0.3">
      <c r="A226" s="156"/>
      <c r="B226" s="157"/>
      <c r="C226" s="157"/>
      <c r="D226" s="166"/>
      <c r="E226" s="159"/>
      <c r="F226" s="159"/>
      <c r="G226" s="169" t="s">
        <v>43</v>
      </c>
      <c r="H226" s="161" t="s">
        <v>12</v>
      </c>
      <c r="I226" s="162"/>
      <c r="J226" s="162"/>
      <c r="K226" s="163"/>
      <c r="L226" s="167">
        <f ca="1">IFERROR(__xludf.DUMMYFUNCTION("IMPORTRANGE(""https://docs.google.com/spreadsheets/d/1Yj_ptqi66GCucihVvJfMjLAmec39IyEx_6qawtMGysU/edit?usp=sharing"",""สบก!BP21"")"),20210)</f>
        <v>20210</v>
      </c>
      <c r="M226" s="167"/>
      <c r="N226" s="167"/>
      <c r="O226" s="168"/>
      <c r="P226" s="168"/>
    </row>
    <row r="227" spans="1:16" ht="21.75" customHeight="1" x14ac:dyDescent="0.45">
      <c r="A227" s="170"/>
      <c r="B227" s="80"/>
      <c r="C227" s="81" t="s">
        <v>16</v>
      </c>
      <c r="D227" s="534" t="s">
        <v>23</v>
      </c>
      <c r="E227" s="530"/>
      <c r="F227" s="88"/>
      <c r="G227" s="82" t="s">
        <v>18</v>
      </c>
      <c r="H227" s="171" t="s">
        <v>12</v>
      </c>
      <c r="I227" s="200"/>
      <c r="J227" s="200"/>
      <c r="K227" s="288"/>
      <c r="L227" s="41">
        <v>0</v>
      </c>
      <c r="M227" s="41"/>
      <c r="N227" s="41"/>
      <c r="O227" s="41"/>
      <c r="P227" s="41"/>
    </row>
    <row r="228" spans="1:16" ht="21.75" customHeight="1" x14ac:dyDescent="0.45">
      <c r="A228" s="172"/>
      <c r="B228" s="91"/>
      <c r="C228" s="91"/>
      <c r="D228" s="173"/>
      <c r="E228" s="92"/>
      <c r="F228" s="92"/>
      <c r="G228" s="93" t="s">
        <v>19</v>
      </c>
      <c r="H228" s="174" t="s">
        <v>12</v>
      </c>
      <c r="I228" s="200"/>
      <c r="J228" s="200"/>
      <c r="K228" s="288"/>
      <c r="L228" s="49">
        <f ca="1">IFERROR(__xludf.DUMMYFUNCTION("IMPORTRANGE(""https://docs.google.com/spreadsheets/d/1Yj_ptqi66GCucihVvJfMjLAmec39IyEx_6qawtMGysU/edit?usp=sharing"",""สบก!BQ21"")"),0)</f>
        <v>0</v>
      </c>
      <c r="M228" s="49"/>
      <c r="N228" s="49">
        <f ca="1">IFERROR(__xludf.DUMMYFUNCTION("IMPORTRANGE(""https://docs.google.com/spreadsheets/d/1Yj_ptqi66GCucihVvJfMjLAmec39IyEx_6qawtMGysU/edit?usp=sharing"",""สบก!BU21"")"),0)</f>
        <v>0</v>
      </c>
      <c r="O228" s="49">
        <f ca="1">IF(L228&gt;0,N228*100/L228,0)</f>
        <v>0</v>
      </c>
      <c r="P228" s="49"/>
    </row>
    <row r="229" spans="1:16" ht="21.75" customHeight="1" x14ac:dyDescent="0.3">
      <c r="A229" s="175"/>
      <c r="B229" s="289"/>
      <c r="C229" s="263" t="s">
        <v>99</v>
      </c>
      <c r="D229" s="262"/>
      <c r="E229" s="262"/>
      <c r="F229" s="262"/>
      <c r="G229" s="264"/>
      <c r="H229" s="265" t="s">
        <v>37</v>
      </c>
      <c r="I229" s="266">
        <f ca="1">IFERROR(__xludf.DUMMYFUNCTION("IMPORTRANGE(""https://docs.google.com/spreadsheets/d/11923uPwbBZFjjGgGUA6NLw09EwE0CqkOc4q9oUmW1yo/edit?usp=sharing"",""เชียงราย!I149"")"),14)</f>
        <v>14</v>
      </c>
      <c r="J229" s="266">
        <f ca="1">IFERROR(__xludf.DUMMYFUNCTION("IMPORTRANGE(""https://docs.google.com/spreadsheets/d/11923uPwbBZFjjGgGUA6NLw09EwE0CqkOc4q9oUmW1yo/edit?usp=sharing"",""เชียงราย!J149"")"),14)</f>
        <v>14</v>
      </c>
      <c r="K229" s="267">
        <f ca="1">IF(I229&gt;0,J229*100/I229,0)</f>
        <v>100</v>
      </c>
      <c r="L229" s="290"/>
      <c r="M229" s="290"/>
      <c r="N229" s="290"/>
      <c r="O229" s="290"/>
      <c r="P229" s="290"/>
    </row>
    <row r="230" spans="1:16" ht="21.75" customHeight="1" x14ac:dyDescent="0.3">
      <c r="A230" s="175"/>
      <c r="B230" s="176"/>
      <c r="C230" s="157" t="s">
        <v>16</v>
      </c>
      <c r="D230" s="177" t="s">
        <v>44</v>
      </c>
      <c r="E230" s="178"/>
      <c r="F230" s="178"/>
      <c r="G230" s="179"/>
      <c r="H230" s="180"/>
      <c r="I230" s="162"/>
      <c r="J230" s="162"/>
      <c r="K230" s="163"/>
      <c r="L230" s="181"/>
      <c r="M230" s="181"/>
      <c r="N230" s="181"/>
      <c r="O230" s="181"/>
      <c r="P230" s="181"/>
    </row>
    <row r="231" spans="1:16" ht="21.75" customHeight="1" x14ac:dyDescent="0.3">
      <c r="A231" s="175"/>
      <c r="B231" s="176"/>
      <c r="C231" s="176"/>
      <c r="D231" s="182">
        <v>1</v>
      </c>
      <c r="E231" s="183" t="s">
        <v>45</v>
      </c>
      <c r="F231" s="184"/>
      <c r="G231" s="185"/>
      <c r="H231" s="186"/>
      <c r="I231" s="187"/>
      <c r="J231" s="197">
        <f ca="1">IFERROR(__xludf.DUMMYFUNCTION("IMPORTRANGE(""https://docs.google.com/spreadsheets/d/11923uPwbBZFjjGgGUA6NLw09EwE0CqkOc4q9oUmW1yo/edit?usp=sharing"",""เชียงราย!J151"")"),0)</f>
        <v>0</v>
      </c>
      <c r="K231" s="163"/>
      <c r="L231" s="181"/>
      <c r="M231" s="181"/>
      <c r="N231" s="181"/>
      <c r="O231" s="181"/>
      <c r="P231" s="181"/>
    </row>
    <row r="232" spans="1:16" ht="21.75" customHeight="1" x14ac:dyDescent="0.3">
      <c r="A232" s="175"/>
      <c r="B232" s="176"/>
      <c r="C232" s="176"/>
      <c r="D232" s="189">
        <v>2</v>
      </c>
      <c r="E232" s="190" t="s">
        <v>46</v>
      </c>
      <c r="F232" s="191"/>
      <c r="G232" s="192"/>
      <c r="H232" s="186"/>
      <c r="I232" s="187"/>
      <c r="J232" s="188">
        <f ca="1">IFERROR(__xludf.DUMMYFUNCTION("IMPORTRANGE(""https://docs.google.com/spreadsheets/d/11923uPwbBZFjjGgGUA6NLw09EwE0CqkOc4q9oUmW1yo/edit?usp=sharing"",""เชียงราย!J152"")"),1)</f>
        <v>1</v>
      </c>
      <c r="K232" s="163"/>
      <c r="L232" s="181" t="s">
        <v>40</v>
      </c>
      <c r="M232" s="181"/>
      <c r="N232" s="181" t="s">
        <v>40</v>
      </c>
      <c r="O232" s="181"/>
      <c r="P232" s="181"/>
    </row>
    <row r="233" spans="1:16" ht="21.75" customHeight="1" x14ac:dyDescent="0.3">
      <c r="A233" s="175"/>
      <c r="B233" s="176"/>
      <c r="C233" s="176"/>
      <c r="D233" s="193"/>
      <c r="E233" s="194" t="s">
        <v>47</v>
      </c>
      <c r="F233" s="195"/>
      <c r="G233" s="196"/>
      <c r="H233" s="186"/>
      <c r="I233" s="187"/>
      <c r="J233" s="188">
        <f ca="1">IFERROR(__xludf.DUMMYFUNCTION("IMPORTRANGE(""https://docs.google.com/spreadsheets/d/11923uPwbBZFjjGgGUA6NLw09EwE0CqkOc4q9oUmW1yo/edit?usp=sharing"",""เชียงราย!J153"")"),1)</f>
        <v>1</v>
      </c>
      <c r="K233" s="163"/>
      <c r="L233" s="181"/>
      <c r="M233" s="181"/>
      <c r="N233" s="181"/>
      <c r="O233" s="181"/>
      <c r="P233" s="181"/>
    </row>
    <row r="234" spans="1:16" ht="21.75" customHeight="1" x14ac:dyDescent="0.3">
      <c r="A234" s="175"/>
      <c r="B234" s="176"/>
      <c r="C234" s="176"/>
      <c r="D234" s="193"/>
      <c r="E234" s="194" t="s">
        <v>48</v>
      </c>
      <c r="F234" s="195"/>
      <c r="G234" s="196"/>
      <c r="H234" s="186"/>
      <c r="I234" s="187"/>
      <c r="J234" s="197">
        <f ca="1">IFERROR(__xludf.DUMMYFUNCTION("IMPORTRANGE(""https://docs.google.com/spreadsheets/d/11923uPwbBZFjjGgGUA6NLw09EwE0CqkOc4q9oUmW1yo/edit?usp=sharing"",""เชียงราย!J154"")"),1)</f>
        <v>1</v>
      </c>
      <c r="K234" s="163"/>
      <c r="L234" s="181"/>
      <c r="M234" s="181"/>
      <c r="N234" s="181"/>
      <c r="O234" s="181"/>
      <c r="P234" s="181"/>
    </row>
    <row r="235" spans="1:16" ht="21.75" customHeight="1" x14ac:dyDescent="0.3">
      <c r="A235" s="175"/>
      <c r="B235" s="176"/>
      <c r="C235" s="176"/>
      <c r="D235" s="193"/>
      <c r="E235" s="198"/>
      <c r="F235" s="195"/>
      <c r="G235" s="291" t="s">
        <v>70</v>
      </c>
      <c r="H235" s="186" t="s">
        <v>37</v>
      </c>
      <c r="I235" s="187">
        <f ca="1">IFERROR(__xludf.DUMMYFUNCTION("IMPORTRANGE(""https://docs.google.com/spreadsheets/d/11923uPwbBZFjjGgGUA6NLw09EwE0CqkOc4q9oUmW1yo/edit?usp=sharing"",""เชียงราย!I155"")"),14)</f>
        <v>14</v>
      </c>
      <c r="J235" s="188">
        <f ca="1">IFERROR(__xludf.DUMMYFUNCTION("IMPORTRANGE(""https://docs.google.com/spreadsheets/d/11923uPwbBZFjjGgGUA6NLw09EwE0CqkOc4q9oUmW1yo/edit?usp=sharing"",""เชียงราย!J155"")"),14)</f>
        <v>14</v>
      </c>
      <c r="K235" s="163">
        <f ca="1">IF(I235&gt;0,J235*100/I235,0)</f>
        <v>100</v>
      </c>
      <c r="L235" s="181"/>
      <c r="M235" s="181"/>
      <c r="N235" s="181"/>
      <c r="O235" s="181"/>
      <c r="P235" s="181"/>
    </row>
    <row r="236" spans="1:16" ht="21.75" customHeight="1" x14ac:dyDescent="0.3">
      <c r="A236" s="175"/>
      <c r="B236" s="176"/>
      <c r="C236" s="176"/>
      <c r="D236" s="193"/>
      <c r="E236" s="194" t="s">
        <v>54</v>
      </c>
      <c r="F236" s="195"/>
      <c r="G236" s="196"/>
      <c r="H236" s="186"/>
      <c r="I236" s="187"/>
      <c r="J236" s="197">
        <f ca="1">IFERROR(__xludf.DUMMYFUNCTION("IMPORTRANGE(""https://docs.google.com/spreadsheets/d/11923uPwbBZFjjGgGUA6NLw09EwE0CqkOc4q9oUmW1yo/edit?usp=sharing"",""เชียงราย!J156"")"),0)</f>
        <v>0</v>
      </c>
      <c r="K236" s="163"/>
      <c r="L236" s="181"/>
      <c r="M236" s="181"/>
      <c r="N236" s="181"/>
      <c r="O236" s="181"/>
      <c r="P236" s="181"/>
    </row>
    <row r="237" spans="1:16" ht="21.75" customHeight="1" x14ac:dyDescent="0.3">
      <c r="A237" s="175"/>
      <c r="B237" s="176"/>
      <c r="C237" s="176"/>
      <c r="D237" s="205">
        <v>3</v>
      </c>
      <c r="E237" s="206" t="s">
        <v>55</v>
      </c>
      <c r="F237" s="207"/>
      <c r="G237" s="208"/>
      <c r="H237" s="186"/>
      <c r="I237" s="187"/>
      <c r="J237" s="209">
        <f ca="1">IFERROR(__xludf.DUMMYFUNCTION("IMPORTRANGE(""https://docs.google.com/spreadsheets/d/11923uPwbBZFjjGgGUA6NLw09EwE0CqkOc4q9oUmW1yo/edit?usp=sharing"",""เชียงราย!J157"")"),0)</f>
        <v>0</v>
      </c>
      <c r="K237" s="163"/>
      <c r="L237" s="181"/>
      <c r="M237" s="181"/>
      <c r="N237" s="181"/>
      <c r="O237" s="181"/>
      <c r="P237" s="181"/>
    </row>
    <row r="238" spans="1:16" ht="21.75" customHeight="1" x14ac:dyDescent="0.3">
      <c r="A238" s="175"/>
      <c r="B238" s="176"/>
      <c r="C238" s="263" t="s">
        <v>100</v>
      </c>
      <c r="D238" s="292"/>
      <c r="E238" s="262"/>
      <c r="F238" s="262"/>
      <c r="G238" s="264"/>
      <c r="H238" s="265" t="s">
        <v>37</v>
      </c>
      <c r="I238" s="266">
        <f ca="1">IFERROR(__xludf.DUMMYFUNCTION("IMPORTRANGE(""https://docs.google.com/spreadsheets/d/11923uPwbBZFjjGgGUA6NLw09EwE0CqkOc4q9oUmW1yo/edit?usp=sharing"",""เชียงราย!I158"")"),0)</f>
        <v>0</v>
      </c>
      <c r="J238" s="266">
        <f ca="1">IFERROR(__xludf.DUMMYFUNCTION("IMPORTRANGE(""https://docs.google.com/spreadsheets/d/11923uPwbBZFjjGgGUA6NLw09EwE0CqkOc4q9oUmW1yo/edit?usp=sharing"",""เชียงราย!J158"")"),0)</f>
        <v>0</v>
      </c>
      <c r="K238" s="267">
        <f ca="1">IF(I238&gt;0,J238*100/I238,0)</f>
        <v>0</v>
      </c>
      <c r="L238" s="181"/>
      <c r="M238" s="181"/>
      <c r="N238" s="181"/>
      <c r="O238" s="181"/>
      <c r="P238" s="181"/>
    </row>
    <row r="239" spans="1:16" ht="21.75" customHeight="1" x14ac:dyDescent="0.3">
      <c r="A239" s="175"/>
      <c r="B239" s="176"/>
      <c r="C239" s="157" t="s">
        <v>16</v>
      </c>
      <c r="D239" s="177" t="s">
        <v>44</v>
      </c>
      <c r="E239" s="178"/>
      <c r="F239" s="178"/>
      <c r="G239" s="179"/>
      <c r="H239" s="180"/>
      <c r="I239" s="162"/>
      <c r="J239" s="162"/>
      <c r="K239" s="163"/>
      <c r="L239" s="181"/>
      <c r="M239" s="181"/>
      <c r="N239" s="181"/>
      <c r="O239" s="181"/>
      <c r="P239" s="181"/>
    </row>
    <row r="240" spans="1:16" ht="21.75" customHeight="1" x14ac:dyDescent="0.3">
      <c r="A240" s="175"/>
      <c r="B240" s="176"/>
      <c r="C240" s="176"/>
      <c r="D240" s="182">
        <v>1</v>
      </c>
      <c r="E240" s="183" t="s">
        <v>45</v>
      </c>
      <c r="F240" s="184"/>
      <c r="G240" s="185"/>
      <c r="H240" s="186"/>
      <c r="I240" s="187"/>
      <c r="J240" s="187" t="str">
        <f ca="1">IFERROR(__xludf.DUMMYFUNCTION("IMPORTRANGE(""https://docs.google.com/spreadsheets/d/11923uPwbBZFjjGgGUA6NLw09EwE0CqkOc4q9oUmW1yo/edit?usp=sharing"",""เชียงราย!J159"")"),"")</f>
        <v/>
      </c>
      <c r="K240" s="163"/>
      <c r="L240" s="181"/>
      <c r="M240" s="181"/>
      <c r="N240" s="181"/>
      <c r="O240" s="181"/>
      <c r="P240" s="181"/>
    </row>
    <row r="241" spans="1:16" ht="21.75" customHeight="1" x14ac:dyDescent="0.3">
      <c r="A241" s="175"/>
      <c r="B241" s="176"/>
      <c r="C241" s="176"/>
      <c r="D241" s="189">
        <v>2</v>
      </c>
      <c r="E241" s="190" t="s">
        <v>46</v>
      </c>
      <c r="F241" s="191"/>
      <c r="G241" s="192"/>
      <c r="H241" s="186"/>
      <c r="I241" s="187"/>
      <c r="J241" s="187">
        <f ca="1">IFERROR(__xludf.DUMMYFUNCTION("IMPORTRANGE(""https://docs.google.com/spreadsheets/d/11923uPwbBZFjjGgGUA6NLw09EwE0CqkOc4q9oUmW1yo/edit?usp=sharing"",""เชียงราย!J161"")"),0)</f>
        <v>0</v>
      </c>
      <c r="K241" s="163"/>
      <c r="L241" s="181" t="s">
        <v>40</v>
      </c>
      <c r="M241" s="181"/>
      <c r="N241" s="181" t="s">
        <v>40</v>
      </c>
      <c r="O241" s="181"/>
      <c r="P241" s="181"/>
    </row>
    <row r="242" spans="1:16" ht="21.75" customHeight="1" x14ac:dyDescent="0.3">
      <c r="A242" s="175"/>
      <c r="B242" s="176"/>
      <c r="C242" s="176"/>
      <c r="D242" s="193"/>
      <c r="E242" s="194" t="s">
        <v>47</v>
      </c>
      <c r="F242" s="195"/>
      <c r="G242" s="196"/>
      <c r="H242" s="186"/>
      <c r="I242" s="187"/>
      <c r="J242" s="187">
        <f ca="1">IFERROR(__xludf.DUMMYFUNCTION("IMPORTRANGE(""https://docs.google.com/spreadsheets/d/11923uPwbBZFjjGgGUA6NLw09EwE0CqkOc4q9oUmW1yo/edit?usp=sharing"",""เชียงราย!J162"")"),0)</f>
        <v>0</v>
      </c>
      <c r="K242" s="163"/>
      <c r="L242" s="181"/>
      <c r="M242" s="181"/>
      <c r="N242" s="181"/>
      <c r="O242" s="181"/>
      <c r="P242" s="181"/>
    </row>
    <row r="243" spans="1:16" ht="21.75" customHeight="1" x14ac:dyDescent="0.3">
      <c r="A243" s="175"/>
      <c r="B243" s="176"/>
      <c r="C243" s="176"/>
      <c r="D243" s="193"/>
      <c r="E243" s="194" t="s">
        <v>48</v>
      </c>
      <c r="F243" s="195"/>
      <c r="G243" s="196"/>
      <c r="H243" s="186"/>
      <c r="I243" s="187"/>
      <c r="J243" s="187">
        <f ca="1">IFERROR(__xludf.DUMMYFUNCTION("IMPORTRANGE(""https://docs.google.com/spreadsheets/d/11923uPwbBZFjjGgGUA6NLw09EwE0CqkOc4q9oUmW1yo/edit?usp=sharing"",""เชียงราย!J163"")"),0)</f>
        <v>0</v>
      </c>
      <c r="K243" s="163"/>
      <c r="L243" s="181"/>
      <c r="M243" s="181"/>
      <c r="N243" s="181"/>
      <c r="O243" s="181"/>
      <c r="P243" s="181"/>
    </row>
    <row r="244" spans="1:16" ht="21.75" customHeight="1" x14ac:dyDescent="0.3">
      <c r="A244" s="175"/>
      <c r="B244" s="176"/>
      <c r="C244" s="176"/>
      <c r="D244" s="193"/>
      <c r="E244" s="195"/>
      <c r="F244" s="194" t="s">
        <v>101</v>
      </c>
      <c r="G244" s="195"/>
      <c r="H244" s="186" t="s">
        <v>37</v>
      </c>
      <c r="I244" s="203">
        <f ca="1">IFERROR(__xludf.DUMMYFUNCTION("IMPORTRANGE(""https://docs.google.com/spreadsheets/d/11923uPwbBZFjjGgGUA6NLw09EwE0CqkOc4q9oUmW1yo/edit?usp=sharing"",""เชียงราย!I164"")"),0)</f>
        <v>0</v>
      </c>
      <c r="J244" s="187">
        <f ca="1">IFERROR(__xludf.DUMMYFUNCTION("IMPORTRANGE(""https://docs.google.com/spreadsheets/d/11923uPwbBZFjjGgGUA6NLw09EwE0CqkOc4q9oUmW1yo/edit?usp=sharing"",""เชียงราย!J164"")"),0)</f>
        <v>0</v>
      </c>
      <c r="K244" s="163">
        <f ca="1">IF(I244&gt;0,J244*100/I244,0)</f>
        <v>0</v>
      </c>
      <c r="L244" s="181"/>
      <c r="M244" s="181"/>
      <c r="N244" s="181"/>
      <c r="O244" s="181"/>
      <c r="P244" s="181"/>
    </row>
    <row r="245" spans="1:16" ht="21.75" customHeight="1" x14ac:dyDescent="0.3">
      <c r="A245" s="175"/>
      <c r="B245" s="176"/>
      <c r="C245" s="176"/>
      <c r="D245" s="193"/>
      <c r="E245" s="194" t="s">
        <v>54</v>
      </c>
      <c r="F245" s="195"/>
      <c r="G245" s="196"/>
      <c r="H245" s="186"/>
      <c r="I245" s="187"/>
      <c r="J245" s="187">
        <f ca="1">IFERROR(__xludf.DUMMYFUNCTION("IMPORTRANGE(""https://docs.google.com/spreadsheets/d/11923uPwbBZFjjGgGUA6NLw09EwE0CqkOc4q9oUmW1yo/edit?usp=sharing"",""เชียงราย!J165"")"),0)</f>
        <v>0</v>
      </c>
      <c r="K245" s="163"/>
      <c r="L245" s="181"/>
      <c r="M245" s="181"/>
      <c r="N245" s="181"/>
      <c r="O245" s="181"/>
      <c r="P245" s="181"/>
    </row>
    <row r="246" spans="1:16" ht="21.75" customHeight="1" x14ac:dyDescent="0.3">
      <c r="A246" s="233"/>
      <c r="B246" s="234"/>
      <c r="C246" s="234"/>
      <c r="D246" s="235">
        <v>3</v>
      </c>
      <c r="E246" s="236" t="s">
        <v>55</v>
      </c>
      <c r="F246" s="237"/>
      <c r="G246" s="238"/>
      <c r="H246" s="239"/>
      <c r="I246" s="240"/>
      <c r="J246" s="241">
        <f ca="1">IFERROR(__xludf.DUMMYFUNCTION("IMPORTRANGE(""https://docs.google.com/spreadsheets/d/11923uPwbBZFjjGgGUA6NLw09EwE0CqkOc4q9oUmW1yo/edit?usp=sharing"",""เชียงราย!J166"")"),0)</f>
        <v>0</v>
      </c>
      <c r="K246" s="286"/>
      <c r="L246" s="244"/>
      <c r="M246" s="244"/>
      <c r="N246" s="244"/>
      <c r="O246" s="244"/>
      <c r="P246" s="244"/>
    </row>
    <row r="247" spans="1:16" ht="21.75" customHeight="1" x14ac:dyDescent="0.3">
      <c r="A247" s="293" t="s">
        <v>102</v>
      </c>
      <c r="B247" s="294"/>
      <c r="C247" s="294"/>
      <c r="D247" s="294"/>
      <c r="E247" s="295"/>
      <c r="F247" s="295"/>
      <c r="G247" s="296"/>
      <c r="H247" s="297"/>
      <c r="I247" s="298"/>
      <c r="J247" s="298"/>
      <c r="K247" s="299"/>
      <c r="L247" s="300"/>
      <c r="M247" s="300"/>
      <c r="N247" s="300"/>
      <c r="O247" s="301"/>
      <c r="P247" s="301"/>
    </row>
    <row r="248" spans="1:16" ht="21.75" customHeight="1" x14ac:dyDescent="0.3">
      <c r="A248" s="302" t="s">
        <v>103</v>
      </c>
      <c r="B248" s="303"/>
      <c r="C248" s="303"/>
      <c r="D248" s="304"/>
      <c r="E248" s="304"/>
      <c r="F248" s="304"/>
      <c r="G248" s="305"/>
      <c r="H248" s="306"/>
      <c r="I248" s="307"/>
      <c r="J248" s="307"/>
      <c r="K248" s="308"/>
      <c r="L248" s="308"/>
      <c r="M248" s="308"/>
      <c r="N248" s="308"/>
      <c r="O248" s="309"/>
      <c r="P248" s="309"/>
    </row>
    <row r="249" spans="1:16" ht="21.75" customHeight="1" x14ac:dyDescent="0.3">
      <c r="A249" s="310"/>
      <c r="B249" s="311" t="s">
        <v>104</v>
      </c>
      <c r="C249" s="311"/>
      <c r="D249" s="311"/>
      <c r="E249" s="311"/>
      <c r="F249" s="311"/>
      <c r="G249" s="312"/>
      <c r="H249" s="313" t="s">
        <v>37</v>
      </c>
      <c r="I249" s="314">
        <f ca="1">IFERROR(__xludf.DUMMYFUNCTION("IMPORTRANGE(""https://docs.google.com/spreadsheets/d/11923uPwbBZFjjGgGUA6NLw09EwE0CqkOc4q9oUmW1yo/edit?usp=sharing"",""เชียงราย!I169"")"),20)</f>
        <v>20</v>
      </c>
      <c r="J249" s="314">
        <f ca="1">IFERROR(__xludf.DUMMYFUNCTION("IMPORTRANGE(""https://docs.google.com/spreadsheets/d/11923uPwbBZFjjGgGUA6NLw09EwE0CqkOc4q9oUmW1yo/edit?usp=sharing"",""เชียงราย!J169"")"),20)</f>
        <v>20</v>
      </c>
      <c r="K249" s="315">
        <f ca="1">IF(I249&gt;0,J249*100/I249,0)</f>
        <v>100</v>
      </c>
      <c r="L249" s="316"/>
      <c r="M249" s="316"/>
      <c r="N249" s="316"/>
      <c r="O249" s="315"/>
      <c r="P249" s="315"/>
    </row>
    <row r="250" spans="1:16" ht="21.75" customHeight="1" x14ac:dyDescent="0.45">
      <c r="A250" s="145"/>
      <c r="B250" s="146"/>
      <c r="C250" s="147" t="s">
        <v>16</v>
      </c>
      <c r="D250" s="537" t="s">
        <v>17</v>
      </c>
      <c r="E250" s="528"/>
      <c r="F250" s="528"/>
      <c r="G250" s="528"/>
      <c r="H250" s="148" t="s">
        <v>12</v>
      </c>
      <c r="I250" s="162"/>
      <c r="J250" s="162"/>
      <c r="K250" s="163"/>
      <c r="L250" s="151">
        <f t="shared" ref="L250:N250" ca="1" si="77">L251+L252</f>
        <v>71400</v>
      </c>
      <c r="M250" s="151">
        <f t="shared" ca="1" si="77"/>
        <v>37000</v>
      </c>
      <c r="N250" s="151">
        <f t="shared" ca="1" si="77"/>
        <v>32990</v>
      </c>
      <c r="O250" s="150">
        <f t="shared" ref="O250:O252" ca="1" si="78">IF(L250&gt;0,N250*100/L250,0)</f>
        <v>46.20448179271709</v>
      </c>
      <c r="P250" s="150">
        <f t="shared" ref="P250:P252" ca="1" si="79">IF(M250&gt;0,N250*100/M250,0)</f>
        <v>89.162162162162161</v>
      </c>
    </row>
    <row r="251" spans="1:16" ht="21.75" customHeight="1" x14ac:dyDescent="0.45">
      <c r="A251" s="152"/>
      <c r="B251" s="32"/>
      <c r="C251" s="32"/>
      <c r="D251" s="32"/>
      <c r="E251" s="32"/>
      <c r="F251" s="32"/>
      <c r="G251" s="33" t="s">
        <v>18</v>
      </c>
      <c r="H251" s="153" t="s">
        <v>12</v>
      </c>
      <c r="I251" s="162"/>
      <c r="J251" s="162"/>
      <c r="K251" s="163"/>
      <c r="L251" s="87">
        <f t="shared" ref="L251:N251" si="80">L253+L257</f>
        <v>0</v>
      </c>
      <c r="M251" s="87">
        <f t="shared" si="80"/>
        <v>0</v>
      </c>
      <c r="N251" s="87">
        <f t="shared" si="80"/>
        <v>0</v>
      </c>
      <c r="O251" s="155">
        <f t="shared" si="78"/>
        <v>0</v>
      </c>
      <c r="P251" s="155">
        <f t="shared" si="79"/>
        <v>0</v>
      </c>
    </row>
    <row r="252" spans="1:16" ht="21.75" customHeight="1" x14ac:dyDescent="0.45">
      <c r="A252" s="152"/>
      <c r="B252" s="32"/>
      <c r="C252" s="32"/>
      <c r="D252" s="32"/>
      <c r="E252" s="32"/>
      <c r="F252" s="32"/>
      <c r="G252" s="33" t="s">
        <v>19</v>
      </c>
      <c r="H252" s="153" t="s">
        <v>12</v>
      </c>
      <c r="I252" s="162"/>
      <c r="J252" s="162"/>
      <c r="K252" s="163"/>
      <c r="L252" s="87">
        <f t="shared" ref="L252:N252" ca="1" si="81">L254+L258</f>
        <v>71400</v>
      </c>
      <c r="M252" s="87">
        <f t="shared" ca="1" si="81"/>
        <v>37000</v>
      </c>
      <c r="N252" s="87">
        <f t="shared" ca="1" si="81"/>
        <v>32990</v>
      </c>
      <c r="O252" s="155">
        <f t="shared" ca="1" si="78"/>
        <v>46.20448179271709</v>
      </c>
      <c r="P252" s="155">
        <f t="shared" ca="1" si="79"/>
        <v>89.162162162162161</v>
      </c>
    </row>
    <row r="253" spans="1:16" ht="21.75" customHeight="1" x14ac:dyDescent="0.3">
      <c r="A253" s="156"/>
      <c r="B253" s="157"/>
      <c r="C253" s="157" t="s">
        <v>16</v>
      </c>
      <c r="D253" s="158" t="s">
        <v>38</v>
      </c>
      <c r="E253" s="159"/>
      <c r="F253" s="159"/>
      <c r="G253" s="160" t="s">
        <v>39</v>
      </c>
      <c r="H253" s="161" t="s">
        <v>12</v>
      </c>
      <c r="I253" s="162" t="s">
        <v>40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3">
      <c r="A254" s="156"/>
      <c r="B254" s="157"/>
      <c r="C254" s="157"/>
      <c r="D254" s="166"/>
      <c r="E254" s="159"/>
      <c r="F254" s="159" t="s">
        <v>40</v>
      </c>
      <c r="G254" s="160" t="s">
        <v>41</v>
      </c>
      <c r="H254" s="161" t="s">
        <v>12</v>
      </c>
      <c r="I254" s="162"/>
      <c r="J254" s="162"/>
      <c r="K254" s="163"/>
      <c r="L254" s="167">
        <f ca="1">L255+L256</f>
        <v>71400</v>
      </c>
      <c r="M254" s="167">
        <f ca="1">IFERROR(__xludf.DUMMYFUNCTION("IMPORTRANGE(""https://docs.google.com/spreadsheets/d/1Yj_ptqi66GCucihVvJfMjLAmec39IyEx_6qawtMGysU/edit?usp=sharing"",""สบก!CB21"")"),37000)</f>
        <v>37000</v>
      </c>
      <c r="N254" s="168">
        <f ca="1">IFERROR(__xludf.DUMMYFUNCTION("IMPORTRANGE(""https://docs.google.com/spreadsheets/d/1Yj_ptqi66GCucihVvJfMjLAmec39IyEx_6qawtMGysU/edit?usp=sharing"",""สบก!CC21"")"),32990)</f>
        <v>32990</v>
      </c>
      <c r="O254" s="168">
        <f ca="1">IF(L254&gt;0,N254*100/L254,0)</f>
        <v>46.20448179271709</v>
      </c>
      <c r="P254" s="168">
        <f ca="1">IF(M254&gt;0,N254*100/M254,0)</f>
        <v>89.162162162162161</v>
      </c>
    </row>
    <row r="255" spans="1:16" ht="21.75" customHeight="1" x14ac:dyDescent="0.3">
      <c r="A255" s="156"/>
      <c r="B255" s="157"/>
      <c r="C255" s="157"/>
      <c r="D255" s="166"/>
      <c r="E255" s="159"/>
      <c r="F255" s="159"/>
      <c r="G255" s="169" t="s">
        <v>42</v>
      </c>
      <c r="H255" s="161" t="s">
        <v>12</v>
      </c>
      <c r="I255" s="162"/>
      <c r="J255" s="162"/>
      <c r="K255" s="163"/>
      <c r="L255" s="167">
        <f ca="1">IFERROR(__xludf.DUMMYFUNCTION("IMPORTRANGE(""https://docs.google.com/spreadsheets/d/1Yj_ptqi66GCucihVvJfMjLAmec39IyEx_6qawtMGysU/edit?usp=sharing"",""สบก!BX21"")"),0)</f>
        <v>0</v>
      </c>
      <c r="M255" s="167"/>
      <c r="N255" s="167"/>
      <c r="O255" s="168"/>
      <c r="P255" s="168"/>
    </row>
    <row r="256" spans="1:16" ht="21.75" customHeight="1" x14ac:dyDescent="0.3">
      <c r="A256" s="156"/>
      <c r="B256" s="157"/>
      <c r="C256" s="157"/>
      <c r="D256" s="166"/>
      <c r="E256" s="159"/>
      <c r="F256" s="159"/>
      <c r="G256" s="169" t="s">
        <v>43</v>
      </c>
      <c r="H256" s="161" t="s">
        <v>12</v>
      </c>
      <c r="I256" s="162"/>
      <c r="J256" s="162"/>
      <c r="K256" s="163"/>
      <c r="L256" s="167">
        <f ca="1">IFERROR(__xludf.DUMMYFUNCTION("IMPORTRANGE(""https://docs.google.com/spreadsheets/d/1Yj_ptqi66GCucihVvJfMjLAmec39IyEx_6qawtMGysU/edit?usp=sharing"",""สบก!BY21"")"),71400)</f>
        <v>71400</v>
      </c>
      <c r="M256" s="167"/>
      <c r="N256" s="167"/>
      <c r="O256" s="168"/>
      <c r="P256" s="168"/>
    </row>
    <row r="257" spans="1:16" ht="21.75" customHeight="1" x14ac:dyDescent="0.45">
      <c r="A257" s="170"/>
      <c r="B257" s="80"/>
      <c r="C257" s="81" t="s">
        <v>16</v>
      </c>
      <c r="D257" s="534" t="s">
        <v>23</v>
      </c>
      <c r="E257" s="530"/>
      <c r="F257" s="88"/>
      <c r="G257" s="82" t="s">
        <v>18</v>
      </c>
      <c r="H257" s="171" t="s">
        <v>12</v>
      </c>
      <c r="I257" s="162"/>
      <c r="J257" s="162"/>
      <c r="K257" s="163"/>
      <c r="L257" s="41">
        <v>0</v>
      </c>
      <c r="M257" s="41"/>
      <c r="N257" s="41"/>
      <c r="O257" s="41"/>
      <c r="P257" s="41"/>
    </row>
    <row r="258" spans="1:16" ht="21.75" customHeight="1" x14ac:dyDescent="0.45">
      <c r="A258" s="172"/>
      <c r="B258" s="91"/>
      <c r="C258" s="91"/>
      <c r="D258" s="173"/>
      <c r="E258" s="92"/>
      <c r="F258" s="92"/>
      <c r="G258" s="93" t="s">
        <v>19</v>
      </c>
      <c r="H258" s="174" t="s">
        <v>12</v>
      </c>
      <c r="I258" s="162"/>
      <c r="J258" s="162"/>
      <c r="K258" s="163"/>
      <c r="L258" s="49">
        <f ca="1">IFERROR(__xludf.DUMMYFUNCTION("IMPORTRANGE(""https://docs.google.com/spreadsheets/d/1Yj_ptqi66GCucihVvJfMjLAmec39IyEx_6qawtMGysU/edit?usp=sharing"",""สบก!BZ21"")"),0)</f>
        <v>0</v>
      </c>
      <c r="M258" s="49"/>
      <c r="N258" s="49">
        <f ca="1">IFERROR(__xludf.DUMMYFUNCTION("IMPORTRANGE(""https://docs.google.com/spreadsheets/d/1Yj_ptqi66GCucihVvJfMjLAmec39IyEx_6qawtMGysU/edit?usp=sharing"",""สบก!CD21"")"),0)</f>
        <v>0</v>
      </c>
      <c r="O258" s="49">
        <f ca="1">IF(L258&gt;0,N258*100/L258,0)</f>
        <v>0</v>
      </c>
      <c r="P258" s="49"/>
    </row>
    <row r="259" spans="1:16" ht="21.75" customHeight="1" x14ac:dyDescent="0.3">
      <c r="A259" s="175"/>
      <c r="B259" s="176"/>
      <c r="C259" s="157" t="s">
        <v>16</v>
      </c>
      <c r="D259" s="177" t="s">
        <v>44</v>
      </c>
      <c r="E259" s="178"/>
      <c r="F259" s="178"/>
      <c r="G259" s="179"/>
      <c r="H259" s="180"/>
      <c r="I259" s="162"/>
      <c r="J259" s="162"/>
      <c r="K259" s="163"/>
      <c r="L259" s="181"/>
      <c r="M259" s="181"/>
      <c r="N259" s="181"/>
      <c r="O259" s="181"/>
      <c r="P259" s="181"/>
    </row>
    <row r="260" spans="1:16" ht="21.75" customHeight="1" x14ac:dyDescent="0.3">
      <c r="A260" s="175"/>
      <c r="B260" s="176"/>
      <c r="C260" s="176"/>
      <c r="D260" s="182">
        <v>1</v>
      </c>
      <c r="E260" s="183" t="s">
        <v>45</v>
      </c>
      <c r="F260" s="184"/>
      <c r="G260" s="185"/>
      <c r="H260" s="186"/>
      <c r="I260" s="187"/>
      <c r="J260" s="188">
        <f ca="1">IFERROR(__xludf.DUMMYFUNCTION("IMPORTRANGE(""https://docs.google.com/spreadsheets/d/11923uPwbBZFjjGgGUA6NLw09EwE0CqkOc4q9oUmW1yo/edit?usp=sharing"",""เชียงราย!J175"")"),0)</f>
        <v>0</v>
      </c>
      <c r="K260" s="163"/>
      <c r="L260" s="181"/>
      <c r="M260" s="181"/>
      <c r="N260" s="181"/>
      <c r="O260" s="181"/>
      <c r="P260" s="181"/>
    </row>
    <row r="261" spans="1:16" ht="21.75" customHeight="1" x14ac:dyDescent="0.3">
      <c r="A261" s="175"/>
      <c r="B261" s="176"/>
      <c r="C261" s="176"/>
      <c r="D261" s="189">
        <v>2</v>
      </c>
      <c r="E261" s="190" t="s">
        <v>46</v>
      </c>
      <c r="F261" s="191"/>
      <c r="G261" s="192"/>
      <c r="H261" s="186"/>
      <c r="I261" s="187"/>
      <c r="J261" s="197">
        <f ca="1">IFERROR(__xludf.DUMMYFUNCTION("IMPORTRANGE(""https://docs.google.com/spreadsheets/d/11923uPwbBZFjjGgGUA6NLw09EwE0CqkOc4q9oUmW1yo/edit?usp=sharing"",""เชียงราย!J176"")"),1)</f>
        <v>1</v>
      </c>
      <c r="K261" s="163"/>
      <c r="L261" s="181" t="s">
        <v>40</v>
      </c>
      <c r="M261" s="181"/>
      <c r="N261" s="181" t="s">
        <v>40</v>
      </c>
      <c r="O261" s="181"/>
      <c r="P261" s="181"/>
    </row>
    <row r="262" spans="1:16" ht="21.75" customHeight="1" x14ac:dyDescent="0.3">
      <c r="A262" s="175"/>
      <c r="B262" s="176"/>
      <c r="C262" s="176"/>
      <c r="D262" s="193"/>
      <c r="E262" s="194" t="s">
        <v>47</v>
      </c>
      <c r="F262" s="195"/>
      <c r="G262" s="196"/>
      <c r="H262" s="186"/>
      <c r="I262" s="187"/>
      <c r="J262" s="197">
        <f ca="1">IFERROR(__xludf.DUMMYFUNCTION("IMPORTRANGE(""https://docs.google.com/spreadsheets/d/11923uPwbBZFjjGgGUA6NLw09EwE0CqkOc4q9oUmW1yo/edit?usp=sharing"",""เชียงราย!J177"")"),1)</f>
        <v>1</v>
      </c>
      <c r="K262" s="163"/>
      <c r="L262" s="181"/>
      <c r="M262" s="181"/>
      <c r="N262" s="181"/>
      <c r="O262" s="181"/>
      <c r="P262" s="181"/>
    </row>
    <row r="263" spans="1:16" ht="21.75" customHeight="1" x14ac:dyDescent="0.3">
      <c r="A263" s="175"/>
      <c r="B263" s="176"/>
      <c r="C263" s="176"/>
      <c r="D263" s="193"/>
      <c r="E263" s="194" t="s">
        <v>48</v>
      </c>
      <c r="F263" s="195"/>
      <c r="G263" s="196"/>
      <c r="H263" s="186"/>
      <c r="I263" s="187"/>
      <c r="J263" s="197">
        <f ca="1">IFERROR(__xludf.DUMMYFUNCTION("IMPORTRANGE(""https://docs.google.com/spreadsheets/d/11923uPwbBZFjjGgGUA6NLw09EwE0CqkOc4q9oUmW1yo/edit?usp=sharing"",""เชียงราย!J178"")"),1)</f>
        <v>1</v>
      </c>
      <c r="K263" s="163"/>
      <c r="L263" s="181"/>
      <c r="M263" s="181"/>
      <c r="N263" s="181"/>
      <c r="O263" s="181"/>
      <c r="P263" s="181"/>
    </row>
    <row r="264" spans="1:16" ht="21.75" customHeight="1" x14ac:dyDescent="0.3">
      <c r="A264" s="175"/>
      <c r="B264" s="176"/>
      <c r="C264" s="176"/>
      <c r="D264" s="193"/>
      <c r="E264" s="198"/>
      <c r="F264" s="194" t="s">
        <v>105</v>
      </c>
      <c r="G264" s="196"/>
      <c r="H264" s="180" t="s">
        <v>59</v>
      </c>
      <c r="I264" s="187">
        <f ca="1">IFERROR(__xludf.DUMMYFUNCTION("IMPORTRANGE(""https://docs.google.com/spreadsheets/d/11923uPwbBZFjjGgGUA6NLw09EwE0CqkOc4q9oUmW1yo/edit?usp=sharing"",""เชียงราย!I179"")"),1)</f>
        <v>1</v>
      </c>
      <c r="J264" s="188">
        <f ca="1">IFERROR(__xludf.DUMMYFUNCTION("IMPORTRANGE(""https://docs.google.com/spreadsheets/d/11923uPwbBZFjjGgGUA6NLw09EwE0CqkOc4q9oUmW1yo/edit?usp=sharing"",""เชียงราย!J179"")"),1)</f>
        <v>1</v>
      </c>
      <c r="K264" s="163">
        <f t="shared" ref="K264:K267" ca="1" si="82">IF(I264&gt;0,J264*100/I264,0)</f>
        <v>100</v>
      </c>
      <c r="L264" s="181"/>
      <c r="M264" s="181"/>
      <c r="N264" s="181"/>
      <c r="O264" s="181"/>
      <c r="P264" s="181"/>
    </row>
    <row r="265" spans="1:16" ht="21.75" customHeight="1" x14ac:dyDescent="0.3">
      <c r="A265" s="175"/>
      <c r="B265" s="176"/>
      <c r="C265" s="176"/>
      <c r="D265" s="193"/>
      <c r="E265" s="198"/>
      <c r="F265" s="194" t="s">
        <v>106</v>
      </c>
      <c r="G265" s="196"/>
      <c r="H265" s="180" t="s">
        <v>37</v>
      </c>
      <c r="I265" s="187">
        <f ca="1">IFERROR(__xludf.DUMMYFUNCTION("IMPORTRANGE(""https://docs.google.com/spreadsheets/d/11923uPwbBZFjjGgGUA6NLw09EwE0CqkOc4q9oUmW1yo/edit?usp=sharing"",""เชียงราย!I180"")"),20)</f>
        <v>20</v>
      </c>
      <c r="J265" s="188">
        <f ca="1">IFERROR(__xludf.DUMMYFUNCTION("IMPORTRANGE(""https://docs.google.com/spreadsheets/d/11923uPwbBZFjjGgGUA6NLw09EwE0CqkOc4q9oUmW1yo/edit?usp=sharing"",""เชียงราย!J180"")"),20)</f>
        <v>20</v>
      </c>
      <c r="K265" s="163">
        <f t="shared" ca="1" si="82"/>
        <v>100</v>
      </c>
      <c r="L265" s="181"/>
      <c r="M265" s="181"/>
      <c r="N265" s="181"/>
      <c r="O265" s="181"/>
      <c r="P265" s="181"/>
    </row>
    <row r="266" spans="1:16" ht="21.75" customHeight="1" x14ac:dyDescent="0.3">
      <c r="A266" s="175"/>
      <c r="B266" s="176"/>
      <c r="C266" s="176"/>
      <c r="D266" s="193"/>
      <c r="E266" s="198"/>
      <c r="F266" s="194" t="s">
        <v>107</v>
      </c>
      <c r="G266" s="196"/>
      <c r="H266" s="180" t="s">
        <v>37</v>
      </c>
      <c r="I266" s="187">
        <f ca="1">IFERROR(__xludf.DUMMYFUNCTION("IMPORTRANGE(""https://docs.google.com/spreadsheets/d/11923uPwbBZFjjGgGUA6NLw09EwE0CqkOc4q9oUmW1yo/edit?usp=sharing"",""เชียงราย!I181"")"),20)</f>
        <v>20</v>
      </c>
      <c r="J266" s="188">
        <f ca="1">IFERROR(__xludf.DUMMYFUNCTION("IMPORTRANGE(""https://docs.google.com/spreadsheets/d/11923uPwbBZFjjGgGUA6NLw09EwE0CqkOc4q9oUmW1yo/edit?usp=sharing"",""เชียงราย!J181"")"),0)</f>
        <v>0</v>
      </c>
      <c r="K266" s="163">
        <f t="shared" ca="1" si="82"/>
        <v>0</v>
      </c>
      <c r="L266" s="181"/>
      <c r="M266" s="181"/>
      <c r="N266" s="181"/>
      <c r="O266" s="181"/>
      <c r="P266" s="181"/>
    </row>
    <row r="267" spans="1:16" ht="21.75" customHeight="1" x14ac:dyDescent="0.3">
      <c r="A267" s="175"/>
      <c r="B267" s="176"/>
      <c r="C267" s="176"/>
      <c r="D267" s="193"/>
      <c r="E267" s="198"/>
      <c r="F267" s="194" t="s">
        <v>108</v>
      </c>
      <c r="G267" s="196"/>
      <c r="H267" s="180" t="s">
        <v>37</v>
      </c>
      <c r="I267" s="187">
        <f ca="1">IFERROR(__xludf.DUMMYFUNCTION("IMPORTRANGE(""https://docs.google.com/spreadsheets/d/11923uPwbBZFjjGgGUA6NLw09EwE0CqkOc4q9oUmW1yo/edit?usp=sharing"",""เชียงราย!I182"")"),1)</f>
        <v>1</v>
      </c>
      <c r="J267" s="188">
        <f ca="1">IFERROR(__xludf.DUMMYFUNCTION("IMPORTRANGE(""https://docs.google.com/spreadsheets/d/11923uPwbBZFjjGgGUA6NLw09EwE0CqkOc4q9oUmW1yo/edit?usp=sharing"",""เชียงราย!J182"")"),0)</f>
        <v>0</v>
      </c>
      <c r="K267" s="163">
        <f t="shared" ca="1" si="82"/>
        <v>0</v>
      </c>
      <c r="L267" s="181"/>
      <c r="M267" s="181"/>
      <c r="N267" s="181"/>
      <c r="O267" s="181"/>
      <c r="P267" s="181"/>
    </row>
    <row r="268" spans="1:16" ht="21.75" customHeight="1" x14ac:dyDescent="0.3">
      <c r="A268" s="175"/>
      <c r="B268" s="176"/>
      <c r="C268" s="176"/>
      <c r="D268" s="193"/>
      <c r="E268" s="194" t="s">
        <v>54</v>
      </c>
      <c r="F268" s="195"/>
      <c r="G268" s="196"/>
      <c r="H268" s="186"/>
      <c r="I268" s="187"/>
      <c r="J268" s="197">
        <f ca="1">IFERROR(__xludf.DUMMYFUNCTION("IMPORTRANGE(""https://docs.google.com/spreadsheets/d/11923uPwbBZFjjGgGUA6NLw09EwE0CqkOc4q9oUmW1yo/edit?usp=sharing"",""เชียงราย!J183"")"),0)</f>
        <v>0</v>
      </c>
      <c r="K268" s="163"/>
      <c r="L268" s="181"/>
      <c r="M268" s="181"/>
      <c r="N268" s="181"/>
      <c r="O268" s="181"/>
      <c r="P268" s="181"/>
    </row>
    <row r="269" spans="1:16" ht="21.75" customHeight="1" x14ac:dyDescent="0.3">
      <c r="A269" s="233"/>
      <c r="B269" s="234"/>
      <c r="C269" s="234"/>
      <c r="D269" s="235">
        <v>3</v>
      </c>
      <c r="E269" s="236" t="s">
        <v>55</v>
      </c>
      <c r="F269" s="237"/>
      <c r="G269" s="238"/>
      <c r="H269" s="239"/>
      <c r="I269" s="240"/>
      <c r="J269" s="285">
        <f ca="1">IFERROR(__xludf.DUMMYFUNCTION("IMPORTRANGE(""https://docs.google.com/spreadsheets/d/11923uPwbBZFjjGgGUA6NLw09EwE0CqkOc4q9oUmW1yo/edit?usp=sharing"",""เชียงราย!J184"")"),0)</f>
        <v>0</v>
      </c>
      <c r="K269" s="286"/>
      <c r="L269" s="244"/>
      <c r="M269" s="244"/>
      <c r="N269" s="244"/>
      <c r="O269" s="244"/>
      <c r="P269" s="244"/>
    </row>
    <row r="270" spans="1:16" ht="21.75" customHeight="1" x14ac:dyDescent="0.3">
      <c r="A270" s="310"/>
      <c r="B270" s="311" t="s">
        <v>109</v>
      </c>
      <c r="C270" s="311"/>
      <c r="D270" s="311"/>
      <c r="E270" s="311"/>
      <c r="F270" s="311"/>
      <c r="G270" s="312"/>
      <c r="H270" s="313" t="s">
        <v>37</v>
      </c>
      <c r="I270" s="314">
        <f ca="1">IFERROR(__xludf.DUMMYFUNCTION("IMPORTRANGE(""https://docs.google.com/spreadsheets/d/11923uPwbBZFjjGgGUA6NLw09EwE0CqkOc4q9oUmW1yo/edit?usp=sharing"",""เชียงราย!I185"")"),15)</f>
        <v>15</v>
      </c>
      <c r="J270" s="314">
        <f ca="1">IFERROR(__xludf.DUMMYFUNCTION("IMPORTRANGE(""https://docs.google.com/spreadsheets/d/11923uPwbBZFjjGgGUA6NLw09EwE0CqkOc4q9oUmW1yo/edit?usp=sharing"",""เชียงราย!J185"")"),15)</f>
        <v>15</v>
      </c>
      <c r="K270" s="315">
        <f ca="1">IF(I270&gt;0,J270*100/I270,0)</f>
        <v>100</v>
      </c>
      <c r="L270" s="316"/>
      <c r="M270" s="316"/>
      <c r="N270" s="316"/>
      <c r="O270" s="315"/>
      <c r="P270" s="315"/>
    </row>
    <row r="271" spans="1:16" ht="21.75" customHeight="1" x14ac:dyDescent="0.45">
      <c r="A271" s="145"/>
      <c r="B271" s="146"/>
      <c r="C271" s="147" t="s">
        <v>16</v>
      </c>
      <c r="D271" s="537" t="s">
        <v>17</v>
      </c>
      <c r="E271" s="528"/>
      <c r="F271" s="528"/>
      <c r="G271" s="528"/>
      <c r="H271" s="148" t="s">
        <v>12</v>
      </c>
      <c r="I271" s="162"/>
      <c r="J271" s="162"/>
      <c r="K271" s="163"/>
      <c r="L271" s="151">
        <f t="shared" ref="L271:N271" ca="1" si="83">L272+L273</f>
        <v>105700</v>
      </c>
      <c r="M271" s="151">
        <f t="shared" ca="1" si="83"/>
        <v>80000</v>
      </c>
      <c r="N271" s="151">
        <f t="shared" ca="1" si="83"/>
        <v>48355</v>
      </c>
      <c r="O271" s="150">
        <f t="shared" ref="O271:O273" ca="1" si="84">IF(L271&gt;0,N271*100/L271,0)</f>
        <v>45.747398297067171</v>
      </c>
      <c r="P271" s="150">
        <f t="shared" ref="P271:P273" ca="1" si="85">IF(M271&gt;0,N271*100/M271,0)</f>
        <v>60.443750000000001</v>
      </c>
    </row>
    <row r="272" spans="1:16" ht="21.75" customHeight="1" x14ac:dyDescent="0.45">
      <c r="A272" s="152"/>
      <c r="B272" s="32"/>
      <c r="C272" s="32"/>
      <c r="D272" s="32"/>
      <c r="E272" s="32"/>
      <c r="F272" s="32"/>
      <c r="G272" s="33" t="s">
        <v>18</v>
      </c>
      <c r="H272" s="153" t="s">
        <v>12</v>
      </c>
      <c r="I272" s="162"/>
      <c r="J272" s="162"/>
      <c r="K272" s="163"/>
      <c r="L272" s="87">
        <f t="shared" ref="L272:N272" si="86">L274+L278</f>
        <v>0</v>
      </c>
      <c r="M272" s="87">
        <f t="shared" si="86"/>
        <v>0</v>
      </c>
      <c r="N272" s="87">
        <f t="shared" si="86"/>
        <v>0</v>
      </c>
      <c r="O272" s="155">
        <f t="shared" si="84"/>
        <v>0</v>
      </c>
      <c r="P272" s="155">
        <f t="shared" si="85"/>
        <v>0</v>
      </c>
    </row>
    <row r="273" spans="1:16" ht="21.75" customHeight="1" x14ac:dyDescent="0.45">
      <c r="A273" s="152"/>
      <c r="B273" s="32"/>
      <c r="C273" s="32"/>
      <c r="D273" s="32"/>
      <c r="E273" s="32"/>
      <c r="F273" s="32"/>
      <c r="G273" s="33" t="s">
        <v>19</v>
      </c>
      <c r="H273" s="153" t="s">
        <v>12</v>
      </c>
      <c r="I273" s="162"/>
      <c r="J273" s="162"/>
      <c r="K273" s="163"/>
      <c r="L273" s="87">
        <f t="shared" ref="L273:N273" ca="1" si="87">L275+L279</f>
        <v>105700</v>
      </c>
      <c r="M273" s="87">
        <f t="shared" ca="1" si="87"/>
        <v>80000</v>
      </c>
      <c r="N273" s="87">
        <f t="shared" ca="1" si="87"/>
        <v>48355</v>
      </c>
      <c r="O273" s="155">
        <f t="shared" ca="1" si="84"/>
        <v>45.747398297067171</v>
      </c>
      <c r="P273" s="155">
        <f t="shared" ca="1" si="85"/>
        <v>60.443750000000001</v>
      </c>
    </row>
    <row r="274" spans="1:16" ht="21.75" customHeight="1" x14ac:dyDescent="0.3">
      <c r="A274" s="156"/>
      <c r="B274" s="157"/>
      <c r="C274" s="157" t="s">
        <v>16</v>
      </c>
      <c r="D274" s="158" t="s">
        <v>38</v>
      </c>
      <c r="E274" s="159"/>
      <c r="F274" s="159"/>
      <c r="G274" s="160" t="s">
        <v>39</v>
      </c>
      <c r="H274" s="161" t="s">
        <v>12</v>
      </c>
      <c r="I274" s="162" t="s">
        <v>40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3">
      <c r="A275" s="156"/>
      <c r="B275" s="157"/>
      <c r="C275" s="157"/>
      <c r="D275" s="166"/>
      <c r="E275" s="159"/>
      <c r="F275" s="159" t="s">
        <v>40</v>
      </c>
      <c r="G275" s="160" t="s">
        <v>41</v>
      </c>
      <c r="H275" s="161" t="s">
        <v>12</v>
      </c>
      <c r="I275" s="162"/>
      <c r="J275" s="162"/>
      <c r="K275" s="163"/>
      <c r="L275" s="167">
        <f ca="1">L276+L277</f>
        <v>105700</v>
      </c>
      <c r="M275" s="167">
        <f ca="1">IFERROR(__xludf.DUMMYFUNCTION("IMPORTRANGE(""https://docs.google.com/spreadsheets/d/1Yj_ptqi66GCucihVvJfMjLAmec39IyEx_6qawtMGysU/edit?usp=sharing"",""สบก!CK21"")"),80000)</f>
        <v>80000</v>
      </c>
      <c r="N275" s="168">
        <f ca="1">IFERROR(__xludf.DUMMYFUNCTION("IMPORTRANGE(""https://docs.google.com/spreadsheets/d/1Yj_ptqi66GCucihVvJfMjLAmec39IyEx_6qawtMGysU/edit?usp=sharing"",""สบก!CL21"")"),48355)</f>
        <v>48355</v>
      </c>
      <c r="O275" s="168">
        <f ca="1">IF(L275&gt;0,N275*100/L275,0)</f>
        <v>45.747398297067171</v>
      </c>
      <c r="P275" s="168">
        <f ca="1">IF(M275&gt;0,N275*100/M275,0)</f>
        <v>60.443750000000001</v>
      </c>
    </row>
    <row r="276" spans="1:16" ht="21.75" customHeight="1" x14ac:dyDescent="0.3">
      <c r="A276" s="156"/>
      <c r="B276" s="157"/>
      <c r="C276" s="157"/>
      <c r="D276" s="166"/>
      <c r="E276" s="159"/>
      <c r="F276" s="159"/>
      <c r="G276" s="169" t="s">
        <v>42</v>
      </c>
      <c r="H276" s="161" t="s">
        <v>12</v>
      </c>
      <c r="I276" s="162"/>
      <c r="J276" s="162"/>
      <c r="K276" s="163"/>
      <c r="L276" s="167">
        <f ca="1">IFERROR(__xludf.DUMMYFUNCTION("IMPORTRANGE(""https://docs.google.com/spreadsheets/d/1Yj_ptqi66GCucihVvJfMjLAmec39IyEx_6qawtMGysU/edit?usp=sharing"",""สบก!CG21"")"),0)</f>
        <v>0</v>
      </c>
      <c r="M276" s="167"/>
      <c r="N276" s="167"/>
      <c r="O276" s="168"/>
      <c r="P276" s="168"/>
    </row>
    <row r="277" spans="1:16" ht="21.75" customHeight="1" x14ac:dyDescent="0.3">
      <c r="A277" s="156"/>
      <c r="B277" s="157"/>
      <c r="C277" s="157"/>
      <c r="D277" s="166"/>
      <c r="E277" s="159"/>
      <c r="F277" s="159"/>
      <c r="G277" s="169" t="s">
        <v>43</v>
      </c>
      <c r="H277" s="161" t="s">
        <v>12</v>
      </c>
      <c r="I277" s="162"/>
      <c r="J277" s="162"/>
      <c r="K277" s="163"/>
      <c r="L277" s="167">
        <f ca="1">IFERROR(__xludf.DUMMYFUNCTION("IMPORTRANGE(""https://docs.google.com/spreadsheets/d/1Yj_ptqi66GCucihVvJfMjLAmec39IyEx_6qawtMGysU/edit?usp=sharing"",""สบก!CH21"")"),105700)</f>
        <v>105700</v>
      </c>
      <c r="M277" s="167"/>
      <c r="N277" s="167"/>
      <c r="O277" s="168"/>
      <c r="P277" s="168"/>
    </row>
    <row r="278" spans="1:16" ht="21.75" customHeight="1" x14ac:dyDescent="0.45">
      <c r="A278" s="170"/>
      <c r="B278" s="80"/>
      <c r="C278" s="81" t="s">
        <v>16</v>
      </c>
      <c r="D278" s="534" t="s">
        <v>23</v>
      </c>
      <c r="E278" s="530"/>
      <c r="F278" s="88"/>
      <c r="G278" s="82" t="s">
        <v>18</v>
      </c>
      <c r="H278" s="171" t="s">
        <v>12</v>
      </c>
      <c r="I278" s="162"/>
      <c r="J278" s="162"/>
      <c r="K278" s="163"/>
      <c r="L278" s="41">
        <v>0</v>
      </c>
      <c r="M278" s="41"/>
      <c r="N278" s="41"/>
      <c r="O278" s="41"/>
      <c r="P278" s="41"/>
    </row>
    <row r="279" spans="1:16" ht="21.75" customHeight="1" x14ac:dyDescent="0.45">
      <c r="A279" s="172"/>
      <c r="B279" s="91"/>
      <c r="C279" s="91"/>
      <c r="D279" s="173"/>
      <c r="E279" s="92"/>
      <c r="F279" s="92"/>
      <c r="G279" s="93" t="s">
        <v>19</v>
      </c>
      <c r="H279" s="174" t="s">
        <v>12</v>
      </c>
      <c r="I279" s="162"/>
      <c r="J279" s="162"/>
      <c r="K279" s="163"/>
      <c r="L279" s="49">
        <f ca="1">IFERROR(__xludf.DUMMYFUNCTION("IMPORTRANGE(""https://docs.google.com/spreadsheets/d/1Yj_ptqi66GCucihVvJfMjLAmec39IyEx_6qawtMGysU/edit?usp=sharing"",""สบก!CI21"")"),0)</f>
        <v>0</v>
      </c>
      <c r="M279" s="49"/>
      <c r="N279" s="49">
        <f ca="1">IFERROR(__xludf.DUMMYFUNCTION("IMPORTRANGE(""https://docs.google.com/spreadsheets/d/1Yj_ptqi66GCucihVvJfMjLAmec39IyEx_6qawtMGysU/edit?usp=sharing"",""สบก!CM21"")"),0)</f>
        <v>0</v>
      </c>
      <c r="O279" s="49">
        <f ca="1">IF(L279&gt;0,N279*100/L279,0)</f>
        <v>0</v>
      </c>
      <c r="P279" s="49"/>
    </row>
    <row r="280" spans="1:16" ht="21.75" customHeight="1" x14ac:dyDescent="0.3">
      <c r="A280" s="175"/>
      <c r="B280" s="176"/>
      <c r="C280" s="157" t="s">
        <v>16</v>
      </c>
      <c r="D280" s="177" t="s">
        <v>44</v>
      </c>
      <c r="E280" s="178"/>
      <c r="F280" s="178"/>
      <c r="G280" s="179"/>
      <c r="H280" s="180"/>
      <c r="I280" s="162"/>
      <c r="J280" s="162"/>
      <c r="K280" s="163"/>
      <c r="L280" s="181"/>
      <c r="M280" s="181"/>
      <c r="N280" s="181"/>
      <c r="O280" s="181"/>
      <c r="P280" s="181"/>
    </row>
    <row r="281" spans="1:16" ht="21.75" customHeight="1" x14ac:dyDescent="0.3">
      <c r="A281" s="175"/>
      <c r="B281" s="176"/>
      <c r="C281" s="176"/>
      <c r="D281" s="182">
        <v>1</v>
      </c>
      <c r="E281" s="183" t="s">
        <v>45</v>
      </c>
      <c r="F281" s="184"/>
      <c r="G281" s="185"/>
      <c r="H281" s="186"/>
      <c r="I281" s="187"/>
      <c r="J281" s="188">
        <f ca="1">IFERROR(__xludf.DUMMYFUNCTION("IMPORTRANGE(""https://docs.google.com/spreadsheets/d/11923uPwbBZFjjGgGUA6NLw09EwE0CqkOc4q9oUmW1yo/edit?usp=sharing"",""เชียงราย!J191"")"),0)</f>
        <v>0</v>
      </c>
      <c r="K281" s="163"/>
      <c r="L281" s="181"/>
      <c r="M281" s="181"/>
      <c r="N281" s="181"/>
      <c r="O281" s="181"/>
      <c r="P281" s="181"/>
    </row>
    <row r="282" spans="1:16" ht="21.75" customHeight="1" x14ac:dyDescent="0.3">
      <c r="A282" s="175"/>
      <c r="B282" s="176"/>
      <c r="C282" s="176"/>
      <c r="D282" s="189">
        <v>2</v>
      </c>
      <c r="E282" s="190" t="s">
        <v>46</v>
      </c>
      <c r="F282" s="191"/>
      <c r="G282" s="192"/>
      <c r="H282" s="186"/>
      <c r="I282" s="187"/>
      <c r="J282" s="197">
        <f ca="1">IFERROR(__xludf.DUMMYFUNCTION("IMPORTRANGE(""https://docs.google.com/spreadsheets/d/11923uPwbBZFjjGgGUA6NLw09EwE0CqkOc4q9oUmW1yo/edit?usp=sharing"",""เชียงราย!J192"")"),1)</f>
        <v>1</v>
      </c>
      <c r="K282" s="163"/>
      <c r="L282" s="181"/>
      <c r="M282" s="181"/>
      <c r="N282" s="181"/>
      <c r="O282" s="181"/>
      <c r="P282" s="181"/>
    </row>
    <row r="283" spans="1:16" ht="21.75" customHeight="1" x14ac:dyDescent="0.3">
      <c r="A283" s="175"/>
      <c r="B283" s="176"/>
      <c r="C283" s="176"/>
      <c r="D283" s="193"/>
      <c r="E283" s="194" t="s">
        <v>47</v>
      </c>
      <c r="F283" s="195"/>
      <c r="G283" s="196"/>
      <c r="H283" s="186"/>
      <c r="I283" s="187"/>
      <c r="J283" s="197">
        <f ca="1">IFERROR(__xludf.DUMMYFUNCTION("IMPORTRANGE(""https://docs.google.com/spreadsheets/d/11923uPwbBZFjjGgGUA6NLw09EwE0CqkOc4q9oUmW1yo/edit?usp=sharing"",""เชียงราย!J193"")"),1)</f>
        <v>1</v>
      </c>
      <c r="K283" s="163"/>
      <c r="L283" s="181"/>
      <c r="M283" s="181"/>
      <c r="N283" s="181"/>
      <c r="O283" s="181"/>
      <c r="P283" s="181"/>
    </row>
    <row r="284" spans="1:16" ht="21.75" customHeight="1" x14ac:dyDescent="0.3">
      <c r="A284" s="175"/>
      <c r="B284" s="176"/>
      <c r="C284" s="176"/>
      <c r="D284" s="193"/>
      <c r="E284" s="194" t="s">
        <v>48</v>
      </c>
      <c r="F284" s="195"/>
      <c r="G284" s="196"/>
      <c r="H284" s="186"/>
      <c r="I284" s="187"/>
      <c r="J284" s="197">
        <f ca="1">IFERROR(__xludf.DUMMYFUNCTION("IMPORTRANGE(""https://docs.google.com/spreadsheets/d/11923uPwbBZFjjGgGUA6NLw09EwE0CqkOc4q9oUmW1yo/edit?usp=sharing"",""เชียงราย!J194"")"),1)</f>
        <v>1</v>
      </c>
      <c r="K284" s="163"/>
      <c r="L284" s="181"/>
      <c r="M284" s="181"/>
      <c r="N284" s="181"/>
      <c r="O284" s="181"/>
      <c r="P284" s="181"/>
    </row>
    <row r="285" spans="1:16" ht="21.75" customHeight="1" x14ac:dyDescent="0.3">
      <c r="A285" s="175"/>
      <c r="B285" s="176"/>
      <c r="C285" s="176"/>
      <c r="D285" s="193"/>
      <c r="E285" s="195"/>
      <c r="F285" s="194" t="s">
        <v>110</v>
      </c>
      <c r="G285" s="196"/>
      <c r="H285" s="186" t="s">
        <v>37</v>
      </c>
      <c r="I285" s="187">
        <f ca="1">IFERROR(__xludf.DUMMYFUNCTION("IMPORTRANGE(""https://docs.google.com/spreadsheets/d/11923uPwbBZFjjGgGUA6NLw09EwE0CqkOc4q9oUmW1yo/edit?usp=sharing"",""เชียงราย!I195"")"),15)</f>
        <v>15</v>
      </c>
      <c r="J285" s="188">
        <f ca="1">IFERROR(__xludf.DUMMYFUNCTION("IMPORTRANGE(""https://docs.google.com/spreadsheets/d/11923uPwbBZFjjGgGUA6NLw09EwE0CqkOc4q9oUmW1yo/edit?usp=sharing"",""เชียงราย!J195"")"),15)</f>
        <v>15</v>
      </c>
      <c r="K285" s="163">
        <f ca="1">IF(I285&gt;0,J285*100/I285,0)</f>
        <v>100</v>
      </c>
      <c r="L285" s="181"/>
      <c r="M285" s="181"/>
      <c r="N285" s="181"/>
      <c r="O285" s="181"/>
      <c r="P285" s="181"/>
    </row>
    <row r="286" spans="1:16" ht="21.75" customHeight="1" x14ac:dyDescent="0.3">
      <c r="A286" s="175"/>
      <c r="B286" s="176"/>
      <c r="C286" s="176"/>
      <c r="D286" s="193"/>
      <c r="E286" s="194" t="s">
        <v>54</v>
      </c>
      <c r="F286" s="195"/>
      <c r="G286" s="196"/>
      <c r="H286" s="186"/>
      <c r="I286" s="187"/>
      <c r="J286" s="197">
        <f ca="1">IFERROR(__xludf.DUMMYFUNCTION("IMPORTRANGE(""https://docs.google.com/spreadsheets/d/11923uPwbBZFjjGgGUA6NLw09EwE0CqkOc4q9oUmW1yo/edit?usp=sharing"",""เชียงราย!J196"")"),0)</f>
        <v>0</v>
      </c>
      <c r="K286" s="163"/>
      <c r="L286" s="181"/>
      <c r="M286" s="181"/>
      <c r="N286" s="181"/>
      <c r="O286" s="181"/>
      <c r="P286" s="181"/>
    </row>
    <row r="287" spans="1:16" ht="21.75" customHeight="1" x14ac:dyDescent="0.3">
      <c r="A287" s="175"/>
      <c r="B287" s="176"/>
      <c r="C287" s="176"/>
      <c r="D287" s="205">
        <v>3</v>
      </c>
      <c r="E287" s="206" t="s">
        <v>55</v>
      </c>
      <c r="F287" s="207"/>
      <c r="G287" s="208"/>
      <c r="H287" s="186"/>
      <c r="I287" s="187"/>
      <c r="J287" s="209">
        <f ca="1">IFERROR(__xludf.DUMMYFUNCTION("IMPORTRANGE(""https://docs.google.com/spreadsheets/d/11923uPwbBZFjjGgGUA6NLw09EwE0CqkOc4q9oUmW1yo/edit?usp=sharing"",""เชียงราย!J197"")"),0)</f>
        <v>0</v>
      </c>
      <c r="K287" s="163"/>
      <c r="L287" s="181"/>
      <c r="M287" s="181"/>
      <c r="N287" s="181"/>
      <c r="O287" s="181"/>
      <c r="P287" s="181"/>
    </row>
    <row r="288" spans="1:16" ht="21.75" customHeight="1" x14ac:dyDescent="0.3">
      <c r="A288" s="302" t="s">
        <v>111</v>
      </c>
      <c r="B288" s="303"/>
      <c r="C288" s="303"/>
      <c r="D288" s="304"/>
      <c r="E288" s="303"/>
      <c r="F288" s="303"/>
      <c r="G288" s="317"/>
      <c r="H288" s="318"/>
      <c r="I288" s="319"/>
      <c r="J288" s="319"/>
      <c r="K288" s="320"/>
      <c r="L288" s="320"/>
      <c r="M288" s="320"/>
      <c r="N288" s="320"/>
      <c r="O288" s="309"/>
      <c r="P288" s="309"/>
    </row>
    <row r="289" spans="1:16" ht="21.75" customHeight="1" x14ac:dyDescent="0.3">
      <c r="A289" s="321"/>
      <c r="B289" s="311" t="s">
        <v>112</v>
      </c>
      <c r="C289" s="322"/>
      <c r="D289" s="323"/>
      <c r="E289" s="311"/>
      <c r="F289" s="311"/>
      <c r="G289" s="312"/>
      <c r="H289" s="313" t="s">
        <v>37</v>
      </c>
      <c r="I289" s="314">
        <f ca="1">IFERROR(__xludf.DUMMYFUNCTION("IMPORTRANGE(""https://docs.google.com/spreadsheets/d/11923uPwbBZFjjGgGUA6NLw09EwE0CqkOc4q9oUmW1yo/edit?usp=sharing"",""เชียงราย!I199"")"),0)</f>
        <v>0</v>
      </c>
      <c r="J289" s="314">
        <f ca="1">IFERROR(__xludf.DUMMYFUNCTION("IMPORTRANGE(""https://docs.google.com/spreadsheets/d/11923uPwbBZFjjGgGUA6NLw09EwE0CqkOc4q9oUmW1yo/edit?usp=sharing"",""เชียงราย!J199"")"),0)</f>
        <v>0</v>
      </c>
      <c r="K289" s="315">
        <f ca="1">IF(I289&gt;0,J289*100/I289,0)</f>
        <v>0</v>
      </c>
      <c r="L289" s="316"/>
      <c r="M289" s="316"/>
      <c r="N289" s="316"/>
      <c r="O289" s="315"/>
      <c r="P289" s="315"/>
    </row>
    <row r="290" spans="1:16" ht="21.75" customHeight="1" x14ac:dyDescent="0.45">
      <c r="A290" s="145"/>
      <c r="B290" s="146"/>
      <c r="C290" s="147" t="s">
        <v>16</v>
      </c>
      <c r="D290" s="537" t="s">
        <v>17</v>
      </c>
      <c r="E290" s="528"/>
      <c r="F290" s="528"/>
      <c r="G290" s="528"/>
      <c r="H290" s="148" t="s">
        <v>12</v>
      </c>
      <c r="I290" s="187"/>
      <c r="J290" s="187"/>
      <c r="K290" s="223"/>
      <c r="L290" s="151">
        <f t="shared" ref="L290:N290" ca="1" si="88">L291+L292</f>
        <v>0</v>
      </c>
      <c r="M290" s="151">
        <f t="shared" ca="1" si="88"/>
        <v>0</v>
      </c>
      <c r="N290" s="151">
        <f t="shared" ca="1" si="88"/>
        <v>0</v>
      </c>
      <c r="O290" s="150">
        <f t="shared" ref="O290:O292" ca="1" si="89">IF(L290&gt;0,N290*100/L290,0)</f>
        <v>0</v>
      </c>
      <c r="P290" s="150">
        <f t="shared" ref="P290:P292" ca="1" si="90">IF(M290&gt;0,N290*100/M290,0)</f>
        <v>0</v>
      </c>
    </row>
    <row r="291" spans="1:16" ht="21.75" customHeight="1" x14ac:dyDescent="0.45">
      <c r="A291" s="152"/>
      <c r="B291" s="32"/>
      <c r="C291" s="32"/>
      <c r="D291" s="32"/>
      <c r="E291" s="32"/>
      <c r="F291" s="32"/>
      <c r="G291" s="33" t="s">
        <v>18</v>
      </c>
      <c r="H291" s="153" t="s">
        <v>12</v>
      </c>
      <c r="I291" s="187"/>
      <c r="J291" s="187"/>
      <c r="K291" s="223"/>
      <c r="L291" s="87">
        <f t="shared" ref="L291:N291" si="91">L293+L297</f>
        <v>0</v>
      </c>
      <c r="M291" s="87">
        <f t="shared" si="91"/>
        <v>0</v>
      </c>
      <c r="N291" s="87">
        <f t="shared" si="91"/>
        <v>0</v>
      </c>
      <c r="O291" s="155">
        <f t="shared" si="89"/>
        <v>0</v>
      </c>
      <c r="P291" s="155">
        <f t="shared" si="90"/>
        <v>0</v>
      </c>
    </row>
    <row r="292" spans="1:16" ht="21.75" customHeight="1" x14ac:dyDescent="0.45">
      <c r="A292" s="152"/>
      <c r="B292" s="32"/>
      <c r="C292" s="32"/>
      <c r="D292" s="32"/>
      <c r="E292" s="32"/>
      <c r="F292" s="32"/>
      <c r="G292" s="33" t="s">
        <v>19</v>
      </c>
      <c r="H292" s="153" t="s">
        <v>12</v>
      </c>
      <c r="I292" s="187"/>
      <c r="J292" s="187"/>
      <c r="K292" s="223"/>
      <c r="L292" s="87">
        <f t="shared" ref="L292:N292" ca="1" si="92">L294+L298</f>
        <v>0</v>
      </c>
      <c r="M292" s="87">
        <f t="shared" ca="1" si="92"/>
        <v>0</v>
      </c>
      <c r="N292" s="87">
        <f t="shared" ca="1" si="92"/>
        <v>0</v>
      </c>
      <c r="O292" s="155">
        <f t="shared" ca="1" si="89"/>
        <v>0</v>
      </c>
      <c r="P292" s="155">
        <f t="shared" ca="1" si="90"/>
        <v>0</v>
      </c>
    </row>
    <row r="293" spans="1:16" ht="21.75" customHeight="1" x14ac:dyDescent="0.3">
      <c r="A293" s="156"/>
      <c r="B293" s="157"/>
      <c r="C293" s="157" t="s">
        <v>16</v>
      </c>
      <c r="D293" s="158" t="s">
        <v>38</v>
      </c>
      <c r="E293" s="159"/>
      <c r="F293" s="159"/>
      <c r="G293" s="160" t="s">
        <v>39</v>
      </c>
      <c r="H293" s="161" t="s">
        <v>12</v>
      </c>
      <c r="I293" s="187" t="s">
        <v>40</v>
      </c>
      <c r="J293" s="187"/>
      <c r="K293" s="223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3">
      <c r="A294" s="156"/>
      <c r="B294" s="157"/>
      <c r="C294" s="157"/>
      <c r="D294" s="166"/>
      <c r="E294" s="159"/>
      <c r="F294" s="159" t="s">
        <v>40</v>
      </c>
      <c r="G294" s="160" t="s">
        <v>41</v>
      </c>
      <c r="H294" s="161" t="s">
        <v>12</v>
      </c>
      <c r="I294" s="187"/>
      <c r="J294" s="187"/>
      <c r="K294" s="223"/>
      <c r="L294" s="167">
        <f ca="1">L295+L296</f>
        <v>0</v>
      </c>
      <c r="M294" s="167">
        <f ca="1">IFERROR(__xludf.DUMMYFUNCTION("IMPORTRANGE(""https://docs.google.com/spreadsheets/d/1Yj_ptqi66GCucihVvJfMjLAmec39IyEx_6qawtMGysU/edit?usp=sharing"",""สบก!CT21"")"),0)</f>
        <v>0</v>
      </c>
      <c r="N294" s="168">
        <f ca="1">IFERROR(__xludf.DUMMYFUNCTION("IMPORTRANGE(""https://docs.google.com/spreadsheets/d/1Yj_ptqi66GCucihVvJfMjLAmec39IyEx_6qawtMGysU/edit?usp=sharing"",""สบก!CU21"")"),0)</f>
        <v>0</v>
      </c>
      <c r="O294" s="168">
        <f ca="1">IF(L294&gt;0,N294*100/L294,0)</f>
        <v>0</v>
      </c>
      <c r="P294" s="168">
        <f ca="1">IF(M294&gt;0,N294*100/M294,0)</f>
        <v>0</v>
      </c>
    </row>
    <row r="295" spans="1:16" ht="21.75" customHeight="1" x14ac:dyDescent="0.3">
      <c r="A295" s="156"/>
      <c r="B295" s="157"/>
      <c r="C295" s="157"/>
      <c r="D295" s="166"/>
      <c r="E295" s="159"/>
      <c r="F295" s="159"/>
      <c r="G295" s="169" t="s">
        <v>42</v>
      </c>
      <c r="H295" s="161" t="s">
        <v>12</v>
      </c>
      <c r="I295" s="187"/>
      <c r="J295" s="187"/>
      <c r="K295" s="223"/>
      <c r="L295" s="167">
        <f ca="1">IFERROR(__xludf.DUMMYFUNCTION("IMPORTRANGE(""https://docs.google.com/spreadsheets/d/1Yj_ptqi66GCucihVvJfMjLAmec39IyEx_6qawtMGysU/edit?usp=sharing"",""สบก!CP21"")"),0)</f>
        <v>0</v>
      </c>
      <c r="M295" s="167"/>
      <c r="N295" s="167"/>
      <c r="O295" s="168"/>
      <c r="P295" s="168"/>
    </row>
    <row r="296" spans="1:16" ht="21.75" customHeight="1" x14ac:dyDescent="0.3">
      <c r="A296" s="156"/>
      <c r="B296" s="157"/>
      <c r="C296" s="157"/>
      <c r="D296" s="166"/>
      <c r="E296" s="159"/>
      <c r="F296" s="159"/>
      <c r="G296" s="169" t="s">
        <v>43</v>
      </c>
      <c r="H296" s="161" t="s">
        <v>12</v>
      </c>
      <c r="I296" s="187"/>
      <c r="J296" s="187"/>
      <c r="K296" s="223"/>
      <c r="L296" s="167">
        <f ca="1">IFERROR(__xludf.DUMMYFUNCTION("IMPORTRANGE(""https://docs.google.com/spreadsheets/d/1Yj_ptqi66GCucihVvJfMjLAmec39IyEx_6qawtMGysU/edit?usp=sharing"",""สบก!CQ21"")"),0)</f>
        <v>0</v>
      </c>
      <c r="M296" s="167"/>
      <c r="N296" s="167"/>
      <c r="O296" s="168"/>
      <c r="P296" s="168"/>
    </row>
    <row r="297" spans="1:16" ht="21.75" customHeight="1" x14ac:dyDescent="0.45">
      <c r="A297" s="170"/>
      <c r="B297" s="80"/>
      <c r="C297" s="81" t="s">
        <v>16</v>
      </c>
      <c r="D297" s="534" t="s">
        <v>23</v>
      </c>
      <c r="E297" s="530"/>
      <c r="F297" s="88"/>
      <c r="G297" s="82" t="s">
        <v>18</v>
      </c>
      <c r="H297" s="171" t="s">
        <v>12</v>
      </c>
      <c r="I297" s="187"/>
      <c r="J297" s="187"/>
      <c r="K297" s="223"/>
      <c r="L297" s="41">
        <v>0</v>
      </c>
      <c r="M297" s="41"/>
      <c r="N297" s="41"/>
      <c r="O297" s="41"/>
      <c r="P297" s="41"/>
    </row>
    <row r="298" spans="1:16" ht="21.75" customHeight="1" x14ac:dyDescent="0.45">
      <c r="A298" s="172"/>
      <c r="B298" s="91"/>
      <c r="C298" s="91"/>
      <c r="D298" s="173"/>
      <c r="E298" s="92"/>
      <c r="F298" s="92"/>
      <c r="G298" s="93" t="s">
        <v>19</v>
      </c>
      <c r="H298" s="174" t="s">
        <v>12</v>
      </c>
      <c r="I298" s="187"/>
      <c r="J298" s="187"/>
      <c r="K298" s="223"/>
      <c r="L298" s="49">
        <f ca="1">IFERROR(__xludf.DUMMYFUNCTION("IMPORTRANGE(""https://docs.google.com/spreadsheets/d/1Yj_ptqi66GCucihVvJfMjLAmec39IyEx_6qawtMGysU/edit?usp=sharing"",""สบก!CR21"")"),0)</f>
        <v>0</v>
      </c>
      <c r="M298" s="49"/>
      <c r="N298" s="49">
        <f ca="1">IFERROR(__xludf.DUMMYFUNCTION("IMPORTRANGE(""https://docs.google.com/spreadsheets/d/1Yj_ptqi66GCucihVvJfMjLAmec39IyEx_6qawtMGysU/edit?usp=sharing"",""สบก!CV21"")"),0)</f>
        <v>0</v>
      </c>
      <c r="O298" s="49">
        <f ca="1">IF(L298&gt;0,N298*100/L298,0)</f>
        <v>0</v>
      </c>
      <c r="P298" s="49"/>
    </row>
    <row r="299" spans="1:16" ht="21.75" customHeight="1" x14ac:dyDescent="0.3">
      <c r="A299" s="175"/>
      <c r="B299" s="176"/>
      <c r="C299" s="157" t="s">
        <v>16</v>
      </c>
      <c r="D299" s="177" t="s">
        <v>44</v>
      </c>
      <c r="E299" s="178"/>
      <c r="F299" s="178"/>
      <c r="G299" s="179"/>
      <c r="H299" s="180"/>
      <c r="I299" s="187"/>
      <c r="J299" s="187"/>
      <c r="K299" s="223"/>
      <c r="L299" s="168"/>
      <c r="M299" s="168"/>
      <c r="N299" s="168"/>
      <c r="O299" s="181"/>
      <c r="P299" s="181"/>
    </row>
    <row r="300" spans="1:16" ht="21.75" customHeight="1" x14ac:dyDescent="0.3">
      <c r="A300" s="175"/>
      <c r="B300" s="176"/>
      <c r="C300" s="176"/>
      <c r="D300" s="182">
        <v>1</v>
      </c>
      <c r="E300" s="183" t="s">
        <v>45</v>
      </c>
      <c r="F300" s="184"/>
      <c r="G300" s="185"/>
      <c r="H300" s="186"/>
      <c r="I300" s="187"/>
      <c r="J300" s="187">
        <f ca="1">IFERROR(__xludf.DUMMYFUNCTION("IMPORTRANGE(""https://docs.google.com/spreadsheets/d/11923uPwbBZFjjGgGUA6NLw09EwE0CqkOc4q9oUmW1yo/edit?usp=sharing"",""เชียงราย!J205"")"),0)</f>
        <v>0</v>
      </c>
      <c r="K300" s="223"/>
      <c r="L300" s="168"/>
      <c r="M300" s="168"/>
      <c r="N300" s="168"/>
      <c r="O300" s="181"/>
      <c r="P300" s="181"/>
    </row>
    <row r="301" spans="1:16" ht="21.75" customHeight="1" x14ac:dyDescent="0.3">
      <c r="A301" s="175"/>
      <c r="B301" s="176"/>
      <c r="C301" s="176"/>
      <c r="D301" s="189">
        <v>2</v>
      </c>
      <c r="E301" s="190" t="s">
        <v>46</v>
      </c>
      <c r="F301" s="191"/>
      <c r="G301" s="192"/>
      <c r="H301" s="186"/>
      <c r="I301" s="187"/>
      <c r="J301" s="187">
        <f ca="1">IFERROR(__xludf.DUMMYFUNCTION("IMPORTRANGE(""https://docs.google.com/spreadsheets/d/11923uPwbBZFjjGgGUA6NLw09EwE0CqkOc4q9oUmW1yo/edit?usp=sharing"",""เชียงราย!J206"")"),0)</f>
        <v>0</v>
      </c>
      <c r="K301" s="223"/>
      <c r="L301" s="168" t="s">
        <v>40</v>
      </c>
      <c r="M301" s="168"/>
      <c r="N301" s="168" t="s">
        <v>40</v>
      </c>
      <c r="O301" s="181"/>
      <c r="P301" s="181"/>
    </row>
    <row r="302" spans="1:16" ht="21.75" customHeight="1" x14ac:dyDescent="0.3">
      <c r="A302" s="175"/>
      <c r="B302" s="176"/>
      <c r="C302" s="176"/>
      <c r="D302" s="193"/>
      <c r="E302" s="194" t="s">
        <v>47</v>
      </c>
      <c r="F302" s="195"/>
      <c r="G302" s="196"/>
      <c r="H302" s="186"/>
      <c r="I302" s="187"/>
      <c r="J302" s="187">
        <f ca="1">IFERROR(__xludf.DUMMYFUNCTION("IMPORTRANGE(""https://docs.google.com/spreadsheets/d/11923uPwbBZFjjGgGUA6NLw09EwE0CqkOc4q9oUmW1yo/edit?usp=sharing"",""เชียงราย!J207"")"),0)</f>
        <v>0</v>
      </c>
      <c r="K302" s="223"/>
      <c r="L302" s="168"/>
      <c r="M302" s="168"/>
      <c r="N302" s="168"/>
      <c r="O302" s="181"/>
      <c r="P302" s="181"/>
    </row>
    <row r="303" spans="1:16" ht="21.75" customHeight="1" x14ac:dyDescent="0.3">
      <c r="A303" s="175"/>
      <c r="B303" s="176"/>
      <c r="C303" s="176"/>
      <c r="D303" s="193"/>
      <c r="E303" s="194" t="s">
        <v>48</v>
      </c>
      <c r="F303" s="195"/>
      <c r="G303" s="196"/>
      <c r="H303" s="186"/>
      <c r="I303" s="187"/>
      <c r="J303" s="187">
        <f ca="1">IFERROR(__xludf.DUMMYFUNCTION("IMPORTRANGE(""https://docs.google.com/spreadsheets/d/11923uPwbBZFjjGgGUA6NLw09EwE0CqkOc4q9oUmW1yo/edit?usp=sharing"",""เชียงราย!J208"")"),0)</f>
        <v>0</v>
      </c>
      <c r="K303" s="223"/>
      <c r="L303" s="168"/>
      <c r="M303" s="168"/>
      <c r="N303" s="168"/>
      <c r="O303" s="181"/>
      <c r="P303" s="181"/>
    </row>
    <row r="304" spans="1:16" ht="21.75" customHeight="1" x14ac:dyDescent="0.3">
      <c r="A304" s="175"/>
      <c r="B304" s="176"/>
      <c r="C304" s="176"/>
      <c r="D304" s="193"/>
      <c r="E304" s="198"/>
      <c r="F304" s="194" t="s">
        <v>113</v>
      </c>
      <c r="G304" s="196"/>
      <c r="H304" s="180" t="s">
        <v>37</v>
      </c>
      <c r="I304" s="187">
        <f ca="1">IFERROR(__xludf.DUMMYFUNCTION("IMPORTRANGE(""https://docs.google.com/spreadsheets/d/11923uPwbBZFjjGgGUA6NLw09EwE0CqkOc4q9oUmW1yo/edit?usp=sharing"",""เชียงราย!I209"")"),0)</f>
        <v>0</v>
      </c>
      <c r="J304" s="203">
        <f ca="1">IFERROR(__xludf.DUMMYFUNCTION("IMPORTRANGE(""https://docs.google.com/spreadsheets/d/11923uPwbBZFjjGgGUA6NLw09EwE0CqkOc4q9oUmW1yo/edit?usp=sharing"",""เชียงราย!J209"")"),0)</f>
        <v>0</v>
      </c>
      <c r="K304" s="223">
        <f ca="1">IF(I304&gt;0,J304*100/I304,0)</f>
        <v>0</v>
      </c>
      <c r="L304" s="168"/>
      <c r="M304" s="168"/>
      <c r="N304" s="168"/>
      <c r="O304" s="181"/>
      <c r="P304" s="181"/>
    </row>
    <row r="305" spans="1:16" ht="21.75" customHeight="1" x14ac:dyDescent="0.3">
      <c r="A305" s="175"/>
      <c r="B305" s="176"/>
      <c r="C305" s="176"/>
      <c r="D305" s="193"/>
      <c r="E305" s="198"/>
      <c r="F305" s="194" t="s">
        <v>114</v>
      </c>
      <c r="G305" s="196"/>
      <c r="H305" s="180"/>
      <c r="I305" s="187"/>
      <c r="J305" s="187"/>
      <c r="K305" s="223"/>
      <c r="L305" s="168"/>
      <c r="M305" s="168"/>
      <c r="N305" s="168"/>
      <c r="O305" s="181"/>
      <c r="P305" s="181"/>
    </row>
    <row r="306" spans="1:16" ht="21.75" customHeight="1" x14ac:dyDescent="0.3">
      <c r="A306" s="175"/>
      <c r="B306" s="176"/>
      <c r="C306" s="176"/>
      <c r="D306" s="193"/>
      <c r="E306" s="198"/>
      <c r="F306" s="195" t="s">
        <v>53</v>
      </c>
      <c r="G306" s="196"/>
      <c r="H306" s="180" t="s">
        <v>37</v>
      </c>
      <c r="I306" s="187">
        <f ca="1">IFERROR(__xludf.DUMMYFUNCTION("IMPORTRANGE(""https://docs.google.com/spreadsheets/d/11923uPwbBZFjjGgGUA6NLw09EwE0CqkOc4q9oUmW1yo/edit?usp=sharing"",""เชียงราย!I211"")"),0)</f>
        <v>0</v>
      </c>
      <c r="J306" s="203">
        <f ca="1">IFERROR(__xludf.DUMMYFUNCTION("IMPORTRANGE(""https://docs.google.com/spreadsheets/d/11923uPwbBZFjjGgGUA6NLw09EwE0CqkOc4q9oUmW1yo/edit?usp=sharing"",""เชียงราย!J211"")"),0)</f>
        <v>0</v>
      </c>
      <c r="K306" s="223">
        <f ca="1">IF(I306&gt;0,J306*100/I306,0)</f>
        <v>0</v>
      </c>
      <c r="L306" s="168"/>
      <c r="M306" s="168"/>
      <c r="N306" s="168"/>
      <c r="O306" s="181"/>
      <c r="P306" s="181"/>
    </row>
    <row r="307" spans="1:16" ht="21.75" customHeight="1" x14ac:dyDescent="0.3">
      <c r="A307" s="175"/>
      <c r="B307" s="176"/>
      <c r="C307" s="176"/>
      <c r="D307" s="193"/>
      <c r="E307" s="194" t="s">
        <v>54</v>
      </c>
      <c r="F307" s="195"/>
      <c r="G307" s="196"/>
      <c r="H307" s="186"/>
      <c r="I307" s="187"/>
      <c r="J307" s="187">
        <f ca="1">IFERROR(__xludf.DUMMYFUNCTION("IMPORTRANGE(""https://docs.google.com/spreadsheets/d/11923uPwbBZFjjGgGUA6NLw09EwE0CqkOc4q9oUmW1yo/edit?usp=sharing"",""เชียงราย!J212"")"),0)</f>
        <v>0</v>
      </c>
      <c r="K307" s="223"/>
      <c r="L307" s="168"/>
      <c r="M307" s="168"/>
      <c r="N307" s="168"/>
      <c r="O307" s="181"/>
      <c r="P307" s="181"/>
    </row>
    <row r="308" spans="1:16" ht="21.75" customHeight="1" x14ac:dyDescent="0.3">
      <c r="A308" s="175"/>
      <c r="B308" s="176"/>
      <c r="C308" s="176"/>
      <c r="D308" s="205">
        <v>3</v>
      </c>
      <c r="E308" s="206" t="s">
        <v>55</v>
      </c>
      <c r="F308" s="207"/>
      <c r="G308" s="208"/>
      <c r="H308" s="186"/>
      <c r="I308" s="187"/>
      <c r="J308" s="324">
        <f ca="1">IFERROR(__xludf.DUMMYFUNCTION("IMPORTRANGE(""https://docs.google.com/spreadsheets/d/11923uPwbBZFjjGgGUA6NLw09EwE0CqkOc4q9oUmW1yo/edit?usp=sharing"",""เชียงราย!J213"")"),0)</f>
        <v>0</v>
      </c>
      <c r="K308" s="223"/>
      <c r="L308" s="168"/>
      <c r="M308" s="168"/>
      <c r="N308" s="168"/>
      <c r="O308" s="181"/>
      <c r="P308" s="181"/>
    </row>
    <row r="309" spans="1:16" ht="21.75" customHeight="1" x14ac:dyDescent="0.3">
      <c r="A309" s="325"/>
      <c r="B309" s="326" t="s">
        <v>115</v>
      </c>
      <c r="C309" s="327"/>
      <c r="D309" s="328"/>
      <c r="E309" s="326"/>
      <c r="F309" s="326"/>
      <c r="G309" s="329"/>
      <c r="H309" s="330" t="s">
        <v>116</v>
      </c>
      <c r="I309" s="331">
        <f ca="1">IFERROR(__xludf.DUMMYFUNCTION("IMPORTRANGE(""https://docs.google.com/spreadsheets/d/11923uPwbBZFjjGgGUA6NLw09EwE0CqkOc4q9oUmW1yo/edit?usp=sharing"",""เชียงราย!I214"")"),0)</f>
        <v>0</v>
      </c>
      <c r="J309" s="331">
        <f ca="1">IFERROR(__xludf.DUMMYFUNCTION("IMPORTRANGE(""https://docs.google.com/spreadsheets/d/11923uPwbBZFjjGgGUA6NLw09EwE0CqkOc4q9oUmW1yo/edit?usp=sharing"",""เชียงราย!J214"")"),0)</f>
        <v>0</v>
      </c>
      <c r="K309" s="332">
        <f ca="1">IF(I309&gt;0,J309*100/I309,0)</f>
        <v>0</v>
      </c>
      <c r="L309" s="333"/>
      <c r="M309" s="333"/>
      <c r="N309" s="333"/>
      <c r="O309" s="332"/>
      <c r="P309" s="332"/>
    </row>
    <row r="310" spans="1:16" ht="21.75" customHeight="1" x14ac:dyDescent="0.45">
      <c r="A310" s="145"/>
      <c r="B310" s="146"/>
      <c r="C310" s="147" t="s">
        <v>16</v>
      </c>
      <c r="D310" s="537" t="s">
        <v>17</v>
      </c>
      <c r="E310" s="528"/>
      <c r="F310" s="528"/>
      <c r="G310" s="528"/>
      <c r="H310" s="148" t="s">
        <v>12</v>
      </c>
      <c r="I310" s="334"/>
      <c r="J310" s="334"/>
      <c r="K310" s="335"/>
      <c r="L310" s="151">
        <f t="shared" ref="L310:N310" ca="1" si="93">L311+L312</f>
        <v>0</v>
      </c>
      <c r="M310" s="151">
        <f t="shared" ca="1" si="93"/>
        <v>0</v>
      </c>
      <c r="N310" s="151">
        <f t="shared" ca="1" si="93"/>
        <v>0</v>
      </c>
      <c r="O310" s="150">
        <f t="shared" ref="O310:O312" ca="1" si="94">IF(L310&gt;0,N310*100/L310,0)</f>
        <v>0</v>
      </c>
      <c r="P310" s="150">
        <f t="shared" ref="P310:P312" ca="1" si="95">IF(M310&gt;0,N310*100/M310,0)</f>
        <v>0</v>
      </c>
    </row>
    <row r="311" spans="1:16" ht="21.75" customHeight="1" x14ac:dyDescent="0.45">
      <c r="A311" s="152"/>
      <c r="B311" s="32"/>
      <c r="C311" s="32"/>
      <c r="D311" s="32"/>
      <c r="E311" s="32"/>
      <c r="F311" s="32"/>
      <c r="G311" s="33" t="s">
        <v>18</v>
      </c>
      <c r="H311" s="153" t="s">
        <v>12</v>
      </c>
      <c r="I311" s="334"/>
      <c r="J311" s="334"/>
      <c r="K311" s="335"/>
      <c r="L311" s="87">
        <f t="shared" ref="L311:N311" si="96">L313+L317</f>
        <v>0</v>
      </c>
      <c r="M311" s="87">
        <f t="shared" si="96"/>
        <v>0</v>
      </c>
      <c r="N311" s="87">
        <f t="shared" si="96"/>
        <v>0</v>
      </c>
      <c r="O311" s="155">
        <f t="shared" si="94"/>
        <v>0</v>
      </c>
      <c r="P311" s="155">
        <f t="shared" si="95"/>
        <v>0</v>
      </c>
    </row>
    <row r="312" spans="1:16" ht="21.75" customHeight="1" x14ac:dyDescent="0.45">
      <c r="A312" s="152"/>
      <c r="B312" s="32"/>
      <c r="C312" s="32"/>
      <c r="D312" s="32"/>
      <c r="E312" s="32"/>
      <c r="F312" s="32"/>
      <c r="G312" s="33" t="s">
        <v>19</v>
      </c>
      <c r="H312" s="153" t="s">
        <v>12</v>
      </c>
      <c r="I312" s="334"/>
      <c r="J312" s="334"/>
      <c r="K312" s="335"/>
      <c r="L312" s="87">
        <f t="shared" ref="L312:N312" ca="1" si="97">L314+L318</f>
        <v>0</v>
      </c>
      <c r="M312" s="87">
        <f t="shared" ca="1" si="97"/>
        <v>0</v>
      </c>
      <c r="N312" s="87">
        <f t="shared" ca="1" si="97"/>
        <v>0</v>
      </c>
      <c r="O312" s="155">
        <f t="shared" ca="1" si="94"/>
        <v>0</v>
      </c>
      <c r="P312" s="155">
        <f t="shared" ca="1" si="95"/>
        <v>0</v>
      </c>
    </row>
    <row r="313" spans="1:16" ht="21.75" customHeight="1" x14ac:dyDescent="0.3">
      <c r="A313" s="156"/>
      <c r="B313" s="157"/>
      <c r="C313" s="157" t="s">
        <v>16</v>
      </c>
      <c r="D313" s="158" t="s">
        <v>38</v>
      </c>
      <c r="E313" s="159"/>
      <c r="F313" s="159"/>
      <c r="G313" s="160" t="s">
        <v>39</v>
      </c>
      <c r="H313" s="161" t="s">
        <v>12</v>
      </c>
      <c r="I313" s="162" t="s">
        <v>40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3">
      <c r="A314" s="156"/>
      <c r="B314" s="157"/>
      <c r="C314" s="157"/>
      <c r="D314" s="166"/>
      <c r="E314" s="159"/>
      <c r="F314" s="159" t="s">
        <v>40</v>
      </c>
      <c r="G314" s="160" t="s">
        <v>41</v>
      </c>
      <c r="H314" s="161" t="s">
        <v>12</v>
      </c>
      <c r="I314" s="162"/>
      <c r="J314" s="162"/>
      <c r="K314" s="163"/>
      <c r="L314" s="167">
        <f ca="1">L315+L316</f>
        <v>0</v>
      </c>
      <c r="M314" s="167">
        <f ca="1">IFERROR(__xludf.DUMMYFUNCTION("IMPORTRANGE(""https://docs.google.com/spreadsheets/d/1Yj_ptqi66GCucihVvJfMjLAmec39IyEx_6qawtMGysU/edit?usp=sharing"",""สบก!DC21"")"),0)</f>
        <v>0</v>
      </c>
      <c r="N314" s="168">
        <f ca="1">IFERROR(__xludf.DUMMYFUNCTION("IMPORTRANGE(""https://docs.google.com/spreadsheets/d/1Yj_ptqi66GCucihVvJfMjLAmec39IyEx_6qawtMGysU/edit?usp=sharing"",""สบก!DD21"")"),0)</f>
        <v>0</v>
      </c>
      <c r="O314" s="168">
        <f ca="1">IF(L314&gt;0,N314*100/L314,0)</f>
        <v>0</v>
      </c>
      <c r="P314" s="168">
        <f ca="1">IF(M314&gt;0,N314*100/M314,0)</f>
        <v>0</v>
      </c>
    </row>
    <row r="315" spans="1:16" ht="21.75" customHeight="1" x14ac:dyDescent="0.3">
      <c r="A315" s="156"/>
      <c r="B315" s="157"/>
      <c r="C315" s="157"/>
      <c r="D315" s="166"/>
      <c r="E315" s="159"/>
      <c r="F315" s="159"/>
      <c r="G315" s="169" t="s">
        <v>42</v>
      </c>
      <c r="H315" s="161" t="s">
        <v>12</v>
      </c>
      <c r="I315" s="162"/>
      <c r="J315" s="162"/>
      <c r="K315" s="163"/>
      <c r="L315" s="167">
        <f ca="1">IFERROR(__xludf.DUMMYFUNCTION("IMPORTRANGE(""https://docs.google.com/spreadsheets/d/1Yj_ptqi66GCucihVvJfMjLAmec39IyEx_6qawtMGysU/edit?usp=sharing"",""สบก!CY21"")"),0)</f>
        <v>0</v>
      </c>
      <c r="M315" s="167"/>
      <c r="N315" s="167"/>
      <c r="O315" s="168"/>
      <c r="P315" s="168"/>
    </row>
    <row r="316" spans="1:16" ht="21.75" customHeight="1" x14ac:dyDescent="0.3">
      <c r="A316" s="156"/>
      <c r="B316" s="157"/>
      <c r="C316" s="157"/>
      <c r="D316" s="166"/>
      <c r="E316" s="159"/>
      <c r="F316" s="159"/>
      <c r="G316" s="169" t="s">
        <v>43</v>
      </c>
      <c r="H316" s="161" t="s">
        <v>12</v>
      </c>
      <c r="I316" s="162"/>
      <c r="J316" s="187"/>
      <c r="K316" s="223"/>
      <c r="L316" s="167">
        <f ca="1">IFERROR(__xludf.DUMMYFUNCTION("IMPORTRANGE(""https://docs.google.com/spreadsheets/d/1Yj_ptqi66GCucihVvJfMjLAmec39IyEx_6qawtMGysU/edit?usp=sharing"",""สบก!CZ21"")"),0)</f>
        <v>0</v>
      </c>
      <c r="M316" s="167"/>
      <c r="N316" s="167"/>
      <c r="O316" s="168"/>
      <c r="P316" s="168"/>
    </row>
    <row r="317" spans="1:16" ht="21.75" customHeight="1" x14ac:dyDescent="0.45">
      <c r="A317" s="170"/>
      <c r="B317" s="80"/>
      <c r="C317" s="81" t="s">
        <v>16</v>
      </c>
      <c r="D317" s="534" t="s">
        <v>23</v>
      </c>
      <c r="E317" s="530"/>
      <c r="F317" s="88"/>
      <c r="G317" s="82" t="s">
        <v>18</v>
      </c>
      <c r="H317" s="171" t="s">
        <v>12</v>
      </c>
      <c r="I317" s="162"/>
      <c r="J317" s="187"/>
      <c r="K317" s="223"/>
      <c r="L317" s="41">
        <v>0</v>
      </c>
      <c r="M317" s="41"/>
      <c r="N317" s="41"/>
      <c r="O317" s="41"/>
      <c r="P317" s="41"/>
    </row>
    <row r="318" spans="1:16" ht="21.75" customHeight="1" x14ac:dyDescent="0.45">
      <c r="A318" s="172"/>
      <c r="B318" s="91"/>
      <c r="C318" s="91"/>
      <c r="D318" s="173"/>
      <c r="E318" s="92"/>
      <c r="F318" s="92"/>
      <c r="G318" s="93" t="s">
        <v>19</v>
      </c>
      <c r="H318" s="174" t="s">
        <v>12</v>
      </c>
      <c r="I318" s="162"/>
      <c r="J318" s="187"/>
      <c r="K318" s="223"/>
      <c r="L318" s="49">
        <f ca="1">IFERROR(__xludf.DUMMYFUNCTION("IMPORTRANGE(""https://docs.google.com/spreadsheets/d/1Yj_ptqi66GCucihVvJfMjLAmec39IyEx_6qawtMGysU/edit?usp=sharing"",""สบก!DA21"")"),0)</f>
        <v>0</v>
      </c>
      <c r="M318" s="49"/>
      <c r="N318" s="49">
        <f ca="1">IFERROR(__xludf.DUMMYFUNCTION("IMPORTRANGE(""https://docs.google.com/spreadsheets/d/1Yj_ptqi66GCucihVvJfMjLAmec39IyEx_6qawtMGysU/edit?usp=sharing"",""สบก!DE21"")"),0)</f>
        <v>0</v>
      </c>
      <c r="O318" s="49">
        <f ca="1">IF(L318&gt;0,N318*100/L318,0)</f>
        <v>0</v>
      </c>
      <c r="P318" s="49"/>
    </row>
    <row r="319" spans="1:16" ht="21.75" customHeight="1" x14ac:dyDescent="0.3">
      <c r="A319" s="175"/>
      <c r="B319" s="176"/>
      <c r="C319" s="157" t="s">
        <v>16</v>
      </c>
      <c r="D319" s="177" t="s">
        <v>44</v>
      </c>
      <c r="E319" s="178"/>
      <c r="F319" s="178"/>
      <c r="G319" s="179"/>
      <c r="H319" s="180"/>
      <c r="I319" s="162"/>
      <c r="J319" s="187"/>
      <c r="K319" s="223"/>
      <c r="L319" s="168"/>
      <c r="M319" s="168"/>
      <c r="N319" s="168"/>
      <c r="O319" s="181"/>
      <c r="P319" s="181"/>
    </row>
    <row r="320" spans="1:16" ht="21.75" customHeight="1" x14ac:dyDescent="0.3">
      <c r="A320" s="175"/>
      <c r="B320" s="176"/>
      <c r="C320" s="176"/>
      <c r="D320" s="182">
        <v>1</v>
      </c>
      <c r="E320" s="183" t="s">
        <v>45</v>
      </c>
      <c r="F320" s="184"/>
      <c r="G320" s="185"/>
      <c r="H320" s="186"/>
      <c r="I320" s="187"/>
      <c r="J320" s="187">
        <f ca="1">IFERROR(__xludf.DUMMYFUNCTION("IMPORTRANGE(""https://docs.google.com/spreadsheets/d/11923uPwbBZFjjGgGUA6NLw09EwE0CqkOc4q9oUmW1yo/edit?usp=sharing"",""เชียงราย!J220"")"),0)</f>
        <v>0</v>
      </c>
      <c r="K320" s="223"/>
      <c r="L320" s="168"/>
      <c r="M320" s="168"/>
      <c r="N320" s="168"/>
      <c r="O320" s="181"/>
      <c r="P320" s="181"/>
    </row>
    <row r="321" spans="1:16" ht="21.75" customHeight="1" x14ac:dyDescent="0.3">
      <c r="A321" s="175"/>
      <c r="B321" s="176"/>
      <c r="C321" s="176"/>
      <c r="D321" s="189">
        <v>2</v>
      </c>
      <c r="E321" s="190" t="s">
        <v>46</v>
      </c>
      <c r="F321" s="191"/>
      <c r="G321" s="192"/>
      <c r="H321" s="186"/>
      <c r="I321" s="187"/>
      <c r="J321" s="187">
        <f ca="1">IFERROR(__xludf.DUMMYFUNCTION("IMPORTRANGE(""https://docs.google.com/spreadsheets/d/11923uPwbBZFjjGgGUA6NLw09EwE0CqkOc4q9oUmW1yo/edit?usp=sharing"",""เชียงราย!J221"")"),0)</f>
        <v>0</v>
      </c>
      <c r="K321" s="223"/>
      <c r="L321" s="168" t="s">
        <v>40</v>
      </c>
      <c r="M321" s="168"/>
      <c r="N321" s="168" t="s">
        <v>40</v>
      </c>
      <c r="O321" s="181"/>
      <c r="P321" s="181"/>
    </row>
    <row r="322" spans="1:16" ht="21.75" customHeight="1" x14ac:dyDescent="0.3">
      <c r="A322" s="175"/>
      <c r="B322" s="176"/>
      <c r="C322" s="176"/>
      <c r="D322" s="193"/>
      <c r="E322" s="194" t="s">
        <v>47</v>
      </c>
      <c r="F322" s="195"/>
      <c r="G322" s="196"/>
      <c r="H322" s="186"/>
      <c r="I322" s="187"/>
      <c r="J322" s="187">
        <f ca="1">IFERROR(__xludf.DUMMYFUNCTION("IMPORTRANGE(""https://docs.google.com/spreadsheets/d/11923uPwbBZFjjGgGUA6NLw09EwE0CqkOc4q9oUmW1yo/edit?usp=sharing"",""เชียงราย!J222"")"),0)</f>
        <v>0</v>
      </c>
      <c r="K322" s="223"/>
      <c r="L322" s="168"/>
      <c r="M322" s="168"/>
      <c r="N322" s="168"/>
      <c r="O322" s="181"/>
      <c r="P322" s="181"/>
    </row>
    <row r="323" spans="1:16" ht="21.75" customHeight="1" x14ac:dyDescent="0.3">
      <c r="A323" s="175"/>
      <c r="B323" s="176"/>
      <c r="C323" s="176"/>
      <c r="D323" s="193"/>
      <c r="E323" s="194" t="s">
        <v>48</v>
      </c>
      <c r="F323" s="195"/>
      <c r="G323" s="196"/>
      <c r="H323" s="186"/>
      <c r="I323" s="187"/>
      <c r="J323" s="187">
        <f ca="1">IFERROR(__xludf.DUMMYFUNCTION("IMPORTRANGE(""https://docs.google.com/spreadsheets/d/11923uPwbBZFjjGgGUA6NLw09EwE0CqkOc4q9oUmW1yo/edit?usp=sharing"",""เชียงราย!J223"")"),0)</f>
        <v>0</v>
      </c>
      <c r="K323" s="223"/>
      <c r="L323" s="168"/>
      <c r="M323" s="168"/>
      <c r="N323" s="168"/>
      <c r="O323" s="181"/>
      <c r="P323" s="181"/>
    </row>
    <row r="324" spans="1:16" ht="21.75" customHeight="1" x14ac:dyDescent="0.3">
      <c r="A324" s="175"/>
      <c r="B324" s="176"/>
      <c r="C324" s="176"/>
      <c r="D324" s="193"/>
      <c r="E324" s="198"/>
      <c r="F324" s="194" t="s">
        <v>117</v>
      </c>
      <c r="G324" s="196"/>
      <c r="H324" s="186" t="s">
        <v>116</v>
      </c>
      <c r="I324" s="187">
        <f ca="1">IFERROR(__xludf.DUMMYFUNCTION("IMPORTRANGE(""https://docs.google.com/spreadsheets/d/11923uPwbBZFjjGgGUA6NLw09EwE0CqkOc4q9oUmW1yo/edit?usp=sharing"",""เชียงราย!I224"")"),0)</f>
        <v>0</v>
      </c>
      <c r="J324" s="203">
        <f ca="1">IFERROR(__xludf.DUMMYFUNCTION("IMPORTRANGE(""https://docs.google.com/spreadsheets/d/11923uPwbBZFjjGgGUA6NLw09EwE0CqkOc4q9oUmW1yo/edit?usp=sharing"",""เชียงราย!J224"")"),0)</f>
        <v>0</v>
      </c>
      <c r="K324" s="223">
        <f ca="1">IF(I324&gt;0,J324*100/I324,0)</f>
        <v>0</v>
      </c>
      <c r="L324" s="168"/>
      <c r="M324" s="168"/>
      <c r="N324" s="168"/>
      <c r="O324" s="181"/>
      <c r="P324" s="181"/>
    </row>
    <row r="325" spans="1:16" ht="21.75" customHeight="1" x14ac:dyDescent="0.3">
      <c r="A325" s="175"/>
      <c r="B325" s="176"/>
      <c r="C325" s="176"/>
      <c r="D325" s="193"/>
      <c r="E325" s="194" t="s">
        <v>54</v>
      </c>
      <c r="F325" s="195"/>
      <c r="G325" s="196"/>
      <c r="H325" s="186"/>
      <c r="I325" s="187"/>
      <c r="J325" s="187">
        <f ca="1">IFERROR(__xludf.DUMMYFUNCTION("IMPORTRANGE(""https://docs.google.com/spreadsheets/d/11923uPwbBZFjjGgGUA6NLw09EwE0CqkOc4q9oUmW1yo/edit?usp=sharing"",""เชียงราย!J225"")"),0)</f>
        <v>0</v>
      </c>
      <c r="K325" s="223"/>
      <c r="L325" s="168"/>
      <c r="M325" s="168"/>
      <c r="N325" s="168"/>
      <c r="O325" s="181"/>
      <c r="P325" s="181"/>
    </row>
    <row r="326" spans="1:16" ht="21.75" customHeight="1" x14ac:dyDescent="0.3">
      <c r="A326" s="175"/>
      <c r="B326" s="176"/>
      <c r="C326" s="176"/>
      <c r="D326" s="205">
        <v>3</v>
      </c>
      <c r="E326" s="206" t="s">
        <v>55</v>
      </c>
      <c r="F326" s="207"/>
      <c r="G326" s="208"/>
      <c r="H326" s="186"/>
      <c r="I326" s="187"/>
      <c r="J326" s="226">
        <f ca="1">IFERROR(__xludf.DUMMYFUNCTION("IMPORTRANGE(""https://docs.google.com/spreadsheets/d/11923uPwbBZFjjGgGUA6NLw09EwE0CqkOc4q9oUmW1yo/edit?usp=sharing"",""เชียงราย!J226"")"),0)</f>
        <v>0</v>
      </c>
      <c r="K326" s="223"/>
      <c r="L326" s="168"/>
      <c r="M326" s="168"/>
      <c r="N326" s="168"/>
      <c r="O326" s="181"/>
      <c r="P326" s="181"/>
    </row>
    <row r="327" spans="1:16" ht="21.75" customHeight="1" x14ac:dyDescent="0.3">
      <c r="A327" s="302" t="s">
        <v>118</v>
      </c>
      <c r="B327" s="303"/>
      <c r="C327" s="303"/>
      <c r="D327" s="304"/>
      <c r="E327" s="303"/>
      <c r="F327" s="303"/>
      <c r="G327" s="317"/>
      <c r="H327" s="306"/>
      <c r="I327" s="307"/>
      <c r="J327" s="307"/>
      <c r="K327" s="308"/>
      <c r="L327" s="308"/>
      <c r="M327" s="308"/>
      <c r="N327" s="308"/>
      <c r="O327" s="309"/>
      <c r="P327" s="309"/>
    </row>
    <row r="328" spans="1:16" ht="21.75" customHeight="1" x14ac:dyDescent="0.3">
      <c r="A328" s="310"/>
      <c r="B328" s="336" t="s">
        <v>119</v>
      </c>
      <c r="C328" s="323"/>
      <c r="D328" s="311"/>
      <c r="E328" s="311"/>
      <c r="F328" s="311"/>
      <c r="G328" s="312"/>
      <c r="H328" s="313" t="s">
        <v>37</v>
      </c>
      <c r="I328" s="337">
        <f ca="1">IFERROR(__xludf.DUMMYFUNCTION("IMPORTRANGE(""https://docs.google.com/spreadsheets/d/11923uPwbBZFjjGgGUA6NLw09EwE0CqkOc4q9oUmW1yo/edit?usp=sharing"",""เชียงราย!I228"")"),680)</f>
        <v>680</v>
      </c>
      <c r="J328" s="337">
        <f ca="1">IFERROR(__xludf.DUMMYFUNCTION("IMPORTRANGE(""https://docs.google.com/spreadsheets/d/11923uPwbBZFjjGgGUA6NLw09EwE0CqkOc4q9oUmW1yo/edit?usp=sharing"",""เชียงราย!J228"")"),75)</f>
        <v>75</v>
      </c>
      <c r="K328" s="315">
        <f ca="1">IF(I328&gt;0,J328*100/I328,0)</f>
        <v>11.029411764705882</v>
      </c>
      <c r="L328" s="316"/>
      <c r="M328" s="316"/>
      <c r="N328" s="316"/>
      <c r="O328" s="315"/>
      <c r="P328" s="315"/>
    </row>
    <row r="329" spans="1:16" ht="21.75" customHeight="1" x14ac:dyDescent="0.45">
      <c r="A329" s="145"/>
      <c r="B329" s="146"/>
      <c r="C329" s="147" t="s">
        <v>16</v>
      </c>
      <c r="D329" s="537" t="s">
        <v>17</v>
      </c>
      <c r="E329" s="528"/>
      <c r="F329" s="528"/>
      <c r="G329" s="528"/>
      <c r="H329" s="148" t="s">
        <v>12</v>
      </c>
      <c r="I329" s="162"/>
      <c r="J329" s="162"/>
      <c r="K329" s="163"/>
      <c r="L329" s="151">
        <f t="shared" ref="L329:N329" ca="1" si="98">L330+L331</f>
        <v>1538870</v>
      </c>
      <c r="M329" s="151">
        <f t="shared" ca="1" si="98"/>
        <v>830640</v>
      </c>
      <c r="N329" s="151">
        <f t="shared" ca="1" si="98"/>
        <v>639506</v>
      </c>
      <c r="O329" s="150">
        <f t="shared" ref="O329:O331" ca="1" si="99">IF(L329&gt;0,N329*100/L329,0)</f>
        <v>41.556856654558217</v>
      </c>
      <c r="P329" s="150">
        <f t="shared" ref="P329:P331" ca="1" si="100">IF(M329&gt;0,N329*100/M329,0)</f>
        <v>76.989550226331502</v>
      </c>
    </row>
    <row r="330" spans="1:16" ht="21.75" customHeight="1" x14ac:dyDescent="0.45">
      <c r="A330" s="152"/>
      <c r="B330" s="32"/>
      <c r="C330" s="32"/>
      <c r="D330" s="32"/>
      <c r="E330" s="32"/>
      <c r="F330" s="32"/>
      <c r="G330" s="33" t="s">
        <v>18</v>
      </c>
      <c r="H330" s="153" t="s">
        <v>12</v>
      </c>
      <c r="I330" s="162"/>
      <c r="J330" s="162"/>
      <c r="K330" s="163"/>
      <c r="L330" s="87">
        <f t="shared" ref="L330:N330" si="101">L332+L336</f>
        <v>0</v>
      </c>
      <c r="M330" s="87">
        <f t="shared" si="101"/>
        <v>0</v>
      </c>
      <c r="N330" s="87">
        <f t="shared" si="101"/>
        <v>0</v>
      </c>
      <c r="O330" s="155">
        <f t="shared" si="99"/>
        <v>0</v>
      </c>
      <c r="P330" s="155">
        <f t="shared" si="100"/>
        <v>0</v>
      </c>
    </row>
    <row r="331" spans="1:16" ht="21.75" customHeight="1" x14ac:dyDescent="0.45">
      <c r="A331" s="152"/>
      <c r="B331" s="32"/>
      <c r="C331" s="32"/>
      <c r="D331" s="32"/>
      <c r="E331" s="32"/>
      <c r="F331" s="32"/>
      <c r="G331" s="33" t="s">
        <v>19</v>
      </c>
      <c r="H331" s="153" t="s">
        <v>12</v>
      </c>
      <c r="I331" s="162"/>
      <c r="J331" s="162"/>
      <c r="K331" s="163"/>
      <c r="L331" s="87">
        <f t="shared" ref="L331:N331" ca="1" si="102">L333+L337</f>
        <v>1538870</v>
      </c>
      <c r="M331" s="87">
        <f t="shared" ca="1" si="102"/>
        <v>830640</v>
      </c>
      <c r="N331" s="87">
        <f t="shared" ca="1" si="102"/>
        <v>639506</v>
      </c>
      <c r="O331" s="155">
        <f t="shared" ca="1" si="99"/>
        <v>41.556856654558217</v>
      </c>
      <c r="P331" s="155">
        <f t="shared" ca="1" si="100"/>
        <v>76.989550226331502</v>
      </c>
    </row>
    <row r="332" spans="1:16" ht="21.75" customHeight="1" x14ac:dyDescent="0.3">
      <c r="A332" s="156"/>
      <c r="B332" s="157"/>
      <c r="C332" s="157" t="s">
        <v>16</v>
      </c>
      <c r="D332" s="158" t="s">
        <v>38</v>
      </c>
      <c r="E332" s="159"/>
      <c r="F332" s="159"/>
      <c r="G332" s="160" t="s">
        <v>39</v>
      </c>
      <c r="H332" s="161" t="s">
        <v>12</v>
      </c>
      <c r="I332" s="162" t="s">
        <v>40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3">
      <c r="A333" s="156"/>
      <c r="B333" s="157"/>
      <c r="C333" s="157"/>
      <c r="D333" s="166"/>
      <c r="E333" s="159"/>
      <c r="F333" s="159" t="s">
        <v>40</v>
      </c>
      <c r="G333" s="160" t="s">
        <v>41</v>
      </c>
      <c r="H333" s="161" t="s">
        <v>12</v>
      </c>
      <c r="I333" s="162"/>
      <c r="J333" s="162"/>
      <c r="K333" s="163"/>
      <c r="L333" s="167">
        <f ca="1">L334+L335</f>
        <v>1538870</v>
      </c>
      <c r="M333" s="167">
        <f ca="1">IFERROR(__xludf.DUMMYFUNCTION("IMPORTRANGE(""https://docs.google.com/spreadsheets/d/1Yj_ptqi66GCucihVvJfMjLAmec39IyEx_6qawtMGysU/edit?usp=sharing"",""สบก!DL21"")"),830640)</f>
        <v>830640</v>
      </c>
      <c r="N333" s="168">
        <f ca="1">IFERROR(__xludf.DUMMYFUNCTION("IMPORTRANGE(""https://docs.google.com/spreadsheets/d/1Yj_ptqi66GCucihVvJfMjLAmec39IyEx_6qawtMGysU/edit?usp=sharing"",""สบก!DM21"")"),639506)</f>
        <v>639506</v>
      </c>
      <c r="O333" s="168">
        <f ca="1">IF(L333&gt;0,N333*100/L333,0)</f>
        <v>41.556856654558217</v>
      </c>
      <c r="P333" s="168">
        <f ca="1">IF(M333&gt;0,N333*100/M333,0)</f>
        <v>76.989550226331502</v>
      </c>
    </row>
    <row r="334" spans="1:16" ht="21.75" customHeight="1" x14ac:dyDescent="0.3">
      <c r="A334" s="156"/>
      <c r="B334" s="157"/>
      <c r="C334" s="157"/>
      <c r="D334" s="166"/>
      <c r="E334" s="159"/>
      <c r="F334" s="159"/>
      <c r="G334" s="169" t="s">
        <v>42</v>
      </c>
      <c r="H334" s="161" t="s">
        <v>12</v>
      </c>
      <c r="I334" s="162"/>
      <c r="J334" s="162"/>
      <c r="K334" s="163"/>
      <c r="L334" s="167">
        <f ca="1">IFERROR(__xludf.DUMMYFUNCTION("IMPORTRANGE(""https://docs.google.com/spreadsheets/d/1Yj_ptqi66GCucihVvJfMjLAmec39IyEx_6qawtMGysU/edit?usp=sharing"",""สบก!DH21"")"),831600)</f>
        <v>831600</v>
      </c>
      <c r="M334" s="167"/>
      <c r="N334" s="167"/>
      <c r="O334" s="168"/>
      <c r="P334" s="168"/>
    </row>
    <row r="335" spans="1:16" ht="21.75" customHeight="1" x14ac:dyDescent="0.3">
      <c r="A335" s="156"/>
      <c r="B335" s="157"/>
      <c r="C335" s="157"/>
      <c r="D335" s="166"/>
      <c r="E335" s="159"/>
      <c r="F335" s="159"/>
      <c r="G335" s="169" t="s">
        <v>43</v>
      </c>
      <c r="H335" s="161" t="s">
        <v>12</v>
      </c>
      <c r="I335" s="162"/>
      <c r="J335" s="162"/>
      <c r="K335" s="163"/>
      <c r="L335" s="167">
        <f ca="1">IFERROR(__xludf.DUMMYFUNCTION("IMPORTRANGE(""https://docs.google.com/spreadsheets/d/1Yj_ptqi66GCucihVvJfMjLAmec39IyEx_6qawtMGysU/edit?usp=sharing"",""สบก!DI21"")"),707270)</f>
        <v>707270</v>
      </c>
      <c r="M335" s="167"/>
      <c r="N335" s="167"/>
      <c r="O335" s="168"/>
      <c r="P335" s="168"/>
    </row>
    <row r="336" spans="1:16" ht="21.75" customHeight="1" x14ac:dyDescent="0.45">
      <c r="A336" s="170"/>
      <c r="B336" s="80"/>
      <c r="C336" s="81" t="s">
        <v>16</v>
      </c>
      <c r="D336" s="534" t="s">
        <v>23</v>
      </c>
      <c r="E336" s="530"/>
      <c r="F336" s="88"/>
      <c r="G336" s="82" t="s">
        <v>18</v>
      </c>
      <c r="H336" s="171" t="s">
        <v>12</v>
      </c>
      <c r="I336" s="162"/>
      <c r="J336" s="162"/>
      <c r="K336" s="163"/>
      <c r="L336" s="41">
        <v>0</v>
      </c>
      <c r="M336" s="41"/>
      <c r="N336" s="41"/>
      <c r="O336" s="41"/>
      <c r="P336" s="41"/>
    </row>
    <row r="337" spans="1:16" ht="21.75" customHeight="1" x14ac:dyDescent="0.45">
      <c r="A337" s="172"/>
      <c r="B337" s="91"/>
      <c r="C337" s="91"/>
      <c r="D337" s="173"/>
      <c r="E337" s="92"/>
      <c r="F337" s="92"/>
      <c r="G337" s="93" t="s">
        <v>19</v>
      </c>
      <c r="H337" s="174" t="s">
        <v>12</v>
      </c>
      <c r="I337" s="162"/>
      <c r="J337" s="162"/>
      <c r="K337" s="163"/>
      <c r="L337" s="49">
        <f ca="1">IFERROR(__xludf.DUMMYFUNCTION("IMPORTRANGE(""https://docs.google.com/spreadsheets/d/1Yj_ptqi66GCucihVvJfMjLAmec39IyEx_6qawtMGysU/edit?usp=sharing"",""สบก!DJ21"")"),0)</f>
        <v>0</v>
      </c>
      <c r="M337" s="49"/>
      <c r="N337" s="49">
        <f ca="1">IFERROR(__xludf.DUMMYFUNCTION("IMPORTRANGE(""https://docs.google.com/spreadsheets/d/1Yj_ptqi66GCucihVvJfMjLAmec39IyEx_6qawtMGysU/edit?usp=sharing"",""สบก!DN21"")"),0)</f>
        <v>0</v>
      </c>
      <c r="O337" s="49">
        <f ca="1">IF(L337&gt;0,N337*100/L337,0)</f>
        <v>0</v>
      </c>
      <c r="P337" s="49"/>
    </row>
    <row r="338" spans="1:16" ht="21.75" customHeight="1" x14ac:dyDescent="0.3">
      <c r="A338" s="175"/>
      <c r="B338" s="289"/>
      <c r="C338" s="338" t="s">
        <v>120</v>
      </c>
      <c r="D338" s="195"/>
      <c r="E338" s="195"/>
      <c r="F338" s="195"/>
      <c r="G338" s="196"/>
      <c r="H338" s="180"/>
      <c r="I338" s="339"/>
      <c r="J338" s="339"/>
      <c r="K338" s="340"/>
      <c r="L338" s="181"/>
      <c r="M338" s="181"/>
      <c r="N338" s="181"/>
      <c r="O338" s="341"/>
      <c r="P338" s="341"/>
    </row>
    <row r="339" spans="1:16" ht="21.75" customHeight="1" x14ac:dyDescent="0.3">
      <c r="A339" s="175"/>
      <c r="B339" s="289"/>
      <c r="C339" s="176"/>
      <c r="D339" s="195"/>
      <c r="E339" s="194" t="s">
        <v>121</v>
      </c>
      <c r="F339" s="195"/>
      <c r="G339" s="196"/>
      <c r="H339" s="342" t="s">
        <v>37</v>
      </c>
      <c r="I339" s="203">
        <f ca="1">IFERROR(__xludf.DUMMYFUNCTION("IMPORTRANGE(""https://docs.google.com/spreadsheets/d/11923uPwbBZFjjGgGUA6NLw09EwE0CqkOc4q9oUmW1yo/edit?usp=sharing"",""เชียงราย!I234"")"),0)</f>
        <v>0</v>
      </c>
      <c r="J339" s="187">
        <f ca="1">IFERROR(__xludf.DUMMYFUNCTION("IMPORTRANGE(""https://docs.google.com/spreadsheets/d/11923uPwbBZFjjGgGUA6NLw09EwE0CqkOc4q9oUmW1yo/edit?usp=sharing"",""เชียงราย!J234"")"),177)</f>
        <v>177</v>
      </c>
      <c r="K339" s="340">
        <f t="shared" ref="K339:K346" ca="1" si="103">IF(I339&gt;0,J339*100/I339,0)</f>
        <v>0</v>
      </c>
      <c r="L339" s="181"/>
      <c r="M339" s="181"/>
      <c r="N339" s="181"/>
      <c r="O339" s="341"/>
      <c r="P339" s="341"/>
    </row>
    <row r="340" spans="1:16" ht="21.75" customHeight="1" x14ac:dyDescent="0.3">
      <c r="A340" s="175"/>
      <c r="B340" s="289"/>
      <c r="C340" s="176"/>
      <c r="D340" s="195"/>
      <c r="E340" s="195"/>
      <c r="F340" s="195"/>
      <c r="G340" s="196"/>
      <c r="H340" s="342" t="s">
        <v>122</v>
      </c>
      <c r="I340" s="187">
        <f ca="1">IFERROR(__xludf.DUMMYFUNCTION("IMPORTRANGE(""https://docs.google.com/spreadsheets/d/11923uPwbBZFjjGgGUA6NLw09EwE0CqkOc4q9oUmW1yo/edit?usp=sharing"",""เชียงราย!I235"")"),3400)</f>
        <v>3400</v>
      </c>
      <c r="J340" s="187">
        <f ca="1">IFERROR(__xludf.DUMMYFUNCTION("IMPORTRANGE(""https://docs.google.com/spreadsheets/d/11923uPwbBZFjjGgGUA6NLw09EwE0CqkOc4q9oUmW1yo/edit?usp=sharing"",""เชียงราย!J235"")"),1149.65999999999)</f>
        <v>1149.6599999999901</v>
      </c>
      <c r="K340" s="340">
        <f t="shared" ca="1" si="103"/>
        <v>33.813529411764414</v>
      </c>
      <c r="L340" s="181"/>
      <c r="M340" s="181"/>
      <c r="N340" s="181"/>
      <c r="O340" s="341"/>
      <c r="P340" s="341"/>
    </row>
    <row r="341" spans="1:16" ht="21.75" customHeight="1" x14ac:dyDescent="0.3">
      <c r="A341" s="175"/>
      <c r="B341" s="289"/>
      <c r="C341" s="176"/>
      <c r="D341" s="195"/>
      <c r="E341" s="194" t="s">
        <v>123</v>
      </c>
      <c r="F341" s="195"/>
      <c r="G341" s="196"/>
      <c r="H341" s="180" t="s">
        <v>37</v>
      </c>
      <c r="I341" s="187">
        <f ca="1">IFERROR(__xludf.DUMMYFUNCTION("IMPORTRANGE(""https://docs.google.com/spreadsheets/d/11923uPwbBZFjjGgGUA6NLw09EwE0CqkOc4q9oUmW1yo/edit?usp=sharing"",""เชียงราย!I236"")"),680)</f>
        <v>680</v>
      </c>
      <c r="J341" s="187">
        <f ca="1">IFERROR(__xludf.DUMMYFUNCTION("IMPORTRANGE(""https://docs.google.com/spreadsheets/d/11923uPwbBZFjjGgGUA6NLw09EwE0CqkOc4q9oUmW1yo/edit?usp=sharing"",""เชียงราย!J236"")"),193)</f>
        <v>193</v>
      </c>
      <c r="K341" s="340">
        <f t="shared" ca="1" si="103"/>
        <v>28.382352941176471</v>
      </c>
      <c r="L341" s="181"/>
      <c r="M341" s="181"/>
      <c r="N341" s="181"/>
      <c r="O341" s="341"/>
      <c r="P341" s="341"/>
    </row>
    <row r="342" spans="1:16" ht="21.75" customHeight="1" x14ac:dyDescent="0.3">
      <c r="A342" s="175"/>
      <c r="B342" s="289"/>
      <c r="C342" s="176"/>
      <c r="D342" s="195"/>
      <c r="E342" s="195"/>
      <c r="F342" s="195"/>
      <c r="G342" s="196"/>
      <c r="H342" s="180" t="s">
        <v>122</v>
      </c>
      <c r="I342" s="343">
        <f ca="1">IFERROR(__xludf.DUMMYFUNCTION("IMPORTRANGE(""https://docs.google.com/spreadsheets/d/11923uPwbBZFjjGgGUA6NLw09EwE0CqkOc4q9oUmW1yo/edit?usp=sharing"",""เชียงราย!I237"")"),0)</f>
        <v>0</v>
      </c>
      <c r="J342" s="187">
        <f ca="1">IFERROR(__xludf.DUMMYFUNCTION("IMPORTRANGE(""https://docs.google.com/spreadsheets/d/11923uPwbBZFjjGgGUA6NLw09EwE0CqkOc4q9oUmW1yo/edit?usp=sharing"",""เชียงราย!J237"")"),1397.63)</f>
        <v>1397.63</v>
      </c>
      <c r="K342" s="340">
        <f t="shared" ca="1" si="103"/>
        <v>0</v>
      </c>
      <c r="L342" s="181"/>
      <c r="M342" s="181"/>
      <c r="N342" s="181"/>
      <c r="O342" s="341"/>
      <c r="P342" s="341"/>
    </row>
    <row r="343" spans="1:16" ht="21.75" customHeight="1" x14ac:dyDescent="0.3">
      <c r="A343" s="175"/>
      <c r="B343" s="289"/>
      <c r="C343" s="176"/>
      <c r="D343" s="195"/>
      <c r="E343" s="194" t="s">
        <v>124</v>
      </c>
      <c r="F343" s="195"/>
      <c r="G343" s="196"/>
      <c r="H343" s="180" t="s">
        <v>37</v>
      </c>
      <c r="I343" s="187">
        <f ca="1">IFERROR(__xludf.DUMMYFUNCTION("IMPORTRANGE(""https://docs.google.com/spreadsheets/d/11923uPwbBZFjjGgGUA6NLw09EwE0CqkOc4q9oUmW1yo/edit?usp=sharing"",""เชียงราย!I238"")"),680)</f>
        <v>680</v>
      </c>
      <c r="J343" s="187">
        <f ca="1">IFERROR(__xludf.DUMMYFUNCTION("IMPORTRANGE(""https://docs.google.com/spreadsheets/d/11923uPwbBZFjjGgGUA6NLw09EwE0CqkOc4q9oUmW1yo/edit?usp=sharing"",""เชียงราย!J238"")"),2)</f>
        <v>2</v>
      </c>
      <c r="K343" s="340">
        <f t="shared" ca="1" si="103"/>
        <v>0.29411764705882354</v>
      </c>
      <c r="L343" s="181"/>
      <c r="M343" s="181"/>
      <c r="N343" s="181"/>
      <c r="O343" s="341"/>
      <c r="P343" s="341"/>
    </row>
    <row r="344" spans="1:16" ht="21.75" customHeight="1" x14ac:dyDescent="0.3">
      <c r="A344" s="175"/>
      <c r="B344" s="289"/>
      <c r="C344" s="176"/>
      <c r="D344" s="195"/>
      <c r="E344" s="195"/>
      <c r="F344" s="195"/>
      <c r="G344" s="196"/>
      <c r="H344" s="180" t="s">
        <v>122</v>
      </c>
      <c r="I344" s="343">
        <f ca="1">IFERROR(__xludf.DUMMYFUNCTION("IMPORTRANGE(""https://docs.google.com/spreadsheets/d/11923uPwbBZFjjGgGUA6NLw09EwE0CqkOc4q9oUmW1yo/edit?usp=sharing"",""เชียงราย!I239"")"),0)</f>
        <v>0</v>
      </c>
      <c r="J344" s="187">
        <f ca="1">IFERROR(__xludf.DUMMYFUNCTION("IMPORTRANGE(""https://docs.google.com/spreadsheets/d/11923uPwbBZFjjGgGUA6NLw09EwE0CqkOc4q9oUmW1yo/edit?usp=sharing"",""เชียงราย!J239"")"),9.23)</f>
        <v>9.23</v>
      </c>
      <c r="K344" s="340">
        <f t="shared" ca="1" si="103"/>
        <v>0</v>
      </c>
      <c r="L344" s="181"/>
      <c r="M344" s="181"/>
      <c r="N344" s="181"/>
      <c r="O344" s="341"/>
      <c r="P344" s="341"/>
    </row>
    <row r="345" spans="1:16" ht="21.75" customHeight="1" x14ac:dyDescent="0.3">
      <c r="A345" s="175"/>
      <c r="B345" s="289"/>
      <c r="C345" s="176"/>
      <c r="D345" s="195"/>
      <c r="E345" s="194" t="s">
        <v>125</v>
      </c>
      <c r="F345" s="195"/>
      <c r="G345" s="196"/>
      <c r="H345" s="180" t="s">
        <v>37</v>
      </c>
      <c r="I345" s="187">
        <f ca="1">IFERROR(__xludf.DUMMYFUNCTION("IMPORTRANGE(""https://docs.google.com/spreadsheets/d/11923uPwbBZFjjGgGUA6NLw09EwE0CqkOc4q9oUmW1yo/edit?usp=sharing"",""เชียงราย!I240"")"),680)</f>
        <v>680</v>
      </c>
      <c r="J345" s="187">
        <f ca="1">IFERROR(__xludf.DUMMYFUNCTION("IMPORTRANGE(""https://docs.google.com/spreadsheets/d/11923uPwbBZFjjGgGUA6NLw09EwE0CqkOc4q9oUmW1yo/edit?usp=sharing"",""เชียงราย!J240"")"),75)</f>
        <v>75</v>
      </c>
      <c r="K345" s="340">
        <f t="shared" ca="1" si="103"/>
        <v>11.029411764705882</v>
      </c>
      <c r="L345" s="181"/>
      <c r="M345" s="181"/>
      <c r="N345" s="181"/>
      <c r="O345" s="341"/>
      <c r="P345" s="341"/>
    </row>
    <row r="346" spans="1:16" ht="21.75" customHeight="1" x14ac:dyDescent="0.3">
      <c r="A346" s="233"/>
      <c r="B346" s="344"/>
      <c r="C346" s="234"/>
      <c r="D346" s="344"/>
      <c r="E346" s="345"/>
      <c r="F346" s="345"/>
      <c r="G346" s="346"/>
      <c r="H346" s="347" t="s">
        <v>122</v>
      </c>
      <c r="I346" s="348">
        <f ca="1">IFERROR(__xludf.DUMMYFUNCTION("IMPORTRANGE(""https://docs.google.com/spreadsheets/d/11923uPwbBZFjjGgGUA6NLw09EwE0CqkOc4q9oUmW1yo/edit?usp=sharing"",""เชียงราย!I241"")"),0)</f>
        <v>0</v>
      </c>
      <c r="J346" s="187">
        <f ca="1">IFERROR(__xludf.DUMMYFUNCTION("IMPORTRANGE(""https://docs.google.com/spreadsheets/d/11923uPwbBZFjjGgGUA6NLw09EwE0CqkOc4q9oUmW1yo/edit?usp=sharing"",""เชียงราย!J241"")"),626.56)</f>
        <v>626.55999999999995</v>
      </c>
      <c r="K346" s="349">
        <f t="shared" ca="1" si="103"/>
        <v>0</v>
      </c>
      <c r="L346" s="244"/>
      <c r="M346" s="244"/>
      <c r="N346" s="244"/>
      <c r="O346" s="350"/>
      <c r="P346" s="350"/>
    </row>
    <row r="347" spans="1:16" ht="21.75" customHeight="1" x14ac:dyDescent="0.3">
      <c r="A347" s="351" t="s">
        <v>126</v>
      </c>
      <c r="B347" s="352"/>
      <c r="C347" s="352"/>
      <c r="D347" s="352"/>
      <c r="E347" s="352"/>
      <c r="F347" s="352"/>
      <c r="G347" s="353"/>
      <c r="H347" s="354"/>
      <c r="I347" s="355"/>
      <c r="J347" s="355"/>
      <c r="K347" s="356"/>
      <c r="L347" s="356">
        <f ca="1">IFERROR(__xludf.DUMMYFUNCTION("IMPORTRANGE(""https://docs.google.com/spreadsheets/d/11923uPwbBZFjjGgGUA6NLw09EwE0CqkOc4q9oUmW1yo/edit?usp=sharing"",""เชียงราย!L242"")"),2434919)</f>
        <v>2434919</v>
      </c>
      <c r="M347" s="356"/>
      <c r="N347" s="356">
        <f ca="1">IFERROR(__xludf.DUMMYFUNCTION("IMPORTRANGE(""https://docs.google.com/spreadsheets/d/11923uPwbBZFjjGgGUA6NLw09EwE0CqkOc4q9oUmW1yo/edit?usp=sharing"",""เชียงราย!M242"")"),478980)</f>
        <v>478980</v>
      </c>
      <c r="O347" s="356">
        <f ca="1">+IF(L347&gt;0,N347*100/L347,0)</f>
        <v>19.671290913578645</v>
      </c>
      <c r="P347" s="356"/>
    </row>
    <row r="348" spans="1:16" ht="21.75" customHeight="1" x14ac:dyDescent="0.3">
      <c r="A348" s="357" t="s">
        <v>127</v>
      </c>
      <c r="B348" s="358"/>
      <c r="C348" s="358"/>
      <c r="D348" s="358"/>
      <c r="E348" s="358"/>
      <c r="F348" s="358"/>
      <c r="G348" s="359"/>
      <c r="H348" s="360"/>
      <c r="I348" s="361"/>
      <c r="J348" s="361"/>
      <c r="K348" s="362"/>
      <c r="L348" s="362"/>
      <c r="M348" s="362"/>
      <c r="N348" s="362"/>
      <c r="O348" s="363"/>
      <c r="P348" s="363"/>
    </row>
    <row r="349" spans="1:16" ht="21.75" customHeight="1" x14ac:dyDescent="0.3">
      <c r="A349" s="364"/>
      <c r="B349" s="365">
        <v>1</v>
      </c>
      <c r="C349" s="366" t="s">
        <v>128</v>
      </c>
      <c r="D349" s="366"/>
      <c r="E349" s="366"/>
      <c r="F349" s="366"/>
      <c r="G349" s="367"/>
      <c r="H349" s="368" t="s">
        <v>122</v>
      </c>
      <c r="I349" s="369">
        <f ca="1">IFERROR(__xludf.DUMMYFUNCTION("IMPORTRANGE(""https://docs.google.com/spreadsheets/d/11923uPwbBZFjjGgGUA6NLw09EwE0CqkOc4q9oUmW1yo/edit?usp=sharing"",""เชียงราย!I244"")"),200)</f>
        <v>200</v>
      </c>
      <c r="J349" s="369">
        <f ca="1">IFERROR(__xludf.DUMMYFUNCTION("IMPORTRANGE(""https://docs.google.com/spreadsheets/d/11923uPwbBZFjjGgGUA6NLw09EwE0CqkOc4q9oUmW1yo/edit?usp=sharing"",""เชียงราย!J244"")"),0)</f>
        <v>0</v>
      </c>
      <c r="K349" s="370">
        <f t="shared" ref="K349:K350" ca="1" si="104">IF(I349&gt;0,J349*100/I349,0)</f>
        <v>0</v>
      </c>
      <c r="L349" s="371">
        <f ca="1">IFERROR(__xludf.DUMMYFUNCTION("IMPORTRANGE(""https://docs.google.com/spreadsheets/d/11923uPwbBZFjjGgGUA6NLw09EwE0CqkOc4q9oUmW1yo/edit?usp=sharing"",""เชียงราย!L244"")"),532200)</f>
        <v>532200</v>
      </c>
      <c r="M349" s="371"/>
      <c r="N349" s="371">
        <f ca="1">IFERROR(__xludf.DUMMYFUNCTION("IMPORTRANGE(""https://docs.google.com/spreadsheets/d/11923uPwbBZFjjGgGUA6NLw09EwE0CqkOc4q9oUmW1yo/edit?usp=sharing"",""เชียงราย!M244"")"),50485)</f>
        <v>50485</v>
      </c>
      <c r="O349" s="371">
        <f ca="1">+IF(L349&gt;0,N349*100/L349,0)</f>
        <v>9.4860954528372794</v>
      </c>
      <c r="P349" s="371"/>
    </row>
    <row r="350" spans="1:16" ht="21.75" customHeight="1" x14ac:dyDescent="0.3">
      <c r="A350" s="364"/>
      <c r="B350" s="365"/>
      <c r="C350" s="366"/>
      <c r="D350" s="366"/>
      <c r="E350" s="366"/>
      <c r="F350" s="366"/>
      <c r="G350" s="367"/>
      <c r="H350" s="368" t="s">
        <v>37</v>
      </c>
      <c r="I350" s="369">
        <f ca="1">IFERROR(__xludf.DUMMYFUNCTION("IMPORTRANGE(""https://docs.google.com/spreadsheets/d/11923uPwbBZFjjGgGUA6NLw09EwE0CqkOc4q9oUmW1yo/edit?usp=sharing"",""เชียงราย!I245"")"),100)</f>
        <v>100</v>
      </c>
      <c r="J350" s="369">
        <f ca="1">IFERROR(__xludf.DUMMYFUNCTION("IMPORTRANGE(""https://docs.google.com/spreadsheets/d/11923uPwbBZFjjGgGUA6NLw09EwE0CqkOc4q9oUmW1yo/edit?usp=sharing"",""เชียงราย!J245"")"),0)</f>
        <v>0</v>
      </c>
      <c r="K350" s="370">
        <f t="shared" ca="1" si="104"/>
        <v>0</v>
      </c>
      <c r="L350" s="371"/>
      <c r="M350" s="371"/>
      <c r="N350" s="371"/>
      <c r="O350" s="371"/>
      <c r="P350" s="371"/>
    </row>
    <row r="351" spans="1:16" ht="21.75" customHeight="1" x14ac:dyDescent="0.3">
      <c r="A351" s="156"/>
      <c r="B351" s="157"/>
      <c r="C351" s="157" t="s">
        <v>16</v>
      </c>
      <c r="D351" s="158" t="s">
        <v>38</v>
      </c>
      <c r="E351" s="159"/>
      <c r="F351" s="159"/>
      <c r="G351" s="160" t="s">
        <v>39</v>
      </c>
      <c r="H351" s="161" t="s">
        <v>12</v>
      </c>
      <c r="I351" s="162" t="s">
        <v>40</v>
      </c>
      <c r="J351" s="162"/>
      <c r="K351" s="163"/>
      <c r="L351" s="164">
        <f ca="1">IFERROR(__xludf.DUMMYFUNCTION("IMPORTRANGE(""https://docs.google.com/spreadsheets/d/11923uPwbBZFjjGgGUA6NLw09EwE0CqkOc4q9oUmW1yo/edit?usp=sharing"",""เชียงราย!L246"")"),0)</f>
        <v>0</v>
      </c>
      <c r="M351" s="164"/>
      <c r="N351" s="164">
        <f ca="1">IFERROR(__xludf.DUMMYFUNCTION("IMPORTRANGE(""https://docs.google.com/spreadsheets/d/11923uPwbBZFjjGgGUA6NLw09EwE0CqkOc4q9oUmW1yo/edit?usp=sharing"",""เชียงราย!M246"")"),0)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3">
      <c r="A352" s="156"/>
      <c r="B352" s="157"/>
      <c r="C352" s="157"/>
      <c r="D352" s="166"/>
      <c r="E352" s="159"/>
      <c r="F352" s="159" t="s">
        <v>40</v>
      </c>
      <c r="G352" s="160" t="s">
        <v>41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IFERROR(__xludf.DUMMYFUNCTION("IMPORTRANGE(""https://docs.google.com/spreadsheets/d/11923uPwbBZFjjGgGUA6NLw09EwE0CqkOc4q9oUmW1yo/edit?usp=sharing"",""เชียงราย!L247"")"),532200)</f>
        <v>532200</v>
      </c>
      <c r="M352" s="165"/>
      <c r="N352" s="164">
        <f ca="1">IFERROR(__xludf.DUMMYFUNCTION("IMPORTRANGE(""https://docs.google.com/spreadsheets/d/11923uPwbBZFjjGgGUA6NLw09EwE0CqkOc4q9oUmW1yo/edit?usp=sharing"",""เชียงราย!M247"")"),50485)</f>
        <v>50485</v>
      </c>
      <c r="O352" s="165">
        <f t="shared" ca="1" si="105"/>
        <v>9.4860954528372794</v>
      </c>
      <c r="P352" s="165"/>
    </row>
    <row r="353" spans="1:16" ht="21.75" customHeight="1" x14ac:dyDescent="0.3">
      <c r="A353" s="156"/>
      <c r="B353" s="157"/>
      <c r="C353" s="157"/>
      <c r="D353" s="166"/>
      <c r="E353" s="159"/>
      <c r="F353" s="159"/>
      <c r="G353" s="372" t="s">
        <v>129</v>
      </c>
      <c r="H353" s="161" t="s">
        <v>12</v>
      </c>
      <c r="I353" s="162"/>
      <c r="J353" s="162"/>
      <c r="K353" s="163"/>
      <c r="L353" s="168">
        <f ca="1">IFERROR(__xludf.DUMMYFUNCTION("IMPORTRANGE(""https://docs.google.com/spreadsheets/d/11923uPwbBZFjjGgGUA6NLw09EwE0CqkOc4q9oUmW1yo/edit?usp=sharing"",""เชียงราย!L248"")"),0)</f>
        <v>0</v>
      </c>
      <c r="M353" s="168"/>
      <c r="N353" s="168">
        <f ca="1">IFERROR(__xludf.DUMMYFUNCTION("IMPORTRANGE(""https://docs.google.com/spreadsheets/d/11923uPwbBZFjjGgGUA6NLw09EwE0CqkOc4q9oUmW1yo/edit?usp=sharing"",""เชียงราย!M248"")"),0)</f>
        <v>0</v>
      </c>
      <c r="O353" s="168">
        <f t="shared" ca="1" si="105"/>
        <v>0</v>
      </c>
      <c r="P353" s="168"/>
    </row>
    <row r="354" spans="1:16" ht="21.75" customHeight="1" x14ac:dyDescent="0.3">
      <c r="A354" s="156"/>
      <c r="B354" s="157"/>
      <c r="C354" s="157"/>
      <c r="D354" s="166"/>
      <c r="E354" s="159"/>
      <c r="F354" s="159"/>
      <c r="G354" s="372" t="s">
        <v>130</v>
      </c>
      <c r="H354" s="161" t="s">
        <v>12</v>
      </c>
      <c r="I354" s="162"/>
      <c r="J354" s="162"/>
      <c r="K354" s="163"/>
      <c r="L354" s="168">
        <f ca="1">IFERROR(__xludf.DUMMYFUNCTION("IMPORTRANGE(""https://docs.google.com/spreadsheets/d/11923uPwbBZFjjGgGUA6NLw09EwE0CqkOc4q9oUmW1yo/edit?usp=sharing"",""เชียงราย!L249"")"),532200)</f>
        <v>532200</v>
      </c>
      <c r="M354" s="168"/>
      <c r="N354" s="167">
        <f ca="1">IFERROR(__xludf.DUMMYFUNCTION("IMPORTRANGE(""https://docs.google.com/spreadsheets/d/11923uPwbBZFjjGgGUA6NLw09EwE0CqkOc4q9oUmW1yo/edit?usp=sharing"",""เชียงราย!M249"")"),50485)</f>
        <v>50485</v>
      </c>
      <c r="O354" s="168">
        <f t="shared" ca="1" si="105"/>
        <v>9.4860954528372794</v>
      </c>
      <c r="P354" s="168"/>
    </row>
    <row r="355" spans="1:16" ht="21.75" customHeight="1" x14ac:dyDescent="0.3">
      <c r="A355" s="373"/>
      <c r="B355" s="374"/>
      <c r="C355" s="157"/>
      <c r="D355" s="375"/>
      <c r="E355" s="159"/>
      <c r="F355" s="159"/>
      <c r="G355" s="376" t="s">
        <v>131</v>
      </c>
      <c r="H355" s="161" t="s">
        <v>12</v>
      </c>
      <c r="I355" s="187"/>
      <c r="J355" s="187"/>
      <c r="K355" s="223"/>
      <c r="L355" s="168"/>
      <c r="M355" s="168"/>
      <c r="N355" s="377">
        <f ca="1">IFERROR(__xludf.DUMMYFUNCTION("IMPORTRANGE(""https://docs.google.com/spreadsheets/d/11923uPwbBZFjjGgGUA6NLw09EwE0CqkOc4q9oUmW1yo/edit?usp=sharing"",""เชียงราย!M250"")"),0)</f>
        <v>0</v>
      </c>
      <c r="O355" s="168"/>
      <c r="P355" s="168"/>
    </row>
    <row r="356" spans="1:16" ht="21.75" customHeight="1" x14ac:dyDescent="0.3">
      <c r="A356" s="373"/>
      <c r="B356" s="374"/>
      <c r="C356" s="157"/>
      <c r="D356" s="375"/>
      <c r="E356" s="159"/>
      <c r="F356" s="159"/>
      <c r="G356" s="376" t="s">
        <v>132</v>
      </c>
      <c r="H356" s="161" t="s">
        <v>12</v>
      </c>
      <c r="I356" s="187"/>
      <c r="J356" s="187"/>
      <c r="K356" s="223"/>
      <c r="L356" s="168"/>
      <c r="M356" s="168"/>
      <c r="N356" s="377">
        <f ca="1">IFERROR(__xludf.DUMMYFUNCTION("IMPORTRANGE(""https://docs.google.com/spreadsheets/d/11923uPwbBZFjjGgGUA6NLw09EwE0CqkOc4q9oUmW1yo/edit?usp=sharing"",""เชียงราย!M251"")"),0)</f>
        <v>0</v>
      </c>
      <c r="O356" s="168"/>
      <c r="P356" s="168"/>
    </row>
    <row r="357" spans="1:16" ht="21.75" customHeight="1" x14ac:dyDescent="0.3">
      <c r="A357" s="373"/>
      <c r="B357" s="374"/>
      <c r="C357" s="157"/>
      <c r="D357" s="375"/>
      <c r="E357" s="159"/>
      <c r="F357" s="159"/>
      <c r="G357" s="376" t="s">
        <v>133</v>
      </c>
      <c r="H357" s="161" t="s">
        <v>12</v>
      </c>
      <c r="I357" s="187"/>
      <c r="J357" s="187"/>
      <c r="K357" s="223"/>
      <c r="L357" s="168"/>
      <c r="M357" s="168"/>
      <c r="N357" s="377">
        <f ca="1">IFERROR(__xludf.DUMMYFUNCTION("IMPORTRANGE(""https://docs.google.com/spreadsheets/d/11923uPwbBZFjjGgGUA6NLw09EwE0CqkOc4q9oUmW1yo/edit?usp=sharing"",""เชียงราย!M252"")"),42000)</f>
        <v>42000</v>
      </c>
      <c r="O357" s="168"/>
      <c r="P357" s="168"/>
    </row>
    <row r="358" spans="1:16" ht="21.75" customHeight="1" x14ac:dyDescent="0.3">
      <c r="A358" s="373"/>
      <c r="B358" s="374"/>
      <c r="C358" s="157"/>
      <c r="D358" s="375"/>
      <c r="E358" s="159"/>
      <c r="F358" s="159"/>
      <c r="G358" s="376" t="s">
        <v>134</v>
      </c>
      <c r="H358" s="161" t="s">
        <v>12</v>
      </c>
      <c r="I358" s="187"/>
      <c r="J358" s="187"/>
      <c r="K358" s="223"/>
      <c r="L358" s="168"/>
      <c r="M358" s="168"/>
      <c r="N358" s="377">
        <f ca="1">IFERROR(__xludf.DUMMYFUNCTION("IMPORTRANGE(""https://docs.google.com/spreadsheets/d/11923uPwbBZFjjGgGUA6NLw09EwE0CqkOc4q9oUmW1yo/edit?usp=sharing"",""เชียงราย!M253"")"),8485)</f>
        <v>8485</v>
      </c>
      <c r="O358" s="168"/>
      <c r="P358" s="168"/>
    </row>
    <row r="359" spans="1:16" ht="21.75" customHeight="1" x14ac:dyDescent="0.3">
      <c r="A359" s="175"/>
      <c r="B359" s="176"/>
      <c r="C359" s="157" t="s">
        <v>16</v>
      </c>
      <c r="D359" s="177" t="s">
        <v>44</v>
      </c>
      <c r="E359" s="178"/>
      <c r="F359" s="178"/>
      <c r="G359" s="179"/>
      <c r="H359" s="180"/>
      <c r="I359" s="162"/>
      <c r="J359" s="162"/>
      <c r="K359" s="163"/>
      <c r="L359" s="181"/>
      <c r="M359" s="181"/>
      <c r="N359" s="181"/>
      <c r="O359" s="181"/>
      <c r="P359" s="181"/>
    </row>
    <row r="360" spans="1:16" ht="21.75" customHeight="1" x14ac:dyDescent="0.3">
      <c r="A360" s="175"/>
      <c r="B360" s="176"/>
      <c r="C360" s="176"/>
      <c r="D360" s="182">
        <v>1</v>
      </c>
      <c r="E360" s="183" t="s">
        <v>45</v>
      </c>
      <c r="F360" s="184"/>
      <c r="G360" s="185"/>
      <c r="H360" s="186"/>
      <c r="I360" s="187"/>
      <c r="J360" s="197">
        <f ca="1">IFERROR(__xludf.DUMMYFUNCTION("IMPORTRANGE(""https://docs.google.com/spreadsheets/d/11923uPwbBZFjjGgGUA6NLw09EwE0CqkOc4q9oUmW1yo/edit?usp=sharing"",""เชียงราย!J255"")"),0)</f>
        <v>0</v>
      </c>
      <c r="K360" s="163"/>
      <c r="L360" s="181"/>
      <c r="M360" s="181"/>
      <c r="N360" s="181"/>
      <c r="O360" s="181"/>
      <c r="P360" s="181"/>
    </row>
    <row r="361" spans="1:16" ht="21.75" customHeight="1" x14ac:dyDescent="0.3">
      <c r="A361" s="175"/>
      <c r="B361" s="176"/>
      <c r="C361" s="176"/>
      <c r="D361" s="189">
        <v>2</v>
      </c>
      <c r="E361" s="190" t="s">
        <v>46</v>
      </c>
      <c r="F361" s="191"/>
      <c r="G361" s="192"/>
      <c r="H361" s="186"/>
      <c r="I361" s="187"/>
      <c r="J361" s="188">
        <f ca="1">IFERROR(__xludf.DUMMYFUNCTION("IMPORTRANGE(""https://docs.google.com/spreadsheets/d/11923uPwbBZFjjGgGUA6NLw09EwE0CqkOc4q9oUmW1yo/edit?usp=sharing"",""เชียงราย!J256"")"),1)</f>
        <v>1</v>
      </c>
      <c r="K361" s="163"/>
      <c r="L361" s="181" t="s">
        <v>40</v>
      </c>
      <c r="M361" s="181"/>
      <c r="N361" s="181" t="s">
        <v>40</v>
      </c>
      <c r="O361" s="181"/>
      <c r="P361" s="181"/>
    </row>
    <row r="362" spans="1:16" ht="21.75" customHeight="1" x14ac:dyDescent="0.3">
      <c r="A362" s="175"/>
      <c r="B362" s="176"/>
      <c r="C362" s="176"/>
      <c r="D362" s="193"/>
      <c r="E362" s="194" t="s">
        <v>47</v>
      </c>
      <c r="F362" s="195"/>
      <c r="G362" s="196"/>
      <c r="H362" s="186"/>
      <c r="I362" s="187"/>
      <c r="J362" s="188">
        <f ca="1">IFERROR(__xludf.DUMMYFUNCTION("IMPORTRANGE(""https://docs.google.com/spreadsheets/d/11923uPwbBZFjjGgGUA6NLw09EwE0CqkOc4q9oUmW1yo/edit?usp=sharing"",""เชียงราย!J257"")"),1)</f>
        <v>1</v>
      </c>
      <c r="K362" s="163"/>
      <c r="L362" s="181"/>
      <c r="M362" s="181"/>
      <c r="N362" s="181"/>
      <c r="O362" s="181"/>
      <c r="P362" s="181"/>
    </row>
    <row r="363" spans="1:16" ht="21.75" customHeight="1" x14ac:dyDescent="0.3">
      <c r="A363" s="175"/>
      <c r="B363" s="176"/>
      <c r="C363" s="176"/>
      <c r="D363" s="193"/>
      <c r="E363" s="194" t="s">
        <v>48</v>
      </c>
      <c r="F363" s="195"/>
      <c r="G363" s="196"/>
      <c r="H363" s="186"/>
      <c r="I363" s="187"/>
      <c r="J363" s="197">
        <f ca="1">IFERROR(__xludf.DUMMYFUNCTION("IMPORTRANGE(""https://docs.google.com/spreadsheets/d/11923uPwbBZFjjGgGUA6NLw09EwE0CqkOc4q9oUmW1yo/edit?usp=sharing"",""เชียงราย!J258"")"),1)</f>
        <v>1</v>
      </c>
      <c r="K363" s="163"/>
      <c r="L363" s="181"/>
      <c r="M363" s="181"/>
      <c r="N363" s="181"/>
      <c r="O363" s="181"/>
      <c r="P363" s="181"/>
    </row>
    <row r="364" spans="1:16" ht="21.75" hidden="1" customHeight="1" x14ac:dyDescent="0.3">
      <c r="A364" s="175"/>
      <c r="B364" s="176"/>
      <c r="C364" s="176"/>
      <c r="D364" s="193"/>
      <c r="E364" s="198"/>
      <c r="F364" s="194" t="s">
        <v>70</v>
      </c>
      <c r="G364" s="196"/>
      <c r="H364" s="180"/>
      <c r="I364" s="187"/>
      <c r="J364" s="187">
        <f ca="1">IFERROR(__xludf.DUMMYFUNCTION("IMPORTRANGE(""https://docs.google.com/spreadsheets/d/11923uPwbBZFjjGgGUA6NLw09EwE0CqkOc4q9oUmW1yo/edit?usp=sharing"",""เชียงราย!J166"")"),0)</f>
        <v>0</v>
      </c>
      <c r="K364" s="163"/>
      <c r="L364" s="181"/>
      <c r="M364" s="181"/>
      <c r="N364" s="181"/>
      <c r="O364" s="181"/>
      <c r="P364" s="181"/>
    </row>
    <row r="365" spans="1:16" ht="21.75" hidden="1" customHeight="1" x14ac:dyDescent="0.3">
      <c r="A365" s="175"/>
      <c r="B365" s="176"/>
      <c r="C365" s="176"/>
      <c r="D365" s="193"/>
      <c r="E365" s="198"/>
      <c r="F365" s="195"/>
      <c r="G365" s="225" t="s">
        <v>135</v>
      </c>
      <c r="H365" s="180" t="s">
        <v>37</v>
      </c>
      <c r="I365" s="187">
        <f ca="1">IFERROR(__xludf.DUMMYFUNCTION("IMPORTRANGE(""https://docs.google.com/spreadsheets/d/1C3CXT74ZlgGe6_JY_1olB1XN4rF0dxEuIIF-xsYjHgg/edit?usp=sharing"",""งบกองทุน!f63"")"),0)</f>
        <v>0</v>
      </c>
      <c r="J365" s="187">
        <f ca="1">IFERROR(__xludf.DUMMYFUNCTION("IMPORTRANGE(""https://docs.google.com/spreadsheets/d/11923uPwbBZFjjGgGUA6NLw09EwE0CqkOc4q9oUmW1yo/edit?usp=sharing"",""เชียงราย!J166"")"),0)</f>
        <v>0</v>
      </c>
      <c r="K365" s="163">
        <f ca="1">IF(I365&gt;0,J365*100/I365,0)</f>
        <v>0</v>
      </c>
      <c r="L365" s="181"/>
      <c r="M365" s="181"/>
      <c r="N365" s="181"/>
      <c r="O365" s="181"/>
      <c r="P365" s="181"/>
    </row>
    <row r="366" spans="1:16" ht="21.75" hidden="1" customHeight="1" x14ac:dyDescent="0.3">
      <c r="A366" s="175"/>
      <c r="B366" s="176"/>
      <c r="C366" s="176"/>
      <c r="D366" s="193"/>
      <c r="E366" s="198"/>
      <c r="F366" s="195"/>
      <c r="G366" s="196" t="s">
        <v>136</v>
      </c>
      <c r="H366" s="180"/>
      <c r="I366" s="162"/>
      <c r="J366" s="187">
        <f ca="1">IFERROR(__xludf.DUMMYFUNCTION("IMPORTRANGE(""https://docs.google.com/spreadsheets/d/11923uPwbBZFjjGgGUA6NLw09EwE0CqkOc4q9oUmW1yo/edit?usp=sharing"",""เชียงราย!J166"")"),0)</f>
        <v>0</v>
      </c>
      <c r="K366" s="163"/>
      <c r="L366" s="181"/>
      <c r="M366" s="181"/>
      <c r="N366" s="181"/>
      <c r="O366" s="181"/>
      <c r="P366" s="181"/>
    </row>
    <row r="367" spans="1:16" ht="21.75" hidden="1" customHeight="1" x14ac:dyDescent="0.3">
      <c r="A367" s="175"/>
      <c r="B367" s="176"/>
      <c r="C367" s="176"/>
      <c r="D367" s="193"/>
      <c r="E367" s="198"/>
      <c r="F367" s="195"/>
      <c r="G367" s="225" t="s">
        <v>137</v>
      </c>
      <c r="H367" s="186" t="s">
        <v>122</v>
      </c>
      <c r="I367" s="187">
        <f ca="1">SUM(I369,I371)</f>
        <v>0</v>
      </c>
      <c r="J367" s="187">
        <f ca="1">IFERROR(__xludf.DUMMYFUNCTION("IMPORTRANGE(""https://docs.google.com/spreadsheets/d/11923uPwbBZFjjGgGUA6NLw09EwE0CqkOc4q9oUmW1yo/edit?usp=sharing"",""เชียงราย!J166"")"),0)</f>
        <v>0</v>
      </c>
      <c r="K367" s="163">
        <f t="shared" ref="K367:K373" ca="1" si="106">IF(I367&gt;0,J367*100/I367,0)</f>
        <v>0</v>
      </c>
      <c r="L367" s="181"/>
      <c r="M367" s="181"/>
      <c r="N367" s="181"/>
      <c r="O367" s="181"/>
      <c r="P367" s="181"/>
    </row>
    <row r="368" spans="1:16" ht="21.75" customHeight="1" x14ac:dyDescent="0.3">
      <c r="A368" s="175"/>
      <c r="B368" s="176"/>
      <c r="C368" s="176"/>
      <c r="D368" s="193"/>
      <c r="E368" s="198"/>
      <c r="F368" s="378" t="s">
        <v>138</v>
      </c>
      <c r="G368" s="379"/>
      <c r="H368" s="186" t="s">
        <v>37</v>
      </c>
      <c r="I368" s="162">
        <f ca="1">IFERROR(__xludf.DUMMYFUNCTION("IMPORTRANGE(""https://docs.google.com/spreadsheets/d/11923uPwbBZFjjGgGUA6NLw09EwE0CqkOc4q9oUmW1yo/edit?usp=sharing"",""เชียงราย!I263"")"),100)</f>
        <v>100</v>
      </c>
      <c r="J368" s="187">
        <f ca="1">IFERROR(__xludf.DUMMYFUNCTION("IMPORTRANGE(""https://docs.google.com/spreadsheets/d/11923uPwbBZFjjGgGUA6NLw09EwE0CqkOc4q9oUmW1yo/edit?usp=sharing"",""เชียงราย!J263"")"),0)</f>
        <v>0</v>
      </c>
      <c r="K368" s="163">
        <f t="shared" ca="1" si="106"/>
        <v>0</v>
      </c>
      <c r="L368" s="181"/>
      <c r="M368" s="181"/>
      <c r="N368" s="181"/>
      <c r="O368" s="181"/>
      <c r="P368" s="181"/>
    </row>
    <row r="369" spans="1:16" ht="21.75" hidden="1" customHeight="1" x14ac:dyDescent="0.3">
      <c r="A369" s="175"/>
      <c r="B369" s="176"/>
      <c r="C369" s="176"/>
      <c r="D369" s="193"/>
      <c r="E369" s="198"/>
      <c r="F369" s="195"/>
      <c r="G369" s="379"/>
      <c r="H369" s="180" t="s">
        <v>122</v>
      </c>
      <c r="I369" s="162">
        <f ca="1">IFERROR(__xludf.DUMMYFUNCTION("IMPORTRANGE(""https://docs.google.com/spreadsheets/d/11923uPwbBZFjjGgGUA6NLw09EwE0CqkOc4q9oUmW1yo/edit?usp=sharing"",""เชียงราย!I164"")"),0)</f>
        <v>0</v>
      </c>
      <c r="J369" s="203">
        <f ca="1">IFERROR(__xludf.DUMMYFUNCTION("IMPORTRANGE(""https://docs.google.com/spreadsheets/d/11923uPwbBZFjjGgGUA6NLw09EwE0CqkOc4q9oUmW1yo/edit?usp=sharing"",""เชียงราย!J164"")"),0)</f>
        <v>0</v>
      </c>
      <c r="K369" s="163">
        <f t="shared" ca="1" si="106"/>
        <v>0</v>
      </c>
      <c r="L369" s="181"/>
      <c r="M369" s="181"/>
      <c r="N369" s="181"/>
      <c r="O369" s="181"/>
      <c r="P369" s="181"/>
    </row>
    <row r="370" spans="1:16" ht="21.75" customHeight="1" x14ac:dyDescent="0.3">
      <c r="A370" s="175"/>
      <c r="B370" s="176"/>
      <c r="C370" s="176"/>
      <c r="D370" s="193"/>
      <c r="E370" s="198"/>
      <c r="F370" s="195"/>
      <c r="G370" s="378" t="s">
        <v>139</v>
      </c>
      <c r="H370" s="180" t="s">
        <v>37</v>
      </c>
      <c r="I370" s="162">
        <f ca="1">IFERROR(__xludf.DUMMYFUNCTION("IMPORTRANGE(""https://docs.google.com/spreadsheets/d/11923uPwbBZFjjGgGUA6NLw09EwE0CqkOc4q9oUmW1yo/edit?usp=sharing"",""เชียงราย!I265"")"),100)</f>
        <v>100</v>
      </c>
      <c r="J370" s="203">
        <f ca="1">IFERROR(__xludf.DUMMYFUNCTION("IMPORTRANGE(""https://docs.google.com/spreadsheets/d/11923uPwbBZFjjGgGUA6NLw09EwE0CqkOc4q9oUmW1yo/edit?usp=sharing"",""เชียงราย!J265"")"),50)</f>
        <v>50</v>
      </c>
      <c r="K370" s="163">
        <f t="shared" ca="1" si="106"/>
        <v>50</v>
      </c>
      <c r="L370" s="181"/>
      <c r="M370" s="181"/>
      <c r="N370" s="181"/>
      <c r="O370" s="181"/>
      <c r="P370" s="181"/>
    </row>
    <row r="371" spans="1:16" ht="21.75" hidden="1" customHeight="1" x14ac:dyDescent="0.3">
      <c r="A371" s="175"/>
      <c r="B371" s="176"/>
      <c r="C371" s="176"/>
      <c r="D371" s="193"/>
      <c r="E371" s="198"/>
      <c r="F371" s="195"/>
      <c r="G371" s="379"/>
      <c r="H371" s="180" t="s">
        <v>122</v>
      </c>
      <c r="I371" s="162">
        <f ca="1">IFERROR(__xludf.DUMMYFUNCTION("IMPORTRANGE(""https://docs.google.com/spreadsheets/d/11923uPwbBZFjjGgGUA6NLw09EwE0CqkOc4q9oUmW1yo/edit?usp=sharing"",""เชียงราย!I164"")"),0)</f>
        <v>0</v>
      </c>
      <c r="J371" s="188">
        <f ca="1">IFERROR(__xludf.DUMMYFUNCTION("IMPORTRANGE(""https://docs.google.com/spreadsheets/d/11923uPwbBZFjjGgGUA6NLw09EwE0CqkOc4q9oUmW1yo/edit?usp=sharing"",""เชียงราย!J164"")"),0)</f>
        <v>0</v>
      </c>
      <c r="K371" s="163">
        <f t="shared" ca="1" si="106"/>
        <v>0</v>
      </c>
      <c r="L371" s="181"/>
      <c r="M371" s="181"/>
      <c r="N371" s="181"/>
      <c r="O371" s="181"/>
      <c r="P371" s="181"/>
    </row>
    <row r="372" spans="1:16" ht="21.75" customHeight="1" x14ac:dyDescent="0.3">
      <c r="A372" s="175"/>
      <c r="B372" s="176"/>
      <c r="C372" s="176"/>
      <c r="D372" s="193"/>
      <c r="E372" s="198"/>
      <c r="F372" s="195"/>
      <c r="G372" s="378" t="s">
        <v>140</v>
      </c>
      <c r="H372" s="180" t="s">
        <v>37</v>
      </c>
      <c r="I372" s="162">
        <f ca="1">IFERROR(__xludf.DUMMYFUNCTION("IMPORTRANGE(""https://docs.google.com/spreadsheets/d/11923uPwbBZFjjGgGUA6NLw09EwE0CqkOc4q9oUmW1yo/edit?usp=sharing"",""เชียงราย!I267"")"),100)</f>
        <v>100</v>
      </c>
      <c r="J372" s="188">
        <f ca="1">IFERROR(__xludf.DUMMYFUNCTION("IMPORTRANGE(""https://docs.google.com/spreadsheets/d/11923uPwbBZFjjGgGUA6NLw09EwE0CqkOc4q9oUmW1yo/edit?usp=sharing"",""เชียงราย!J267"")"),0)</f>
        <v>0</v>
      </c>
      <c r="K372" s="163">
        <f t="shared" ca="1" si="106"/>
        <v>0</v>
      </c>
      <c r="L372" s="181"/>
      <c r="M372" s="181"/>
      <c r="N372" s="181"/>
      <c r="O372" s="181"/>
      <c r="P372" s="181"/>
    </row>
    <row r="373" spans="1:16" ht="21.75" hidden="1" customHeight="1" x14ac:dyDescent="0.3">
      <c r="A373" s="175"/>
      <c r="B373" s="176"/>
      <c r="C373" s="176"/>
      <c r="D373" s="193"/>
      <c r="E373" s="198"/>
      <c r="F373" s="195"/>
      <c r="G373" s="225" t="s">
        <v>141</v>
      </c>
      <c r="H373" s="180" t="s">
        <v>37</v>
      </c>
      <c r="I373" s="187">
        <f ca="1">IFERROR(__xludf.DUMMYFUNCTION("IMPORTRANGE(""https://docs.google.com/spreadsheets/d/11923uPwbBZFjjGgGUA6NLw09EwE0CqkOc4q9oUmW1yo/edit?usp=sharing"",""เชียงราย!I164"")"),0)</f>
        <v>0</v>
      </c>
      <c r="J373" s="203">
        <f ca="1">IFERROR(__xludf.DUMMYFUNCTION("IMPORTRANGE(""https://docs.google.com/spreadsheets/d/11923uPwbBZFjjGgGUA6NLw09EwE0CqkOc4q9oUmW1yo/edit?usp=sharing"",""เชียงราย!J164"")"),0)</f>
        <v>0</v>
      </c>
      <c r="K373" s="163">
        <f t="shared" ca="1" si="106"/>
        <v>0</v>
      </c>
      <c r="L373" s="181"/>
      <c r="M373" s="181"/>
      <c r="N373" s="181"/>
      <c r="O373" s="181"/>
      <c r="P373" s="181"/>
    </row>
    <row r="374" spans="1:16" ht="21.75" hidden="1" customHeight="1" x14ac:dyDescent="0.3">
      <c r="A374" s="175"/>
      <c r="B374" s="176"/>
      <c r="C374" s="176"/>
      <c r="D374" s="193"/>
      <c r="E374" s="198"/>
      <c r="F374" s="195"/>
      <c r="G374" s="196" t="s">
        <v>142</v>
      </c>
      <c r="H374" s="180"/>
      <c r="I374" s="187">
        <f ca="1">IFERROR(__xludf.DUMMYFUNCTION("IMPORTRANGE(""https://docs.google.com/spreadsheets/d/11923uPwbBZFjjGgGUA6NLw09EwE0CqkOc4q9oUmW1yo/edit?usp=sharing"",""เชียงราย!I164"")"),0)</f>
        <v>0</v>
      </c>
      <c r="J374" s="187">
        <f ca="1">IFERROR(__xludf.DUMMYFUNCTION("IMPORTRANGE(""https://docs.google.com/spreadsheets/d/11923uPwbBZFjjGgGUA6NLw09EwE0CqkOc4q9oUmW1yo/edit?usp=sharing"",""เชียงราย!J164"")"),0)</f>
        <v>0</v>
      </c>
      <c r="K374" s="163"/>
      <c r="L374" s="181"/>
      <c r="M374" s="181"/>
      <c r="N374" s="181"/>
      <c r="O374" s="181"/>
      <c r="P374" s="181"/>
    </row>
    <row r="375" spans="1:16" ht="21.75" customHeight="1" x14ac:dyDescent="0.3">
      <c r="A375" s="175"/>
      <c r="B375" s="176"/>
      <c r="C375" s="176"/>
      <c r="D375" s="193"/>
      <c r="E375" s="195"/>
      <c r="F375" s="204" t="s">
        <v>53</v>
      </c>
      <c r="G375" s="196"/>
      <c r="H375" s="278" t="s">
        <v>122</v>
      </c>
      <c r="I375" s="187">
        <f ca="1">IFERROR(__xludf.DUMMYFUNCTION("IMPORTRANGE(""https://docs.google.com/spreadsheets/d/11923uPwbBZFjjGgGUA6NLw09EwE0CqkOc4q9oUmW1yo/edit?usp=sharing"",""เชียงราย!I270"")"),200)</f>
        <v>200</v>
      </c>
      <c r="J375" s="187">
        <f ca="1">IFERROR(__xludf.DUMMYFUNCTION("IMPORTRANGE(""https://docs.google.com/spreadsheets/d/11923uPwbBZFjjGgGUA6NLw09EwE0CqkOc4q9oUmW1yo/edit?usp=sharing"",""เชียงราย!J270"")"),0)</f>
        <v>0</v>
      </c>
      <c r="K375" s="163">
        <f t="shared" ref="K375:K377" ca="1" si="107">IF(I375&gt;0,J375*100/I375,0)</f>
        <v>0</v>
      </c>
      <c r="L375" s="181"/>
      <c r="M375" s="181"/>
      <c r="N375" s="181"/>
      <c r="O375" s="181"/>
      <c r="P375" s="181"/>
    </row>
    <row r="376" spans="1:16" ht="21.75" customHeight="1" x14ac:dyDescent="0.3">
      <c r="A376" s="175"/>
      <c r="B376" s="176"/>
      <c r="C376" s="176"/>
      <c r="D376" s="193"/>
      <c r="E376" s="195"/>
      <c r="F376" s="195"/>
      <c r="G376" s="279" t="s">
        <v>143</v>
      </c>
      <c r="H376" s="278" t="s">
        <v>122</v>
      </c>
      <c r="I376" s="187">
        <f ca="1">IFERROR(__xludf.DUMMYFUNCTION("IMPORTRANGE(""https://docs.google.com/spreadsheets/d/11923uPwbBZFjjGgGUA6NLw09EwE0CqkOc4q9oUmW1yo/edit?usp=sharing"",""เชียงราย!I271"")"),100)</f>
        <v>100</v>
      </c>
      <c r="J376" s="188">
        <f ca="1">IFERROR(__xludf.DUMMYFUNCTION("IMPORTRANGE(""https://docs.google.com/spreadsheets/d/11923uPwbBZFjjGgGUA6NLw09EwE0CqkOc4q9oUmW1yo/edit?usp=sharing"",""เชียงราย!J271"")"),0)</f>
        <v>0</v>
      </c>
      <c r="K376" s="163">
        <f t="shared" ca="1" si="107"/>
        <v>0</v>
      </c>
      <c r="L376" s="181"/>
      <c r="M376" s="181"/>
      <c r="N376" s="181"/>
      <c r="O376" s="181"/>
      <c r="P376" s="181"/>
    </row>
    <row r="377" spans="1:16" ht="21.75" customHeight="1" x14ac:dyDescent="0.3">
      <c r="A377" s="175"/>
      <c r="B377" s="176"/>
      <c r="C377" s="176"/>
      <c r="D377" s="193"/>
      <c r="E377" s="195"/>
      <c r="F377" s="195"/>
      <c r="G377" s="279" t="s">
        <v>144</v>
      </c>
      <c r="H377" s="278" t="s">
        <v>122</v>
      </c>
      <c r="I377" s="187">
        <f ca="1">IFERROR(__xludf.DUMMYFUNCTION("IMPORTRANGE(""https://docs.google.com/spreadsheets/d/11923uPwbBZFjjGgGUA6NLw09EwE0CqkOc4q9oUmW1yo/edit?usp=sharing"",""เชียงราย!I272"")"),100)</f>
        <v>100</v>
      </c>
      <c r="J377" s="203">
        <f ca="1">IFERROR(__xludf.DUMMYFUNCTION("IMPORTRANGE(""https://docs.google.com/spreadsheets/d/11923uPwbBZFjjGgGUA6NLw09EwE0CqkOc4q9oUmW1yo/edit?usp=sharing"",""เชียงราย!J272"")"),0)</f>
        <v>0</v>
      </c>
      <c r="K377" s="163">
        <f t="shared" ca="1" si="107"/>
        <v>0</v>
      </c>
      <c r="L377" s="181"/>
      <c r="M377" s="181"/>
      <c r="N377" s="181"/>
      <c r="O377" s="181"/>
      <c r="P377" s="181"/>
    </row>
    <row r="378" spans="1:16" ht="21.75" customHeight="1" x14ac:dyDescent="0.3">
      <c r="A378" s="175"/>
      <c r="B378" s="176"/>
      <c r="C378" s="176"/>
      <c r="D378" s="193"/>
      <c r="E378" s="194" t="s">
        <v>54</v>
      </c>
      <c r="F378" s="195"/>
      <c r="G378" s="196"/>
      <c r="H378" s="186"/>
      <c r="I378" s="187"/>
      <c r="J378" s="197">
        <f ca="1">IFERROR(__xludf.DUMMYFUNCTION("IMPORTRANGE(""https://docs.google.com/spreadsheets/d/11923uPwbBZFjjGgGUA6NLw09EwE0CqkOc4q9oUmW1yo/edit?usp=sharing"",""เชียงราย!J273"")"),0)</f>
        <v>0</v>
      </c>
      <c r="K378" s="163"/>
      <c r="L378" s="181"/>
      <c r="M378" s="181"/>
      <c r="N378" s="181"/>
      <c r="O378" s="181"/>
      <c r="P378" s="181"/>
    </row>
    <row r="379" spans="1:16" ht="21.75" customHeight="1" x14ac:dyDescent="0.3">
      <c r="A379" s="175"/>
      <c r="B379" s="176"/>
      <c r="C379" s="176"/>
      <c r="D379" s="205">
        <v>3</v>
      </c>
      <c r="E379" s="206" t="s">
        <v>55</v>
      </c>
      <c r="F379" s="207"/>
      <c r="G379" s="208"/>
      <c r="H379" s="186"/>
      <c r="I379" s="187"/>
      <c r="J379" s="209">
        <f ca="1">IFERROR(__xludf.DUMMYFUNCTION("IMPORTRANGE(""https://docs.google.com/spreadsheets/d/11923uPwbBZFjjGgGUA6NLw09EwE0CqkOc4q9oUmW1yo/edit?usp=sharing"",""เชียงราย!J274"")"),0)</f>
        <v>0</v>
      </c>
      <c r="K379" s="163"/>
      <c r="L379" s="181"/>
      <c r="M379" s="181"/>
      <c r="N379" s="181"/>
      <c r="O379" s="181"/>
      <c r="P379" s="181"/>
    </row>
    <row r="380" spans="1:16" ht="21.75" customHeight="1" x14ac:dyDescent="0.3">
      <c r="A380" s="364"/>
      <c r="B380" s="365">
        <v>2</v>
      </c>
      <c r="C380" s="366" t="s">
        <v>145</v>
      </c>
      <c r="D380" s="366"/>
      <c r="E380" s="380"/>
      <c r="F380" s="380"/>
      <c r="G380" s="381"/>
      <c r="H380" s="368" t="s">
        <v>122</v>
      </c>
      <c r="I380" s="369">
        <f ca="1">IFERROR(__xludf.DUMMYFUNCTION("IMPORTRANGE(""https://docs.google.com/spreadsheets/d/11923uPwbBZFjjGgGUA6NLw09EwE0CqkOc4q9oUmW1yo/edit?usp=sharing"",""เชียงราย!I275"")"),500)</f>
        <v>500</v>
      </c>
      <c r="J380" s="369">
        <f ca="1">IFERROR(__xludf.DUMMYFUNCTION("IMPORTRANGE(""https://docs.google.com/spreadsheets/d/11923uPwbBZFjjGgGUA6NLw09EwE0CqkOc4q9oUmW1yo/edit?usp=sharing"",""เชียงราย!J275"")"),0)</f>
        <v>0</v>
      </c>
      <c r="K380" s="370">
        <f t="shared" ref="K380:K381" ca="1" si="108">IF(I380&gt;0,J380*100/I380,0)</f>
        <v>0</v>
      </c>
      <c r="L380" s="371">
        <f ca="1">IFERROR(__xludf.DUMMYFUNCTION("IMPORTRANGE(""https://docs.google.com/spreadsheets/d/11923uPwbBZFjjGgGUA6NLw09EwE0CqkOc4q9oUmW1yo/edit?usp=sharing"",""เชียงราย!L275"")"),460140)</f>
        <v>460140</v>
      </c>
      <c r="M380" s="371"/>
      <c r="N380" s="371">
        <f ca="1">IFERROR(__xludf.DUMMYFUNCTION("IMPORTRANGE(""https://docs.google.com/spreadsheets/d/11923uPwbBZFjjGgGUA6NLw09EwE0CqkOc4q9oUmW1yo/edit?usp=sharing"",""เชียงราย!M275"")"),6890)</f>
        <v>6890</v>
      </c>
      <c r="O380" s="371">
        <f ca="1">+IF(L380&gt;0,N380*100/L380,0)</f>
        <v>1.4973703655409223</v>
      </c>
      <c r="P380" s="371"/>
    </row>
    <row r="381" spans="1:16" ht="21.75" customHeight="1" x14ac:dyDescent="0.3">
      <c r="A381" s="364"/>
      <c r="B381" s="365"/>
      <c r="C381" s="366"/>
      <c r="D381" s="382"/>
      <c r="E381" s="383"/>
      <c r="F381" s="383"/>
      <c r="G381" s="384"/>
      <c r="H381" s="368" t="s">
        <v>37</v>
      </c>
      <c r="I381" s="369">
        <f ca="1">IFERROR(__xludf.DUMMYFUNCTION("IMPORTRANGE(""https://docs.google.com/spreadsheets/d/11923uPwbBZFjjGgGUA6NLw09EwE0CqkOc4q9oUmW1yo/edit?usp=sharing"",""เชียงราย!I276"")"),50)</f>
        <v>50</v>
      </c>
      <c r="J381" s="369">
        <f ca="1">IFERROR(__xludf.DUMMYFUNCTION("IMPORTRANGE(""https://docs.google.com/spreadsheets/d/11923uPwbBZFjjGgGUA6NLw09EwE0CqkOc4q9oUmW1yo/edit?usp=sharing"",""เชียงราย!J276"")"),0)</f>
        <v>0</v>
      </c>
      <c r="K381" s="370">
        <f t="shared" ca="1" si="108"/>
        <v>0</v>
      </c>
      <c r="L381" s="371"/>
      <c r="M381" s="371"/>
      <c r="N381" s="371"/>
      <c r="O381" s="371"/>
      <c r="P381" s="371"/>
    </row>
    <row r="382" spans="1:16" ht="21.75" customHeight="1" x14ac:dyDescent="0.3">
      <c r="A382" s="156"/>
      <c r="B382" s="157"/>
      <c r="C382" s="157" t="s">
        <v>16</v>
      </c>
      <c r="D382" s="158" t="s">
        <v>38</v>
      </c>
      <c r="E382" s="159"/>
      <c r="F382" s="159"/>
      <c r="G382" s="160" t="s">
        <v>39</v>
      </c>
      <c r="H382" s="161" t="s">
        <v>12</v>
      </c>
      <c r="I382" s="162" t="s">
        <v>40</v>
      </c>
      <c r="J382" s="162"/>
      <c r="K382" s="163"/>
      <c r="L382" s="164">
        <f ca="1">IFERROR(__xludf.DUMMYFUNCTION("IMPORTRANGE(""https://docs.google.com/spreadsheets/d/11923uPwbBZFjjGgGUA6NLw09EwE0CqkOc4q9oUmW1yo/edit?usp=sharing"",""เชียงราย!L277"")"),0)</f>
        <v>0</v>
      </c>
      <c r="M382" s="164"/>
      <c r="N382" s="164">
        <f ca="1">IFERROR(__xludf.DUMMYFUNCTION("IMPORTRANGE(""https://docs.google.com/spreadsheets/d/11923uPwbBZFjjGgGUA6NLw09EwE0CqkOc4q9oUmW1yo/edit?usp=sharing"",""เชียงราย!M277"")"),0)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3">
      <c r="A383" s="156"/>
      <c r="B383" s="157"/>
      <c r="C383" s="157"/>
      <c r="D383" s="166"/>
      <c r="E383" s="159"/>
      <c r="F383" s="159" t="s">
        <v>40</v>
      </c>
      <c r="G383" s="160" t="s">
        <v>41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IFERROR(__xludf.DUMMYFUNCTION("IMPORTRANGE(""https://docs.google.com/spreadsheets/d/11923uPwbBZFjjGgGUA6NLw09EwE0CqkOc4q9oUmW1yo/edit?usp=sharing"",""เชียงราย!L278"")"),460140)</f>
        <v>460140</v>
      </c>
      <c r="M383" s="165"/>
      <c r="N383" s="165">
        <f ca="1">IFERROR(__xludf.DUMMYFUNCTION("IMPORTRANGE(""https://docs.google.com/spreadsheets/d/11923uPwbBZFjjGgGUA6NLw09EwE0CqkOc4q9oUmW1yo/edit?usp=sharing"",""เชียงราย!M278"")"),6890)</f>
        <v>6890</v>
      </c>
      <c r="O383" s="165">
        <f t="shared" ca="1" si="109"/>
        <v>1.4973703655409223</v>
      </c>
      <c r="P383" s="165"/>
    </row>
    <row r="384" spans="1:16" ht="21.75" customHeight="1" x14ac:dyDescent="0.3">
      <c r="A384" s="156"/>
      <c r="B384" s="157"/>
      <c r="C384" s="157"/>
      <c r="D384" s="166"/>
      <c r="E384" s="159"/>
      <c r="F384" s="159"/>
      <c r="G384" s="372" t="s">
        <v>129</v>
      </c>
      <c r="H384" s="161" t="s">
        <v>12</v>
      </c>
      <c r="I384" s="162"/>
      <c r="J384" s="162"/>
      <c r="K384" s="163"/>
      <c r="L384" s="168">
        <f ca="1">IFERROR(__xludf.DUMMYFUNCTION("IMPORTRANGE(""https://docs.google.com/spreadsheets/d/11923uPwbBZFjjGgGUA6NLw09EwE0CqkOc4q9oUmW1yo/edit?usp=sharing"",""เชียงราย!L279"")"),0)</f>
        <v>0</v>
      </c>
      <c r="M384" s="168"/>
      <c r="N384" s="168">
        <f ca="1">IFERROR(__xludf.DUMMYFUNCTION("IMPORTRANGE(""https://docs.google.com/spreadsheets/d/11923uPwbBZFjjGgGUA6NLw09EwE0CqkOc4q9oUmW1yo/edit?usp=sharing"",""เชียงราย!M279"")"),0)</f>
        <v>0</v>
      </c>
      <c r="O384" s="168">
        <f t="shared" ca="1" si="109"/>
        <v>0</v>
      </c>
      <c r="P384" s="168"/>
    </row>
    <row r="385" spans="1:16" ht="21.75" customHeight="1" x14ac:dyDescent="0.3">
      <c r="A385" s="156"/>
      <c r="B385" s="157"/>
      <c r="C385" s="157"/>
      <c r="D385" s="166"/>
      <c r="E385" s="159"/>
      <c r="F385" s="159"/>
      <c r="G385" s="372" t="s">
        <v>130</v>
      </c>
      <c r="H385" s="161" t="s">
        <v>12</v>
      </c>
      <c r="I385" s="162"/>
      <c r="J385" s="162"/>
      <c r="K385" s="163"/>
      <c r="L385" s="168">
        <f ca="1">IFERROR(__xludf.DUMMYFUNCTION("IMPORTRANGE(""https://docs.google.com/spreadsheets/d/11923uPwbBZFjjGgGUA6NLw09EwE0CqkOc4q9oUmW1yo/edit?usp=sharing"",""เชียงราย!L280"")"),460140)</f>
        <v>460140</v>
      </c>
      <c r="M385" s="168"/>
      <c r="N385" s="167">
        <f ca="1">IFERROR(__xludf.DUMMYFUNCTION("IMPORTRANGE(""https://docs.google.com/spreadsheets/d/11923uPwbBZFjjGgGUA6NLw09EwE0CqkOc4q9oUmW1yo/edit?usp=sharing"",""เชียงราย!M280"")"),6890)</f>
        <v>6890</v>
      </c>
      <c r="O385" s="168">
        <f t="shared" ca="1" si="109"/>
        <v>1.4973703655409223</v>
      </c>
      <c r="P385" s="168"/>
    </row>
    <row r="386" spans="1:16" ht="21.75" customHeight="1" x14ac:dyDescent="0.3">
      <c r="A386" s="373"/>
      <c r="B386" s="374"/>
      <c r="C386" s="157"/>
      <c r="D386" s="375"/>
      <c r="E386" s="159"/>
      <c r="F386" s="159"/>
      <c r="G386" s="376" t="s">
        <v>131</v>
      </c>
      <c r="H386" s="161" t="s">
        <v>12</v>
      </c>
      <c r="I386" s="187"/>
      <c r="J386" s="187"/>
      <c r="K386" s="223"/>
      <c r="L386" s="168"/>
      <c r="M386" s="168"/>
      <c r="N386" s="377">
        <f ca="1">IFERROR(__xludf.DUMMYFUNCTION("IMPORTRANGE(""https://docs.google.com/spreadsheets/d/11923uPwbBZFjjGgGUA6NLw09EwE0CqkOc4q9oUmW1yo/edit?usp=sharing"",""เชียงราย!M281"")"),750)</f>
        <v>750</v>
      </c>
      <c r="O386" s="168"/>
      <c r="P386" s="168"/>
    </row>
    <row r="387" spans="1:16" ht="21.75" customHeight="1" x14ac:dyDescent="0.3">
      <c r="A387" s="373"/>
      <c r="B387" s="374"/>
      <c r="C387" s="157"/>
      <c r="D387" s="375"/>
      <c r="E387" s="159"/>
      <c r="F387" s="159"/>
      <c r="G387" s="376" t="s">
        <v>132</v>
      </c>
      <c r="H387" s="161" t="s">
        <v>12</v>
      </c>
      <c r="I387" s="187"/>
      <c r="J387" s="187"/>
      <c r="K387" s="223"/>
      <c r="L387" s="168"/>
      <c r="M387" s="168"/>
      <c r="N387" s="377">
        <f ca="1">IFERROR(__xludf.DUMMYFUNCTION("IMPORTRANGE(""https://docs.google.com/spreadsheets/d/11923uPwbBZFjjGgGUA6NLw09EwE0CqkOc4q9oUmW1yo/edit?usp=sharing"",""เชียงราย!M282"")"),0)</f>
        <v>0</v>
      </c>
      <c r="O387" s="168"/>
      <c r="P387" s="168"/>
    </row>
    <row r="388" spans="1:16" ht="21.75" customHeight="1" x14ac:dyDescent="0.3">
      <c r="A388" s="373"/>
      <c r="B388" s="374"/>
      <c r="C388" s="157"/>
      <c r="D388" s="375"/>
      <c r="E388" s="159"/>
      <c r="F388" s="159"/>
      <c r="G388" s="376" t="s">
        <v>133</v>
      </c>
      <c r="H388" s="161" t="s">
        <v>12</v>
      </c>
      <c r="I388" s="187"/>
      <c r="J388" s="187"/>
      <c r="K388" s="223"/>
      <c r="L388" s="168"/>
      <c r="M388" s="168"/>
      <c r="N388" s="377">
        <f ca="1">IFERROR(__xludf.DUMMYFUNCTION("IMPORTRANGE(""https://docs.google.com/spreadsheets/d/11923uPwbBZFjjGgGUA6NLw09EwE0CqkOc4q9oUmW1yo/edit?usp=sharing"",""เชียงราย!M283"")"),0)</f>
        <v>0</v>
      </c>
      <c r="O388" s="168"/>
      <c r="P388" s="168"/>
    </row>
    <row r="389" spans="1:16" ht="21.75" customHeight="1" x14ac:dyDescent="0.3">
      <c r="A389" s="373"/>
      <c r="B389" s="374"/>
      <c r="C389" s="157"/>
      <c r="D389" s="375"/>
      <c r="E389" s="159"/>
      <c r="F389" s="159"/>
      <c r="G389" s="376" t="s">
        <v>134</v>
      </c>
      <c r="H389" s="161" t="s">
        <v>12</v>
      </c>
      <c r="I389" s="187"/>
      <c r="J389" s="187"/>
      <c r="K389" s="223"/>
      <c r="L389" s="168"/>
      <c r="M389" s="168"/>
      <c r="N389" s="377">
        <f ca="1">IFERROR(__xludf.DUMMYFUNCTION("IMPORTRANGE(""https://docs.google.com/spreadsheets/d/11923uPwbBZFjjGgGUA6NLw09EwE0CqkOc4q9oUmW1yo/edit?usp=sharing"",""เชียงราย!M284"")"),6140)</f>
        <v>6140</v>
      </c>
      <c r="O389" s="168"/>
      <c r="P389" s="168"/>
    </row>
    <row r="390" spans="1:16" ht="21.75" customHeight="1" x14ac:dyDescent="0.3">
      <c r="A390" s="175"/>
      <c r="B390" s="176"/>
      <c r="C390" s="157" t="s">
        <v>16</v>
      </c>
      <c r="D390" s="177" t="s">
        <v>44</v>
      </c>
      <c r="E390" s="178"/>
      <c r="F390" s="178"/>
      <c r="G390" s="179"/>
      <c r="H390" s="180"/>
      <c r="I390" s="162"/>
      <c r="J390" s="162"/>
      <c r="K390" s="163"/>
      <c r="L390" s="181"/>
      <c r="M390" s="181"/>
      <c r="N390" s="181"/>
      <c r="O390" s="181"/>
      <c r="P390" s="181"/>
    </row>
    <row r="391" spans="1:16" ht="21.75" customHeight="1" x14ac:dyDescent="0.3">
      <c r="A391" s="175"/>
      <c r="B391" s="176"/>
      <c r="C391" s="176"/>
      <c r="D391" s="182">
        <v>1</v>
      </c>
      <c r="E391" s="183" t="s">
        <v>45</v>
      </c>
      <c r="F391" s="184"/>
      <c r="G391" s="185"/>
      <c r="H391" s="186"/>
      <c r="I391" s="187"/>
      <c r="J391" s="197">
        <f ca="1">IFERROR(__xludf.DUMMYFUNCTION("IMPORTRANGE(""https://docs.google.com/spreadsheets/d/11923uPwbBZFjjGgGUA6NLw09EwE0CqkOc4q9oUmW1yo/edit?usp=sharing"",""เชียงราย!J286"")"),0)</f>
        <v>0</v>
      </c>
      <c r="K391" s="163"/>
      <c r="L391" s="181"/>
      <c r="M391" s="181"/>
      <c r="N391" s="181"/>
      <c r="O391" s="181"/>
      <c r="P391" s="181"/>
    </row>
    <row r="392" spans="1:16" ht="21.75" customHeight="1" x14ac:dyDescent="0.3">
      <c r="A392" s="175"/>
      <c r="B392" s="176"/>
      <c r="C392" s="176"/>
      <c r="D392" s="189">
        <v>2</v>
      </c>
      <c r="E392" s="190" t="s">
        <v>46</v>
      </c>
      <c r="F392" s="191"/>
      <c r="G392" s="192"/>
      <c r="H392" s="186"/>
      <c r="I392" s="187"/>
      <c r="J392" s="188">
        <f ca="1">IFERROR(__xludf.DUMMYFUNCTION("IMPORTRANGE(""https://docs.google.com/spreadsheets/d/11923uPwbBZFjjGgGUA6NLw09EwE0CqkOc4q9oUmW1yo/edit?usp=sharing"",""เชียงราย!J287"")"),1)</f>
        <v>1</v>
      </c>
      <c r="K392" s="163"/>
      <c r="L392" s="181" t="s">
        <v>40</v>
      </c>
      <c r="M392" s="181"/>
      <c r="N392" s="181" t="s">
        <v>40</v>
      </c>
      <c r="O392" s="181"/>
      <c r="P392" s="181"/>
    </row>
    <row r="393" spans="1:16" ht="21.75" customHeight="1" x14ac:dyDescent="0.3">
      <c r="A393" s="175"/>
      <c r="B393" s="176"/>
      <c r="C393" s="176"/>
      <c r="D393" s="193"/>
      <c r="E393" s="194" t="s">
        <v>47</v>
      </c>
      <c r="F393" s="195"/>
      <c r="G393" s="196"/>
      <c r="H393" s="186"/>
      <c r="I393" s="187"/>
      <c r="J393" s="188">
        <f ca="1">IFERROR(__xludf.DUMMYFUNCTION("IMPORTRANGE(""https://docs.google.com/spreadsheets/d/11923uPwbBZFjjGgGUA6NLw09EwE0CqkOc4q9oUmW1yo/edit?usp=sharing"",""เชียงราย!J288"")"),1)</f>
        <v>1</v>
      </c>
      <c r="K393" s="163"/>
      <c r="L393" s="181"/>
      <c r="M393" s="181"/>
      <c r="N393" s="181"/>
      <c r="O393" s="181"/>
      <c r="P393" s="181"/>
    </row>
    <row r="394" spans="1:16" ht="21.75" customHeight="1" x14ac:dyDescent="0.3">
      <c r="A394" s="175"/>
      <c r="B394" s="176"/>
      <c r="C394" s="176"/>
      <c r="D394" s="193"/>
      <c r="E394" s="194" t="s">
        <v>48</v>
      </c>
      <c r="F394" s="195"/>
      <c r="G394" s="196"/>
      <c r="H394" s="186"/>
      <c r="I394" s="187"/>
      <c r="J394" s="197">
        <f ca="1">IFERROR(__xludf.DUMMYFUNCTION("IMPORTRANGE(""https://docs.google.com/spreadsheets/d/11923uPwbBZFjjGgGUA6NLw09EwE0CqkOc4q9oUmW1yo/edit?usp=sharing"",""เชียงราย!J289"")"),1)</f>
        <v>1</v>
      </c>
      <c r="K394" s="163"/>
      <c r="L394" s="181"/>
      <c r="M394" s="181"/>
      <c r="N394" s="181"/>
      <c r="O394" s="181"/>
      <c r="P394" s="181"/>
    </row>
    <row r="395" spans="1:16" ht="21.75" customHeight="1" x14ac:dyDescent="0.3">
      <c r="A395" s="175"/>
      <c r="B395" s="176"/>
      <c r="C395" s="176"/>
      <c r="D395" s="193"/>
      <c r="E395" s="198"/>
      <c r="F395" s="194" t="s">
        <v>146</v>
      </c>
      <c r="G395" s="195"/>
      <c r="H395" s="186"/>
      <c r="I395" s="187"/>
      <c r="J395" s="187"/>
      <c r="K395" s="163"/>
      <c r="L395" s="181"/>
      <c r="M395" s="181"/>
      <c r="N395" s="181"/>
      <c r="O395" s="181"/>
      <c r="P395" s="181"/>
    </row>
    <row r="396" spans="1:16" ht="21.75" customHeight="1" x14ac:dyDescent="0.3">
      <c r="A396" s="175"/>
      <c r="B396" s="176"/>
      <c r="C396" s="176"/>
      <c r="D396" s="193"/>
      <c r="E396" s="198"/>
      <c r="F396" s="195"/>
      <c r="G396" s="291" t="s">
        <v>70</v>
      </c>
      <c r="H396" s="186" t="s">
        <v>37</v>
      </c>
      <c r="I396" s="187">
        <f ca="1">IFERROR(__xludf.DUMMYFUNCTION("IMPORTRANGE(""https://docs.google.com/spreadsheets/d/11923uPwbBZFjjGgGUA6NLw09EwE0CqkOc4q9oUmW1yo/edit?usp=sharing"",""เชียงราย!I291"")"),50)</f>
        <v>50</v>
      </c>
      <c r="J396" s="197">
        <f ca="1">IFERROR(__xludf.DUMMYFUNCTION("IMPORTRANGE(""https://docs.google.com/spreadsheets/d/11923uPwbBZFjjGgGUA6NLw09EwE0CqkOc4q9oUmW1yo/edit?usp=sharing"",""เชียงราย!J291"")"),0)</f>
        <v>0</v>
      </c>
      <c r="K396" s="163">
        <f t="shared" ref="K396:K398" ca="1" si="110">IF(I396&gt;0,J396*100/I396,0)</f>
        <v>0</v>
      </c>
      <c r="L396" s="181"/>
      <c r="M396" s="181"/>
      <c r="N396" s="181"/>
      <c r="O396" s="181"/>
      <c r="P396" s="181"/>
    </row>
    <row r="397" spans="1:16" ht="21.75" customHeight="1" x14ac:dyDescent="0.3">
      <c r="A397" s="175"/>
      <c r="B397" s="176"/>
      <c r="C397" s="176"/>
      <c r="D397" s="193"/>
      <c r="E397" s="198"/>
      <c r="F397" s="195"/>
      <c r="G397" s="196" t="s">
        <v>53</v>
      </c>
      <c r="H397" s="186" t="s">
        <v>122</v>
      </c>
      <c r="I397" s="187">
        <f ca="1">IFERROR(__xludf.DUMMYFUNCTION("IMPORTRANGE(""https://docs.google.com/spreadsheets/d/11923uPwbBZFjjGgGUA6NLw09EwE0CqkOc4q9oUmW1yo/edit?usp=sharing"",""เชียงราย!I292"")"),500)</f>
        <v>500</v>
      </c>
      <c r="J397" s="197">
        <f ca="1">IFERROR(__xludf.DUMMYFUNCTION("IMPORTRANGE(""https://docs.google.com/spreadsheets/d/11923uPwbBZFjjGgGUA6NLw09EwE0CqkOc4q9oUmW1yo/edit?usp=sharing"",""เชียงราย!J292"")"),0)</f>
        <v>0</v>
      </c>
      <c r="K397" s="163">
        <f t="shared" ca="1" si="110"/>
        <v>0</v>
      </c>
      <c r="L397" s="181"/>
      <c r="M397" s="181"/>
      <c r="N397" s="181"/>
      <c r="O397" s="181"/>
      <c r="P397" s="181"/>
    </row>
    <row r="398" spans="1:16" ht="21.75" customHeight="1" x14ac:dyDescent="0.3">
      <c r="A398" s="175"/>
      <c r="B398" s="176"/>
      <c r="C398" s="176"/>
      <c r="D398" s="193"/>
      <c r="E398" s="198"/>
      <c r="F398" s="195"/>
      <c r="G398" s="196"/>
      <c r="H398" s="186" t="s">
        <v>37</v>
      </c>
      <c r="I398" s="187">
        <f ca="1">IFERROR(__xludf.DUMMYFUNCTION("IMPORTRANGE(""https://docs.google.com/spreadsheets/d/11923uPwbBZFjjGgGUA6NLw09EwE0CqkOc4q9oUmW1yo/edit?usp=sharing"",""เชียงราย!I293"")"),50)</f>
        <v>50</v>
      </c>
      <c r="J398" s="197">
        <f ca="1">IFERROR(__xludf.DUMMYFUNCTION("IMPORTRANGE(""https://docs.google.com/spreadsheets/d/11923uPwbBZFjjGgGUA6NLw09EwE0CqkOc4q9oUmW1yo/edit?usp=sharing"",""เชียงราย!J293"")"),0)</f>
        <v>0</v>
      </c>
      <c r="K398" s="163">
        <f t="shared" ca="1" si="110"/>
        <v>0</v>
      </c>
      <c r="L398" s="181"/>
      <c r="M398" s="181"/>
      <c r="N398" s="181"/>
      <c r="O398" s="181"/>
      <c r="P398" s="181"/>
    </row>
    <row r="399" spans="1:16" ht="21.75" customHeight="1" x14ac:dyDescent="0.3">
      <c r="A399" s="175"/>
      <c r="B399" s="176"/>
      <c r="C399" s="176"/>
      <c r="D399" s="193"/>
      <c r="E399" s="194" t="s">
        <v>54</v>
      </c>
      <c r="F399" s="195"/>
      <c r="G399" s="196"/>
      <c r="H399" s="186"/>
      <c r="I399" s="187"/>
      <c r="J399" s="197">
        <f ca="1">IFERROR(__xludf.DUMMYFUNCTION("IMPORTRANGE(""https://docs.google.com/spreadsheets/d/11923uPwbBZFjjGgGUA6NLw09EwE0CqkOc4q9oUmW1yo/edit?usp=sharing"",""เชียงราย!J294"")"),0)</f>
        <v>0</v>
      </c>
      <c r="K399" s="163"/>
      <c r="L399" s="181"/>
      <c r="M399" s="181"/>
      <c r="N399" s="181"/>
      <c r="O399" s="181"/>
      <c r="P399" s="181"/>
    </row>
    <row r="400" spans="1:16" ht="21.75" customHeight="1" x14ac:dyDescent="0.3">
      <c r="A400" s="175"/>
      <c r="B400" s="176"/>
      <c r="C400" s="176"/>
      <c r="D400" s="205">
        <v>3</v>
      </c>
      <c r="E400" s="206" t="s">
        <v>55</v>
      </c>
      <c r="F400" s="207"/>
      <c r="G400" s="208"/>
      <c r="H400" s="186"/>
      <c r="I400" s="187"/>
      <c r="J400" s="209">
        <f ca="1">IFERROR(__xludf.DUMMYFUNCTION("IMPORTRANGE(""https://docs.google.com/spreadsheets/d/11923uPwbBZFjjGgGUA6NLw09EwE0CqkOc4q9oUmW1yo/edit?usp=sharing"",""เชียงราย!J295"")"),0)</f>
        <v>0</v>
      </c>
      <c r="K400" s="163"/>
      <c r="L400" s="181"/>
      <c r="M400" s="181"/>
      <c r="N400" s="181"/>
      <c r="O400" s="181"/>
      <c r="P400" s="181"/>
    </row>
    <row r="401" spans="1:16" ht="21.75" customHeight="1" x14ac:dyDescent="0.3">
      <c r="A401" s="364"/>
      <c r="B401" s="365">
        <v>3</v>
      </c>
      <c r="C401" s="365" t="s">
        <v>147</v>
      </c>
      <c r="D401" s="366"/>
      <c r="E401" s="366"/>
      <c r="F401" s="366"/>
      <c r="G401" s="367"/>
      <c r="H401" s="368" t="s">
        <v>122</v>
      </c>
      <c r="I401" s="369">
        <f ca="1">IFERROR(__xludf.DUMMYFUNCTION("IMPORTRANGE(""https://docs.google.com/spreadsheets/d/11923uPwbBZFjjGgGUA6NLw09EwE0CqkOc4q9oUmW1yo/edit?usp=sharing"",""เชียงราย!I296"")"),174)</f>
        <v>174</v>
      </c>
      <c r="J401" s="369">
        <f ca="1">IFERROR(__xludf.DUMMYFUNCTION("IMPORTRANGE(""https://docs.google.com/spreadsheets/d/11923uPwbBZFjjGgGUA6NLw09EwE0CqkOc4q9oUmW1yo/edit?usp=sharing"",""เชียงราย!J296"")"),0)</f>
        <v>0</v>
      </c>
      <c r="K401" s="370">
        <f t="shared" ref="K401:K402" ca="1" si="111">IF(I401&gt;0,J401*100/I401,0)</f>
        <v>0</v>
      </c>
      <c r="L401" s="371">
        <f ca="1">IFERROR(__xludf.DUMMYFUNCTION("IMPORTRANGE(""https://docs.google.com/spreadsheets/d/11923uPwbBZFjjGgGUA6NLw09EwE0CqkOc4q9oUmW1yo/edit?usp=sharing"",""เชียงราย!L296"")"),195900)</f>
        <v>195900</v>
      </c>
      <c r="M401" s="371"/>
      <c r="N401" s="371">
        <f ca="1">IFERROR(__xludf.DUMMYFUNCTION("IMPORTRANGE(""https://docs.google.com/spreadsheets/d/11923uPwbBZFjjGgGUA6NLw09EwE0CqkOc4q9oUmW1yo/edit?usp=sharing"",""เชียงราย!M296"")"),113630)</f>
        <v>113630</v>
      </c>
      <c r="O401" s="371">
        <f ca="1">+IF(L401&gt;0,N401*100/L401,0)</f>
        <v>58.004083716181725</v>
      </c>
      <c r="P401" s="371"/>
    </row>
    <row r="402" spans="1:16" ht="21.75" customHeight="1" x14ac:dyDescent="0.3">
      <c r="A402" s="364"/>
      <c r="B402" s="365"/>
      <c r="C402" s="365"/>
      <c r="D402" s="382"/>
      <c r="E402" s="382"/>
      <c r="F402" s="382"/>
      <c r="G402" s="385"/>
      <c r="H402" s="368" t="s">
        <v>37</v>
      </c>
      <c r="I402" s="369">
        <f ca="1">IFERROR(__xludf.DUMMYFUNCTION("IMPORTRANGE(""https://docs.google.com/spreadsheets/d/11923uPwbBZFjjGgGUA6NLw09EwE0CqkOc4q9oUmW1yo/edit?usp=sharing"",""เชียงราย!I297"")"),58)</f>
        <v>58</v>
      </c>
      <c r="J402" s="369">
        <f ca="1">IFERROR(__xludf.DUMMYFUNCTION("IMPORTRANGE(""https://docs.google.com/spreadsheets/d/11923uPwbBZFjjGgGUA6NLw09EwE0CqkOc4q9oUmW1yo/edit?usp=sharing"",""เชียงราย!J297"")"),0)</f>
        <v>0</v>
      </c>
      <c r="K402" s="370">
        <f t="shared" ca="1" si="111"/>
        <v>0</v>
      </c>
      <c r="L402" s="371"/>
      <c r="M402" s="371"/>
      <c r="N402" s="371"/>
      <c r="O402" s="371"/>
      <c r="P402" s="371"/>
    </row>
    <row r="403" spans="1:16" ht="21.75" customHeight="1" x14ac:dyDescent="0.3">
      <c r="A403" s="156"/>
      <c r="B403" s="157"/>
      <c r="C403" s="157" t="s">
        <v>16</v>
      </c>
      <c r="D403" s="158" t="s">
        <v>38</v>
      </c>
      <c r="E403" s="159"/>
      <c r="F403" s="159"/>
      <c r="G403" s="160" t="s">
        <v>39</v>
      </c>
      <c r="H403" s="161" t="s">
        <v>12</v>
      </c>
      <c r="I403" s="162" t="s">
        <v>40</v>
      </c>
      <c r="J403" s="162"/>
      <c r="K403" s="163"/>
      <c r="L403" s="164">
        <f ca="1">IFERROR(__xludf.DUMMYFUNCTION("IMPORTRANGE(""https://docs.google.com/spreadsheets/d/11923uPwbBZFjjGgGUA6NLw09EwE0CqkOc4q9oUmW1yo/edit?usp=sharing"",""เชียงราย!L298"")"),0)</f>
        <v>0</v>
      </c>
      <c r="M403" s="164"/>
      <c r="N403" s="168">
        <f ca="1">IFERROR(__xludf.DUMMYFUNCTION("IMPORTRANGE(""https://docs.google.com/spreadsheets/d/11923uPwbBZFjjGgGUA6NLw09EwE0CqkOc4q9oUmW1yo/edit?usp=sharing"",""เชียงราย!M298"")"),0)</f>
        <v>0</v>
      </c>
      <c r="O403" s="168">
        <f t="shared" ref="O403:O406" ca="1" si="112">+IF(L403&gt;0,N403*100/L403,0)</f>
        <v>0</v>
      </c>
      <c r="P403" s="168"/>
    </row>
    <row r="404" spans="1:16" ht="21.75" customHeight="1" x14ac:dyDescent="0.3">
      <c r="A404" s="156"/>
      <c r="B404" s="157"/>
      <c r="C404" s="157"/>
      <c r="D404" s="166"/>
      <c r="E404" s="159"/>
      <c r="F404" s="159" t="s">
        <v>40</v>
      </c>
      <c r="G404" s="160" t="s">
        <v>41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IFERROR(__xludf.DUMMYFUNCTION("IMPORTRANGE(""https://docs.google.com/spreadsheets/d/11923uPwbBZFjjGgGUA6NLw09EwE0CqkOc4q9oUmW1yo/edit?usp=sharing"",""เชียงราย!L299"")"),195900)</f>
        <v>195900</v>
      </c>
      <c r="M404" s="165"/>
      <c r="N404" s="168">
        <f ca="1">IFERROR(__xludf.DUMMYFUNCTION("IMPORTRANGE(""https://docs.google.com/spreadsheets/d/11923uPwbBZFjjGgGUA6NLw09EwE0CqkOc4q9oUmW1yo/edit?usp=sharing"",""เชียงราย!M299"")"),113630)</f>
        <v>113630</v>
      </c>
      <c r="O404" s="168">
        <f t="shared" ca="1" si="112"/>
        <v>58.004083716181725</v>
      </c>
      <c r="P404" s="168"/>
    </row>
    <row r="405" spans="1:16" ht="21.75" customHeight="1" x14ac:dyDescent="0.3">
      <c r="A405" s="156"/>
      <c r="B405" s="157"/>
      <c r="C405" s="157"/>
      <c r="D405" s="166"/>
      <c r="E405" s="159"/>
      <c r="F405" s="159"/>
      <c r="G405" s="372" t="s">
        <v>129</v>
      </c>
      <c r="H405" s="161" t="s">
        <v>12</v>
      </c>
      <c r="I405" s="162"/>
      <c r="J405" s="162"/>
      <c r="K405" s="163"/>
      <c r="L405" s="168">
        <f ca="1">IFERROR(__xludf.DUMMYFUNCTION("IMPORTRANGE(""https://docs.google.com/spreadsheets/d/11923uPwbBZFjjGgGUA6NLw09EwE0CqkOc4q9oUmW1yo/edit?usp=sharing"",""เชียงราย!L300"")"),0)</f>
        <v>0</v>
      </c>
      <c r="M405" s="168"/>
      <c r="N405" s="168">
        <f ca="1">IFERROR(__xludf.DUMMYFUNCTION("IMPORTRANGE(""https://docs.google.com/spreadsheets/d/11923uPwbBZFjjGgGUA6NLw09EwE0CqkOc4q9oUmW1yo/edit?usp=sharing"",""เชียงราย!M300"")"),0)</f>
        <v>0</v>
      </c>
      <c r="O405" s="168">
        <f t="shared" ca="1" si="112"/>
        <v>0</v>
      </c>
      <c r="P405" s="168"/>
    </row>
    <row r="406" spans="1:16" ht="21.75" customHeight="1" x14ac:dyDescent="0.3">
      <c r="A406" s="156"/>
      <c r="B406" s="157"/>
      <c r="C406" s="157"/>
      <c r="D406" s="166"/>
      <c r="E406" s="159"/>
      <c r="F406" s="159"/>
      <c r="G406" s="372" t="s">
        <v>130</v>
      </c>
      <c r="H406" s="161" t="s">
        <v>12</v>
      </c>
      <c r="I406" s="162"/>
      <c r="J406" s="162"/>
      <c r="K406" s="163"/>
      <c r="L406" s="168">
        <f ca="1">IFERROR(__xludf.DUMMYFUNCTION("IMPORTRANGE(""https://docs.google.com/spreadsheets/d/11923uPwbBZFjjGgGUA6NLw09EwE0CqkOc4q9oUmW1yo/edit?usp=sharing"",""เชียงราย!L301"")"),195900)</f>
        <v>195900</v>
      </c>
      <c r="M406" s="168"/>
      <c r="N406" s="168">
        <f ca="1">IFERROR(__xludf.DUMMYFUNCTION("IMPORTRANGE(""https://docs.google.com/spreadsheets/d/11923uPwbBZFjjGgGUA6NLw09EwE0CqkOc4q9oUmW1yo/edit?usp=sharing"",""เชียงราย!M301"")"),113630)</f>
        <v>113630</v>
      </c>
      <c r="O406" s="168">
        <f t="shared" ca="1" si="112"/>
        <v>58.004083716181725</v>
      </c>
      <c r="P406" s="168"/>
    </row>
    <row r="407" spans="1:16" ht="21.75" customHeight="1" x14ac:dyDescent="0.3">
      <c r="A407" s="373"/>
      <c r="B407" s="374"/>
      <c r="C407" s="157"/>
      <c r="D407" s="375"/>
      <c r="E407" s="159"/>
      <c r="F407" s="159"/>
      <c r="G407" s="376" t="s">
        <v>131</v>
      </c>
      <c r="H407" s="161" t="s">
        <v>12</v>
      </c>
      <c r="I407" s="187"/>
      <c r="J407" s="187"/>
      <c r="K407" s="223"/>
      <c r="L407" s="168"/>
      <c r="M407" s="168"/>
      <c r="N407" s="377">
        <f ca="1">IFERROR(__xludf.DUMMYFUNCTION("IMPORTRANGE(""https://docs.google.com/spreadsheets/d/11923uPwbBZFjjGgGUA6NLw09EwE0CqkOc4q9oUmW1yo/edit?usp=sharing"",""เชียงราย!M302"")"),100800)</f>
        <v>100800</v>
      </c>
      <c r="O407" s="168"/>
      <c r="P407" s="168"/>
    </row>
    <row r="408" spans="1:16" ht="21.75" customHeight="1" x14ac:dyDescent="0.3">
      <c r="A408" s="373"/>
      <c r="B408" s="374"/>
      <c r="C408" s="157"/>
      <c r="D408" s="375"/>
      <c r="E408" s="159"/>
      <c r="F408" s="159"/>
      <c r="G408" s="376" t="s">
        <v>132</v>
      </c>
      <c r="H408" s="161" t="s">
        <v>12</v>
      </c>
      <c r="I408" s="187"/>
      <c r="J408" s="187"/>
      <c r="K408" s="223"/>
      <c r="L408" s="168"/>
      <c r="M408" s="168"/>
      <c r="N408" s="377">
        <f ca="1">IFERROR(__xludf.DUMMYFUNCTION("IMPORTRANGE(""https://docs.google.com/spreadsheets/d/11923uPwbBZFjjGgGUA6NLw09EwE0CqkOc4q9oUmW1yo/edit?usp=sharing"",""เชียงราย!M303"")"),0)</f>
        <v>0</v>
      </c>
      <c r="O408" s="168"/>
      <c r="P408" s="168"/>
    </row>
    <row r="409" spans="1:16" ht="21.75" customHeight="1" x14ac:dyDescent="0.3">
      <c r="A409" s="373"/>
      <c r="B409" s="374"/>
      <c r="C409" s="157"/>
      <c r="D409" s="375"/>
      <c r="E409" s="159"/>
      <c r="F409" s="159"/>
      <c r="G409" s="376" t="s">
        <v>133</v>
      </c>
      <c r="H409" s="161" t="s">
        <v>12</v>
      </c>
      <c r="I409" s="187"/>
      <c r="J409" s="187"/>
      <c r="K409" s="223"/>
      <c r="L409" s="168"/>
      <c r="M409" s="168"/>
      <c r="N409" s="377">
        <f ca="1">IFERROR(__xludf.DUMMYFUNCTION("IMPORTRANGE(""https://docs.google.com/spreadsheets/d/11923uPwbBZFjjGgGUA6NLw09EwE0CqkOc4q9oUmW1yo/edit?usp=sharing"",""เชียงราย!M304"")"),0)</f>
        <v>0</v>
      </c>
      <c r="O409" s="168"/>
      <c r="P409" s="168"/>
    </row>
    <row r="410" spans="1:16" ht="21.75" customHeight="1" x14ac:dyDescent="0.3">
      <c r="A410" s="373"/>
      <c r="B410" s="374"/>
      <c r="C410" s="157"/>
      <c r="D410" s="375"/>
      <c r="E410" s="159"/>
      <c r="F410" s="159"/>
      <c r="G410" s="376" t="s">
        <v>134</v>
      </c>
      <c r="H410" s="161" t="s">
        <v>12</v>
      </c>
      <c r="I410" s="187"/>
      <c r="J410" s="187"/>
      <c r="K410" s="223"/>
      <c r="L410" s="168"/>
      <c r="M410" s="168"/>
      <c r="N410" s="377">
        <f ca="1">IFERROR(__xludf.DUMMYFUNCTION("IMPORTRANGE(""https://docs.google.com/spreadsheets/d/11923uPwbBZFjjGgGUA6NLw09EwE0CqkOc4q9oUmW1yo/edit?usp=sharing"",""เชียงราย!M305"")"),12830)</f>
        <v>12830</v>
      </c>
      <c r="O410" s="168"/>
      <c r="P410" s="168"/>
    </row>
    <row r="411" spans="1:16" ht="21.75" customHeight="1" x14ac:dyDescent="0.3">
      <c r="A411" s="175"/>
      <c r="B411" s="176"/>
      <c r="C411" s="157" t="s">
        <v>16</v>
      </c>
      <c r="D411" s="177" t="s">
        <v>44</v>
      </c>
      <c r="E411" s="178"/>
      <c r="F411" s="178"/>
      <c r="G411" s="179"/>
      <c r="H411" s="180"/>
      <c r="I411" s="162"/>
      <c r="J411" s="162"/>
      <c r="K411" s="163"/>
      <c r="L411" s="181"/>
      <c r="M411" s="181"/>
      <c r="N411" s="181"/>
      <c r="O411" s="181"/>
      <c r="P411" s="181"/>
    </row>
    <row r="412" spans="1:16" ht="21.75" customHeight="1" x14ac:dyDescent="0.3">
      <c r="A412" s="175"/>
      <c r="B412" s="176"/>
      <c r="C412" s="176"/>
      <c r="D412" s="182">
        <v>1</v>
      </c>
      <c r="E412" s="183" t="s">
        <v>45</v>
      </c>
      <c r="F412" s="184"/>
      <c r="G412" s="185"/>
      <c r="H412" s="186"/>
      <c r="I412" s="187"/>
      <c r="J412" s="197">
        <f ca="1">IFERROR(__xludf.DUMMYFUNCTION("IMPORTRANGE(""https://docs.google.com/spreadsheets/d/11923uPwbBZFjjGgGUA6NLw09EwE0CqkOc4q9oUmW1yo/edit?usp=sharing"",""เชียงราย!J307"")"),0)</f>
        <v>0</v>
      </c>
      <c r="K412" s="163"/>
      <c r="L412" s="181"/>
      <c r="M412" s="181"/>
      <c r="N412" s="181"/>
      <c r="O412" s="181"/>
      <c r="P412" s="181"/>
    </row>
    <row r="413" spans="1:16" ht="21.75" customHeight="1" x14ac:dyDescent="0.3">
      <c r="A413" s="175"/>
      <c r="B413" s="176"/>
      <c r="C413" s="176"/>
      <c r="D413" s="189">
        <v>2</v>
      </c>
      <c r="E413" s="190" t="s">
        <v>46</v>
      </c>
      <c r="F413" s="191"/>
      <c r="G413" s="192"/>
      <c r="H413" s="186"/>
      <c r="I413" s="187"/>
      <c r="J413" s="188">
        <f ca="1">IFERROR(__xludf.DUMMYFUNCTION("IMPORTRANGE(""https://docs.google.com/spreadsheets/d/11923uPwbBZFjjGgGUA6NLw09EwE0CqkOc4q9oUmW1yo/edit?usp=sharing"",""เชียงราย!J308"")"),1)</f>
        <v>1</v>
      </c>
      <c r="K413" s="163"/>
      <c r="L413" s="181" t="s">
        <v>40</v>
      </c>
      <c r="M413" s="181"/>
      <c r="N413" s="181" t="s">
        <v>40</v>
      </c>
      <c r="O413" s="181"/>
      <c r="P413" s="181"/>
    </row>
    <row r="414" spans="1:16" ht="21.75" customHeight="1" x14ac:dyDescent="0.3">
      <c r="A414" s="175"/>
      <c r="B414" s="176"/>
      <c r="C414" s="176"/>
      <c r="D414" s="193"/>
      <c r="E414" s="194" t="s">
        <v>47</v>
      </c>
      <c r="F414" s="195"/>
      <c r="G414" s="196"/>
      <c r="H414" s="186"/>
      <c r="I414" s="187"/>
      <c r="J414" s="188">
        <f ca="1">IFERROR(__xludf.DUMMYFUNCTION("IMPORTRANGE(""https://docs.google.com/spreadsheets/d/11923uPwbBZFjjGgGUA6NLw09EwE0CqkOc4q9oUmW1yo/edit?usp=sharing"",""เชียงราย!J309"")"),1)</f>
        <v>1</v>
      </c>
      <c r="K414" s="163"/>
      <c r="L414" s="181"/>
      <c r="M414" s="181"/>
      <c r="N414" s="181"/>
      <c r="O414" s="181"/>
      <c r="P414" s="181"/>
    </row>
    <row r="415" spans="1:16" ht="21.75" customHeight="1" x14ac:dyDescent="0.3">
      <c r="A415" s="175"/>
      <c r="B415" s="176"/>
      <c r="C415" s="176"/>
      <c r="D415" s="193"/>
      <c r="E415" s="194" t="s">
        <v>48</v>
      </c>
      <c r="F415" s="195"/>
      <c r="G415" s="196"/>
      <c r="H415" s="186"/>
      <c r="I415" s="187"/>
      <c r="J415" s="197">
        <f ca="1">IFERROR(__xludf.DUMMYFUNCTION("IMPORTRANGE(""https://docs.google.com/spreadsheets/d/11923uPwbBZFjjGgGUA6NLw09EwE0CqkOc4q9oUmW1yo/edit?usp=sharing"",""เชียงราย!J310"")"),1)</f>
        <v>1</v>
      </c>
      <c r="K415" s="163"/>
      <c r="L415" s="181"/>
      <c r="M415" s="181"/>
      <c r="N415" s="181"/>
      <c r="O415" s="181"/>
      <c r="P415" s="181"/>
    </row>
    <row r="416" spans="1:16" ht="21.75" customHeight="1" x14ac:dyDescent="0.3">
      <c r="A416" s="175"/>
      <c r="B416" s="176"/>
      <c r="C416" s="176"/>
      <c r="D416" s="193"/>
      <c r="E416" s="198"/>
      <c r="F416" s="194" t="s">
        <v>70</v>
      </c>
      <c r="G416" s="386"/>
      <c r="H416" s="387" t="s">
        <v>37</v>
      </c>
      <c r="I416" s="200">
        <f ca="1">IFERROR(__xludf.DUMMYFUNCTION("IMPORTRANGE(""https://docs.google.com/spreadsheets/d/11923uPwbBZFjjGgGUA6NLw09EwE0CqkOc4q9oUmW1yo/edit?usp=sharing"",""เชียงราย!I311"")"),58)</f>
        <v>58</v>
      </c>
      <c r="J416" s="200">
        <f ca="1">IFERROR(__xludf.DUMMYFUNCTION("IMPORTRANGE(""https://docs.google.com/spreadsheets/d/11923uPwbBZFjjGgGUA6NLw09EwE0CqkOc4q9oUmW1yo/edit?usp=sharing"",""เชียงราย!J311"")"),0)</f>
        <v>0</v>
      </c>
      <c r="K416" s="201">
        <f t="shared" ref="K416:K432" ca="1" si="113">IF(I416&gt;0,J416*100/I416,0)</f>
        <v>0</v>
      </c>
      <c r="L416" s="181"/>
      <c r="M416" s="181"/>
      <c r="N416" s="181"/>
      <c r="O416" s="181"/>
      <c r="P416" s="181"/>
    </row>
    <row r="417" spans="1:16" ht="21.75" customHeight="1" x14ac:dyDescent="0.45">
      <c r="A417" s="175"/>
      <c r="B417" s="176"/>
      <c r="C417" s="176"/>
      <c r="D417" s="193"/>
      <c r="E417" s="198"/>
      <c r="F417" s="388" t="s">
        <v>148</v>
      </c>
      <c r="G417" s="196"/>
      <c r="H417" s="199" t="s">
        <v>37</v>
      </c>
      <c r="I417" s="389">
        <f ca="1">IFERROR(__xludf.DUMMYFUNCTION("IMPORTRANGE(""https://docs.google.com/spreadsheets/d/11923uPwbBZFjjGgGUA6NLw09EwE0CqkOc4q9oUmW1yo/edit?usp=sharing"",""เชียงราย!I312"")"),10)</f>
        <v>10</v>
      </c>
      <c r="J417" s="390">
        <f ca="1">IFERROR(__xludf.DUMMYFUNCTION("IMPORTRANGE(""https://docs.google.com/spreadsheets/d/11923uPwbBZFjjGgGUA6NLw09EwE0CqkOc4q9oUmW1yo/edit?usp=sharing"",""เชียงราย!J312"")"),0)</f>
        <v>0</v>
      </c>
      <c r="K417" s="201">
        <f t="shared" ca="1" si="113"/>
        <v>0</v>
      </c>
      <c r="L417" s="181"/>
      <c r="M417" s="181"/>
      <c r="N417" s="181"/>
      <c r="O417" s="181"/>
      <c r="P417" s="181"/>
    </row>
    <row r="418" spans="1:16" ht="21.75" customHeight="1" x14ac:dyDescent="0.45">
      <c r="A418" s="175"/>
      <c r="B418" s="176"/>
      <c r="C418" s="176"/>
      <c r="D418" s="193"/>
      <c r="E418" s="198"/>
      <c r="F418" s="195"/>
      <c r="G418" s="196"/>
      <c r="H418" s="199" t="s">
        <v>122</v>
      </c>
      <c r="I418" s="389">
        <f ca="1">IFERROR(__xludf.DUMMYFUNCTION("IMPORTRANGE(""https://docs.google.com/spreadsheets/d/11923uPwbBZFjjGgGUA6NLw09EwE0CqkOc4q9oUmW1yo/edit?usp=sharing"",""เชียงราย!I313"")"),30)</f>
        <v>30</v>
      </c>
      <c r="J418" s="391">
        <f ca="1">IFERROR(__xludf.DUMMYFUNCTION("IMPORTRANGE(""https://docs.google.com/spreadsheets/d/11923uPwbBZFjjGgGUA6NLw09EwE0CqkOc4q9oUmW1yo/edit?usp=sharing"",""เชียงราย!J313"")"),0)</f>
        <v>0</v>
      </c>
      <c r="K418" s="201">
        <f t="shared" ca="1" si="113"/>
        <v>0</v>
      </c>
      <c r="L418" s="181"/>
      <c r="M418" s="181"/>
      <c r="N418" s="181"/>
      <c r="O418" s="181"/>
      <c r="P418" s="181"/>
    </row>
    <row r="419" spans="1:16" ht="21.75" customHeight="1" x14ac:dyDescent="0.45">
      <c r="A419" s="175"/>
      <c r="B419" s="176"/>
      <c r="C419" s="176"/>
      <c r="D419" s="193"/>
      <c r="E419" s="198"/>
      <c r="F419" s="195"/>
      <c r="G419" s="225" t="s">
        <v>149</v>
      </c>
      <c r="H419" s="180" t="s">
        <v>37</v>
      </c>
      <c r="I419" s="339">
        <f ca="1">IFERROR(__xludf.DUMMYFUNCTION("IMPORTRANGE(""https://docs.google.com/spreadsheets/d/11923uPwbBZFjjGgGUA6NLw09EwE0CqkOc4q9oUmW1yo/edit?usp=sharing"",""เชียงราย!I314"")"),10)</f>
        <v>10</v>
      </c>
      <c r="J419" s="392">
        <f ca="1">IFERROR(__xludf.DUMMYFUNCTION("IMPORTRANGE(""https://docs.google.com/spreadsheets/d/11923uPwbBZFjjGgGUA6NLw09EwE0CqkOc4q9oUmW1yo/edit?usp=sharing"",""เชียงราย!J314"")"),0)</f>
        <v>0</v>
      </c>
      <c r="K419" s="163">
        <f t="shared" ca="1" si="113"/>
        <v>0</v>
      </c>
      <c r="L419" s="181"/>
      <c r="M419" s="181"/>
      <c r="N419" s="181"/>
      <c r="O419" s="181"/>
      <c r="P419" s="181"/>
    </row>
    <row r="420" spans="1:16" ht="21.75" customHeight="1" x14ac:dyDescent="0.45">
      <c r="A420" s="233"/>
      <c r="B420" s="234"/>
      <c r="C420" s="234"/>
      <c r="D420" s="393"/>
      <c r="E420" s="394"/>
      <c r="F420" s="345"/>
      <c r="G420" s="395" t="s">
        <v>150</v>
      </c>
      <c r="H420" s="347" t="s">
        <v>37</v>
      </c>
      <c r="I420" s="396">
        <f ca="1">IFERROR(__xludf.DUMMYFUNCTION("IMPORTRANGE(""https://docs.google.com/spreadsheets/d/11923uPwbBZFjjGgGUA6NLw09EwE0CqkOc4q9oUmW1yo/edit?usp=sharing"",""เชียงราย!I315"")"),10)</f>
        <v>10</v>
      </c>
      <c r="J420" s="392">
        <f ca="1">IFERROR(__xludf.DUMMYFUNCTION("IMPORTRANGE(""https://docs.google.com/spreadsheets/d/11923uPwbBZFjjGgGUA6NLw09EwE0CqkOc4q9oUmW1yo/edit?usp=sharing"",""เชียงราย!J315"")"),0)</f>
        <v>0</v>
      </c>
      <c r="K420" s="286">
        <f t="shared" ca="1" si="113"/>
        <v>0</v>
      </c>
      <c r="L420" s="244"/>
      <c r="M420" s="244"/>
      <c r="N420" s="244"/>
      <c r="O420" s="244"/>
      <c r="P420" s="244"/>
    </row>
    <row r="421" spans="1:16" ht="21.75" customHeight="1" x14ac:dyDescent="0.45">
      <c r="A421" s="175"/>
      <c r="B421" s="176"/>
      <c r="C421" s="176"/>
      <c r="D421" s="193"/>
      <c r="E421" s="198"/>
      <c r="F421" s="388" t="s">
        <v>151</v>
      </c>
      <c r="G421" s="196"/>
      <c r="H421" s="199" t="s">
        <v>37</v>
      </c>
      <c r="I421" s="389">
        <f ca="1">IFERROR(__xludf.DUMMYFUNCTION("IMPORTRANGE(""https://docs.google.com/spreadsheets/d/11923uPwbBZFjjGgGUA6NLw09EwE0CqkOc4q9oUmW1yo/edit?usp=sharing"",""เชียงราย!I316"")"),38)</f>
        <v>38</v>
      </c>
      <c r="J421" s="390">
        <f ca="1">IFERROR(__xludf.DUMMYFUNCTION("IMPORTRANGE(""https://docs.google.com/spreadsheets/d/11923uPwbBZFjjGgGUA6NLw09EwE0CqkOc4q9oUmW1yo/edit?usp=sharing"",""เชียงราย!J316"")"),0)</f>
        <v>0</v>
      </c>
      <c r="K421" s="201">
        <f t="shared" ca="1" si="113"/>
        <v>0</v>
      </c>
      <c r="L421" s="181"/>
      <c r="M421" s="181"/>
      <c r="N421" s="181"/>
      <c r="O421" s="181"/>
      <c r="P421" s="181"/>
    </row>
    <row r="422" spans="1:16" ht="21.75" customHeight="1" x14ac:dyDescent="0.45">
      <c r="A422" s="175"/>
      <c r="B422" s="176"/>
      <c r="C422" s="176"/>
      <c r="D422" s="193"/>
      <c r="E422" s="198"/>
      <c r="F422" s="195"/>
      <c r="G422" s="196"/>
      <c r="H422" s="199" t="s">
        <v>122</v>
      </c>
      <c r="I422" s="389">
        <f ca="1">IFERROR(__xludf.DUMMYFUNCTION("IMPORTRANGE(""https://docs.google.com/spreadsheets/d/11923uPwbBZFjjGgGUA6NLw09EwE0CqkOc4q9oUmW1yo/edit?usp=sharing"",""เชียงราย!I317"")"),114)</f>
        <v>114</v>
      </c>
      <c r="J422" s="391">
        <f ca="1">IFERROR(__xludf.DUMMYFUNCTION("IMPORTRANGE(""https://docs.google.com/spreadsheets/d/11923uPwbBZFjjGgGUA6NLw09EwE0CqkOc4q9oUmW1yo/edit?usp=sharing"",""เชียงราย!J317"")"),0)</f>
        <v>0</v>
      </c>
      <c r="K422" s="201">
        <f t="shared" ca="1" si="113"/>
        <v>0</v>
      </c>
      <c r="L422" s="181"/>
      <c r="M422" s="181"/>
      <c r="N422" s="181"/>
      <c r="O422" s="181"/>
      <c r="P422" s="181"/>
    </row>
    <row r="423" spans="1:16" ht="21.75" customHeight="1" x14ac:dyDescent="0.45">
      <c r="A423" s="175"/>
      <c r="B423" s="176"/>
      <c r="C423" s="176"/>
      <c r="D423" s="193"/>
      <c r="E423" s="198"/>
      <c r="F423" s="195"/>
      <c r="G423" s="225" t="s">
        <v>152</v>
      </c>
      <c r="H423" s="180" t="s">
        <v>37</v>
      </c>
      <c r="I423" s="339">
        <f ca="1">IFERROR(__xludf.DUMMYFUNCTION("IMPORTRANGE(""https://docs.google.com/spreadsheets/d/11923uPwbBZFjjGgGUA6NLw09EwE0CqkOc4q9oUmW1yo/edit?usp=sharing"",""เชียงราย!I318"")"),38)</f>
        <v>38</v>
      </c>
      <c r="J423" s="392">
        <f ca="1">IFERROR(__xludf.DUMMYFUNCTION("IMPORTRANGE(""https://docs.google.com/spreadsheets/d/11923uPwbBZFjjGgGUA6NLw09EwE0CqkOc4q9oUmW1yo/edit?usp=sharing"",""เชียงราย!J318"")"),0)</f>
        <v>0</v>
      </c>
      <c r="K423" s="163">
        <f t="shared" ca="1" si="113"/>
        <v>0</v>
      </c>
      <c r="L423" s="181"/>
      <c r="M423" s="181"/>
      <c r="N423" s="181"/>
      <c r="O423" s="181"/>
      <c r="P423" s="181"/>
    </row>
    <row r="424" spans="1:16" ht="21.75" customHeight="1" x14ac:dyDescent="0.45">
      <c r="A424" s="175"/>
      <c r="B424" s="176"/>
      <c r="C424" s="176"/>
      <c r="D424" s="193"/>
      <c r="E424" s="198"/>
      <c r="F424" s="195"/>
      <c r="G424" s="225" t="s">
        <v>153</v>
      </c>
      <c r="H424" s="180" t="s">
        <v>37</v>
      </c>
      <c r="I424" s="339">
        <f ca="1">IFERROR(__xludf.DUMMYFUNCTION("IMPORTRANGE(""https://docs.google.com/spreadsheets/d/11923uPwbBZFjjGgGUA6NLw09EwE0CqkOc4q9oUmW1yo/edit?usp=sharing"",""เชียงราย!I319"")"),38)</f>
        <v>38</v>
      </c>
      <c r="J424" s="392">
        <f ca="1">IFERROR(__xludf.DUMMYFUNCTION("IMPORTRANGE(""https://docs.google.com/spreadsheets/d/11923uPwbBZFjjGgGUA6NLw09EwE0CqkOc4q9oUmW1yo/edit?usp=sharing"",""เชียงราย!J319"")"),0)</f>
        <v>0</v>
      </c>
      <c r="K424" s="163">
        <f t="shared" ca="1" si="113"/>
        <v>0</v>
      </c>
      <c r="L424" s="181"/>
      <c r="M424" s="181"/>
      <c r="N424" s="181"/>
      <c r="O424" s="181"/>
      <c r="P424" s="181"/>
    </row>
    <row r="425" spans="1:16" ht="21.75" customHeight="1" x14ac:dyDescent="0.45">
      <c r="A425" s="175"/>
      <c r="B425" s="176"/>
      <c r="C425" s="176"/>
      <c r="D425" s="193"/>
      <c r="E425" s="198"/>
      <c r="F425" s="195"/>
      <c r="G425" s="225" t="s">
        <v>154</v>
      </c>
      <c r="H425" s="180" t="s">
        <v>37</v>
      </c>
      <c r="I425" s="339">
        <f ca="1">IFERROR(__xludf.DUMMYFUNCTION("IMPORTRANGE(""https://docs.google.com/spreadsheets/d/11923uPwbBZFjjGgGUA6NLw09EwE0CqkOc4q9oUmW1yo/edit?usp=sharing"",""เชียงราย!I320"")"),38)</f>
        <v>38</v>
      </c>
      <c r="J425" s="392">
        <f ca="1">IFERROR(__xludf.DUMMYFUNCTION("IMPORTRANGE(""https://docs.google.com/spreadsheets/d/11923uPwbBZFjjGgGUA6NLw09EwE0CqkOc4q9oUmW1yo/edit?usp=sharing"",""เชียงราย!J320"")"),0)</f>
        <v>0</v>
      </c>
      <c r="K425" s="163">
        <f t="shared" ca="1" si="113"/>
        <v>0</v>
      </c>
      <c r="L425" s="181"/>
      <c r="M425" s="181"/>
      <c r="N425" s="181"/>
      <c r="O425" s="181"/>
      <c r="P425" s="181"/>
    </row>
    <row r="426" spans="1:16" ht="21.75" customHeight="1" x14ac:dyDescent="0.45">
      <c r="A426" s="175"/>
      <c r="B426" s="176"/>
      <c r="C426" s="176"/>
      <c r="D426" s="193"/>
      <c r="E426" s="198"/>
      <c r="F426" s="397" t="s">
        <v>155</v>
      </c>
      <c r="G426" s="196"/>
      <c r="H426" s="199" t="s">
        <v>37</v>
      </c>
      <c r="I426" s="389">
        <f ca="1">IFERROR(__xludf.DUMMYFUNCTION("IMPORTRANGE(""https://docs.google.com/spreadsheets/d/11923uPwbBZFjjGgGUA6NLw09EwE0CqkOc4q9oUmW1yo/edit?usp=sharing"",""เชียงราย!I321"")"),10)</f>
        <v>10</v>
      </c>
      <c r="J426" s="390">
        <f ca="1">IFERROR(__xludf.DUMMYFUNCTION("IMPORTRANGE(""https://docs.google.com/spreadsheets/d/11923uPwbBZFjjGgGUA6NLw09EwE0CqkOc4q9oUmW1yo/edit?usp=sharing"",""เชียงราย!J321"")"),0)</f>
        <v>0</v>
      </c>
      <c r="K426" s="201">
        <f t="shared" ca="1" si="113"/>
        <v>0</v>
      </c>
      <c r="L426" s="181"/>
      <c r="M426" s="181"/>
      <c r="N426" s="181"/>
      <c r="O426" s="181"/>
      <c r="P426" s="181"/>
    </row>
    <row r="427" spans="1:16" ht="21.75" customHeight="1" x14ac:dyDescent="0.45">
      <c r="A427" s="175"/>
      <c r="B427" s="176"/>
      <c r="C427" s="176"/>
      <c r="D427" s="193"/>
      <c r="E427" s="198"/>
      <c r="F427" s="195"/>
      <c r="G427" s="196"/>
      <c r="H427" s="199" t="s">
        <v>122</v>
      </c>
      <c r="I427" s="389">
        <f ca="1">IFERROR(__xludf.DUMMYFUNCTION("IMPORTRANGE(""https://docs.google.com/spreadsheets/d/11923uPwbBZFjjGgGUA6NLw09EwE0CqkOc4q9oUmW1yo/edit?usp=sharing"",""เชียงราย!I322"")"),30)</f>
        <v>30</v>
      </c>
      <c r="J427" s="391">
        <f ca="1">IFERROR(__xludf.DUMMYFUNCTION("IMPORTRANGE(""https://docs.google.com/spreadsheets/d/11923uPwbBZFjjGgGUA6NLw09EwE0CqkOc4q9oUmW1yo/edit?usp=sharing"",""เชียงราย!J322"")"),0)</f>
        <v>0</v>
      </c>
      <c r="K427" s="201">
        <f t="shared" ca="1" si="113"/>
        <v>0</v>
      </c>
      <c r="L427" s="181"/>
      <c r="M427" s="181"/>
      <c r="N427" s="181"/>
      <c r="O427" s="181"/>
      <c r="P427" s="181"/>
    </row>
    <row r="428" spans="1:16" ht="21.75" customHeight="1" x14ac:dyDescent="0.45">
      <c r="A428" s="175"/>
      <c r="B428" s="176"/>
      <c r="C428" s="176"/>
      <c r="D428" s="193"/>
      <c r="E428" s="198"/>
      <c r="F428" s="195"/>
      <c r="G428" s="225" t="s">
        <v>156</v>
      </c>
      <c r="H428" s="180" t="s">
        <v>37</v>
      </c>
      <c r="I428" s="398">
        <f ca="1">IFERROR(__xludf.DUMMYFUNCTION("IMPORTRANGE(""https://docs.google.com/spreadsheets/d/11923uPwbBZFjjGgGUA6NLw09EwE0CqkOc4q9oUmW1yo/edit?usp=sharing"",""เชียงราย!I323"")"),10)</f>
        <v>10</v>
      </c>
      <c r="J428" s="392">
        <f ca="1">IFERROR(__xludf.DUMMYFUNCTION("IMPORTRANGE(""https://docs.google.com/spreadsheets/d/11923uPwbBZFjjGgGUA6NLw09EwE0CqkOc4q9oUmW1yo/edit?usp=sharing"",""เชียงราย!J323"")"),0)</f>
        <v>0</v>
      </c>
      <c r="K428" s="163">
        <f t="shared" ca="1" si="113"/>
        <v>0</v>
      </c>
      <c r="L428" s="181"/>
      <c r="M428" s="181"/>
      <c r="N428" s="181"/>
      <c r="O428" s="181"/>
      <c r="P428" s="181"/>
    </row>
    <row r="429" spans="1:16" ht="21.75" customHeight="1" x14ac:dyDescent="0.45">
      <c r="A429" s="175"/>
      <c r="B429" s="176"/>
      <c r="C429" s="176"/>
      <c r="D429" s="193"/>
      <c r="E429" s="198"/>
      <c r="F429" s="195"/>
      <c r="G429" s="225" t="s">
        <v>157</v>
      </c>
      <c r="H429" s="180" t="s">
        <v>37</v>
      </c>
      <c r="I429" s="398">
        <f ca="1">IFERROR(__xludf.DUMMYFUNCTION("IMPORTRANGE(""https://docs.google.com/spreadsheets/d/11923uPwbBZFjjGgGUA6NLw09EwE0CqkOc4q9oUmW1yo/edit?usp=sharing"",""เชียงราย!I324"")"),10)</f>
        <v>10</v>
      </c>
      <c r="J429" s="392">
        <f ca="1">IFERROR(__xludf.DUMMYFUNCTION("IMPORTRANGE(""https://docs.google.com/spreadsheets/d/11923uPwbBZFjjGgGUA6NLw09EwE0CqkOc4q9oUmW1yo/edit?usp=sharing"",""เชียงราย!J324"")"),0)</f>
        <v>0</v>
      </c>
      <c r="K429" s="163">
        <f t="shared" ca="1" si="113"/>
        <v>0</v>
      </c>
      <c r="L429" s="181"/>
      <c r="M429" s="181"/>
      <c r="N429" s="181"/>
      <c r="O429" s="181"/>
      <c r="P429" s="181"/>
    </row>
    <row r="430" spans="1:16" ht="21.75" customHeight="1" x14ac:dyDescent="0.45">
      <c r="A430" s="175"/>
      <c r="B430" s="176"/>
      <c r="C430" s="176"/>
      <c r="D430" s="193"/>
      <c r="E430" s="198"/>
      <c r="F430" s="194" t="s">
        <v>53</v>
      </c>
      <c r="G430" s="386"/>
      <c r="H430" s="399" t="s">
        <v>37</v>
      </c>
      <c r="I430" s="200">
        <f ca="1">IFERROR(__xludf.DUMMYFUNCTION("IMPORTRANGE(""https://docs.google.com/spreadsheets/d/11923uPwbBZFjjGgGUA6NLw09EwE0CqkOc4q9oUmW1yo/edit?usp=sharing"",""เชียงราย!I325"")"),48)</f>
        <v>48</v>
      </c>
      <c r="J430" s="390">
        <f ca="1">IFERROR(__xludf.DUMMYFUNCTION("IMPORTRANGE(""https://docs.google.com/spreadsheets/d/11923uPwbBZFjjGgGUA6NLw09EwE0CqkOc4q9oUmW1yo/edit?usp=sharing"",""เชียงราย!J325"")"),0)</f>
        <v>0</v>
      </c>
      <c r="K430" s="201">
        <f t="shared" ca="1" si="113"/>
        <v>0</v>
      </c>
      <c r="L430" s="181"/>
      <c r="M430" s="181"/>
      <c r="N430" s="181"/>
      <c r="O430" s="181"/>
      <c r="P430" s="181"/>
    </row>
    <row r="431" spans="1:16" ht="21.75" customHeight="1" x14ac:dyDescent="0.45">
      <c r="A431" s="400"/>
      <c r="B431" s="401"/>
      <c r="C431" s="401"/>
      <c r="D431" s="402"/>
      <c r="E431" s="198"/>
      <c r="F431" s="195"/>
      <c r="G431" s="225" t="s">
        <v>158</v>
      </c>
      <c r="H431" s="180" t="s">
        <v>37</v>
      </c>
      <c r="I431" s="398">
        <f ca="1">IFERROR(__xludf.DUMMYFUNCTION("IMPORTRANGE(""https://docs.google.com/spreadsheets/d/11923uPwbBZFjjGgGUA6NLw09EwE0CqkOc4q9oUmW1yo/edit?usp=sharing"",""เชียงราย!I326"")"),10)</f>
        <v>10</v>
      </c>
      <c r="J431" s="392">
        <f ca="1">IFERROR(__xludf.DUMMYFUNCTION("IMPORTRANGE(""https://docs.google.com/spreadsheets/d/11923uPwbBZFjjGgGUA6NLw09EwE0CqkOc4q9oUmW1yo/edit?usp=sharing"",""เชียงราย!J326"")"),0)</f>
        <v>0</v>
      </c>
      <c r="K431" s="163">
        <f t="shared" ca="1" si="113"/>
        <v>0</v>
      </c>
      <c r="L431" s="181"/>
      <c r="M431" s="181"/>
      <c r="N431" s="181"/>
      <c r="O431" s="181"/>
      <c r="P431" s="181"/>
    </row>
    <row r="432" spans="1:16" ht="21.75" customHeight="1" x14ac:dyDescent="0.45">
      <c r="A432" s="400"/>
      <c r="B432" s="401"/>
      <c r="C432" s="401"/>
      <c r="D432" s="402"/>
      <c r="E432" s="198"/>
      <c r="F432" s="195"/>
      <c r="G432" s="225" t="s">
        <v>159</v>
      </c>
      <c r="H432" s="180" t="s">
        <v>37</v>
      </c>
      <c r="I432" s="398">
        <f ca="1">IFERROR(__xludf.DUMMYFUNCTION("IMPORTRANGE(""https://docs.google.com/spreadsheets/d/11923uPwbBZFjjGgGUA6NLw09EwE0CqkOc4q9oUmW1yo/edit?usp=sharing"",""เชียงราย!I327"")"),38)</f>
        <v>38</v>
      </c>
      <c r="J432" s="392">
        <f ca="1">IFERROR(__xludf.DUMMYFUNCTION("IMPORTRANGE(""https://docs.google.com/spreadsheets/d/11923uPwbBZFjjGgGUA6NLw09EwE0CqkOc4q9oUmW1yo/edit?usp=sharing"",""เชียงราย!J327"")"),0)</f>
        <v>0</v>
      </c>
      <c r="K432" s="163">
        <f t="shared" ca="1" si="113"/>
        <v>0</v>
      </c>
      <c r="L432" s="181"/>
      <c r="M432" s="181"/>
      <c r="N432" s="181"/>
      <c r="O432" s="181"/>
      <c r="P432" s="181"/>
    </row>
    <row r="433" spans="1:16" ht="21.75" customHeight="1" x14ac:dyDescent="0.3">
      <c r="A433" s="175"/>
      <c r="B433" s="176"/>
      <c r="C433" s="176"/>
      <c r="D433" s="193"/>
      <c r="E433" s="194" t="s">
        <v>54</v>
      </c>
      <c r="F433" s="195"/>
      <c r="G433" s="196"/>
      <c r="H433" s="186"/>
      <c r="I433" s="187"/>
      <c r="J433" s="197">
        <f ca="1">IFERROR(__xludf.DUMMYFUNCTION("IMPORTRANGE(""https://docs.google.com/spreadsheets/d/11923uPwbBZFjjGgGUA6NLw09EwE0CqkOc4q9oUmW1yo/edit?usp=sharing"",""เชียงราย!J328"")"),0)</f>
        <v>0</v>
      </c>
      <c r="K433" s="163"/>
      <c r="L433" s="181"/>
      <c r="M433" s="181"/>
      <c r="N433" s="181"/>
      <c r="O433" s="181"/>
      <c r="P433" s="181"/>
    </row>
    <row r="434" spans="1:16" ht="21.75" customHeight="1" x14ac:dyDescent="0.3">
      <c r="A434" s="175"/>
      <c r="B434" s="176"/>
      <c r="C434" s="176"/>
      <c r="D434" s="205">
        <v>3</v>
      </c>
      <c r="E434" s="206" t="s">
        <v>55</v>
      </c>
      <c r="F434" s="207"/>
      <c r="G434" s="208"/>
      <c r="H434" s="186"/>
      <c r="I434" s="187"/>
      <c r="J434" s="209">
        <f ca="1">IFERROR(__xludf.DUMMYFUNCTION("IMPORTRANGE(""https://docs.google.com/spreadsheets/d/11923uPwbBZFjjGgGUA6NLw09EwE0CqkOc4q9oUmW1yo/edit?usp=sharing"",""เชียงราย!J329"")"),0)</f>
        <v>0</v>
      </c>
      <c r="K434" s="163"/>
      <c r="L434" s="181"/>
      <c r="M434" s="181"/>
      <c r="N434" s="181"/>
      <c r="O434" s="181"/>
      <c r="P434" s="181"/>
    </row>
    <row r="435" spans="1:16" ht="21.75" customHeight="1" x14ac:dyDescent="0.3">
      <c r="A435" s="403"/>
      <c r="B435" s="404">
        <v>4</v>
      </c>
      <c r="C435" s="404" t="s">
        <v>160</v>
      </c>
      <c r="D435" s="405"/>
      <c r="E435" s="405"/>
      <c r="F435" s="405"/>
      <c r="G435" s="406"/>
      <c r="H435" s="407" t="s">
        <v>37</v>
      </c>
      <c r="I435" s="408">
        <f ca="1">IFERROR(__xludf.DUMMYFUNCTION("IMPORTRANGE(""https://docs.google.com/spreadsheets/d/11923uPwbBZFjjGgGUA6NLw09EwE0CqkOc4q9oUmW1yo/edit?usp=sharing"",""เชียงราย!I330"")"),50)</f>
        <v>50</v>
      </c>
      <c r="J435" s="408">
        <f ca="1">IFERROR(__xludf.DUMMYFUNCTION("IMPORTRANGE(""https://docs.google.com/spreadsheets/d/11923uPwbBZFjjGgGUA6NLw09EwE0CqkOc4q9oUmW1yo/edit?usp=sharing"",""เชียงราย!J330"")"),50)</f>
        <v>50</v>
      </c>
      <c r="K435" s="409">
        <f ca="1">IF(I435&gt;0,J435*100/I435,0)</f>
        <v>100</v>
      </c>
      <c r="L435" s="410">
        <f ca="1">IFERROR(__xludf.DUMMYFUNCTION("IMPORTRANGE(""https://docs.google.com/spreadsheets/d/11923uPwbBZFjjGgGUA6NLw09EwE0CqkOc4q9oUmW1yo/edit?usp=sharing"",""เชียงราย!L330"")"),154800)</f>
        <v>154800</v>
      </c>
      <c r="M435" s="410"/>
      <c r="N435" s="410">
        <f ca="1">IFERROR(__xludf.DUMMYFUNCTION("IMPORTRANGE(""https://docs.google.com/spreadsheets/d/11923uPwbBZFjjGgGUA6NLw09EwE0CqkOc4q9oUmW1yo/edit?usp=sharing"",""เชียงราย!M330"")"),68192)</f>
        <v>68192</v>
      </c>
      <c r="O435" s="410">
        <f t="shared" ref="O435:O439" ca="1" si="114">+IF(L435&gt;0,N435*100/L435,0)</f>
        <v>44.05167958656331</v>
      </c>
      <c r="P435" s="410"/>
    </row>
    <row r="436" spans="1:16" ht="21.75" customHeight="1" x14ac:dyDescent="0.3">
      <c r="A436" s="156"/>
      <c r="B436" s="157"/>
      <c r="C436" s="157" t="s">
        <v>16</v>
      </c>
      <c r="D436" s="158" t="s">
        <v>38</v>
      </c>
      <c r="E436" s="159"/>
      <c r="F436" s="159"/>
      <c r="G436" s="160" t="s">
        <v>39</v>
      </c>
      <c r="H436" s="161" t="s">
        <v>12</v>
      </c>
      <c r="I436" s="162" t="s">
        <v>40</v>
      </c>
      <c r="J436" s="162"/>
      <c r="K436" s="163"/>
      <c r="L436" s="164">
        <f ca="1">IFERROR(__xludf.DUMMYFUNCTION("IMPORTRANGE(""https://docs.google.com/spreadsheets/d/11923uPwbBZFjjGgGUA6NLw09EwE0CqkOc4q9oUmW1yo/edit?usp=sharing"",""เชียงราย!L331"")"),0)</f>
        <v>0</v>
      </c>
      <c r="M436" s="164"/>
      <c r="N436" s="168">
        <f ca="1">IFERROR(__xludf.DUMMYFUNCTION("IMPORTRANGE(""https://docs.google.com/spreadsheets/d/11923uPwbBZFjjGgGUA6NLw09EwE0CqkOc4q9oUmW1yo/edit?usp=sharing"",""เชียงราย!M331"")"),0)</f>
        <v>0</v>
      </c>
      <c r="O436" s="168">
        <f t="shared" ca="1" si="114"/>
        <v>0</v>
      </c>
      <c r="P436" s="168"/>
    </row>
    <row r="437" spans="1:16" ht="21.75" customHeight="1" x14ac:dyDescent="0.3">
      <c r="A437" s="156"/>
      <c r="B437" s="157"/>
      <c r="C437" s="157"/>
      <c r="D437" s="166"/>
      <c r="E437" s="159"/>
      <c r="F437" s="159" t="s">
        <v>40</v>
      </c>
      <c r="G437" s="160" t="s">
        <v>41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IFERROR(__xludf.DUMMYFUNCTION("IMPORTRANGE(""https://docs.google.com/spreadsheets/d/11923uPwbBZFjjGgGUA6NLw09EwE0CqkOc4q9oUmW1yo/edit?usp=sharing"",""เชียงราย!L332"")"),154800)</f>
        <v>154800</v>
      </c>
      <c r="M437" s="165"/>
      <c r="N437" s="168">
        <f ca="1">IFERROR(__xludf.DUMMYFUNCTION("IMPORTRANGE(""https://docs.google.com/spreadsheets/d/11923uPwbBZFjjGgGUA6NLw09EwE0CqkOc4q9oUmW1yo/edit?usp=sharing"",""เชียงราย!M332"")"),68192)</f>
        <v>68192</v>
      </c>
      <c r="O437" s="168">
        <f t="shared" ca="1" si="114"/>
        <v>44.05167958656331</v>
      </c>
      <c r="P437" s="168"/>
    </row>
    <row r="438" spans="1:16" ht="21.75" customHeight="1" x14ac:dyDescent="0.3">
      <c r="A438" s="156"/>
      <c r="B438" s="157"/>
      <c r="C438" s="157"/>
      <c r="D438" s="166"/>
      <c r="E438" s="159"/>
      <c r="F438" s="159"/>
      <c r="G438" s="372" t="s">
        <v>129</v>
      </c>
      <c r="H438" s="161" t="s">
        <v>12</v>
      </c>
      <c r="I438" s="162"/>
      <c r="J438" s="162"/>
      <c r="K438" s="163"/>
      <c r="L438" s="168">
        <f ca="1">IFERROR(__xludf.DUMMYFUNCTION("IMPORTRANGE(""https://docs.google.com/spreadsheets/d/11923uPwbBZFjjGgGUA6NLw09EwE0CqkOc4q9oUmW1yo/edit?usp=sharing"",""เชียงราย!L333"")"),0)</f>
        <v>0</v>
      </c>
      <c r="M438" s="168"/>
      <c r="N438" s="168">
        <f ca="1">IFERROR(__xludf.DUMMYFUNCTION("IMPORTRANGE(""https://docs.google.com/spreadsheets/d/11923uPwbBZFjjGgGUA6NLw09EwE0CqkOc4q9oUmW1yo/edit?usp=sharing"",""เชียงราย!M333"")"),0)</f>
        <v>0</v>
      </c>
      <c r="O438" s="168">
        <f t="shared" ca="1" si="114"/>
        <v>0</v>
      </c>
      <c r="P438" s="168"/>
    </row>
    <row r="439" spans="1:16" ht="21.75" customHeight="1" x14ac:dyDescent="0.3">
      <c r="A439" s="156"/>
      <c r="B439" s="157"/>
      <c r="C439" s="157"/>
      <c r="D439" s="166"/>
      <c r="E439" s="159"/>
      <c r="F439" s="159"/>
      <c r="G439" s="372" t="s">
        <v>130</v>
      </c>
      <c r="H439" s="161" t="s">
        <v>12</v>
      </c>
      <c r="I439" s="162"/>
      <c r="J439" s="162"/>
      <c r="K439" s="163"/>
      <c r="L439" s="168">
        <f ca="1">IFERROR(__xludf.DUMMYFUNCTION("IMPORTRANGE(""https://docs.google.com/spreadsheets/d/11923uPwbBZFjjGgGUA6NLw09EwE0CqkOc4q9oUmW1yo/edit?usp=sharing"",""เชียงราย!L334"")"),154800)</f>
        <v>154800</v>
      </c>
      <c r="M439" s="168"/>
      <c r="N439" s="168">
        <f ca="1">IFERROR(__xludf.DUMMYFUNCTION("IMPORTRANGE(""https://docs.google.com/spreadsheets/d/11923uPwbBZFjjGgGUA6NLw09EwE0CqkOc4q9oUmW1yo/edit?usp=sharing"",""เชียงราย!M334"")"),68192)</f>
        <v>68192</v>
      </c>
      <c r="O439" s="168">
        <f t="shared" ca="1" si="114"/>
        <v>44.05167958656331</v>
      </c>
      <c r="P439" s="168"/>
    </row>
    <row r="440" spans="1:16" ht="21.75" customHeight="1" x14ac:dyDescent="0.3">
      <c r="A440" s="373"/>
      <c r="B440" s="374"/>
      <c r="C440" s="157"/>
      <c r="D440" s="375"/>
      <c r="E440" s="159"/>
      <c r="F440" s="159"/>
      <c r="G440" s="376" t="s">
        <v>131</v>
      </c>
      <c r="H440" s="161" t="s">
        <v>12</v>
      </c>
      <c r="I440" s="187"/>
      <c r="J440" s="187"/>
      <c r="K440" s="223"/>
      <c r="L440" s="168"/>
      <c r="M440" s="168"/>
      <c r="N440" s="377">
        <f ca="1">IFERROR(__xludf.DUMMYFUNCTION("IMPORTRANGE(""https://docs.google.com/spreadsheets/d/11923uPwbBZFjjGgGUA6NLw09EwE0CqkOc4q9oUmW1yo/edit?usp=sharing"",""เชียงราย!M335"")"),60907)</f>
        <v>60907</v>
      </c>
      <c r="O440" s="168"/>
      <c r="P440" s="168"/>
    </row>
    <row r="441" spans="1:16" ht="21.75" customHeight="1" x14ac:dyDescent="0.3">
      <c r="A441" s="373"/>
      <c r="B441" s="374"/>
      <c r="C441" s="157"/>
      <c r="D441" s="375"/>
      <c r="E441" s="159"/>
      <c r="F441" s="159"/>
      <c r="G441" s="376" t="s">
        <v>132</v>
      </c>
      <c r="H441" s="161" t="s">
        <v>12</v>
      </c>
      <c r="I441" s="187"/>
      <c r="J441" s="187"/>
      <c r="K441" s="223"/>
      <c r="L441" s="168"/>
      <c r="M441" s="168"/>
      <c r="N441" s="377">
        <f ca="1">IFERROR(__xludf.DUMMYFUNCTION("IMPORTRANGE(""https://docs.google.com/spreadsheets/d/11923uPwbBZFjjGgGUA6NLw09EwE0CqkOc4q9oUmW1yo/edit?usp=sharing"",""เชียงราย!M336"")"),0)</f>
        <v>0</v>
      </c>
      <c r="O441" s="168"/>
      <c r="P441" s="168"/>
    </row>
    <row r="442" spans="1:16" ht="21.75" customHeight="1" x14ac:dyDescent="0.3">
      <c r="A442" s="373"/>
      <c r="B442" s="374"/>
      <c r="C442" s="157"/>
      <c r="D442" s="375"/>
      <c r="E442" s="159"/>
      <c r="F442" s="159"/>
      <c r="G442" s="376" t="s">
        <v>133</v>
      </c>
      <c r="H442" s="161" t="s">
        <v>12</v>
      </c>
      <c r="I442" s="187"/>
      <c r="J442" s="187"/>
      <c r="K442" s="223"/>
      <c r="L442" s="168"/>
      <c r="M442" s="168"/>
      <c r="N442" s="377">
        <f ca="1">IFERROR(__xludf.DUMMYFUNCTION("IMPORTRANGE(""https://docs.google.com/spreadsheets/d/11923uPwbBZFjjGgGUA6NLw09EwE0CqkOc4q9oUmW1yo/edit?usp=sharing"",""เชียงราย!M337"")"),0)</f>
        <v>0</v>
      </c>
      <c r="O442" s="168"/>
      <c r="P442" s="168"/>
    </row>
    <row r="443" spans="1:16" ht="21.75" customHeight="1" x14ac:dyDescent="0.3">
      <c r="A443" s="373"/>
      <c r="B443" s="374"/>
      <c r="C443" s="157"/>
      <c r="D443" s="375"/>
      <c r="E443" s="159"/>
      <c r="F443" s="159"/>
      <c r="G443" s="376" t="s">
        <v>134</v>
      </c>
      <c r="H443" s="161" t="s">
        <v>12</v>
      </c>
      <c r="I443" s="187"/>
      <c r="J443" s="187"/>
      <c r="K443" s="223"/>
      <c r="L443" s="168"/>
      <c r="M443" s="168"/>
      <c r="N443" s="377">
        <f ca="1">IFERROR(__xludf.DUMMYFUNCTION("IMPORTRANGE(""https://docs.google.com/spreadsheets/d/11923uPwbBZFjjGgGUA6NLw09EwE0CqkOc4q9oUmW1yo/edit?usp=sharing"",""เชียงราย!M338"")"),7285)</f>
        <v>7285</v>
      </c>
      <c r="O443" s="168"/>
      <c r="P443" s="168"/>
    </row>
    <row r="444" spans="1:16" ht="21.75" customHeight="1" x14ac:dyDescent="0.3">
      <c r="A444" s="175"/>
      <c r="B444" s="176"/>
      <c r="C444" s="157" t="s">
        <v>16</v>
      </c>
      <c r="D444" s="177" t="s">
        <v>44</v>
      </c>
      <c r="E444" s="178"/>
      <c r="F444" s="178"/>
      <c r="G444" s="179"/>
      <c r="H444" s="180"/>
      <c r="I444" s="162"/>
      <c r="J444" s="162"/>
      <c r="K444" s="163"/>
      <c r="L444" s="181"/>
      <c r="M444" s="181"/>
      <c r="N444" s="181"/>
      <c r="O444" s="181"/>
      <c r="P444" s="181"/>
    </row>
    <row r="445" spans="1:16" ht="21.75" customHeight="1" x14ac:dyDescent="0.3">
      <c r="A445" s="175"/>
      <c r="B445" s="176"/>
      <c r="C445" s="176"/>
      <c r="D445" s="182">
        <v>1</v>
      </c>
      <c r="E445" s="183" t="s">
        <v>45</v>
      </c>
      <c r="F445" s="184"/>
      <c r="G445" s="185"/>
      <c r="H445" s="186"/>
      <c r="I445" s="187"/>
      <c r="J445" s="209">
        <f ca="1">IFERROR(__xludf.DUMMYFUNCTION("IMPORTRANGE(""https://docs.google.com/spreadsheets/d/11923uPwbBZFjjGgGUA6NLw09EwE0CqkOc4q9oUmW1yo/edit?usp=sharing"",""เชียงราย!J340"")"),0)</f>
        <v>0</v>
      </c>
      <c r="K445" s="163"/>
      <c r="L445" s="181"/>
      <c r="M445" s="181"/>
      <c r="N445" s="181"/>
      <c r="O445" s="181"/>
      <c r="P445" s="181"/>
    </row>
    <row r="446" spans="1:16" ht="21.75" customHeight="1" x14ac:dyDescent="0.3">
      <c r="A446" s="175"/>
      <c r="B446" s="176"/>
      <c r="C446" s="176"/>
      <c r="D446" s="189">
        <v>2</v>
      </c>
      <c r="E446" s="190" t="s">
        <v>46</v>
      </c>
      <c r="F446" s="191"/>
      <c r="G446" s="192"/>
      <c r="H446" s="186"/>
      <c r="I446" s="187"/>
      <c r="J446" s="411">
        <f ca="1">IFERROR(__xludf.DUMMYFUNCTION("IMPORTRANGE(""https://docs.google.com/spreadsheets/d/11923uPwbBZFjjGgGUA6NLw09EwE0CqkOc4q9oUmW1yo/edit?usp=sharing"",""เชียงราย!J341"")"),1)</f>
        <v>1</v>
      </c>
      <c r="K446" s="163"/>
      <c r="L446" s="181" t="s">
        <v>40</v>
      </c>
      <c r="M446" s="181"/>
      <c r="N446" s="181" t="s">
        <v>40</v>
      </c>
      <c r="O446" s="181"/>
      <c r="P446" s="181"/>
    </row>
    <row r="447" spans="1:16" ht="21.75" customHeight="1" x14ac:dyDescent="0.3">
      <c r="A447" s="175"/>
      <c r="B447" s="176"/>
      <c r="C447" s="176"/>
      <c r="D447" s="193"/>
      <c r="E447" s="194" t="s">
        <v>161</v>
      </c>
      <c r="F447" s="195"/>
      <c r="G447" s="196"/>
      <c r="H447" s="186"/>
      <c r="I447" s="187"/>
      <c r="J447" s="188">
        <f ca="1">IFERROR(__xludf.DUMMYFUNCTION("IMPORTRANGE(""https://docs.google.com/spreadsheets/d/11923uPwbBZFjjGgGUA6NLw09EwE0CqkOc4q9oUmW1yo/edit?usp=sharing"",""เชียงราย!J342"")"),1)</f>
        <v>1</v>
      </c>
      <c r="K447" s="163"/>
      <c r="L447" s="181"/>
      <c r="M447" s="181"/>
      <c r="N447" s="181"/>
      <c r="O447" s="181"/>
      <c r="P447" s="181"/>
    </row>
    <row r="448" spans="1:16" ht="21.75" customHeight="1" x14ac:dyDescent="0.3">
      <c r="A448" s="175"/>
      <c r="B448" s="176"/>
      <c r="C448" s="176"/>
      <c r="D448" s="193"/>
      <c r="E448" s="194" t="s">
        <v>48</v>
      </c>
      <c r="F448" s="195"/>
      <c r="G448" s="196"/>
      <c r="H448" s="186"/>
      <c r="I448" s="187"/>
      <c r="J448" s="188">
        <f ca="1">IFERROR(__xludf.DUMMYFUNCTION("IMPORTRANGE(""https://docs.google.com/spreadsheets/d/11923uPwbBZFjjGgGUA6NLw09EwE0CqkOc4q9oUmW1yo/edit?usp=sharing"",""เชียงราย!J343"")"),1)</f>
        <v>1</v>
      </c>
      <c r="K448" s="163"/>
      <c r="L448" s="181"/>
      <c r="M448" s="181"/>
      <c r="N448" s="181"/>
      <c r="O448" s="181"/>
      <c r="P448" s="181"/>
    </row>
    <row r="449" spans="1:16" ht="21.75" customHeight="1" x14ac:dyDescent="0.3">
      <c r="A449" s="175"/>
      <c r="B449" s="176"/>
      <c r="C449" s="176"/>
      <c r="D449" s="193"/>
      <c r="E449" s="198"/>
      <c r="F449" s="412" t="s">
        <v>101</v>
      </c>
      <c r="G449" s="196"/>
      <c r="H449" s="186" t="s">
        <v>37</v>
      </c>
      <c r="I449" s="389">
        <f ca="1">IFERROR(__xludf.DUMMYFUNCTION("IMPORTRANGE(""https://docs.google.com/spreadsheets/d/11923uPwbBZFjjGgGUA6NLw09EwE0CqkOc4q9oUmW1yo/edit?usp=sharing"",""เชียงราย!I344"")"),50)</f>
        <v>50</v>
      </c>
      <c r="J449" s="200">
        <f ca="1">IFERROR(__xludf.DUMMYFUNCTION("IMPORTRANGE(""https://docs.google.com/spreadsheets/d/11923uPwbBZFjjGgGUA6NLw09EwE0CqkOc4q9oUmW1yo/edit?usp=sharing"",""เชียงราย!J344"")"),50)</f>
        <v>50</v>
      </c>
      <c r="K449" s="163">
        <f t="shared" ref="K449:K452" ca="1" si="115">IF(I449&gt;0,J449*100/I449,0)</f>
        <v>100</v>
      </c>
      <c r="L449" s="181"/>
      <c r="M449" s="181"/>
      <c r="N449" s="181"/>
      <c r="O449" s="181"/>
      <c r="P449" s="181"/>
    </row>
    <row r="450" spans="1:16" ht="21.75" customHeight="1" x14ac:dyDescent="0.3">
      <c r="A450" s="175"/>
      <c r="B450" s="176"/>
      <c r="C450" s="176"/>
      <c r="D450" s="193"/>
      <c r="E450" s="198"/>
      <c r="F450" s="195"/>
      <c r="G450" s="225" t="s">
        <v>162</v>
      </c>
      <c r="H450" s="186" t="s">
        <v>37</v>
      </c>
      <c r="I450" s="339">
        <f ca="1">IFERROR(__xludf.DUMMYFUNCTION("IMPORTRANGE(""https://docs.google.com/spreadsheets/d/11923uPwbBZFjjGgGUA6NLw09EwE0CqkOc4q9oUmW1yo/edit?usp=sharing"",""เชียงราย!I345"")"),20)</f>
        <v>20</v>
      </c>
      <c r="J450" s="188">
        <f ca="1">IFERROR(__xludf.DUMMYFUNCTION("IMPORTRANGE(""https://docs.google.com/spreadsheets/d/11923uPwbBZFjjGgGUA6NLw09EwE0CqkOc4q9oUmW1yo/edit?usp=sharing"",""เชียงราย!J345"")"),20)</f>
        <v>20</v>
      </c>
      <c r="K450" s="163">
        <f t="shared" ca="1" si="115"/>
        <v>100</v>
      </c>
      <c r="L450" s="181"/>
      <c r="M450" s="181"/>
      <c r="N450" s="181"/>
      <c r="O450" s="181"/>
      <c r="P450" s="181"/>
    </row>
    <row r="451" spans="1:16" ht="21.75" customHeight="1" x14ac:dyDescent="0.3">
      <c r="A451" s="175"/>
      <c r="B451" s="176"/>
      <c r="C451" s="176"/>
      <c r="D451" s="193"/>
      <c r="E451" s="198"/>
      <c r="F451" s="195"/>
      <c r="G451" s="279" t="s">
        <v>163</v>
      </c>
      <c r="H451" s="186" t="s">
        <v>37</v>
      </c>
      <c r="I451" s="339">
        <f ca="1">IFERROR(__xludf.DUMMYFUNCTION("IMPORTRANGE(""https://docs.google.com/spreadsheets/d/11923uPwbBZFjjGgGUA6NLw09EwE0CqkOc4q9oUmW1yo/edit?usp=sharing"",""เชียงราย!I346"")"),30)</f>
        <v>30</v>
      </c>
      <c r="J451" s="187">
        <f ca="1">IFERROR(__xludf.DUMMYFUNCTION("IMPORTRANGE(""https://docs.google.com/spreadsheets/d/11923uPwbBZFjjGgGUA6NLw09EwE0CqkOc4q9oUmW1yo/edit?usp=sharing"",""เชียงราย!J346"")"),30)</f>
        <v>30</v>
      </c>
      <c r="K451" s="163">
        <f t="shared" ca="1" si="115"/>
        <v>100</v>
      </c>
      <c r="L451" s="181"/>
      <c r="M451" s="181"/>
      <c r="N451" s="181"/>
      <c r="O451" s="181"/>
      <c r="P451" s="181"/>
    </row>
    <row r="452" spans="1:16" ht="21.75" customHeight="1" x14ac:dyDescent="0.3">
      <c r="A452" s="175"/>
      <c r="B452" s="176"/>
      <c r="C452" s="176"/>
      <c r="D452" s="193"/>
      <c r="E452" s="198"/>
      <c r="F452" s="195"/>
      <c r="G452" s="196" t="s">
        <v>164</v>
      </c>
      <c r="H452" s="186" t="s">
        <v>37</v>
      </c>
      <c r="I452" s="187">
        <f ca="1">IFERROR(__xludf.DUMMYFUNCTION("IMPORTRANGE(""https://docs.google.com/spreadsheets/d/11923uPwbBZFjjGgGUA6NLw09EwE0CqkOc4q9oUmW1yo/edit?usp=sharing"",""เชียงราย!I347"")"),0)</f>
        <v>0</v>
      </c>
      <c r="J452" s="187">
        <f ca="1">IFERROR(__xludf.DUMMYFUNCTION("IMPORTRANGE(""https://docs.google.com/spreadsheets/d/11923uPwbBZFjjGgGUA6NLw09EwE0CqkOc4q9oUmW1yo/edit?usp=sharing"",""เชียงราย!J347"")"),0)</f>
        <v>0</v>
      </c>
      <c r="K452" s="163">
        <f t="shared" ca="1" si="115"/>
        <v>0</v>
      </c>
      <c r="L452" s="181"/>
      <c r="M452" s="181"/>
      <c r="N452" s="181"/>
      <c r="O452" s="181"/>
      <c r="P452" s="181"/>
    </row>
    <row r="453" spans="1:16" ht="21.75" customHeight="1" x14ac:dyDescent="0.3">
      <c r="A453" s="175"/>
      <c r="B453" s="176"/>
      <c r="C453" s="176"/>
      <c r="D453" s="193"/>
      <c r="E453" s="194" t="s">
        <v>54</v>
      </c>
      <c r="F453" s="195"/>
      <c r="G453" s="196"/>
      <c r="H453" s="186"/>
      <c r="I453" s="187"/>
      <c r="J453" s="197">
        <f ca="1">IFERROR(__xludf.DUMMYFUNCTION("IMPORTRANGE(""https://docs.google.com/spreadsheets/d/11923uPwbBZFjjGgGUA6NLw09EwE0CqkOc4q9oUmW1yo/edit?usp=sharing"",""เชียงราย!J348"")"),0)</f>
        <v>0</v>
      </c>
      <c r="K453" s="163"/>
      <c r="L453" s="181"/>
      <c r="M453" s="181"/>
      <c r="N453" s="181"/>
      <c r="O453" s="181"/>
      <c r="P453" s="181"/>
    </row>
    <row r="454" spans="1:16" ht="21.75" customHeight="1" x14ac:dyDescent="0.3">
      <c r="A454" s="175"/>
      <c r="B454" s="176"/>
      <c r="C454" s="176"/>
      <c r="D454" s="205">
        <v>3</v>
      </c>
      <c r="E454" s="206" t="s">
        <v>55</v>
      </c>
      <c r="F454" s="207"/>
      <c r="G454" s="208"/>
      <c r="H454" s="186"/>
      <c r="I454" s="187"/>
      <c r="J454" s="209">
        <f ca="1">IFERROR(__xludf.DUMMYFUNCTION("IMPORTRANGE(""https://docs.google.com/spreadsheets/d/11923uPwbBZFjjGgGUA6NLw09EwE0CqkOc4q9oUmW1yo/edit?usp=sharing"",""เชียงราย!J349"")"),0)</f>
        <v>0</v>
      </c>
      <c r="K454" s="163"/>
      <c r="L454" s="181"/>
      <c r="M454" s="181"/>
      <c r="N454" s="181"/>
      <c r="O454" s="181"/>
      <c r="P454" s="181"/>
    </row>
    <row r="455" spans="1:16" ht="21.75" customHeight="1" x14ac:dyDescent="0.3">
      <c r="A455" s="364"/>
      <c r="B455" s="365">
        <v>5</v>
      </c>
      <c r="C455" s="366" t="s">
        <v>165</v>
      </c>
      <c r="D455" s="366"/>
      <c r="E455" s="366"/>
      <c r="F455" s="366"/>
      <c r="G455" s="367"/>
      <c r="H455" s="368" t="s">
        <v>122</v>
      </c>
      <c r="I455" s="369">
        <f ca="1">IFERROR(__xludf.DUMMYFUNCTION("IMPORTRANGE(""https://docs.google.com/spreadsheets/d/11923uPwbBZFjjGgGUA6NLw09EwE0CqkOc4q9oUmW1yo/edit?usp=sharing"",""เชียงราย!I350"")"),49473)</f>
        <v>49473</v>
      </c>
      <c r="J455" s="369">
        <f ca="1">IFERROR(__xludf.DUMMYFUNCTION("IMPORTRANGE(""https://docs.google.com/spreadsheets/d/11923uPwbBZFjjGgGUA6NLw09EwE0CqkOc4q9oUmW1yo/edit?usp=sharing"",""เชียงราย!J350"")"),0)</f>
        <v>0</v>
      </c>
      <c r="K455" s="370">
        <f ca="1">IF(I455&gt;0,J455*100/I455,0)</f>
        <v>0</v>
      </c>
      <c r="L455" s="371">
        <f ca="1">IFERROR(__xludf.DUMMYFUNCTION("IMPORTRANGE(""https://docs.google.com/spreadsheets/d/11923uPwbBZFjjGgGUA6NLw09EwE0CqkOc4q9oUmW1yo/edit?usp=sharing"",""เชียงราย!L350"")"),510553)</f>
        <v>510553</v>
      </c>
      <c r="M455" s="371"/>
      <c r="N455" s="371">
        <f ca="1">IFERROR(__xludf.DUMMYFUNCTION("IMPORTRANGE(""https://docs.google.com/spreadsheets/d/11923uPwbBZFjjGgGUA6NLw09EwE0CqkOc4q9oUmW1yo/edit?usp=sharing"",""เชียงราย!M350"")"),84780)</f>
        <v>84780</v>
      </c>
      <c r="O455" s="371">
        <f t="shared" ref="O455:O459" ca="1" si="116">+IF(L455&gt;0,N455*100/L455,0)</f>
        <v>16.605523814373825</v>
      </c>
      <c r="P455" s="371"/>
    </row>
    <row r="456" spans="1:16" ht="21.75" customHeight="1" x14ac:dyDescent="0.3">
      <c r="A456" s="156"/>
      <c r="B456" s="157"/>
      <c r="C456" s="157" t="s">
        <v>16</v>
      </c>
      <c r="D456" s="158" t="s">
        <v>38</v>
      </c>
      <c r="E456" s="159"/>
      <c r="F456" s="159"/>
      <c r="G456" s="160" t="s">
        <v>39</v>
      </c>
      <c r="H456" s="161" t="s">
        <v>12</v>
      </c>
      <c r="I456" s="162" t="s">
        <v>40</v>
      </c>
      <c r="J456" s="162"/>
      <c r="K456" s="163"/>
      <c r="L456" s="164">
        <f ca="1">IFERROR(__xludf.DUMMYFUNCTION("IMPORTRANGE(""https://docs.google.com/spreadsheets/d/11923uPwbBZFjjGgGUA6NLw09EwE0CqkOc4q9oUmW1yo/edit?usp=sharing"",""เชียงราย!L351"")"),0)</f>
        <v>0</v>
      </c>
      <c r="M456" s="164"/>
      <c r="N456" s="168">
        <f ca="1">IFERROR(__xludf.DUMMYFUNCTION("IMPORTRANGE(""https://docs.google.com/spreadsheets/d/11923uPwbBZFjjGgGUA6NLw09EwE0CqkOc4q9oUmW1yo/edit?usp=sharing"",""เชียงราย!M351"")"),0)</f>
        <v>0</v>
      </c>
      <c r="O456" s="168">
        <f t="shared" ca="1" si="116"/>
        <v>0</v>
      </c>
      <c r="P456" s="168"/>
    </row>
    <row r="457" spans="1:16" ht="21.75" customHeight="1" x14ac:dyDescent="0.3">
      <c r="A457" s="156"/>
      <c r="B457" s="157"/>
      <c r="C457" s="157"/>
      <c r="D457" s="166"/>
      <c r="E457" s="159"/>
      <c r="F457" s="159" t="s">
        <v>40</v>
      </c>
      <c r="G457" s="160" t="s">
        <v>41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IFERROR(__xludf.DUMMYFUNCTION("IMPORTRANGE(""https://docs.google.com/spreadsheets/d/11923uPwbBZFjjGgGUA6NLw09EwE0CqkOc4q9oUmW1yo/edit?usp=sharing"",""เชียงราย!L352"")"),510553)</f>
        <v>510553</v>
      </c>
      <c r="M457" s="165"/>
      <c r="N457" s="168">
        <f ca="1">IFERROR(__xludf.DUMMYFUNCTION("IMPORTRANGE(""https://docs.google.com/spreadsheets/d/11923uPwbBZFjjGgGUA6NLw09EwE0CqkOc4q9oUmW1yo/edit?usp=sharing"",""เชียงราย!M352"")"),84780)</f>
        <v>84780</v>
      </c>
      <c r="O457" s="168">
        <f t="shared" ca="1" si="116"/>
        <v>16.605523814373825</v>
      </c>
      <c r="P457" s="168"/>
    </row>
    <row r="458" spans="1:16" ht="21.75" customHeight="1" x14ac:dyDescent="0.3">
      <c r="A458" s="156"/>
      <c r="B458" s="157"/>
      <c r="C458" s="157"/>
      <c r="D458" s="166"/>
      <c r="E458" s="159"/>
      <c r="F458" s="159"/>
      <c r="G458" s="372" t="s">
        <v>129</v>
      </c>
      <c r="H458" s="161" t="s">
        <v>12</v>
      </c>
      <c r="I458" s="162"/>
      <c r="J458" s="162"/>
      <c r="K458" s="163"/>
      <c r="L458" s="168">
        <f ca="1">IFERROR(__xludf.DUMMYFUNCTION("IMPORTRANGE(""https://docs.google.com/spreadsheets/d/11923uPwbBZFjjGgGUA6NLw09EwE0CqkOc4q9oUmW1yo/edit?usp=sharing"",""เชียงราย!L353"")"),0)</f>
        <v>0</v>
      </c>
      <c r="M458" s="168"/>
      <c r="N458" s="168">
        <f ca="1">IFERROR(__xludf.DUMMYFUNCTION("IMPORTRANGE(""https://docs.google.com/spreadsheets/d/11923uPwbBZFjjGgGUA6NLw09EwE0CqkOc4q9oUmW1yo/edit?usp=sharing"",""เชียงราย!M353"")"),0)</f>
        <v>0</v>
      </c>
      <c r="O458" s="168">
        <f t="shared" ca="1" si="116"/>
        <v>0</v>
      </c>
      <c r="P458" s="168"/>
    </row>
    <row r="459" spans="1:16" ht="21.75" customHeight="1" x14ac:dyDescent="0.3">
      <c r="A459" s="156"/>
      <c r="B459" s="157"/>
      <c r="C459" s="157"/>
      <c r="D459" s="166"/>
      <c r="E459" s="159"/>
      <c r="F459" s="159"/>
      <c r="G459" s="372" t="s">
        <v>130</v>
      </c>
      <c r="H459" s="161" t="s">
        <v>12</v>
      </c>
      <c r="I459" s="162"/>
      <c r="J459" s="162"/>
      <c r="K459" s="163"/>
      <c r="L459" s="168">
        <f ca="1">IFERROR(__xludf.DUMMYFUNCTION("IMPORTRANGE(""https://docs.google.com/spreadsheets/d/11923uPwbBZFjjGgGUA6NLw09EwE0CqkOc4q9oUmW1yo/edit?usp=sharing"",""เชียงราย!L354"")"),510553)</f>
        <v>510553</v>
      </c>
      <c r="M459" s="168"/>
      <c r="N459" s="168">
        <f ca="1">IFERROR(__xludf.DUMMYFUNCTION("IMPORTRANGE(""https://docs.google.com/spreadsheets/d/11923uPwbBZFjjGgGUA6NLw09EwE0CqkOc4q9oUmW1yo/edit?usp=sharing"",""เชียงราย!M354"")"),84780)</f>
        <v>84780</v>
      </c>
      <c r="O459" s="168">
        <f t="shared" ca="1" si="116"/>
        <v>16.605523814373825</v>
      </c>
      <c r="P459" s="168"/>
    </row>
    <row r="460" spans="1:16" ht="21.75" customHeight="1" x14ac:dyDescent="0.3">
      <c r="A460" s="373"/>
      <c r="B460" s="374"/>
      <c r="C460" s="157"/>
      <c r="D460" s="375"/>
      <c r="E460" s="159"/>
      <c r="F460" s="159"/>
      <c r="G460" s="376" t="s">
        <v>131</v>
      </c>
      <c r="H460" s="161" t="s">
        <v>12</v>
      </c>
      <c r="I460" s="187"/>
      <c r="J460" s="187"/>
      <c r="K460" s="223"/>
      <c r="L460" s="168"/>
      <c r="M460" s="168"/>
      <c r="N460" s="167">
        <f ca="1">IFERROR(__xludf.DUMMYFUNCTION("IMPORTRANGE(""https://docs.google.com/spreadsheets/d/11923uPwbBZFjjGgGUA6NLw09EwE0CqkOc4q9oUmW1yo/edit?usp=sharing"",""เชียงราย!M355"")"),0)</f>
        <v>0</v>
      </c>
      <c r="O460" s="168"/>
      <c r="P460" s="168"/>
    </row>
    <row r="461" spans="1:16" ht="21.75" customHeight="1" x14ac:dyDescent="0.3">
      <c r="A461" s="373"/>
      <c r="B461" s="374"/>
      <c r="C461" s="157"/>
      <c r="D461" s="375"/>
      <c r="E461" s="159"/>
      <c r="F461" s="159"/>
      <c r="G461" s="376" t="s">
        <v>132</v>
      </c>
      <c r="H461" s="161" t="s">
        <v>12</v>
      </c>
      <c r="I461" s="187"/>
      <c r="J461" s="187"/>
      <c r="K461" s="223"/>
      <c r="L461" s="168"/>
      <c r="M461" s="168"/>
      <c r="N461" s="167">
        <f ca="1">IFERROR(__xludf.DUMMYFUNCTION("IMPORTRANGE(""https://docs.google.com/spreadsheets/d/11923uPwbBZFjjGgGUA6NLw09EwE0CqkOc4q9oUmW1yo/edit?usp=sharing"",""เชียงราย!M356"")"),0)</f>
        <v>0</v>
      </c>
      <c r="O461" s="168"/>
      <c r="P461" s="168"/>
    </row>
    <row r="462" spans="1:16" ht="21.75" customHeight="1" x14ac:dyDescent="0.3">
      <c r="A462" s="373"/>
      <c r="B462" s="374"/>
      <c r="C462" s="157"/>
      <c r="D462" s="375"/>
      <c r="E462" s="159"/>
      <c r="F462" s="159"/>
      <c r="G462" s="376" t="s">
        <v>133</v>
      </c>
      <c r="H462" s="161" t="s">
        <v>12</v>
      </c>
      <c r="I462" s="187"/>
      <c r="J462" s="187"/>
      <c r="K462" s="223"/>
      <c r="L462" s="168"/>
      <c r="M462" s="168"/>
      <c r="N462" s="377">
        <f ca="1">IFERROR(__xludf.DUMMYFUNCTION("IMPORTRANGE(""https://docs.google.com/spreadsheets/d/11923uPwbBZFjjGgGUA6NLw09EwE0CqkOc4q9oUmW1yo/edit?usp=sharing"",""เชียงราย!M357"")"),42000)</f>
        <v>42000</v>
      </c>
      <c r="O462" s="168"/>
      <c r="P462" s="168"/>
    </row>
    <row r="463" spans="1:16" ht="21.75" customHeight="1" x14ac:dyDescent="0.3">
      <c r="A463" s="373"/>
      <c r="B463" s="374"/>
      <c r="C463" s="157"/>
      <c r="D463" s="375"/>
      <c r="E463" s="159"/>
      <c r="F463" s="159"/>
      <c r="G463" s="376" t="s">
        <v>134</v>
      </c>
      <c r="H463" s="161" t="s">
        <v>12</v>
      </c>
      <c r="I463" s="187"/>
      <c r="J463" s="187"/>
      <c r="K463" s="223"/>
      <c r="L463" s="168"/>
      <c r="M463" s="168"/>
      <c r="N463" s="377">
        <f ca="1">IFERROR(__xludf.DUMMYFUNCTION("IMPORTRANGE(""https://docs.google.com/spreadsheets/d/11923uPwbBZFjjGgGUA6NLw09EwE0CqkOc4q9oUmW1yo/edit?usp=sharing"",""เชียงราย!M358"")"),42780)</f>
        <v>42780</v>
      </c>
      <c r="O463" s="168"/>
      <c r="P463" s="168"/>
    </row>
    <row r="464" spans="1:16" ht="21.75" customHeight="1" x14ac:dyDescent="0.3">
      <c r="A464" s="175"/>
      <c r="B464" s="176"/>
      <c r="C464" s="413" t="s">
        <v>166</v>
      </c>
      <c r="D464" s="413"/>
      <c r="E464" s="414"/>
      <c r="F464" s="414"/>
      <c r="G464" s="415"/>
      <c r="H464" s="265" t="s">
        <v>122</v>
      </c>
      <c r="I464" s="266">
        <f ca="1">IFERROR(__xludf.DUMMYFUNCTION("IMPORTRANGE(""https://docs.google.com/spreadsheets/d/11923uPwbBZFjjGgGUA6NLw09EwE0CqkOc4q9oUmW1yo/edit?usp=sharing"",""เชียงราย!I359"")"),49473)</f>
        <v>49473</v>
      </c>
      <c r="J464" s="266">
        <f ca="1">IFERROR(__xludf.DUMMYFUNCTION("IMPORTRANGE(""https://docs.google.com/spreadsheets/d/11923uPwbBZFjjGgGUA6NLw09EwE0CqkOc4q9oUmW1yo/edit?usp=sharing"",""เชียงราย!J359"")"),0)</f>
        <v>0</v>
      </c>
      <c r="K464" s="267">
        <f t="shared" ref="K464:K515" ca="1" si="117">IF(I464&gt;0,J464*100/I464,0)</f>
        <v>0</v>
      </c>
      <c r="L464" s="290"/>
      <c r="M464" s="290"/>
      <c r="N464" s="290"/>
      <c r="O464" s="290"/>
      <c r="P464" s="290"/>
    </row>
    <row r="465" spans="1:16" ht="21.75" customHeight="1" x14ac:dyDescent="0.3">
      <c r="A465" s="400"/>
      <c r="B465" s="401"/>
      <c r="C465" s="401"/>
      <c r="D465" s="402"/>
      <c r="E465" s="193" t="s">
        <v>167</v>
      </c>
      <c r="F465" s="195"/>
      <c r="G465" s="196"/>
      <c r="H465" s="416" t="s">
        <v>122</v>
      </c>
      <c r="I465" s="417">
        <f ca="1">IFERROR(__xludf.DUMMYFUNCTION("IMPORTRANGE(""https://docs.google.com/spreadsheets/d/11923uPwbBZFjjGgGUA6NLw09EwE0CqkOc4q9oUmW1yo/edit?usp=sharing"",""เชียงราย!I360"")"),49473)</f>
        <v>49473</v>
      </c>
      <c r="J465" s="418">
        <f ca="1">IFERROR(__xludf.DUMMYFUNCTION("IMPORTRANGE(""https://docs.google.com/spreadsheets/d/11923uPwbBZFjjGgGUA6NLw09EwE0CqkOc4q9oUmW1yo/edit?usp=sharing"",""เชียงราย!J360"")"),45597)</f>
        <v>45597</v>
      </c>
      <c r="K465" s="201">
        <f t="shared" ca="1" si="117"/>
        <v>92.165423564368439</v>
      </c>
      <c r="L465" s="181"/>
      <c r="M465" s="181"/>
      <c r="N465" s="181"/>
      <c r="O465" s="181"/>
      <c r="P465" s="181"/>
    </row>
    <row r="466" spans="1:16" ht="21.75" customHeight="1" x14ac:dyDescent="0.3">
      <c r="A466" s="400"/>
      <c r="B466" s="401"/>
      <c r="C466" s="401"/>
      <c r="D466" s="402"/>
      <c r="E466" s="195"/>
      <c r="F466" s="195"/>
      <c r="G466" s="196"/>
      <c r="H466" s="416" t="s">
        <v>36</v>
      </c>
      <c r="I466" s="417">
        <f ca="1">IFERROR(__xludf.DUMMYFUNCTION("IMPORTRANGE(""https://docs.google.com/spreadsheets/d/11923uPwbBZFjjGgGUA6NLw09EwE0CqkOc4q9oUmW1yo/edit?usp=sharing"",""เชียงราย!I361"")"),9843)</f>
        <v>9843</v>
      </c>
      <c r="J466" s="418">
        <f ca="1">IFERROR(__xludf.DUMMYFUNCTION("IMPORTRANGE(""https://docs.google.com/spreadsheets/d/11923uPwbBZFjjGgGUA6NLw09EwE0CqkOc4q9oUmW1yo/edit?usp=sharing"",""เชียงราย!J361"")"),9180)</f>
        <v>9180</v>
      </c>
      <c r="K466" s="201">
        <f t="shared" ca="1" si="117"/>
        <v>93.264248704663217</v>
      </c>
      <c r="L466" s="181"/>
      <c r="M466" s="181"/>
      <c r="N466" s="181"/>
      <c r="O466" s="181"/>
      <c r="P466" s="181"/>
    </row>
    <row r="467" spans="1:16" ht="21.75" customHeight="1" x14ac:dyDescent="0.3">
      <c r="A467" s="400"/>
      <c r="B467" s="401"/>
      <c r="C467" s="401"/>
      <c r="D467" s="402"/>
      <c r="E467" s="195"/>
      <c r="F467" s="388" t="s">
        <v>168</v>
      </c>
      <c r="G467" s="419"/>
      <c r="H467" s="420" t="s">
        <v>122</v>
      </c>
      <c r="I467" s="202">
        <f ca="1">IFERROR(__xludf.DUMMYFUNCTION("IMPORTRANGE(""https://docs.google.com/spreadsheets/d/11923uPwbBZFjjGgGUA6NLw09EwE0CqkOc4q9oUmW1yo/edit?usp=sharing"",""เชียงราย!I362"")"),0)</f>
        <v>0</v>
      </c>
      <c r="J467" s="188">
        <f ca="1">IFERROR(__xludf.DUMMYFUNCTION("IMPORTRANGE(""https://docs.google.com/spreadsheets/d/11923uPwbBZFjjGgGUA6NLw09EwE0CqkOc4q9oUmW1yo/edit?usp=sharing"",""เชียงราย!J362"")"),39983)</f>
        <v>39983</v>
      </c>
      <c r="K467" s="163">
        <f t="shared" ca="1" si="117"/>
        <v>0</v>
      </c>
      <c r="L467" s="181"/>
      <c r="M467" s="181"/>
      <c r="N467" s="181"/>
      <c r="O467" s="181"/>
      <c r="P467" s="181"/>
    </row>
    <row r="468" spans="1:16" ht="21.75" customHeight="1" x14ac:dyDescent="0.3">
      <c r="A468" s="400"/>
      <c r="B468" s="401"/>
      <c r="C468" s="401"/>
      <c r="D468" s="402"/>
      <c r="E468" s="195"/>
      <c r="F468" s="195"/>
      <c r="G468" s="419"/>
      <c r="H468" s="420" t="s">
        <v>36</v>
      </c>
      <c r="I468" s="202">
        <f ca="1">IFERROR(__xludf.DUMMYFUNCTION("IMPORTRANGE(""https://docs.google.com/spreadsheets/d/11923uPwbBZFjjGgGUA6NLw09EwE0CqkOc4q9oUmW1yo/edit?usp=sharing"",""เชียงราย!I363"")"),0)</f>
        <v>0</v>
      </c>
      <c r="J468" s="188">
        <f ca="1">IFERROR(__xludf.DUMMYFUNCTION("IMPORTRANGE(""https://docs.google.com/spreadsheets/d/11923uPwbBZFjjGgGUA6NLw09EwE0CqkOc4q9oUmW1yo/edit?usp=sharing"",""เชียงราย!J363"")"),8236)</f>
        <v>8236</v>
      </c>
      <c r="K468" s="163">
        <f t="shared" ca="1" si="117"/>
        <v>0</v>
      </c>
      <c r="L468" s="181"/>
      <c r="M468" s="181"/>
      <c r="N468" s="181"/>
      <c r="O468" s="181"/>
      <c r="P468" s="181"/>
    </row>
    <row r="469" spans="1:16" ht="21.75" customHeight="1" x14ac:dyDescent="0.3">
      <c r="A469" s="400"/>
      <c r="B469" s="401"/>
      <c r="C469" s="401"/>
      <c r="D469" s="402"/>
      <c r="E469" s="195"/>
      <c r="F469" s="388" t="s">
        <v>169</v>
      </c>
      <c r="G469" s="419"/>
      <c r="H469" s="420" t="s">
        <v>122</v>
      </c>
      <c r="I469" s="202">
        <f ca="1">IFERROR(__xludf.DUMMYFUNCTION("IMPORTRANGE(""https://docs.google.com/spreadsheets/d/11923uPwbBZFjjGgGUA6NLw09EwE0CqkOc4q9oUmW1yo/edit?usp=sharing"",""เชียงราย!I364"")"),0)</f>
        <v>0</v>
      </c>
      <c r="J469" s="188">
        <f ca="1">IFERROR(__xludf.DUMMYFUNCTION("IMPORTRANGE(""https://docs.google.com/spreadsheets/d/11923uPwbBZFjjGgGUA6NLw09EwE0CqkOc4q9oUmW1yo/edit?usp=sharing"",""เชียงราย!J364"")"),5434)</f>
        <v>5434</v>
      </c>
      <c r="K469" s="163">
        <f t="shared" ca="1" si="117"/>
        <v>0</v>
      </c>
      <c r="L469" s="181"/>
      <c r="M469" s="181"/>
      <c r="N469" s="181"/>
      <c r="O469" s="181"/>
      <c r="P469" s="181"/>
    </row>
    <row r="470" spans="1:16" ht="21.75" customHeight="1" x14ac:dyDescent="0.3">
      <c r="A470" s="400"/>
      <c r="B470" s="401"/>
      <c r="C470" s="401"/>
      <c r="D470" s="402"/>
      <c r="E470" s="195"/>
      <c r="F470" s="195"/>
      <c r="G470" s="419"/>
      <c r="H470" s="420" t="s">
        <v>36</v>
      </c>
      <c r="I470" s="202">
        <f ca="1">IFERROR(__xludf.DUMMYFUNCTION("IMPORTRANGE(""https://docs.google.com/spreadsheets/d/11923uPwbBZFjjGgGUA6NLw09EwE0CqkOc4q9oUmW1yo/edit?usp=sharing"",""เชียงราย!I365"")"),0)</f>
        <v>0</v>
      </c>
      <c r="J470" s="188">
        <f ca="1">IFERROR(__xludf.DUMMYFUNCTION("IMPORTRANGE(""https://docs.google.com/spreadsheets/d/11923uPwbBZFjjGgGUA6NLw09EwE0CqkOc4q9oUmW1yo/edit?usp=sharing"",""เชียงราย!J365"")"),897)</f>
        <v>897</v>
      </c>
      <c r="K470" s="163">
        <f t="shared" ca="1" si="117"/>
        <v>0</v>
      </c>
      <c r="L470" s="181"/>
      <c r="M470" s="181"/>
      <c r="N470" s="181"/>
      <c r="O470" s="181"/>
      <c r="P470" s="181"/>
    </row>
    <row r="471" spans="1:16" ht="21.75" customHeight="1" x14ac:dyDescent="0.3">
      <c r="A471" s="400"/>
      <c r="B471" s="401"/>
      <c r="C471" s="401"/>
      <c r="D471" s="402"/>
      <c r="E471" s="195"/>
      <c r="F471" s="388" t="s">
        <v>170</v>
      </c>
      <c r="G471" s="419"/>
      <c r="H471" s="420" t="s">
        <v>122</v>
      </c>
      <c r="I471" s="202">
        <f ca="1">IFERROR(__xludf.DUMMYFUNCTION("IMPORTRANGE(""https://docs.google.com/spreadsheets/d/11923uPwbBZFjjGgGUA6NLw09EwE0CqkOc4q9oUmW1yo/edit?usp=sharing"",""เชียงราย!I366"")"),0)</f>
        <v>0</v>
      </c>
      <c r="J471" s="188">
        <f ca="1">IFERROR(__xludf.DUMMYFUNCTION("IMPORTRANGE(""https://docs.google.com/spreadsheets/d/11923uPwbBZFjjGgGUA6NLw09EwE0CqkOc4q9oUmW1yo/edit?usp=sharing"",""เชียงราย!J366"")"),180)</f>
        <v>180</v>
      </c>
      <c r="K471" s="163">
        <f t="shared" ca="1" si="117"/>
        <v>0</v>
      </c>
      <c r="L471" s="181"/>
      <c r="M471" s="181"/>
      <c r="N471" s="181"/>
      <c r="O471" s="181"/>
      <c r="P471" s="181"/>
    </row>
    <row r="472" spans="1:16" ht="21.75" customHeight="1" x14ac:dyDescent="0.3">
      <c r="A472" s="400"/>
      <c r="B472" s="401"/>
      <c r="C472" s="401"/>
      <c r="D472" s="402"/>
      <c r="E472" s="195"/>
      <c r="F472" s="195"/>
      <c r="G472" s="195"/>
      <c r="H472" s="420" t="s">
        <v>36</v>
      </c>
      <c r="I472" s="202">
        <f ca="1">IFERROR(__xludf.DUMMYFUNCTION("IMPORTRANGE(""https://docs.google.com/spreadsheets/d/11923uPwbBZFjjGgGUA6NLw09EwE0CqkOc4q9oUmW1yo/edit?usp=sharing"",""เชียงราย!I367"")"),0)</f>
        <v>0</v>
      </c>
      <c r="J472" s="188">
        <f ca="1">IFERROR(__xludf.DUMMYFUNCTION("IMPORTRANGE(""https://docs.google.com/spreadsheets/d/11923uPwbBZFjjGgGUA6NLw09EwE0CqkOc4q9oUmW1yo/edit?usp=sharing"",""เชียงราย!J367"")"),47)</f>
        <v>47</v>
      </c>
      <c r="K472" s="163">
        <f t="shared" ca="1" si="117"/>
        <v>0</v>
      </c>
      <c r="L472" s="181"/>
      <c r="M472" s="181"/>
      <c r="N472" s="181"/>
      <c r="O472" s="181"/>
      <c r="P472" s="181"/>
    </row>
    <row r="473" spans="1:16" ht="21.75" customHeight="1" x14ac:dyDescent="0.3">
      <c r="A473" s="400"/>
      <c r="B473" s="401"/>
      <c r="C473" s="401"/>
      <c r="D473" s="402"/>
      <c r="E473" s="289" t="s">
        <v>171</v>
      </c>
      <c r="F473" s="195"/>
      <c r="G473" s="196"/>
      <c r="H473" s="416" t="s">
        <v>122</v>
      </c>
      <c r="I473" s="418">
        <f ca="1">IFERROR(__xludf.DUMMYFUNCTION("IMPORTRANGE(""https://docs.google.com/spreadsheets/d/11923uPwbBZFjjGgGUA6NLw09EwE0CqkOc4q9oUmW1yo/edit?usp=sharing"",""เชียงราย!I368"")"),49473)</f>
        <v>49473</v>
      </c>
      <c r="J473" s="418">
        <f ca="1">IFERROR(__xludf.DUMMYFUNCTION("IMPORTRANGE(""https://docs.google.com/spreadsheets/d/11923uPwbBZFjjGgGUA6NLw09EwE0CqkOc4q9oUmW1yo/edit?usp=sharing"",""เชียงราย!J368"")"),0)</f>
        <v>0</v>
      </c>
      <c r="K473" s="201">
        <f t="shared" ca="1" si="117"/>
        <v>0</v>
      </c>
      <c r="L473" s="181"/>
      <c r="M473" s="181"/>
      <c r="N473" s="181"/>
      <c r="O473" s="181"/>
      <c r="P473" s="181"/>
    </row>
    <row r="474" spans="1:16" ht="21.75" customHeight="1" x14ac:dyDescent="0.3">
      <c r="A474" s="400"/>
      <c r="B474" s="401"/>
      <c r="C474" s="401"/>
      <c r="D474" s="402"/>
      <c r="E474" s="195"/>
      <c r="F474" s="195"/>
      <c r="G474" s="196"/>
      <c r="H474" s="416" t="s">
        <v>36</v>
      </c>
      <c r="I474" s="417">
        <f ca="1">IFERROR(__xludf.DUMMYFUNCTION("IMPORTRANGE(""https://docs.google.com/spreadsheets/d/11923uPwbBZFjjGgGUA6NLw09EwE0CqkOc4q9oUmW1yo/edit?usp=sharing"",""เชียงราย!I369"")"),9843)</f>
        <v>9843</v>
      </c>
      <c r="J474" s="418">
        <f ca="1">IFERROR(__xludf.DUMMYFUNCTION("IMPORTRANGE(""https://docs.google.com/spreadsheets/d/11923uPwbBZFjjGgGUA6NLw09EwE0CqkOc4q9oUmW1yo/edit?usp=sharing"",""เชียงราย!J369"")"),0)</f>
        <v>0</v>
      </c>
      <c r="K474" s="163">
        <f t="shared" ca="1" si="117"/>
        <v>0</v>
      </c>
      <c r="L474" s="181"/>
      <c r="M474" s="181"/>
      <c r="N474" s="181"/>
      <c r="O474" s="181"/>
      <c r="P474" s="181"/>
    </row>
    <row r="475" spans="1:16" ht="21.75" customHeight="1" x14ac:dyDescent="0.3">
      <c r="A475" s="400"/>
      <c r="B475" s="401"/>
      <c r="C475" s="401"/>
      <c r="D475" s="402"/>
      <c r="E475" s="195"/>
      <c r="F475" s="194" t="s">
        <v>172</v>
      </c>
      <c r="G475" s="419"/>
      <c r="H475" s="420" t="s">
        <v>122</v>
      </c>
      <c r="I475" s="202">
        <f ca="1">IFERROR(__xludf.DUMMYFUNCTION("IMPORTRANGE(""https://docs.google.com/spreadsheets/d/11923uPwbBZFjjGgGUA6NLw09EwE0CqkOc4q9oUmW1yo/edit?usp=sharing"",""เชียงราย!I370"")"),0)</f>
        <v>0</v>
      </c>
      <c r="J475" s="188">
        <f ca="1">IFERROR(__xludf.DUMMYFUNCTION("IMPORTRANGE(""https://docs.google.com/spreadsheets/d/11923uPwbBZFjjGgGUA6NLw09EwE0CqkOc4q9oUmW1yo/edit?usp=sharing"",""เชียงราย!J370"")"),0)</f>
        <v>0</v>
      </c>
      <c r="K475" s="163">
        <f t="shared" ca="1" si="117"/>
        <v>0</v>
      </c>
      <c r="L475" s="181"/>
      <c r="M475" s="181"/>
      <c r="N475" s="181"/>
      <c r="O475" s="181"/>
      <c r="P475" s="181"/>
    </row>
    <row r="476" spans="1:16" ht="21.75" customHeight="1" x14ac:dyDescent="0.3">
      <c r="A476" s="400"/>
      <c r="B476" s="401"/>
      <c r="C476" s="401"/>
      <c r="D476" s="402"/>
      <c r="E476" s="195"/>
      <c r="F476" s="195"/>
      <c r="G476" s="419"/>
      <c r="H476" s="420" t="s">
        <v>36</v>
      </c>
      <c r="I476" s="202">
        <f ca="1">IFERROR(__xludf.DUMMYFUNCTION("IMPORTRANGE(""https://docs.google.com/spreadsheets/d/11923uPwbBZFjjGgGUA6NLw09EwE0CqkOc4q9oUmW1yo/edit?usp=sharing"",""เชียงราย!I371"")"),0)</f>
        <v>0</v>
      </c>
      <c r="J476" s="188">
        <f ca="1">IFERROR(__xludf.DUMMYFUNCTION("IMPORTRANGE(""https://docs.google.com/spreadsheets/d/11923uPwbBZFjjGgGUA6NLw09EwE0CqkOc4q9oUmW1yo/edit?usp=sharing"",""เชียงราย!J371"")"),0)</f>
        <v>0</v>
      </c>
      <c r="K476" s="163">
        <f t="shared" ca="1" si="117"/>
        <v>0</v>
      </c>
      <c r="L476" s="181"/>
      <c r="M476" s="181"/>
      <c r="N476" s="181"/>
      <c r="O476" s="181"/>
      <c r="P476" s="181"/>
    </row>
    <row r="477" spans="1:16" ht="21.75" customHeight="1" x14ac:dyDescent="0.3">
      <c r="A477" s="400"/>
      <c r="B477" s="401"/>
      <c r="C477" s="401"/>
      <c r="D477" s="402"/>
      <c r="E477" s="195"/>
      <c r="F477" s="194" t="s">
        <v>173</v>
      </c>
      <c r="G477" s="419"/>
      <c r="H477" s="420" t="s">
        <v>122</v>
      </c>
      <c r="I477" s="202">
        <f ca="1">IFERROR(__xludf.DUMMYFUNCTION("IMPORTRANGE(""https://docs.google.com/spreadsheets/d/11923uPwbBZFjjGgGUA6NLw09EwE0CqkOc4q9oUmW1yo/edit?usp=sharing"",""เชียงราย!I372"")"),0)</f>
        <v>0</v>
      </c>
      <c r="J477" s="188">
        <f ca="1">IFERROR(__xludf.DUMMYFUNCTION("IMPORTRANGE(""https://docs.google.com/spreadsheets/d/11923uPwbBZFjjGgGUA6NLw09EwE0CqkOc4q9oUmW1yo/edit?usp=sharing"",""เชียงราย!J372"")"),0)</f>
        <v>0</v>
      </c>
      <c r="K477" s="163">
        <f t="shared" ca="1" si="117"/>
        <v>0</v>
      </c>
      <c r="L477" s="181"/>
      <c r="M477" s="181"/>
      <c r="N477" s="181"/>
      <c r="O477" s="181"/>
      <c r="P477" s="181"/>
    </row>
    <row r="478" spans="1:16" ht="21.75" customHeight="1" x14ac:dyDescent="0.3">
      <c r="A478" s="400"/>
      <c r="B478" s="401"/>
      <c r="C478" s="401"/>
      <c r="D478" s="402"/>
      <c r="E478" s="195"/>
      <c r="F478" s="195"/>
      <c r="G478" s="419"/>
      <c r="H478" s="420" t="s">
        <v>36</v>
      </c>
      <c r="I478" s="202">
        <f ca="1">IFERROR(__xludf.DUMMYFUNCTION("IMPORTRANGE(""https://docs.google.com/spreadsheets/d/11923uPwbBZFjjGgGUA6NLw09EwE0CqkOc4q9oUmW1yo/edit?usp=sharing"",""เชียงราย!I373"")"),0)</f>
        <v>0</v>
      </c>
      <c r="J478" s="188">
        <f ca="1">IFERROR(__xludf.DUMMYFUNCTION("IMPORTRANGE(""https://docs.google.com/spreadsheets/d/11923uPwbBZFjjGgGUA6NLw09EwE0CqkOc4q9oUmW1yo/edit?usp=sharing"",""เชียงราย!J373"")"),0)</f>
        <v>0</v>
      </c>
      <c r="K478" s="163">
        <f t="shared" ca="1" si="117"/>
        <v>0</v>
      </c>
      <c r="L478" s="181"/>
      <c r="M478" s="181"/>
      <c r="N478" s="181"/>
      <c r="O478" s="181"/>
      <c r="P478" s="181"/>
    </row>
    <row r="479" spans="1:16" ht="21.75" customHeight="1" x14ac:dyDescent="0.3">
      <c r="A479" s="400"/>
      <c r="B479" s="401"/>
      <c r="C479" s="401"/>
      <c r="D479" s="402"/>
      <c r="E479" s="195"/>
      <c r="F479" s="194" t="s">
        <v>174</v>
      </c>
      <c r="G479" s="419"/>
      <c r="H479" s="420" t="s">
        <v>122</v>
      </c>
      <c r="I479" s="202">
        <f ca="1">IFERROR(__xludf.DUMMYFUNCTION("IMPORTRANGE(""https://docs.google.com/spreadsheets/d/11923uPwbBZFjjGgGUA6NLw09EwE0CqkOc4q9oUmW1yo/edit?usp=sharing"",""เชียงราย!I374"")"),0)</f>
        <v>0</v>
      </c>
      <c r="J479" s="188">
        <f ca="1">IFERROR(__xludf.DUMMYFUNCTION("IMPORTRANGE(""https://docs.google.com/spreadsheets/d/11923uPwbBZFjjGgGUA6NLw09EwE0CqkOc4q9oUmW1yo/edit?usp=sharing"",""เชียงราย!J374"")"),0)</f>
        <v>0</v>
      </c>
      <c r="K479" s="163">
        <f t="shared" ca="1" si="117"/>
        <v>0</v>
      </c>
      <c r="L479" s="181"/>
      <c r="M479" s="181"/>
      <c r="N479" s="181"/>
      <c r="O479" s="181"/>
      <c r="P479" s="181"/>
    </row>
    <row r="480" spans="1:16" ht="21.75" customHeight="1" x14ac:dyDescent="0.3">
      <c r="A480" s="400"/>
      <c r="B480" s="401"/>
      <c r="C480" s="401"/>
      <c r="D480" s="402"/>
      <c r="E480" s="195"/>
      <c r="F480" s="195"/>
      <c r="G480" s="196"/>
      <c r="H480" s="420" t="s">
        <v>36</v>
      </c>
      <c r="I480" s="202">
        <f ca="1">IFERROR(__xludf.DUMMYFUNCTION("IMPORTRANGE(""https://docs.google.com/spreadsheets/d/11923uPwbBZFjjGgGUA6NLw09EwE0CqkOc4q9oUmW1yo/edit?usp=sharing"",""เชียงราย!I375"")"),0)</f>
        <v>0</v>
      </c>
      <c r="J480" s="188">
        <f ca="1">IFERROR(__xludf.DUMMYFUNCTION("IMPORTRANGE(""https://docs.google.com/spreadsheets/d/11923uPwbBZFjjGgGUA6NLw09EwE0CqkOc4q9oUmW1yo/edit?usp=sharing"",""เชียงราย!J375"")"),0)</f>
        <v>0</v>
      </c>
      <c r="K480" s="163">
        <f t="shared" ca="1" si="117"/>
        <v>0</v>
      </c>
      <c r="L480" s="181"/>
      <c r="M480" s="181"/>
      <c r="N480" s="181"/>
      <c r="O480" s="181"/>
      <c r="P480" s="181"/>
    </row>
    <row r="481" spans="1:16" ht="21.75" customHeight="1" x14ac:dyDescent="0.3">
      <c r="A481" s="421"/>
      <c r="B481" s="422"/>
      <c r="C481" s="422"/>
      <c r="D481" s="423"/>
      <c r="E481" s="424" t="s">
        <v>175</v>
      </c>
      <c r="F481" s="425"/>
      <c r="G481" s="426"/>
      <c r="H481" s="427" t="s">
        <v>122</v>
      </c>
      <c r="I481" s="418">
        <f ca="1">IFERROR(__xludf.DUMMYFUNCTION("IMPORTRANGE(""https://docs.google.com/spreadsheets/d/11923uPwbBZFjjGgGUA6NLw09EwE0CqkOc4q9oUmW1yo/edit?usp=sharing"",""เชียงราย!I376"")"),49473)</f>
        <v>49473</v>
      </c>
      <c r="J481" s="418">
        <f ca="1">IFERROR(__xludf.DUMMYFUNCTION("IMPORTRANGE(""https://docs.google.com/spreadsheets/d/11923uPwbBZFjjGgGUA6NLw09EwE0CqkOc4q9oUmW1yo/edit?usp=sharing"",""เชียงราย!J376"")"),0)</f>
        <v>0</v>
      </c>
      <c r="K481" s="201">
        <f t="shared" ca="1" si="117"/>
        <v>0</v>
      </c>
      <c r="L481" s="428"/>
      <c r="M481" s="428"/>
      <c r="N481" s="428"/>
      <c r="O481" s="428"/>
      <c r="P481" s="428"/>
    </row>
    <row r="482" spans="1:16" ht="21.75" customHeight="1" x14ac:dyDescent="0.3">
      <c r="A482" s="400"/>
      <c r="B482" s="401"/>
      <c r="C482" s="401"/>
      <c r="D482" s="402"/>
      <c r="E482" s="195"/>
      <c r="F482" s="195"/>
      <c r="G482" s="196"/>
      <c r="H482" s="416" t="s">
        <v>36</v>
      </c>
      <c r="I482" s="417">
        <f ca="1">IFERROR(__xludf.DUMMYFUNCTION("IMPORTRANGE(""https://docs.google.com/spreadsheets/d/11923uPwbBZFjjGgGUA6NLw09EwE0CqkOc4q9oUmW1yo/edit?usp=sharing"",""เชียงราย!I377"")"),9843)</f>
        <v>9843</v>
      </c>
      <c r="J482" s="418">
        <f ca="1">IFERROR(__xludf.DUMMYFUNCTION("IMPORTRANGE(""https://docs.google.com/spreadsheets/d/11923uPwbBZFjjGgGUA6NLw09EwE0CqkOc4q9oUmW1yo/edit?usp=sharing"",""เชียงราย!J377"")"),0)</f>
        <v>0</v>
      </c>
      <c r="K482" s="163">
        <f t="shared" ca="1" si="117"/>
        <v>0</v>
      </c>
      <c r="L482" s="181"/>
      <c r="M482" s="181"/>
      <c r="N482" s="181"/>
      <c r="O482" s="181"/>
      <c r="P482" s="181"/>
    </row>
    <row r="483" spans="1:16" ht="21.75" customHeight="1" x14ac:dyDescent="0.3">
      <c r="A483" s="400"/>
      <c r="B483" s="401"/>
      <c r="C483" s="401"/>
      <c r="D483" s="402"/>
      <c r="E483" s="195"/>
      <c r="F483" s="194" t="s">
        <v>176</v>
      </c>
      <c r="G483" s="419"/>
      <c r="H483" s="420" t="s">
        <v>122</v>
      </c>
      <c r="I483" s="202">
        <f ca="1">IFERROR(__xludf.DUMMYFUNCTION("IMPORTRANGE(""https://docs.google.com/spreadsheets/d/11923uPwbBZFjjGgGUA6NLw09EwE0CqkOc4q9oUmW1yo/edit?usp=sharing"",""เชียงราย!I378"")"),0)</f>
        <v>0</v>
      </c>
      <c r="J483" s="188">
        <f ca="1">IFERROR(__xludf.DUMMYFUNCTION("IMPORTRANGE(""https://docs.google.com/spreadsheets/d/11923uPwbBZFjjGgGUA6NLw09EwE0CqkOc4q9oUmW1yo/edit?usp=sharing"",""เชียงราย!J378"")"),0)</f>
        <v>0</v>
      </c>
      <c r="K483" s="163">
        <f t="shared" ca="1" si="117"/>
        <v>0</v>
      </c>
      <c r="L483" s="181"/>
      <c r="M483" s="181"/>
      <c r="N483" s="181"/>
      <c r="O483" s="181"/>
      <c r="P483" s="181"/>
    </row>
    <row r="484" spans="1:16" ht="21.75" customHeight="1" x14ac:dyDescent="0.3">
      <c r="A484" s="400"/>
      <c r="B484" s="401"/>
      <c r="C484" s="401"/>
      <c r="D484" s="402"/>
      <c r="E484" s="195"/>
      <c r="F484" s="195"/>
      <c r="G484" s="419"/>
      <c r="H484" s="420" t="s">
        <v>36</v>
      </c>
      <c r="I484" s="202">
        <f ca="1">IFERROR(__xludf.DUMMYFUNCTION("IMPORTRANGE(""https://docs.google.com/spreadsheets/d/11923uPwbBZFjjGgGUA6NLw09EwE0CqkOc4q9oUmW1yo/edit?usp=sharing"",""เชียงราย!I379"")"),0)</f>
        <v>0</v>
      </c>
      <c r="J484" s="188">
        <f ca="1">IFERROR(__xludf.DUMMYFUNCTION("IMPORTRANGE(""https://docs.google.com/spreadsheets/d/11923uPwbBZFjjGgGUA6NLw09EwE0CqkOc4q9oUmW1yo/edit?usp=sharing"",""เชียงราย!J379"")"),0)</f>
        <v>0</v>
      </c>
      <c r="K484" s="163">
        <f t="shared" ca="1" si="117"/>
        <v>0</v>
      </c>
      <c r="L484" s="181"/>
      <c r="M484" s="181"/>
      <c r="N484" s="181"/>
      <c r="O484" s="181"/>
      <c r="P484" s="181"/>
    </row>
    <row r="485" spans="1:16" ht="21.75" customHeight="1" x14ac:dyDescent="0.3">
      <c r="A485" s="400"/>
      <c r="B485" s="401"/>
      <c r="C485" s="401"/>
      <c r="D485" s="402"/>
      <c r="E485" s="195"/>
      <c r="F485" s="194" t="s">
        <v>177</v>
      </c>
      <c r="G485" s="419"/>
      <c r="H485" s="420" t="s">
        <v>122</v>
      </c>
      <c r="I485" s="202">
        <f ca="1">IFERROR(__xludf.DUMMYFUNCTION("IMPORTRANGE(""https://docs.google.com/spreadsheets/d/11923uPwbBZFjjGgGUA6NLw09EwE0CqkOc4q9oUmW1yo/edit?usp=sharing"",""เชียงราย!I380"")"),0)</f>
        <v>0</v>
      </c>
      <c r="J485" s="188">
        <f ca="1">IFERROR(__xludf.DUMMYFUNCTION("IMPORTRANGE(""https://docs.google.com/spreadsheets/d/11923uPwbBZFjjGgGUA6NLw09EwE0CqkOc4q9oUmW1yo/edit?usp=sharing"",""เชียงราย!J380"")"),0)</f>
        <v>0</v>
      </c>
      <c r="K485" s="163">
        <f t="shared" ca="1" si="117"/>
        <v>0</v>
      </c>
      <c r="L485" s="181"/>
      <c r="M485" s="181"/>
      <c r="N485" s="181"/>
      <c r="O485" s="181"/>
      <c r="P485" s="181"/>
    </row>
    <row r="486" spans="1:16" ht="21.75" customHeight="1" x14ac:dyDescent="0.3">
      <c r="A486" s="400"/>
      <c r="B486" s="401"/>
      <c r="C486" s="401"/>
      <c r="D486" s="402"/>
      <c r="E486" s="195"/>
      <c r="F486" s="195"/>
      <c r="G486" s="419"/>
      <c r="H486" s="420" t="s">
        <v>36</v>
      </c>
      <c r="I486" s="202">
        <f ca="1">IFERROR(__xludf.DUMMYFUNCTION("IMPORTRANGE(""https://docs.google.com/spreadsheets/d/11923uPwbBZFjjGgGUA6NLw09EwE0CqkOc4q9oUmW1yo/edit?usp=sharing"",""เชียงราย!I381"")"),0)</f>
        <v>0</v>
      </c>
      <c r="J486" s="188">
        <f ca="1">IFERROR(__xludf.DUMMYFUNCTION("IMPORTRANGE(""https://docs.google.com/spreadsheets/d/11923uPwbBZFjjGgGUA6NLw09EwE0CqkOc4q9oUmW1yo/edit?usp=sharing"",""เชียงราย!J381"")"),0)</f>
        <v>0</v>
      </c>
      <c r="K486" s="163">
        <f t="shared" ca="1" si="117"/>
        <v>0</v>
      </c>
      <c r="L486" s="181"/>
      <c r="M486" s="181"/>
      <c r="N486" s="181"/>
      <c r="O486" s="181"/>
      <c r="P486" s="181"/>
    </row>
    <row r="487" spans="1:16" ht="21.75" customHeight="1" x14ac:dyDescent="0.3">
      <c r="A487" s="400"/>
      <c r="B487" s="401"/>
      <c r="C487" s="401"/>
      <c r="D487" s="402"/>
      <c r="E487" s="195"/>
      <c r="F487" s="194" t="s">
        <v>178</v>
      </c>
      <c r="G487" s="419"/>
      <c r="H487" s="420" t="s">
        <v>122</v>
      </c>
      <c r="I487" s="202">
        <f ca="1">IFERROR(__xludf.DUMMYFUNCTION("IMPORTRANGE(""https://docs.google.com/spreadsheets/d/11923uPwbBZFjjGgGUA6NLw09EwE0CqkOc4q9oUmW1yo/edit?usp=sharing"",""เชียงราย!I382"")"),0)</f>
        <v>0</v>
      </c>
      <c r="J487" s="418">
        <f ca="1">IFERROR(__xludf.DUMMYFUNCTION("IMPORTRANGE(""https://docs.google.com/spreadsheets/d/11923uPwbBZFjjGgGUA6NLw09EwE0CqkOc4q9oUmW1yo/edit?usp=sharing"",""เชียงราย!J382"")"),0)</f>
        <v>0</v>
      </c>
      <c r="K487" s="163">
        <f t="shared" ca="1" si="117"/>
        <v>0</v>
      </c>
      <c r="L487" s="181"/>
      <c r="M487" s="181"/>
      <c r="N487" s="181"/>
      <c r="O487" s="181"/>
      <c r="P487" s="181"/>
    </row>
    <row r="488" spans="1:16" ht="21.75" customHeight="1" x14ac:dyDescent="0.3">
      <c r="A488" s="400"/>
      <c r="B488" s="401"/>
      <c r="C488" s="401"/>
      <c r="D488" s="402"/>
      <c r="E488" s="195"/>
      <c r="F488" s="195"/>
      <c r="G488" s="195"/>
      <c r="H488" s="420" t="s">
        <v>36</v>
      </c>
      <c r="I488" s="202">
        <f ca="1">IFERROR(__xludf.DUMMYFUNCTION("IMPORTRANGE(""https://docs.google.com/spreadsheets/d/11923uPwbBZFjjGgGUA6NLw09EwE0CqkOc4q9oUmW1yo/edit?usp=sharing"",""เชียงราย!I383"")"),0)</f>
        <v>0</v>
      </c>
      <c r="J488" s="418">
        <f ca="1">IFERROR(__xludf.DUMMYFUNCTION("IMPORTRANGE(""https://docs.google.com/spreadsheets/d/11923uPwbBZFjjGgGUA6NLw09EwE0CqkOc4q9oUmW1yo/edit?usp=sharing"",""เชียงราย!J383"")"),0)</f>
        <v>0</v>
      </c>
      <c r="K488" s="163">
        <f t="shared" ca="1" si="117"/>
        <v>0</v>
      </c>
      <c r="L488" s="181"/>
      <c r="M488" s="181"/>
      <c r="N488" s="181"/>
      <c r="O488" s="181"/>
      <c r="P488" s="181"/>
    </row>
    <row r="489" spans="1:16" ht="21.75" customHeight="1" x14ac:dyDescent="0.3">
      <c r="A489" s="400"/>
      <c r="B489" s="401"/>
      <c r="C489" s="401"/>
      <c r="D489" s="402"/>
      <c r="E489" s="195"/>
      <c r="F489" s="195"/>
      <c r="G489" s="194" t="s">
        <v>179</v>
      </c>
      <c r="H489" s="420" t="s">
        <v>122</v>
      </c>
      <c r="I489" s="202">
        <f ca="1">IFERROR(__xludf.DUMMYFUNCTION("IMPORTRANGE(""https://docs.google.com/spreadsheets/d/11923uPwbBZFjjGgGUA6NLw09EwE0CqkOc4q9oUmW1yo/edit?usp=sharing"",""เชียงราย!I384"")"),0)</f>
        <v>0</v>
      </c>
      <c r="J489" s="188">
        <f ca="1">IFERROR(__xludf.DUMMYFUNCTION("IMPORTRANGE(""https://docs.google.com/spreadsheets/d/11923uPwbBZFjjGgGUA6NLw09EwE0CqkOc4q9oUmW1yo/edit?usp=sharing"",""เชียงราย!J384"")"),0)</f>
        <v>0</v>
      </c>
      <c r="K489" s="163">
        <f t="shared" ca="1" si="117"/>
        <v>0</v>
      </c>
      <c r="L489" s="181"/>
      <c r="M489" s="181"/>
      <c r="N489" s="181"/>
      <c r="O489" s="181"/>
      <c r="P489" s="181"/>
    </row>
    <row r="490" spans="1:16" ht="21.75" customHeight="1" x14ac:dyDescent="0.3">
      <c r="A490" s="400"/>
      <c r="B490" s="401"/>
      <c r="C490" s="401"/>
      <c r="D490" s="402"/>
      <c r="E490" s="195"/>
      <c r="F490" s="195"/>
      <c r="G490" s="195"/>
      <c r="H490" s="420" t="s">
        <v>36</v>
      </c>
      <c r="I490" s="202">
        <f ca="1">IFERROR(__xludf.DUMMYFUNCTION("IMPORTRANGE(""https://docs.google.com/spreadsheets/d/11923uPwbBZFjjGgGUA6NLw09EwE0CqkOc4q9oUmW1yo/edit?usp=sharing"",""เชียงราย!I385"")"),0)</f>
        <v>0</v>
      </c>
      <c r="J490" s="188">
        <f ca="1">IFERROR(__xludf.DUMMYFUNCTION("IMPORTRANGE(""https://docs.google.com/spreadsheets/d/11923uPwbBZFjjGgGUA6NLw09EwE0CqkOc4q9oUmW1yo/edit?usp=sharing"",""เชียงราย!J385"")"),0)</f>
        <v>0</v>
      </c>
      <c r="K490" s="163">
        <f t="shared" ca="1" si="117"/>
        <v>0</v>
      </c>
      <c r="L490" s="181"/>
      <c r="M490" s="181"/>
      <c r="N490" s="181"/>
      <c r="O490" s="181"/>
      <c r="P490" s="181"/>
    </row>
    <row r="491" spans="1:16" ht="21.75" customHeight="1" x14ac:dyDescent="0.3">
      <c r="A491" s="400"/>
      <c r="B491" s="401"/>
      <c r="C491" s="401"/>
      <c r="D491" s="402"/>
      <c r="E491" s="195"/>
      <c r="F491" s="195"/>
      <c r="G491" s="194" t="s">
        <v>180</v>
      </c>
      <c r="H491" s="420" t="s">
        <v>122</v>
      </c>
      <c r="I491" s="202">
        <f ca="1">IFERROR(__xludf.DUMMYFUNCTION("IMPORTRANGE(""https://docs.google.com/spreadsheets/d/11923uPwbBZFjjGgGUA6NLw09EwE0CqkOc4q9oUmW1yo/edit?usp=sharing"",""เชียงราย!I386"")"),0)</f>
        <v>0</v>
      </c>
      <c r="J491" s="188">
        <f ca="1">IFERROR(__xludf.DUMMYFUNCTION("IMPORTRANGE(""https://docs.google.com/spreadsheets/d/11923uPwbBZFjjGgGUA6NLw09EwE0CqkOc4q9oUmW1yo/edit?usp=sharing"",""เชียงราย!J386"")"),0)</f>
        <v>0</v>
      </c>
      <c r="K491" s="163">
        <f t="shared" ca="1" si="117"/>
        <v>0</v>
      </c>
      <c r="L491" s="181"/>
      <c r="M491" s="181"/>
      <c r="N491" s="181"/>
      <c r="O491" s="181"/>
      <c r="P491" s="181"/>
    </row>
    <row r="492" spans="1:16" ht="21.75" customHeight="1" x14ac:dyDescent="0.3">
      <c r="A492" s="400"/>
      <c r="B492" s="401"/>
      <c r="C492" s="401"/>
      <c r="D492" s="402"/>
      <c r="E492" s="195"/>
      <c r="F492" s="195"/>
      <c r="G492" s="196"/>
      <c r="H492" s="420" t="s">
        <v>36</v>
      </c>
      <c r="I492" s="202">
        <f ca="1">IFERROR(__xludf.DUMMYFUNCTION("IMPORTRANGE(""https://docs.google.com/spreadsheets/d/11923uPwbBZFjjGgGUA6NLw09EwE0CqkOc4q9oUmW1yo/edit?usp=sharing"",""เชียงราย!I387"")"),0)</f>
        <v>0</v>
      </c>
      <c r="J492" s="188">
        <f ca="1">IFERROR(__xludf.DUMMYFUNCTION("IMPORTRANGE(""https://docs.google.com/spreadsheets/d/11923uPwbBZFjjGgGUA6NLw09EwE0CqkOc4q9oUmW1yo/edit?usp=sharing"",""เชียงราย!J387"")"),0)</f>
        <v>0</v>
      </c>
      <c r="K492" s="163">
        <f t="shared" ca="1" si="117"/>
        <v>0</v>
      </c>
      <c r="L492" s="181"/>
      <c r="M492" s="181"/>
      <c r="N492" s="181"/>
      <c r="O492" s="181"/>
      <c r="P492" s="181"/>
    </row>
    <row r="493" spans="1:16" ht="21.75" customHeight="1" x14ac:dyDescent="0.3">
      <c r="A493" s="400"/>
      <c r="B493" s="401"/>
      <c r="C493" s="401"/>
      <c r="D493" s="402"/>
      <c r="E493" s="195"/>
      <c r="F493" s="194" t="s">
        <v>181</v>
      </c>
      <c r="G493" s="419"/>
      <c r="H493" s="420" t="s">
        <v>122</v>
      </c>
      <c r="I493" s="202">
        <f ca="1">IFERROR(__xludf.DUMMYFUNCTION("IMPORTRANGE(""https://docs.google.com/spreadsheets/d/11923uPwbBZFjjGgGUA6NLw09EwE0CqkOc4q9oUmW1yo/edit?usp=sharing"",""เชียงราย!I388"")"),0)</f>
        <v>0</v>
      </c>
      <c r="J493" s="188">
        <f ca="1">IFERROR(__xludf.DUMMYFUNCTION("IMPORTRANGE(""https://docs.google.com/spreadsheets/d/11923uPwbBZFjjGgGUA6NLw09EwE0CqkOc4q9oUmW1yo/edit?usp=sharing"",""เชียงราย!J388"")"),0)</f>
        <v>0</v>
      </c>
      <c r="K493" s="163">
        <f t="shared" ca="1" si="117"/>
        <v>0</v>
      </c>
      <c r="L493" s="181"/>
      <c r="M493" s="181"/>
      <c r="N493" s="181"/>
      <c r="O493" s="181"/>
      <c r="P493" s="181"/>
    </row>
    <row r="494" spans="1:16" ht="21.75" customHeight="1" x14ac:dyDescent="0.3">
      <c r="A494" s="429"/>
      <c r="B494" s="430"/>
      <c r="C494" s="430"/>
      <c r="D494" s="431"/>
      <c r="E494" s="345"/>
      <c r="F494" s="345"/>
      <c r="G494" s="345"/>
      <c r="H494" s="432" t="s">
        <v>36</v>
      </c>
      <c r="I494" s="433">
        <f ca="1">IFERROR(__xludf.DUMMYFUNCTION("IMPORTRANGE(""https://docs.google.com/spreadsheets/d/11923uPwbBZFjjGgGUA6NLw09EwE0CqkOc4q9oUmW1yo/edit?usp=sharing"",""เชียงราย!I389"")"),0)</f>
        <v>0</v>
      </c>
      <c r="J494" s="434">
        <f ca="1">IFERROR(__xludf.DUMMYFUNCTION("IMPORTRANGE(""https://docs.google.com/spreadsheets/d/11923uPwbBZFjjGgGUA6NLw09EwE0CqkOc4q9oUmW1yo/edit?usp=sharing"",""เชียงราย!J389"")"),0)</f>
        <v>0</v>
      </c>
      <c r="K494" s="286">
        <f t="shared" ca="1" si="117"/>
        <v>0</v>
      </c>
      <c r="L494" s="244"/>
      <c r="M494" s="244"/>
      <c r="N494" s="244"/>
      <c r="O494" s="244"/>
      <c r="P494" s="244"/>
    </row>
    <row r="495" spans="1:16" ht="21.75" customHeight="1" x14ac:dyDescent="0.3">
      <c r="A495" s="400"/>
      <c r="B495" s="401"/>
      <c r="C495" s="401"/>
      <c r="D495" s="402"/>
      <c r="E495" s="195"/>
      <c r="F495" s="195">
        <v>3.5</v>
      </c>
      <c r="G495" s="419" t="s">
        <v>182</v>
      </c>
      <c r="H495" s="420" t="s">
        <v>122</v>
      </c>
      <c r="I495" s="433">
        <f ca="1">IFERROR(__xludf.DUMMYFUNCTION("IMPORTRANGE(""https://docs.google.com/spreadsheets/d/11923uPwbBZFjjGgGUA6NLw09EwE0CqkOc4q9oUmW1yo/edit?usp=sharing"",""เชียงราย!I390"")"),0)</f>
        <v>0</v>
      </c>
      <c r="J495" s="434">
        <f ca="1">IFERROR(__xludf.DUMMYFUNCTION("IMPORTRANGE(""https://docs.google.com/spreadsheets/d/11923uPwbBZFjjGgGUA6NLw09EwE0CqkOc4q9oUmW1yo/edit?usp=sharing"",""เชียงราย!J390"")"),0)</f>
        <v>0</v>
      </c>
      <c r="K495" s="163">
        <f t="shared" ca="1" si="117"/>
        <v>0</v>
      </c>
      <c r="L495" s="181"/>
      <c r="M495" s="181"/>
      <c r="N495" s="181"/>
      <c r="O495" s="181"/>
      <c r="P495" s="181"/>
    </row>
    <row r="496" spans="1:16" ht="21.75" customHeight="1" x14ac:dyDescent="0.3">
      <c r="A496" s="429"/>
      <c r="B496" s="430"/>
      <c r="C496" s="430"/>
      <c r="D496" s="431"/>
      <c r="E496" s="345"/>
      <c r="F496" s="345"/>
      <c r="G496" s="345"/>
      <c r="H496" s="432" t="s">
        <v>36</v>
      </c>
      <c r="I496" s="433">
        <f ca="1">IFERROR(__xludf.DUMMYFUNCTION("IMPORTRANGE(""https://docs.google.com/spreadsheets/d/11923uPwbBZFjjGgGUA6NLw09EwE0CqkOc4q9oUmW1yo/edit?usp=sharing"",""เชียงราย!I391"")"),0)</f>
        <v>0</v>
      </c>
      <c r="J496" s="434">
        <f ca="1">IFERROR(__xludf.DUMMYFUNCTION("IMPORTRANGE(""https://docs.google.com/spreadsheets/d/11923uPwbBZFjjGgGUA6NLw09EwE0CqkOc4q9oUmW1yo/edit?usp=sharing"",""เชียงราย!J391"")"),0)</f>
        <v>0</v>
      </c>
      <c r="K496" s="286">
        <f t="shared" ca="1" si="117"/>
        <v>0</v>
      </c>
      <c r="L496" s="244"/>
      <c r="M496" s="244"/>
      <c r="N496" s="244"/>
      <c r="O496" s="244"/>
      <c r="P496" s="244"/>
    </row>
    <row r="497" spans="1:16" ht="21.75" customHeight="1" x14ac:dyDescent="0.3">
      <c r="A497" s="435"/>
      <c r="B497" s="436"/>
      <c r="C497" s="437" t="s">
        <v>183</v>
      </c>
      <c r="D497" s="437"/>
      <c r="E497" s="438"/>
      <c r="F497" s="438"/>
      <c r="G497" s="439"/>
      <c r="H497" s="440" t="s">
        <v>122</v>
      </c>
      <c r="I497" s="441">
        <f ca="1">IFERROR(__xludf.DUMMYFUNCTION("IMPORTRANGE(""https://docs.google.com/spreadsheets/d/11923uPwbBZFjjGgGUA6NLw09EwE0CqkOc4q9oUmW1yo/edit?usp=sharing"",""เชียงราย!I392"")"),707)</f>
        <v>707</v>
      </c>
      <c r="J497" s="441">
        <f ca="1">IFERROR(__xludf.DUMMYFUNCTION("IMPORTRANGE(""https://docs.google.com/spreadsheets/d/11923uPwbBZFjjGgGUA6NLw09EwE0CqkOc4q9oUmW1yo/edit?usp=sharing"",""เชียงราย!J392"")"),694)</f>
        <v>694</v>
      </c>
      <c r="K497" s="442">
        <f t="shared" ca="1" si="117"/>
        <v>98.161244695898162</v>
      </c>
      <c r="L497" s="443"/>
      <c r="M497" s="443"/>
      <c r="N497" s="443"/>
      <c r="O497" s="443"/>
      <c r="P497" s="443"/>
    </row>
    <row r="498" spans="1:16" ht="21.75" customHeight="1" x14ac:dyDescent="0.3">
      <c r="A498" s="175"/>
      <c r="B498" s="176"/>
      <c r="C498" s="176"/>
      <c r="D498" s="402"/>
      <c r="E498" s="444" t="s">
        <v>184</v>
      </c>
      <c r="F498" s="445"/>
      <c r="G498" s="446"/>
      <c r="H498" s="447" t="s">
        <v>122</v>
      </c>
      <c r="I498" s="418">
        <f ca="1">IFERROR(__xludf.DUMMYFUNCTION("IMPORTRANGE(""https://docs.google.com/spreadsheets/d/11923uPwbBZFjjGgGUA6NLw09EwE0CqkOc4q9oUmW1yo/edit?usp=sharing"",""เชียงราย!I393"")"),707)</f>
        <v>707</v>
      </c>
      <c r="J498" s="418">
        <f ca="1">IFERROR(__xludf.DUMMYFUNCTION("IMPORTRANGE(""https://docs.google.com/spreadsheets/d/11923uPwbBZFjjGgGUA6NLw09EwE0CqkOc4q9oUmW1yo/edit?usp=sharing"",""เชียงราย!J393"")"),694)</f>
        <v>694</v>
      </c>
      <c r="K498" s="163">
        <f t="shared" ca="1" si="117"/>
        <v>98.161244695898162</v>
      </c>
      <c r="L498" s="181"/>
      <c r="M498" s="181"/>
      <c r="N498" s="181"/>
      <c r="O498" s="181"/>
      <c r="P498" s="181"/>
    </row>
    <row r="499" spans="1:16" ht="21.75" customHeight="1" x14ac:dyDescent="0.3">
      <c r="A499" s="175"/>
      <c r="B499" s="176"/>
      <c r="C499" s="176"/>
      <c r="D499" s="193"/>
      <c r="E499" s="445"/>
      <c r="F499" s="445"/>
      <c r="G499" s="446"/>
      <c r="H499" s="447" t="s">
        <v>36</v>
      </c>
      <c r="I499" s="418">
        <f ca="1">IFERROR(__xludf.DUMMYFUNCTION("IMPORTRANGE(""https://docs.google.com/spreadsheets/d/11923uPwbBZFjjGgGUA6NLw09EwE0CqkOc4q9oUmW1yo/edit?usp=sharing"",""เชียงราย!I394"")"),94)</f>
        <v>94</v>
      </c>
      <c r="J499" s="418">
        <f ca="1">IFERROR(__xludf.DUMMYFUNCTION("IMPORTRANGE(""https://docs.google.com/spreadsheets/d/11923uPwbBZFjjGgGUA6NLw09EwE0CqkOc4q9oUmW1yo/edit?usp=sharing"",""เชียงราย!J394"")"),92)</f>
        <v>92</v>
      </c>
      <c r="K499" s="201">
        <f t="shared" ca="1" si="117"/>
        <v>97.872340425531917</v>
      </c>
      <c r="L499" s="181"/>
      <c r="M499" s="181"/>
      <c r="N499" s="181"/>
      <c r="O499" s="181"/>
      <c r="P499" s="181"/>
    </row>
    <row r="500" spans="1:16" ht="21.75" customHeight="1" x14ac:dyDescent="0.3">
      <c r="A500" s="175"/>
      <c r="B500" s="176"/>
      <c r="C500" s="176"/>
      <c r="D500" s="402"/>
      <c r="E500" s="402" t="s">
        <v>185</v>
      </c>
      <c r="F500" s="195"/>
      <c r="G500" s="196"/>
      <c r="H500" s="420" t="s">
        <v>122</v>
      </c>
      <c r="I500" s="202">
        <f ca="1">IFERROR(__xludf.DUMMYFUNCTION("IMPORTRANGE(""https://docs.google.com/spreadsheets/d/11923uPwbBZFjjGgGUA6NLw09EwE0CqkOc4q9oUmW1yo/edit?usp=sharing"",""เชียงราย!I395"")"),0)</f>
        <v>0</v>
      </c>
      <c r="J500" s="162">
        <f ca="1">IFERROR(__xludf.DUMMYFUNCTION("IMPORTRANGE(""https://docs.google.com/spreadsheets/d/11923uPwbBZFjjGgGUA6NLw09EwE0CqkOc4q9oUmW1yo/edit?usp=sharing"",""เชียงราย!J395"")"),552)</f>
        <v>552</v>
      </c>
      <c r="K500" s="163">
        <f t="shared" ca="1" si="117"/>
        <v>0</v>
      </c>
      <c r="L500" s="181"/>
      <c r="M500" s="181"/>
      <c r="N500" s="181"/>
      <c r="O500" s="181"/>
      <c r="P500" s="181"/>
    </row>
    <row r="501" spans="1:16" ht="21.75" customHeight="1" x14ac:dyDescent="0.3">
      <c r="A501" s="175"/>
      <c r="B501" s="176"/>
      <c r="C501" s="176"/>
      <c r="D501" s="193"/>
      <c r="E501" s="195"/>
      <c r="F501" s="195"/>
      <c r="G501" s="196"/>
      <c r="H501" s="420" t="s">
        <v>36</v>
      </c>
      <c r="I501" s="202">
        <f ca="1">IFERROR(__xludf.DUMMYFUNCTION("IMPORTRANGE(""https://docs.google.com/spreadsheets/d/11923uPwbBZFjjGgGUA6NLw09EwE0CqkOc4q9oUmW1yo/edit?usp=sharing"",""เชียงราย!I396"")"),0)</f>
        <v>0</v>
      </c>
      <c r="J501" s="162">
        <f ca="1">IFERROR(__xludf.DUMMYFUNCTION("IMPORTRANGE(""https://docs.google.com/spreadsheets/d/11923uPwbBZFjjGgGUA6NLw09EwE0CqkOc4q9oUmW1yo/edit?usp=sharing"",""เชียงราย!J396"")"),73)</f>
        <v>73</v>
      </c>
      <c r="K501" s="163">
        <f t="shared" ca="1" si="117"/>
        <v>0</v>
      </c>
      <c r="L501" s="181"/>
      <c r="M501" s="181"/>
      <c r="N501" s="181"/>
      <c r="O501" s="181"/>
      <c r="P501" s="181"/>
    </row>
    <row r="502" spans="1:16" ht="21.75" customHeight="1" x14ac:dyDescent="0.3">
      <c r="A502" s="175"/>
      <c r="B502" s="176"/>
      <c r="C502" s="176"/>
      <c r="D502" s="193"/>
      <c r="E502" s="195"/>
      <c r="F502" s="397" t="s">
        <v>186</v>
      </c>
      <c r="G502" s="419"/>
      <c r="H502" s="420" t="s">
        <v>122</v>
      </c>
      <c r="I502" s="202">
        <f ca="1">IFERROR(__xludf.DUMMYFUNCTION("IMPORTRANGE(""https://docs.google.com/spreadsheets/d/11923uPwbBZFjjGgGUA6NLw09EwE0CqkOc4q9oUmW1yo/edit?usp=sharing"",""เชียงราย!I397"")"),0)</f>
        <v>0</v>
      </c>
      <c r="J502" s="188">
        <f ca="1">IFERROR(__xludf.DUMMYFUNCTION("IMPORTRANGE(""https://docs.google.com/spreadsheets/d/11923uPwbBZFjjGgGUA6NLw09EwE0CqkOc4q9oUmW1yo/edit?usp=sharing"",""เชียงราย!J397"")"),552)</f>
        <v>552</v>
      </c>
      <c r="K502" s="163">
        <f t="shared" ca="1" si="117"/>
        <v>0</v>
      </c>
      <c r="L502" s="181"/>
      <c r="M502" s="181"/>
      <c r="N502" s="181"/>
      <c r="O502" s="181"/>
      <c r="P502" s="181"/>
    </row>
    <row r="503" spans="1:16" ht="21.75" customHeight="1" x14ac:dyDescent="0.3">
      <c r="A503" s="175"/>
      <c r="B503" s="176"/>
      <c r="C503" s="176"/>
      <c r="D503" s="193"/>
      <c r="E503" s="195"/>
      <c r="F503" s="195"/>
      <c r="G503" s="419"/>
      <c r="H503" s="420" t="s">
        <v>36</v>
      </c>
      <c r="I503" s="187">
        <f ca="1">IFERROR(__xludf.DUMMYFUNCTION("IMPORTRANGE(""https://docs.google.com/spreadsheets/d/11923uPwbBZFjjGgGUA6NLw09EwE0CqkOc4q9oUmW1yo/edit?usp=sharing"",""เชียงราย!I398"")"),0)</f>
        <v>0</v>
      </c>
      <c r="J503" s="197">
        <f ca="1">IFERROR(__xludf.DUMMYFUNCTION("IMPORTRANGE(""https://docs.google.com/spreadsheets/d/11923uPwbBZFjjGgGUA6NLw09EwE0CqkOc4q9oUmW1yo/edit?usp=sharing"",""เชียงราย!J398"")"),73)</f>
        <v>73</v>
      </c>
      <c r="K503" s="163">
        <f t="shared" ca="1" si="117"/>
        <v>0</v>
      </c>
      <c r="L503" s="181"/>
      <c r="M503" s="181"/>
      <c r="N503" s="181"/>
      <c r="O503" s="181"/>
      <c r="P503" s="181"/>
    </row>
    <row r="504" spans="1:16" ht="21.75" customHeight="1" x14ac:dyDescent="0.3">
      <c r="A504" s="175"/>
      <c r="B504" s="176"/>
      <c r="C504" s="176"/>
      <c r="D504" s="193"/>
      <c r="E504" s="195"/>
      <c r="F504" s="388" t="s">
        <v>187</v>
      </c>
      <c r="G504" s="419"/>
      <c r="H504" s="420" t="s">
        <v>122</v>
      </c>
      <c r="I504" s="203">
        <f ca="1">IFERROR(__xludf.DUMMYFUNCTION("IMPORTRANGE(""https://docs.google.com/spreadsheets/d/11923uPwbBZFjjGgGUA6NLw09EwE0CqkOc4q9oUmW1yo/edit?usp=sharing"",""เชียงราย!I399"")"),0)</f>
        <v>0</v>
      </c>
      <c r="J504" s="188">
        <f ca="1">IFERROR(__xludf.DUMMYFUNCTION("IMPORTRANGE(""https://docs.google.com/spreadsheets/d/11923uPwbBZFjjGgGUA6NLw09EwE0CqkOc4q9oUmW1yo/edit?usp=sharing"",""เชียงราย!J399"")"),0)</f>
        <v>0</v>
      </c>
      <c r="K504" s="163">
        <f t="shared" ca="1" si="117"/>
        <v>0</v>
      </c>
      <c r="L504" s="181"/>
      <c r="M504" s="181"/>
      <c r="N504" s="181"/>
      <c r="O504" s="181"/>
      <c r="P504" s="181"/>
    </row>
    <row r="505" spans="1:16" ht="21.75" customHeight="1" x14ac:dyDescent="0.3">
      <c r="A505" s="175"/>
      <c r="B505" s="176"/>
      <c r="C505" s="176"/>
      <c r="D505" s="193"/>
      <c r="E505" s="195"/>
      <c r="F505" s="195"/>
      <c r="G505" s="419"/>
      <c r="H505" s="420" t="s">
        <v>36</v>
      </c>
      <c r="I505" s="187">
        <f ca="1">IFERROR(__xludf.DUMMYFUNCTION("IMPORTRANGE(""https://docs.google.com/spreadsheets/d/11923uPwbBZFjjGgGUA6NLw09EwE0CqkOc4q9oUmW1yo/edit?usp=sharing"",""เชียงราย!I400"")"),0)</f>
        <v>0</v>
      </c>
      <c r="J505" s="197">
        <f ca="1">IFERROR(__xludf.DUMMYFUNCTION("IMPORTRANGE(""https://docs.google.com/spreadsheets/d/11923uPwbBZFjjGgGUA6NLw09EwE0CqkOc4q9oUmW1yo/edit?usp=sharing"",""เชียงราย!J400"")"),0)</f>
        <v>0</v>
      </c>
      <c r="K505" s="163">
        <f t="shared" ca="1" si="117"/>
        <v>0</v>
      </c>
      <c r="L505" s="181"/>
      <c r="M505" s="181"/>
      <c r="N505" s="181"/>
      <c r="O505" s="181"/>
      <c r="P505" s="181"/>
    </row>
    <row r="506" spans="1:16" ht="21.75" customHeight="1" x14ac:dyDescent="0.3">
      <c r="A506" s="175"/>
      <c r="B506" s="176"/>
      <c r="C506" s="176"/>
      <c r="D506" s="193"/>
      <c r="E506" s="195"/>
      <c r="F506" s="397" t="s">
        <v>188</v>
      </c>
      <c r="G506" s="419"/>
      <c r="H506" s="420" t="s">
        <v>122</v>
      </c>
      <c r="I506" s="203">
        <f ca="1">IFERROR(__xludf.DUMMYFUNCTION("IMPORTRANGE(""https://docs.google.com/spreadsheets/d/11923uPwbBZFjjGgGUA6NLw09EwE0CqkOc4q9oUmW1yo/edit?usp=sharing"",""เชียงราย!I401"")"),0)</f>
        <v>0</v>
      </c>
      <c r="J506" s="188">
        <f ca="1">IFERROR(__xludf.DUMMYFUNCTION("IMPORTRANGE(""https://docs.google.com/spreadsheets/d/11923uPwbBZFjjGgGUA6NLw09EwE0CqkOc4q9oUmW1yo/edit?usp=sharing"",""เชียงราย!J401"")"),0)</f>
        <v>0</v>
      </c>
      <c r="K506" s="163">
        <f t="shared" ca="1" si="117"/>
        <v>0</v>
      </c>
      <c r="L506" s="181"/>
      <c r="M506" s="181"/>
      <c r="N506" s="181"/>
      <c r="O506" s="181"/>
      <c r="P506" s="181"/>
    </row>
    <row r="507" spans="1:16" ht="21.75" customHeight="1" x14ac:dyDescent="0.3">
      <c r="A507" s="175"/>
      <c r="B507" s="176"/>
      <c r="C507" s="176"/>
      <c r="D507" s="193"/>
      <c r="E507" s="195"/>
      <c r="F507" s="195"/>
      <c r="G507" s="195"/>
      <c r="H507" s="420" t="s">
        <v>36</v>
      </c>
      <c r="I507" s="187">
        <f ca="1">IFERROR(__xludf.DUMMYFUNCTION("IMPORTRANGE(""https://docs.google.com/spreadsheets/d/11923uPwbBZFjjGgGUA6NLw09EwE0CqkOc4q9oUmW1yo/edit?usp=sharing"",""เชียงราย!I402"")"),0)</f>
        <v>0</v>
      </c>
      <c r="J507" s="197">
        <f ca="1">IFERROR(__xludf.DUMMYFUNCTION("IMPORTRANGE(""https://docs.google.com/spreadsheets/d/11923uPwbBZFjjGgGUA6NLw09EwE0CqkOc4q9oUmW1yo/edit?usp=sharing"",""เชียงราย!J402"")"),0)</f>
        <v>0</v>
      </c>
      <c r="K507" s="163">
        <f t="shared" ca="1" si="117"/>
        <v>0</v>
      </c>
      <c r="L507" s="181"/>
      <c r="M507" s="181"/>
      <c r="N507" s="181"/>
      <c r="O507" s="181"/>
      <c r="P507" s="181"/>
    </row>
    <row r="508" spans="1:16" ht="21.75" customHeight="1" x14ac:dyDescent="0.3">
      <c r="A508" s="175"/>
      <c r="B508" s="176"/>
      <c r="C508" s="176"/>
      <c r="D508" s="193"/>
      <c r="E508" s="194" t="s">
        <v>189</v>
      </c>
      <c r="F508" s="195"/>
      <c r="G508" s="419"/>
      <c r="H508" s="420" t="s">
        <v>122</v>
      </c>
      <c r="I508" s="187">
        <f ca="1">IFERROR(__xludf.DUMMYFUNCTION("IMPORTRANGE(""https://docs.google.com/spreadsheets/d/11923uPwbBZFjjGgGUA6NLw09EwE0CqkOc4q9oUmW1yo/edit?usp=sharing"",""เชียงราย!I403"")"),0)</f>
        <v>0</v>
      </c>
      <c r="J508" s="162">
        <f ca="1">IFERROR(__xludf.DUMMYFUNCTION("IMPORTRANGE(""https://docs.google.com/spreadsheets/d/11923uPwbBZFjjGgGUA6NLw09EwE0CqkOc4q9oUmW1yo/edit?usp=sharing"",""เชียงราย!J403"")"),141)</f>
        <v>141</v>
      </c>
      <c r="K508" s="163">
        <f t="shared" ca="1" si="117"/>
        <v>0</v>
      </c>
      <c r="L508" s="181"/>
      <c r="M508" s="181"/>
      <c r="N508" s="181"/>
      <c r="O508" s="181"/>
      <c r="P508" s="181"/>
    </row>
    <row r="509" spans="1:16" ht="21.75" customHeight="1" x14ac:dyDescent="0.3">
      <c r="A509" s="175"/>
      <c r="B509" s="176"/>
      <c r="C509" s="176"/>
      <c r="D509" s="193"/>
      <c r="E509" s="195"/>
      <c r="F509" s="195"/>
      <c r="G509" s="195"/>
      <c r="H509" s="420" t="s">
        <v>36</v>
      </c>
      <c r="I509" s="187">
        <f ca="1">IFERROR(__xludf.DUMMYFUNCTION("IMPORTRANGE(""https://docs.google.com/spreadsheets/d/11923uPwbBZFjjGgGUA6NLw09EwE0CqkOc4q9oUmW1yo/edit?usp=sharing"",""เชียงราย!I404"")"),0)</f>
        <v>0</v>
      </c>
      <c r="J509" s="162">
        <f ca="1">IFERROR(__xludf.DUMMYFUNCTION("IMPORTRANGE(""https://docs.google.com/spreadsheets/d/11923uPwbBZFjjGgGUA6NLw09EwE0CqkOc4q9oUmW1yo/edit?usp=sharing"",""เชียงราย!J404"")"),18)</f>
        <v>18</v>
      </c>
      <c r="K509" s="163">
        <f t="shared" ca="1" si="117"/>
        <v>0</v>
      </c>
      <c r="L509" s="181"/>
      <c r="M509" s="181"/>
      <c r="N509" s="181"/>
      <c r="O509" s="181"/>
      <c r="P509" s="181"/>
    </row>
    <row r="510" spans="1:16" ht="21.75" customHeight="1" x14ac:dyDescent="0.3">
      <c r="A510" s="175"/>
      <c r="B510" s="176"/>
      <c r="C510" s="176"/>
      <c r="D510" s="193"/>
      <c r="E510" s="195"/>
      <c r="F510" s="194" t="s">
        <v>190</v>
      </c>
      <c r="G510" s="195"/>
      <c r="H510" s="420" t="s">
        <v>122</v>
      </c>
      <c r="I510" s="187">
        <f ca="1">IFERROR(__xludf.DUMMYFUNCTION("IMPORTRANGE(""https://docs.google.com/spreadsheets/d/11923uPwbBZFjjGgGUA6NLw09EwE0CqkOc4q9oUmW1yo/edit?usp=sharing"",""เชียงราย!I405"")"),0)</f>
        <v>0</v>
      </c>
      <c r="J510" s="197">
        <f ca="1">IFERROR(__xludf.DUMMYFUNCTION("IMPORTRANGE(""https://docs.google.com/spreadsheets/d/11923uPwbBZFjjGgGUA6NLw09EwE0CqkOc4q9oUmW1yo/edit?usp=sharing"",""เชียงราย!J405"")"),141)</f>
        <v>141</v>
      </c>
      <c r="K510" s="163">
        <f t="shared" ca="1" si="117"/>
        <v>0</v>
      </c>
      <c r="L510" s="181"/>
      <c r="M510" s="181"/>
      <c r="N510" s="181"/>
      <c r="O510" s="181"/>
      <c r="P510" s="181"/>
    </row>
    <row r="511" spans="1:16" ht="21.75" customHeight="1" x14ac:dyDescent="0.3">
      <c r="A511" s="175"/>
      <c r="B511" s="176"/>
      <c r="C511" s="176"/>
      <c r="D511" s="193"/>
      <c r="E511" s="195"/>
      <c r="F511" s="195"/>
      <c r="G511" s="195"/>
      <c r="H511" s="420" t="s">
        <v>36</v>
      </c>
      <c r="I511" s="187">
        <f ca="1">IFERROR(__xludf.DUMMYFUNCTION("IMPORTRANGE(""https://docs.google.com/spreadsheets/d/11923uPwbBZFjjGgGUA6NLw09EwE0CqkOc4q9oUmW1yo/edit?usp=sharing"",""เชียงราย!I406"")"),0)</f>
        <v>0</v>
      </c>
      <c r="J511" s="197">
        <f ca="1">IFERROR(__xludf.DUMMYFUNCTION("IMPORTRANGE(""https://docs.google.com/spreadsheets/d/11923uPwbBZFjjGgGUA6NLw09EwE0CqkOc4q9oUmW1yo/edit?usp=sharing"",""เชียงราย!J406"")"),18)</f>
        <v>18</v>
      </c>
      <c r="K511" s="163">
        <f t="shared" ca="1" si="117"/>
        <v>0</v>
      </c>
      <c r="L511" s="181"/>
      <c r="M511" s="181"/>
      <c r="N511" s="181"/>
      <c r="O511" s="181"/>
      <c r="P511" s="181"/>
    </row>
    <row r="512" spans="1:16" ht="21.75" customHeight="1" x14ac:dyDescent="0.3">
      <c r="A512" s="175"/>
      <c r="B512" s="176"/>
      <c r="C512" s="176"/>
      <c r="D512" s="193"/>
      <c r="E512" s="195"/>
      <c r="F512" s="194" t="s">
        <v>191</v>
      </c>
      <c r="G512" s="195"/>
      <c r="H512" s="420" t="s">
        <v>122</v>
      </c>
      <c r="I512" s="187">
        <f ca="1">IFERROR(__xludf.DUMMYFUNCTION("IMPORTRANGE(""https://docs.google.com/spreadsheets/d/11923uPwbBZFjjGgGUA6NLw09EwE0CqkOc4q9oUmW1yo/edit?usp=sharing"",""เชียงราย!I407"")"),0)</f>
        <v>0</v>
      </c>
      <c r="J512" s="197">
        <f ca="1">IFERROR(__xludf.DUMMYFUNCTION("IMPORTRANGE(""https://docs.google.com/spreadsheets/d/11923uPwbBZFjjGgGUA6NLw09EwE0CqkOc4q9oUmW1yo/edit?usp=sharing"",""เชียงราย!J407"")"),0)</f>
        <v>0</v>
      </c>
      <c r="K512" s="163">
        <f t="shared" ca="1" si="117"/>
        <v>0</v>
      </c>
      <c r="L512" s="181"/>
      <c r="M512" s="181"/>
      <c r="N512" s="181"/>
      <c r="O512" s="181"/>
      <c r="P512" s="181"/>
    </row>
    <row r="513" spans="1:16" ht="21.75" customHeight="1" x14ac:dyDescent="0.3">
      <c r="A513" s="175"/>
      <c r="B513" s="176"/>
      <c r="C513" s="176"/>
      <c r="D513" s="193"/>
      <c r="E513" s="195"/>
      <c r="F513" s="195"/>
      <c r="G513" s="196"/>
      <c r="H513" s="420" t="s">
        <v>36</v>
      </c>
      <c r="I513" s="187">
        <f ca="1">IFERROR(__xludf.DUMMYFUNCTION("IMPORTRANGE(""https://docs.google.com/spreadsheets/d/11923uPwbBZFjjGgGUA6NLw09EwE0CqkOc4q9oUmW1yo/edit?usp=sharing"",""เชียงราย!I408"")"),0)</f>
        <v>0</v>
      </c>
      <c r="J513" s="197">
        <f ca="1">IFERROR(__xludf.DUMMYFUNCTION("IMPORTRANGE(""https://docs.google.com/spreadsheets/d/11923uPwbBZFjjGgGUA6NLw09EwE0CqkOc4q9oUmW1yo/edit?usp=sharing"",""เชียงราย!J408"")"),0)</f>
        <v>0</v>
      </c>
      <c r="K513" s="163">
        <f t="shared" ca="1" si="117"/>
        <v>0</v>
      </c>
      <c r="L513" s="181"/>
      <c r="M513" s="181"/>
      <c r="N513" s="181"/>
      <c r="O513" s="181"/>
      <c r="P513" s="181"/>
    </row>
    <row r="514" spans="1:16" ht="21.75" customHeight="1" x14ac:dyDescent="0.3">
      <c r="A514" s="175"/>
      <c r="B514" s="176"/>
      <c r="C514" s="176"/>
      <c r="D514" s="402"/>
      <c r="E514" s="448" t="s">
        <v>192</v>
      </c>
      <c r="F514" s="195"/>
      <c r="G514" s="196"/>
      <c r="H514" s="420" t="s">
        <v>122</v>
      </c>
      <c r="I514" s="187">
        <f ca="1">IFERROR(__xludf.DUMMYFUNCTION("IMPORTRANGE(""https://docs.google.com/spreadsheets/d/11923uPwbBZFjjGgGUA6NLw09EwE0CqkOc4q9oUmW1yo/edit?usp=sharing"",""เชียงราย!I409"")"),0)</f>
        <v>0</v>
      </c>
      <c r="J514" s="197">
        <f ca="1">IFERROR(__xludf.DUMMYFUNCTION("IMPORTRANGE(""https://docs.google.com/spreadsheets/d/11923uPwbBZFjjGgGUA6NLw09EwE0CqkOc4q9oUmW1yo/edit?usp=sharing"",""เชียงราย!J409"")"),1)</f>
        <v>1</v>
      </c>
      <c r="K514" s="163">
        <f t="shared" ca="1" si="117"/>
        <v>0</v>
      </c>
      <c r="L514" s="181"/>
      <c r="M514" s="181"/>
      <c r="N514" s="181"/>
      <c r="O514" s="181"/>
      <c r="P514" s="181"/>
    </row>
    <row r="515" spans="1:16" ht="21.75" customHeight="1" x14ac:dyDescent="0.3">
      <c r="A515" s="175"/>
      <c r="B515" s="176"/>
      <c r="C515" s="176"/>
      <c r="D515" s="193"/>
      <c r="E515" s="195"/>
      <c r="F515" s="195"/>
      <c r="G515" s="196"/>
      <c r="H515" s="420" t="s">
        <v>36</v>
      </c>
      <c r="I515" s="187">
        <f ca="1">IFERROR(__xludf.DUMMYFUNCTION("IMPORTRANGE(""https://docs.google.com/spreadsheets/d/11923uPwbBZFjjGgGUA6NLw09EwE0CqkOc4q9oUmW1yo/edit?usp=sharing"",""เชียงราย!I410"")"),0)</f>
        <v>0</v>
      </c>
      <c r="J515" s="197">
        <f ca="1">IFERROR(__xludf.DUMMYFUNCTION("IMPORTRANGE(""https://docs.google.com/spreadsheets/d/11923uPwbBZFjjGgGUA6NLw09EwE0CqkOc4q9oUmW1yo/edit?usp=sharing"",""เชียงราย!J410"")"),1)</f>
        <v>1</v>
      </c>
      <c r="K515" s="163">
        <f t="shared" ca="1" si="117"/>
        <v>0</v>
      </c>
      <c r="L515" s="181"/>
      <c r="M515" s="181"/>
      <c r="N515" s="181"/>
      <c r="O515" s="181"/>
      <c r="P515" s="181"/>
    </row>
    <row r="516" spans="1:16" ht="21.75" customHeight="1" x14ac:dyDescent="0.3">
      <c r="A516" s="175"/>
      <c r="B516" s="176"/>
      <c r="C516" s="413" t="s">
        <v>193</v>
      </c>
      <c r="D516" s="413"/>
      <c r="E516" s="449"/>
      <c r="F516" s="449"/>
      <c r="G516" s="450"/>
      <c r="H516" s="451" t="s">
        <v>122</v>
      </c>
      <c r="I516" s="266">
        <f ca="1">IFERROR(__xludf.DUMMYFUNCTION("IMPORTRANGE(""https://docs.google.com/spreadsheets/d/11923uPwbBZFjjGgGUA6NLw09EwE0CqkOc4q9oUmW1yo/edit?usp=sharing"",""เชียงราย!I411"")"),0)</f>
        <v>0</v>
      </c>
      <c r="J516" s="266">
        <f ca="1">IFERROR(__xludf.DUMMYFUNCTION("IMPORTRANGE(""https://docs.google.com/spreadsheets/d/11923uPwbBZFjjGgGUA6NLw09EwE0CqkOc4q9oUmW1yo/edit?usp=sharing"",""เชียงราย!J411"")"),0)</f>
        <v>0</v>
      </c>
      <c r="K516" s="267">
        <v>0</v>
      </c>
      <c r="L516" s="181"/>
      <c r="M516" s="181"/>
      <c r="N516" s="181"/>
      <c r="O516" s="181"/>
      <c r="P516" s="181"/>
    </row>
    <row r="517" spans="1:16" ht="21.75" customHeight="1" x14ac:dyDescent="0.3">
      <c r="A517" s="175"/>
      <c r="B517" s="176"/>
      <c r="C517" s="452"/>
      <c r="D517" s="452"/>
      <c r="E517" s="452" t="s">
        <v>194</v>
      </c>
      <c r="F517" s="453"/>
      <c r="G517" s="454"/>
      <c r="H517" s="455" t="s">
        <v>122</v>
      </c>
      <c r="I517" s="282">
        <f ca="1">IFERROR(__xludf.DUMMYFUNCTION("IMPORTRANGE(""https://docs.google.com/spreadsheets/d/11923uPwbBZFjjGgGUA6NLw09EwE0CqkOc4q9oUmW1yo/edit?usp=sharing"",""เชียงราย!I412"")"),0)</f>
        <v>0</v>
      </c>
      <c r="J517" s="282">
        <f ca="1">IFERROR(__xludf.DUMMYFUNCTION("IMPORTRANGE(""https://docs.google.com/spreadsheets/d/11923uPwbBZFjjGgGUA6NLw09EwE0CqkOc4q9oUmW1yo/edit?usp=sharing"",""เชียงราย!J412"")"),0)</f>
        <v>0</v>
      </c>
      <c r="K517" s="283">
        <v>0</v>
      </c>
      <c r="L517" s="181"/>
      <c r="M517" s="181"/>
      <c r="N517" s="181"/>
      <c r="O517" s="181"/>
      <c r="P517" s="181"/>
    </row>
    <row r="518" spans="1:16" ht="21.75" customHeight="1" x14ac:dyDescent="0.3">
      <c r="A518" s="175"/>
      <c r="B518" s="176"/>
      <c r="C518" s="452"/>
      <c r="D518" s="452"/>
      <c r="E518" s="452" t="s">
        <v>195</v>
      </c>
      <c r="F518" s="453"/>
      <c r="G518" s="454"/>
      <c r="H518" s="455" t="s">
        <v>36</v>
      </c>
      <c r="I518" s="282">
        <f ca="1">IFERROR(__xludf.DUMMYFUNCTION("IMPORTRANGE(""https://docs.google.com/spreadsheets/d/11923uPwbBZFjjGgGUA6NLw09EwE0CqkOc4q9oUmW1yo/edit?usp=sharing"",""เชียงราย!I413"")"),0)</f>
        <v>0</v>
      </c>
      <c r="J518" s="282">
        <f ca="1">IFERROR(__xludf.DUMMYFUNCTION("IMPORTRANGE(""https://docs.google.com/spreadsheets/d/11923uPwbBZFjjGgGUA6NLw09EwE0CqkOc4q9oUmW1yo/edit?usp=sharing"",""เชียงราย!J413"")"),0)</f>
        <v>0</v>
      </c>
      <c r="K518" s="283">
        <v>0</v>
      </c>
      <c r="L518" s="181"/>
      <c r="M518" s="181"/>
      <c r="N518" s="181"/>
      <c r="O518" s="181"/>
      <c r="P518" s="181"/>
    </row>
    <row r="519" spans="1:16" ht="21.75" customHeight="1" x14ac:dyDescent="0.3">
      <c r="A519" s="175"/>
      <c r="B519" s="176"/>
      <c r="C519" s="176"/>
      <c r="D519" s="193"/>
      <c r="E519" s="195"/>
      <c r="F519" s="195"/>
      <c r="G519" s="225" t="s">
        <v>196</v>
      </c>
      <c r="H519" s="420" t="s">
        <v>122</v>
      </c>
      <c r="I519" s="187">
        <f ca="1">IFERROR(__xludf.DUMMYFUNCTION("IMPORTRANGE(""https://docs.google.com/spreadsheets/d/11923uPwbBZFjjGgGUA6NLw09EwE0CqkOc4q9oUmW1yo/edit?usp=sharing"",""เชียงราย!I414"")"),0)</f>
        <v>0</v>
      </c>
      <c r="J519" s="187">
        <f ca="1">IFERROR(__xludf.DUMMYFUNCTION("IMPORTRANGE(""https://docs.google.com/spreadsheets/d/11923uPwbBZFjjGgGUA6NLw09EwE0CqkOc4q9oUmW1yo/edit?usp=sharing"",""เชียงราย!J414"")"),0)</f>
        <v>0</v>
      </c>
      <c r="K519" s="163">
        <v>0</v>
      </c>
      <c r="L519" s="181"/>
      <c r="M519" s="181"/>
      <c r="N519" s="181"/>
      <c r="O519" s="181"/>
      <c r="P519" s="181"/>
    </row>
    <row r="520" spans="1:16" ht="21.75" customHeight="1" x14ac:dyDescent="0.3">
      <c r="A520" s="175"/>
      <c r="B520" s="176"/>
      <c r="C520" s="176"/>
      <c r="D520" s="193"/>
      <c r="E520" s="195"/>
      <c r="F520" s="195"/>
      <c r="G520" s="196"/>
      <c r="H520" s="420" t="s">
        <v>36</v>
      </c>
      <c r="I520" s="187">
        <f ca="1">IFERROR(__xludf.DUMMYFUNCTION("IMPORTRANGE(""https://docs.google.com/spreadsheets/d/11923uPwbBZFjjGgGUA6NLw09EwE0CqkOc4q9oUmW1yo/edit?usp=sharing"",""เชียงราย!I415"")"),0)</f>
        <v>0</v>
      </c>
      <c r="J520" s="187">
        <f ca="1">IFERROR(__xludf.DUMMYFUNCTION("IMPORTRANGE(""https://docs.google.com/spreadsheets/d/11923uPwbBZFjjGgGUA6NLw09EwE0CqkOc4q9oUmW1yo/edit?usp=sharing"",""เชียงราย!J415"")"),0)</f>
        <v>0</v>
      </c>
      <c r="K520" s="163">
        <v>0</v>
      </c>
      <c r="L520" s="181"/>
      <c r="M520" s="181"/>
      <c r="N520" s="181"/>
      <c r="O520" s="181"/>
      <c r="P520" s="181"/>
    </row>
    <row r="521" spans="1:16" ht="21.75" customHeight="1" x14ac:dyDescent="0.3">
      <c r="A521" s="175"/>
      <c r="B521" s="176"/>
      <c r="C521" s="176"/>
      <c r="D521" s="193"/>
      <c r="E521" s="195"/>
      <c r="F521" s="195"/>
      <c r="G521" s="225" t="s">
        <v>197</v>
      </c>
      <c r="H521" s="420" t="s">
        <v>122</v>
      </c>
      <c r="I521" s="187">
        <f ca="1">IFERROR(__xludf.DUMMYFUNCTION("IMPORTRANGE(""https://docs.google.com/spreadsheets/d/11923uPwbBZFjjGgGUA6NLw09EwE0CqkOc4q9oUmW1yo/edit?usp=sharing"",""เชียงราย!I416"")"),0)</f>
        <v>0</v>
      </c>
      <c r="J521" s="187">
        <f ca="1">IFERROR(__xludf.DUMMYFUNCTION("IMPORTRANGE(""https://docs.google.com/spreadsheets/d/11923uPwbBZFjjGgGUA6NLw09EwE0CqkOc4q9oUmW1yo/edit?usp=sharing"",""เชียงราย!J416"")"),0)</f>
        <v>0</v>
      </c>
      <c r="K521" s="163">
        <v>0</v>
      </c>
      <c r="L521" s="181"/>
      <c r="M521" s="181"/>
      <c r="N521" s="181"/>
      <c r="O521" s="181"/>
      <c r="P521" s="181"/>
    </row>
    <row r="522" spans="1:16" ht="21.75" customHeight="1" x14ac:dyDescent="0.3">
      <c r="A522" s="175"/>
      <c r="B522" s="176"/>
      <c r="C522" s="176"/>
      <c r="D522" s="193"/>
      <c r="E522" s="195"/>
      <c r="F522" s="195"/>
      <c r="G522" s="196"/>
      <c r="H522" s="420" t="s">
        <v>36</v>
      </c>
      <c r="I522" s="187">
        <f ca="1">IFERROR(__xludf.DUMMYFUNCTION("IMPORTRANGE(""https://docs.google.com/spreadsheets/d/11923uPwbBZFjjGgGUA6NLw09EwE0CqkOc4q9oUmW1yo/edit?usp=sharing"",""เชียงราย!I417"")"),0)</f>
        <v>0</v>
      </c>
      <c r="J522" s="187">
        <f ca="1">IFERROR(__xludf.DUMMYFUNCTION("IMPORTRANGE(""https://docs.google.com/spreadsheets/d/11923uPwbBZFjjGgGUA6NLw09EwE0CqkOc4q9oUmW1yo/edit?usp=sharing"",""เชียงราย!J417"")"),0)</f>
        <v>0</v>
      </c>
      <c r="K522" s="163">
        <v>0</v>
      </c>
      <c r="L522" s="181"/>
      <c r="M522" s="181"/>
      <c r="N522" s="181"/>
      <c r="O522" s="181"/>
      <c r="P522" s="181"/>
    </row>
    <row r="523" spans="1:16" ht="21.75" customHeight="1" x14ac:dyDescent="0.3">
      <c r="A523" s="175"/>
      <c r="B523" s="176"/>
      <c r="C523" s="176"/>
      <c r="D523" s="193"/>
      <c r="E523" s="195"/>
      <c r="F523" s="195"/>
      <c r="G523" s="456" t="s">
        <v>198</v>
      </c>
      <c r="H523" s="420" t="s">
        <v>122</v>
      </c>
      <c r="I523" s="187">
        <f ca="1">IFERROR(__xludf.DUMMYFUNCTION("IMPORTRANGE(""https://docs.google.com/spreadsheets/d/11923uPwbBZFjjGgGUA6NLw09EwE0CqkOc4q9oUmW1yo/edit?usp=sharing"",""เชียงราย!I418"")"),0)</f>
        <v>0</v>
      </c>
      <c r="J523" s="187">
        <f ca="1">IFERROR(__xludf.DUMMYFUNCTION("IMPORTRANGE(""https://docs.google.com/spreadsheets/d/11923uPwbBZFjjGgGUA6NLw09EwE0CqkOc4q9oUmW1yo/edit?usp=sharing"",""เชียงราย!J418"")"),110)</f>
        <v>110</v>
      </c>
      <c r="K523" s="163">
        <v>0</v>
      </c>
      <c r="L523" s="181"/>
      <c r="M523" s="181"/>
      <c r="N523" s="181"/>
      <c r="O523" s="181"/>
      <c r="P523" s="181"/>
    </row>
    <row r="524" spans="1:16" ht="21.75" customHeight="1" x14ac:dyDescent="0.3">
      <c r="A524" s="175"/>
      <c r="B524" s="176"/>
      <c r="C524" s="176"/>
      <c r="D524" s="193"/>
      <c r="E524" s="195"/>
      <c r="F524" s="195"/>
      <c r="G524" s="196"/>
      <c r="H524" s="420" t="s">
        <v>36</v>
      </c>
      <c r="I524" s="187">
        <f ca="1">IFERROR(__xludf.DUMMYFUNCTION("IMPORTRANGE(""https://docs.google.com/spreadsheets/d/11923uPwbBZFjjGgGUA6NLw09EwE0CqkOc4q9oUmW1yo/edit?usp=sharing"",""เชียงราย!I419"")"),0)</f>
        <v>0</v>
      </c>
      <c r="J524" s="187">
        <f ca="1">IFERROR(__xludf.DUMMYFUNCTION("IMPORTRANGE(""https://docs.google.com/spreadsheets/d/11923uPwbBZFjjGgGUA6NLw09EwE0CqkOc4q9oUmW1yo/edit?usp=sharing"",""เชียงราย!J419"")"),15)</f>
        <v>15</v>
      </c>
      <c r="K524" s="163">
        <v>0</v>
      </c>
      <c r="L524" s="181"/>
      <c r="M524" s="181"/>
      <c r="N524" s="181"/>
      <c r="O524" s="181"/>
      <c r="P524" s="181"/>
    </row>
    <row r="525" spans="1:16" ht="21.75" customHeight="1" x14ac:dyDescent="0.3">
      <c r="A525" s="175"/>
      <c r="B525" s="176"/>
      <c r="C525" s="452"/>
      <c r="D525" s="452"/>
      <c r="E525" s="452" t="s">
        <v>199</v>
      </c>
      <c r="F525" s="453"/>
      <c r="G525" s="454"/>
      <c r="H525" s="455" t="s">
        <v>122</v>
      </c>
      <c r="I525" s="282">
        <f ca="1">IFERROR(__xludf.DUMMYFUNCTION("IMPORTRANGE(""https://docs.google.com/spreadsheets/d/11923uPwbBZFjjGgGUA6NLw09EwE0CqkOc4q9oUmW1yo/edit?usp=sharing"",""เชียงราย!I420"")"),110)</f>
        <v>110</v>
      </c>
      <c r="J525" s="282">
        <f ca="1">IFERROR(__xludf.DUMMYFUNCTION("IMPORTRANGE(""https://docs.google.com/spreadsheets/d/11923uPwbBZFjjGgGUA6NLw09EwE0CqkOc4q9oUmW1yo/edit?usp=sharing"",""เชียงราย!J420"")"),98)</f>
        <v>98</v>
      </c>
      <c r="K525" s="283">
        <v>0</v>
      </c>
      <c r="L525" s="181"/>
      <c r="M525" s="181"/>
      <c r="N525" s="181"/>
      <c r="O525" s="181"/>
      <c r="P525" s="181"/>
    </row>
    <row r="526" spans="1:16" ht="21.75" customHeight="1" x14ac:dyDescent="0.3">
      <c r="A526" s="175"/>
      <c r="B526" s="176"/>
      <c r="C526" s="452"/>
      <c r="D526" s="452"/>
      <c r="E526" s="452" t="s">
        <v>200</v>
      </c>
      <c r="F526" s="453"/>
      <c r="G526" s="454"/>
      <c r="H526" s="455" t="s">
        <v>36</v>
      </c>
      <c r="I526" s="282">
        <f ca="1">IFERROR(__xludf.DUMMYFUNCTION("IMPORTRANGE(""https://docs.google.com/spreadsheets/d/11923uPwbBZFjjGgGUA6NLw09EwE0CqkOc4q9oUmW1yo/edit?usp=sharing"",""เชียงราย!I421"")"),15)</f>
        <v>15</v>
      </c>
      <c r="J526" s="282">
        <f ca="1">IFERROR(__xludf.DUMMYFUNCTION("IMPORTRANGE(""https://docs.google.com/spreadsheets/d/11923uPwbBZFjjGgGUA6NLw09EwE0CqkOc4q9oUmW1yo/edit?usp=sharing"",""เชียงราย!J421"")"),12)</f>
        <v>12</v>
      </c>
      <c r="K526" s="283">
        <v>0</v>
      </c>
      <c r="L526" s="181"/>
      <c r="M526" s="181"/>
      <c r="N526" s="181"/>
      <c r="O526" s="181"/>
      <c r="P526" s="181"/>
    </row>
    <row r="527" spans="1:16" ht="21.75" customHeight="1" x14ac:dyDescent="0.3">
      <c r="A527" s="175"/>
      <c r="B527" s="176"/>
      <c r="C527" s="176"/>
      <c r="D527" s="193"/>
      <c r="E527" s="195"/>
      <c r="F527" s="195"/>
      <c r="G527" s="225" t="s">
        <v>196</v>
      </c>
      <c r="H527" s="420" t="s">
        <v>122</v>
      </c>
      <c r="I527" s="187">
        <f ca="1">IFERROR(__xludf.DUMMYFUNCTION("IMPORTRANGE(""https://docs.google.com/spreadsheets/d/11923uPwbBZFjjGgGUA6NLw09EwE0CqkOc4q9oUmW1yo/edit?usp=sharing"",""เชียงราย!I422"")"),0)</f>
        <v>0</v>
      </c>
      <c r="J527" s="197">
        <f ca="1">IFERROR(__xludf.DUMMYFUNCTION("IMPORTRANGE(""https://docs.google.com/spreadsheets/d/11923uPwbBZFjjGgGUA6NLw09EwE0CqkOc4q9oUmW1yo/edit?usp=sharing"",""เชียงราย!J422"")"),98)</f>
        <v>98</v>
      </c>
      <c r="K527" s="163">
        <v>0</v>
      </c>
      <c r="L527" s="181"/>
      <c r="M527" s="181"/>
      <c r="N527" s="181"/>
      <c r="O527" s="181"/>
      <c r="P527" s="181"/>
    </row>
    <row r="528" spans="1:16" ht="21.75" customHeight="1" x14ac:dyDescent="0.3">
      <c r="A528" s="175"/>
      <c r="B528" s="176"/>
      <c r="C528" s="176"/>
      <c r="D528" s="193"/>
      <c r="E528" s="195"/>
      <c r="F528" s="195"/>
      <c r="G528" s="196"/>
      <c r="H528" s="420" t="s">
        <v>36</v>
      </c>
      <c r="I528" s="187">
        <f ca="1">IFERROR(__xludf.DUMMYFUNCTION("IMPORTRANGE(""https://docs.google.com/spreadsheets/d/11923uPwbBZFjjGgGUA6NLw09EwE0CqkOc4q9oUmW1yo/edit?usp=sharing"",""เชียงราย!I423"")"),0)</f>
        <v>0</v>
      </c>
      <c r="J528" s="197">
        <f ca="1">IFERROR(__xludf.DUMMYFUNCTION("IMPORTRANGE(""https://docs.google.com/spreadsheets/d/11923uPwbBZFjjGgGUA6NLw09EwE0CqkOc4q9oUmW1yo/edit?usp=sharing"",""เชียงราย!J423"")"),12)</f>
        <v>12</v>
      </c>
      <c r="K528" s="163">
        <v>0</v>
      </c>
      <c r="L528" s="181"/>
      <c r="M528" s="181"/>
      <c r="N528" s="181"/>
      <c r="O528" s="181"/>
      <c r="P528" s="181"/>
    </row>
    <row r="529" spans="1:16" ht="21.75" customHeight="1" x14ac:dyDescent="0.3">
      <c r="A529" s="175"/>
      <c r="B529" s="176"/>
      <c r="C529" s="176"/>
      <c r="D529" s="193"/>
      <c r="E529" s="195"/>
      <c r="F529" s="195"/>
      <c r="G529" s="225" t="s">
        <v>197</v>
      </c>
      <c r="H529" s="420" t="s">
        <v>122</v>
      </c>
      <c r="I529" s="187">
        <f ca="1">IFERROR(__xludf.DUMMYFUNCTION("IMPORTRANGE(""https://docs.google.com/spreadsheets/d/11923uPwbBZFjjGgGUA6NLw09EwE0CqkOc4q9oUmW1yo/edit?usp=sharing"",""เชียงราย!I424"")"),0)</f>
        <v>0</v>
      </c>
      <c r="J529" s="197">
        <f ca="1">IFERROR(__xludf.DUMMYFUNCTION("IMPORTRANGE(""https://docs.google.com/spreadsheets/d/11923uPwbBZFjjGgGUA6NLw09EwE0CqkOc4q9oUmW1yo/edit?usp=sharing"",""เชียงราย!J424"")"),0)</f>
        <v>0</v>
      </c>
      <c r="K529" s="163">
        <v>0</v>
      </c>
      <c r="L529" s="181"/>
      <c r="M529" s="181"/>
      <c r="N529" s="181"/>
      <c r="O529" s="181"/>
      <c r="P529" s="181"/>
    </row>
    <row r="530" spans="1:16" ht="21.75" customHeight="1" x14ac:dyDescent="0.3">
      <c r="A530" s="175"/>
      <c r="B530" s="176"/>
      <c r="C530" s="176"/>
      <c r="D530" s="193"/>
      <c r="E530" s="195"/>
      <c r="F530" s="195"/>
      <c r="G530" s="196"/>
      <c r="H530" s="420" t="s">
        <v>36</v>
      </c>
      <c r="I530" s="187">
        <f ca="1">IFERROR(__xludf.DUMMYFUNCTION("IMPORTRANGE(""https://docs.google.com/spreadsheets/d/11923uPwbBZFjjGgGUA6NLw09EwE0CqkOc4q9oUmW1yo/edit?usp=sharing"",""เชียงราย!I425"")"),0)</f>
        <v>0</v>
      </c>
      <c r="J530" s="197">
        <f ca="1">IFERROR(__xludf.DUMMYFUNCTION("IMPORTRANGE(""https://docs.google.com/spreadsheets/d/11923uPwbBZFjjGgGUA6NLw09EwE0CqkOc4q9oUmW1yo/edit?usp=sharing"",""เชียงราย!J425"")"),0)</f>
        <v>0</v>
      </c>
      <c r="K530" s="163">
        <v>0</v>
      </c>
      <c r="L530" s="181"/>
      <c r="M530" s="181"/>
      <c r="N530" s="181"/>
      <c r="O530" s="181"/>
      <c r="P530" s="181"/>
    </row>
    <row r="531" spans="1:16" ht="21.75" customHeight="1" x14ac:dyDescent="0.3">
      <c r="A531" s="175"/>
      <c r="B531" s="176"/>
      <c r="C531" s="176"/>
      <c r="D531" s="193"/>
      <c r="E531" s="195"/>
      <c r="F531" s="195"/>
      <c r="G531" s="225" t="s">
        <v>201</v>
      </c>
      <c r="H531" s="420" t="s">
        <v>122</v>
      </c>
      <c r="I531" s="187">
        <f ca="1">IFERROR(__xludf.DUMMYFUNCTION("IMPORTRANGE(""https://docs.google.com/spreadsheets/d/11923uPwbBZFjjGgGUA6NLw09EwE0CqkOc4q9oUmW1yo/edit?usp=sharing"",""เชียงราย!I426"")"),0)</f>
        <v>0</v>
      </c>
      <c r="J531" s="197">
        <f ca="1">IFERROR(__xludf.DUMMYFUNCTION("IMPORTRANGE(""https://docs.google.com/spreadsheets/d/11923uPwbBZFjjGgGUA6NLw09EwE0CqkOc4q9oUmW1yo/edit?usp=sharing"",""เชียงราย!J426"")"),0)</f>
        <v>0</v>
      </c>
      <c r="K531" s="163">
        <v>0</v>
      </c>
      <c r="L531" s="181"/>
      <c r="M531" s="181"/>
      <c r="N531" s="181"/>
      <c r="O531" s="181"/>
      <c r="P531" s="181"/>
    </row>
    <row r="532" spans="1:16" ht="21.75" customHeight="1" x14ac:dyDescent="0.3">
      <c r="A532" s="457"/>
      <c r="B532" s="458"/>
      <c r="C532" s="458"/>
      <c r="D532" s="459"/>
      <c r="E532" s="460"/>
      <c r="F532" s="460"/>
      <c r="G532" s="461"/>
      <c r="H532" s="462" t="s">
        <v>36</v>
      </c>
      <c r="I532" s="463">
        <f ca="1">IFERROR(__xludf.DUMMYFUNCTION("IMPORTRANGE(""https://docs.google.com/spreadsheets/d/11923uPwbBZFjjGgGUA6NLw09EwE0CqkOc4q9oUmW1yo/edit?usp=sharing"",""เชียงราย!I427"")"),0)</f>
        <v>0</v>
      </c>
      <c r="J532" s="464">
        <f ca="1">IFERROR(__xludf.DUMMYFUNCTION("IMPORTRANGE(""https://docs.google.com/spreadsheets/d/11923uPwbBZFjjGgGUA6NLw09EwE0CqkOc4q9oUmW1yo/edit?usp=sharing"",""เชียงราย!J427"")"),0)</f>
        <v>0</v>
      </c>
      <c r="K532" s="465">
        <v>0</v>
      </c>
      <c r="L532" s="466"/>
      <c r="M532" s="466"/>
      <c r="N532" s="466"/>
      <c r="O532" s="466"/>
      <c r="P532" s="466"/>
    </row>
    <row r="533" spans="1:16" ht="21.75" customHeight="1" x14ac:dyDescent="0.3">
      <c r="A533" s="403"/>
      <c r="B533" s="404">
        <v>6</v>
      </c>
      <c r="C533" s="405" t="s">
        <v>202</v>
      </c>
      <c r="D533" s="405"/>
      <c r="E533" s="405"/>
      <c r="F533" s="405"/>
      <c r="G533" s="406"/>
      <c r="H533" s="407" t="s">
        <v>37</v>
      </c>
      <c r="I533" s="408">
        <f ca="1">IFERROR(__xludf.DUMMYFUNCTION("IMPORTRANGE(""https://docs.google.com/spreadsheets/d/11923uPwbBZFjjGgGUA6NLw09EwE0CqkOc4q9oUmW1yo/edit?usp=sharing"",""เชียงราย!I428"")"),30)</f>
        <v>30</v>
      </c>
      <c r="J533" s="408">
        <f ca="1">IFERROR(__xludf.DUMMYFUNCTION("IMPORTRANGE(""https://docs.google.com/spreadsheets/d/11923uPwbBZFjjGgGUA6NLw09EwE0CqkOc4q9oUmW1yo/edit?usp=sharing"",""เชียงราย!J428"")"),30)</f>
        <v>30</v>
      </c>
      <c r="K533" s="409">
        <f ca="1">IF(I533&gt;0,J533*100/I533,0)</f>
        <v>100</v>
      </c>
      <c r="L533" s="410">
        <f ca="1">IFERROR(__xludf.DUMMYFUNCTION("IMPORTRANGE(""https://docs.google.com/spreadsheets/d/11923uPwbBZFjjGgGUA6NLw09EwE0CqkOc4q9oUmW1yo/edit?usp=sharing"",""เชียงราย!L428"")"),41150)</f>
        <v>41150</v>
      </c>
      <c r="M533" s="410"/>
      <c r="N533" s="410">
        <f ca="1">IFERROR(__xludf.DUMMYFUNCTION("IMPORTRANGE(""https://docs.google.com/spreadsheets/d/11923uPwbBZFjjGgGUA6NLw09EwE0CqkOc4q9oUmW1yo/edit?usp=sharing"",""เชียงราย!M428"")"),30893)</f>
        <v>30893</v>
      </c>
      <c r="O533" s="410">
        <f t="shared" ref="O533:O537" ca="1" si="118">+IF(L533&gt;0,N533*100/L533,0)</f>
        <v>75.074119076549209</v>
      </c>
      <c r="P533" s="410"/>
    </row>
    <row r="534" spans="1:16" ht="21.75" customHeight="1" x14ac:dyDescent="0.3">
      <c r="A534" s="156"/>
      <c r="B534" s="157"/>
      <c r="C534" s="157" t="s">
        <v>16</v>
      </c>
      <c r="D534" s="158" t="s">
        <v>38</v>
      </c>
      <c r="E534" s="159"/>
      <c r="F534" s="159"/>
      <c r="G534" s="160" t="s">
        <v>39</v>
      </c>
      <c r="H534" s="161" t="s">
        <v>12</v>
      </c>
      <c r="I534" s="162" t="s">
        <v>40</v>
      </c>
      <c r="J534" s="162"/>
      <c r="K534" s="163"/>
      <c r="L534" s="164">
        <f ca="1">IFERROR(__xludf.DUMMYFUNCTION("IMPORTRANGE(""https://docs.google.com/spreadsheets/d/11923uPwbBZFjjGgGUA6NLw09EwE0CqkOc4q9oUmW1yo/edit?usp=sharing"",""เชียงราย!L429"")"),0)</f>
        <v>0</v>
      </c>
      <c r="M534" s="164"/>
      <c r="N534" s="168">
        <f ca="1">IFERROR(__xludf.DUMMYFUNCTION("IMPORTRANGE(""https://docs.google.com/spreadsheets/d/11923uPwbBZFjjGgGUA6NLw09EwE0CqkOc4q9oUmW1yo/edit?usp=sharing"",""เชียงราย!M429"")"),0)</f>
        <v>0</v>
      </c>
      <c r="O534" s="168">
        <f t="shared" ca="1" si="118"/>
        <v>0</v>
      </c>
      <c r="P534" s="168"/>
    </row>
    <row r="535" spans="1:16" ht="21.75" customHeight="1" x14ac:dyDescent="0.3">
      <c r="A535" s="156"/>
      <c r="B535" s="157"/>
      <c r="C535" s="157"/>
      <c r="D535" s="166"/>
      <c r="E535" s="159"/>
      <c r="F535" s="159" t="s">
        <v>40</v>
      </c>
      <c r="G535" s="160" t="s">
        <v>41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IFERROR(__xludf.DUMMYFUNCTION("IMPORTRANGE(""https://docs.google.com/spreadsheets/d/11923uPwbBZFjjGgGUA6NLw09EwE0CqkOc4q9oUmW1yo/edit?usp=sharing"",""เชียงราย!L430"")"),41150)</f>
        <v>41150</v>
      </c>
      <c r="M535" s="165"/>
      <c r="N535" s="168">
        <f ca="1">IFERROR(__xludf.DUMMYFUNCTION("IMPORTRANGE(""https://docs.google.com/spreadsheets/d/11923uPwbBZFjjGgGUA6NLw09EwE0CqkOc4q9oUmW1yo/edit?usp=sharing"",""เชียงราย!M430"")"),30893)</f>
        <v>30893</v>
      </c>
      <c r="O535" s="168">
        <f t="shared" ca="1" si="118"/>
        <v>75.074119076549209</v>
      </c>
      <c r="P535" s="168"/>
    </row>
    <row r="536" spans="1:16" ht="21.75" customHeight="1" x14ac:dyDescent="0.3">
      <c r="A536" s="156"/>
      <c r="B536" s="157"/>
      <c r="C536" s="157"/>
      <c r="D536" s="166"/>
      <c r="E536" s="159"/>
      <c r="F536" s="159"/>
      <c r="G536" s="372" t="s">
        <v>129</v>
      </c>
      <c r="H536" s="161" t="s">
        <v>12</v>
      </c>
      <c r="I536" s="162"/>
      <c r="J536" s="162"/>
      <c r="K536" s="163"/>
      <c r="L536" s="168">
        <f ca="1">IFERROR(__xludf.DUMMYFUNCTION("IMPORTRANGE(""https://docs.google.com/spreadsheets/d/11923uPwbBZFjjGgGUA6NLw09EwE0CqkOc4q9oUmW1yo/edit?usp=sharing"",""เชียงราย!L431"")"),0)</f>
        <v>0</v>
      </c>
      <c r="M536" s="168"/>
      <c r="N536" s="168">
        <f ca="1">IFERROR(__xludf.DUMMYFUNCTION("IMPORTRANGE(""https://docs.google.com/spreadsheets/d/11923uPwbBZFjjGgGUA6NLw09EwE0CqkOc4q9oUmW1yo/edit?usp=sharing"",""เชียงราย!M431"")"),0)</f>
        <v>0</v>
      </c>
      <c r="O536" s="168">
        <f t="shared" ca="1" si="118"/>
        <v>0</v>
      </c>
      <c r="P536" s="168"/>
    </row>
    <row r="537" spans="1:16" ht="21.75" customHeight="1" x14ac:dyDescent="0.3">
      <c r="A537" s="156"/>
      <c r="B537" s="157"/>
      <c r="C537" s="157"/>
      <c r="D537" s="166"/>
      <c r="E537" s="159"/>
      <c r="F537" s="159"/>
      <c r="G537" s="372" t="s">
        <v>130</v>
      </c>
      <c r="H537" s="161" t="s">
        <v>12</v>
      </c>
      <c r="I537" s="162"/>
      <c r="J537" s="162"/>
      <c r="K537" s="163"/>
      <c r="L537" s="168">
        <f ca="1">IFERROR(__xludf.DUMMYFUNCTION("IMPORTRANGE(""https://docs.google.com/spreadsheets/d/11923uPwbBZFjjGgGUA6NLw09EwE0CqkOc4q9oUmW1yo/edit?usp=sharing"",""เชียงราย!L432"")"),41150)</f>
        <v>41150</v>
      </c>
      <c r="M537" s="168"/>
      <c r="N537" s="168">
        <f ca="1">IFERROR(__xludf.DUMMYFUNCTION("IMPORTRANGE(""https://docs.google.com/spreadsheets/d/11923uPwbBZFjjGgGUA6NLw09EwE0CqkOc4q9oUmW1yo/edit?usp=sharing"",""เชียงราย!M432"")"),30893)</f>
        <v>30893</v>
      </c>
      <c r="O537" s="168">
        <f t="shared" ca="1" si="118"/>
        <v>75.074119076549209</v>
      </c>
      <c r="P537" s="168"/>
    </row>
    <row r="538" spans="1:16" ht="21.75" customHeight="1" x14ac:dyDescent="0.3">
      <c r="A538" s="373"/>
      <c r="B538" s="374"/>
      <c r="C538" s="157"/>
      <c r="D538" s="375"/>
      <c r="E538" s="159"/>
      <c r="F538" s="159"/>
      <c r="G538" s="376" t="s">
        <v>131</v>
      </c>
      <c r="H538" s="161" t="s">
        <v>12</v>
      </c>
      <c r="I538" s="187"/>
      <c r="J538" s="187"/>
      <c r="K538" s="223"/>
      <c r="L538" s="168"/>
      <c r="M538" s="168"/>
      <c r="N538" s="377">
        <f ca="1">IFERROR(__xludf.DUMMYFUNCTION("IMPORTRANGE(""https://docs.google.com/spreadsheets/d/11923uPwbBZFjjGgGUA6NLw09EwE0CqkOc4q9oUmW1yo/edit?usp=sharing"",""เชียงราย!M433"")"),30893)</f>
        <v>30893</v>
      </c>
      <c r="O538" s="168"/>
      <c r="P538" s="168"/>
    </row>
    <row r="539" spans="1:16" ht="21.75" customHeight="1" x14ac:dyDescent="0.3">
      <c r="A539" s="373"/>
      <c r="B539" s="374"/>
      <c r="C539" s="157"/>
      <c r="D539" s="375"/>
      <c r="E539" s="159"/>
      <c r="F539" s="159"/>
      <c r="G539" s="376" t="s">
        <v>132</v>
      </c>
      <c r="H539" s="161" t="s">
        <v>12</v>
      </c>
      <c r="I539" s="187"/>
      <c r="J539" s="187"/>
      <c r="K539" s="223"/>
      <c r="L539" s="168"/>
      <c r="M539" s="168"/>
      <c r="N539" s="377">
        <f ca="1">IFERROR(__xludf.DUMMYFUNCTION("IMPORTRANGE(""https://docs.google.com/spreadsheets/d/11923uPwbBZFjjGgGUA6NLw09EwE0CqkOc4q9oUmW1yo/edit?usp=sharing"",""เชียงราย!M434"")"),0)</f>
        <v>0</v>
      </c>
      <c r="O539" s="168"/>
      <c r="P539" s="168"/>
    </row>
    <row r="540" spans="1:16" ht="21.75" customHeight="1" x14ac:dyDescent="0.3">
      <c r="A540" s="373"/>
      <c r="B540" s="374"/>
      <c r="C540" s="157"/>
      <c r="D540" s="375"/>
      <c r="E540" s="159"/>
      <c r="F540" s="159"/>
      <c r="G540" s="376" t="s">
        <v>133</v>
      </c>
      <c r="H540" s="161" t="s">
        <v>12</v>
      </c>
      <c r="I540" s="187"/>
      <c r="J540" s="187"/>
      <c r="K540" s="223"/>
      <c r="L540" s="168"/>
      <c r="M540" s="168"/>
      <c r="N540" s="377">
        <f ca="1">IFERROR(__xludf.DUMMYFUNCTION("IMPORTRANGE(""https://docs.google.com/spreadsheets/d/11923uPwbBZFjjGgGUA6NLw09EwE0CqkOc4q9oUmW1yo/edit?usp=sharing"",""เชียงราย!M435"")"),0)</f>
        <v>0</v>
      </c>
      <c r="O540" s="168"/>
      <c r="P540" s="168"/>
    </row>
    <row r="541" spans="1:16" ht="21.75" customHeight="1" x14ac:dyDescent="0.3">
      <c r="A541" s="373"/>
      <c r="B541" s="374"/>
      <c r="C541" s="157"/>
      <c r="D541" s="375"/>
      <c r="E541" s="159"/>
      <c r="F541" s="159"/>
      <c r="G541" s="376" t="s">
        <v>134</v>
      </c>
      <c r="H541" s="161" t="s">
        <v>12</v>
      </c>
      <c r="I541" s="187"/>
      <c r="J541" s="187"/>
      <c r="K541" s="223"/>
      <c r="L541" s="168"/>
      <c r="M541" s="168"/>
      <c r="N541" s="377">
        <f ca="1">IFERROR(__xludf.DUMMYFUNCTION("IMPORTRANGE(""https://docs.google.com/spreadsheets/d/11923uPwbBZFjjGgGUA6NLw09EwE0CqkOc4q9oUmW1yo/edit?usp=sharing"",""เชียงราย!M436"")"),0)</f>
        <v>0</v>
      </c>
      <c r="O541" s="168"/>
      <c r="P541" s="168"/>
    </row>
    <row r="542" spans="1:16" ht="21.75" customHeight="1" x14ac:dyDescent="0.3">
      <c r="A542" s="175"/>
      <c r="B542" s="176"/>
      <c r="C542" s="157" t="s">
        <v>16</v>
      </c>
      <c r="D542" s="177" t="s">
        <v>44</v>
      </c>
      <c r="E542" s="178"/>
      <c r="F542" s="178"/>
      <c r="G542" s="179"/>
      <c r="H542" s="180"/>
      <c r="I542" s="162"/>
      <c r="J542" s="162"/>
      <c r="K542" s="163"/>
      <c r="L542" s="181"/>
      <c r="M542" s="181"/>
      <c r="N542" s="181"/>
      <c r="O542" s="181"/>
      <c r="P542" s="181"/>
    </row>
    <row r="543" spans="1:16" ht="21.75" customHeight="1" x14ac:dyDescent="0.3">
      <c r="A543" s="175"/>
      <c r="B543" s="176"/>
      <c r="C543" s="176"/>
      <c r="D543" s="182">
        <v>1</v>
      </c>
      <c r="E543" s="183" t="s">
        <v>45</v>
      </c>
      <c r="F543" s="184"/>
      <c r="G543" s="185"/>
      <c r="H543" s="186"/>
      <c r="I543" s="187"/>
      <c r="J543" s="197">
        <f ca="1">IFERROR(__xludf.DUMMYFUNCTION("IMPORTRANGE(""https://docs.google.com/spreadsheets/d/11923uPwbBZFjjGgGUA6NLw09EwE0CqkOc4q9oUmW1yo/edit?usp=sharing"",""เชียงราย!J438"")"),0)</f>
        <v>0</v>
      </c>
      <c r="K543" s="163"/>
      <c r="L543" s="181"/>
      <c r="M543" s="181"/>
      <c r="N543" s="181"/>
      <c r="O543" s="181"/>
      <c r="P543" s="181"/>
    </row>
    <row r="544" spans="1:16" ht="21.75" customHeight="1" x14ac:dyDescent="0.3">
      <c r="A544" s="175"/>
      <c r="B544" s="176"/>
      <c r="C544" s="176"/>
      <c r="D544" s="189">
        <v>2</v>
      </c>
      <c r="E544" s="190" t="s">
        <v>46</v>
      </c>
      <c r="F544" s="191"/>
      <c r="G544" s="192"/>
      <c r="H544" s="186"/>
      <c r="I544" s="187"/>
      <c r="J544" s="188">
        <f ca="1">IFERROR(__xludf.DUMMYFUNCTION("IMPORTRANGE(""https://docs.google.com/spreadsheets/d/11923uPwbBZFjjGgGUA6NLw09EwE0CqkOc4q9oUmW1yo/edit?usp=sharing"",""เชียงราย!J439"")"),1)</f>
        <v>1</v>
      </c>
      <c r="K544" s="163"/>
      <c r="L544" s="181" t="s">
        <v>40</v>
      </c>
      <c r="M544" s="181"/>
      <c r="N544" s="181" t="s">
        <v>40</v>
      </c>
      <c r="O544" s="181"/>
      <c r="P544" s="181"/>
    </row>
    <row r="545" spans="1:16" ht="21.75" customHeight="1" x14ac:dyDescent="0.3">
      <c r="A545" s="175"/>
      <c r="B545" s="176"/>
      <c r="C545" s="176"/>
      <c r="D545" s="193"/>
      <c r="E545" s="194" t="s">
        <v>47</v>
      </c>
      <c r="F545" s="195"/>
      <c r="G545" s="196"/>
      <c r="H545" s="186"/>
      <c r="I545" s="187"/>
      <c r="J545" s="188">
        <f ca="1">IFERROR(__xludf.DUMMYFUNCTION("IMPORTRANGE(""https://docs.google.com/spreadsheets/d/11923uPwbBZFjjGgGUA6NLw09EwE0CqkOc4q9oUmW1yo/edit?usp=sharing"",""เชียงราย!J440"")"),1)</f>
        <v>1</v>
      </c>
      <c r="K545" s="163"/>
      <c r="L545" s="181"/>
      <c r="M545" s="181"/>
      <c r="N545" s="181"/>
      <c r="O545" s="181"/>
      <c r="P545" s="181"/>
    </row>
    <row r="546" spans="1:16" ht="21.75" customHeight="1" x14ac:dyDescent="0.3">
      <c r="A546" s="175"/>
      <c r="B546" s="176"/>
      <c r="C546" s="176"/>
      <c r="D546" s="193"/>
      <c r="E546" s="194" t="s">
        <v>48</v>
      </c>
      <c r="F546" s="195"/>
      <c r="G546" s="196"/>
      <c r="H546" s="186"/>
      <c r="I546" s="187"/>
      <c r="J546" s="197">
        <f ca="1">IFERROR(__xludf.DUMMYFUNCTION("IMPORTRANGE(""https://docs.google.com/spreadsheets/d/11923uPwbBZFjjGgGUA6NLw09EwE0CqkOc4q9oUmW1yo/edit?usp=sharing"",""เชียงราย!J441"")"),1)</f>
        <v>1</v>
      </c>
      <c r="K546" s="163"/>
      <c r="L546" s="181"/>
      <c r="M546" s="181"/>
      <c r="N546" s="181"/>
      <c r="O546" s="181"/>
      <c r="P546" s="181"/>
    </row>
    <row r="547" spans="1:16" ht="21.75" customHeight="1" x14ac:dyDescent="0.3">
      <c r="A547" s="175"/>
      <c r="B547" s="176"/>
      <c r="C547" s="176"/>
      <c r="D547" s="193"/>
      <c r="E547" s="198"/>
      <c r="F547" s="195"/>
      <c r="G547" s="225" t="s">
        <v>203</v>
      </c>
      <c r="H547" s="186" t="s">
        <v>37</v>
      </c>
      <c r="I547" s="203">
        <f ca="1">IFERROR(__xludf.DUMMYFUNCTION("IMPORTRANGE(""https://docs.google.com/spreadsheets/d/11923uPwbBZFjjGgGUA6NLw09EwE0CqkOc4q9oUmW1yo/edit?usp=sharing"",""เชียงราย!I442"")"),30)</f>
        <v>30</v>
      </c>
      <c r="J547" s="188">
        <f ca="1">IFERROR(__xludf.DUMMYFUNCTION("IMPORTRANGE(""https://docs.google.com/spreadsheets/d/11923uPwbBZFjjGgGUA6NLw09EwE0CqkOc4q9oUmW1yo/edit?usp=sharing"",""เชียงราย!J442"")"),30)</f>
        <v>30</v>
      </c>
      <c r="K547" s="163">
        <f t="shared" ref="K547:K548" ca="1" si="119">IF(I547&gt;0,J547*100/I547,0)</f>
        <v>100</v>
      </c>
      <c r="L547" s="181"/>
      <c r="M547" s="181"/>
      <c r="N547" s="181"/>
      <c r="O547" s="181"/>
      <c r="P547" s="181"/>
    </row>
    <row r="548" spans="1:16" ht="21.75" hidden="1" customHeight="1" x14ac:dyDescent="0.3">
      <c r="A548" s="175"/>
      <c r="B548" s="176"/>
      <c r="C548" s="176"/>
      <c r="D548" s="193"/>
      <c r="E548" s="198"/>
      <c r="F548" s="195"/>
      <c r="G548" s="225" t="s">
        <v>204</v>
      </c>
      <c r="H548" s="186" t="s">
        <v>37</v>
      </c>
      <c r="I548" s="339">
        <f ca="1">IFERROR(__xludf.DUMMYFUNCTION("IMPORTRANGE(""https://docs.google.com/spreadsheets/d/1C3CXT74ZlgGe6_JY_1olB1XN4rF0dxEuIIF-xsYjHgg/edit?usp=sharing"",""งบกองทุน!dr63"")"),0)</f>
        <v>0</v>
      </c>
      <c r="J548" s="197">
        <f ca="1">IFERROR(__xludf.DUMMYFUNCTION("IMPORTRANGE(""https://docs.google.com/spreadsheets/d/11923uPwbBZFjjGgGUA6NLw09EwE0CqkOc4q9oUmW1yo/edit?usp=sharing"",""เชียงราย!J166"")"),0)</f>
        <v>0</v>
      </c>
      <c r="K548" s="163">
        <f t="shared" ca="1" si="119"/>
        <v>0</v>
      </c>
      <c r="L548" s="181"/>
      <c r="M548" s="181"/>
      <c r="N548" s="181"/>
      <c r="O548" s="181"/>
      <c r="P548" s="181"/>
    </row>
    <row r="549" spans="1:16" ht="21.75" customHeight="1" x14ac:dyDescent="0.3">
      <c r="A549" s="175"/>
      <c r="B549" s="176"/>
      <c r="C549" s="176"/>
      <c r="D549" s="193"/>
      <c r="E549" s="194" t="s">
        <v>54</v>
      </c>
      <c r="F549" s="195"/>
      <c r="G549" s="196"/>
      <c r="H549" s="186"/>
      <c r="I549" s="187"/>
      <c r="J549" s="197">
        <f ca="1">IFERROR(__xludf.DUMMYFUNCTION("IMPORTRANGE(""https://docs.google.com/spreadsheets/d/11923uPwbBZFjjGgGUA6NLw09EwE0CqkOc4q9oUmW1yo/edit?usp=sharing"",""เชียงราย!J444"")"),0)</f>
        <v>0</v>
      </c>
      <c r="K549" s="163"/>
      <c r="L549" s="181"/>
      <c r="M549" s="181"/>
      <c r="N549" s="181"/>
      <c r="O549" s="181"/>
      <c r="P549" s="181"/>
    </row>
    <row r="550" spans="1:16" ht="21.75" customHeight="1" x14ac:dyDescent="0.3">
      <c r="A550" s="457"/>
      <c r="B550" s="458"/>
      <c r="C550" s="458"/>
      <c r="D550" s="467">
        <v>3</v>
      </c>
      <c r="E550" s="468" t="s">
        <v>55</v>
      </c>
      <c r="F550" s="469"/>
      <c r="G550" s="470"/>
      <c r="H550" s="471"/>
      <c r="I550" s="463"/>
      <c r="J550" s="472">
        <f ca="1">IFERROR(__xludf.DUMMYFUNCTION("IMPORTRANGE(""https://docs.google.com/spreadsheets/d/11923uPwbBZFjjGgGUA6NLw09EwE0CqkOc4q9oUmW1yo/edit?usp=sharing"",""เชียงราย!J445"")"),0)</f>
        <v>0</v>
      </c>
      <c r="K550" s="465"/>
      <c r="L550" s="466"/>
      <c r="M550" s="466"/>
      <c r="N550" s="466"/>
      <c r="O550" s="466"/>
      <c r="P550" s="466"/>
    </row>
    <row r="551" spans="1:16" ht="21.75" customHeight="1" x14ac:dyDescent="0.3">
      <c r="A551" s="403"/>
      <c r="B551" s="404">
        <v>7</v>
      </c>
      <c r="C551" s="405" t="s">
        <v>205</v>
      </c>
      <c r="D551" s="405"/>
      <c r="E551" s="405"/>
      <c r="F551" s="405"/>
      <c r="G551" s="406"/>
      <c r="H551" s="407" t="s">
        <v>122</v>
      </c>
      <c r="I551" s="408">
        <f ca="1">IFERROR(__xludf.DUMMYFUNCTION("IMPORTRANGE(""https://docs.google.com/spreadsheets/d/11923uPwbBZFjjGgGUA6NLw09EwE0CqkOc4q9oUmW1yo/edit?usp=sharing"",""เชียงราย!I446"")"),0)</f>
        <v>0</v>
      </c>
      <c r="J551" s="408">
        <f ca="1">IFERROR(__xludf.DUMMYFUNCTION("IMPORTRANGE(""https://docs.google.com/spreadsheets/d/11923uPwbBZFjjGgGUA6NLw09EwE0CqkOc4q9oUmW1yo/edit?usp=sharing"",""เชียงราย!J446"")"),0)</f>
        <v>0</v>
      </c>
      <c r="K551" s="409">
        <f ca="1">IF(I551&gt;0,J551*100/I551,0)</f>
        <v>0</v>
      </c>
      <c r="L551" s="410">
        <f ca="1">IFERROR(__xludf.DUMMYFUNCTION("IMPORTRANGE(""https://docs.google.com/spreadsheets/d/11923uPwbBZFjjGgGUA6NLw09EwE0CqkOc4q9oUmW1yo/edit?usp=sharing"",""เชียงราย!L446"")"),0)</f>
        <v>0</v>
      </c>
      <c r="M551" s="410"/>
      <c r="N551" s="410">
        <f ca="1">IFERROR(__xludf.DUMMYFUNCTION("IMPORTRANGE(""https://docs.google.com/spreadsheets/d/11923uPwbBZFjjGgGUA6NLw09EwE0CqkOc4q9oUmW1yo/edit?usp=sharing"",""เชียงราย!M446"")"),0)</f>
        <v>0</v>
      </c>
      <c r="O551" s="410">
        <f t="shared" ref="O551:O555" ca="1" si="120">+IF(L551&gt;0,N551*100/L551,0)</f>
        <v>0</v>
      </c>
      <c r="P551" s="410"/>
    </row>
    <row r="552" spans="1:16" ht="21.75" customHeight="1" x14ac:dyDescent="0.3">
      <c r="A552" s="156"/>
      <c r="B552" s="157"/>
      <c r="C552" s="157" t="s">
        <v>16</v>
      </c>
      <c r="D552" s="158" t="s">
        <v>38</v>
      </c>
      <c r="E552" s="159"/>
      <c r="F552" s="159"/>
      <c r="G552" s="160" t="s">
        <v>39</v>
      </c>
      <c r="H552" s="161" t="s">
        <v>12</v>
      </c>
      <c r="I552" s="162" t="s">
        <v>40</v>
      </c>
      <c r="J552" s="162"/>
      <c r="K552" s="163"/>
      <c r="L552" s="164">
        <f ca="1">IFERROR(__xludf.DUMMYFUNCTION("IMPORTRANGE(""https://docs.google.com/spreadsheets/d/11923uPwbBZFjjGgGUA6NLw09EwE0CqkOc4q9oUmW1yo/edit?usp=sharing"",""เชียงราย!L447"")"),0)</f>
        <v>0</v>
      </c>
      <c r="M552" s="164"/>
      <c r="N552" s="168">
        <f ca="1">IFERROR(__xludf.DUMMYFUNCTION("IMPORTRANGE(""https://docs.google.com/spreadsheets/d/11923uPwbBZFjjGgGUA6NLw09EwE0CqkOc4q9oUmW1yo/edit?usp=sharing"",""เชียงราย!M447"")"),0)</f>
        <v>0</v>
      </c>
      <c r="O552" s="168">
        <f t="shared" ca="1" si="120"/>
        <v>0</v>
      </c>
      <c r="P552" s="168"/>
    </row>
    <row r="553" spans="1:16" ht="21.75" customHeight="1" x14ac:dyDescent="0.3">
      <c r="A553" s="156"/>
      <c r="B553" s="157"/>
      <c r="C553" s="157"/>
      <c r="D553" s="166"/>
      <c r="E553" s="159"/>
      <c r="F553" s="159" t="s">
        <v>40</v>
      </c>
      <c r="G553" s="160" t="s">
        <v>41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IFERROR(__xludf.DUMMYFUNCTION("IMPORTRANGE(""https://docs.google.com/spreadsheets/d/11923uPwbBZFjjGgGUA6NLw09EwE0CqkOc4q9oUmW1yo/edit?usp=sharing"",""เชียงราย!L448"")"),0)</f>
        <v>0</v>
      </c>
      <c r="M553" s="165"/>
      <c r="N553" s="168">
        <f ca="1">IFERROR(__xludf.DUMMYFUNCTION("IMPORTRANGE(""https://docs.google.com/spreadsheets/d/11923uPwbBZFjjGgGUA6NLw09EwE0CqkOc4q9oUmW1yo/edit?usp=sharing"",""เชียงราย!M448"")"),0)</f>
        <v>0</v>
      </c>
      <c r="O553" s="168">
        <f t="shared" ca="1" si="120"/>
        <v>0</v>
      </c>
      <c r="P553" s="168"/>
    </row>
    <row r="554" spans="1:16" ht="21.75" customHeight="1" x14ac:dyDescent="0.3">
      <c r="A554" s="156"/>
      <c r="B554" s="157"/>
      <c r="C554" s="157"/>
      <c r="D554" s="166"/>
      <c r="E554" s="159"/>
      <c r="F554" s="159"/>
      <c r="G554" s="372" t="s">
        <v>129</v>
      </c>
      <c r="H554" s="161" t="s">
        <v>12</v>
      </c>
      <c r="I554" s="162"/>
      <c r="J554" s="162"/>
      <c r="K554" s="163"/>
      <c r="L554" s="168">
        <f ca="1">IFERROR(__xludf.DUMMYFUNCTION("IMPORTRANGE(""https://docs.google.com/spreadsheets/d/11923uPwbBZFjjGgGUA6NLw09EwE0CqkOc4q9oUmW1yo/edit?usp=sharing"",""เชียงราย!L449"")"),0)</f>
        <v>0</v>
      </c>
      <c r="M554" s="168"/>
      <c r="N554" s="168">
        <f ca="1">IFERROR(__xludf.DUMMYFUNCTION("IMPORTRANGE(""https://docs.google.com/spreadsheets/d/11923uPwbBZFjjGgGUA6NLw09EwE0CqkOc4q9oUmW1yo/edit?usp=sharing"",""เชียงราย!M449"")"),0)</f>
        <v>0</v>
      </c>
      <c r="O554" s="168">
        <f t="shared" ca="1" si="120"/>
        <v>0</v>
      </c>
      <c r="P554" s="168"/>
    </row>
    <row r="555" spans="1:16" ht="21.75" customHeight="1" x14ac:dyDescent="0.3">
      <c r="A555" s="156"/>
      <c r="B555" s="157"/>
      <c r="C555" s="157"/>
      <c r="D555" s="166"/>
      <c r="E555" s="159"/>
      <c r="F555" s="159"/>
      <c r="G555" s="372" t="s">
        <v>130</v>
      </c>
      <c r="H555" s="161" t="s">
        <v>12</v>
      </c>
      <c r="I555" s="162"/>
      <c r="J555" s="162"/>
      <c r="K555" s="163"/>
      <c r="L555" s="168">
        <f ca="1">IFERROR(__xludf.DUMMYFUNCTION("IMPORTRANGE(""https://docs.google.com/spreadsheets/d/11923uPwbBZFjjGgGUA6NLw09EwE0CqkOc4q9oUmW1yo/edit?usp=sharing"",""เชียงราย!L450"")"),0)</f>
        <v>0</v>
      </c>
      <c r="M555" s="168"/>
      <c r="N555" s="168">
        <f ca="1">IFERROR(__xludf.DUMMYFUNCTION("IMPORTRANGE(""https://docs.google.com/spreadsheets/d/11923uPwbBZFjjGgGUA6NLw09EwE0CqkOc4q9oUmW1yo/edit?usp=sharing"",""เชียงราย!M450"")"),0)</f>
        <v>0</v>
      </c>
      <c r="O555" s="168">
        <f t="shared" ca="1" si="120"/>
        <v>0</v>
      </c>
      <c r="P555" s="168"/>
    </row>
    <row r="556" spans="1:16" ht="21.75" customHeight="1" x14ac:dyDescent="0.3">
      <c r="A556" s="373"/>
      <c r="B556" s="374"/>
      <c r="C556" s="157"/>
      <c r="D556" s="375"/>
      <c r="E556" s="159"/>
      <c r="F556" s="159"/>
      <c r="G556" s="376" t="s">
        <v>131</v>
      </c>
      <c r="H556" s="161" t="s">
        <v>12</v>
      </c>
      <c r="I556" s="187"/>
      <c r="J556" s="187"/>
      <c r="K556" s="223"/>
      <c r="L556" s="168"/>
      <c r="M556" s="168"/>
      <c r="N556" s="167">
        <f ca="1">IFERROR(__xludf.DUMMYFUNCTION("IMPORTRANGE(""https://docs.google.com/spreadsheets/d/11923uPwbBZFjjGgGUA6NLw09EwE0CqkOc4q9oUmW1yo/edit?usp=sharing"",""เชียงราย!M451"")"),0)</f>
        <v>0</v>
      </c>
      <c r="O556" s="168"/>
      <c r="P556" s="168"/>
    </row>
    <row r="557" spans="1:16" ht="21.75" customHeight="1" x14ac:dyDescent="0.3">
      <c r="A557" s="373"/>
      <c r="B557" s="374"/>
      <c r="C557" s="157"/>
      <c r="D557" s="375"/>
      <c r="E557" s="159"/>
      <c r="F557" s="159"/>
      <c r="G557" s="376" t="s">
        <v>132</v>
      </c>
      <c r="H557" s="161" t="s">
        <v>12</v>
      </c>
      <c r="I557" s="187"/>
      <c r="J557" s="187"/>
      <c r="K557" s="223"/>
      <c r="L557" s="168"/>
      <c r="M557" s="168"/>
      <c r="N557" s="167">
        <f ca="1">IFERROR(__xludf.DUMMYFUNCTION("IMPORTRANGE(""https://docs.google.com/spreadsheets/d/11923uPwbBZFjjGgGUA6NLw09EwE0CqkOc4q9oUmW1yo/edit?usp=sharing"",""เชียงราย!M452"")"),0)</f>
        <v>0</v>
      </c>
      <c r="O557" s="168"/>
      <c r="P557" s="168"/>
    </row>
    <row r="558" spans="1:16" ht="21.75" customHeight="1" x14ac:dyDescent="0.3">
      <c r="A558" s="373"/>
      <c r="B558" s="374"/>
      <c r="C558" s="157"/>
      <c r="D558" s="375"/>
      <c r="E558" s="159"/>
      <c r="F558" s="159"/>
      <c r="G558" s="376" t="s">
        <v>133</v>
      </c>
      <c r="H558" s="161" t="s">
        <v>12</v>
      </c>
      <c r="I558" s="187"/>
      <c r="J558" s="187"/>
      <c r="K558" s="223"/>
      <c r="L558" s="168"/>
      <c r="M558" s="168"/>
      <c r="N558" s="167">
        <f ca="1">IFERROR(__xludf.DUMMYFUNCTION("IMPORTRANGE(""https://docs.google.com/spreadsheets/d/11923uPwbBZFjjGgGUA6NLw09EwE0CqkOc4q9oUmW1yo/edit?usp=sharing"",""เชียงราย!M453"")"),0)</f>
        <v>0</v>
      </c>
      <c r="O558" s="168"/>
      <c r="P558" s="168"/>
    </row>
    <row r="559" spans="1:16" ht="21.75" customHeight="1" x14ac:dyDescent="0.3">
      <c r="A559" s="373"/>
      <c r="B559" s="374"/>
      <c r="C559" s="157"/>
      <c r="D559" s="375"/>
      <c r="E559" s="159"/>
      <c r="F559" s="159"/>
      <c r="G559" s="376" t="s">
        <v>134</v>
      </c>
      <c r="H559" s="161" t="s">
        <v>12</v>
      </c>
      <c r="I559" s="187"/>
      <c r="J559" s="187"/>
      <c r="K559" s="223"/>
      <c r="L559" s="168"/>
      <c r="M559" s="168"/>
      <c r="N559" s="167">
        <f ca="1">IFERROR(__xludf.DUMMYFUNCTION("IMPORTRANGE(""https://docs.google.com/spreadsheets/d/11923uPwbBZFjjGgGUA6NLw09EwE0CqkOc4q9oUmW1yo/edit?usp=sharing"",""เชียงราย!M454"")"),0)</f>
        <v>0</v>
      </c>
      <c r="O559" s="168"/>
      <c r="P559" s="168"/>
    </row>
    <row r="560" spans="1:16" ht="21.75" customHeight="1" x14ac:dyDescent="0.3">
      <c r="A560" s="175"/>
      <c r="B560" s="176"/>
      <c r="C560" s="176"/>
      <c r="D560" s="193"/>
      <c r="E560" s="195"/>
      <c r="F560" s="277" t="s">
        <v>206</v>
      </c>
      <c r="G560" s="196"/>
      <c r="H560" s="473" t="s">
        <v>122</v>
      </c>
      <c r="I560" s="162">
        <f ca="1">IFERROR(__xludf.DUMMYFUNCTION("IMPORTRANGE(""https://docs.google.com/spreadsheets/d/11923uPwbBZFjjGgGUA6NLw09EwE0CqkOc4q9oUmW1yo/edit?usp=sharing"",""เชียงราย!I455"")"),0)</f>
        <v>0</v>
      </c>
      <c r="J560" s="162">
        <f ca="1">IFERROR(__xludf.DUMMYFUNCTION("IMPORTRANGE(""https://docs.google.com/spreadsheets/d/11923uPwbBZFjjGgGUA6NLw09EwE0CqkOc4q9oUmW1yo/edit?usp=sharing"",""เชียงราย!J455"")"),0)</f>
        <v>0</v>
      </c>
      <c r="K560" s="223">
        <f t="shared" ref="K560:K564" ca="1" si="121">IF(I560&gt;0,J560*100/I560,0)</f>
        <v>0</v>
      </c>
      <c r="L560" s="168"/>
      <c r="M560" s="168"/>
      <c r="N560" s="168"/>
      <c r="O560" s="181"/>
      <c r="P560" s="181"/>
    </row>
    <row r="561" spans="1:16" ht="21.75" customHeight="1" x14ac:dyDescent="0.3">
      <c r="A561" s="175"/>
      <c r="B561" s="176"/>
      <c r="C561" s="176"/>
      <c r="D561" s="193"/>
      <c r="E561" s="195"/>
      <c r="F561" s="195"/>
      <c r="G561" s="196"/>
      <c r="H561" s="473" t="s">
        <v>36</v>
      </c>
      <c r="I561" s="162">
        <f ca="1">IFERROR(__xludf.DUMMYFUNCTION("IMPORTRANGE(""https://docs.google.com/spreadsheets/d/11923uPwbBZFjjGgGUA6NLw09EwE0CqkOc4q9oUmW1yo/edit?usp=sharing"",""เชียงราย!I456"")"),0)</f>
        <v>0</v>
      </c>
      <c r="J561" s="203">
        <f ca="1">IFERROR(__xludf.DUMMYFUNCTION("IMPORTRANGE(""https://docs.google.com/spreadsheets/d/11923uPwbBZFjjGgGUA6NLw09EwE0CqkOc4q9oUmW1yo/edit?usp=sharing"",""เชียงราย!J456"")"),0)</f>
        <v>0</v>
      </c>
      <c r="K561" s="223">
        <f t="shared" ca="1" si="121"/>
        <v>0</v>
      </c>
      <c r="L561" s="168"/>
      <c r="M561" s="168"/>
      <c r="N561" s="168"/>
      <c r="O561" s="181"/>
      <c r="P561" s="181"/>
    </row>
    <row r="562" spans="1:16" ht="21.75" customHeight="1" x14ac:dyDescent="0.3">
      <c r="A562" s="175"/>
      <c r="B562" s="176"/>
      <c r="C562" s="176"/>
      <c r="D562" s="193"/>
      <c r="E562" s="195"/>
      <c r="F562" s="195" t="s">
        <v>207</v>
      </c>
      <c r="G562" s="196"/>
      <c r="H562" s="473" t="s">
        <v>122</v>
      </c>
      <c r="I562" s="162">
        <v>0</v>
      </c>
      <c r="J562" s="203" t="str">
        <f ca="1">IFERROR(__xludf.DUMMYFUNCTION("IMPORTRANGE(""https://docs.google.com/spreadsheets/d/11923uPwbBZFjjGgGUA6NLw09EwE0CqkOc4q9oUmW1yo/edit?usp=sharing"",""เชียงราย!J457"")"),"")</f>
        <v/>
      </c>
      <c r="K562" s="163">
        <f t="shared" si="121"/>
        <v>0</v>
      </c>
      <c r="L562" s="181"/>
      <c r="M562" s="181"/>
      <c r="N562" s="181"/>
      <c r="O562" s="181"/>
      <c r="P562" s="181"/>
    </row>
    <row r="563" spans="1:16" ht="21.75" customHeight="1" x14ac:dyDescent="0.3">
      <c r="A563" s="175"/>
      <c r="B563" s="176"/>
      <c r="C563" s="176"/>
      <c r="D563" s="193"/>
      <c r="E563" s="195"/>
      <c r="F563" s="195"/>
      <c r="G563" s="196"/>
      <c r="H563" s="473" t="s">
        <v>36</v>
      </c>
      <c r="I563" s="162">
        <v>0</v>
      </c>
      <c r="J563" s="187" t="str">
        <f ca="1">IFERROR(__xludf.DUMMYFUNCTION("IMPORTRANGE(""https://docs.google.com/spreadsheets/d/11923uPwbBZFjjGgGUA6NLw09EwE0CqkOc4q9oUmW1yo/edit?usp=sharing"",""เชียงราย!J458"")"),"")</f>
        <v/>
      </c>
      <c r="K563" s="163">
        <f t="shared" si="121"/>
        <v>0</v>
      </c>
      <c r="L563" s="181"/>
      <c r="M563" s="181"/>
      <c r="N563" s="181"/>
      <c r="O563" s="181"/>
      <c r="P563" s="181"/>
    </row>
    <row r="564" spans="1:16" ht="21.75" customHeight="1" x14ac:dyDescent="0.3">
      <c r="A564" s="364"/>
      <c r="B564" s="365">
        <v>8</v>
      </c>
      <c r="C564" s="366" t="s">
        <v>208</v>
      </c>
      <c r="D564" s="366"/>
      <c r="E564" s="366"/>
      <c r="F564" s="366"/>
      <c r="G564" s="367"/>
      <c r="H564" s="368" t="s">
        <v>37</v>
      </c>
      <c r="I564" s="369">
        <f ca="1">IFERROR(__xludf.DUMMYFUNCTION("IMPORTRANGE(""https://docs.google.com/spreadsheets/d/11923uPwbBZFjjGgGUA6NLw09EwE0CqkOc4q9oUmW1yo/edit?usp=sharing"",""เชียงราย!I459"")"),3400)</f>
        <v>3400</v>
      </c>
      <c r="J564" s="369">
        <f ca="1">IFERROR(__xludf.DUMMYFUNCTION("IMPORTRANGE(""https://docs.google.com/spreadsheets/d/11923uPwbBZFjjGgGUA6NLw09EwE0CqkOc4q9oUmW1yo/edit?usp=sharing"",""เชียงราย!J459"")"),2231)</f>
        <v>2231</v>
      </c>
      <c r="K564" s="370">
        <f t="shared" ca="1" si="121"/>
        <v>65.617647058823536</v>
      </c>
      <c r="L564" s="371">
        <f ca="1">IFERROR(__xludf.DUMMYFUNCTION("IMPORTRANGE(""https://docs.google.com/spreadsheets/d/11923uPwbBZFjjGgGUA6NLw09EwE0CqkOc4q9oUmW1yo/edit?usp=sharing"",""เชียงราย!L459"")"),165600)</f>
        <v>165600</v>
      </c>
      <c r="M564" s="371"/>
      <c r="N564" s="371">
        <f ca="1">IFERROR(__xludf.DUMMYFUNCTION("IMPORTRANGE(""https://docs.google.com/spreadsheets/d/11923uPwbBZFjjGgGUA6NLw09EwE0CqkOc4q9oUmW1yo/edit?usp=sharing"",""เชียงราย!M459"")"),67370)</f>
        <v>67370</v>
      </c>
      <c r="O564" s="371">
        <f t="shared" ref="O564:O568" ca="1" si="122">+IF(L564&gt;0,N564*100/L564,0)</f>
        <v>40.682367149758456</v>
      </c>
      <c r="P564" s="371"/>
    </row>
    <row r="565" spans="1:16" ht="21.75" customHeight="1" x14ac:dyDescent="0.3">
      <c r="A565" s="156"/>
      <c r="B565" s="157"/>
      <c r="C565" s="157" t="s">
        <v>16</v>
      </c>
      <c r="D565" s="158" t="s">
        <v>38</v>
      </c>
      <c r="E565" s="159"/>
      <c r="F565" s="159"/>
      <c r="G565" s="160" t="s">
        <v>39</v>
      </c>
      <c r="H565" s="161" t="s">
        <v>12</v>
      </c>
      <c r="I565" s="162" t="s">
        <v>40</v>
      </c>
      <c r="J565" s="162"/>
      <c r="K565" s="163"/>
      <c r="L565" s="164">
        <f ca="1">IFERROR(__xludf.DUMMYFUNCTION("IMPORTRANGE(""https://docs.google.com/spreadsheets/d/11923uPwbBZFjjGgGUA6NLw09EwE0CqkOc4q9oUmW1yo/edit?usp=sharing"",""เชียงราย!L460"")"),0)</f>
        <v>0</v>
      </c>
      <c r="M565" s="164"/>
      <c r="N565" s="168">
        <f ca="1">IFERROR(__xludf.DUMMYFUNCTION("IMPORTRANGE(""https://docs.google.com/spreadsheets/d/11923uPwbBZFjjGgGUA6NLw09EwE0CqkOc4q9oUmW1yo/edit?usp=sharing"",""เชียงราย!M460"")"),0)</f>
        <v>0</v>
      </c>
      <c r="O565" s="168">
        <f t="shared" ca="1" si="122"/>
        <v>0</v>
      </c>
      <c r="P565" s="168"/>
    </row>
    <row r="566" spans="1:16" ht="21.75" customHeight="1" x14ac:dyDescent="0.3">
      <c r="A566" s="156"/>
      <c r="B566" s="157"/>
      <c r="C566" s="157"/>
      <c r="D566" s="166"/>
      <c r="E566" s="159"/>
      <c r="F566" s="159" t="s">
        <v>40</v>
      </c>
      <c r="G566" s="160" t="s">
        <v>41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IFERROR(__xludf.DUMMYFUNCTION("IMPORTRANGE(""https://docs.google.com/spreadsheets/d/11923uPwbBZFjjGgGUA6NLw09EwE0CqkOc4q9oUmW1yo/edit?usp=sharing"",""เชียงราย!L461"")"),165600)</f>
        <v>165600</v>
      </c>
      <c r="M566" s="165"/>
      <c r="N566" s="168">
        <f ca="1">IFERROR(__xludf.DUMMYFUNCTION("IMPORTRANGE(""https://docs.google.com/spreadsheets/d/11923uPwbBZFjjGgGUA6NLw09EwE0CqkOc4q9oUmW1yo/edit?usp=sharing"",""เชียงราย!M461"")"),67370)</f>
        <v>67370</v>
      </c>
      <c r="O566" s="168">
        <f t="shared" ca="1" si="122"/>
        <v>40.682367149758456</v>
      </c>
      <c r="P566" s="168"/>
    </row>
    <row r="567" spans="1:16" ht="21.75" customHeight="1" x14ac:dyDescent="0.3">
      <c r="A567" s="156"/>
      <c r="B567" s="157"/>
      <c r="C567" s="157"/>
      <c r="D567" s="166"/>
      <c r="E567" s="159"/>
      <c r="F567" s="159"/>
      <c r="G567" s="372" t="s">
        <v>129</v>
      </c>
      <c r="H567" s="161" t="s">
        <v>12</v>
      </c>
      <c r="I567" s="162"/>
      <c r="J567" s="162"/>
      <c r="K567" s="163"/>
      <c r="L567" s="168">
        <f ca="1">IFERROR(__xludf.DUMMYFUNCTION("IMPORTRANGE(""https://docs.google.com/spreadsheets/d/11923uPwbBZFjjGgGUA6NLw09EwE0CqkOc4q9oUmW1yo/edit?usp=sharing"",""เชียงราย!L462"")"),0)</f>
        <v>0</v>
      </c>
      <c r="M567" s="168"/>
      <c r="N567" s="168">
        <f ca="1">IFERROR(__xludf.DUMMYFUNCTION("IMPORTRANGE(""https://docs.google.com/spreadsheets/d/11923uPwbBZFjjGgGUA6NLw09EwE0CqkOc4q9oUmW1yo/edit?usp=sharing"",""เชียงราย!M462"")"),0)</f>
        <v>0</v>
      </c>
      <c r="O567" s="168">
        <f t="shared" ca="1" si="122"/>
        <v>0</v>
      </c>
      <c r="P567" s="168"/>
    </row>
    <row r="568" spans="1:16" ht="21.75" customHeight="1" x14ac:dyDescent="0.3">
      <c r="A568" s="156"/>
      <c r="B568" s="157"/>
      <c r="C568" s="157"/>
      <c r="D568" s="166"/>
      <c r="E568" s="159"/>
      <c r="F568" s="159"/>
      <c r="G568" s="372" t="s">
        <v>130</v>
      </c>
      <c r="H568" s="161" t="s">
        <v>12</v>
      </c>
      <c r="I568" s="162"/>
      <c r="J568" s="162"/>
      <c r="K568" s="163"/>
      <c r="L568" s="168">
        <f ca="1">IFERROR(__xludf.DUMMYFUNCTION("IMPORTRANGE(""https://docs.google.com/spreadsheets/d/11923uPwbBZFjjGgGUA6NLw09EwE0CqkOc4q9oUmW1yo/edit?usp=sharing"",""เชียงราย!L463"")"),165600)</f>
        <v>165600</v>
      </c>
      <c r="M568" s="168"/>
      <c r="N568" s="168">
        <f ca="1">IFERROR(__xludf.DUMMYFUNCTION("IMPORTRANGE(""https://docs.google.com/spreadsheets/d/11923uPwbBZFjjGgGUA6NLw09EwE0CqkOc4q9oUmW1yo/edit?usp=sharing"",""เชียงราย!M463"")"),67370)</f>
        <v>67370</v>
      </c>
      <c r="O568" s="168">
        <f t="shared" ca="1" si="122"/>
        <v>40.682367149758456</v>
      </c>
      <c r="P568" s="168"/>
    </row>
    <row r="569" spans="1:16" ht="21.75" customHeight="1" x14ac:dyDescent="0.3">
      <c r="A569" s="373"/>
      <c r="B569" s="374"/>
      <c r="C569" s="157"/>
      <c r="D569" s="375"/>
      <c r="E569" s="159"/>
      <c r="F569" s="159"/>
      <c r="G569" s="376" t="s">
        <v>131</v>
      </c>
      <c r="H569" s="161" t="s">
        <v>12</v>
      </c>
      <c r="I569" s="187"/>
      <c r="J569" s="187"/>
      <c r="K569" s="223"/>
      <c r="L569" s="168"/>
      <c r="M569" s="168"/>
      <c r="N569" s="167">
        <f ca="1">IFERROR(__xludf.DUMMYFUNCTION("IMPORTRANGE(""https://docs.google.com/spreadsheets/d/11923uPwbBZFjjGgGUA6NLw09EwE0CqkOc4q9oUmW1yo/edit?usp=sharing"",""เชียงราย!M464"")"),0)</f>
        <v>0</v>
      </c>
      <c r="O569" s="168"/>
      <c r="P569" s="168"/>
    </row>
    <row r="570" spans="1:16" ht="21.75" customHeight="1" x14ac:dyDescent="0.3">
      <c r="A570" s="373"/>
      <c r="B570" s="374"/>
      <c r="C570" s="157"/>
      <c r="D570" s="375"/>
      <c r="E570" s="159"/>
      <c r="F570" s="159"/>
      <c r="G570" s="376" t="s">
        <v>132</v>
      </c>
      <c r="H570" s="161" t="s">
        <v>12</v>
      </c>
      <c r="I570" s="187"/>
      <c r="J570" s="187"/>
      <c r="K570" s="223"/>
      <c r="L570" s="168"/>
      <c r="M570" s="168"/>
      <c r="N570" s="167">
        <f ca="1">IFERROR(__xludf.DUMMYFUNCTION("IMPORTRANGE(""https://docs.google.com/spreadsheets/d/11923uPwbBZFjjGgGUA6NLw09EwE0CqkOc4q9oUmW1yo/edit?usp=sharing"",""เชียงราย!M465"")"),0)</f>
        <v>0</v>
      </c>
      <c r="O570" s="168"/>
      <c r="P570" s="168"/>
    </row>
    <row r="571" spans="1:16" ht="21.75" customHeight="1" x14ac:dyDescent="0.3">
      <c r="A571" s="373"/>
      <c r="B571" s="374"/>
      <c r="C571" s="157"/>
      <c r="D571" s="375"/>
      <c r="E571" s="159"/>
      <c r="F571" s="159"/>
      <c r="G571" s="376" t="s">
        <v>133</v>
      </c>
      <c r="H571" s="161" t="s">
        <v>12</v>
      </c>
      <c r="I571" s="187"/>
      <c r="J571" s="187"/>
      <c r="K571" s="223"/>
      <c r="L571" s="168"/>
      <c r="M571" s="168"/>
      <c r="N571" s="377">
        <f ca="1">IFERROR(__xludf.DUMMYFUNCTION("IMPORTRANGE(""https://docs.google.com/spreadsheets/d/11923uPwbBZFjjGgGUA6NLw09EwE0CqkOc4q9oUmW1yo/edit?usp=sharing"",""เชียงราย!M466"")"),42000)</f>
        <v>42000</v>
      </c>
      <c r="O571" s="168"/>
      <c r="P571" s="168"/>
    </row>
    <row r="572" spans="1:16" ht="21.75" customHeight="1" x14ac:dyDescent="0.3">
      <c r="A572" s="373"/>
      <c r="B572" s="374"/>
      <c r="C572" s="157"/>
      <c r="D572" s="375"/>
      <c r="E572" s="159"/>
      <c r="F572" s="159"/>
      <c r="G572" s="376" t="s">
        <v>134</v>
      </c>
      <c r="H572" s="161" t="s">
        <v>12</v>
      </c>
      <c r="I572" s="187"/>
      <c r="J572" s="187"/>
      <c r="K572" s="223"/>
      <c r="L572" s="168"/>
      <c r="M572" s="168"/>
      <c r="N572" s="377">
        <f ca="1">IFERROR(__xludf.DUMMYFUNCTION("IMPORTRANGE(""https://docs.google.com/spreadsheets/d/11923uPwbBZFjjGgGUA6NLw09EwE0CqkOc4q9oUmW1yo/edit?usp=sharing"",""เชียงราย!M467"")"),25370)</f>
        <v>25370</v>
      </c>
      <c r="O572" s="168"/>
      <c r="P572" s="168"/>
    </row>
    <row r="573" spans="1:16" ht="21.75" customHeight="1" x14ac:dyDescent="0.3">
      <c r="A573" s="175"/>
      <c r="B573" s="176"/>
      <c r="C573" s="176"/>
      <c r="D573" s="195"/>
      <c r="E573" s="194" t="s">
        <v>40</v>
      </c>
      <c r="F573" s="412" t="s">
        <v>209</v>
      </c>
      <c r="G573" s="386"/>
      <c r="H573" s="474" t="s">
        <v>37</v>
      </c>
      <c r="I573" s="418">
        <f ca="1">IFERROR(__xludf.DUMMYFUNCTION("IMPORTRANGE(""https://docs.google.com/spreadsheets/d/11923uPwbBZFjjGgGUA6NLw09EwE0CqkOc4q9oUmW1yo/edit?usp=sharing"",""เชียงราย!I468"")"),3400)</f>
        <v>3400</v>
      </c>
      <c r="J573" s="418">
        <f ca="1">IFERROR(__xludf.DUMMYFUNCTION("IMPORTRANGE(""https://docs.google.com/spreadsheets/d/11923uPwbBZFjjGgGUA6NLw09EwE0CqkOc4q9oUmW1yo/edit?usp=sharing"",""เชียงราย!J468"")"),2231)</f>
        <v>2231</v>
      </c>
      <c r="K573" s="201">
        <f ca="1">IF(I573&gt;0,J573*100/I573,0)</f>
        <v>65.617647058823536</v>
      </c>
      <c r="L573" s="181"/>
      <c r="M573" s="181"/>
      <c r="N573" s="181"/>
      <c r="O573" s="181"/>
      <c r="P573" s="181"/>
    </row>
    <row r="574" spans="1:16" ht="21.75" customHeight="1" x14ac:dyDescent="0.3">
      <c r="A574" s="175"/>
      <c r="B574" s="176"/>
      <c r="C574" s="176"/>
      <c r="D574" s="195"/>
      <c r="E574" s="195"/>
      <c r="F574" s="194" t="s">
        <v>210</v>
      </c>
      <c r="G574" s="196"/>
      <c r="H574" s="473"/>
      <c r="I574" s="162"/>
      <c r="J574" s="162"/>
      <c r="K574" s="163"/>
      <c r="L574" s="181"/>
      <c r="M574" s="181"/>
      <c r="N574" s="181"/>
      <c r="O574" s="181"/>
      <c r="P574" s="181"/>
    </row>
    <row r="575" spans="1:16" ht="21.75" customHeight="1" x14ac:dyDescent="0.3">
      <c r="A575" s="175"/>
      <c r="B575" s="176"/>
      <c r="C575" s="176"/>
      <c r="D575" s="195"/>
      <c r="E575" s="194" t="s">
        <v>40</v>
      </c>
      <c r="F575" s="194" t="s">
        <v>211</v>
      </c>
      <c r="G575" s="196"/>
      <c r="H575" s="473" t="s">
        <v>77</v>
      </c>
      <c r="I575" s="202">
        <f ca="1">IFERROR(__xludf.DUMMYFUNCTION("IMPORTRANGE(""https://docs.google.com/spreadsheets/d/11923uPwbBZFjjGgGUA6NLw09EwE0CqkOc4q9oUmW1yo/edit?usp=sharing"",""เชียงราย!I470"")"),0)</f>
        <v>0</v>
      </c>
      <c r="J575" s="197">
        <f ca="1">IFERROR(__xludf.DUMMYFUNCTION("IMPORTRANGE(""https://docs.google.com/spreadsheets/d/11923uPwbBZFjjGgGUA6NLw09EwE0CqkOc4q9oUmW1yo/edit?usp=sharing"",""เชียงราย!J470"")"),2)</f>
        <v>2</v>
      </c>
      <c r="K575" s="163">
        <f t="shared" ref="K575:K579" ca="1" si="123">IF(I575&gt;0,J575*100/I575,0)</f>
        <v>0</v>
      </c>
      <c r="L575" s="181"/>
      <c r="M575" s="181"/>
      <c r="N575" s="181"/>
      <c r="O575" s="181"/>
      <c r="P575" s="181"/>
    </row>
    <row r="576" spans="1:16" ht="21.75" customHeight="1" x14ac:dyDescent="0.3">
      <c r="A576" s="175"/>
      <c r="B576" s="176"/>
      <c r="C576" s="176"/>
      <c r="D576" s="195"/>
      <c r="E576" s="195"/>
      <c r="F576" s="194" t="s">
        <v>212</v>
      </c>
      <c r="G576" s="196"/>
      <c r="H576" s="473" t="s">
        <v>37</v>
      </c>
      <c r="I576" s="202">
        <f ca="1">IFERROR(__xludf.DUMMYFUNCTION("IMPORTRANGE(""https://docs.google.com/spreadsheets/d/11923uPwbBZFjjGgGUA6NLw09EwE0CqkOc4q9oUmW1yo/edit?usp=sharing"",""เชียงราย!I471"")"),0)</f>
        <v>0</v>
      </c>
      <c r="J576" s="197">
        <f ca="1">IFERROR(__xludf.DUMMYFUNCTION("IMPORTRANGE(""https://docs.google.com/spreadsheets/d/11923uPwbBZFjjGgGUA6NLw09EwE0CqkOc4q9oUmW1yo/edit?usp=sharing"",""เชียงราย!J471"")"),160)</f>
        <v>160</v>
      </c>
      <c r="K576" s="163">
        <f t="shared" ca="1" si="123"/>
        <v>0</v>
      </c>
      <c r="L576" s="181"/>
      <c r="M576" s="181"/>
      <c r="N576" s="181"/>
      <c r="O576" s="181"/>
      <c r="P576" s="181"/>
    </row>
    <row r="577" spans="1:16" ht="21.75" customHeight="1" x14ac:dyDescent="0.3">
      <c r="A577" s="175"/>
      <c r="B577" s="176"/>
      <c r="C577" s="176"/>
      <c r="D577" s="195"/>
      <c r="E577" s="195"/>
      <c r="F577" s="194" t="s">
        <v>213</v>
      </c>
      <c r="G577" s="196"/>
      <c r="H577" s="473" t="s">
        <v>37</v>
      </c>
      <c r="I577" s="202">
        <f ca="1">IFERROR(__xludf.DUMMYFUNCTION("IMPORTRANGE(""https://docs.google.com/spreadsheets/d/11923uPwbBZFjjGgGUA6NLw09EwE0CqkOc4q9oUmW1yo/edit?usp=sharing"",""เชียงราย!I472"")"),0)</f>
        <v>0</v>
      </c>
      <c r="J577" s="188">
        <f ca="1">IFERROR(__xludf.DUMMYFUNCTION("IMPORTRANGE(""https://docs.google.com/spreadsheets/d/11923uPwbBZFjjGgGUA6NLw09EwE0CqkOc4q9oUmW1yo/edit?usp=sharing"",""เชียงราย!J472"")"),2052)</f>
        <v>2052</v>
      </c>
      <c r="K577" s="163">
        <f t="shared" ca="1" si="123"/>
        <v>0</v>
      </c>
      <c r="L577" s="181"/>
      <c r="M577" s="181"/>
      <c r="N577" s="181"/>
      <c r="O577" s="181"/>
      <c r="P577" s="181"/>
    </row>
    <row r="578" spans="1:16" ht="21.75" customHeight="1" x14ac:dyDescent="0.3">
      <c r="A578" s="175"/>
      <c r="B578" s="176"/>
      <c r="C578" s="176"/>
      <c r="D578" s="195"/>
      <c r="E578" s="195"/>
      <c r="F578" s="194" t="s">
        <v>214</v>
      </c>
      <c r="G578" s="419"/>
      <c r="H578" s="473" t="s">
        <v>37</v>
      </c>
      <c r="I578" s="202">
        <f ca="1">IFERROR(__xludf.DUMMYFUNCTION("IMPORTRANGE(""https://docs.google.com/spreadsheets/d/11923uPwbBZFjjGgGUA6NLw09EwE0CqkOc4q9oUmW1yo/edit?usp=sharing"",""เชียงราย!I473"")"),0)</f>
        <v>0</v>
      </c>
      <c r="J578" s="197">
        <f ca="1">IFERROR(__xludf.DUMMYFUNCTION("IMPORTRANGE(""https://docs.google.com/spreadsheets/d/11923uPwbBZFjjGgGUA6NLw09EwE0CqkOc4q9oUmW1yo/edit?usp=sharing"",""เชียงราย!J473"")"),7)</f>
        <v>7</v>
      </c>
      <c r="K578" s="163">
        <f t="shared" ca="1" si="123"/>
        <v>0</v>
      </c>
      <c r="L578" s="181"/>
      <c r="M578" s="181"/>
      <c r="N578" s="181"/>
      <c r="O578" s="181"/>
      <c r="P578" s="181"/>
    </row>
    <row r="579" spans="1:16" ht="21.75" customHeight="1" x14ac:dyDescent="0.3">
      <c r="A579" s="175"/>
      <c r="B579" s="176"/>
      <c r="C579" s="176"/>
      <c r="D579" s="195"/>
      <c r="E579" s="195"/>
      <c r="F579" s="194" t="s">
        <v>215</v>
      </c>
      <c r="G579" s="419"/>
      <c r="H579" s="473" t="s">
        <v>37</v>
      </c>
      <c r="I579" s="202">
        <f ca="1">IFERROR(__xludf.DUMMYFUNCTION("IMPORTRANGE(""https://docs.google.com/spreadsheets/d/11923uPwbBZFjjGgGUA6NLw09EwE0CqkOc4q9oUmW1yo/edit?usp=sharing"",""เชียงราย!I474"")"),0)</f>
        <v>0</v>
      </c>
      <c r="J579" s="197">
        <f ca="1">IFERROR(__xludf.DUMMYFUNCTION("IMPORTRANGE(""https://docs.google.com/spreadsheets/d/11923uPwbBZFjjGgGUA6NLw09EwE0CqkOc4q9oUmW1yo/edit?usp=sharing"",""เชียงราย!J474"")"),12)</f>
        <v>12</v>
      </c>
      <c r="K579" s="163">
        <f t="shared" ca="1" si="123"/>
        <v>0</v>
      </c>
      <c r="L579" s="181"/>
      <c r="M579" s="181"/>
      <c r="N579" s="181"/>
      <c r="O579" s="181"/>
      <c r="P579" s="181"/>
    </row>
    <row r="580" spans="1:16" ht="21.75" customHeight="1" x14ac:dyDescent="0.3">
      <c r="A580" s="364"/>
      <c r="B580" s="365">
        <v>9</v>
      </c>
      <c r="C580" s="475" t="s">
        <v>216</v>
      </c>
      <c r="D580" s="366"/>
      <c r="E580" s="366"/>
      <c r="F580" s="366"/>
      <c r="G580" s="367"/>
      <c r="H580" s="368" t="s">
        <v>37</v>
      </c>
      <c r="I580" s="369">
        <f ca="1">IFERROR(__xludf.DUMMYFUNCTION("IMPORTRANGE(""https://docs.google.com/spreadsheets/d/11923uPwbBZFjjGgGUA6NLw09EwE0CqkOc4q9oUmW1yo/edit?usp=sharing"",""เชียงราย!I475"")"),176)</f>
        <v>176</v>
      </c>
      <c r="J580" s="369">
        <f ca="1">IFERROR(__xludf.DUMMYFUNCTION("IMPORTRANGE(""https://docs.google.com/spreadsheets/d/11923uPwbBZFjjGgGUA6NLw09EwE0CqkOc4q9oUmW1yo/edit?usp=sharing"",""เชียงราย!J475"")"),0)</f>
        <v>0</v>
      </c>
      <c r="K580" s="370">
        <f ca="1">IF(I580&gt;0,J580*100/I580,0)</f>
        <v>0</v>
      </c>
      <c r="L580" s="371">
        <f ca="1">IFERROR(__xludf.DUMMYFUNCTION("IMPORTRANGE(""https://docs.google.com/spreadsheets/d/11923uPwbBZFjjGgGUA6NLw09EwE0CqkOc4q9oUmW1yo/edit?usp=sharing"",""เชียงราย!L475"")"),359076)</f>
        <v>359076</v>
      </c>
      <c r="M580" s="371"/>
      <c r="N580" s="371">
        <f ca="1">IFERROR(__xludf.DUMMYFUNCTION("IMPORTRANGE(""https://docs.google.com/spreadsheets/d/11923uPwbBZFjjGgGUA6NLw09EwE0CqkOc4q9oUmW1yo/edit?usp=sharing"",""เชียงราย!M475"")"),54140)</f>
        <v>54140</v>
      </c>
      <c r="O580" s="371">
        <f t="shared" ref="O580:O584" ca="1" si="124">+IF(L580&gt;0,N580*100/L580,0)</f>
        <v>15.07758803150308</v>
      </c>
      <c r="P580" s="371"/>
    </row>
    <row r="581" spans="1:16" ht="21.75" customHeight="1" x14ac:dyDescent="0.3">
      <c r="A581" s="156"/>
      <c r="B581" s="157"/>
      <c r="C581" s="157" t="s">
        <v>16</v>
      </c>
      <c r="D581" s="158" t="s">
        <v>38</v>
      </c>
      <c r="E581" s="159"/>
      <c r="F581" s="159"/>
      <c r="G581" s="160" t="s">
        <v>39</v>
      </c>
      <c r="H581" s="161" t="s">
        <v>12</v>
      </c>
      <c r="I581" s="162" t="s">
        <v>40</v>
      </c>
      <c r="J581" s="162"/>
      <c r="K581" s="163"/>
      <c r="L581" s="164">
        <f ca="1">IFERROR(__xludf.DUMMYFUNCTION("IMPORTRANGE(""https://docs.google.com/spreadsheets/d/11923uPwbBZFjjGgGUA6NLw09EwE0CqkOc4q9oUmW1yo/edit?usp=sharing"",""เชียงราย!L476"")"),0)</f>
        <v>0</v>
      </c>
      <c r="M581" s="164"/>
      <c r="N581" s="168">
        <f ca="1">IFERROR(__xludf.DUMMYFUNCTION("IMPORTRANGE(""https://docs.google.com/spreadsheets/d/11923uPwbBZFjjGgGUA6NLw09EwE0CqkOc4q9oUmW1yo/edit?usp=sharing"",""เชียงราย!M476"")"),0)</f>
        <v>0</v>
      </c>
      <c r="O581" s="168">
        <f t="shared" ca="1" si="124"/>
        <v>0</v>
      </c>
      <c r="P581" s="168"/>
    </row>
    <row r="582" spans="1:16" ht="21.75" customHeight="1" x14ac:dyDescent="0.3">
      <c r="A582" s="156"/>
      <c r="B582" s="157"/>
      <c r="C582" s="157"/>
      <c r="D582" s="166"/>
      <c r="E582" s="159"/>
      <c r="F582" s="159" t="s">
        <v>40</v>
      </c>
      <c r="G582" s="160" t="s">
        <v>41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IFERROR(__xludf.DUMMYFUNCTION("IMPORTRANGE(""https://docs.google.com/spreadsheets/d/11923uPwbBZFjjGgGUA6NLw09EwE0CqkOc4q9oUmW1yo/edit?usp=sharing"",""เชียงราย!L477"")"),359076)</f>
        <v>359076</v>
      </c>
      <c r="M582" s="165"/>
      <c r="N582" s="168">
        <f ca="1">IFERROR(__xludf.DUMMYFUNCTION("IMPORTRANGE(""https://docs.google.com/spreadsheets/d/11923uPwbBZFjjGgGUA6NLw09EwE0CqkOc4q9oUmW1yo/edit?usp=sharing"",""เชียงราย!M477"")"),54140)</f>
        <v>54140</v>
      </c>
      <c r="O582" s="168">
        <f t="shared" ca="1" si="124"/>
        <v>15.07758803150308</v>
      </c>
      <c r="P582" s="168"/>
    </row>
    <row r="583" spans="1:16" ht="21.75" customHeight="1" x14ac:dyDescent="0.3">
      <c r="A583" s="156"/>
      <c r="B583" s="157"/>
      <c r="C583" s="157"/>
      <c r="D583" s="166"/>
      <c r="E583" s="159"/>
      <c r="F583" s="159"/>
      <c r="G583" s="372" t="s">
        <v>129</v>
      </c>
      <c r="H583" s="161" t="s">
        <v>12</v>
      </c>
      <c r="I583" s="162"/>
      <c r="J583" s="162"/>
      <c r="K583" s="163"/>
      <c r="L583" s="168">
        <f ca="1">IFERROR(__xludf.DUMMYFUNCTION("IMPORTRANGE(""https://docs.google.com/spreadsheets/d/11923uPwbBZFjjGgGUA6NLw09EwE0CqkOc4q9oUmW1yo/edit?usp=sharing"",""เชียงราย!L478"")"),0)</f>
        <v>0</v>
      </c>
      <c r="M583" s="168"/>
      <c r="N583" s="168">
        <f ca="1">IFERROR(__xludf.DUMMYFUNCTION("IMPORTRANGE(""https://docs.google.com/spreadsheets/d/11923uPwbBZFjjGgGUA6NLw09EwE0CqkOc4q9oUmW1yo/edit?usp=sharing"",""เชียงราย!M478"")"),0)</f>
        <v>0</v>
      </c>
      <c r="O583" s="168">
        <f t="shared" ca="1" si="124"/>
        <v>0</v>
      </c>
      <c r="P583" s="168"/>
    </row>
    <row r="584" spans="1:16" ht="21.75" customHeight="1" x14ac:dyDescent="0.3">
      <c r="A584" s="156"/>
      <c r="B584" s="157"/>
      <c r="C584" s="157"/>
      <c r="D584" s="166"/>
      <c r="E584" s="159"/>
      <c r="F584" s="159"/>
      <c r="G584" s="372" t="s">
        <v>130</v>
      </c>
      <c r="H584" s="161" t="s">
        <v>12</v>
      </c>
      <c r="I584" s="162"/>
      <c r="J584" s="162"/>
      <c r="K584" s="163"/>
      <c r="L584" s="168">
        <f ca="1">IFERROR(__xludf.DUMMYFUNCTION("IMPORTRANGE(""https://docs.google.com/spreadsheets/d/11923uPwbBZFjjGgGUA6NLw09EwE0CqkOc4q9oUmW1yo/edit?usp=sharing"",""เชียงราย!L479"")"),359076)</f>
        <v>359076</v>
      </c>
      <c r="M584" s="168"/>
      <c r="N584" s="168">
        <f ca="1">IFERROR(__xludf.DUMMYFUNCTION("IMPORTRANGE(""https://docs.google.com/spreadsheets/d/11923uPwbBZFjjGgGUA6NLw09EwE0CqkOc4q9oUmW1yo/edit?usp=sharing"",""เชียงราย!M479"")"),54140)</f>
        <v>54140</v>
      </c>
      <c r="O584" s="168">
        <f t="shared" ca="1" si="124"/>
        <v>15.07758803150308</v>
      </c>
      <c r="P584" s="168"/>
    </row>
    <row r="585" spans="1:16" ht="21.75" customHeight="1" x14ac:dyDescent="0.3">
      <c r="A585" s="373"/>
      <c r="B585" s="374"/>
      <c r="C585" s="157"/>
      <c r="D585" s="375"/>
      <c r="E585" s="159"/>
      <c r="F585" s="159"/>
      <c r="G585" s="376" t="s">
        <v>131</v>
      </c>
      <c r="H585" s="161" t="s">
        <v>12</v>
      </c>
      <c r="I585" s="187"/>
      <c r="J585" s="187"/>
      <c r="K585" s="223"/>
      <c r="L585" s="168"/>
      <c r="M585" s="168"/>
      <c r="N585" s="167">
        <f ca="1">IFERROR(__xludf.DUMMYFUNCTION("IMPORTRANGE(""https://docs.google.com/spreadsheets/d/11923uPwbBZFjjGgGUA6NLw09EwE0CqkOc4q9oUmW1yo/edit?usp=sharing"",""เชียงราย!M480"")"),0)</f>
        <v>0</v>
      </c>
      <c r="O585" s="168"/>
      <c r="P585" s="168"/>
    </row>
    <row r="586" spans="1:16" ht="21.75" customHeight="1" x14ac:dyDescent="0.3">
      <c r="A586" s="373"/>
      <c r="B586" s="374"/>
      <c r="C586" s="157"/>
      <c r="D586" s="375"/>
      <c r="E586" s="159"/>
      <c r="F586" s="159"/>
      <c r="G586" s="376" t="s">
        <v>132</v>
      </c>
      <c r="H586" s="161" t="s">
        <v>12</v>
      </c>
      <c r="I586" s="187"/>
      <c r="J586" s="187"/>
      <c r="K586" s="223"/>
      <c r="L586" s="168"/>
      <c r="M586" s="168"/>
      <c r="N586" s="167">
        <f ca="1">IFERROR(__xludf.DUMMYFUNCTION("IMPORTRANGE(""https://docs.google.com/spreadsheets/d/11923uPwbBZFjjGgGUA6NLw09EwE0CqkOc4q9oUmW1yo/edit?usp=sharing"",""เชียงราย!M481"")"),0)</f>
        <v>0</v>
      </c>
      <c r="O586" s="168"/>
      <c r="P586" s="168"/>
    </row>
    <row r="587" spans="1:16" ht="21.75" customHeight="1" x14ac:dyDescent="0.3">
      <c r="A587" s="373"/>
      <c r="B587" s="374"/>
      <c r="C587" s="157"/>
      <c r="D587" s="375"/>
      <c r="E587" s="159"/>
      <c r="F587" s="159"/>
      <c r="G587" s="376" t="s">
        <v>133</v>
      </c>
      <c r="H587" s="161" t="s">
        <v>12</v>
      </c>
      <c r="I587" s="187"/>
      <c r="J587" s="187"/>
      <c r="K587" s="223"/>
      <c r="L587" s="168"/>
      <c r="M587" s="168"/>
      <c r="N587" s="167">
        <f ca="1">IFERROR(__xludf.DUMMYFUNCTION("IMPORTRANGE(""https://docs.google.com/spreadsheets/d/11923uPwbBZFjjGgGUA6NLw09EwE0CqkOc4q9oUmW1yo/edit?usp=sharing"",""เชียงราย!M482"")"),38000)</f>
        <v>38000</v>
      </c>
      <c r="O587" s="168"/>
      <c r="P587" s="168"/>
    </row>
    <row r="588" spans="1:16" ht="21.75" customHeight="1" x14ac:dyDescent="0.3">
      <c r="A588" s="373"/>
      <c r="B588" s="374"/>
      <c r="C588" s="157"/>
      <c r="D588" s="375"/>
      <c r="E588" s="159"/>
      <c r="F588" s="159"/>
      <c r="G588" s="376" t="s">
        <v>134</v>
      </c>
      <c r="H588" s="161" t="s">
        <v>12</v>
      </c>
      <c r="I588" s="187"/>
      <c r="J588" s="187"/>
      <c r="K588" s="223"/>
      <c r="L588" s="168"/>
      <c r="M588" s="168"/>
      <c r="N588" s="167">
        <f ca="1">IFERROR(__xludf.DUMMYFUNCTION("IMPORTRANGE(""https://docs.google.com/spreadsheets/d/11923uPwbBZFjjGgGUA6NLw09EwE0CqkOc4q9oUmW1yo/edit?usp=sharing"",""เชียงราย!M483"")"),16140)</f>
        <v>16140</v>
      </c>
      <c r="O588" s="168"/>
      <c r="P588" s="168"/>
    </row>
    <row r="589" spans="1:16" ht="21.75" customHeight="1" x14ac:dyDescent="0.3">
      <c r="A589" s="476"/>
      <c r="B589" s="166"/>
      <c r="C589" s="157"/>
      <c r="D589" s="289"/>
      <c r="E589" s="194" t="s">
        <v>217</v>
      </c>
      <c r="F589" s="195"/>
      <c r="G589" s="196"/>
      <c r="H589" s="180" t="s">
        <v>36</v>
      </c>
      <c r="I589" s="339">
        <f ca="1">IFERROR(__xludf.DUMMYFUNCTION("IMPORTRANGE(""https://docs.google.com/spreadsheets/d/11923uPwbBZFjjGgGUA6NLw09EwE0CqkOc4q9oUmW1yo/edit?usp=sharing"",""เชียงราย!I484"")"),176)</f>
        <v>176</v>
      </c>
      <c r="J589" s="187">
        <f ca="1">IFERROR(__xludf.DUMMYFUNCTION("IMPORTRANGE(""https://docs.google.com/spreadsheets/d/11923uPwbBZFjjGgGUA6NLw09EwE0CqkOc4q9oUmW1yo/edit?usp=sharing"",""เชียงราย!J484"")"),62)</f>
        <v>62</v>
      </c>
      <c r="K589" s="163">
        <f t="shared" ref="K589:K596" ca="1" si="125">IF(I589&gt;0,J589*100/I589,0)</f>
        <v>35.227272727272727</v>
      </c>
      <c r="L589" s="181"/>
      <c r="M589" s="181"/>
      <c r="N589" s="168"/>
      <c r="O589" s="181"/>
      <c r="P589" s="181"/>
    </row>
    <row r="590" spans="1:16" ht="21.75" customHeight="1" x14ac:dyDescent="0.3">
      <c r="A590" s="476"/>
      <c r="B590" s="166"/>
      <c r="C590" s="157"/>
      <c r="D590" s="289"/>
      <c r="E590" s="195"/>
      <c r="F590" s="195"/>
      <c r="G590" s="196"/>
      <c r="H590" s="180" t="s">
        <v>122</v>
      </c>
      <c r="I590" s="343">
        <f ca="1">IFERROR(__xludf.DUMMYFUNCTION("IMPORTRANGE(""https://docs.google.com/spreadsheets/d/11923uPwbBZFjjGgGUA6NLw09EwE0CqkOc4q9oUmW1yo/edit?usp=sharing"",""เชียงราย!I485"")"),0)</f>
        <v>0</v>
      </c>
      <c r="J590" s="187">
        <f ca="1">IFERROR(__xludf.DUMMYFUNCTION("IMPORTRANGE(""https://docs.google.com/spreadsheets/d/11923uPwbBZFjjGgGUA6NLw09EwE0CqkOc4q9oUmW1yo/edit?usp=sharing"",""เชียงราย!J485"")"),37.1)</f>
        <v>37.1</v>
      </c>
      <c r="K590" s="477">
        <f t="shared" ca="1" si="125"/>
        <v>0</v>
      </c>
      <c r="L590" s="181"/>
      <c r="M590" s="181"/>
      <c r="N590" s="168"/>
      <c r="O590" s="181"/>
      <c r="P590" s="181"/>
    </row>
    <row r="591" spans="1:16" ht="21.75" customHeight="1" x14ac:dyDescent="0.3">
      <c r="A591" s="476"/>
      <c r="B591" s="166"/>
      <c r="C591" s="157"/>
      <c r="D591" s="289"/>
      <c r="E591" s="194" t="s">
        <v>123</v>
      </c>
      <c r="F591" s="195"/>
      <c r="G591" s="196"/>
      <c r="H591" s="180" t="s">
        <v>37</v>
      </c>
      <c r="I591" s="339">
        <f ca="1">IFERROR(__xludf.DUMMYFUNCTION("IMPORTRANGE(""https://docs.google.com/spreadsheets/d/11923uPwbBZFjjGgGUA6NLw09EwE0CqkOc4q9oUmW1yo/edit?usp=sharing"",""เชียงราย!I486"")"),176)</f>
        <v>176</v>
      </c>
      <c r="J591" s="187">
        <f ca="1">IFERROR(__xludf.DUMMYFUNCTION("IMPORTRANGE(""https://docs.google.com/spreadsheets/d/11923uPwbBZFjjGgGUA6NLw09EwE0CqkOc4q9oUmW1yo/edit?usp=sharing"",""เชียงราย!J486"")"),1)</f>
        <v>1</v>
      </c>
      <c r="K591" s="163">
        <f t="shared" ca="1" si="125"/>
        <v>0.56818181818181823</v>
      </c>
      <c r="L591" s="181"/>
      <c r="M591" s="181"/>
      <c r="N591" s="181"/>
      <c r="O591" s="181"/>
      <c r="P591" s="181"/>
    </row>
    <row r="592" spans="1:16" ht="21.75" customHeight="1" x14ac:dyDescent="0.3">
      <c r="A592" s="476"/>
      <c r="B592" s="166"/>
      <c r="C592" s="157"/>
      <c r="D592" s="289"/>
      <c r="E592" s="195"/>
      <c r="F592" s="195"/>
      <c r="G592" s="196"/>
      <c r="H592" s="180" t="s">
        <v>122</v>
      </c>
      <c r="I592" s="343">
        <f ca="1">IFERROR(__xludf.DUMMYFUNCTION("IMPORTRANGE(""https://docs.google.com/spreadsheets/d/11923uPwbBZFjjGgGUA6NLw09EwE0CqkOc4q9oUmW1yo/edit?usp=sharing"",""เชียงราย!I487"")"),0)</f>
        <v>0</v>
      </c>
      <c r="J592" s="187">
        <f ca="1">IFERROR(__xludf.DUMMYFUNCTION("IMPORTRANGE(""https://docs.google.com/spreadsheets/d/11923uPwbBZFjjGgGUA6NLw09EwE0CqkOc4q9oUmW1yo/edit?usp=sharing"",""เชียงราย!J487"")"),0.42)</f>
        <v>0.42</v>
      </c>
      <c r="K592" s="340">
        <f t="shared" ca="1" si="125"/>
        <v>0</v>
      </c>
      <c r="L592" s="181"/>
      <c r="M592" s="181"/>
      <c r="N592" s="181"/>
      <c r="O592" s="181"/>
      <c r="P592" s="181"/>
    </row>
    <row r="593" spans="1:16" ht="21.75" customHeight="1" x14ac:dyDescent="0.3">
      <c r="A593" s="476"/>
      <c r="B593" s="166"/>
      <c r="C593" s="157"/>
      <c r="D593" s="289"/>
      <c r="E593" s="194" t="s">
        <v>124</v>
      </c>
      <c r="F593" s="195"/>
      <c r="G593" s="196"/>
      <c r="H593" s="180" t="s">
        <v>37</v>
      </c>
      <c r="I593" s="339">
        <f ca="1">IFERROR(__xludf.DUMMYFUNCTION("IMPORTRANGE(""https://docs.google.com/spreadsheets/d/11923uPwbBZFjjGgGUA6NLw09EwE0CqkOc4q9oUmW1yo/edit?usp=sharing"",""เชียงราย!I488"")"),176)</f>
        <v>176</v>
      </c>
      <c r="J593" s="187">
        <f ca="1">IFERROR(__xludf.DUMMYFUNCTION("IMPORTRANGE(""https://docs.google.com/spreadsheets/d/11923uPwbBZFjjGgGUA6NLw09EwE0CqkOc4q9oUmW1yo/edit?usp=sharing"",""เชียงราย!J488"")"),0)</f>
        <v>0</v>
      </c>
      <c r="K593" s="163">
        <f t="shared" ca="1" si="125"/>
        <v>0</v>
      </c>
      <c r="L593" s="181"/>
      <c r="M593" s="181"/>
      <c r="N593" s="181"/>
      <c r="O593" s="181"/>
      <c r="P593" s="181"/>
    </row>
    <row r="594" spans="1:16" ht="21.75" customHeight="1" x14ac:dyDescent="0.3">
      <c r="A594" s="476"/>
      <c r="B594" s="166"/>
      <c r="C594" s="157"/>
      <c r="D594" s="289"/>
      <c r="E594" s="195"/>
      <c r="F594" s="195"/>
      <c r="G594" s="196"/>
      <c r="H594" s="180" t="s">
        <v>122</v>
      </c>
      <c r="I594" s="343">
        <f ca="1">IFERROR(__xludf.DUMMYFUNCTION("IMPORTRANGE(""https://docs.google.com/spreadsheets/d/11923uPwbBZFjjGgGUA6NLw09EwE0CqkOc4q9oUmW1yo/edit?usp=sharing"",""เชียงราย!I489"")"),0)</f>
        <v>0</v>
      </c>
      <c r="J594" s="187">
        <f ca="1">IFERROR(__xludf.DUMMYFUNCTION("IMPORTRANGE(""https://docs.google.com/spreadsheets/d/11923uPwbBZFjjGgGUA6NLw09EwE0CqkOc4q9oUmW1yo/edit?usp=sharing"",""เชียงราย!J489"")"),0)</f>
        <v>0</v>
      </c>
      <c r="K594" s="340">
        <f t="shared" ca="1" si="125"/>
        <v>0</v>
      </c>
      <c r="L594" s="181"/>
      <c r="M594" s="181"/>
      <c r="N594" s="181"/>
      <c r="O594" s="181"/>
      <c r="P594" s="181"/>
    </row>
    <row r="595" spans="1:16" ht="21.75" customHeight="1" x14ac:dyDescent="0.3">
      <c r="A595" s="476"/>
      <c r="B595" s="166"/>
      <c r="C595" s="157"/>
      <c r="D595" s="289"/>
      <c r="E595" s="194" t="s">
        <v>125</v>
      </c>
      <c r="F595" s="195"/>
      <c r="G595" s="196"/>
      <c r="H595" s="180" t="s">
        <v>37</v>
      </c>
      <c r="I595" s="339">
        <f ca="1">IFERROR(__xludf.DUMMYFUNCTION("IMPORTRANGE(""https://docs.google.com/spreadsheets/d/11923uPwbBZFjjGgGUA6NLw09EwE0CqkOc4q9oUmW1yo/edit?usp=sharing"",""เชียงราย!I490"")"),176)</f>
        <v>176</v>
      </c>
      <c r="J595" s="187">
        <f ca="1">IFERROR(__xludf.DUMMYFUNCTION("IMPORTRANGE(""https://docs.google.com/spreadsheets/d/11923uPwbBZFjjGgGUA6NLw09EwE0CqkOc4q9oUmW1yo/edit?usp=sharing"",""เชียงราย!J490"")"),0)</f>
        <v>0</v>
      </c>
      <c r="K595" s="163">
        <f t="shared" ca="1" si="125"/>
        <v>0</v>
      </c>
      <c r="L595" s="181"/>
      <c r="M595" s="181"/>
      <c r="N595" s="181"/>
      <c r="O595" s="181"/>
      <c r="P595" s="181"/>
    </row>
    <row r="596" spans="1:16" ht="21.75" customHeight="1" x14ac:dyDescent="0.3">
      <c r="A596" s="478"/>
      <c r="B596" s="479"/>
      <c r="C596" s="480"/>
      <c r="D596" s="481"/>
      <c r="E596" s="460"/>
      <c r="F596" s="460"/>
      <c r="G596" s="461"/>
      <c r="H596" s="482" t="s">
        <v>122</v>
      </c>
      <c r="I596" s="483">
        <f ca="1">IFERROR(__xludf.DUMMYFUNCTION("IMPORTRANGE(""https://docs.google.com/spreadsheets/d/11923uPwbBZFjjGgGUA6NLw09EwE0CqkOc4q9oUmW1yo/edit?usp=sharing"",""เชียงราย!I491"")"),0)</f>
        <v>0</v>
      </c>
      <c r="J596" s="240">
        <f ca="1">IFERROR(__xludf.DUMMYFUNCTION("IMPORTRANGE(""https://docs.google.com/spreadsheets/d/11923uPwbBZFjjGgGUA6NLw09EwE0CqkOc4q9oUmW1yo/edit?usp=sharing"",""เชียงราย!J491"")"),0)</f>
        <v>0</v>
      </c>
      <c r="K596" s="484">
        <f t="shared" ca="1" si="125"/>
        <v>0</v>
      </c>
      <c r="L596" s="466"/>
      <c r="M596" s="466"/>
      <c r="N596" s="466"/>
      <c r="O596" s="466"/>
      <c r="P596" s="466"/>
    </row>
    <row r="597" spans="1:16" ht="21.75" customHeight="1" x14ac:dyDescent="0.3">
      <c r="A597" s="403"/>
      <c r="B597" s="404">
        <v>10</v>
      </c>
      <c r="C597" s="405" t="s">
        <v>218</v>
      </c>
      <c r="D597" s="405"/>
      <c r="E597" s="405"/>
      <c r="F597" s="405"/>
      <c r="G597" s="406"/>
      <c r="H597" s="407" t="s">
        <v>122</v>
      </c>
      <c r="I597" s="408">
        <f ca="1">IFERROR(__xludf.DUMMYFUNCTION("IMPORTRANGE(""https://docs.google.com/spreadsheets/d/11923uPwbBZFjjGgGUA6NLw09EwE0CqkOc4q9oUmW1yo/edit?usp=sharing"",""เชียงราย!I492"")"),220)</f>
        <v>220</v>
      </c>
      <c r="J597" s="485">
        <f ca="1">IFERROR(__xludf.DUMMYFUNCTION("IMPORTRANGE(""https://docs.google.com/spreadsheets/d/11923uPwbBZFjjGgGUA6NLw09EwE0CqkOc4q9oUmW1yo/edit?usp=sharing"",""เชียงราย!J492"")"),0)</f>
        <v>0</v>
      </c>
      <c r="K597" s="409">
        <f ca="1">IF(I597&gt;0,J597*100/I597,0)</f>
        <v>0</v>
      </c>
      <c r="L597" s="410">
        <f ca="1">IFERROR(__xludf.DUMMYFUNCTION("IMPORTRANGE(""https://docs.google.com/spreadsheets/d/11923uPwbBZFjjGgGUA6NLw09EwE0CqkOc4q9oUmW1yo/edit?usp=sharing"",""เชียงราย!L492"")"),15500)</f>
        <v>15500</v>
      </c>
      <c r="M597" s="410"/>
      <c r="N597" s="410">
        <f ca="1">IFERROR(__xludf.DUMMYFUNCTION("IMPORTRANGE(""https://docs.google.com/spreadsheets/d/11923uPwbBZFjjGgGUA6NLw09EwE0CqkOc4q9oUmW1yo/edit?usp=sharing"",""เชียงราย!M492"")"),2600)</f>
        <v>2600</v>
      </c>
      <c r="O597" s="410">
        <f t="shared" ref="O597:O601" ca="1" si="126">+IF(L597&gt;0,N597*100/L597,0)</f>
        <v>16.774193548387096</v>
      </c>
      <c r="P597" s="410"/>
    </row>
    <row r="598" spans="1:16" ht="21.75" customHeight="1" x14ac:dyDescent="0.3">
      <c r="A598" s="156"/>
      <c r="B598" s="157"/>
      <c r="C598" s="157" t="s">
        <v>16</v>
      </c>
      <c r="D598" s="158" t="s">
        <v>38</v>
      </c>
      <c r="E598" s="159"/>
      <c r="F598" s="159"/>
      <c r="G598" s="160" t="s">
        <v>39</v>
      </c>
      <c r="H598" s="161" t="s">
        <v>12</v>
      </c>
      <c r="I598" s="162" t="s">
        <v>40</v>
      </c>
      <c r="J598" s="162"/>
      <c r="K598" s="163"/>
      <c r="L598" s="164">
        <f ca="1">IFERROR(__xludf.DUMMYFUNCTION("IMPORTRANGE(""https://docs.google.com/spreadsheets/d/11923uPwbBZFjjGgGUA6NLw09EwE0CqkOc4q9oUmW1yo/edit?usp=sharing"",""เชียงราย!L493"")"),0)</f>
        <v>0</v>
      </c>
      <c r="M598" s="164"/>
      <c r="N598" s="168">
        <f ca="1">IFERROR(__xludf.DUMMYFUNCTION("IMPORTRANGE(""https://docs.google.com/spreadsheets/d/11923uPwbBZFjjGgGUA6NLw09EwE0CqkOc4q9oUmW1yo/edit?usp=sharing"",""เชียงราย!M493"")"),0)</f>
        <v>0</v>
      </c>
      <c r="O598" s="168">
        <f t="shared" ca="1" si="126"/>
        <v>0</v>
      </c>
      <c r="P598" s="168"/>
    </row>
    <row r="599" spans="1:16" ht="21.75" customHeight="1" x14ac:dyDescent="0.3">
      <c r="A599" s="156"/>
      <c r="B599" s="157"/>
      <c r="C599" s="157"/>
      <c r="D599" s="166"/>
      <c r="E599" s="159"/>
      <c r="F599" s="159" t="s">
        <v>40</v>
      </c>
      <c r="G599" s="160" t="s">
        <v>41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IFERROR(__xludf.DUMMYFUNCTION("IMPORTRANGE(""https://docs.google.com/spreadsheets/d/11923uPwbBZFjjGgGUA6NLw09EwE0CqkOc4q9oUmW1yo/edit?usp=sharing"",""เชียงราย!L494"")"),15500)</f>
        <v>15500</v>
      </c>
      <c r="M599" s="165"/>
      <c r="N599" s="168">
        <f ca="1">IFERROR(__xludf.DUMMYFUNCTION("IMPORTRANGE(""https://docs.google.com/spreadsheets/d/11923uPwbBZFjjGgGUA6NLw09EwE0CqkOc4q9oUmW1yo/edit?usp=sharing"",""เชียงราย!M494"")"),2600)</f>
        <v>2600</v>
      </c>
      <c r="O599" s="168">
        <f t="shared" ca="1" si="126"/>
        <v>16.774193548387096</v>
      </c>
      <c r="P599" s="168"/>
    </row>
    <row r="600" spans="1:16" ht="21.75" customHeight="1" x14ac:dyDescent="0.3">
      <c r="A600" s="156"/>
      <c r="B600" s="157"/>
      <c r="C600" s="157"/>
      <c r="D600" s="166"/>
      <c r="E600" s="159"/>
      <c r="F600" s="159"/>
      <c r="G600" s="372" t="s">
        <v>129</v>
      </c>
      <c r="H600" s="161" t="s">
        <v>12</v>
      </c>
      <c r="I600" s="162"/>
      <c r="J600" s="162"/>
      <c r="K600" s="163"/>
      <c r="L600" s="168">
        <f ca="1">IFERROR(__xludf.DUMMYFUNCTION("IMPORTRANGE(""https://docs.google.com/spreadsheets/d/11923uPwbBZFjjGgGUA6NLw09EwE0CqkOc4q9oUmW1yo/edit?usp=sharing"",""เชียงราย!L495"")"),0)</f>
        <v>0</v>
      </c>
      <c r="M600" s="168"/>
      <c r="N600" s="168">
        <f ca="1">IFERROR(__xludf.DUMMYFUNCTION("IMPORTRANGE(""https://docs.google.com/spreadsheets/d/11923uPwbBZFjjGgGUA6NLw09EwE0CqkOc4q9oUmW1yo/edit?usp=sharing"",""เชียงราย!M495"")"),0)</f>
        <v>0</v>
      </c>
      <c r="O600" s="168">
        <f t="shared" ca="1" si="126"/>
        <v>0</v>
      </c>
      <c r="P600" s="168"/>
    </row>
    <row r="601" spans="1:16" ht="21.75" customHeight="1" x14ac:dyDescent="0.3">
      <c r="A601" s="156"/>
      <c r="B601" s="157"/>
      <c r="C601" s="157"/>
      <c r="D601" s="166"/>
      <c r="E601" s="159"/>
      <c r="F601" s="159"/>
      <c r="G601" s="372" t="s">
        <v>130</v>
      </c>
      <c r="H601" s="161" t="s">
        <v>12</v>
      </c>
      <c r="I601" s="162"/>
      <c r="J601" s="162"/>
      <c r="K601" s="163"/>
      <c r="L601" s="168">
        <f ca="1">IFERROR(__xludf.DUMMYFUNCTION("IMPORTRANGE(""https://docs.google.com/spreadsheets/d/11923uPwbBZFjjGgGUA6NLw09EwE0CqkOc4q9oUmW1yo/edit?usp=sharing"",""เชียงราย!L496"")"),15500)</f>
        <v>15500</v>
      </c>
      <c r="M601" s="168"/>
      <c r="N601" s="168">
        <f ca="1">IFERROR(__xludf.DUMMYFUNCTION("IMPORTRANGE(""https://docs.google.com/spreadsheets/d/11923uPwbBZFjjGgGUA6NLw09EwE0CqkOc4q9oUmW1yo/edit?usp=sharing"",""เชียงราย!M496"")"),2600)</f>
        <v>2600</v>
      </c>
      <c r="O601" s="168">
        <f t="shared" ca="1" si="126"/>
        <v>16.774193548387096</v>
      </c>
      <c r="P601" s="168"/>
    </row>
    <row r="602" spans="1:16" ht="21.75" customHeight="1" x14ac:dyDescent="0.3">
      <c r="A602" s="373"/>
      <c r="B602" s="374"/>
      <c r="C602" s="157"/>
      <c r="D602" s="375"/>
      <c r="E602" s="159"/>
      <c r="F602" s="159"/>
      <c r="G602" s="376" t="s">
        <v>131</v>
      </c>
      <c r="H602" s="161" t="s">
        <v>12</v>
      </c>
      <c r="I602" s="187"/>
      <c r="J602" s="187"/>
      <c r="K602" s="223"/>
      <c r="L602" s="168"/>
      <c r="M602" s="168"/>
      <c r="N602" s="167">
        <f ca="1">IFERROR(__xludf.DUMMYFUNCTION("IMPORTRANGE(""https://docs.google.com/spreadsheets/d/11923uPwbBZFjjGgGUA6NLw09EwE0CqkOc4q9oUmW1yo/edit?usp=sharing"",""เชียงราย!M497"")"),0)</f>
        <v>0</v>
      </c>
      <c r="O602" s="168"/>
      <c r="P602" s="168"/>
    </row>
    <row r="603" spans="1:16" ht="21.75" customHeight="1" x14ac:dyDescent="0.3">
      <c r="A603" s="373"/>
      <c r="B603" s="374"/>
      <c r="C603" s="157"/>
      <c r="D603" s="375"/>
      <c r="E603" s="159"/>
      <c r="F603" s="159"/>
      <c r="G603" s="376" t="s">
        <v>132</v>
      </c>
      <c r="H603" s="161" t="s">
        <v>12</v>
      </c>
      <c r="I603" s="187"/>
      <c r="J603" s="187"/>
      <c r="K603" s="223"/>
      <c r="L603" s="168"/>
      <c r="M603" s="168"/>
      <c r="N603" s="167">
        <f ca="1">IFERROR(__xludf.DUMMYFUNCTION("IMPORTRANGE(""https://docs.google.com/spreadsheets/d/11923uPwbBZFjjGgGUA6NLw09EwE0CqkOc4q9oUmW1yo/edit?usp=sharing"",""เชียงราย!M498"")"),0)</f>
        <v>0</v>
      </c>
      <c r="O603" s="168"/>
      <c r="P603" s="168"/>
    </row>
    <row r="604" spans="1:16" ht="21.75" customHeight="1" x14ac:dyDescent="0.3">
      <c r="A604" s="373"/>
      <c r="B604" s="374"/>
      <c r="C604" s="157"/>
      <c r="D604" s="375"/>
      <c r="E604" s="159"/>
      <c r="F604" s="159"/>
      <c r="G604" s="376" t="s">
        <v>133</v>
      </c>
      <c r="H604" s="161" t="s">
        <v>12</v>
      </c>
      <c r="I604" s="187"/>
      <c r="J604" s="187"/>
      <c r="K604" s="223"/>
      <c r="L604" s="168"/>
      <c r="M604" s="168"/>
      <c r="N604" s="377">
        <f ca="1">IFERROR(__xludf.DUMMYFUNCTION("IMPORTRANGE(""https://docs.google.com/spreadsheets/d/11923uPwbBZFjjGgGUA6NLw09EwE0CqkOc4q9oUmW1yo/edit?usp=sharing"",""เชียงราย!M499"")"),0)</f>
        <v>0</v>
      </c>
      <c r="O604" s="168"/>
      <c r="P604" s="168"/>
    </row>
    <row r="605" spans="1:16" ht="21.75" customHeight="1" x14ac:dyDescent="0.3">
      <c r="A605" s="373"/>
      <c r="B605" s="374"/>
      <c r="C605" s="157"/>
      <c r="D605" s="375"/>
      <c r="E605" s="159"/>
      <c r="F605" s="159"/>
      <c r="G605" s="376" t="s">
        <v>134</v>
      </c>
      <c r="H605" s="161" t="s">
        <v>12</v>
      </c>
      <c r="I605" s="187"/>
      <c r="J605" s="187"/>
      <c r="K605" s="223"/>
      <c r="L605" s="168"/>
      <c r="M605" s="168"/>
      <c r="N605" s="377">
        <f ca="1">IFERROR(__xludf.DUMMYFUNCTION("IMPORTRANGE(""https://docs.google.com/spreadsheets/d/11923uPwbBZFjjGgGUA6NLw09EwE0CqkOc4q9oUmW1yo/edit?usp=sharing"",""เชียงราย!M500"")"),2600)</f>
        <v>2600</v>
      </c>
      <c r="O605" s="168"/>
      <c r="P605" s="168"/>
    </row>
    <row r="606" spans="1:16" ht="21.75" customHeight="1" x14ac:dyDescent="0.3">
      <c r="A606" s="175"/>
      <c r="B606" s="176"/>
      <c r="C606" s="157" t="s">
        <v>16</v>
      </c>
      <c r="D606" s="177" t="s">
        <v>44</v>
      </c>
      <c r="E606" s="178"/>
      <c r="F606" s="178"/>
      <c r="G606" s="179"/>
      <c r="H606" s="180"/>
      <c r="I606" s="162"/>
      <c r="J606" s="162"/>
      <c r="K606" s="163"/>
      <c r="L606" s="181"/>
      <c r="M606" s="181"/>
      <c r="N606" s="181"/>
      <c r="O606" s="181"/>
      <c r="P606" s="181"/>
    </row>
    <row r="607" spans="1:16" ht="21.75" customHeight="1" x14ac:dyDescent="0.3">
      <c r="A607" s="175"/>
      <c r="B607" s="176"/>
      <c r="C607" s="176"/>
      <c r="D607" s="182">
        <v>1</v>
      </c>
      <c r="E607" s="183" t="s">
        <v>45</v>
      </c>
      <c r="F607" s="184"/>
      <c r="G607" s="185"/>
      <c r="H607" s="186"/>
      <c r="I607" s="187"/>
      <c r="J607" s="197">
        <f ca="1">IFERROR(__xludf.DUMMYFUNCTION("IMPORTRANGE(""https://docs.google.com/spreadsheets/d/11923uPwbBZFjjGgGUA6NLw09EwE0CqkOc4q9oUmW1yo/edit?usp=sharing"",""เชียงราย!J502"")"),0)</f>
        <v>0</v>
      </c>
      <c r="K607" s="163"/>
      <c r="L607" s="181"/>
      <c r="M607" s="181"/>
      <c r="N607" s="181"/>
      <c r="O607" s="181"/>
      <c r="P607" s="181"/>
    </row>
    <row r="608" spans="1:16" ht="21.75" customHeight="1" x14ac:dyDescent="0.3">
      <c r="A608" s="175"/>
      <c r="B608" s="176"/>
      <c r="C608" s="176"/>
      <c r="D608" s="189">
        <v>2</v>
      </c>
      <c r="E608" s="190" t="s">
        <v>46</v>
      </c>
      <c r="F608" s="191"/>
      <c r="G608" s="192"/>
      <c r="H608" s="186"/>
      <c r="I608" s="187"/>
      <c r="J608" s="197">
        <f ca="1">IFERROR(__xludf.DUMMYFUNCTION("IMPORTRANGE(""https://docs.google.com/spreadsheets/d/11923uPwbBZFjjGgGUA6NLw09EwE0CqkOc4q9oUmW1yo/edit?usp=sharing"",""เชียงราย!J503"")"),1)</f>
        <v>1</v>
      </c>
      <c r="K608" s="163"/>
      <c r="L608" s="181" t="s">
        <v>40</v>
      </c>
      <c r="M608" s="181"/>
      <c r="N608" s="181" t="s">
        <v>40</v>
      </c>
      <c r="O608" s="181"/>
      <c r="P608" s="181"/>
    </row>
    <row r="609" spans="1:16" ht="21.75" hidden="1" customHeight="1" x14ac:dyDescent="0.3">
      <c r="A609" s="373"/>
      <c r="B609" s="374"/>
      <c r="C609" s="374"/>
      <c r="D609" s="486"/>
      <c r="E609" s="487" t="s">
        <v>47</v>
      </c>
      <c r="F609" s="488"/>
      <c r="G609" s="379"/>
      <c r="H609" s="186"/>
      <c r="I609" s="187"/>
      <c r="J609" s="187">
        <f ca="1">IFERROR(__xludf.DUMMYFUNCTION("IMPORTRANGE(""https://docs.google.com/spreadsheets/d/11923uPwbBZFjjGgGUA6NLw09EwE0CqkOc4q9oUmW1yo/edit?usp=sharing"",""เชียงราย!J166"")"),0)</f>
        <v>0</v>
      </c>
      <c r="K609" s="223"/>
      <c r="L609" s="168"/>
      <c r="M609" s="168"/>
      <c r="N609" s="168"/>
      <c r="O609" s="168"/>
      <c r="P609" s="168"/>
    </row>
    <row r="610" spans="1:16" ht="21.75" hidden="1" customHeight="1" x14ac:dyDescent="0.3">
      <c r="A610" s="373"/>
      <c r="B610" s="374"/>
      <c r="C610" s="374"/>
      <c r="D610" s="486"/>
      <c r="E610" s="487" t="s">
        <v>48</v>
      </c>
      <c r="F610" s="488"/>
      <c r="G610" s="379"/>
      <c r="H610" s="186"/>
      <c r="I610" s="187"/>
      <c r="J610" s="187">
        <f ca="1">IFERROR(__xludf.DUMMYFUNCTION("IMPORTRANGE(""https://docs.google.com/spreadsheets/d/11923uPwbBZFjjGgGUA6NLw09EwE0CqkOc4q9oUmW1yo/edit?usp=sharing"",""เชียงราย!J166"")"),0)</f>
        <v>0</v>
      </c>
      <c r="K610" s="223"/>
      <c r="L610" s="168"/>
      <c r="M610" s="168"/>
      <c r="N610" s="168"/>
      <c r="O610" s="168"/>
      <c r="P610" s="168"/>
    </row>
    <row r="611" spans="1:16" ht="21.75" customHeight="1" x14ac:dyDescent="0.3">
      <c r="A611" s="175"/>
      <c r="B611" s="176"/>
      <c r="C611" s="176"/>
      <c r="D611" s="193"/>
      <c r="E611" s="195"/>
      <c r="F611" s="195" t="s">
        <v>219</v>
      </c>
      <c r="G611" s="196"/>
      <c r="H611" s="180" t="s">
        <v>122</v>
      </c>
      <c r="I611" s="187">
        <f ca="1">IFERROR(__xludf.DUMMYFUNCTION("IMPORTRANGE(""https://docs.google.com/spreadsheets/d/11923uPwbBZFjjGgGUA6NLw09EwE0CqkOc4q9oUmW1yo/edit?usp=sharing"",""เชียงราย!I506"")"),220)</f>
        <v>220</v>
      </c>
      <c r="J611" s="162">
        <f ca="1">IFERROR(__xludf.DUMMYFUNCTION("IMPORTRANGE(""https://docs.google.com/spreadsheets/d/11923uPwbBZFjjGgGUA6NLw09EwE0CqkOc4q9oUmW1yo/edit?usp=sharing"",""เชียงราย!J506"")"),0)</f>
        <v>0</v>
      </c>
      <c r="K611" s="163">
        <f t="shared" ref="K611:K619" ca="1" si="127">IF(I$611&gt;0,J611*100/I$611,0)</f>
        <v>0</v>
      </c>
      <c r="L611" s="181"/>
      <c r="M611" s="181"/>
      <c r="N611" s="181"/>
      <c r="O611" s="181"/>
      <c r="P611" s="181"/>
    </row>
    <row r="612" spans="1:16" ht="21.75" customHeight="1" x14ac:dyDescent="0.3">
      <c r="A612" s="175"/>
      <c r="B612" s="176"/>
      <c r="C612" s="176"/>
      <c r="D612" s="193"/>
      <c r="E612" s="198"/>
      <c r="F612" s="195"/>
      <c r="G612" s="225" t="s">
        <v>220</v>
      </c>
      <c r="H612" s="180" t="s">
        <v>122</v>
      </c>
      <c r="I612" s="203">
        <f ca="1">IFERROR(__xludf.DUMMYFUNCTION("IMPORTRANGE(""https://docs.google.com/spreadsheets/d/11923uPwbBZFjjGgGUA6NLw09EwE0CqkOc4q9oUmW1yo/edit?usp=sharing"",""เชียงราย!I507"")"),0)</f>
        <v>0</v>
      </c>
      <c r="J612" s="197">
        <f ca="1">IFERROR(__xludf.DUMMYFUNCTION("IMPORTRANGE(""https://docs.google.com/spreadsheets/d/11923uPwbBZFjjGgGUA6NLw09EwE0CqkOc4q9oUmW1yo/edit?usp=sharing"",""เชียงราย!J507"")"),0)</f>
        <v>0</v>
      </c>
      <c r="K612" s="163">
        <f t="shared" ca="1" si="127"/>
        <v>0</v>
      </c>
      <c r="L612" s="181"/>
      <c r="M612" s="181"/>
      <c r="N612" s="181"/>
      <c r="O612" s="181"/>
      <c r="P612" s="181"/>
    </row>
    <row r="613" spans="1:16" ht="21.75" customHeight="1" x14ac:dyDescent="0.3">
      <c r="A613" s="175"/>
      <c r="B613" s="176"/>
      <c r="C613" s="176"/>
      <c r="D613" s="193"/>
      <c r="E613" s="198"/>
      <c r="F613" s="195"/>
      <c r="G613" s="225" t="s">
        <v>221</v>
      </c>
      <c r="H613" s="180" t="s">
        <v>122</v>
      </c>
      <c r="I613" s="203">
        <f ca="1">IFERROR(__xludf.DUMMYFUNCTION("IMPORTRANGE(""https://docs.google.com/spreadsheets/d/11923uPwbBZFjjGgGUA6NLw09EwE0CqkOc4q9oUmW1yo/edit?usp=sharing"",""เชียงราย!I508"")"),0)</f>
        <v>0</v>
      </c>
      <c r="J613" s="197">
        <f ca="1">IFERROR(__xludf.DUMMYFUNCTION("IMPORTRANGE(""https://docs.google.com/spreadsheets/d/11923uPwbBZFjjGgGUA6NLw09EwE0CqkOc4q9oUmW1yo/edit?usp=sharing"",""เชียงราย!J508"")"),0)</f>
        <v>0</v>
      </c>
      <c r="K613" s="163">
        <f t="shared" ca="1" si="127"/>
        <v>0</v>
      </c>
      <c r="L613" s="181"/>
      <c r="M613" s="181"/>
      <c r="N613" s="181"/>
      <c r="O613" s="181"/>
      <c r="P613" s="181"/>
    </row>
    <row r="614" spans="1:16" ht="21.75" customHeight="1" x14ac:dyDescent="0.3">
      <c r="A614" s="175"/>
      <c r="B614" s="176"/>
      <c r="C614" s="176"/>
      <c r="D614" s="193"/>
      <c r="E614" s="198"/>
      <c r="F614" s="195"/>
      <c r="G614" s="225" t="s">
        <v>222</v>
      </c>
      <c r="H614" s="180" t="s">
        <v>122</v>
      </c>
      <c r="I614" s="203">
        <f ca="1">IFERROR(__xludf.DUMMYFUNCTION("IMPORTRANGE(""https://docs.google.com/spreadsheets/d/11923uPwbBZFjjGgGUA6NLw09EwE0CqkOc4q9oUmW1yo/edit?usp=sharing"",""เชียงราย!I509"")"),0)</f>
        <v>0</v>
      </c>
      <c r="J614" s="197">
        <f ca="1">IFERROR(__xludf.DUMMYFUNCTION("IMPORTRANGE(""https://docs.google.com/spreadsheets/d/11923uPwbBZFjjGgGUA6NLw09EwE0CqkOc4q9oUmW1yo/edit?usp=sharing"",""เชียงราย!J509"")"),0)</f>
        <v>0</v>
      </c>
      <c r="K614" s="163">
        <f t="shared" ca="1" si="127"/>
        <v>0</v>
      </c>
      <c r="L614" s="181"/>
      <c r="M614" s="181"/>
      <c r="N614" s="181"/>
      <c r="O614" s="181"/>
      <c r="P614" s="181"/>
    </row>
    <row r="615" spans="1:16" ht="21.75" customHeight="1" x14ac:dyDescent="0.3">
      <c r="A615" s="175"/>
      <c r="B615" s="176"/>
      <c r="C615" s="176"/>
      <c r="D615" s="193"/>
      <c r="E615" s="198"/>
      <c r="F615" s="195"/>
      <c r="G615" s="225" t="s">
        <v>223</v>
      </c>
      <c r="H615" s="180" t="s">
        <v>122</v>
      </c>
      <c r="I615" s="203">
        <f ca="1">IFERROR(__xludf.DUMMYFUNCTION("IMPORTRANGE(""https://docs.google.com/spreadsheets/d/11923uPwbBZFjjGgGUA6NLw09EwE0CqkOc4q9oUmW1yo/edit?usp=sharing"",""เชียงราย!I510"")"),0)</f>
        <v>0</v>
      </c>
      <c r="J615" s="197">
        <f ca="1">IFERROR(__xludf.DUMMYFUNCTION("IMPORTRANGE(""https://docs.google.com/spreadsheets/d/11923uPwbBZFjjGgGUA6NLw09EwE0CqkOc4q9oUmW1yo/edit?usp=sharing"",""เชียงราย!J510"")"),0)</f>
        <v>0</v>
      </c>
      <c r="K615" s="163">
        <f t="shared" ca="1" si="127"/>
        <v>0</v>
      </c>
      <c r="L615" s="181"/>
      <c r="M615" s="181"/>
      <c r="N615" s="181"/>
      <c r="O615" s="181"/>
      <c r="P615" s="181"/>
    </row>
    <row r="616" spans="1:16" ht="21.75" customHeight="1" x14ac:dyDescent="0.3">
      <c r="A616" s="175"/>
      <c r="B616" s="176"/>
      <c r="C616" s="176"/>
      <c r="D616" s="193"/>
      <c r="E616" s="198"/>
      <c r="F616" s="195"/>
      <c r="G616" s="194" t="s">
        <v>224</v>
      </c>
      <c r="H616" s="180" t="s">
        <v>122</v>
      </c>
      <c r="I616" s="203">
        <f ca="1">IFERROR(__xludf.DUMMYFUNCTION("IMPORTRANGE(""https://docs.google.com/spreadsheets/d/11923uPwbBZFjjGgGUA6NLw09EwE0CqkOc4q9oUmW1yo/edit?usp=sharing"",""เชียงราย!I511"")"),0)</f>
        <v>0</v>
      </c>
      <c r="J616" s="197">
        <f ca="1">IFERROR(__xludf.DUMMYFUNCTION("IMPORTRANGE(""https://docs.google.com/spreadsheets/d/11923uPwbBZFjjGgGUA6NLw09EwE0CqkOc4q9oUmW1yo/edit?usp=sharing"",""เชียงราย!J511"")"),0)</f>
        <v>0</v>
      </c>
      <c r="K616" s="163">
        <f t="shared" ca="1" si="127"/>
        <v>0</v>
      </c>
      <c r="L616" s="181"/>
      <c r="M616" s="181"/>
      <c r="N616" s="181"/>
      <c r="O616" s="181"/>
      <c r="P616" s="181"/>
    </row>
    <row r="617" spans="1:16" ht="21.75" customHeight="1" x14ac:dyDescent="0.3">
      <c r="A617" s="175"/>
      <c r="B617" s="176"/>
      <c r="C617" s="176"/>
      <c r="D617" s="193"/>
      <c r="E617" s="198"/>
      <c r="F617" s="195"/>
      <c r="G617" s="194" t="s">
        <v>225</v>
      </c>
      <c r="H617" s="180" t="s">
        <v>122</v>
      </c>
      <c r="I617" s="187">
        <f ca="1">IFERROR(__xludf.DUMMYFUNCTION("IMPORTRANGE(""https://docs.google.com/spreadsheets/d/11923uPwbBZFjjGgGUA6NLw09EwE0CqkOc4q9oUmW1yo/edit?usp=sharing"",""เชียงราย!I512"")"),0)</f>
        <v>0</v>
      </c>
      <c r="J617" s="187">
        <f ca="1">IFERROR(__xludf.DUMMYFUNCTION("IMPORTRANGE(""https://docs.google.com/spreadsheets/d/11923uPwbBZFjjGgGUA6NLw09EwE0CqkOc4q9oUmW1yo/edit?usp=sharing"",""เชียงราย!J512"")"),0)</f>
        <v>0</v>
      </c>
      <c r="K617" s="163">
        <f t="shared" ca="1" si="127"/>
        <v>0</v>
      </c>
      <c r="L617" s="181"/>
      <c r="M617" s="181"/>
      <c r="N617" s="181"/>
      <c r="O617" s="181"/>
      <c r="P617" s="181"/>
    </row>
    <row r="618" spans="1:16" ht="21.75" customHeight="1" x14ac:dyDescent="0.3">
      <c r="A618" s="175"/>
      <c r="B618" s="176"/>
      <c r="C618" s="176"/>
      <c r="D618" s="193"/>
      <c r="E618" s="198"/>
      <c r="F618" s="195"/>
      <c r="G618" s="489" t="s">
        <v>226</v>
      </c>
      <c r="H618" s="180" t="s">
        <v>122</v>
      </c>
      <c r="I618" s="203">
        <f ca="1">IFERROR(__xludf.DUMMYFUNCTION("IMPORTRANGE(""https://docs.google.com/spreadsheets/d/11923uPwbBZFjjGgGUA6NLw09EwE0CqkOc4q9oUmW1yo/edit?usp=sharing"",""เชียงราย!I513"")"),0)</f>
        <v>0</v>
      </c>
      <c r="J618" s="188">
        <f ca="1">IFERROR(__xludf.DUMMYFUNCTION("IMPORTRANGE(""https://docs.google.com/spreadsheets/d/11923uPwbBZFjjGgGUA6NLw09EwE0CqkOc4q9oUmW1yo/edit?usp=sharing"",""เชียงราย!J513"")"),0)</f>
        <v>0</v>
      </c>
      <c r="K618" s="163">
        <f t="shared" ca="1" si="127"/>
        <v>0</v>
      </c>
      <c r="L618" s="181"/>
      <c r="M618" s="181"/>
      <c r="N618" s="181"/>
      <c r="O618" s="181"/>
      <c r="P618" s="181"/>
    </row>
    <row r="619" spans="1:16" ht="21.75" customHeight="1" x14ac:dyDescent="0.3">
      <c r="A619" s="175"/>
      <c r="B619" s="176"/>
      <c r="C619" s="176"/>
      <c r="D619" s="193"/>
      <c r="E619" s="198"/>
      <c r="F619" s="195"/>
      <c r="G619" s="489" t="s">
        <v>227</v>
      </c>
      <c r="H619" s="180" t="s">
        <v>122</v>
      </c>
      <c r="I619" s="203">
        <f ca="1">IFERROR(__xludf.DUMMYFUNCTION("IMPORTRANGE(""https://docs.google.com/spreadsheets/d/11923uPwbBZFjjGgGUA6NLw09EwE0CqkOc4q9oUmW1yo/edit?usp=sharing"",""เชียงราย!I514"")"),0)</f>
        <v>0</v>
      </c>
      <c r="J619" s="188">
        <f ca="1">IFERROR(__xludf.DUMMYFUNCTION("IMPORTRANGE(""https://docs.google.com/spreadsheets/d/11923uPwbBZFjjGgGUA6NLw09EwE0CqkOc4q9oUmW1yo/edit?usp=sharing"",""เชียงราย!J514"")"),0)</f>
        <v>0</v>
      </c>
      <c r="K619" s="163">
        <f t="shared" ca="1" si="127"/>
        <v>0</v>
      </c>
      <c r="L619" s="181"/>
      <c r="M619" s="181"/>
      <c r="N619" s="181"/>
      <c r="O619" s="181"/>
      <c r="P619" s="181"/>
    </row>
    <row r="620" spans="1:16" ht="21.75" customHeight="1" x14ac:dyDescent="0.3">
      <c r="A620" s="175"/>
      <c r="B620" s="176"/>
      <c r="C620" s="176"/>
      <c r="D620" s="193"/>
      <c r="E620" s="195"/>
      <c r="F620" s="194" t="s">
        <v>228</v>
      </c>
      <c r="G620" s="196"/>
      <c r="H620" s="180" t="s">
        <v>122</v>
      </c>
      <c r="I620" s="187">
        <f ca="1">IFERROR(__xludf.DUMMYFUNCTION("IMPORTRANGE(""https://docs.google.com/spreadsheets/d/11923uPwbBZFjjGgGUA6NLw09EwE0CqkOc4q9oUmW1yo/edit?usp=sharing"",""เชียงราย!I515"")"),2288)</f>
        <v>2288</v>
      </c>
      <c r="J620" s="202">
        <f ca="1">IFERROR(__xludf.DUMMYFUNCTION("IMPORTRANGE(""https://docs.google.com/spreadsheets/d/11923uPwbBZFjjGgGUA6NLw09EwE0CqkOc4q9oUmW1yo/edit?usp=sharing"",""เชียงราย!J515"")"),0)</f>
        <v>0</v>
      </c>
      <c r="K620" s="163">
        <f t="shared" ref="K620:K626" ca="1" si="128">IF(I$620&gt;0,J620*100/I$620,0)</f>
        <v>0</v>
      </c>
      <c r="L620" s="181"/>
      <c r="M620" s="181"/>
      <c r="N620" s="181"/>
      <c r="O620" s="181"/>
      <c r="P620" s="181"/>
    </row>
    <row r="621" spans="1:16" ht="21.75" customHeight="1" x14ac:dyDescent="0.3">
      <c r="A621" s="175"/>
      <c r="B621" s="176"/>
      <c r="C621" s="176"/>
      <c r="D621" s="193"/>
      <c r="E621" s="198"/>
      <c r="F621" s="195"/>
      <c r="G621" s="225" t="s">
        <v>225</v>
      </c>
      <c r="H621" s="180" t="s">
        <v>122</v>
      </c>
      <c r="I621" s="202">
        <f ca="1">IFERROR(__xludf.DUMMYFUNCTION("IMPORTRANGE(""https://docs.google.com/spreadsheets/d/11923uPwbBZFjjGgGUA6NLw09EwE0CqkOc4q9oUmW1yo/edit?usp=sharing"",""เชียงราย!I516"")"),0)</f>
        <v>0</v>
      </c>
      <c r="J621" s="202">
        <f ca="1">IFERROR(__xludf.DUMMYFUNCTION("IMPORTRANGE(""https://docs.google.com/spreadsheets/d/11923uPwbBZFjjGgGUA6NLw09EwE0CqkOc4q9oUmW1yo/edit?usp=sharing"",""เชียงราย!J516"")"),0)</f>
        <v>0</v>
      </c>
      <c r="K621" s="163">
        <f t="shared" ca="1" si="128"/>
        <v>0</v>
      </c>
      <c r="L621" s="181"/>
      <c r="M621" s="181"/>
      <c r="N621" s="181"/>
      <c r="O621" s="181"/>
      <c r="P621" s="181"/>
    </row>
    <row r="622" spans="1:16" ht="21.75" customHeight="1" x14ac:dyDescent="0.3">
      <c r="A622" s="175"/>
      <c r="B622" s="176"/>
      <c r="C622" s="176"/>
      <c r="D622" s="193"/>
      <c r="E622" s="198"/>
      <c r="F622" s="195"/>
      <c r="G622" s="489" t="s">
        <v>226</v>
      </c>
      <c r="H622" s="180" t="s">
        <v>122</v>
      </c>
      <c r="I622" s="203">
        <f ca="1">IFERROR(__xludf.DUMMYFUNCTION("IMPORTRANGE(""https://docs.google.com/spreadsheets/d/11923uPwbBZFjjGgGUA6NLw09EwE0CqkOc4q9oUmW1yo/edit?usp=sharing"",""เชียงราย!I517"")"),0)</f>
        <v>0</v>
      </c>
      <c r="J622" s="188">
        <f ca="1">IFERROR(__xludf.DUMMYFUNCTION("IMPORTRANGE(""https://docs.google.com/spreadsheets/d/11923uPwbBZFjjGgGUA6NLw09EwE0CqkOc4q9oUmW1yo/edit?usp=sharing"",""เชียงราย!J517"")"),0)</f>
        <v>0</v>
      </c>
      <c r="K622" s="163">
        <f t="shared" ca="1" si="128"/>
        <v>0</v>
      </c>
      <c r="L622" s="181"/>
      <c r="M622" s="181"/>
      <c r="N622" s="181"/>
      <c r="O622" s="181"/>
      <c r="P622" s="181"/>
    </row>
    <row r="623" spans="1:16" ht="21.75" customHeight="1" x14ac:dyDescent="0.3">
      <c r="A623" s="175"/>
      <c r="B623" s="176"/>
      <c r="C623" s="176"/>
      <c r="D623" s="193"/>
      <c r="E623" s="198"/>
      <c r="F623" s="195"/>
      <c r="G623" s="489" t="s">
        <v>227</v>
      </c>
      <c r="H623" s="180" t="s">
        <v>122</v>
      </c>
      <c r="I623" s="203">
        <f ca="1">IFERROR(__xludf.DUMMYFUNCTION("IMPORTRANGE(""https://docs.google.com/spreadsheets/d/11923uPwbBZFjjGgGUA6NLw09EwE0CqkOc4q9oUmW1yo/edit?usp=sharing"",""เชียงราย!I518"")"),0)</f>
        <v>0</v>
      </c>
      <c r="J623" s="188">
        <f ca="1">IFERROR(__xludf.DUMMYFUNCTION("IMPORTRANGE(""https://docs.google.com/spreadsheets/d/11923uPwbBZFjjGgGUA6NLw09EwE0CqkOc4q9oUmW1yo/edit?usp=sharing"",""เชียงราย!J518"")"),0)</f>
        <v>0</v>
      </c>
      <c r="K623" s="163">
        <f t="shared" ca="1" si="128"/>
        <v>0</v>
      </c>
      <c r="L623" s="181"/>
      <c r="M623" s="181"/>
      <c r="N623" s="181"/>
      <c r="O623" s="181"/>
      <c r="P623" s="181"/>
    </row>
    <row r="624" spans="1:16" ht="21.75" customHeight="1" x14ac:dyDescent="0.3">
      <c r="A624" s="175"/>
      <c r="B624" s="176"/>
      <c r="C624" s="176"/>
      <c r="D624" s="193"/>
      <c r="E624" s="198"/>
      <c r="F624" s="195"/>
      <c r="G624" s="225" t="s">
        <v>229</v>
      </c>
      <c r="H624" s="180" t="s">
        <v>122</v>
      </c>
      <c r="I624" s="187">
        <f ca="1">IFERROR(__xludf.DUMMYFUNCTION("IMPORTRANGE(""https://docs.google.com/spreadsheets/d/11923uPwbBZFjjGgGUA6NLw09EwE0CqkOc4q9oUmW1yo/edit?usp=sharing"",""เชียงราย!I519"")"),0)</f>
        <v>0</v>
      </c>
      <c r="J624" s="187">
        <f ca="1">IFERROR(__xludf.DUMMYFUNCTION("IMPORTRANGE(""https://docs.google.com/spreadsheets/d/11923uPwbBZFjjGgGUA6NLw09EwE0CqkOc4q9oUmW1yo/edit?usp=sharing"",""เชียงราย!J519"")"),0)</f>
        <v>0</v>
      </c>
      <c r="K624" s="163">
        <f t="shared" ca="1" si="128"/>
        <v>0</v>
      </c>
      <c r="L624" s="181"/>
      <c r="M624" s="181"/>
      <c r="N624" s="181"/>
      <c r="O624" s="181"/>
      <c r="P624" s="181"/>
    </row>
    <row r="625" spans="1:16" ht="21.75" customHeight="1" x14ac:dyDescent="0.3">
      <c r="A625" s="175"/>
      <c r="B625" s="176"/>
      <c r="C625" s="176"/>
      <c r="D625" s="193"/>
      <c r="E625" s="198"/>
      <c r="F625" s="195"/>
      <c r="G625" s="489" t="s">
        <v>230</v>
      </c>
      <c r="H625" s="180" t="s">
        <v>122</v>
      </c>
      <c r="I625" s="203">
        <f ca="1">IFERROR(__xludf.DUMMYFUNCTION("IMPORTRANGE(""https://docs.google.com/spreadsheets/d/11923uPwbBZFjjGgGUA6NLw09EwE0CqkOc4q9oUmW1yo/edit?usp=sharing"",""เชียงราย!I520"")"),0)</f>
        <v>0</v>
      </c>
      <c r="J625" s="188">
        <f ca="1">IFERROR(__xludf.DUMMYFUNCTION("IMPORTRANGE(""https://docs.google.com/spreadsheets/d/11923uPwbBZFjjGgGUA6NLw09EwE0CqkOc4q9oUmW1yo/edit?usp=sharing"",""เชียงราย!J520"")"),0)</f>
        <v>0</v>
      </c>
      <c r="K625" s="163">
        <f t="shared" ca="1" si="128"/>
        <v>0</v>
      </c>
      <c r="L625" s="181"/>
      <c r="M625" s="181"/>
      <c r="N625" s="181"/>
      <c r="O625" s="181"/>
      <c r="P625" s="181"/>
    </row>
    <row r="626" spans="1:16" ht="21.75" customHeight="1" x14ac:dyDescent="0.3">
      <c r="A626" s="175"/>
      <c r="B626" s="176"/>
      <c r="C626" s="176"/>
      <c r="D626" s="193"/>
      <c r="E626" s="198"/>
      <c r="F626" s="195"/>
      <c r="G626" s="489" t="s">
        <v>231</v>
      </c>
      <c r="H626" s="180" t="s">
        <v>122</v>
      </c>
      <c r="I626" s="203">
        <f ca="1">IFERROR(__xludf.DUMMYFUNCTION("IMPORTRANGE(""https://docs.google.com/spreadsheets/d/11923uPwbBZFjjGgGUA6NLw09EwE0CqkOc4q9oUmW1yo/edit?usp=sharing"",""เชียงราย!I521"")"),0)</f>
        <v>0</v>
      </c>
      <c r="J626" s="188">
        <f ca="1">IFERROR(__xludf.DUMMYFUNCTION("IMPORTRANGE(""https://docs.google.com/spreadsheets/d/11923uPwbBZFjjGgGUA6NLw09EwE0CqkOc4q9oUmW1yo/edit?usp=sharing"",""เชียงราย!J521"")"),0)</f>
        <v>0</v>
      </c>
      <c r="K626" s="163">
        <f t="shared" ca="1" si="128"/>
        <v>0</v>
      </c>
      <c r="L626" s="181"/>
      <c r="M626" s="181"/>
      <c r="N626" s="181"/>
      <c r="O626" s="181"/>
      <c r="P626" s="181"/>
    </row>
    <row r="627" spans="1:16" ht="21.75" customHeight="1" x14ac:dyDescent="0.3">
      <c r="A627" s="490" t="s">
        <v>232</v>
      </c>
      <c r="B627" s="491"/>
      <c r="C627" s="491"/>
      <c r="D627" s="491"/>
      <c r="E627" s="491"/>
      <c r="F627" s="491"/>
      <c r="G627" s="492"/>
      <c r="H627" s="493"/>
      <c r="I627" s="494"/>
      <c r="J627" s="494"/>
      <c r="K627" s="495"/>
      <c r="L627" s="495"/>
      <c r="M627" s="495"/>
      <c r="N627" s="495"/>
      <c r="O627" s="496"/>
      <c r="P627" s="496"/>
    </row>
    <row r="628" spans="1:16" ht="21.75" customHeight="1" x14ac:dyDescent="0.3">
      <c r="A628" s="476"/>
      <c r="B628" s="497" t="s">
        <v>233</v>
      </c>
      <c r="C628" s="157"/>
      <c r="D628" s="166"/>
      <c r="E628" s="159"/>
      <c r="F628" s="159"/>
      <c r="G628" s="160"/>
      <c r="H628" s="498" t="s">
        <v>12</v>
      </c>
      <c r="I628" s="339">
        <f ca="1">IFERROR(__xludf.DUMMYFUNCTION("IMPORTRANGE(""https://docs.google.com/spreadsheets/d/11923uPwbBZFjjGgGUA6NLw09EwE0CqkOc4q9oUmW1yo/edit?usp=sharing"",""เชียงราย!I523"")"),7774600)</f>
        <v>7774600</v>
      </c>
      <c r="J628" s="339">
        <f ca="1">IFERROR(__xludf.DUMMYFUNCTION("IMPORTRANGE(""https://docs.google.com/spreadsheets/d/11923uPwbBZFjjGgGUA6NLw09EwE0CqkOc4q9oUmW1yo/edit?usp=sharing"",""เชียงราย!J523"")"),540000)</f>
        <v>540000</v>
      </c>
      <c r="K628" s="340">
        <f t="shared" ref="K628:K635" ca="1" si="129">IF(I628&gt;0,J628*100/I628,0)</f>
        <v>6.9456949553674789</v>
      </c>
      <c r="L628" s="340"/>
      <c r="M628" s="340"/>
      <c r="N628" s="340"/>
      <c r="O628" s="168"/>
      <c r="P628" s="168"/>
    </row>
    <row r="629" spans="1:16" ht="21.75" customHeight="1" x14ac:dyDescent="0.3">
      <c r="A629" s="476"/>
      <c r="B629" s="157"/>
      <c r="C629" s="157"/>
      <c r="D629" s="166"/>
      <c r="E629" s="159"/>
      <c r="F629" s="159"/>
      <c r="G629" s="160"/>
      <c r="H629" s="498" t="s">
        <v>37</v>
      </c>
      <c r="I629" s="339">
        <f ca="1">IFERROR(__xludf.DUMMYFUNCTION("IMPORTRANGE(""https://docs.google.com/spreadsheets/d/11923uPwbBZFjjGgGUA6NLw09EwE0CqkOc4q9oUmW1yo/edit?usp=sharing"",""เชียงราย!I524"")"),325)</f>
        <v>325</v>
      </c>
      <c r="J629" s="339">
        <f ca="1">IFERROR(__xludf.DUMMYFUNCTION("IMPORTRANGE(""https://docs.google.com/spreadsheets/d/11923uPwbBZFjjGgGUA6NLw09EwE0CqkOc4q9oUmW1yo/edit?usp=sharing"",""เชียงราย!J524"")"),19)</f>
        <v>19</v>
      </c>
      <c r="K629" s="340">
        <f t="shared" ca="1" si="129"/>
        <v>5.8461538461538458</v>
      </c>
      <c r="L629" s="340"/>
      <c r="M629" s="340"/>
      <c r="N629" s="340"/>
      <c r="O629" s="168"/>
      <c r="P629" s="168"/>
    </row>
    <row r="630" spans="1:16" ht="21.75" customHeight="1" x14ac:dyDescent="0.3">
      <c r="A630" s="476"/>
      <c r="B630" s="497" t="s">
        <v>234</v>
      </c>
      <c r="C630" s="157"/>
      <c r="D630" s="166"/>
      <c r="E630" s="159"/>
      <c r="F630" s="159"/>
      <c r="G630" s="160"/>
      <c r="H630" s="498" t="s">
        <v>12</v>
      </c>
      <c r="I630" s="339">
        <f ca="1">IFERROR(__xludf.DUMMYFUNCTION("IMPORTRANGE(""https://docs.google.com/spreadsheets/d/11923uPwbBZFjjGgGUA6NLw09EwE0CqkOc4q9oUmW1yo/edit?usp=sharing"",""เชียงราย!I525"")"),6396999.71)</f>
        <v>6396999.71</v>
      </c>
      <c r="J630" s="339">
        <f ca="1">IFERROR(__xludf.DUMMYFUNCTION("IMPORTRANGE(""https://docs.google.com/spreadsheets/d/11923uPwbBZFjjGgGUA6NLw09EwE0CqkOc4q9oUmW1yo/edit?usp=sharing"",""เชียงราย!J525"")"),610871.76)</f>
        <v>610871.76</v>
      </c>
      <c r="K630" s="340">
        <f t="shared" ca="1" si="129"/>
        <v>9.5493479395514935</v>
      </c>
      <c r="L630" s="340"/>
      <c r="M630" s="340"/>
      <c r="N630" s="340"/>
      <c r="O630" s="168"/>
      <c r="P630" s="168"/>
    </row>
    <row r="631" spans="1:16" ht="21.75" customHeight="1" x14ac:dyDescent="0.3">
      <c r="A631" s="476"/>
      <c r="B631" s="157"/>
      <c r="C631" s="157"/>
      <c r="D631" s="166"/>
      <c r="E631" s="159"/>
      <c r="F631" s="159"/>
      <c r="G631" s="160"/>
      <c r="H631" s="498" t="s">
        <v>37</v>
      </c>
      <c r="I631" s="339">
        <f ca="1">IFERROR(__xludf.DUMMYFUNCTION("IMPORTRANGE(""https://docs.google.com/spreadsheets/d/11923uPwbBZFjjGgGUA6NLw09EwE0CqkOc4q9oUmW1yo/edit?usp=sharing"",""เชียงราย!I526"")"),162)</f>
        <v>162</v>
      </c>
      <c r="J631" s="339">
        <f ca="1">IFERROR(__xludf.DUMMYFUNCTION("IMPORTRANGE(""https://docs.google.com/spreadsheets/d/11923uPwbBZFjjGgGUA6NLw09EwE0CqkOc4q9oUmW1yo/edit?usp=sharing"",""เชียงราย!J526"")"),70)</f>
        <v>70</v>
      </c>
      <c r="K631" s="340">
        <f t="shared" ca="1" si="129"/>
        <v>43.209876543209873</v>
      </c>
      <c r="L631" s="340"/>
      <c r="M631" s="340"/>
      <c r="N631" s="340"/>
      <c r="O631" s="168"/>
      <c r="P631" s="168"/>
    </row>
    <row r="632" spans="1:16" ht="21.75" customHeight="1" x14ac:dyDescent="0.3">
      <c r="A632" s="476"/>
      <c r="B632" s="497" t="s">
        <v>235</v>
      </c>
      <c r="C632" s="157"/>
      <c r="D632" s="166"/>
      <c r="E632" s="159"/>
      <c r="F632" s="159"/>
      <c r="G632" s="160"/>
      <c r="H632" s="498" t="s">
        <v>12</v>
      </c>
      <c r="I632" s="339">
        <f ca="1">IFERROR(__xludf.DUMMYFUNCTION("IMPORTRANGE(""https://docs.google.com/spreadsheets/d/11923uPwbBZFjjGgGUA6NLw09EwE0CqkOc4q9oUmW1yo/edit?usp=sharing"",""เชียงราย!I527"")"),742206.51)</f>
        <v>742206.51</v>
      </c>
      <c r="J632" s="339">
        <f ca="1">IFERROR(__xludf.DUMMYFUNCTION("IMPORTRANGE(""https://docs.google.com/spreadsheets/d/11923uPwbBZFjjGgGUA6NLw09EwE0CqkOc4q9oUmW1yo/edit?usp=sharing"",""เชียงราย!J527"")"),0)</f>
        <v>0</v>
      </c>
      <c r="K632" s="340">
        <f t="shared" ca="1" si="129"/>
        <v>0</v>
      </c>
      <c r="L632" s="340"/>
      <c r="M632" s="340"/>
      <c r="N632" s="340"/>
      <c r="O632" s="168"/>
      <c r="P632" s="168"/>
    </row>
    <row r="633" spans="1:16" ht="21.75" customHeight="1" x14ac:dyDescent="0.3">
      <c r="A633" s="476"/>
      <c r="B633" s="497"/>
      <c r="C633" s="157"/>
      <c r="D633" s="166"/>
      <c r="E633" s="159"/>
      <c r="F633" s="159"/>
      <c r="G633" s="160"/>
      <c r="H633" s="498" t="s">
        <v>37</v>
      </c>
      <c r="I633" s="339">
        <f ca="1">IFERROR(__xludf.DUMMYFUNCTION("IMPORTRANGE(""https://docs.google.com/spreadsheets/d/11923uPwbBZFjjGgGUA6NLw09EwE0CqkOc4q9oUmW1yo/edit?usp=sharing"",""เชียงราย!I528"")"),15)</f>
        <v>15</v>
      </c>
      <c r="J633" s="339">
        <f ca="1">IFERROR(__xludf.DUMMYFUNCTION("IMPORTRANGE(""https://docs.google.com/spreadsheets/d/11923uPwbBZFjjGgGUA6NLw09EwE0CqkOc4q9oUmW1yo/edit?usp=sharing"",""เชียงราย!J528"")"),0)</f>
        <v>0</v>
      </c>
      <c r="K633" s="340">
        <f t="shared" ca="1" si="129"/>
        <v>0</v>
      </c>
      <c r="L633" s="340"/>
      <c r="M633" s="340"/>
      <c r="N633" s="340"/>
      <c r="O633" s="168"/>
      <c r="P633" s="168"/>
    </row>
    <row r="634" spans="1:16" ht="21.75" customHeight="1" x14ac:dyDescent="0.3">
      <c r="A634" s="476"/>
      <c r="B634" s="497" t="s">
        <v>236</v>
      </c>
      <c r="C634" s="157"/>
      <c r="D634" s="166"/>
      <c r="E634" s="159"/>
      <c r="F634" s="159"/>
      <c r="G634" s="160"/>
      <c r="H634" s="498" t="s">
        <v>12</v>
      </c>
      <c r="I634" s="339">
        <f ca="1">IFERROR(__xludf.DUMMYFUNCTION("IMPORTRANGE(""https://docs.google.com/spreadsheets/d/11923uPwbBZFjjGgGUA6NLw09EwE0CqkOc4q9oUmW1yo/edit?usp=sharing"",""เชียงราย!I529"")"),4000000)</f>
        <v>4000000</v>
      </c>
      <c r="J634" s="339">
        <f ca="1">IFERROR(__xludf.DUMMYFUNCTION("IMPORTRANGE(""https://docs.google.com/spreadsheets/d/11923uPwbBZFjjGgGUA6NLw09EwE0CqkOc4q9oUmW1yo/edit?usp=sharing"",""เชียงราย!J529"")"),0)</f>
        <v>0</v>
      </c>
      <c r="K634" s="340">
        <f t="shared" ca="1" si="129"/>
        <v>0</v>
      </c>
      <c r="L634" s="340"/>
      <c r="M634" s="340"/>
      <c r="N634" s="340"/>
      <c r="O634" s="168"/>
      <c r="P634" s="168"/>
    </row>
    <row r="635" spans="1:16" ht="21.75" customHeight="1" x14ac:dyDescent="0.3">
      <c r="A635" s="478"/>
      <c r="B635" s="480"/>
      <c r="C635" s="480"/>
      <c r="D635" s="479"/>
      <c r="E635" s="499"/>
      <c r="F635" s="499"/>
      <c r="G635" s="500"/>
      <c r="H635" s="501" t="s">
        <v>37</v>
      </c>
      <c r="I635" s="502">
        <f ca="1">IFERROR(__xludf.DUMMYFUNCTION("IMPORTRANGE(""https://docs.google.com/spreadsheets/d/11923uPwbBZFjjGgGUA6NLw09EwE0CqkOc4q9oUmW1yo/edit?usp=sharing"",""เชียงราย!I530"")"),162)</f>
        <v>162</v>
      </c>
      <c r="J635" s="502">
        <f ca="1">IFERROR(__xludf.DUMMYFUNCTION("IMPORTRANGE(""https://docs.google.com/spreadsheets/d/11923uPwbBZFjjGgGUA6NLw09EwE0CqkOc4q9oUmW1yo/edit?usp=sharing"",""เชียงราย!J530"")"),0)</f>
        <v>0</v>
      </c>
      <c r="K635" s="484">
        <f t="shared" ca="1" si="129"/>
        <v>0</v>
      </c>
      <c r="L635" s="484"/>
      <c r="M635" s="484"/>
      <c r="N635" s="484"/>
      <c r="O635" s="503"/>
      <c r="P635" s="503"/>
    </row>
    <row r="636" spans="1:16" ht="21.75" customHeight="1" x14ac:dyDescent="0.3">
      <c r="A636" s="504"/>
      <c r="B636" s="504"/>
      <c r="C636" s="504"/>
      <c r="D636" s="504"/>
      <c r="E636" s="505" t="s">
        <v>237</v>
      </c>
      <c r="F636" s="505"/>
      <c r="G636" s="505"/>
      <c r="H636" s="506"/>
      <c r="I636" s="506"/>
      <c r="J636" s="506"/>
      <c r="K636" s="507"/>
      <c r="L636" s="508"/>
      <c r="M636" s="508"/>
      <c r="N636" s="508"/>
      <c r="O636" s="509"/>
      <c r="P636" s="509"/>
    </row>
    <row r="637" spans="1:16" ht="21.75" customHeight="1" x14ac:dyDescent="0.3">
      <c r="A637" s="504"/>
      <c r="B637" s="504"/>
      <c r="C637" s="504"/>
      <c r="D637" s="504"/>
      <c r="E637" s="506"/>
      <c r="F637" s="506"/>
      <c r="G637" s="506"/>
      <c r="H637" s="506"/>
      <c r="I637" s="506"/>
      <c r="J637" s="506"/>
      <c r="K637" s="507"/>
      <c r="L637" s="508"/>
      <c r="M637" s="508"/>
      <c r="N637" s="508"/>
      <c r="O637" s="509"/>
      <c r="P637" s="509"/>
    </row>
    <row r="638" spans="1:16" ht="21.75" customHeight="1" x14ac:dyDescent="0.3">
      <c r="A638" s="504"/>
      <c r="B638" s="504"/>
      <c r="C638" s="504"/>
      <c r="D638" s="504"/>
      <c r="E638" s="506"/>
      <c r="F638" s="506"/>
      <c r="G638" s="506"/>
      <c r="H638" s="506"/>
      <c r="I638" s="506"/>
      <c r="J638" s="506"/>
      <c r="K638" s="507"/>
      <c r="L638" s="508"/>
      <c r="M638" s="508"/>
      <c r="N638" s="508"/>
      <c r="O638" s="509"/>
      <c r="P638" s="509"/>
    </row>
    <row r="639" spans="1:16" ht="21.75" customHeight="1" x14ac:dyDescent="0.3">
      <c r="A639" s="504"/>
      <c r="B639" s="504"/>
      <c r="C639" s="504"/>
      <c r="D639" s="504"/>
      <c r="E639" s="506"/>
      <c r="F639" s="506"/>
      <c r="G639" s="506"/>
      <c r="H639" s="506"/>
      <c r="I639" s="506"/>
      <c r="J639" s="506"/>
      <c r="K639" s="507"/>
      <c r="L639" s="508"/>
      <c r="M639" s="508"/>
      <c r="N639" s="508"/>
      <c r="O639" s="509"/>
      <c r="P639" s="509"/>
    </row>
    <row r="640" spans="1:16" ht="21.75" customHeight="1" x14ac:dyDescent="0.3">
      <c r="A640" s="504"/>
      <c r="B640" s="504"/>
      <c r="C640" s="504"/>
      <c r="D640" s="504"/>
      <c r="E640" s="506"/>
      <c r="F640" s="506"/>
      <c r="G640" s="506"/>
      <c r="H640" s="506"/>
      <c r="I640" s="506"/>
      <c r="J640" s="506"/>
      <c r="K640" s="507"/>
      <c r="L640" s="508"/>
      <c r="M640" s="508"/>
      <c r="N640" s="508"/>
      <c r="O640" s="509"/>
      <c r="P640" s="509"/>
    </row>
    <row r="641" spans="1:16" ht="21.75" customHeight="1" x14ac:dyDescent="0.3">
      <c r="A641" s="504"/>
      <c r="B641" s="504"/>
      <c r="C641" s="504"/>
      <c r="D641" s="504"/>
      <c r="E641" s="506"/>
      <c r="F641" s="506"/>
      <c r="G641" s="506"/>
      <c r="H641" s="506"/>
      <c r="I641" s="506"/>
      <c r="J641" s="506"/>
      <c r="K641" s="507"/>
      <c r="L641" s="508"/>
      <c r="M641" s="508"/>
      <c r="N641" s="508"/>
      <c r="O641" s="509"/>
      <c r="P641" s="509"/>
    </row>
    <row r="642" spans="1:16" ht="21.75" customHeight="1" x14ac:dyDescent="0.3">
      <c r="A642" s="504"/>
      <c r="B642" s="504"/>
      <c r="C642" s="504"/>
      <c r="D642" s="504"/>
      <c r="E642" s="506"/>
      <c r="F642" s="506"/>
      <c r="G642" s="506"/>
      <c r="H642" s="506"/>
      <c r="I642" s="506"/>
      <c r="J642" s="506"/>
      <c r="K642" s="507"/>
      <c r="L642" s="508"/>
      <c r="M642" s="508"/>
      <c r="N642" s="508"/>
      <c r="O642" s="509"/>
      <c r="P642" s="509"/>
    </row>
    <row r="643" spans="1:16" ht="21.75" customHeight="1" x14ac:dyDescent="0.3">
      <c r="A643" s="504"/>
      <c r="B643" s="504"/>
      <c r="C643" s="504"/>
      <c r="D643" s="504"/>
      <c r="E643" s="506"/>
      <c r="F643" s="506"/>
      <c r="G643" s="506"/>
      <c r="H643" s="506"/>
      <c r="I643" s="506"/>
      <c r="J643" s="506"/>
      <c r="K643" s="507"/>
      <c r="L643" s="508"/>
      <c r="M643" s="508"/>
      <c r="N643" s="508"/>
      <c r="O643" s="509"/>
      <c r="P643" s="509"/>
    </row>
    <row r="644" spans="1:16" ht="21.75" customHeight="1" x14ac:dyDescent="0.3">
      <c r="A644" s="504"/>
      <c r="B644" s="504"/>
      <c r="C644" s="504"/>
      <c r="D644" s="504"/>
      <c r="E644" s="506"/>
      <c r="F644" s="506"/>
      <c r="G644" s="506"/>
      <c r="H644" s="506"/>
      <c r="I644" s="506"/>
      <c r="J644" s="506"/>
      <c r="K644" s="507"/>
      <c r="L644" s="508"/>
      <c r="M644" s="508"/>
      <c r="N644" s="508"/>
      <c r="O644" s="509"/>
      <c r="P644" s="509"/>
    </row>
    <row r="645" spans="1:16" ht="21.75" customHeight="1" x14ac:dyDescent="0.3">
      <c r="A645" s="504"/>
      <c r="B645" s="504"/>
      <c r="C645" s="504"/>
      <c r="D645" s="504"/>
      <c r="E645" s="506"/>
      <c r="F645" s="506"/>
      <c r="G645" s="506"/>
      <c r="H645" s="506"/>
      <c r="I645" s="506"/>
      <c r="J645" s="506"/>
      <c r="K645" s="507"/>
      <c r="L645" s="508"/>
      <c r="M645" s="508"/>
      <c r="N645" s="508"/>
      <c r="O645" s="509"/>
      <c r="P645" s="509"/>
    </row>
    <row r="646" spans="1:16" ht="21.75" customHeight="1" x14ac:dyDescent="0.3">
      <c r="A646" s="504"/>
      <c r="B646" s="504"/>
      <c r="C646" s="504"/>
      <c r="D646" s="504"/>
      <c r="E646" s="506"/>
      <c r="F646" s="506"/>
      <c r="G646" s="506"/>
      <c r="H646" s="506"/>
      <c r="I646" s="506"/>
      <c r="J646" s="506"/>
      <c r="K646" s="507"/>
      <c r="L646" s="508"/>
      <c r="M646" s="508"/>
      <c r="N646" s="508"/>
      <c r="O646" s="509"/>
      <c r="P646" s="509"/>
    </row>
    <row r="647" spans="1:16" ht="21.75" customHeight="1" x14ac:dyDescent="0.3">
      <c r="A647" s="504"/>
      <c r="B647" s="504"/>
      <c r="C647" s="504"/>
      <c r="D647" s="504"/>
      <c r="E647" s="506"/>
      <c r="F647" s="506"/>
      <c r="G647" s="506"/>
      <c r="H647" s="506"/>
      <c r="I647" s="506"/>
      <c r="J647" s="506"/>
      <c r="K647" s="507"/>
      <c r="L647" s="508"/>
      <c r="M647" s="508"/>
      <c r="N647" s="508"/>
      <c r="O647" s="509"/>
      <c r="P647" s="509"/>
    </row>
    <row r="648" spans="1:16" ht="21.75" customHeight="1" x14ac:dyDescent="0.3">
      <c r="A648" s="504"/>
      <c r="B648" s="504"/>
      <c r="C648" s="504"/>
      <c r="D648" s="504"/>
      <c r="E648" s="506"/>
      <c r="F648" s="506"/>
      <c r="G648" s="506"/>
      <c r="H648" s="506"/>
      <c r="I648" s="506"/>
      <c r="J648" s="506"/>
      <c r="K648" s="507"/>
      <c r="L648" s="508"/>
      <c r="M648" s="508"/>
      <c r="N648" s="508"/>
      <c r="O648" s="509"/>
      <c r="P648" s="509"/>
    </row>
    <row r="649" spans="1:16" ht="21.75" customHeight="1" x14ac:dyDescent="0.3">
      <c r="A649" s="504"/>
      <c r="B649" s="504"/>
      <c r="C649" s="504"/>
      <c r="D649" s="504"/>
      <c r="E649" s="506"/>
      <c r="F649" s="506"/>
      <c r="G649" s="506"/>
      <c r="H649" s="506"/>
      <c r="I649" s="506"/>
      <c r="J649" s="506"/>
      <c r="K649" s="507"/>
      <c r="L649" s="508"/>
      <c r="M649" s="508"/>
      <c r="N649" s="508"/>
      <c r="O649" s="509"/>
      <c r="P649" s="509"/>
    </row>
    <row r="650" spans="1:16" ht="21.75" customHeight="1" x14ac:dyDescent="0.3">
      <c r="A650" s="504"/>
      <c r="B650" s="504"/>
      <c r="C650" s="504"/>
      <c r="D650" s="504"/>
      <c r="E650" s="506"/>
      <c r="F650" s="506"/>
      <c r="G650" s="506"/>
      <c r="H650" s="506"/>
      <c r="I650" s="506"/>
      <c r="J650" s="506"/>
      <c r="K650" s="507"/>
      <c r="L650" s="508"/>
      <c r="M650" s="508"/>
      <c r="N650" s="508"/>
      <c r="O650" s="509"/>
      <c r="P650" s="509"/>
    </row>
    <row r="651" spans="1:16" ht="21.75" customHeight="1" x14ac:dyDescent="0.3">
      <c r="A651" s="504"/>
      <c r="B651" s="504"/>
      <c r="C651" s="504"/>
      <c r="D651" s="504"/>
      <c r="E651" s="506"/>
      <c r="F651" s="506"/>
      <c r="G651" s="506"/>
      <c r="H651" s="506"/>
      <c r="I651" s="506"/>
      <c r="J651" s="506"/>
      <c r="K651" s="507"/>
      <c r="L651" s="508"/>
      <c r="M651" s="508"/>
      <c r="N651" s="508"/>
      <c r="O651" s="509"/>
      <c r="P651" s="509"/>
    </row>
    <row r="652" spans="1:16" ht="21.75" customHeight="1" x14ac:dyDescent="0.3">
      <c r="A652" s="504"/>
      <c r="B652" s="504"/>
      <c r="C652" s="504"/>
      <c r="D652" s="504"/>
      <c r="E652" s="506"/>
      <c r="F652" s="506"/>
      <c r="G652" s="506"/>
      <c r="H652" s="506"/>
      <c r="I652" s="506"/>
      <c r="J652" s="506"/>
      <c r="K652" s="507"/>
      <c r="L652" s="508"/>
      <c r="M652" s="508"/>
      <c r="N652" s="508"/>
      <c r="O652" s="509"/>
      <c r="P652" s="509"/>
    </row>
    <row r="653" spans="1:16" ht="21.75" customHeight="1" x14ac:dyDescent="0.3">
      <c r="A653" s="504"/>
      <c r="B653" s="504"/>
      <c r="C653" s="504"/>
      <c r="D653" s="504"/>
      <c r="E653" s="506"/>
      <c r="F653" s="506"/>
      <c r="G653" s="506"/>
      <c r="H653" s="506"/>
      <c r="I653" s="506"/>
      <c r="J653" s="506"/>
      <c r="K653" s="507"/>
      <c r="L653" s="508"/>
      <c r="M653" s="508"/>
      <c r="N653" s="508"/>
      <c r="O653" s="509"/>
      <c r="P653" s="509"/>
    </row>
    <row r="654" spans="1:16" ht="21.75" customHeight="1" x14ac:dyDescent="0.3">
      <c r="A654" s="504"/>
      <c r="B654" s="504"/>
      <c r="C654" s="504"/>
      <c r="D654" s="504"/>
      <c r="E654" s="506"/>
      <c r="F654" s="506"/>
      <c r="G654" s="506"/>
      <c r="H654" s="506"/>
      <c r="I654" s="506"/>
      <c r="J654" s="506"/>
      <c r="K654" s="507"/>
      <c r="L654" s="508"/>
      <c r="M654" s="508"/>
      <c r="N654" s="508"/>
      <c r="O654" s="509"/>
      <c r="P654" s="509"/>
    </row>
    <row r="655" spans="1:16" ht="21.75" customHeight="1" x14ac:dyDescent="0.3">
      <c r="A655" s="504"/>
      <c r="B655" s="504"/>
      <c r="C655" s="504"/>
      <c r="D655" s="504"/>
      <c r="E655" s="506"/>
      <c r="F655" s="506"/>
      <c r="G655" s="506"/>
      <c r="H655" s="506"/>
      <c r="I655" s="506"/>
      <c r="J655" s="506"/>
      <c r="K655" s="507"/>
      <c r="L655" s="508"/>
      <c r="M655" s="508"/>
      <c r="N655" s="508"/>
      <c r="O655" s="509"/>
      <c r="P655" s="509"/>
    </row>
    <row r="656" spans="1:16" ht="21.75" customHeight="1" x14ac:dyDescent="0.3">
      <c r="A656" s="504"/>
      <c r="B656" s="504"/>
      <c r="C656" s="504"/>
      <c r="D656" s="504"/>
      <c r="E656" s="506"/>
      <c r="F656" s="506"/>
      <c r="G656" s="506"/>
      <c r="H656" s="506"/>
      <c r="I656" s="506"/>
      <c r="J656" s="506"/>
      <c r="K656" s="507"/>
      <c r="L656" s="508"/>
      <c r="M656" s="508"/>
      <c r="N656" s="508"/>
      <c r="O656" s="509"/>
      <c r="P656" s="509"/>
    </row>
    <row r="657" spans="1:16" ht="21.75" customHeight="1" x14ac:dyDescent="0.3">
      <c r="A657" s="504"/>
      <c r="B657" s="504"/>
      <c r="C657" s="504"/>
      <c r="D657" s="504"/>
      <c r="E657" s="506"/>
      <c r="F657" s="506"/>
      <c r="G657" s="506"/>
      <c r="H657" s="506"/>
      <c r="I657" s="506"/>
      <c r="J657" s="506"/>
      <c r="K657" s="507"/>
      <c r="L657" s="508"/>
      <c r="M657" s="508"/>
      <c r="N657" s="508"/>
      <c r="O657" s="509"/>
      <c r="P657" s="509"/>
    </row>
    <row r="658" spans="1:16" ht="21.75" customHeight="1" x14ac:dyDescent="0.3">
      <c r="A658" s="504"/>
      <c r="B658" s="504"/>
      <c r="C658" s="504"/>
      <c r="D658" s="504"/>
      <c r="E658" s="506"/>
      <c r="F658" s="506"/>
      <c r="G658" s="506"/>
      <c r="H658" s="506"/>
      <c r="I658" s="506"/>
      <c r="J658" s="506"/>
      <c r="K658" s="507"/>
      <c r="L658" s="508"/>
      <c r="M658" s="508"/>
      <c r="N658" s="508"/>
      <c r="O658" s="509"/>
      <c r="P658" s="509"/>
    </row>
    <row r="659" spans="1:16" ht="21.75" customHeight="1" x14ac:dyDescent="0.3">
      <c r="A659" s="504"/>
      <c r="B659" s="504"/>
      <c r="C659" s="504"/>
      <c r="D659" s="504"/>
      <c r="E659" s="506"/>
      <c r="F659" s="506"/>
      <c r="G659" s="506"/>
      <c r="H659" s="506"/>
      <c r="I659" s="506"/>
      <c r="J659" s="506"/>
      <c r="K659" s="507"/>
      <c r="L659" s="508"/>
      <c r="M659" s="508"/>
      <c r="N659" s="508"/>
      <c r="O659" s="509"/>
      <c r="P659" s="509"/>
    </row>
    <row r="660" spans="1:16" ht="21.75" customHeight="1" x14ac:dyDescent="0.3">
      <c r="A660" s="504"/>
      <c r="B660" s="504"/>
      <c r="C660" s="504"/>
      <c r="D660" s="504"/>
      <c r="E660" s="506"/>
      <c r="F660" s="506"/>
      <c r="G660" s="506"/>
      <c r="H660" s="506"/>
      <c r="I660" s="506"/>
      <c r="J660" s="506"/>
      <c r="K660" s="507"/>
      <c r="L660" s="508"/>
      <c r="M660" s="508"/>
      <c r="N660" s="508"/>
      <c r="O660" s="509"/>
      <c r="P660" s="509"/>
    </row>
    <row r="661" spans="1:16" ht="21.75" customHeight="1" x14ac:dyDescent="0.3">
      <c r="A661" s="504"/>
      <c r="B661" s="504"/>
      <c r="C661" s="504"/>
      <c r="D661" s="504"/>
      <c r="E661" s="506"/>
      <c r="F661" s="506"/>
      <c r="G661" s="506"/>
      <c r="H661" s="506"/>
      <c r="I661" s="506"/>
      <c r="J661" s="506"/>
      <c r="K661" s="507"/>
      <c r="L661" s="508"/>
      <c r="M661" s="508"/>
      <c r="N661" s="508"/>
      <c r="O661" s="509"/>
      <c r="P661" s="509"/>
    </row>
    <row r="662" spans="1:16" ht="21.75" customHeight="1" x14ac:dyDescent="0.3">
      <c r="A662" s="504"/>
      <c r="B662" s="504"/>
      <c r="C662" s="504"/>
      <c r="D662" s="504"/>
      <c r="E662" s="506"/>
      <c r="F662" s="506"/>
      <c r="G662" s="506"/>
      <c r="H662" s="506"/>
      <c r="I662" s="506"/>
      <c r="J662" s="506"/>
      <c r="K662" s="507"/>
      <c r="L662" s="508"/>
      <c r="M662" s="508"/>
      <c r="N662" s="508"/>
      <c r="O662" s="509"/>
      <c r="P662" s="509"/>
    </row>
    <row r="663" spans="1:16" ht="21.75" customHeight="1" x14ac:dyDescent="0.3">
      <c r="A663" s="504"/>
      <c r="B663" s="504"/>
      <c r="C663" s="504"/>
      <c r="D663" s="504"/>
      <c r="E663" s="506"/>
      <c r="F663" s="506"/>
      <c r="G663" s="506"/>
      <c r="H663" s="506"/>
      <c r="I663" s="506"/>
      <c r="J663" s="506"/>
      <c r="K663" s="507"/>
      <c r="L663" s="508"/>
      <c r="M663" s="508"/>
      <c r="N663" s="508"/>
      <c r="O663" s="509"/>
      <c r="P663" s="509"/>
    </row>
    <row r="664" spans="1:16" ht="21.75" customHeight="1" x14ac:dyDescent="0.3">
      <c r="A664" s="504"/>
      <c r="B664" s="504"/>
      <c r="C664" s="504"/>
      <c r="D664" s="504"/>
      <c r="E664" s="506"/>
      <c r="F664" s="506"/>
      <c r="G664" s="506"/>
      <c r="H664" s="506"/>
      <c r="I664" s="506"/>
      <c r="J664" s="506"/>
      <c r="K664" s="507"/>
      <c r="L664" s="508"/>
      <c r="M664" s="508"/>
      <c r="N664" s="508"/>
      <c r="O664" s="509"/>
      <c r="P664" s="509"/>
    </row>
    <row r="665" spans="1:16" ht="21.75" customHeight="1" x14ac:dyDescent="0.3">
      <c r="A665" s="504"/>
      <c r="B665" s="504"/>
      <c r="C665" s="504"/>
      <c r="D665" s="504"/>
      <c r="E665" s="506"/>
      <c r="F665" s="506"/>
      <c r="G665" s="506"/>
      <c r="H665" s="506"/>
      <c r="I665" s="506"/>
      <c r="J665" s="506"/>
      <c r="K665" s="507"/>
      <c r="L665" s="508"/>
      <c r="M665" s="508"/>
      <c r="N665" s="508"/>
      <c r="O665" s="509"/>
      <c r="P665" s="509"/>
    </row>
    <row r="666" spans="1:16" ht="21.75" customHeight="1" x14ac:dyDescent="0.3">
      <c r="A666" s="504"/>
      <c r="B666" s="504"/>
      <c r="C666" s="504"/>
      <c r="D666" s="504"/>
      <c r="E666" s="506"/>
      <c r="F666" s="506"/>
      <c r="G666" s="506"/>
      <c r="H666" s="506"/>
      <c r="I666" s="506"/>
      <c r="J666" s="506"/>
      <c r="K666" s="507"/>
      <c r="L666" s="508"/>
      <c r="M666" s="508"/>
      <c r="N666" s="508"/>
      <c r="O666" s="509"/>
      <c r="P666" s="509"/>
    </row>
    <row r="667" spans="1:16" ht="21.75" customHeight="1" x14ac:dyDescent="0.3">
      <c r="A667" s="504"/>
      <c r="B667" s="504"/>
      <c r="C667" s="504"/>
      <c r="D667" s="504"/>
      <c r="E667" s="506"/>
      <c r="F667" s="506"/>
      <c r="G667" s="506"/>
      <c r="H667" s="506"/>
      <c r="I667" s="506"/>
      <c r="J667" s="506"/>
      <c r="K667" s="507"/>
      <c r="L667" s="508"/>
      <c r="M667" s="508"/>
      <c r="N667" s="508"/>
      <c r="O667" s="509"/>
      <c r="P667" s="509"/>
    </row>
    <row r="668" spans="1:16" ht="21.75" customHeight="1" x14ac:dyDescent="0.3">
      <c r="A668" s="504"/>
      <c r="B668" s="504"/>
      <c r="C668" s="504"/>
      <c r="D668" s="504"/>
      <c r="E668" s="506"/>
      <c r="F668" s="506"/>
      <c r="G668" s="506"/>
      <c r="H668" s="506"/>
      <c r="I668" s="506"/>
      <c r="J668" s="506"/>
      <c r="K668" s="507"/>
      <c r="L668" s="508"/>
      <c r="M668" s="508"/>
      <c r="N668" s="508"/>
      <c r="O668" s="509"/>
      <c r="P668" s="509"/>
    </row>
    <row r="669" spans="1:16" ht="21.75" customHeight="1" x14ac:dyDescent="0.3">
      <c r="A669" s="504"/>
      <c r="B669" s="504"/>
      <c r="C669" s="504"/>
      <c r="D669" s="504"/>
      <c r="E669" s="506"/>
      <c r="F669" s="506"/>
      <c r="G669" s="506"/>
      <c r="H669" s="506"/>
      <c r="I669" s="506"/>
      <c r="J669" s="506"/>
      <c r="K669" s="507"/>
      <c r="L669" s="508"/>
      <c r="M669" s="508"/>
      <c r="N669" s="508"/>
      <c r="O669" s="509"/>
      <c r="P669" s="509"/>
    </row>
    <row r="670" spans="1:16" ht="21.75" customHeight="1" x14ac:dyDescent="0.3">
      <c r="A670" s="504"/>
      <c r="B670" s="504"/>
      <c r="C670" s="504"/>
      <c r="D670" s="504"/>
      <c r="E670" s="506"/>
      <c r="F670" s="506"/>
      <c r="G670" s="506"/>
      <c r="H670" s="506"/>
      <c r="I670" s="506"/>
      <c r="J670" s="506"/>
      <c r="K670" s="507"/>
      <c r="L670" s="508"/>
      <c r="M670" s="508"/>
      <c r="N670" s="508"/>
      <c r="O670" s="509"/>
      <c r="P670" s="509"/>
    </row>
    <row r="671" spans="1:16" ht="21.75" customHeight="1" x14ac:dyDescent="0.3">
      <c r="A671" s="504"/>
      <c r="B671" s="504"/>
      <c r="C671" s="504"/>
      <c r="D671" s="504"/>
      <c r="E671" s="506"/>
      <c r="F671" s="506"/>
      <c r="G671" s="506"/>
      <c r="H671" s="506"/>
      <c r="I671" s="506"/>
      <c r="J671" s="506"/>
      <c r="K671" s="507"/>
      <c r="L671" s="508"/>
      <c r="M671" s="508"/>
      <c r="N671" s="508"/>
      <c r="O671" s="509"/>
      <c r="P671" s="509"/>
    </row>
    <row r="672" spans="1:16" ht="21.75" customHeight="1" x14ac:dyDescent="0.3">
      <c r="A672" s="504"/>
      <c r="B672" s="504"/>
      <c r="C672" s="504"/>
      <c r="D672" s="504"/>
      <c r="E672" s="506"/>
      <c r="F672" s="506"/>
      <c r="G672" s="506"/>
      <c r="H672" s="506"/>
      <c r="I672" s="506"/>
      <c r="J672" s="506"/>
      <c r="K672" s="507"/>
      <c r="L672" s="508"/>
      <c r="M672" s="508"/>
      <c r="N672" s="508"/>
      <c r="O672" s="509"/>
      <c r="P672" s="509"/>
    </row>
    <row r="673" spans="1:16" ht="21.75" customHeight="1" x14ac:dyDescent="0.3">
      <c r="A673" s="504"/>
      <c r="B673" s="504"/>
      <c r="C673" s="504"/>
      <c r="D673" s="504"/>
      <c r="E673" s="506"/>
      <c r="F673" s="506"/>
      <c r="G673" s="506"/>
      <c r="H673" s="506"/>
      <c r="I673" s="506"/>
      <c r="J673" s="506"/>
      <c r="K673" s="507"/>
      <c r="L673" s="508"/>
      <c r="M673" s="508"/>
      <c r="N673" s="508"/>
      <c r="O673" s="509"/>
      <c r="P673" s="509"/>
    </row>
    <row r="674" spans="1:16" ht="21.75" customHeight="1" x14ac:dyDescent="0.3">
      <c r="A674" s="504"/>
      <c r="B674" s="504"/>
      <c r="C674" s="504"/>
      <c r="D674" s="504"/>
      <c r="E674" s="506"/>
      <c r="F674" s="506"/>
      <c r="G674" s="506"/>
      <c r="H674" s="506"/>
      <c r="I674" s="506"/>
      <c r="J674" s="506"/>
      <c r="K674" s="507"/>
      <c r="L674" s="508"/>
      <c r="M674" s="508"/>
      <c r="N674" s="508"/>
      <c r="O674" s="509"/>
      <c r="P674" s="509"/>
    </row>
    <row r="675" spans="1:16" ht="21.75" customHeight="1" x14ac:dyDescent="0.3">
      <c r="A675" s="504"/>
      <c r="B675" s="504"/>
      <c r="C675" s="504"/>
      <c r="D675" s="504"/>
      <c r="E675" s="506"/>
      <c r="F675" s="506"/>
      <c r="G675" s="506"/>
      <c r="H675" s="506"/>
      <c r="I675" s="506"/>
      <c r="J675" s="506"/>
      <c r="K675" s="507"/>
      <c r="L675" s="508"/>
      <c r="M675" s="508"/>
      <c r="N675" s="508"/>
      <c r="O675" s="509"/>
      <c r="P675" s="509"/>
    </row>
    <row r="676" spans="1:16" ht="21.75" customHeight="1" x14ac:dyDescent="0.3">
      <c r="A676" s="504"/>
      <c r="B676" s="504"/>
      <c r="C676" s="504"/>
      <c r="D676" s="504"/>
      <c r="E676" s="506"/>
      <c r="F676" s="506"/>
      <c r="G676" s="506"/>
      <c r="H676" s="506"/>
      <c r="I676" s="506"/>
      <c r="J676" s="506"/>
      <c r="K676" s="507"/>
      <c r="L676" s="508"/>
      <c r="M676" s="508"/>
      <c r="N676" s="508"/>
      <c r="O676" s="509"/>
      <c r="P676" s="509"/>
    </row>
    <row r="677" spans="1:16" ht="21.75" customHeight="1" x14ac:dyDescent="0.3">
      <c r="A677" s="504"/>
      <c r="B677" s="504"/>
      <c r="C677" s="504"/>
      <c r="D677" s="504"/>
      <c r="E677" s="506"/>
      <c r="F677" s="506"/>
      <c r="G677" s="506"/>
      <c r="H677" s="506"/>
      <c r="I677" s="506"/>
      <c r="J677" s="506"/>
      <c r="K677" s="507"/>
      <c r="L677" s="508"/>
      <c r="M677" s="508"/>
      <c r="N677" s="508"/>
      <c r="O677" s="509"/>
      <c r="P677" s="509"/>
    </row>
    <row r="678" spans="1:16" ht="21.75" customHeight="1" x14ac:dyDescent="0.3">
      <c r="A678" s="504"/>
      <c r="B678" s="504"/>
      <c r="C678" s="504"/>
      <c r="D678" s="504"/>
      <c r="E678" s="506"/>
      <c r="F678" s="506"/>
      <c r="G678" s="506"/>
      <c r="H678" s="506"/>
      <c r="I678" s="506"/>
      <c r="J678" s="506"/>
      <c r="K678" s="507"/>
      <c r="L678" s="508"/>
      <c r="M678" s="508"/>
      <c r="N678" s="508"/>
      <c r="O678" s="509"/>
      <c r="P678" s="509"/>
    </row>
    <row r="679" spans="1:16" ht="21.75" customHeight="1" x14ac:dyDescent="0.3">
      <c r="A679" s="504"/>
      <c r="B679" s="504"/>
      <c r="C679" s="504"/>
      <c r="D679" s="504"/>
      <c r="E679" s="506"/>
      <c r="F679" s="506"/>
      <c r="G679" s="506"/>
      <c r="H679" s="506"/>
      <c r="I679" s="506"/>
      <c r="J679" s="506"/>
      <c r="K679" s="507"/>
      <c r="L679" s="508"/>
      <c r="M679" s="508"/>
      <c r="N679" s="508"/>
      <c r="O679" s="509"/>
      <c r="P679" s="509"/>
    </row>
    <row r="680" spans="1:16" ht="21.75" customHeight="1" x14ac:dyDescent="0.3">
      <c r="A680" s="504"/>
      <c r="B680" s="504"/>
      <c r="C680" s="504"/>
      <c r="D680" s="504"/>
      <c r="E680" s="506"/>
      <c r="F680" s="506"/>
      <c r="G680" s="506"/>
      <c r="H680" s="506"/>
      <c r="I680" s="506"/>
      <c r="J680" s="506"/>
      <c r="K680" s="507"/>
      <c r="L680" s="508"/>
      <c r="M680" s="508"/>
      <c r="N680" s="508"/>
      <c r="O680" s="509"/>
      <c r="P680" s="509"/>
    </row>
    <row r="681" spans="1:16" ht="21.75" customHeight="1" x14ac:dyDescent="0.3">
      <c r="A681" s="504"/>
      <c r="B681" s="504"/>
      <c r="C681" s="504"/>
      <c r="D681" s="504"/>
      <c r="E681" s="506"/>
      <c r="F681" s="506"/>
      <c r="G681" s="506"/>
      <c r="H681" s="506"/>
      <c r="I681" s="506"/>
      <c r="J681" s="506"/>
      <c r="K681" s="507"/>
      <c r="L681" s="508"/>
      <c r="M681" s="508"/>
      <c r="N681" s="508"/>
      <c r="O681" s="509"/>
      <c r="P681" s="509"/>
    </row>
    <row r="682" spans="1:16" ht="21.75" customHeight="1" x14ac:dyDescent="0.3">
      <c r="A682" s="504"/>
      <c r="B682" s="504"/>
      <c r="C682" s="504"/>
      <c r="D682" s="504"/>
      <c r="E682" s="506"/>
      <c r="F682" s="506"/>
      <c r="G682" s="506"/>
      <c r="H682" s="506"/>
      <c r="I682" s="506"/>
      <c r="J682" s="506"/>
      <c r="K682" s="507"/>
      <c r="L682" s="508"/>
      <c r="M682" s="508"/>
      <c r="N682" s="508"/>
      <c r="O682" s="509"/>
      <c r="P682" s="509"/>
    </row>
    <row r="683" spans="1:16" ht="21.75" customHeight="1" x14ac:dyDescent="0.3">
      <c r="A683" s="504"/>
      <c r="B683" s="504"/>
      <c r="C683" s="504"/>
      <c r="D683" s="504"/>
      <c r="E683" s="506"/>
      <c r="F683" s="506"/>
      <c r="G683" s="506"/>
      <c r="H683" s="506"/>
      <c r="I683" s="506"/>
      <c r="J683" s="506"/>
      <c r="K683" s="507"/>
      <c r="L683" s="508"/>
      <c r="M683" s="508"/>
      <c r="N683" s="508"/>
      <c r="O683" s="509"/>
      <c r="P683" s="509"/>
    </row>
    <row r="684" spans="1:16" ht="21.75" customHeight="1" x14ac:dyDescent="0.3">
      <c r="A684" s="504"/>
      <c r="B684" s="504"/>
      <c r="C684" s="504"/>
      <c r="D684" s="504"/>
      <c r="E684" s="506"/>
      <c r="F684" s="506"/>
      <c r="G684" s="506"/>
      <c r="H684" s="506"/>
      <c r="I684" s="506"/>
      <c r="J684" s="506"/>
      <c r="K684" s="507"/>
      <c r="L684" s="508"/>
      <c r="M684" s="508"/>
      <c r="N684" s="508"/>
      <c r="O684" s="509"/>
      <c r="P684" s="509"/>
    </row>
    <row r="685" spans="1:16" ht="21.75" customHeight="1" x14ac:dyDescent="0.3">
      <c r="A685" s="504"/>
      <c r="B685" s="504"/>
      <c r="C685" s="504"/>
      <c r="D685" s="504"/>
      <c r="E685" s="506"/>
      <c r="F685" s="506"/>
      <c r="G685" s="506"/>
      <c r="H685" s="506"/>
      <c r="I685" s="506"/>
      <c r="J685" s="506"/>
      <c r="K685" s="507"/>
      <c r="L685" s="508"/>
      <c r="M685" s="508"/>
      <c r="N685" s="508"/>
      <c r="O685" s="509"/>
      <c r="P685" s="509"/>
    </row>
    <row r="686" spans="1:16" ht="21.75" customHeight="1" x14ac:dyDescent="0.3">
      <c r="A686" s="504"/>
      <c r="B686" s="504"/>
      <c r="C686" s="504"/>
      <c r="D686" s="504"/>
      <c r="E686" s="506"/>
      <c r="F686" s="506"/>
      <c r="G686" s="506"/>
      <c r="H686" s="506"/>
      <c r="I686" s="506"/>
      <c r="J686" s="506"/>
      <c r="K686" s="507"/>
      <c r="L686" s="508"/>
      <c r="M686" s="508"/>
      <c r="N686" s="508"/>
      <c r="O686" s="509"/>
      <c r="P686" s="509"/>
    </row>
    <row r="687" spans="1:16" ht="21.75" customHeight="1" x14ac:dyDescent="0.3">
      <c r="A687" s="504"/>
      <c r="B687" s="504"/>
      <c r="C687" s="504"/>
      <c r="D687" s="504"/>
      <c r="E687" s="506"/>
      <c r="F687" s="506"/>
      <c r="G687" s="506"/>
      <c r="H687" s="506"/>
      <c r="I687" s="506"/>
      <c r="J687" s="506"/>
      <c r="K687" s="507"/>
      <c r="L687" s="508"/>
      <c r="M687" s="508"/>
      <c r="N687" s="508"/>
      <c r="O687" s="509"/>
      <c r="P687" s="509"/>
    </row>
    <row r="688" spans="1:16" ht="21.75" customHeight="1" x14ac:dyDescent="0.3">
      <c r="A688" s="504"/>
      <c r="B688" s="504"/>
      <c r="C688" s="504"/>
      <c r="D688" s="504"/>
      <c r="E688" s="506"/>
      <c r="F688" s="506"/>
      <c r="G688" s="506"/>
      <c r="H688" s="506"/>
      <c r="I688" s="506"/>
      <c r="J688" s="506"/>
      <c r="K688" s="507"/>
      <c r="L688" s="508"/>
      <c r="M688" s="508"/>
      <c r="N688" s="508"/>
      <c r="O688" s="509"/>
      <c r="P688" s="509"/>
    </row>
    <row r="689" spans="1:16" ht="21.75" customHeight="1" x14ac:dyDescent="0.3">
      <c r="A689" s="504"/>
      <c r="B689" s="504"/>
      <c r="C689" s="504"/>
      <c r="D689" s="504"/>
      <c r="E689" s="506"/>
      <c r="F689" s="506"/>
      <c r="G689" s="506"/>
      <c r="H689" s="506"/>
      <c r="I689" s="506"/>
      <c r="J689" s="506"/>
      <c r="K689" s="507"/>
      <c r="L689" s="508"/>
      <c r="M689" s="508"/>
      <c r="N689" s="508"/>
      <c r="O689" s="509"/>
      <c r="P689" s="509"/>
    </row>
    <row r="690" spans="1:16" ht="21.75" customHeight="1" x14ac:dyDescent="0.3">
      <c r="A690" s="504"/>
      <c r="B690" s="504"/>
      <c r="C690" s="504"/>
      <c r="D690" s="504"/>
      <c r="E690" s="506"/>
      <c r="F690" s="506"/>
      <c r="G690" s="506"/>
      <c r="H690" s="506"/>
      <c r="I690" s="506"/>
      <c r="J690" s="506"/>
      <c r="K690" s="507"/>
      <c r="L690" s="508"/>
      <c r="M690" s="508"/>
      <c r="N690" s="508"/>
      <c r="O690" s="509"/>
      <c r="P690" s="509"/>
    </row>
    <row r="691" spans="1:16" ht="21.75" customHeight="1" x14ac:dyDescent="0.3">
      <c r="A691" s="504"/>
      <c r="B691" s="504"/>
      <c r="C691" s="504"/>
      <c r="D691" s="504"/>
      <c r="E691" s="506"/>
      <c r="F691" s="506"/>
      <c r="G691" s="506"/>
      <c r="H691" s="506"/>
      <c r="I691" s="506"/>
      <c r="J691" s="506"/>
      <c r="K691" s="507"/>
      <c r="L691" s="508"/>
      <c r="M691" s="508"/>
      <c r="N691" s="508"/>
      <c r="O691" s="509"/>
      <c r="P691" s="509"/>
    </row>
    <row r="692" spans="1:16" ht="21.75" customHeight="1" x14ac:dyDescent="0.3">
      <c r="A692" s="504"/>
      <c r="B692" s="504"/>
      <c r="C692" s="504"/>
      <c r="D692" s="504"/>
      <c r="E692" s="506"/>
      <c r="F692" s="506"/>
      <c r="G692" s="506"/>
      <c r="H692" s="506"/>
      <c r="I692" s="506"/>
      <c r="J692" s="506"/>
      <c r="K692" s="507"/>
      <c r="L692" s="508"/>
      <c r="M692" s="508"/>
      <c r="N692" s="508"/>
      <c r="O692" s="509"/>
      <c r="P692" s="509"/>
    </row>
    <row r="693" spans="1:16" ht="21.75" customHeight="1" x14ac:dyDescent="0.3">
      <c r="A693" s="504"/>
      <c r="B693" s="504"/>
      <c r="C693" s="504"/>
      <c r="D693" s="504"/>
      <c r="E693" s="506"/>
      <c r="F693" s="506"/>
      <c r="G693" s="506"/>
      <c r="H693" s="506"/>
      <c r="I693" s="506"/>
      <c r="J693" s="506"/>
      <c r="K693" s="507"/>
      <c r="L693" s="508"/>
      <c r="M693" s="508"/>
      <c r="N693" s="508"/>
      <c r="O693" s="509"/>
      <c r="P693" s="509"/>
    </row>
    <row r="694" spans="1:16" ht="21.75" customHeight="1" x14ac:dyDescent="0.3">
      <c r="A694" s="504"/>
      <c r="B694" s="504"/>
      <c r="C694" s="504"/>
      <c r="D694" s="504"/>
      <c r="E694" s="506"/>
      <c r="F694" s="506"/>
      <c r="G694" s="506"/>
      <c r="H694" s="506"/>
      <c r="I694" s="506"/>
      <c r="J694" s="506"/>
      <c r="K694" s="507"/>
      <c r="L694" s="508"/>
      <c r="M694" s="508"/>
      <c r="N694" s="508"/>
      <c r="O694" s="509"/>
      <c r="P694" s="509"/>
    </row>
    <row r="695" spans="1:16" ht="21.75" customHeight="1" x14ac:dyDescent="0.3">
      <c r="A695" s="504"/>
      <c r="B695" s="504"/>
      <c r="C695" s="504"/>
      <c r="D695" s="504"/>
      <c r="E695" s="506"/>
      <c r="F695" s="506"/>
      <c r="G695" s="506"/>
      <c r="H695" s="506"/>
      <c r="I695" s="506"/>
      <c r="J695" s="506"/>
      <c r="K695" s="507"/>
      <c r="L695" s="508"/>
      <c r="M695" s="508"/>
      <c r="N695" s="508"/>
      <c r="O695" s="509"/>
      <c r="P695" s="509"/>
    </row>
    <row r="696" spans="1:16" ht="21.75" customHeight="1" x14ac:dyDescent="0.3">
      <c r="A696" s="504"/>
      <c r="B696" s="504"/>
      <c r="C696" s="504"/>
      <c r="D696" s="504"/>
      <c r="E696" s="506"/>
      <c r="F696" s="506"/>
      <c r="G696" s="506"/>
      <c r="H696" s="506"/>
      <c r="I696" s="506"/>
      <c r="J696" s="506"/>
      <c r="K696" s="507"/>
      <c r="L696" s="508"/>
      <c r="M696" s="508"/>
      <c r="N696" s="508"/>
      <c r="O696" s="509"/>
      <c r="P696" s="509"/>
    </row>
    <row r="697" spans="1:16" ht="21.75" customHeight="1" x14ac:dyDescent="0.3">
      <c r="A697" s="504"/>
      <c r="B697" s="504"/>
      <c r="C697" s="504"/>
      <c r="D697" s="504"/>
      <c r="E697" s="506"/>
      <c r="F697" s="506"/>
      <c r="G697" s="506"/>
      <c r="H697" s="506"/>
      <c r="I697" s="506"/>
      <c r="J697" s="506"/>
      <c r="K697" s="507"/>
      <c r="L697" s="508"/>
      <c r="M697" s="508"/>
      <c r="N697" s="508"/>
      <c r="O697" s="509"/>
      <c r="P697" s="509"/>
    </row>
    <row r="698" spans="1:16" ht="21.75" customHeight="1" x14ac:dyDescent="0.3">
      <c r="A698" s="504"/>
      <c r="B698" s="504"/>
      <c r="C698" s="504"/>
      <c r="D698" s="504"/>
      <c r="E698" s="506"/>
      <c r="F698" s="506"/>
      <c r="G698" s="506"/>
      <c r="H698" s="506"/>
      <c r="I698" s="506"/>
      <c r="J698" s="506"/>
      <c r="K698" s="507"/>
      <c r="L698" s="508"/>
      <c r="M698" s="508"/>
      <c r="N698" s="508"/>
      <c r="O698" s="509"/>
      <c r="P698" s="509"/>
    </row>
    <row r="699" spans="1:16" ht="21.75" customHeight="1" x14ac:dyDescent="0.3">
      <c r="A699" s="504"/>
      <c r="B699" s="504"/>
      <c r="C699" s="504"/>
      <c r="D699" s="504"/>
      <c r="E699" s="506"/>
      <c r="F699" s="506"/>
      <c r="G699" s="506"/>
      <c r="H699" s="506"/>
      <c r="I699" s="506"/>
      <c r="J699" s="506"/>
      <c r="K699" s="507"/>
      <c r="L699" s="508"/>
      <c r="M699" s="508"/>
      <c r="N699" s="508"/>
      <c r="O699" s="509"/>
      <c r="P699" s="509"/>
    </row>
    <row r="700" spans="1:16" ht="21.75" customHeight="1" x14ac:dyDescent="0.3">
      <c r="A700" s="504"/>
      <c r="B700" s="504"/>
      <c r="C700" s="504"/>
      <c r="D700" s="504"/>
      <c r="E700" s="506"/>
      <c r="F700" s="506"/>
      <c r="G700" s="506"/>
      <c r="H700" s="506"/>
      <c r="I700" s="506"/>
      <c r="J700" s="506"/>
      <c r="K700" s="507"/>
      <c r="L700" s="508"/>
      <c r="M700" s="508"/>
      <c r="N700" s="508"/>
      <c r="O700" s="509"/>
      <c r="P700" s="509"/>
    </row>
    <row r="701" spans="1:16" ht="21.75" customHeight="1" x14ac:dyDescent="0.3">
      <c r="A701" s="504"/>
      <c r="B701" s="504"/>
      <c r="C701" s="504"/>
      <c r="D701" s="504"/>
      <c r="E701" s="506"/>
      <c r="F701" s="506"/>
      <c r="G701" s="506"/>
      <c r="H701" s="506"/>
      <c r="I701" s="506"/>
      <c r="J701" s="506"/>
      <c r="K701" s="507"/>
      <c r="L701" s="508"/>
      <c r="M701" s="508"/>
      <c r="N701" s="508"/>
      <c r="O701" s="509"/>
      <c r="P701" s="509"/>
    </row>
    <row r="702" spans="1:16" ht="21.75" customHeight="1" x14ac:dyDescent="0.3">
      <c r="A702" s="504"/>
      <c r="B702" s="504"/>
      <c r="C702" s="504"/>
      <c r="D702" s="504"/>
      <c r="E702" s="506"/>
      <c r="F702" s="506"/>
      <c r="G702" s="506"/>
      <c r="H702" s="506"/>
      <c r="I702" s="506"/>
      <c r="J702" s="506"/>
      <c r="K702" s="507"/>
      <c r="L702" s="508"/>
      <c r="M702" s="508"/>
      <c r="N702" s="508"/>
      <c r="O702" s="509"/>
      <c r="P702" s="509"/>
    </row>
    <row r="703" spans="1:16" ht="21.75" customHeight="1" x14ac:dyDescent="0.3">
      <c r="A703" s="504"/>
      <c r="B703" s="504"/>
      <c r="C703" s="504"/>
      <c r="D703" s="504"/>
      <c r="E703" s="506"/>
      <c r="F703" s="506"/>
      <c r="G703" s="506"/>
      <c r="H703" s="506"/>
      <c r="I703" s="506"/>
      <c r="J703" s="506"/>
      <c r="K703" s="507"/>
      <c r="L703" s="508"/>
      <c r="M703" s="508"/>
      <c r="N703" s="508"/>
      <c r="O703" s="509"/>
      <c r="P703" s="509"/>
    </row>
    <row r="704" spans="1:16" ht="21.75" customHeight="1" x14ac:dyDescent="0.3">
      <c r="A704" s="504"/>
      <c r="B704" s="504"/>
      <c r="C704" s="504"/>
      <c r="D704" s="504"/>
      <c r="E704" s="506"/>
      <c r="F704" s="506"/>
      <c r="G704" s="506"/>
      <c r="H704" s="506"/>
      <c r="I704" s="506"/>
      <c r="J704" s="506"/>
      <c r="K704" s="507"/>
      <c r="L704" s="508"/>
      <c r="M704" s="508"/>
      <c r="N704" s="508"/>
      <c r="O704" s="509"/>
      <c r="P704" s="509"/>
    </row>
    <row r="705" spans="1:16" ht="21.75" customHeight="1" x14ac:dyDescent="0.3">
      <c r="A705" s="504"/>
      <c r="B705" s="504"/>
      <c r="C705" s="504"/>
      <c r="D705" s="504"/>
      <c r="E705" s="506"/>
      <c r="F705" s="506"/>
      <c r="G705" s="506"/>
      <c r="H705" s="506"/>
      <c r="I705" s="506"/>
      <c r="J705" s="506"/>
      <c r="K705" s="507"/>
      <c r="L705" s="508"/>
      <c r="M705" s="508"/>
      <c r="N705" s="508"/>
      <c r="O705" s="509"/>
      <c r="P705" s="509"/>
    </row>
    <row r="706" spans="1:16" ht="21.75" customHeight="1" x14ac:dyDescent="0.3">
      <c r="A706" s="504"/>
      <c r="B706" s="504"/>
      <c r="C706" s="504"/>
      <c r="D706" s="504"/>
      <c r="E706" s="506"/>
      <c r="F706" s="506"/>
      <c r="G706" s="506"/>
      <c r="H706" s="506"/>
      <c r="I706" s="506"/>
      <c r="J706" s="506"/>
      <c r="K706" s="507"/>
      <c r="L706" s="508"/>
      <c r="M706" s="508"/>
      <c r="N706" s="508"/>
      <c r="O706" s="509"/>
      <c r="P706" s="509"/>
    </row>
    <row r="707" spans="1:16" ht="21.75" customHeight="1" x14ac:dyDescent="0.3">
      <c r="A707" s="504"/>
      <c r="B707" s="504"/>
      <c r="C707" s="504"/>
      <c r="D707" s="504"/>
      <c r="E707" s="506"/>
      <c r="F707" s="506"/>
      <c r="G707" s="506"/>
      <c r="H707" s="506"/>
      <c r="I707" s="506"/>
      <c r="J707" s="506"/>
      <c r="K707" s="507"/>
      <c r="L707" s="508"/>
      <c r="M707" s="508"/>
      <c r="N707" s="508"/>
      <c r="O707" s="509"/>
      <c r="P707" s="509"/>
    </row>
    <row r="708" spans="1:16" ht="21.75" customHeight="1" x14ac:dyDescent="0.3">
      <c r="A708" s="504"/>
      <c r="B708" s="504"/>
      <c r="C708" s="504"/>
      <c r="D708" s="504"/>
      <c r="E708" s="506"/>
      <c r="F708" s="506"/>
      <c r="G708" s="506"/>
      <c r="H708" s="506"/>
      <c r="I708" s="506"/>
      <c r="J708" s="506"/>
      <c r="K708" s="507"/>
      <c r="L708" s="508"/>
      <c r="M708" s="508"/>
      <c r="N708" s="508"/>
      <c r="O708" s="509"/>
      <c r="P708" s="509"/>
    </row>
    <row r="709" spans="1:16" ht="21.75" customHeight="1" x14ac:dyDescent="0.3">
      <c r="A709" s="504"/>
      <c r="B709" s="504"/>
      <c r="C709" s="504"/>
      <c r="D709" s="504"/>
      <c r="E709" s="506"/>
      <c r="F709" s="506"/>
      <c r="G709" s="506"/>
      <c r="H709" s="506"/>
      <c r="I709" s="506"/>
      <c r="J709" s="506"/>
      <c r="K709" s="507"/>
      <c r="L709" s="508"/>
      <c r="M709" s="508"/>
      <c r="N709" s="508"/>
      <c r="O709" s="509"/>
      <c r="P709" s="509"/>
    </row>
    <row r="710" spans="1:16" ht="21.75" customHeight="1" x14ac:dyDescent="0.3">
      <c r="A710" s="504"/>
      <c r="B710" s="504"/>
      <c r="C710" s="504"/>
      <c r="D710" s="504"/>
      <c r="E710" s="506"/>
      <c r="F710" s="506"/>
      <c r="G710" s="506"/>
      <c r="H710" s="506"/>
      <c r="I710" s="506"/>
      <c r="J710" s="506"/>
      <c r="K710" s="507"/>
      <c r="L710" s="508"/>
      <c r="M710" s="508"/>
      <c r="N710" s="508"/>
      <c r="O710" s="509"/>
      <c r="P710" s="509"/>
    </row>
    <row r="711" spans="1:16" ht="21.75" customHeight="1" x14ac:dyDescent="0.3">
      <c r="A711" s="504"/>
      <c r="B711" s="504"/>
      <c r="C711" s="504"/>
      <c r="D711" s="504"/>
      <c r="E711" s="506"/>
      <c r="F711" s="506"/>
      <c r="G711" s="506"/>
      <c r="H711" s="506"/>
      <c r="I711" s="506"/>
      <c r="J711" s="506"/>
      <c r="K711" s="507"/>
      <c r="L711" s="508"/>
      <c r="M711" s="508"/>
      <c r="N711" s="508"/>
      <c r="O711" s="509"/>
      <c r="P711" s="509"/>
    </row>
    <row r="712" spans="1:16" ht="21.75" customHeight="1" x14ac:dyDescent="0.3">
      <c r="A712" s="504"/>
      <c r="B712" s="504"/>
      <c r="C712" s="504"/>
      <c r="D712" s="504"/>
      <c r="E712" s="506"/>
      <c r="F712" s="506"/>
      <c r="G712" s="506"/>
      <c r="H712" s="506"/>
      <c r="I712" s="506"/>
      <c r="J712" s="506"/>
      <c r="K712" s="507"/>
      <c r="L712" s="508"/>
      <c r="M712" s="508"/>
      <c r="N712" s="508"/>
      <c r="O712" s="509"/>
      <c r="P712" s="509"/>
    </row>
    <row r="713" spans="1:16" ht="21.75" customHeight="1" x14ac:dyDescent="0.3">
      <c r="A713" s="504"/>
      <c r="B713" s="504"/>
      <c r="C713" s="504"/>
      <c r="D713" s="504"/>
      <c r="E713" s="506"/>
      <c r="F713" s="506"/>
      <c r="G713" s="506"/>
      <c r="H713" s="506"/>
      <c r="I713" s="506"/>
      <c r="J713" s="506"/>
      <c r="K713" s="507"/>
      <c r="L713" s="508"/>
      <c r="M713" s="508"/>
      <c r="N713" s="508"/>
      <c r="O713" s="509"/>
      <c r="P713" s="509"/>
    </row>
    <row r="714" spans="1:16" ht="21.75" customHeight="1" x14ac:dyDescent="0.3">
      <c r="A714" s="504"/>
      <c r="B714" s="504"/>
      <c r="C714" s="504"/>
      <c r="D714" s="504"/>
      <c r="E714" s="506"/>
      <c r="F714" s="506"/>
      <c r="G714" s="506"/>
      <c r="H714" s="506"/>
      <c r="I714" s="506"/>
      <c r="J714" s="506"/>
      <c r="K714" s="507"/>
      <c r="L714" s="508"/>
      <c r="M714" s="508"/>
      <c r="N714" s="508"/>
      <c r="O714" s="509"/>
      <c r="P714" s="509"/>
    </row>
    <row r="715" spans="1:16" ht="21.75" customHeight="1" x14ac:dyDescent="0.3">
      <c r="A715" s="504"/>
      <c r="B715" s="504"/>
      <c r="C715" s="504"/>
      <c r="D715" s="504"/>
      <c r="E715" s="506"/>
      <c r="F715" s="506"/>
      <c r="G715" s="506"/>
      <c r="H715" s="506"/>
      <c r="I715" s="506"/>
      <c r="J715" s="506"/>
      <c r="K715" s="507"/>
      <c r="L715" s="508"/>
      <c r="M715" s="508"/>
      <c r="N715" s="508"/>
      <c r="O715" s="509"/>
      <c r="P715" s="509"/>
    </row>
    <row r="716" spans="1:16" ht="21.75" customHeight="1" x14ac:dyDescent="0.3">
      <c r="A716" s="504"/>
      <c r="B716" s="504"/>
      <c r="C716" s="504"/>
      <c r="D716" s="504"/>
      <c r="E716" s="506"/>
      <c r="F716" s="506"/>
      <c r="G716" s="506"/>
      <c r="H716" s="506"/>
      <c r="I716" s="506"/>
      <c r="J716" s="506"/>
      <c r="K716" s="507"/>
      <c r="L716" s="508"/>
      <c r="M716" s="508"/>
      <c r="N716" s="508"/>
      <c r="O716" s="509"/>
      <c r="P716" s="509"/>
    </row>
    <row r="717" spans="1:16" ht="21.75" customHeight="1" x14ac:dyDescent="0.3">
      <c r="A717" s="504"/>
      <c r="B717" s="504"/>
      <c r="C717" s="504"/>
      <c r="D717" s="504"/>
      <c r="E717" s="506"/>
      <c r="F717" s="506"/>
      <c r="G717" s="506"/>
      <c r="H717" s="506"/>
      <c r="I717" s="506"/>
      <c r="J717" s="506"/>
      <c r="K717" s="507"/>
      <c r="L717" s="508"/>
      <c r="M717" s="508"/>
      <c r="N717" s="508"/>
      <c r="O717" s="509"/>
      <c r="P717" s="509"/>
    </row>
    <row r="718" spans="1:16" ht="21.75" customHeight="1" x14ac:dyDescent="0.3">
      <c r="A718" s="504"/>
      <c r="B718" s="504"/>
      <c r="C718" s="504"/>
      <c r="D718" s="504"/>
      <c r="E718" s="506"/>
      <c r="F718" s="506"/>
      <c r="G718" s="506"/>
      <c r="H718" s="506"/>
      <c r="I718" s="506"/>
      <c r="J718" s="506"/>
      <c r="K718" s="507"/>
      <c r="L718" s="508"/>
      <c r="M718" s="508"/>
      <c r="N718" s="508"/>
      <c r="O718" s="509"/>
      <c r="P718" s="509"/>
    </row>
    <row r="719" spans="1:16" ht="21.75" customHeight="1" x14ac:dyDescent="0.3">
      <c r="A719" s="504"/>
      <c r="B719" s="504"/>
      <c r="C719" s="504"/>
      <c r="D719" s="504"/>
      <c r="E719" s="506"/>
      <c r="F719" s="506"/>
      <c r="G719" s="506"/>
      <c r="H719" s="506"/>
      <c r="I719" s="506"/>
      <c r="J719" s="506"/>
      <c r="K719" s="507"/>
      <c r="L719" s="508"/>
      <c r="M719" s="508"/>
      <c r="N719" s="508"/>
      <c r="O719" s="509"/>
      <c r="P719" s="509"/>
    </row>
    <row r="720" spans="1:16" ht="21.75" customHeight="1" x14ac:dyDescent="0.3">
      <c r="A720" s="504"/>
      <c r="B720" s="504"/>
      <c r="C720" s="504"/>
      <c r="D720" s="504"/>
      <c r="E720" s="506"/>
      <c r="F720" s="506"/>
      <c r="G720" s="506"/>
      <c r="H720" s="506"/>
      <c r="I720" s="506"/>
      <c r="J720" s="506"/>
      <c r="K720" s="507"/>
      <c r="L720" s="508"/>
      <c r="M720" s="508"/>
      <c r="N720" s="508"/>
      <c r="O720" s="509"/>
      <c r="P720" s="509"/>
    </row>
    <row r="721" spans="1:16" ht="21.75" customHeight="1" x14ac:dyDescent="0.3">
      <c r="A721" s="504"/>
      <c r="B721" s="504"/>
      <c r="C721" s="504"/>
      <c r="D721" s="504"/>
      <c r="E721" s="506"/>
      <c r="F721" s="506"/>
      <c r="G721" s="506"/>
      <c r="H721" s="506"/>
      <c r="I721" s="506"/>
      <c r="J721" s="506"/>
      <c r="K721" s="507"/>
      <c r="L721" s="508"/>
      <c r="M721" s="508"/>
      <c r="N721" s="508"/>
      <c r="O721" s="509"/>
      <c r="P721" s="509"/>
    </row>
    <row r="722" spans="1:16" ht="21.75" customHeight="1" x14ac:dyDescent="0.3">
      <c r="A722" s="504"/>
      <c r="B722" s="504"/>
      <c r="C722" s="504"/>
      <c r="D722" s="504"/>
      <c r="E722" s="506"/>
      <c r="F722" s="506"/>
      <c r="G722" s="506"/>
      <c r="H722" s="506"/>
      <c r="I722" s="506"/>
      <c r="J722" s="506"/>
      <c r="K722" s="507"/>
      <c r="L722" s="508"/>
      <c r="M722" s="508"/>
      <c r="N722" s="508"/>
      <c r="O722" s="509"/>
      <c r="P722" s="509"/>
    </row>
    <row r="723" spans="1:16" ht="21.75" customHeight="1" x14ac:dyDescent="0.3">
      <c r="A723" s="504"/>
      <c r="B723" s="504"/>
      <c r="C723" s="504"/>
      <c r="D723" s="504"/>
      <c r="E723" s="506"/>
      <c r="F723" s="506"/>
      <c r="G723" s="506"/>
      <c r="H723" s="506"/>
      <c r="I723" s="506"/>
      <c r="J723" s="506"/>
      <c r="K723" s="507"/>
      <c r="L723" s="508"/>
      <c r="M723" s="508"/>
      <c r="N723" s="508"/>
      <c r="O723" s="509"/>
      <c r="P723" s="509"/>
    </row>
    <row r="724" spans="1:16" ht="21.75" customHeight="1" x14ac:dyDescent="0.3">
      <c r="A724" s="504"/>
      <c r="B724" s="504"/>
      <c r="C724" s="504"/>
      <c r="D724" s="504"/>
      <c r="E724" s="506"/>
      <c r="F724" s="506"/>
      <c r="G724" s="506"/>
      <c r="H724" s="506"/>
      <c r="I724" s="506"/>
      <c r="J724" s="506"/>
      <c r="K724" s="507"/>
      <c r="L724" s="508"/>
      <c r="M724" s="508"/>
      <c r="N724" s="508"/>
      <c r="O724" s="509"/>
      <c r="P724" s="509"/>
    </row>
    <row r="725" spans="1:16" ht="21.75" customHeight="1" x14ac:dyDescent="0.3">
      <c r="A725" s="504"/>
      <c r="B725" s="504"/>
      <c r="C725" s="504"/>
      <c r="D725" s="504"/>
      <c r="E725" s="506"/>
      <c r="F725" s="506"/>
      <c r="G725" s="506"/>
      <c r="H725" s="506"/>
      <c r="I725" s="506"/>
      <c r="J725" s="506"/>
      <c r="K725" s="507"/>
      <c r="L725" s="508"/>
      <c r="M725" s="508"/>
      <c r="N725" s="508"/>
      <c r="O725" s="509"/>
      <c r="P725" s="509"/>
    </row>
    <row r="726" spans="1:16" ht="21.75" customHeight="1" x14ac:dyDescent="0.3">
      <c r="A726" s="504"/>
      <c r="B726" s="504"/>
      <c r="C726" s="504"/>
      <c r="D726" s="504"/>
      <c r="E726" s="506"/>
      <c r="F726" s="506"/>
      <c r="G726" s="506"/>
      <c r="H726" s="506"/>
      <c r="I726" s="506"/>
      <c r="J726" s="506"/>
      <c r="K726" s="507"/>
      <c r="L726" s="508"/>
      <c r="M726" s="508"/>
      <c r="N726" s="508"/>
      <c r="O726" s="509"/>
      <c r="P726" s="509"/>
    </row>
    <row r="727" spans="1:16" ht="21.75" customHeight="1" x14ac:dyDescent="0.3">
      <c r="A727" s="504"/>
      <c r="B727" s="504"/>
      <c r="C727" s="504"/>
      <c r="D727" s="504"/>
      <c r="E727" s="506"/>
      <c r="F727" s="506"/>
      <c r="G727" s="506"/>
      <c r="H727" s="506"/>
      <c r="I727" s="506"/>
      <c r="J727" s="506"/>
      <c r="K727" s="507"/>
      <c r="L727" s="508"/>
      <c r="M727" s="508"/>
      <c r="N727" s="508"/>
      <c r="O727" s="509"/>
      <c r="P727" s="509"/>
    </row>
    <row r="728" spans="1:16" ht="21.75" customHeight="1" x14ac:dyDescent="0.3">
      <c r="A728" s="504"/>
      <c r="B728" s="504"/>
      <c r="C728" s="504"/>
      <c r="D728" s="504"/>
      <c r="E728" s="506"/>
      <c r="F728" s="506"/>
      <c r="G728" s="506"/>
      <c r="H728" s="506"/>
      <c r="I728" s="506"/>
      <c r="J728" s="506"/>
      <c r="K728" s="507"/>
      <c r="L728" s="508"/>
      <c r="M728" s="508"/>
      <c r="N728" s="508"/>
      <c r="O728" s="509"/>
      <c r="P728" s="509"/>
    </row>
    <row r="729" spans="1:16" ht="21.75" customHeight="1" x14ac:dyDescent="0.3">
      <c r="A729" s="504"/>
      <c r="B729" s="504"/>
      <c r="C729" s="504"/>
      <c r="D729" s="504"/>
      <c r="E729" s="506"/>
      <c r="F729" s="506"/>
      <c r="G729" s="506"/>
      <c r="H729" s="506"/>
      <c r="I729" s="506"/>
      <c r="J729" s="506"/>
      <c r="K729" s="507"/>
      <c r="L729" s="508"/>
      <c r="M729" s="508"/>
      <c r="N729" s="508"/>
      <c r="O729" s="509"/>
      <c r="P729" s="509"/>
    </row>
    <row r="730" spans="1:16" ht="21.75" customHeight="1" x14ac:dyDescent="0.3">
      <c r="A730" s="504"/>
      <c r="B730" s="504"/>
      <c r="C730" s="504"/>
      <c r="D730" s="504"/>
      <c r="E730" s="506"/>
      <c r="F730" s="506"/>
      <c r="G730" s="506"/>
      <c r="H730" s="506"/>
      <c r="I730" s="506"/>
      <c r="J730" s="506"/>
      <c r="K730" s="507"/>
      <c r="L730" s="508"/>
      <c r="M730" s="508"/>
      <c r="N730" s="508"/>
      <c r="O730" s="509"/>
      <c r="P730" s="509"/>
    </row>
    <row r="731" spans="1:16" ht="21.75" customHeight="1" x14ac:dyDescent="0.3">
      <c r="A731" s="504"/>
      <c r="B731" s="504"/>
      <c r="C731" s="504"/>
      <c r="D731" s="504"/>
      <c r="E731" s="506"/>
      <c r="F731" s="506"/>
      <c r="G731" s="506"/>
      <c r="H731" s="506"/>
      <c r="I731" s="506"/>
      <c r="J731" s="506"/>
      <c r="K731" s="507"/>
      <c r="L731" s="508"/>
      <c r="M731" s="508"/>
      <c r="N731" s="508"/>
      <c r="O731" s="509"/>
      <c r="P731" s="509"/>
    </row>
    <row r="732" spans="1:16" ht="21.75" customHeight="1" x14ac:dyDescent="0.3">
      <c r="A732" s="504"/>
      <c r="B732" s="504"/>
      <c r="C732" s="504"/>
      <c r="D732" s="504"/>
      <c r="E732" s="506"/>
      <c r="F732" s="506"/>
      <c r="G732" s="506"/>
      <c r="H732" s="506"/>
      <c r="I732" s="506"/>
      <c r="J732" s="506"/>
      <c r="K732" s="507"/>
      <c r="L732" s="508"/>
      <c r="M732" s="508"/>
      <c r="N732" s="508"/>
      <c r="O732" s="509"/>
      <c r="P732" s="509"/>
    </row>
    <row r="733" spans="1:16" ht="21.75" customHeight="1" x14ac:dyDescent="0.3">
      <c r="A733" s="504"/>
      <c r="B733" s="504"/>
      <c r="C733" s="504"/>
      <c r="D733" s="504"/>
      <c r="E733" s="506"/>
      <c r="F733" s="506"/>
      <c r="G733" s="506"/>
      <c r="H733" s="506"/>
      <c r="I733" s="506"/>
      <c r="J733" s="506"/>
      <c r="K733" s="507"/>
      <c r="L733" s="508"/>
      <c r="M733" s="508"/>
      <c r="N733" s="508"/>
      <c r="O733" s="509"/>
      <c r="P733" s="509"/>
    </row>
    <row r="734" spans="1:16" ht="21.75" customHeight="1" x14ac:dyDescent="0.3">
      <c r="A734" s="504"/>
      <c r="B734" s="504"/>
      <c r="C734" s="504"/>
      <c r="D734" s="504"/>
      <c r="E734" s="506"/>
      <c r="F734" s="506"/>
      <c r="G734" s="506"/>
      <c r="H734" s="506"/>
      <c r="I734" s="506"/>
      <c r="J734" s="506"/>
      <c r="K734" s="507"/>
      <c r="L734" s="508"/>
      <c r="M734" s="508"/>
      <c r="N734" s="508"/>
      <c r="O734" s="509"/>
      <c r="P734" s="509"/>
    </row>
    <row r="735" spans="1:16" ht="21.75" customHeight="1" x14ac:dyDescent="0.3">
      <c r="A735" s="504"/>
      <c r="B735" s="504"/>
      <c r="C735" s="504"/>
      <c r="D735" s="504"/>
      <c r="E735" s="506"/>
      <c r="F735" s="506"/>
      <c r="G735" s="506"/>
      <c r="H735" s="506"/>
      <c r="I735" s="506"/>
      <c r="J735" s="506"/>
      <c r="K735" s="507"/>
      <c r="L735" s="508"/>
      <c r="M735" s="508"/>
      <c r="N735" s="508"/>
      <c r="O735" s="509"/>
      <c r="P735" s="509"/>
    </row>
    <row r="736" spans="1:16" ht="21.75" customHeight="1" x14ac:dyDescent="0.3">
      <c r="A736" s="504"/>
      <c r="B736" s="504"/>
      <c r="C736" s="504"/>
      <c r="D736" s="504"/>
      <c r="E736" s="506"/>
      <c r="F736" s="506"/>
      <c r="G736" s="506"/>
      <c r="H736" s="506"/>
      <c r="I736" s="506"/>
      <c r="J736" s="506"/>
      <c r="K736" s="507"/>
      <c r="L736" s="508"/>
      <c r="M736" s="508"/>
      <c r="N736" s="508"/>
      <c r="O736" s="509"/>
      <c r="P736" s="509"/>
    </row>
    <row r="737" spans="1:16" ht="21.75" customHeight="1" x14ac:dyDescent="0.3">
      <c r="A737" s="504"/>
      <c r="B737" s="504"/>
      <c r="C737" s="504"/>
      <c r="D737" s="504"/>
      <c r="E737" s="506"/>
      <c r="F737" s="506"/>
      <c r="G737" s="506"/>
      <c r="H737" s="506"/>
      <c r="I737" s="506"/>
      <c r="J737" s="506"/>
      <c r="K737" s="507"/>
      <c r="L737" s="508"/>
      <c r="M737" s="508"/>
      <c r="N737" s="508"/>
      <c r="O737" s="509"/>
      <c r="P737" s="509"/>
    </row>
    <row r="738" spans="1:16" ht="21.75" customHeight="1" x14ac:dyDescent="0.3">
      <c r="A738" s="504"/>
      <c r="B738" s="504"/>
      <c r="C738" s="504"/>
      <c r="D738" s="504"/>
      <c r="E738" s="506"/>
      <c r="F738" s="506"/>
      <c r="G738" s="506"/>
      <c r="H738" s="506"/>
      <c r="I738" s="506"/>
      <c r="J738" s="506"/>
      <c r="K738" s="507"/>
      <c r="L738" s="508"/>
      <c r="M738" s="508"/>
      <c r="N738" s="508"/>
      <c r="O738" s="509"/>
      <c r="P738" s="509"/>
    </row>
    <row r="739" spans="1:16" ht="21.75" customHeight="1" x14ac:dyDescent="0.3">
      <c r="A739" s="504"/>
      <c r="B739" s="504"/>
      <c r="C739" s="504"/>
      <c r="D739" s="504"/>
      <c r="E739" s="506"/>
      <c r="F739" s="506"/>
      <c r="G739" s="506"/>
      <c r="H739" s="506"/>
      <c r="I739" s="506"/>
      <c r="J739" s="506"/>
      <c r="K739" s="507"/>
      <c r="L739" s="508"/>
      <c r="M739" s="508"/>
      <c r="N739" s="508"/>
      <c r="O739" s="509"/>
      <c r="P739" s="509"/>
    </row>
    <row r="740" spans="1:16" ht="21.75" customHeight="1" x14ac:dyDescent="0.3">
      <c r="A740" s="504"/>
      <c r="B740" s="504"/>
      <c r="C740" s="504"/>
      <c r="D740" s="504"/>
      <c r="E740" s="506"/>
      <c r="F740" s="506"/>
      <c r="G740" s="506"/>
      <c r="H740" s="506"/>
      <c r="I740" s="506"/>
      <c r="J740" s="506"/>
      <c r="K740" s="507"/>
      <c r="L740" s="508"/>
      <c r="M740" s="508"/>
      <c r="N740" s="508"/>
      <c r="O740" s="509"/>
      <c r="P740" s="509"/>
    </row>
    <row r="741" spans="1:16" ht="21.75" customHeight="1" x14ac:dyDescent="0.3">
      <c r="A741" s="504"/>
      <c r="B741" s="504"/>
      <c r="C741" s="504"/>
      <c r="D741" s="504"/>
      <c r="E741" s="506"/>
      <c r="F741" s="506"/>
      <c r="G741" s="506"/>
      <c r="H741" s="506"/>
      <c r="I741" s="506"/>
      <c r="J741" s="506"/>
      <c r="K741" s="507"/>
      <c r="L741" s="508"/>
      <c r="M741" s="508"/>
      <c r="N741" s="508"/>
      <c r="O741" s="509"/>
      <c r="P741" s="509"/>
    </row>
    <row r="742" spans="1:16" ht="21.75" customHeight="1" x14ac:dyDescent="0.3">
      <c r="A742" s="504"/>
      <c r="B742" s="504"/>
      <c r="C742" s="504"/>
      <c r="D742" s="504"/>
      <c r="E742" s="506"/>
      <c r="F742" s="506"/>
      <c r="G742" s="506"/>
      <c r="H742" s="506"/>
      <c r="I742" s="506"/>
      <c r="J742" s="506"/>
      <c r="K742" s="507"/>
      <c r="L742" s="508"/>
      <c r="M742" s="508"/>
      <c r="N742" s="508"/>
      <c r="O742" s="509"/>
      <c r="P742" s="509"/>
    </row>
    <row r="743" spans="1:16" ht="21.75" customHeight="1" x14ac:dyDescent="0.3">
      <c r="A743" s="504"/>
      <c r="B743" s="504"/>
      <c r="C743" s="504"/>
      <c r="D743" s="504"/>
      <c r="E743" s="506"/>
      <c r="F743" s="506"/>
      <c r="G743" s="506"/>
      <c r="H743" s="506"/>
      <c r="I743" s="506"/>
      <c r="J743" s="506"/>
      <c r="K743" s="507"/>
      <c r="L743" s="508"/>
      <c r="M743" s="508"/>
      <c r="N743" s="508"/>
      <c r="O743" s="509"/>
      <c r="P743" s="509"/>
    </row>
    <row r="744" spans="1:16" ht="21.75" customHeight="1" x14ac:dyDescent="0.3">
      <c r="A744" s="504"/>
      <c r="B744" s="504"/>
      <c r="C744" s="504"/>
      <c r="D744" s="504"/>
      <c r="E744" s="506"/>
      <c r="F744" s="506"/>
      <c r="G744" s="506"/>
      <c r="H744" s="506"/>
      <c r="I744" s="506"/>
      <c r="J744" s="506"/>
      <c r="K744" s="507"/>
      <c r="L744" s="508"/>
      <c r="M744" s="508"/>
      <c r="N744" s="508"/>
      <c r="O744" s="509"/>
      <c r="P744" s="509"/>
    </row>
    <row r="745" spans="1:16" ht="21.75" customHeight="1" x14ac:dyDescent="0.3">
      <c r="A745" s="504"/>
      <c r="B745" s="504"/>
      <c r="C745" s="504"/>
      <c r="D745" s="504"/>
      <c r="E745" s="506"/>
      <c r="F745" s="506"/>
      <c r="G745" s="506"/>
      <c r="H745" s="506"/>
      <c r="I745" s="506"/>
      <c r="J745" s="506"/>
      <c r="K745" s="507"/>
      <c r="L745" s="508"/>
      <c r="M745" s="508"/>
      <c r="N745" s="508"/>
      <c r="O745" s="509"/>
      <c r="P745" s="509"/>
    </row>
    <row r="746" spans="1:16" ht="21.75" customHeight="1" x14ac:dyDescent="0.3">
      <c r="A746" s="504"/>
      <c r="B746" s="504"/>
      <c r="C746" s="504"/>
      <c r="D746" s="504"/>
      <c r="E746" s="506"/>
      <c r="F746" s="506"/>
      <c r="G746" s="506"/>
      <c r="H746" s="506"/>
      <c r="I746" s="506"/>
      <c r="J746" s="506"/>
      <c r="K746" s="507"/>
      <c r="L746" s="508"/>
      <c r="M746" s="508"/>
      <c r="N746" s="508"/>
      <c r="O746" s="509"/>
      <c r="P746" s="509"/>
    </row>
    <row r="747" spans="1:16" ht="21.75" customHeight="1" x14ac:dyDescent="0.3">
      <c r="A747" s="504"/>
      <c r="B747" s="504"/>
      <c r="C747" s="504"/>
      <c r="D747" s="504"/>
      <c r="E747" s="506"/>
      <c r="F747" s="506"/>
      <c r="G747" s="506"/>
      <c r="H747" s="506"/>
      <c r="I747" s="506"/>
      <c r="J747" s="506"/>
      <c r="K747" s="507"/>
      <c r="L747" s="508"/>
      <c r="M747" s="508"/>
      <c r="N747" s="508"/>
      <c r="O747" s="509"/>
      <c r="P747" s="509"/>
    </row>
    <row r="748" spans="1:16" ht="21.75" customHeight="1" x14ac:dyDescent="0.3">
      <c r="A748" s="504"/>
      <c r="B748" s="504"/>
      <c r="C748" s="504"/>
      <c r="D748" s="504"/>
      <c r="E748" s="506"/>
      <c r="F748" s="506"/>
      <c r="G748" s="506"/>
      <c r="H748" s="506"/>
      <c r="I748" s="506"/>
      <c r="J748" s="506"/>
      <c r="K748" s="507"/>
      <c r="L748" s="508"/>
      <c r="M748" s="508"/>
      <c r="N748" s="508"/>
      <c r="O748" s="509"/>
      <c r="P748" s="509"/>
    </row>
    <row r="749" spans="1:16" ht="21.75" customHeight="1" x14ac:dyDescent="0.3">
      <c r="A749" s="504"/>
      <c r="B749" s="504"/>
      <c r="C749" s="504"/>
      <c r="D749" s="504"/>
      <c r="E749" s="506"/>
      <c r="F749" s="506"/>
      <c r="G749" s="506"/>
      <c r="H749" s="506"/>
      <c r="I749" s="506"/>
      <c r="J749" s="506"/>
      <c r="K749" s="507"/>
      <c r="L749" s="508"/>
      <c r="M749" s="508"/>
      <c r="N749" s="508"/>
      <c r="O749" s="509"/>
      <c r="P749" s="509"/>
    </row>
    <row r="750" spans="1:16" ht="21.75" customHeight="1" x14ac:dyDescent="0.3">
      <c r="A750" s="504"/>
      <c r="B750" s="504"/>
      <c r="C750" s="504"/>
      <c r="D750" s="504"/>
      <c r="E750" s="506"/>
      <c r="F750" s="506"/>
      <c r="G750" s="506"/>
      <c r="H750" s="506"/>
      <c r="I750" s="506"/>
      <c r="J750" s="506"/>
      <c r="K750" s="507"/>
      <c r="L750" s="508"/>
      <c r="M750" s="508"/>
      <c r="N750" s="508"/>
      <c r="O750" s="509"/>
      <c r="P750" s="509"/>
    </row>
    <row r="751" spans="1:16" ht="21.75" customHeight="1" x14ac:dyDescent="0.3">
      <c r="A751" s="504"/>
      <c r="B751" s="504"/>
      <c r="C751" s="504"/>
      <c r="D751" s="504"/>
      <c r="E751" s="506"/>
      <c r="F751" s="506"/>
      <c r="G751" s="506"/>
      <c r="H751" s="506"/>
      <c r="I751" s="506"/>
      <c r="J751" s="506"/>
      <c r="K751" s="507"/>
      <c r="L751" s="508"/>
      <c r="M751" s="508"/>
      <c r="N751" s="508"/>
      <c r="O751" s="509"/>
      <c r="P751" s="509"/>
    </row>
    <row r="752" spans="1:16" ht="21.75" customHeight="1" x14ac:dyDescent="0.3">
      <c r="A752" s="504"/>
      <c r="B752" s="504"/>
      <c r="C752" s="504"/>
      <c r="D752" s="504"/>
      <c r="E752" s="506"/>
      <c r="F752" s="506"/>
      <c r="G752" s="506"/>
      <c r="H752" s="506"/>
      <c r="I752" s="506"/>
      <c r="J752" s="506"/>
      <c r="K752" s="507"/>
      <c r="L752" s="508"/>
      <c r="M752" s="508"/>
      <c r="N752" s="508"/>
      <c r="O752" s="509"/>
      <c r="P752" s="509"/>
    </row>
    <row r="753" spans="1:16" ht="21.75" customHeight="1" x14ac:dyDescent="0.3">
      <c r="A753" s="504"/>
      <c r="B753" s="504"/>
      <c r="C753" s="504"/>
      <c r="D753" s="504"/>
      <c r="E753" s="506"/>
      <c r="F753" s="506"/>
      <c r="G753" s="506"/>
      <c r="H753" s="506"/>
      <c r="I753" s="506"/>
      <c r="J753" s="506"/>
      <c r="K753" s="507"/>
      <c r="L753" s="508"/>
      <c r="M753" s="508"/>
      <c r="N753" s="508"/>
      <c r="O753" s="509"/>
      <c r="P753" s="509"/>
    </row>
    <row r="754" spans="1:16" ht="21.75" customHeight="1" x14ac:dyDescent="0.3">
      <c r="A754" s="504"/>
      <c r="B754" s="504"/>
      <c r="C754" s="504"/>
      <c r="D754" s="504"/>
      <c r="E754" s="506"/>
      <c r="F754" s="506"/>
      <c r="G754" s="506"/>
      <c r="H754" s="506"/>
      <c r="I754" s="506"/>
      <c r="J754" s="506"/>
      <c r="K754" s="507"/>
      <c r="L754" s="508"/>
      <c r="M754" s="508"/>
      <c r="N754" s="508"/>
      <c r="O754" s="509"/>
      <c r="P754" s="509"/>
    </row>
    <row r="755" spans="1:16" ht="21.75" customHeight="1" x14ac:dyDescent="0.3">
      <c r="A755" s="504"/>
      <c r="B755" s="504"/>
      <c r="C755" s="504"/>
      <c r="D755" s="504"/>
      <c r="E755" s="506"/>
      <c r="F755" s="506"/>
      <c r="G755" s="506"/>
      <c r="H755" s="506"/>
      <c r="I755" s="506"/>
      <c r="J755" s="506"/>
      <c r="K755" s="507"/>
      <c r="L755" s="508"/>
      <c r="M755" s="508"/>
      <c r="N755" s="508"/>
      <c r="O755" s="509"/>
      <c r="P755" s="509"/>
    </row>
    <row r="756" spans="1:16" ht="21.75" customHeight="1" x14ac:dyDescent="0.3">
      <c r="A756" s="504"/>
      <c r="B756" s="504"/>
      <c r="C756" s="504"/>
      <c r="D756" s="504"/>
      <c r="E756" s="506"/>
      <c r="F756" s="506"/>
      <c r="G756" s="506"/>
      <c r="H756" s="506"/>
      <c r="I756" s="506"/>
      <c r="J756" s="506"/>
      <c r="K756" s="507"/>
      <c r="L756" s="508"/>
      <c r="M756" s="508"/>
      <c r="N756" s="508"/>
      <c r="O756" s="509"/>
      <c r="P756" s="509"/>
    </row>
    <row r="757" spans="1:16" ht="21.75" customHeight="1" x14ac:dyDescent="0.3">
      <c r="A757" s="504"/>
      <c r="B757" s="504"/>
      <c r="C757" s="504"/>
      <c r="D757" s="504"/>
      <c r="E757" s="506"/>
      <c r="F757" s="506"/>
      <c r="G757" s="506"/>
      <c r="H757" s="506"/>
      <c r="I757" s="506"/>
      <c r="J757" s="506"/>
      <c r="K757" s="507"/>
      <c r="L757" s="508"/>
      <c r="M757" s="508"/>
      <c r="N757" s="508"/>
      <c r="O757" s="509"/>
      <c r="P757" s="509"/>
    </row>
    <row r="758" spans="1:16" ht="21.75" customHeight="1" x14ac:dyDescent="0.3">
      <c r="A758" s="504"/>
      <c r="B758" s="504"/>
      <c r="C758" s="504"/>
      <c r="D758" s="504"/>
      <c r="E758" s="506"/>
      <c r="F758" s="506"/>
      <c r="G758" s="506"/>
      <c r="H758" s="506"/>
      <c r="I758" s="506"/>
      <c r="J758" s="506"/>
      <c r="K758" s="507"/>
      <c r="L758" s="508"/>
      <c r="M758" s="508"/>
      <c r="N758" s="508"/>
      <c r="O758" s="509"/>
      <c r="P758" s="509"/>
    </row>
    <row r="759" spans="1:16" ht="21.75" customHeight="1" x14ac:dyDescent="0.3">
      <c r="A759" s="504"/>
      <c r="B759" s="504"/>
      <c r="C759" s="504"/>
      <c r="D759" s="504"/>
      <c r="E759" s="506"/>
      <c r="F759" s="506"/>
      <c r="G759" s="506"/>
      <c r="H759" s="506"/>
      <c r="I759" s="506"/>
      <c r="J759" s="506"/>
      <c r="K759" s="507"/>
      <c r="L759" s="508"/>
      <c r="M759" s="508"/>
      <c r="N759" s="508"/>
      <c r="O759" s="509"/>
      <c r="P759" s="509"/>
    </row>
    <row r="760" spans="1:16" ht="21.75" customHeight="1" x14ac:dyDescent="0.3">
      <c r="A760" s="504"/>
      <c r="B760" s="504"/>
      <c r="C760" s="504"/>
      <c r="D760" s="504"/>
      <c r="E760" s="506"/>
      <c r="F760" s="506"/>
      <c r="G760" s="506"/>
      <c r="H760" s="506"/>
      <c r="I760" s="506"/>
      <c r="J760" s="506"/>
      <c r="K760" s="507"/>
      <c r="L760" s="508"/>
      <c r="M760" s="508"/>
      <c r="N760" s="508"/>
      <c r="O760" s="509"/>
      <c r="P760" s="509"/>
    </row>
    <row r="761" spans="1:16" ht="21.75" customHeight="1" x14ac:dyDescent="0.3">
      <c r="A761" s="504"/>
      <c r="B761" s="504"/>
      <c r="C761" s="504"/>
      <c r="D761" s="504"/>
      <c r="E761" s="506"/>
      <c r="F761" s="506"/>
      <c r="G761" s="506"/>
      <c r="H761" s="506"/>
      <c r="I761" s="506"/>
      <c r="J761" s="506"/>
      <c r="K761" s="507"/>
      <c r="L761" s="508"/>
      <c r="M761" s="508"/>
      <c r="N761" s="508"/>
      <c r="O761" s="509"/>
      <c r="P761" s="509"/>
    </row>
    <row r="762" spans="1:16" ht="21.75" customHeight="1" x14ac:dyDescent="0.3">
      <c r="A762" s="504"/>
      <c r="B762" s="504"/>
      <c r="C762" s="504"/>
      <c r="D762" s="504"/>
      <c r="E762" s="506"/>
      <c r="F762" s="506"/>
      <c r="G762" s="506"/>
      <c r="H762" s="506"/>
      <c r="I762" s="506"/>
      <c r="J762" s="506"/>
      <c r="K762" s="507"/>
      <c r="L762" s="508"/>
      <c r="M762" s="508"/>
      <c r="N762" s="508"/>
      <c r="O762" s="509"/>
      <c r="P762" s="509"/>
    </row>
    <row r="763" spans="1:16" ht="21.75" customHeight="1" x14ac:dyDescent="0.3">
      <c r="A763" s="504"/>
      <c r="B763" s="504"/>
      <c r="C763" s="504"/>
      <c r="D763" s="504"/>
      <c r="E763" s="506"/>
      <c r="F763" s="506"/>
      <c r="G763" s="506"/>
      <c r="H763" s="506"/>
      <c r="I763" s="506"/>
      <c r="J763" s="506"/>
      <c r="K763" s="507"/>
      <c r="L763" s="508"/>
      <c r="M763" s="508"/>
      <c r="N763" s="508"/>
      <c r="O763" s="509"/>
      <c r="P763" s="509"/>
    </row>
    <row r="764" spans="1:16" ht="21.75" customHeight="1" x14ac:dyDescent="0.3">
      <c r="A764" s="504"/>
      <c r="B764" s="504"/>
      <c r="C764" s="504"/>
      <c r="D764" s="504"/>
      <c r="E764" s="506"/>
      <c r="F764" s="506"/>
      <c r="G764" s="506"/>
      <c r="H764" s="506"/>
      <c r="I764" s="506"/>
      <c r="J764" s="506"/>
      <c r="K764" s="507"/>
      <c r="L764" s="508"/>
      <c r="M764" s="508"/>
      <c r="N764" s="508"/>
      <c r="O764" s="509"/>
      <c r="P764" s="509"/>
    </row>
    <row r="765" spans="1:16" ht="21.75" customHeight="1" x14ac:dyDescent="0.3">
      <c r="A765" s="504"/>
      <c r="B765" s="504"/>
      <c r="C765" s="504"/>
      <c r="D765" s="504"/>
      <c r="E765" s="506"/>
      <c r="F765" s="506"/>
      <c r="G765" s="506"/>
      <c r="H765" s="506"/>
      <c r="I765" s="506"/>
      <c r="J765" s="506"/>
      <c r="K765" s="507"/>
      <c r="L765" s="508"/>
      <c r="M765" s="508"/>
      <c r="N765" s="508"/>
      <c r="O765" s="509"/>
      <c r="P765" s="509"/>
    </row>
    <row r="766" spans="1:16" ht="21.75" customHeight="1" x14ac:dyDescent="0.3">
      <c r="A766" s="504"/>
      <c r="B766" s="504"/>
      <c r="C766" s="504"/>
      <c r="D766" s="504"/>
      <c r="E766" s="506"/>
      <c r="F766" s="506"/>
      <c r="G766" s="506"/>
      <c r="H766" s="506"/>
      <c r="I766" s="506"/>
      <c r="J766" s="506"/>
      <c r="K766" s="507"/>
      <c r="L766" s="508"/>
      <c r="M766" s="508"/>
      <c r="N766" s="508"/>
      <c r="O766" s="509"/>
      <c r="P766" s="509"/>
    </row>
    <row r="767" spans="1:16" ht="21.75" customHeight="1" x14ac:dyDescent="0.3">
      <c r="A767" s="504"/>
      <c r="B767" s="504"/>
      <c r="C767" s="504"/>
      <c r="D767" s="504"/>
      <c r="E767" s="506"/>
      <c r="F767" s="506"/>
      <c r="G767" s="506"/>
      <c r="H767" s="506"/>
      <c r="I767" s="506"/>
      <c r="J767" s="506"/>
      <c r="K767" s="507"/>
      <c r="L767" s="508"/>
      <c r="M767" s="508"/>
      <c r="N767" s="508"/>
      <c r="O767" s="509"/>
      <c r="P767" s="509"/>
    </row>
    <row r="768" spans="1:16" ht="21.75" customHeight="1" x14ac:dyDescent="0.3">
      <c r="A768" s="504"/>
      <c r="B768" s="504"/>
      <c r="C768" s="504"/>
      <c r="D768" s="504"/>
      <c r="E768" s="506"/>
      <c r="F768" s="506"/>
      <c r="G768" s="506"/>
      <c r="H768" s="506"/>
      <c r="I768" s="506"/>
      <c r="J768" s="506"/>
      <c r="K768" s="507"/>
      <c r="L768" s="508"/>
      <c r="M768" s="508"/>
      <c r="N768" s="508"/>
      <c r="O768" s="509"/>
      <c r="P768" s="509"/>
    </row>
    <row r="769" spans="1:16" ht="21.75" customHeight="1" x14ac:dyDescent="0.3">
      <c r="A769" s="504"/>
      <c r="B769" s="504"/>
      <c r="C769" s="504"/>
      <c r="D769" s="504"/>
      <c r="E769" s="506"/>
      <c r="F769" s="506"/>
      <c r="G769" s="506"/>
      <c r="H769" s="506"/>
      <c r="I769" s="506"/>
      <c r="J769" s="506"/>
      <c r="K769" s="507"/>
      <c r="L769" s="508"/>
      <c r="M769" s="508"/>
      <c r="N769" s="508"/>
      <c r="O769" s="509"/>
      <c r="P769" s="509"/>
    </row>
    <row r="770" spans="1:16" ht="21.75" customHeight="1" x14ac:dyDescent="0.3">
      <c r="A770" s="504"/>
      <c r="B770" s="504"/>
      <c r="C770" s="504"/>
      <c r="D770" s="504"/>
      <c r="E770" s="506"/>
      <c r="F770" s="506"/>
      <c r="G770" s="506"/>
      <c r="H770" s="506"/>
      <c r="I770" s="506"/>
      <c r="J770" s="506"/>
      <c r="K770" s="507"/>
      <c r="L770" s="508"/>
      <c r="M770" s="508"/>
      <c r="N770" s="508"/>
      <c r="O770" s="509"/>
      <c r="P770" s="509"/>
    </row>
    <row r="771" spans="1:16" ht="21.75" customHeight="1" x14ac:dyDescent="0.3">
      <c r="A771" s="504"/>
      <c r="B771" s="504"/>
      <c r="C771" s="504"/>
      <c r="D771" s="504"/>
      <c r="E771" s="506"/>
      <c r="F771" s="506"/>
      <c r="G771" s="506"/>
      <c r="H771" s="506"/>
      <c r="I771" s="506"/>
      <c r="J771" s="506"/>
      <c r="K771" s="507"/>
      <c r="L771" s="508"/>
      <c r="M771" s="508"/>
      <c r="N771" s="508"/>
      <c r="O771" s="509"/>
      <c r="P771" s="509"/>
    </row>
    <row r="772" spans="1:16" ht="21.75" customHeight="1" x14ac:dyDescent="0.3">
      <c r="A772" s="504"/>
      <c r="B772" s="504"/>
      <c r="C772" s="504"/>
      <c r="D772" s="504"/>
      <c r="E772" s="506"/>
      <c r="F772" s="506"/>
      <c r="G772" s="506"/>
      <c r="H772" s="506"/>
      <c r="I772" s="506"/>
      <c r="J772" s="506"/>
      <c r="K772" s="507"/>
      <c r="L772" s="508"/>
      <c r="M772" s="508"/>
      <c r="N772" s="508"/>
      <c r="O772" s="509"/>
      <c r="P772" s="509"/>
    </row>
    <row r="773" spans="1:16" ht="21.75" customHeight="1" x14ac:dyDescent="0.3">
      <c r="A773" s="504"/>
      <c r="B773" s="504"/>
      <c r="C773" s="504"/>
      <c r="D773" s="504"/>
      <c r="E773" s="506"/>
      <c r="F773" s="506"/>
      <c r="G773" s="506"/>
      <c r="H773" s="506"/>
      <c r="I773" s="506"/>
      <c r="J773" s="506"/>
      <c r="K773" s="507"/>
      <c r="L773" s="508"/>
      <c r="M773" s="508"/>
      <c r="N773" s="508"/>
      <c r="O773" s="509"/>
      <c r="P773" s="509"/>
    </row>
    <row r="774" spans="1:16" ht="21.75" customHeight="1" x14ac:dyDescent="0.3">
      <c r="A774" s="504"/>
      <c r="B774" s="504"/>
      <c r="C774" s="504"/>
      <c r="D774" s="504"/>
      <c r="E774" s="506"/>
      <c r="F774" s="506"/>
      <c r="G774" s="506"/>
      <c r="H774" s="506"/>
      <c r="I774" s="506"/>
      <c r="J774" s="506"/>
      <c r="K774" s="507"/>
      <c r="L774" s="508"/>
      <c r="M774" s="508"/>
      <c r="N774" s="508"/>
      <c r="O774" s="509"/>
      <c r="P774" s="509"/>
    </row>
    <row r="775" spans="1:16" ht="21.75" customHeight="1" x14ac:dyDescent="0.3">
      <c r="A775" s="504"/>
      <c r="B775" s="504"/>
      <c r="C775" s="504"/>
      <c r="D775" s="504"/>
      <c r="E775" s="506"/>
      <c r="F775" s="506"/>
      <c r="G775" s="506"/>
      <c r="H775" s="506"/>
      <c r="I775" s="506"/>
      <c r="J775" s="506"/>
      <c r="K775" s="507"/>
      <c r="L775" s="508"/>
      <c r="M775" s="508"/>
      <c r="N775" s="508"/>
      <c r="O775" s="509"/>
      <c r="P775" s="509"/>
    </row>
    <row r="776" spans="1:16" ht="21.75" customHeight="1" x14ac:dyDescent="0.3">
      <c r="A776" s="504"/>
      <c r="B776" s="504"/>
      <c r="C776" s="504"/>
      <c r="D776" s="504"/>
      <c r="E776" s="506"/>
      <c r="F776" s="506"/>
      <c r="G776" s="506"/>
      <c r="H776" s="506"/>
      <c r="I776" s="506"/>
      <c r="J776" s="506"/>
      <c r="K776" s="507"/>
      <c r="L776" s="508"/>
      <c r="M776" s="508"/>
      <c r="N776" s="508"/>
      <c r="O776" s="509"/>
      <c r="P776" s="509"/>
    </row>
    <row r="777" spans="1:16" ht="21.75" customHeight="1" x14ac:dyDescent="0.3">
      <c r="A777" s="504"/>
      <c r="B777" s="504"/>
      <c r="C777" s="504"/>
      <c r="D777" s="504"/>
      <c r="E777" s="506"/>
      <c r="F777" s="506"/>
      <c r="G777" s="506"/>
      <c r="H777" s="506"/>
      <c r="I777" s="506"/>
      <c r="J777" s="506"/>
      <c r="K777" s="507"/>
      <c r="L777" s="508"/>
      <c r="M777" s="508"/>
      <c r="N777" s="508"/>
      <c r="O777" s="509"/>
      <c r="P777" s="509"/>
    </row>
    <row r="778" spans="1:16" ht="21.75" customHeight="1" x14ac:dyDescent="0.3">
      <c r="A778" s="504"/>
      <c r="B778" s="504"/>
      <c r="C778" s="504"/>
      <c r="D778" s="504"/>
      <c r="E778" s="506"/>
      <c r="F778" s="506"/>
      <c r="G778" s="506"/>
      <c r="H778" s="506"/>
      <c r="I778" s="506"/>
      <c r="J778" s="506"/>
      <c r="K778" s="507"/>
      <c r="L778" s="508"/>
      <c r="M778" s="508"/>
      <c r="N778" s="508"/>
      <c r="O778" s="509"/>
      <c r="P778" s="509"/>
    </row>
    <row r="779" spans="1:16" ht="21.75" customHeight="1" x14ac:dyDescent="0.3">
      <c r="A779" s="504"/>
      <c r="B779" s="504"/>
      <c r="C779" s="504"/>
      <c r="D779" s="504"/>
      <c r="E779" s="506"/>
      <c r="F779" s="506"/>
      <c r="G779" s="506"/>
      <c r="H779" s="506"/>
      <c r="I779" s="506"/>
      <c r="J779" s="506"/>
      <c r="K779" s="507"/>
      <c r="L779" s="508"/>
      <c r="M779" s="508"/>
      <c r="N779" s="508"/>
      <c r="O779" s="509"/>
      <c r="P779" s="509"/>
    </row>
    <row r="780" spans="1:16" ht="21.75" customHeight="1" x14ac:dyDescent="0.3">
      <c r="A780" s="504"/>
      <c r="B780" s="504"/>
      <c r="C780" s="504"/>
      <c r="D780" s="504"/>
      <c r="E780" s="506"/>
      <c r="F780" s="506"/>
      <c r="G780" s="506"/>
      <c r="H780" s="506"/>
      <c r="I780" s="506"/>
      <c r="J780" s="506"/>
      <c r="K780" s="507"/>
      <c r="L780" s="508"/>
      <c r="M780" s="508"/>
      <c r="N780" s="508"/>
      <c r="O780" s="509"/>
      <c r="P780" s="509"/>
    </row>
    <row r="781" spans="1:16" ht="21.75" customHeight="1" x14ac:dyDescent="0.3">
      <c r="A781" s="504"/>
      <c r="B781" s="504"/>
      <c r="C781" s="504"/>
      <c r="D781" s="504"/>
      <c r="E781" s="506"/>
      <c r="F781" s="506"/>
      <c r="G781" s="506"/>
      <c r="H781" s="506"/>
      <c r="I781" s="506"/>
      <c r="J781" s="506"/>
      <c r="K781" s="507"/>
      <c r="L781" s="508"/>
      <c r="M781" s="508"/>
      <c r="N781" s="508"/>
      <c r="O781" s="509"/>
      <c r="P781" s="509"/>
    </row>
    <row r="782" spans="1:16" ht="21.75" customHeight="1" x14ac:dyDescent="0.3">
      <c r="A782" s="504"/>
      <c r="B782" s="504"/>
      <c r="C782" s="504"/>
      <c r="D782" s="504"/>
      <c r="E782" s="506"/>
      <c r="F782" s="506"/>
      <c r="G782" s="506"/>
      <c r="H782" s="506"/>
      <c r="I782" s="506"/>
      <c r="J782" s="506"/>
      <c r="K782" s="507"/>
      <c r="L782" s="508"/>
      <c r="M782" s="508"/>
      <c r="N782" s="508"/>
      <c r="O782" s="509"/>
      <c r="P782" s="509"/>
    </row>
    <row r="783" spans="1:16" ht="21.75" customHeight="1" x14ac:dyDescent="0.3">
      <c r="A783" s="504"/>
      <c r="B783" s="504"/>
      <c r="C783" s="504"/>
      <c r="D783" s="504"/>
      <c r="E783" s="506"/>
      <c r="F783" s="506"/>
      <c r="G783" s="506"/>
      <c r="H783" s="506"/>
      <c r="I783" s="506"/>
      <c r="J783" s="506"/>
      <c r="K783" s="507"/>
      <c r="L783" s="508"/>
      <c r="M783" s="508"/>
      <c r="N783" s="508"/>
      <c r="O783" s="509"/>
      <c r="P783" s="509"/>
    </row>
    <row r="784" spans="1:16" ht="21.75" customHeight="1" x14ac:dyDescent="0.3">
      <c r="A784" s="504"/>
      <c r="B784" s="504"/>
      <c r="C784" s="504"/>
      <c r="D784" s="504"/>
      <c r="E784" s="506"/>
      <c r="F784" s="506"/>
      <c r="G784" s="506"/>
      <c r="H784" s="506"/>
      <c r="I784" s="506"/>
      <c r="J784" s="506"/>
      <c r="K784" s="507"/>
      <c r="L784" s="508"/>
      <c r="M784" s="508"/>
      <c r="N784" s="508"/>
      <c r="O784" s="509"/>
      <c r="P784" s="509"/>
    </row>
    <row r="785" spans="1:16" ht="21.75" customHeight="1" x14ac:dyDescent="0.3">
      <c r="A785" s="504"/>
      <c r="B785" s="504"/>
      <c r="C785" s="504"/>
      <c r="D785" s="504"/>
      <c r="E785" s="506"/>
      <c r="F785" s="506"/>
      <c r="G785" s="506"/>
      <c r="H785" s="506"/>
      <c r="I785" s="506"/>
      <c r="J785" s="506"/>
      <c r="K785" s="507"/>
      <c r="L785" s="508"/>
      <c r="M785" s="508"/>
      <c r="N785" s="508"/>
      <c r="O785" s="509"/>
      <c r="P785" s="509"/>
    </row>
    <row r="786" spans="1:16" ht="21.75" customHeight="1" x14ac:dyDescent="0.3">
      <c r="A786" s="504"/>
      <c r="B786" s="504"/>
      <c r="C786" s="504"/>
      <c r="D786" s="504"/>
      <c r="E786" s="506"/>
      <c r="F786" s="506"/>
      <c r="G786" s="506"/>
      <c r="H786" s="506"/>
      <c r="I786" s="506"/>
      <c r="J786" s="506"/>
      <c r="K786" s="507"/>
      <c r="L786" s="508"/>
      <c r="M786" s="508"/>
      <c r="N786" s="508"/>
      <c r="O786" s="509"/>
      <c r="P786" s="509"/>
    </row>
    <row r="787" spans="1:16" ht="21.75" customHeight="1" x14ac:dyDescent="0.3">
      <c r="A787" s="504"/>
      <c r="B787" s="504"/>
      <c r="C787" s="504"/>
      <c r="D787" s="504"/>
      <c r="E787" s="506"/>
      <c r="F787" s="506"/>
      <c r="G787" s="506"/>
      <c r="H787" s="506"/>
      <c r="I787" s="506"/>
      <c r="J787" s="506"/>
      <c r="K787" s="507"/>
      <c r="L787" s="508"/>
      <c r="M787" s="508"/>
      <c r="N787" s="508"/>
      <c r="O787" s="509"/>
      <c r="P787" s="509"/>
    </row>
    <row r="788" spans="1:16" ht="21.75" customHeight="1" x14ac:dyDescent="0.3">
      <c r="A788" s="504"/>
      <c r="B788" s="504"/>
      <c r="C788" s="504"/>
      <c r="D788" s="504"/>
      <c r="E788" s="506"/>
      <c r="F788" s="506"/>
      <c r="G788" s="506"/>
      <c r="H788" s="506"/>
      <c r="I788" s="506"/>
      <c r="J788" s="506"/>
      <c r="K788" s="507"/>
      <c r="L788" s="508"/>
      <c r="M788" s="508"/>
      <c r="N788" s="508"/>
      <c r="O788" s="509"/>
      <c r="P788" s="509"/>
    </row>
    <row r="789" spans="1:16" ht="21.75" customHeight="1" x14ac:dyDescent="0.3">
      <c r="A789" s="504"/>
      <c r="B789" s="504"/>
      <c r="C789" s="504"/>
      <c r="D789" s="504"/>
      <c r="E789" s="506"/>
      <c r="F789" s="506"/>
      <c r="G789" s="506"/>
      <c r="H789" s="506"/>
      <c r="I789" s="506"/>
      <c r="J789" s="506"/>
      <c r="K789" s="507"/>
      <c r="L789" s="508"/>
      <c r="M789" s="508"/>
      <c r="N789" s="508"/>
      <c r="O789" s="509"/>
      <c r="P789" s="509"/>
    </row>
    <row r="790" spans="1:16" ht="21.75" customHeight="1" x14ac:dyDescent="0.3">
      <c r="A790" s="504"/>
      <c r="B790" s="504"/>
      <c r="C790" s="504"/>
      <c r="D790" s="504"/>
      <c r="E790" s="506"/>
      <c r="F790" s="506"/>
      <c r="G790" s="506"/>
      <c r="H790" s="506"/>
      <c r="I790" s="506"/>
      <c r="J790" s="506"/>
      <c r="K790" s="507"/>
      <c r="L790" s="508"/>
      <c r="M790" s="508"/>
      <c r="N790" s="508"/>
      <c r="O790" s="509"/>
      <c r="P790" s="509"/>
    </row>
    <row r="791" spans="1:16" ht="21.75" customHeight="1" x14ac:dyDescent="0.3">
      <c r="A791" s="504"/>
      <c r="B791" s="504"/>
      <c r="C791" s="504"/>
      <c r="D791" s="504"/>
      <c r="E791" s="506"/>
      <c r="F791" s="506"/>
      <c r="G791" s="506"/>
      <c r="H791" s="506"/>
      <c r="I791" s="506"/>
      <c r="J791" s="506"/>
      <c r="K791" s="507"/>
      <c r="L791" s="508"/>
      <c r="M791" s="508"/>
      <c r="N791" s="508"/>
      <c r="O791" s="509"/>
      <c r="P791" s="509"/>
    </row>
    <row r="792" spans="1:16" ht="21.75" customHeight="1" x14ac:dyDescent="0.3">
      <c r="A792" s="504"/>
      <c r="B792" s="504"/>
      <c r="C792" s="504"/>
      <c r="D792" s="504"/>
      <c r="E792" s="506"/>
      <c r="F792" s="506"/>
      <c r="G792" s="506"/>
      <c r="H792" s="506"/>
      <c r="I792" s="506"/>
      <c r="J792" s="506"/>
      <c r="K792" s="507"/>
      <c r="L792" s="508"/>
      <c r="M792" s="508"/>
      <c r="N792" s="508"/>
      <c r="O792" s="509"/>
      <c r="P792" s="509"/>
    </row>
    <row r="793" spans="1:16" ht="21.75" customHeight="1" x14ac:dyDescent="0.3">
      <c r="A793" s="504"/>
      <c r="B793" s="504"/>
      <c r="C793" s="504"/>
      <c r="D793" s="504"/>
      <c r="E793" s="506"/>
      <c r="F793" s="506"/>
      <c r="G793" s="506"/>
      <c r="H793" s="506"/>
      <c r="I793" s="506"/>
      <c r="J793" s="506"/>
      <c r="K793" s="507"/>
      <c r="L793" s="508"/>
      <c r="M793" s="508"/>
      <c r="N793" s="508"/>
      <c r="O793" s="509"/>
      <c r="P793" s="509"/>
    </row>
    <row r="794" spans="1:16" ht="21.75" customHeight="1" x14ac:dyDescent="0.3">
      <c r="A794" s="504"/>
      <c r="B794" s="504"/>
      <c r="C794" s="504"/>
      <c r="D794" s="504"/>
      <c r="E794" s="506"/>
      <c r="F794" s="506"/>
      <c r="G794" s="506"/>
      <c r="H794" s="506"/>
      <c r="I794" s="506"/>
      <c r="J794" s="506"/>
      <c r="K794" s="507"/>
      <c r="L794" s="508"/>
      <c r="M794" s="508"/>
      <c r="N794" s="508"/>
      <c r="O794" s="509"/>
      <c r="P794" s="509"/>
    </row>
    <row r="795" spans="1:16" ht="21.75" customHeight="1" x14ac:dyDescent="0.3">
      <c r="A795" s="504"/>
      <c r="B795" s="504"/>
      <c r="C795" s="504"/>
      <c r="D795" s="504"/>
      <c r="E795" s="506"/>
      <c r="F795" s="506"/>
      <c r="G795" s="506"/>
      <c r="H795" s="506"/>
      <c r="I795" s="506"/>
      <c r="J795" s="506"/>
      <c r="K795" s="507"/>
      <c r="L795" s="508"/>
      <c r="M795" s="508"/>
      <c r="N795" s="508"/>
      <c r="O795" s="509"/>
      <c r="P795" s="509"/>
    </row>
    <row r="796" spans="1:16" ht="21.75" customHeight="1" x14ac:dyDescent="0.3">
      <c r="A796" s="504"/>
      <c r="B796" s="504"/>
      <c r="C796" s="504"/>
      <c r="D796" s="504"/>
      <c r="E796" s="506"/>
      <c r="F796" s="506"/>
      <c r="G796" s="506"/>
      <c r="H796" s="506"/>
      <c r="I796" s="506"/>
      <c r="J796" s="506"/>
      <c r="K796" s="507"/>
      <c r="L796" s="508"/>
      <c r="M796" s="508"/>
      <c r="N796" s="508"/>
      <c r="O796" s="509"/>
      <c r="P796" s="509"/>
    </row>
    <row r="797" spans="1:16" ht="21.75" customHeight="1" x14ac:dyDescent="0.3">
      <c r="A797" s="504"/>
      <c r="B797" s="504"/>
      <c r="C797" s="504"/>
      <c r="D797" s="504"/>
      <c r="E797" s="506"/>
      <c r="F797" s="506"/>
      <c r="G797" s="506"/>
      <c r="H797" s="506"/>
      <c r="I797" s="506"/>
      <c r="J797" s="506"/>
      <c r="K797" s="507"/>
      <c r="L797" s="508"/>
      <c r="M797" s="508"/>
      <c r="N797" s="508"/>
      <c r="O797" s="509"/>
      <c r="P797" s="509"/>
    </row>
    <row r="798" spans="1:16" ht="21.75" customHeight="1" x14ac:dyDescent="0.3">
      <c r="A798" s="504"/>
      <c r="B798" s="504"/>
      <c r="C798" s="504"/>
      <c r="D798" s="504"/>
      <c r="E798" s="506"/>
      <c r="F798" s="506"/>
      <c r="G798" s="506"/>
      <c r="H798" s="506"/>
      <c r="I798" s="506"/>
      <c r="J798" s="506"/>
      <c r="K798" s="507"/>
      <c r="L798" s="508"/>
      <c r="M798" s="508"/>
      <c r="N798" s="508"/>
      <c r="O798" s="509"/>
      <c r="P798" s="509"/>
    </row>
    <row r="799" spans="1:16" ht="21.75" customHeight="1" x14ac:dyDescent="0.3">
      <c r="A799" s="504"/>
      <c r="B799" s="504"/>
      <c r="C799" s="504"/>
      <c r="D799" s="504"/>
      <c r="E799" s="506"/>
      <c r="F799" s="506"/>
      <c r="G799" s="506"/>
      <c r="H799" s="506"/>
      <c r="I799" s="506"/>
      <c r="J799" s="506"/>
      <c r="K799" s="507"/>
      <c r="L799" s="508"/>
      <c r="M799" s="508"/>
      <c r="N799" s="508"/>
      <c r="O799" s="509"/>
      <c r="P799" s="509"/>
    </row>
    <row r="800" spans="1:16" ht="21.75" customHeight="1" x14ac:dyDescent="0.3">
      <c r="A800" s="504"/>
      <c r="B800" s="504"/>
      <c r="C800" s="504"/>
      <c r="D800" s="504"/>
      <c r="E800" s="506"/>
      <c r="F800" s="506"/>
      <c r="G800" s="506"/>
      <c r="H800" s="506"/>
      <c r="I800" s="506"/>
      <c r="J800" s="506"/>
      <c r="K800" s="507"/>
      <c r="L800" s="508"/>
      <c r="M800" s="508"/>
      <c r="N800" s="508"/>
      <c r="O800" s="509"/>
      <c r="P800" s="509"/>
    </row>
    <row r="801" spans="1:16" ht="21.75" customHeight="1" x14ac:dyDescent="0.3">
      <c r="A801" s="504"/>
      <c r="B801" s="504"/>
      <c r="C801" s="504"/>
      <c r="D801" s="504"/>
      <c r="E801" s="506"/>
      <c r="F801" s="506"/>
      <c r="G801" s="506"/>
      <c r="H801" s="506"/>
      <c r="I801" s="506"/>
      <c r="J801" s="506"/>
      <c r="K801" s="507"/>
      <c r="L801" s="508"/>
      <c r="M801" s="508"/>
      <c r="N801" s="508"/>
      <c r="O801" s="509"/>
      <c r="P801" s="509"/>
    </row>
    <row r="802" spans="1:16" ht="21.75" customHeight="1" x14ac:dyDescent="0.3">
      <c r="A802" s="504"/>
      <c r="B802" s="504"/>
      <c r="C802" s="504"/>
      <c r="D802" s="504"/>
      <c r="E802" s="506"/>
      <c r="F802" s="506"/>
      <c r="G802" s="506"/>
      <c r="H802" s="506"/>
      <c r="I802" s="506"/>
      <c r="J802" s="506"/>
      <c r="K802" s="507"/>
      <c r="L802" s="508"/>
      <c r="M802" s="508"/>
      <c r="N802" s="508"/>
      <c r="O802" s="509"/>
      <c r="P802" s="509"/>
    </row>
    <row r="803" spans="1:16" ht="21.75" customHeight="1" x14ac:dyDescent="0.3">
      <c r="A803" s="504"/>
      <c r="B803" s="504"/>
      <c r="C803" s="504"/>
      <c r="D803" s="504"/>
      <c r="E803" s="506"/>
      <c r="F803" s="506"/>
      <c r="G803" s="506"/>
      <c r="H803" s="506"/>
      <c r="I803" s="506"/>
      <c r="J803" s="506"/>
      <c r="K803" s="507"/>
      <c r="L803" s="508"/>
      <c r="M803" s="508"/>
      <c r="N803" s="508"/>
      <c r="O803" s="509"/>
      <c r="P803" s="509"/>
    </row>
    <row r="804" spans="1:16" ht="21.75" customHeight="1" x14ac:dyDescent="0.3">
      <c r="A804" s="504"/>
      <c r="B804" s="504"/>
      <c r="C804" s="504"/>
      <c r="D804" s="504"/>
      <c r="E804" s="506"/>
      <c r="F804" s="506"/>
      <c r="G804" s="506"/>
      <c r="H804" s="506"/>
      <c r="I804" s="506"/>
      <c r="J804" s="506"/>
      <c r="K804" s="507"/>
      <c r="L804" s="508"/>
      <c r="M804" s="508"/>
      <c r="N804" s="508"/>
      <c r="O804" s="509"/>
      <c r="P804" s="509"/>
    </row>
    <row r="805" spans="1:16" ht="21.75" customHeight="1" x14ac:dyDescent="0.3">
      <c r="A805" s="504"/>
      <c r="B805" s="504"/>
      <c r="C805" s="504"/>
      <c r="D805" s="504"/>
      <c r="E805" s="506"/>
      <c r="F805" s="506"/>
      <c r="G805" s="506"/>
      <c r="H805" s="506"/>
      <c r="I805" s="506"/>
      <c r="J805" s="506"/>
      <c r="K805" s="507"/>
      <c r="L805" s="508"/>
      <c r="M805" s="508"/>
      <c r="N805" s="508"/>
      <c r="O805" s="509"/>
      <c r="P805" s="509"/>
    </row>
    <row r="806" spans="1:16" ht="21.75" customHeight="1" x14ac:dyDescent="0.3">
      <c r="A806" s="504"/>
      <c r="B806" s="504"/>
      <c r="C806" s="504"/>
      <c r="D806" s="504"/>
      <c r="E806" s="506"/>
      <c r="F806" s="506"/>
      <c r="G806" s="506"/>
      <c r="H806" s="506"/>
      <c r="I806" s="506"/>
      <c r="J806" s="506"/>
      <c r="K806" s="507"/>
      <c r="L806" s="508"/>
      <c r="M806" s="508"/>
      <c r="N806" s="508"/>
      <c r="O806" s="509"/>
      <c r="P806" s="509"/>
    </row>
    <row r="807" spans="1:16" ht="21.75" customHeight="1" x14ac:dyDescent="0.3">
      <c r="A807" s="504"/>
      <c r="B807" s="504"/>
      <c r="C807" s="504"/>
      <c r="D807" s="504"/>
      <c r="E807" s="506"/>
      <c r="F807" s="506"/>
      <c r="G807" s="506"/>
      <c r="H807" s="506"/>
      <c r="I807" s="506"/>
      <c r="J807" s="506"/>
      <c r="K807" s="507"/>
      <c r="L807" s="508"/>
      <c r="M807" s="508"/>
      <c r="N807" s="508"/>
      <c r="O807" s="509"/>
      <c r="P807" s="509"/>
    </row>
    <row r="808" spans="1:16" ht="21.75" customHeight="1" x14ac:dyDescent="0.3">
      <c r="A808" s="504"/>
      <c r="B808" s="504"/>
      <c r="C808" s="504"/>
      <c r="D808" s="504"/>
      <c r="E808" s="506"/>
      <c r="F808" s="506"/>
      <c r="G808" s="506"/>
      <c r="H808" s="506"/>
      <c r="I808" s="506"/>
      <c r="J808" s="506"/>
      <c r="K808" s="507"/>
      <c r="L808" s="508"/>
      <c r="M808" s="508"/>
      <c r="N808" s="508"/>
      <c r="O808" s="509"/>
      <c r="P808" s="509"/>
    </row>
    <row r="809" spans="1:16" ht="21.75" customHeight="1" x14ac:dyDescent="0.3">
      <c r="A809" s="504"/>
      <c r="B809" s="504"/>
      <c r="C809" s="504"/>
      <c r="D809" s="504"/>
      <c r="E809" s="506"/>
      <c r="F809" s="506"/>
      <c r="G809" s="506"/>
      <c r="H809" s="506"/>
      <c r="I809" s="506"/>
      <c r="J809" s="506"/>
      <c r="K809" s="507"/>
      <c r="L809" s="508"/>
      <c r="M809" s="508"/>
      <c r="N809" s="508"/>
      <c r="O809" s="509"/>
      <c r="P809" s="509"/>
    </row>
    <row r="810" spans="1:16" ht="21.75" customHeight="1" x14ac:dyDescent="0.3">
      <c r="A810" s="504"/>
      <c r="B810" s="504"/>
      <c r="C810" s="504"/>
      <c r="D810" s="504"/>
      <c r="E810" s="506"/>
      <c r="F810" s="506"/>
      <c r="G810" s="506"/>
      <c r="H810" s="506"/>
      <c r="I810" s="506"/>
      <c r="J810" s="506"/>
      <c r="K810" s="507"/>
      <c r="L810" s="508"/>
      <c r="M810" s="508"/>
      <c r="N810" s="508"/>
      <c r="O810" s="509"/>
      <c r="P810" s="509"/>
    </row>
    <row r="811" spans="1:16" ht="21.75" customHeight="1" x14ac:dyDescent="0.3">
      <c r="A811" s="504"/>
      <c r="B811" s="504"/>
      <c r="C811" s="504"/>
      <c r="D811" s="504"/>
      <c r="E811" s="506"/>
      <c r="F811" s="506"/>
      <c r="G811" s="506"/>
      <c r="H811" s="506"/>
      <c r="I811" s="506"/>
      <c r="J811" s="506"/>
      <c r="K811" s="507"/>
      <c r="L811" s="508"/>
      <c r="M811" s="508"/>
      <c r="N811" s="508"/>
      <c r="O811" s="509"/>
      <c r="P811" s="509"/>
    </row>
    <row r="812" spans="1:16" ht="21.75" customHeight="1" x14ac:dyDescent="0.3">
      <c r="A812" s="504"/>
      <c r="B812" s="504"/>
      <c r="C812" s="504"/>
      <c r="D812" s="504"/>
      <c r="E812" s="506"/>
      <c r="F812" s="506"/>
      <c r="G812" s="506"/>
      <c r="H812" s="506"/>
      <c r="I812" s="506"/>
      <c r="J812" s="506"/>
      <c r="K812" s="507"/>
      <c r="L812" s="508"/>
      <c r="M812" s="508"/>
      <c r="N812" s="508"/>
      <c r="O812" s="509"/>
      <c r="P812" s="509"/>
    </row>
    <row r="813" spans="1:16" ht="21.75" customHeight="1" x14ac:dyDescent="0.3">
      <c r="A813" s="504"/>
      <c r="B813" s="504"/>
      <c r="C813" s="504"/>
      <c r="D813" s="504"/>
      <c r="E813" s="506"/>
      <c r="F813" s="506"/>
      <c r="G813" s="506"/>
      <c r="H813" s="506"/>
      <c r="I813" s="506"/>
      <c r="J813" s="506"/>
      <c r="K813" s="507"/>
      <c r="L813" s="508"/>
      <c r="M813" s="508"/>
      <c r="N813" s="508"/>
      <c r="O813" s="509"/>
      <c r="P813" s="509"/>
    </row>
    <row r="814" spans="1:16" ht="21.75" customHeight="1" x14ac:dyDescent="0.3">
      <c r="A814" s="504"/>
      <c r="B814" s="504"/>
      <c r="C814" s="504"/>
      <c r="D814" s="504"/>
      <c r="E814" s="506"/>
      <c r="F814" s="506"/>
      <c r="G814" s="506"/>
      <c r="H814" s="506"/>
      <c r="I814" s="506"/>
      <c r="J814" s="506"/>
      <c r="K814" s="507"/>
      <c r="L814" s="508"/>
      <c r="M814" s="508"/>
      <c r="N814" s="508"/>
      <c r="O814" s="509"/>
      <c r="P814" s="509"/>
    </row>
    <row r="815" spans="1:16" ht="21.75" customHeight="1" x14ac:dyDescent="0.3">
      <c r="A815" s="504"/>
      <c r="B815" s="504"/>
      <c r="C815" s="504"/>
      <c r="D815" s="504"/>
      <c r="E815" s="506"/>
      <c r="F815" s="506"/>
      <c r="G815" s="506"/>
      <c r="H815" s="506"/>
      <c r="I815" s="506"/>
      <c r="J815" s="506"/>
      <c r="K815" s="507"/>
      <c r="L815" s="508"/>
      <c r="M815" s="508"/>
      <c r="N815" s="508"/>
      <c r="O815" s="509"/>
      <c r="P815" s="509"/>
    </row>
    <row r="816" spans="1:16" ht="21.75" customHeight="1" x14ac:dyDescent="0.3">
      <c r="A816" s="504"/>
      <c r="B816" s="504"/>
      <c r="C816" s="504"/>
      <c r="D816" s="504"/>
      <c r="E816" s="506"/>
      <c r="F816" s="506"/>
      <c r="G816" s="506"/>
      <c r="H816" s="506"/>
      <c r="I816" s="506"/>
      <c r="J816" s="506"/>
      <c r="K816" s="507"/>
      <c r="L816" s="508"/>
      <c r="M816" s="508"/>
      <c r="N816" s="508"/>
      <c r="O816" s="509"/>
      <c r="P816" s="509"/>
    </row>
    <row r="817" spans="1:16" ht="21.75" customHeight="1" x14ac:dyDescent="0.3">
      <c r="A817" s="504"/>
      <c r="B817" s="504"/>
      <c r="C817" s="504"/>
      <c r="D817" s="504"/>
      <c r="E817" s="506"/>
      <c r="F817" s="506"/>
      <c r="G817" s="506"/>
      <c r="H817" s="506"/>
      <c r="I817" s="506"/>
      <c r="J817" s="506"/>
      <c r="K817" s="507"/>
      <c r="L817" s="508"/>
      <c r="M817" s="508"/>
      <c r="N817" s="508"/>
      <c r="O817" s="509"/>
      <c r="P817" s="509"/>
    </row>
    <row r="818" spans="1:16" ht="21.75" customHeight="1" x14ac:dyDescent="0.3">
      <c r="A818" s="504"/>
      <c r="B818" s="504"/>
      <c r="C818" s="504"/>
      <c r="D818" s="504"/>
      <c r="E818" s="506"/>
      <c r="F818" s="506"/>
      <c r="G818" s="506"/>
      <c r="H818" s="506"/>
      <c r="I818" s="506"/>
      <c r="J818" s="506"/>
      <c r="K818" s="507"/>
      <c r="L818" s="508"/>
      <c r="M818" s="508"/>
      <c r="N818" s="508"/>
      <c r="O818" s="509"/>
      <c r="P818" s="509"/>
    </row>
    <row r="819" spans="1:16" ht="21.75" customHeight="1" x14ac:dyDescent="0.3">
      <c r="A819" s="504"/>
      <c r="B819" s="504"/>
      <c r="C819" s="504"/>
      <c r="D819" s="504"/>
      <c r="E819" s="506"/>
      <c r="F819" s="506"/>
      <c r="G819" s="506"/>
      <c r="H819" s="506"/>
      <c r="I819" s="506"/>
      <c r="J819" s="506"/>
      <c r="K819" s="507"/>
      <c r="L819" s="508"/>
      <c r="M819" s="508"/>
      <c r="N819" s="508"/>
      <c r="O819" s="509"/>
      <c r="P819" s="509"/>
    </row>
    <row r="820" spans="1:16" ht="21.75" customHeight="1" x14ac:dyDescent="0.3">
      <c r="A820" s="504"/>
      <c r="B820" s="504"/>
      <c r="C820" s="504"/>
      <c r="D820" s="504"/>
      <c r="E820" s="506"/>
      <c r="F820" s="506"/>
      <c r="G820" s="506"/>
      <c r="H820" s="506"/>
      <c r="I820" s="506"/>
      <c r="J820" s="506"/>
      <c r="K820" s="507"/>
      <c r="L820" s="508"/>
      <c r="M820" s="508"/>
      <c r="N820" s="508"/>
      <c r="O820" s="509"/>
      <c r="P820" s="509"/>
    </row>
    <row r="821" spans="1:16" ht="21.75" customHeight="1" x14ac:dyDescent="0.3">
      <c r="A821" s="504"/>
      <c r="B821" s="504"/>
      <c r="C821" s="504"/>
      <c r="D821" s="504"/>
      <c r="E821" s="506"/>
      <c r="F821" s="506"/>
      <c r="G821" s="506"/>
      <c r="H821" s="506"/>
      <c r="I821" s="506"/>
      <c r="J821" s="506"/>
      <c r="K821" s="507"/>
      <c r="L821" s="508"/>
      <c r="M821" s="508"/>
      <c r="N821" s="508"/>
      <c r="O821" s="509"/>
      <c r="P821" s="509"/>
    </row>
    <row r="822" spans="1:16" ht="21.75" customHeight="1" x14ac:dyDescent="0.3">
      <c r="A822" s="504"/>
      <c r="B822" s="504"/>
      <c r="C822" s="504"/>
      <c r="D822" s="504"/>
      <c r="E822" s="506"/>
      <c r="F822" s="506"/>
      <c r="G822" s="506"/>
      <c r="H822" s="506"/>
      <c r="I822" s="506"/>
      <c r="J822" s="506"/>
      <c r="K822" s="507"/>
      <c r="L822" s="508"/>
      <c r="M822" s="508"/>
      <c r="N822" s="508"/>
      <c r="O822" s="509"/>
      <c r="P822" s="509"/>
    </row>
    <row r="823" spans="1:16" ht="21.75" customHeight="1" x14ac:dyDescent="0.3">
      <c r="A823" s="504"/>
      <c r="B823" s="504"/>
      <c r="C823" s="504"/>
      <c r="D823" s="504"/>
      <c r="E823" s="506"/>
      <c r="F823" s="506"/>
      <c r="G823" s="506"/>
      <c r="H823" s="506"/>
      <c r="I823" s="506"/>
      <c r="J823" s="506"/>
      <c r="K823" s="507"/>
      <c r="L823" s="508"/>
      <c r="M823" s="508"/>
      <c r="N823" s="508"/>
      <c r="O823" s="509"/>
      <c r="P823" s="509"/>
    </row>
    <row r="824" spans="1:16" ht="21.75" customHeight="1" x14ac:dyDescent="0.3">
      <c r="A824" s="504"/>
      <c r="B824" s="504"/>
      <c r="C824" s="504"/>
      <c r="D824" s="504"/>
      <c r="E824" s="506"/>
      <c r="F824" s="506"/>
      <c r="G824" s="506"/>
      <c r="H824" s="506"/>
      <c r="I824" s="506"/>
      <c r="J824" s="506"/>
      <c r="K824" s="507"/>
      <c r="L824" s="508"/>
      <c r="M824" s="508"/>
      <c r="N824" s="508"/>
      <c r="O824" s="509"/>
      <c r="P824" s="509"/>
    </row>
    <row r="825" spans="1:16" ht="21.75" customHeight="1" x14ac:dyDescent="0.3">
      <c r="A825" s="504"/>
      <c r="B825" s="504"/>
      <c r="C825" s="504"/>
      <c r="D825" s="504"/>
      <c r="E825" s="506"/>
      <c r="F825" s="506"/>
      <c r="G825" s="506"/>
      <c r="H825" s="506"/>
      <c r="I825" s="506"/>
      <c r="J825" s="506"/>
      <c r="K825" s="507"/>
      <c r="L825" s="508"/>
      <c r="M825" s="508"/>
      <c r="N825" s="508"/>
      <c r="O825" s="509"/>
      <c r="P825" s="509"/>
    </row>
    <row r="826" spans="1:16" ht="21.75" customHeight="1" x14ac:dyDescent="0.3">
      <c r="A826" s="504"/>
      <c r="B826" s="504"/>
      <c r="C826" s="504"/>
      <c r="D826" s="504"/>
      <c r="E826" s="506"/>
      <c r="F826" s="506"/>
      <c r="G826" s="506"/>
      <c r="H826" s="506"/>
      <c r="I826" s="506"/>
      <c r="J826" s="506"/>
      <c r="K826" s="507"/>
      <c r="L826" s="508"/>
      <c r="M826" s="508"/>
      <c r="N826" s="508"/>
      <c r="O826" s="509"/>
      <c r="P826" s="509"/>
    </row>
    <row r="827" spans="1:16" ht="21.75" customHeight="1" x14ac:dyDescent="0.3">
      <c r="A827" s="504"/>
      <c r="B827" s="504"/>
      <c r="C827" s="504"/>
      <c r="D827" s="504"/>
      <c r="E827" s="506"/>
      <c r="F827" s="506"/>
      <c r="G827" s="506"/>
      <c r="H827" s="506"/>
      <c r="I827" s="506"/>
      <c r="J827" s="506"/>
      <c r="K827" s="507"/>
      <c r="L827" s="508"/>
      <c r="M827" s="508"/>
      <c r="N827" s="508"/>
      <c r="O827" s="509"/>
      <c r="P827" s="509"/>
    </row>
    <row r="828" spans="1:16" ht="21.75" customHeight="1" x14ac:dyDescent="0.3">
      <c r="A828" s="504"/>
      <c r="B828" s="504"/>
      <c r="C828" s="504"/>
      <c r="D828" s="504"/>
      <c r="E828" s="506"/>
      <c r="F828" s="506"/>
      <c r="G828" s="506"/>
      <c r="H828" s="506"/>
      <c r="I828" s="506"/>
      <c r="J828" s="506"/>
      <c r="K828" s="507"/>
      <c r="L828" s="508"/>
      <c r="M828" s="508"/>
      <c r="N828" s="508"/>
      <c r="O828" s="509"/>
      <c r="P828" s="509"/>
    </row>
    <row r="829" spans="1:16" ht="21.75" customHeight="1" x14ac:dyDescent="0.3">
      <c r="A829" s="504"/>
      <c r="B829" s="504"/>
      <c r="C829" s="504"/>
      <c r="D829" s="504"/>
      <c r="E829" s="506"/>
      <c r="F829" s="506"/>
      <c r="G829" s="506"/>
      <c r="H829" s="506"/>
      <c r="I829" s="506"/>
      <c r="J829" s="506"/>
      <c r="K829" s="507"/>
      <c r="L829" s="508"/>
      <c r="M829" s="508"/>
      <c r="N829" s="508"/>
      <c r="O829" s="509"/>
      <c r="P829" s="509"/>
    </row>
    <row r="830" spans="1:16" ht="21.75" customHeight="1" x14ac:dyDescent="0.3">
      <c r="A830" s="504"/>
      <c r="B830" s="504"/>
      <c r="C830" s="504"/>
      <c r="D830" s="504"/>
      <c r="E830" s="506"/>
      <c r="F830" s="506"/>
      <c r="G830" s="506"/>
      <c r="H830" s="506"/>
      <c r="I830" s="506"/>
      <c r="J830" s="506"/>
      <c r="K830" s="507"/>
      <c r="L830" s="508"/>
      <c r="M830" s="508"/>
      <c r="N830" s="508"/>
      <c r="O830" s="509"/>
      <c r="P830" s="509"/>
    </row>
    <row r="831" spans="1:16" ht="21.75" customHeight="1" x14ac:dyDescent="0.3">
      <c r="A831" s="504"/>
      <c r="B831" s="504"/>
      <c r="C831" s="504"/>
      <c r="D831" s="504"/>
      <c r="E831" s="506"/>
      <c r="F831" s="506"/>
      <c r="G831" s="506"/>
      <c r="H831" s="506"/>
      <c r="I831" s="506"/>
      <c r="J831" s="506"/>
      <c r="K831" s="507"/>
      <c r="L831" s="508"/>
      <c r="M831" s="508"/>
      <c r="N831" s="508"/>
      <c r="O831" s="509"/>
      <c r="P831" s="509"/>
    </row>
    <row r="832" spans="1:16" ht="21.75" customHeight="1" x14ac:dyDescent="0.3">
      <c r="A832" s="504"/>
      <c r="B832" s="504"/>
      <c r="C832" s="504"/>
      <c r="D832" s="504"/>
      <c r="E832" s="506"/>
      <c r="F832" s="506"/>
      <c r="G832" s="506"/>
      <c r="H832" s="506"/>
      <c r="I832" s="506"/>
      <c r="J832" s="506"/>
      <c r="K832" s="507"/>
      <c r="L832" s="508"/>
      <c r="M832" s="508"/>
      <c r="N832" s="508"/>
      <c r="O832" s="509"/>
      <c r="P832" s="509"/>
    </row>
    <row r="833" spans="1:16" ht="21.75" customHeight="1" x14ac:dyDescent="0.3">
      <c r="A833" s="504"/>
      <c r="B833" s="504"/>
      <c r="C833" s="504"/>
      <c r="D833" s="504"/>
      <c r="E833" s="506"/>
      <c r="F833" s="506"/>
      <c r="G833" s="506"/>
      <c r="H833" s="506"/>
      <c r="I833" s="506"/>
      <c r="J833" s="506"/>
      <c r="K833" s="507"/>
      <c r="L833" s="508"/>
      <c r="M833" s="508"/>
      <c r="N833" s="508"/>
      <c r="O833" s="509"/>
      <c r="P833" s="509"/>
    </row>
    <row r="834" spans="1:16" ht="21.75" customHeight="1" x14ac:dyDescent="0.3">
      <c r="A834" s="504"/>
      <c r="B834" s="504"/>
      <c r="C834" s="504"/>
      <c r="D834" s="504"/>
      <c r="E834" s="506"/>
      <c r="F834" s="506"/>
      <c r="G834" s="506"/>
      <c r="H834" s="506"/>
      <c r="I834" s="506"/>
      <c r="J834" s="506"/>
      <c r="K834" s="507"/>
      <c r="L834" s="508"/>
      <c r="M834" s="508"/>
      <c r="N834" s="508"/>
      <c r="O834" s="509"/>
      <c r="P834" s="509"/>
    </row>
    <row r="835" spans="1:16" ht="21.75" customHeight="1" x14ac:dyDescent="0.3">
      <c r="A835" s="504"/>
      <c r="B835" s="504"/>
      <c r="C835" s="504"/>
      <c r="D835" s="504"/>
      <c r="E835" s="506"/>
      <c r="F835" s="506"/>
      <c r="G835" s="506"/>
      <c r="H835" s="506"/>
      <c r="I835" s="506"/>
      <c r="J835" s="506"/>
      <c r="K835" s="507"/>
      <c r="L835" s="508"/>
      <c r="M835" s="508"/>
      <c r="N835" s="508"/>
      <c r="O835" s="509"/>
      <c r="P835" s="509"/>
    </row>
    <row r="836" spans="1:16" ht="21.75" customHeight="1" x14ac:dyDescent="0.3">
      <c r="A836" s="504"/>
      <c r="B836" s="504"/>
      <c r="C836" s="504"/>
      <c r="D836" s="504"/>
      <c r="E836" s="506"/>
      <c r="F836" s="506"/>
      <c r="G836" s="506"/>
      <c r="H836" s="506"/>
      <c r="I836" s="506"/>
      <c r="J836" s="506"/>
      <c r="K836" s="507"/>
      <c r="L836" s="508"/>
      <c r="M836" s="508"/>
      <c r="N836" s="508"/>
      <c r="O836" s="509"/>
      <c r="P836" s="509"/>
    </row>
    <row r="837" spans="1:16" ht="21.75" customHeight="1" x14ac:dyDescent="0.3">
      <c r="A837" s="504"/>
      <c r="B837" s="504"/>
      <c r="C837" s="504"/>
      <c r="D837" s="504"/>
      <c r="E837" s="506"/>
      <c r="F837" s="506"/>
      <c r="G837" s="506"/>
      <c r="H837" s="506"/>
      <c r="I837" s="506"/>
      <c r="J837" s="506"/>
      <c r="K837" s="507"/>
      <c r="L837" s="508"/>
      <c r="M837" s="508"/>
      <c r="N837" s="508"/>
      <c r="O837" s="509"/>
      <c r="P837" s="509"/>
    </row>
    <row r="838" spans="1:16" ht="21.75" customHeight="1" x14ac:dyDescent="0.3">
      <c r="A838" s="504"/>
      <c r="B838" s="504"/>
      <c r="C838" s="504"/>
      <c r="D838" s="504"/>
      <c r="E838" s="506"/>
      <c r="F838" s="506"/>
      <c r="G838" s="506"/>
      <c r="H838" s="506"/>
      <c r="I838" s="506"/>
      <c r="J838" s="506"/>
      <c r="K838" s="507"/>
      <c r="L838" s="508"/>
      <c r="M838" s="508"/>
      <c r="N838" s="508"/>
      <c r="O838" s="509"/>
      <c r="P838" s="509"/>
    </row>
    <row r="839" spans="1:16" ht="21.75" customHeight="1" x14ac:dyDescent="0.3">
      <c r="A839" s="504"/>
      <c r="B839" s="504"/>
      <c r="C839" s="504"/>
      <c r="D839" s="504"/>
      <c r="E839" s="506"/>
      <c r="F839" s="506"/>
      <c r="G839" s="506"/>
      <c r="H839" s="506"/>
      <c r="I839" s="506"/>
      <c r="J839" s="506"/>
      <c r="K839" s="507"/>
      <c r="L839" s="508"/>
      <c r="M839" s="508"/>
      <c r="N839" s="508"/>
      <c r="O839" s="509"/>
      <c r="P839" s="509"/>
    </row>
    <row r="840" spans="1:16" ht="21.75" customHeight="1" x14ac:dyDescent="0.3">
      <c r="A840" s="504"/>
      <c r="B840" s="504"/>
      <c r="C840" s="504"/>
      <c r="D840" s="504"/>
      <c r="E840" s="506"/>
      <c r="F840" s="506"/>
      <c r="G840" s="506"/>
      <c r="H840" s="506"/>
      <c r="I840" s="506"/>
      <c r="J840" s="506"/>
      <c r="K840" s="507"/>
      <c r="L840" s="508"/>
      <c r="M840" s="508"/>
      <c r="N840" s="508"/>
      <c r="O840" s="509"/>
      <c r="P840" s="509"/>
    </row>
    <row r="841" spans="1:16" ht="21.75" customHeight="1" x14ac:dyDescent="0.3">
      <c r="A841" s="504"/>
      <c r="B841" s="504"/>
      <c r="C841" s="504"/>
      <c r="D841" s="504"/>
      <c r="E841" s="506"/>
      <c r="F841" s="506"/>
      <c r="G841" s="506"/>
      <c r="H841" s="506"/>
      <c r="I841" s="506"/>
      <c r="J841" s="506"/>
      <c r="K841" s="507"/>
      <c r="L841" s="508"/>
      <c r="M841" s="508"/>
      <c r="N841" s="508"/>
      <c r="O841" s="509"/>
      <c r="P841" s="509"/>
    </row>
    <row r="842" spans="1:16" ht="21.75" customHeight="1" x14ac:dyDescent="0.3">
      <c r="A842" s="504"/>
      <c r="B842" s="504"/>
      <c r="C842" s="504"/>
      <c r="D842" s="504"/>
      <c r="E842" s="506"/>
      <c r="F842" s="506"/>
      <c r="G842" s="506"/>
      <c r="H842" s="506"/>
      <c r="I842" s="506"/>
      <c r="J842" s="506"/>
      <c r="K842" s="507"/>
      <c r="L842" s="508"/>
      <c r="M842" s="508"/>
      <c r="N842" s="508"/>
      <c r="O842" s="509"/>
      <c r="P842" s="509"/>
    </row>
    <row r="843" spans="1:16" ht="21.75" customHeight="1" x14ac:dyDescent="0.3">
      <c r="A843" s="504"/>
      <c r="B843" s="504"/>
      <c r="C843" s="504"/>
      <c r="D843" s="504"/>
      <c r="E843" s="506"/>
      <c r="F843" s="506"/>
      <c r="G843" s="506"/>
      <c r="H843" s="506"/>
      <c r="I843" s="506"/>
      <c r="J843" s="506"/>
      <c r="K843" s="507"/>
      <c r="L843" s="508"/>
      <c r="M843" s="508"/>
      <c r="N843" s="508"/>
      <c r="O843" s="509"/>
      <c r="P843" s="509"/>
    </row>
    <row r="844" spans="1:16" ht="21.75" customHeight="1" x14ac:dyDescent="0.3">
      <c r="A844" s="504"/>
      <c r="B844" s="504"/>
      <c r="C844" s="504"/>
      <c r="D844" s="504"/>
      <c r="E844" s="506"/>
      <c r="F844" s="506"/>
      <c r="G844" s="506"/>
      <c r="H844" s="506"/>
      <c r="I844" s="506"/>
      <c r="J844" s="506"/>
      <c r="K844" s="507"/>
      <c r="L844" s="508"/>
      <c r="M844" s="508"/>
      <c r="N844" s="508"/>
      <c r="O844" s="509"/>
      <c r="P844" s="509"/>
    </row>
    <row r="845" spans="1:16" ht="21.75" customHeight="1" x14ac:dyDescent="0.3">
      <c r="A845" s="504"/>
      <c r="B845" s="504"/>
      <c r="C845" s="504"/>
      <c r="D845" s="504"/>
      <c r="E845" s="506"/>
      <c r="F845" s="506"/>
      <c r="G845" s="506"/>
      <c r="H845" s="506"/>
      <c r="I845" s="506"/>
      <c r="J845" s="506"/>
      <c r="K845" s="507"/>
      <c r="L845" s="508"/>
      <c r="M845" s="508"/>
      <c r="N845" s="508"/>
      <c r="O845" s="509"/>
      <c r="P845" s="509"/>
    </row>
    <row r="846" spans="1:16" ht="21.75" customHeight="1" x14ac:dyDescent="0.3">
      <c r="A846" s="504"/>
      <c r="B846" s="504"/>
      <c r="C846" s="504"/>
      <c r="D846" s="504"/>
      <c r="E846" s="506"/>
      <c r="F846" s="506"/>
      <c r="G846" s="506"/>
      <c r="H846" s="506"/>
      <c r="I846" s="506"/>
      <c r="J846" s="506"/>
      <c r="K846" s="507"/>
      <c r="L846" s="508"/>
      <c r="M846" s="508"/>
      <c r="N846" s="508"/>
      <c r="O846" s="509"/>
      <c r="P846" s="509"/>
    </row>
    <row r="847" spans="1:16" ht="21.75" customHeight="1" x14ac:dyDescent="0.3">
      <c r="A847" s="504"/>
      <c r="B847" s="504"/>
      <c r="C847" s="504"/>
      <c r="D847" s="504"/>
      <c r="E847" s="506"/>
      <c r="F847" s="506"/>
      <c r="G847" s="506"/>
      <c r="H847" s="506"/>
      <c r="I847" s="506"/>
      <c r="J847" s="506"/>
      <c r="K847" s="507"/>
      <c r="L847" s="508"/>
      <c r="M847" s="508"/>
      <c r="N847" s="508"/>
      <c r="O847" s="509"/>
      <c r="P847" s="509"/>
    </row>
    <row r="848" spans="1:16" ht="21.75" customHeight="1" x14ac:dyDescent="0.3">
      <c r="A848" s="504"/>
      <c r="B848" s="504"/>
      <c r="C848" s="504"/>
      <c r="D848" s="504"/>
      <c r="E848" s="506"/>
      <c r="F848" s="506"/>
      <c r="G848" s="506"/>
      <c r="H848" s="506"/>
      <c r="I848" s="506"/>
      <c r="J848" s="506"/>
      <c r="K848" s="507"/>
      <c r="L848" s="508"/>
      <c r="M848" s="508"/>
      <c r="N848" s="508"/>
      <c r="O848" s="509"/>
      <c r="P848" s="509"/>
    </row>
    <row r="849" spans="1:16" ht="21.75" customHeight="1" x14ac:dyDescent="0.3">
      <c r="A849" s="504"/>
      <c r="B849" s="504"/>
      <c r="C849" s="504"/>
      <c r="D849" s="504"/>
      <c r="E849" s="506"/>
      <c r="F849" s="506"/>
      <c r="G849" s="506"/>
      <c r="H849" s="506"/>
      <c r="I849" s="506"/>
      <c r="J849" s="506"/>
      <c r="K849" s="507"/>
      <c r="L849" s="508"/>
      <c r="M849" s="508"/>
      <c r="N849" s="508"/>
      <c r="O849" s="509"/>
      <c r="P849" s="509"/>
    </row>
    <row r="850" spans="1:16" ht="21.75" customHeight="1" x14ac:dyDescent="0.3">
      <c r="A850" s="504"/>
      <c r="B850" s="504"/>
      <c r="C850" s="504"/>
      <c r="D850" s="504"/>
      <c r="E850" s="506"/>
      <c r="F850" s="506"/>
      <c r="G850" s="506"/>
      <c r="H850" s="506"/>
      <c r="I850" s="506"/>
      <c r="J850" s="506"/>
      <c r="K850" s="507"/>
      <c r="L850" s="508"/>
      <c r="M850" s="508"/>
      <c r="N850" s="508"/>
      <c r="O850" s="509"/>
      <c r="P850" s="509"/>
    </row>
    <row r="851" spans="1:16" ht="21.75" customHeight="1" x14ac:dyDescent="0.3">
      <c r="A851" s="504"/>
      <c r="B851" s="504"/>
      <c r="C851" s="504"/>
      <c r="D851" s="504"/>
      <c r="E851" s="506"/>
      <c r="F851" s="506"/>
      <c r="G851" s="506"/>
      <c r="H851" s="506"/>
      <c r="I851" s="506"/>
      <c r="J851" s="506"/>
      <c r="K851" s="507"/>
      <c r="L851" s="508"/>
      <c r="M851" s="508"/>
      <c r="N851" s="508"/>
      <c r="O851" s="509"/>
      <c r="P851" s="509"/>
    </row>
    <row r="852" spans="1:16" ht="21.75" customHeight="1" x14ac:dyDescent="0.3">
      <c r="A852" s="504"/>
      <c r="B852" s="504"/>
      <c r="C852" s="504"/>
      <c r="D852" s="504"/>
      <c r="E852" s="506"/>
      <c r="F852" s="506"/>
      <c r="G852" s="506"/>
      <c r="H852" s="506"/>
      <c r="I852" s="506"/>
      <c r="J852" s="506"/>
      <c r="K852" s="507"/>
      <c r="L852" s="508"/>
      <c r="M852" s="508"/>
      <c r="N852" s="508"/>
      <c r="O852" s="509"/>
      <c r="P852" s="509"/>
    </row>
    <row r="853" spans="1:16" ht="21.75" customHeight="1" x14ac:dyDescent="0.3">
      <c r="A853" s="504"/>
      <c r="B853" s="504"/>
      <c r="C853" s="504"/>
      <c r="D853" s="504"/>
      <c r="E853" s="506"/>
      <c r="F853" s="506"/>
      <c r="G853" s="506"/>
      <c r="H853" s="506"/>
      <c r="I853" s="506"/>
      <c r="J853" s="506"/>
      <c r="K853" s="507"/>
      <c r="L853" s="508"/>
      <c r="M853" s="508"/>
      <c r="N853" s="508"/>
      <c r="O853" s="509"/>
      <c r="P853" s="509"/>
    </row>
    <row r="854" spans="1:16" ht="21.75" customHeight="1" x14ac:dyDescent="0.3">
      <c r="A854" s="504"/>
      <c r="B854" s="504"/>
      <c r="C854" s="504"/>
      <c r="D854" s="504"/>
      <c r="E854" s="506"/>
      <c r="F854" s="506"/>
      <c r="G854" s="506"/>
      <c r="H854" s="506"/>
      <c r="I854" s="506"/>
      <c r="J854" s="506"/>
      <c r="K854" s="507"/>
      <c r="L854" s="508"/>
      <c r="M854" s="508"/>
      <c r="N854" s="508"/>
      <c r="O854" s="509"/>
      <c r="P854" s="509"/>
    </row>
    <row r="855" spans="1:16" ht="21.75" customHeight="1" x14ac:dyDescent="0.3">
      <c r="A855" s="504"/>
      <c r="B855" s="504"/>
      <c r="C855" s="504"/>
      <c r="D855" s="504"/>
      <c r="E855" s="506"/>
      <c r="F855" s="506"/>
      <c r="G855" s="506"/>
      <c r="H855" s="506"/>
      <c r="I855" s="506"/>
      <c r="J855" s="506"/>
      <c r="K855" s="507"/>
      <c r="L855" s="508"/>
      <c r="M855" s="508"/>
      <c r="N855" s="508"/>
      <c r="O855" s="509"/>
      <c r="P855" s="509"/>
    </row>
    <row r="856" spans="1:16" ht="21.75" customHeight="1" x14ac:dyDescent="0.3">
      <c r="A856" s="504"/>
      <c r="B856" s="504"/>
      <c r="C856" s="504"/>
      <c r="D856" s="504"/>
      <c r="E856" s="506"/>
      <c r="F856" s="506"/>
      <c r="G856" s="506"/>
      <c r="H856" s="506"/>
      <c r="I856" s="506"/>
      <c r="J856" s="506"/>
      <c r="K856" s="507"/>
      <c r="L856" s="508"/>
      <c r="M856" s="508"/>
      <c r="N856" s="508"/>
      <c r="O856" s="509"/>
      <c r="P856" s="509"/>
    </row>
    <row r="857" spans="1:16" ht="21.75" customHeight="1" x14ac:dyDescent="0.3">
      <c r="A857" s="504"/>
      <c r="B857" s="504"/>
      <c r="C857" s="504"/>
      <c r="D857" s="504"/>
      <c r="E857" s="506"/>
      <c r="F857" s="506"/>
      <c r="G857" s="506"/>
      <c r="H857" s="506"/>
      <c r="I857" s="506"/>
      <c r="J857" s="506"/>
      <c r="K857" s="507"/>
      <c r="L857" s="508"/>
      <c r="M857" s="508"/>
      <c r="N857" s="508"/>
      <c r="O857" s="509"/>
      <c r="P857" s="509"/>
    </row>
    <row r="858" spans="1:16" ht="21.75" customHeight="1" x14ac:dyDescent="0.3">
      <c r="A858" s="504"/>
      <c r="B858" s="504"/>
      <c r="C858" s="504"/>
      <c r="D858" s="504"/>
      <c r="E858" s="506"/>
      <c r="F858" s="506"/>
      <c r="G858" s="506"/>
      <c r="H858" s="506"/>
      <c r="I858" s="506"/>
      <c r="J858" s="506"/>
      <c r="K858" s="507"/>
      <c r="L858" s="508"/>
      <c r="M858" s="508"/>
      <c r="N858" s="508"/>
      <c r="O858" s="509"/>
      <c r="P858" s="509"/>
    </row>
    <row r="859" spans="1:16" ht="21.75" customHeight="1" x14ac:dyDescent="0.3">
      <c r="A859" s="504"/>
      <c r="B859" s="504"/>
      <c r="C859" s="504"/>
      <c r="D859" s="504"/>
      <c r="E859" s="506"/>
      <c r="F859" s="506"/>
      <c r="G859" s="506"/>
      <c r="H859" s="506"/>
      <c r="I859" s="506"/>
      <c r="J859" s="506"/>
      <c r="K859" s="507"/>
      <c r="L859" s="508"/>
      <c r="M859" s="508"/>
      <c r="N859" s="508"/>
      <c r="O859" s="509"/>
      <c r="P859" s="509"/>
    </row>
    <row r="860" spans="1:16" ht="21.75" customHeight="1" x14ac:dyDescent="0.3">
      <c r="A860" s="504"/>
      <c r="B860" s="504"/>
      <c r="C860" s="504"/>
      <c r="D860" s="504"/>
      <c r="E860" s="506"/>
      <c r="F860" s="506"/>
      <c r="G860" s="506"/>
      <c r="H860" s="506"/>
      <c r="I860" s="506"/>
      <c r="J860" s="506"/>
      <c r="K860" s="507"/>
      <c r="L860" s="508"/>
      <c r="M860" s="508"/>
      <c r="N860" s="508"/>
      <c r="O860" s="509"/>
      <c r="P860" s="509"/>
    </row>
    <row r="861" spans="1:16" ht="21.75" customHeight="1" x14ac:dyDescent="0.3">
      <c r="A861" s="504"/>
      <c r="B861" s="504"/>
      <c r="C861" s="504"/>
      <c r="D861" s="504"/>
      <c r="E861" s="506"/>
      <c r="F861" s="506"/>
      <c r="G861" s="506"/>
      <c r="H861" s="506"/>
      <c r="I861" s="506"/>
      <c r="J861" s="506"/>
      <c r="K861" s="507"/>
      <c r="L861" s="508"/>
      <c r="M861" s="508"/>
      <c r="N861" s="508"/>
      <c r="O861" s="509"/>
      <c r="P861" s="509"/>
    </row>
    <row r="862" spans="1:16" ht="21.75" customHeight="1" x14ac:dyDescent="0.3">
      <c r="A862" s="504"/>
      <c r="B862" s="504"/>
      <c r="C862" s="504"/>
      <c r="D862" s="504"/>
      <c r="E862" s="506"/>
      <c r="F862" s="506"/>
      <c r="G862" s="506"/>
      <c r="H862" s="506"/>
      <c r="I862" s="506"/>
      <c r="J862" s="506"/>
      <c r="K862" s="507"/>
      <c r="L862" s="508"/>
      <c r="M862" s="508"/>
      <c r="N862" s="508"/>
      <c r="O862" s="509"/>
      <c r="P862" s="509"/>
    </row>
    <row r="863" spans="1:16" ht="21.75" customHeight="1" x14ac:dyDescent="0.3">
      <c r="A863" s="504"/>
      <c r="B863" s="504"/>
      <c r="C863" s="504"/>
      <c r="D863" s="504"/>
      <c r="E863" s="506"/>
      <c r="F863" s="506"/>
      <c r="G863" s="506"/>
      <c r="H863" s="506"/>
      <c r="I863" s="506"/>
      <c r="J863" s="506"/>
      <c r="K863" s="507"/>
      <c r="L863" s="508"/>
      <c r="M863" s="508"/>
      <c r="N863" s="508"/>
      <c r="O863" s="509"/>
      <c r="P863" s="509"/>
    </row>
    <row r="864" spans="1:16" ht="21.75" customHeight="1" x14ac:dyDescent="0.3">
      <c r="A864" s="504"/>
      <c r="B864" s="504"/>
      <c r="C864" s="504"/>
      <c r="D864" s="504"/>
      <c r="E864" s="506"/>
      <c r="F864" s="506"/>
      <c r="G864" s="506"/>
      <c r="H864" s="506"/>
      <c r="I864" s="506"/>
      <c r="J864" s="506"/>
      <c r="K864" s="507"/>
      <c r="L864" s="508"/>
      <c r="M864" s="508"/>
      <c r="N864" s="508"/>
      <c r="O864" s="509"/>
      <c r="P864" s="509"/>
    </row>
    <row r="865" spans="1:16" ht="21.75" customHeight="1" x14ac:dyDescent="0.3">
      <c r="A865" s="504"/>
      <c r="B865" s="504"/>
      <c r="C865" s="504"/>
      <c r="D865" s="504"/>
      <c r="E865" s="506"/>
      <c r="F865" s="506"/>
      <c r="G865" s="506"/>
      <c r="H865" s="506"/>
      <c r="I865" s="506"/>
      <c r="J865" s="506"/>
      <c r="K865" s="507"/>
      <c r="L865" s="508"/>
      <c r="M865" s="508"/>
      <c r="N865" s="508"/>
      <c r="O865" s="509"/>
      <c r="P865" s="509"/>
    </row>
    <row r="866" spans="1:16" ht="21.75" customHeight="1" x14ac:dyDescent="0.3">
      <c r="A866" s="504"/>
      <c r="B866" s="504"/>
      <c r="C866" s="504"/>
      <c r="D866" s="504"/>
      <c r="E866" s="506"/>
      <c r="F866" s="506"/>
      <c r="G866" s="506"/>
      <c r="H866" s="506"/>
      <c r="I866" s="506"/>
      <c r="J866" s="506"/>
      <c r="K866" s="507"/>
      <c r="L866" s="508"/>
      <c r="M866" s="508"/>
      <c r="N866" s="508"/>
      <c r="O866" s="509"/>
      <c r="P866" s="509"/>
    </row>
    <row r="867" spans="1:16" ht="21.75" customHeight="1" x14ac:dyDescent="0.3">
      <c r="A867" s="504"/>
      <c r="B867" s="504"/>
      <c r="C867" s="504"/>
      <c r="D867" s="504"/>
      <c r="E867" s="506"/>
      <c r="F867" s="506"/>
      <c r="G867" s="506"/>
      <c r="H867" s="506"/>
      <c r="I867" s="506"/>
      <c r="J867" s="506"/>
      <c r="K867" s="507"/>
      <c r="L867" s="508"/>
      <c r="M867" s="508"/>
      <c r="N867" s="508"/>
      <c r="O867" s="509"/>
      <c r="P867" s="509"/>
    </row>
    <row r="868" spans="1:16" ht="21.75" customHeight="1" x14ac:dyDescent="0.3">
      <c r="A868" s="504"/>
      <c r="B868" s="504"/>
      <c r="C868" s="504"/>
      <c r="D868" s="504"/>
      <c r="E868" s="506"/>
      <c r="F868" s="506"/>
      <c r="G868" s="506"/>
      <c r="H868" s="506"/>
      <c r="I868" s="506"/>
      <c r="J868" s="506"/>
      <c r="K868" s="507"/>
      <c r="L868" s="508"/>
      <c r="M868" s="508"/>
      <c r="N868" s="508"/>
      <c r="O868" s="509"/>
      <c r="P868" s="509"/>
    </row>
    <row r="869" spans="1:16" ht="21.75" customHeight="1" x14ac:dyDescent="0.3">
      <c r="A869" s="504"/>
      <c r="B869" s="504"/>
      <c r="C869" s="504"/>
      <c r="D869" s="504"/>
      <c r="E869" s="506"/>
      <c r="F869" s="506"/>
      <c r="G869" s="506"/>
      <c r="H869" s="506"/>
      <c r="I869" s="506"/>
      <c r="J869" s="506"/>
      <c r="K869" s="507"/>
      <c r="L869" s="508"/>
      <c r="M869" s="508"/>
      <c r="N869" s="508"/>
      <c r="O869" s="509"/>
      <c r="P869" s="509"/>
    </row>
    <row r="870" spans="1:16" ht="21.75" customHeight="1" x14ac:dyDescent="0.3">
      <c r="A870" s="504"/>
      <c r="B870" s="504"/>
      <c r="C870" s="504"/>
      <c r="D870" s="504"/>
      <c r="E870" s="506"/>
      <c r="F870" s="506"/>
      <c r="G870" s="506"/>
      <c r="H870" s="506"/>
      <c r="I870" s="506"/>
      <c r="J870" s="506"/>
      <c r="K870" s="507"/>
      <c r="L870" s="508"/>
      <c r="M870" s="508"/>
      <c r="N870" s="508"/>
      <c r="O870" s="509"/>
      <c r="P870" s="509"/>
    </row>
    <row r="871" spans="1:16" ht="21.75" customHeight="1" x14ac:dyDescent="0.3">
      <c r="A871" s="504"/>
      <c r="B871" s="504"/>
      <c r="C871" s="504"/>
      <c r="D871" s="504"/>
      <c r="E871" s="506"/>
      <c r="F871" s="506"/>
      <c r="G871" s="506"/>
      <c r="H871" s="506"/>
      <c r="I871" s="506"/>
      <c r="J871" s="506"/>
      <c r="K871" s="507"/>
      <c r="L871" s="508"/>
      <c r="M871" s="508"/>
      <c r="N871" s="508"/>
      <c r="O871" s="509"/>
      <c r="P871" s="509"/>
    </row>
    <row r="872" spans="1:16" ht="21.75" customHeight="1" x14ac:dyDescent="0.3">
      <c r="A872" s="504"/>
      <c r="B872" s="504"/>
      <c r="C872" s="504"/>
      <c r="D872" s="504"/>
      <c r="E872" s="506"/>
      <c r="F872" s="506"/>
      <c r="G872" s="506"/>
      <c r="H872" s="506"/>
      <c r="I872" s="506"/>
      <c r="J872" s="506"/>
      <c r="K872" s="507"/>
      <c r="L872" s="508"/>
      <c r="M872" s="508"/>
      <c r="N872" s="508"/>
      <c r="O872" s="509"/>
      <c r="P872" s="509"/>
    </row>
    <row r="873" spans="1:16" ht="21.75" customHeight="1" x14ac:dyDescent="0.3">
      <c r="A873" s="504"/>
      <c r="B873" s="504"/>
      <c r="C873" s="504"/>
      <c r="D873" s="504"/>
      <c r="E873" s="506"/>
      <c r="F873" s="506"/>
      <c r="G873" s="506"/>
      <c r="H873" s="506"/>
      <c r="I873" s="506"/>
      <c r="J873" s="506"/>
      <c r="K873" s="507"/>
      <c r="L873" s="508"/>
      <c r="M873" s="508"/>
      <c r="N873" s="508"/>
      <c r="O873" s="509"/>
      <c r="P873" s="509"/>
    </row>
    <row r="874" spans="1:16" ht="21.75" customHeight="1" x14ac:dyDescent="0.3">
      <c r="A874" s="504"/>
      <c r="B874" s="504"/>
      <c r="C874" s="504"/>
      <c r="D874" s="504"/>
      <c r="E874" s="506"/>
      <c r="F874" s="506"/>
      <c r="G874" s="506"/>
      <c r="H874" s="506"/>
      <c r="I874" s="506"/>
      <c r="J874" s="506"/>
      <c r="K874" s="507"/>
      <c r="L874" s="508"/>
      <c r="M874" s="508"/>
      <c r="N874" s="508"/>
      <c r="O874" s="509"/>
      <c r="P874" s="509"/>
    </row>
    <row r="875" spans="1:16" ht="21.75" customHeight="1" x14ac:dyDescent="0.3">
      <c r="A875" s="504"/>
      <c r="B875" s="504"/>
      <c r="C875" s="504"/>
      <c r="D875" s="504"/>
      <c r="E875" s="506"/>
      <c r="F875" s="506"/>
      <c r="G875" s="506"/>
      <c r="H875" s="506"/>
      <c r="I875" s="506"/>
      <c r="J875" s="506"/>
      <c r="K875" s="507"/>
      <c r="L875" s="508"/>
      <c r="M875" s="508"/>
      <c r="N875" s="508"/>
      <c r="O875" s="509"/>
      <c r="P875" s="509"/>
    </row>
    <row r="876" spans="1:16" ht="21.75" customHeight="1" x14ac:dyDescent="0.3">
      <c r="A876" s="504"/>
      <c r="B876" s="504"/>
      <c r="C876" s="504"/>
      <c r="D876" s="504"/>
      <c r="E876" s="506"/>
      <c r="F876" s="506"/>
      <c r="G876" s="506"/>
      <c r="H876" s="506"/>
      <c r="I876" s="506"/>
      <c r="J876" s="506"/>
      <c r="K876" s="507"/>
      <c r="L876" s="508"/>
      <c r="M876" s="508"/>
      <c r="N876" s="508"/>
      <c r="O876" s="509"/>
      <c r="P876" s="509"/>
    </row>
    <row r="877" spans="1:16" ht="21.75" customHeight="1" x14ac:dyDescent="0.3">
      <c r="A877" s="504"/>
      <c r="B877" s="504"/>
      <c r="C877" s="504"/>
      <c r="D877" s="504"/>
      <c r="E877" s="506"/>
      <c r="F877" s="506"/>
      <c r="G877" s="506"/>
      <c r="H877" s="506"/>
      <c r="I877" s="506"/>
      <c r="J877" s="506"/>
      <c r="K877" s="507"/>
      <c r="L877" s="508"/>
      <c r="M877" s="508"/>
      <c r="N877" s="508"/>
      <c r="O877" s="509"/>
      <c r="P877" s="509"/>
    </row>
    <row r="878" spans="1:16" ht="21.75" customHeight="1" x14ac:dyDescent="0.3">
      <c r="A878" s="504"/>
      <c r="B878" s="504"/>
      <c r="C878" s="504"/>
      <c r="D878" s="504"/>
      <c r="E878" s="506"/>
      <c r="F878" s="506"/>
      <c r="G878" s="506"/>
      <c r="H878" s="506"/>
      <c r="I878" s="506"/>
      <c r="J878" s="506"/>
      <c r="K878" s="507"/>
      <c r="L878" s="508"/>
      <c r="M878" s="508"/>
      <c r="N878" s="508"/>
      <c r="O878" s="509"/>
      <c r="P878" s="509"/>
    </row>
    <row r="879" spans="1:16" ht="21.75" customHeight="1" x14ac:dyDescent="0.3">
      <c r="A879" s="504"/>
      <c r="B879" s="504"/>
      <c r="C879" s="504"/>
      <c r="D879" s="504"/>
      <c r="E879" s="506"/>
      <c r="F879" s="506"/>
      <c r="G879" s="506"/>
      <c r="H879" s="506"/>
      <c r="I879" s="506"/>
      <c r="J879" s="506"/>
      <c r="K879" s="507"/>
      <c r="L879" s="508"/>
      <c r="M879" s="508"/>
      <c r="N879" s="508"/>
      <c r="O879" s="509"/>
      <c r="P879" s="509"/>
    </row>
    <row r="880" spans="1:16" ht="21.75" customHeight="1" x14ac:dyDescent="0.3">
      <c r="A880" s="504"/>
      <c r="B880" s="504"/>
      <c r="C880" s="504"/>
      <c r="D880" s="504"/>
      <c r="E880" s="506"/>
      <c r="F880" s="506"/>
      <c r="G880" s="506"/>
      <c r="H880" s="506"/>
      <c r="I880" s="506"/>
      <c r="J880" s="506"/>
      <c r="K880" s="507"/>
      <c r="L880" s="508"/>
      <c r="M880" s="508"/>
      <c r="N880" s="508"/>
      <c r="O880" s="509"/>
      <c r="P880" s="509"/>
    </row>
    <row r="881" spans="1:16" ht="21.75" customHeight="1" x14ac:dyDescent="0.3">
      <c r="A881" s="504"/>
      <c r="B881" s="504"/>
      <c r="C881" s="504"/>
      <c r="D881" s="504"/>
      <c r="E881" s="506"/>
      <c r="F881" s="506"/>
      <c r="G881" s="506"/>
      <c r="H881" s="506"/>
      <c r="I881" s="506"/>
      <c r="J881" s="506"/>
      <c r="K881" s="507"/>
      <c r="L881" s="508"/>
      <c r="M881" s="508"/>
      <c r="N881" s="508"/>
      <c r="O881" s="509"/>
      <c r="P881" s="509"/>
    </row>
    <row r="882" spans="1:16" ht="21.75" customHeight="1" x14ac:dyDescent="0.3">
      <c r="A882" s="504"/>
      <c r="B882" s="504"/>
      <c r="C882" s="504"/>
      <c r="D882" s="504"/>
      <c r="E882" s="506"/>
      <c r="F882" s="506"/>
      <c r="G882" s="506"/>
      <c r="H882" s="506"/>
      <c r="I882" s="506"/>
      <c r="J882" s="506"/>
      <c r="K882" s="507"/>
      <c r="L882" s="508"/>
      <c r="M882" s="508"/>
      <c r="N882" s="508"/>
      <c r="O882" s="509"/>
      <c r="P882" s="509"/>
    </row>
    <row r="883" spans="1:16" ht="21.75" customHeight="1" x14ac:dyDescent="0.3">
      <c r="A883" s="504"/>
      <c r="B883" s="504"/>
      <c r="C883" s="504"/>
      <c r="D883" s="504"/>
      <c r="E883" s="506"/>
      <c r="F883" s="506"/>
      <c r="G883" s="506"/>
      <c r="H883" s="506"/>
      <c r="I883" s="506"/>
      <c r="J883" s="506"/>
      <c r="K883" s="507"/>
      <c r="L883" s="508"/>
      <c r="M883" s="508"/>
      <c r="N883" s="508"/>
      <c r="O883" s="509"/>
      <c r="P883" s="509"/>
    </row>
    <row r="884" spans="1:16" ht="21.75" customHeight="1" x14ac:dyDescent="0.3">
      <c r="A884" s="504"/>
      <c r="B884" s="504"/>
      <c r="C884" s="504"/>
      <c r="D884" s="504"/>
      <c r="E884" s="506"/>
      <c r="F884" s="506"/>
      <c r="G884" s="506"/>
      <c r="H884" s="506"/>
      <c r="I884" s="506"/>
      <c r="J884" s="506"/>
      <c r="K884" s="507"/>
      <c r="L884" s="508"/>
      <c r="M884" s="508"/>
      <c r="N884" s="508"/>
      <c r="O884" s="509"/>
      <c r="P884" s="509"/>
    </row>
    <row r="885" spans="1:16" ht="21.75" customHeight="1" x14ac:dyDescent="0.3">
      <c r="A885" s="504"/>
      <c r="B885" s="504"/>
      <c r="C885" s="504"/>
      <c r="D885" s="504"/>
      <c r="E885" s="506"/>
      <c r="F885" s="506"/>
      <c r="G885" s="506"/>
      <c r="H885" s="506"/>
      <c r="I885" s="506"/>
      <c r="J885" s="506"/>
      <c r="K885" s="507"/>
      <c r="L885" s="508"/>
      <c r="M885" s="508"/>
      <c r="N885" s="508"/>
      <c r="O885" s="509"/>
      <c r="P885" s="509"/>
    </row>
    <row r="886" spans="1:16" ht="21.75" customHeight="1" x14ac:dyDescent="0.3">
      <c r="A886" s="504"/>
      <c r="B886" s="504"/>
      <c r="C886" s="504"/>
      <c r="D886" s="504"/>
      <c r="E886" s="506"/>
      <c r="F886" s="506"/>
      <c r="G886" s="506"/>
      <c r="H886" s="506"/>
      <c r="I886" s="506"/>
      <c r="J886" s="506"/>
      <c r="K886" s="507"/>
      <c r="L886" s="508"/>
      <c r="M886" s="508"/>
      <c r="N886" s="508"/>
      <c r="O886" s="509"/>
      <c r="P886" s="509"/>
    </row>
    <row r="887" spans="1:16" ht="21.75" customHeight="1" x14ac:dyDescent="0.3">
      <c r="A887" s="504"/>
      <c r="B887" s="504"/>
      <c r="C887" s="504"/>
      <c r="D887" s="504"/>
      <c r="E887" s="506"/>
      <c r="F887" s="506"/>
      <c r="G887" s="506"/>
      <c r="H887" s="506"/>
      <c r="I887" s="506"/>
      <c r="J887" s="506"/>
      <c r="K887" s="507"/>
      <c r="L887" s="508"/>
      <c r="M887" s="508"/>
      <c r="N887" s="508"/>
      <c r="O887" s="509"/>
      <c r="P887" s="509"/>
    </row>
    <row r="888" spans="1:16" ht="21.75" customHeight="1" x14ac:dyDescent="0.3">
      <c r="A888" s="504"/>
      <c r="B888" s="504"/>
      <c r="C888" s="504"/>
      <c r="D888" s="504"/>
      <c r="E888" s="506"/>
      <c r="F888" s="506"/>
      <c r="G888" s="506"/>
      <c r="H888" s="506"/>
      <c r="I888" s="506"/>
      <c r="J888" s="506"/>
      <c r="K888" s="507"/>
      <c r="L888" s="508"/>
      <c r="M888" s="508"/>
      <c r="N888" s="508"/>
      <c r="O888" s="509"/>
      <c r="P888" s="509"/>
    </row>
    <row r="889" spans="1:16" ht="21.75" customHeight="1" x14ac:dyDescent="0.3">
      <c r="A889" s="504"/>
      <c r="B889" s="504"/>
      <c r="C889" s="504"/>
      <c r="D889" s="504"/>
      <c r="E889" s="506"/>
      <c r="F889" s="506"/>
      <c r="G889" s="506"/>
      <c r="H889" s="506"/>
      <c r="I889" s="506"/>
      <c r="J889" s="506"/>
      <c r="K889" s="507"/>
      <c r="L889" s="508"/>
      <c r="M889" s="508"/>
      <c r="N889" s="508"/>
      <c r="O889" s="509"/>
      <c r="P889" s="509"/>
    </row>
    <row r="890" spans="1:16" ht="21.75" customHeight="1" x14ac:dyDescent="0.3">
      <c r="A890" s="504"/>
      <c r="B890" s="504"/>
      <c r="C890" s="504"/>
      <c r="D890" s="504"/>
      <c r="E890" s="506"/>
      <c r="F890" s="506"/>
      <c r="G890" s="506"/>
      <c r="H890" s="506"/>
      <c r="I890" s="506"/>
      <c r="J890" s="506"/>
      <c r="K890" s="507"/>
      <c r="L890" s="508"/>
      <c r="M890" s="508"/>
      <c r="N890" s="508"/>
      <c r="O890" s="509"/>
      <c r="P890" s="509"/>
    </row>
    <row r="891" spans="1:16" ht="21.75" customHeight="1" x14ac:dyDescent="0.3">
      <c r="A891" s="504"/>
      <c r="B891" s="504"/>
      <c r="C891" s="504"/>
      <c r="D891" s="504"/>
      <c r="E891" s="506"/>
      <c r="F891" s="506"/>
      <c r="G891" s="506"/>
      <c r="H891" s="506"/>
      <c r="I891" s="506"/>
      <c r="J891" s="506"/>
      <c r="K891" s="507"/>
      <c r="L891" s="508"/>
      <c r="M891" s="508"/>
      <c r="N891" s="508"/>
      <c r="O891" s="509"/>
      <c r="P891" s="509"/>
    </row>
    <row r="892" spans="1:16" ht="21.75" customHeight="1" x14ac:dyDescent="0.3">
      <c r="A892" s="504"/>
      <c r="B892" s="504"/>
      <c r="C892" s="504"/>
      <c r="D892" s="504"/>
      <c r="E892" s="506"/>
      <c r="F892" s="506"/>
      <c r="G892" s="506"/>
      <c r="H892" s="506"/>
      <c r="I892" s="506"/>
      <c r="J892" s="506"/>
      <c r="K892" s="507"/>
      <c r="L892" s="508"/>
      <c r="M892" s="508"/>
      <c r="N892" s="508"/>
      <c r="O892" s="509"/>
      <c r="P892" s="509"/>
    </row>
    <row r="893" spans="1:16" ht="21.75" customHeight="1" x14ac:dyDescent="0.3">
      <c r="A893" s="504"/>
      <c r="B893" s="504"/>
      <c r="C893" s="504"/>
      <c r="D893" s="504"/>
      <c r="E893" s="506"/>
      <c r="F893" s="506"/>
      <c r="G893" s="506"/>
      <c r="H893" s="506"/>
      <c r="I893" s="506"/>
      <c r="J893" s="506"/>
      <c r="K893" s="507"/>
      <c r="L893" s="508"/>
      <c r="M893" s="508"/>
      <c r="N893" s="508"/>
      <c r="O893" s="509"/>
      <c r="P893" s="509"/>
    </row>
    <row r="894" spans="1:16" ht="21.75" customHeight="1" x14ac:dyDescent="0.3">
      <c r="A894" s="504"/>
      <c r="B894" s="504"/>
      <c r="C894" s="504"/>
      <c r="D894" s="504"/>
      <c r="E894" s="506"/>
      <c r="F894" s="506"/>
      <c r="G894" s="506"/>
      <c r="H894" s="506"/>
      <c r="I894" s="506"/>
      <c r="J894" s="506"/>
      <c r="K894" s="507"/>
      <c r="L894" s="508"/>
      <c r="M894" s="508"/>
      <c r="N894" s="508"/>
      <c r="O894" s="509"/>
      <c r="P894" s="509"/>
    </row>
    <row r="895" spans="1:16" ht="21.75" customHeight="1" x14ac:dyDescent="0.3">
      <c r="A895" s="504"/>
      <c r="B895" s="504"/>
      <c r="C895" s="504"/>
      <c r="D895" s="504"/>
      <c r="E895" s="506"/>
      <c r="F895" s="506"/>
      <c r="G895" s="506"/>
      <c r="H895" s="506"/>
      <c r="I895" s="506"/>
      <c r="J895" s="506"/>
      <c r="K895" s="507"/>
      <c r="L895" s="508"/>
      <c r="M895" s="508"/>
      <c r="N895" s="508"/>
      <c r="O895" s="509"/>
      <c r="P895" s="509"/>
    </row>
    <row r="896" spans="1:16" ht="21.75" customHeight="1" x14ac:dyDescent="0.3">
      <c r="A896" s="504"/>
      <c r="B896" s="504"/>
      <c r="C896" s="504"/>
      <c r="D896" s="504"/>
      <c r="E896" s="506"/>
      <c r="F896" s="506"/>
      <c r="G896" s="506"/>
      <c r="H896" s="506"/>
      <c r="I896" s="506"/>
      <c r="J896" s="506"/>
      <c r="K896" s="507"/>
      <c r="L896" s="508"/>
      <c r="M896" s="508"/>
      <c r="N896" s="508"/>
      <c r="O896" s="509"/>
      <c r="P896" s="509"/>
    </row>
    <row r="897" spans="1:16" ht="21.75" customHeight="1" x14ac:dyDescent="0.3">
      <c r="A897" s="504"/>
      <c r="B897" s="504"/>
      <c r="C897" s="504"/>
      <c r="D897" s="504"/>
      <c r="E897" s="506"/>
      <c r="F897" s="506"/>
      <c r="G897" s="506"/>
      <c r="H897" s="506"/>
      <c r="I897" s="506"/>
      <c r="J897" s="506"/>
      <c r="K897" s="507"/>
      <c r="L897" s="508"/>
      <c r="M897" s="508"/>
      <c r="N897" s="508"/>
      <c r="O897" s="509"/>
      <c r="P897" s="509"/>
    </row>
    <row r="898" spans="1:16" ht="21.75" customHeight="1" x14ac:dyDescent="0.3">
      <c r="A898" s="504"/>
      <c r="B898" s="504"/>
      <c r="C898" s="504"/>
      <c r="D898" s="504"/>
      <c r="E898" s="506"/>
      <c r="F898" s="506"/>
      <c r="G898" s="506"/>
      <c r="H898" s="506"/>
      <c r="I898" s="506"/>
      <c r="J898" s="506"/>
      <c r="K898" s="507"/>
      <c r="L898" s="508"/>
      <c r="M898" s="508"/>
      <c r="N898" s="508"/>
      <c r="O898" s="509"/>
      <c r="P898" s="509"/>
    </row>
    <row r="899" spans="1:16" ht="21.75" customHeight="1" x14ac:dyDescent="0.3">
      <c r="A899" s="504"/>
      <c r="B899" s="504"/>
      <c r="C899" s="504"/>
      <c r="D899" s="504"/>
      <c r="E899" s="506"/>
      <c r="F899" s="506"/>
      <c r="G899" s="506"/>
      <c r="H899" s="506"/>
      <c r="I899" s="506"/>
      <c r="J899" s="506"/>
      <c r="K899" s="507"/>
      <c r="L899" s="508"/>
      <c r="M899" s="508"/>
      <c r="N899" s="508"/>
      <c r="O899" s="509"/>
      <c r="P899" s="509"/>
    </row>
    <row r="900" spans="1:16" ht="21.75" customHeight="1" x14ac:dyDescent="0.3">
      <c r="A900" s="504"/>
      <c r="B900" s="504"/>
      <c r="C900" s="504"/>
      <c r="D900" s="504"/>
      <c r="E900" s="506"/>
      <c r="F900" s="506"/>
      <c r="G900" s="506"/>
      <c r="H900" s="506"/>
      <c r="I900" s="506"/>
      <c r="J900" s="506"/>
      <c r="K900" s="507"/>
      <c r="L900" s="508"/>
      <c r="M900" s="508"/>
      <c r="N900" s="508"/>
      <c r="O900" s="509"/>
      <c r="P900" s="509"/>
    </row>
    <row r="901" spans="1:16" ht="21.75" customHeight="1" x14ac:dyDescent="0.3">
      <c r="A901" s="504"/>
      <c r="B901" s="504"/>
      <c r="C901" s="504"/>
      <c r="D901" s="504"/>
      <c r="E901" s="506"/>
      <c r="F901" s="506"/>
      <c r="G901" s="506"/>
      <c r="H901" s="506"/>
      <c r="I901" s="506"/>
      <c r="J901" s="506"/>
      <c r="K901" s="507"/>
      <c r="L901" s="508"/>
      <c r="M901" s="508"/>
      <c r="N901" s="508"/>
      <c r="O901" s="509"/>
      <c r="P901" s="509"/>
    </row>
    <row r="902" spans="1:16" ht="21.75" customHeight="1" x14ac:dyDescent="0.3">
      <c r="A902" s="504"/>
      <c r="B902" s="504"/>
      <c r="C902" s="504"/>
      <c r="D902" s="504"/>
      <c r="E902" s="506"/>
      <c r="F902" s="506"/>
      <c r="G902" s="506"/>
      <c r="H902" s="506"/>
      <c r="I902" s="506"/>
      <c r="J902" s="506"/>
      <c r="K902" s="507"/>
      <c r="L902" s="508"/>
      <c r="M902" s="508"/>
      <c r="N902" s="508"/>
      <c r="O902" s="509"/>
      <c r="P902" s="509"/>
    </row>
    <row r="903" spans="1:16" ht="21.75" customHeight="1" x14ac:dyDescent="0.3">
      <c r="A903" s="504"/>
      <c r="B903" s="504"/>
      <c r="C903" s="504"/>
      <c r="D903" s="504"/>
      <c r="E903" s="506"/>
      <c r="F903" s="506"/>
      <c r="G903" s="506"/>
      <c r="H903" s="506"/>
      <c r="I903" s="506"/>
      <c r="J903" s="506"/>
      <c r="K903" s="507"/>
      <c r="L903" s="508"/>
      <c r="M903" s="508"/>
      <c r="N903" s="508"/>
      <c r="O903" s="509"/>
      <c r="P903" s="509"/>
    </row>
    <row r="904" spans="1:16" ht="21.75" customHeight="1" x14ac:dyDescent="0.3">
      <c r="A904" s="504"/>
      <c r="B904" s="504"/>
      <c r="C904" s="504"/>
      <c r="D904" s="504"/>
      <c r="E904" s="506"/>
      <c r="F904" s="506"/>
      <c r="G904" s="506"/>
      <c r="H904" s="506"/>
      <c r="I904" s="506"/>
      <c r="J904" s="506"/>
      <c r="K904" s="507"/>
      <c r="L904" s="508"/>
      <c r="M904" s="508"/>
      <c r="N904" s="508"/>
      <c r="O904" s="509"/>
      <c r="P904" s="509"/>
    </row>
    <row r="905" spans="1:16" ht="21.75" customHeight="1" x14ac:dyDescent="0.3">
      <c r="A905" s="504"/>
      <c r="B905" s="504"/>
      <c r="C905" s="504"/>
      <c r="D905" s="504"/>
      <c r="E905" s="506"/>
      <c r="F905" s="506"/>
      <c r="G905" s="506"/>
      <c r="H905" s="506"/>
      <c r="I905" s="506"/>
      <c r="J905" s="506"/>
      <c r="K905" s="507"/>
      <c r="L905" s="508"/>
      <c r="M905" s="508"/>
      <c r="N905" s="508"/>
      <c r="O905" s="509"/>
      <c r="P905" s="509"/>
    </row>
    <row r="906" spans="1:16" ht="21.75" customHeight="1" x14ac:dyDescent="0.3">
      <c r="A906" s="504"/>
      <c r="B906" s="504"/>
      <c r="C906" s="504"/>
      <c r="D906" s="504"/>
      <c r="E906" s="506"/>
      <c r="F906" s="506"/>
      <c r="G906" s="506"/>
      <c r="H906" s="506"/>
      <c r="I906" s="506"/>
      <c r="J906" s="506"/>
      <c r="K906" s="507"/>
      <c r="L906" s="508"/>
      <c r="M906" s="508"/>
      <c r="N906" s="508"/>
      <c r="O906" s="509"/>
      <c r="P906" s="509"/>
    </row>
    <row r="907" spans="1:16" ht="21.75" customHeight="1" x14ac:dyDescent="0.3">
      <c r="A907" s="504"/>
      <c r="B907" s="504"/>
      <c r="C907" s="504"/>
      <c r="D907" s="504"/>
      <c r="E907" s="506"/>
      <c r="F907" s="506"/>
      <c r="G907" s="506"/>
      <c r="H907" s="506"/>
      <c r="I907" s="506"/>
      <c r="J907" s="506"/>
      <c r="K907" s="507"/>
      <c r="L907" s="508"/>
      <c r="M907" s="508"/>
      <c r="N907" s="508"/>
      <c r="O907" s="509"/>
      <c r="P907" s="509"/>
    </row>
    <row r="908" spans="1:16" ht="21.75" customHeight="1" x14ac:dyDescent="0.3">
      <c r="A908" s="504"/>
      <c r="B908" s="504"/>
      <c r="C908" s="504"/>
      <c r="D908" s="504"/>
      <c r="E908" s="506"/>
      <c r="F908" s="506"/>
      <c r="G908" s="506"/>
      <c r="H908" s="506"/>
      <c r="I908" s="506"/>
      <c r="J908" s="506"/>
      <c r="K908" s="507"/>
      <c r="L908" s="508"/>
      <c r="M908" s="508"/>
      <c r="N908" s="508"/>
      <c r="O908" s="509"/>
      <c r="P908" s="509"/>
    </row>
    <row r="909" spans="1:16" ht="21.75" customHeight="1" x14ac:dyDescent="0.3">
      <c r="A909" s="504"/>
      <c r="B909" s="504"/>
      <c r="C909" s="504"/>
      <c r="D909" s="504"/>
      <c r="E909" s="506"/>
      <c r="F909" s="506"/>
      <c r="G909" s="506"/>
      <c r="H909" s="506"/>
      <c r="I909" s="506"/>
      <c r="J909" s="506"/>
      <c r="K909" s="507"/>
      <c r="L909" s="508"/>
      <c r="M909" s="508"/>
      <c r="N909" s="508"/>
      <c r="O909" s="509"/>
      <c r="P909" s="509"/>
    </row>
    <row r="910" spans="1:16" ht="21.75" customHeight="1" x14ac:dyDescent="0.3">
      <c r="A910" s="504"/>
      <c r="B910" s="504"/>
      <c r="C910" s="504"/>
      <c r="D910" s="504"/>
      <c r="E910" s="506"/>
      <c r="F910" s="506"/>
      <c r="G910" s="506"/>
      <c r="H910" s="506"/>
      <c r="I910" s="506"/>
      <c r="J910" s="506"/>
      <c r="K910" s="507"/>
      <c r="L910" s="508"/>
      <c r="M910" s="508"/>
      <c r="N910" s="508"/>
      <c r="O910" s="509"/>
      <c r="P910" s="509"/>
    </row>
    <row r="911" spans="1:16" ht="21.75" customHeight="1" x14ac:dyDescent="0.3">
      <c r="A911" s="504"/>
      <c r="B911" s="504"/>
      <c r="C911" s="504"/>
      <c r="D911" s="504"/>
      <c r="E911" s="506"/>
      <c r="F911" s="506"/>
      <c r="G911" s="506"/>
      <c r="H911" s="506"/>
      <c r="I911" s="506"/>
      <c r="J911" s="506"/>
      <c r="K911" s="507"/>
      <c r="L911" s="508"/>
      <c r="M911" s="508"/>
      <c r="N911" s="508"/>
      <c r="O911" s="509"/>
      <c r="P911" s="509"/>
    </row>
    <row r="912" spans="1:16" ht="21.75" customHeight="1" x14ac:dyDescent="0.3">
      <c r="A912" s="504"/>
      <c r="B912" s="504"/>
      <c r="C912" s="504"/>
      <c r="D912" s="504"/>
      <c r="E912" s="506"/>
      <c r="F912" s="506"/>
      <c r="G912" s="506"/>
      <c r="H912" s="506"/>
      <c r="I912" s="506"/>
      <c r="J912" s="506"/>
      <c r="K912" s="507"/>
      <c r="L912" s="508"/>
      <c r="M912" s="508"/>
      <c r="N912" s="508"/>
      <c r="O912" s="509"/>
      <c r="P912" s="509"/>
    </row>
    <row r="913" spans="1:16" ht="21.75" customHeight="1" x14ac:dyDescent="0.3">
      <c r="A913" s="504"/>
      <c r="B913" s="504"/>
      <c r="C913" s="504"/>
      <c r="D913" s="504"/>
      <c r="E913" s="506"/>
      <c r="F913" s="506"/>
      <c r="G913" s="506"/>
      <c r="H913" s="506"/>
      <c r="I913" s="506"/>
      <c r="J913" s="506"/>
      <c r="K913" s="507"/>
      <c r="L913" s="508"/>
      <c r="M913" s="508"/>
      <c r="N913" s="508"/>
      <c r="O913" s="509"/>
      <c r="P913" s="509"/>
    </row>
    <row r="914" spans="1:16" ht="21.75" customHeight="1" x14ac:dyDescent="0.3">
      <c r="A914" s="504"/>
      <c r="B914" s="504"/>
      <c r="C914" s="504"/>
      <c r="D914" s="504"/>
      <c r="E914" s="506"/>
      <c r="F914" s="506"/>
      <c r="G914" s="506"/>
      <c r="H914" s="506"/>
      <c r="I914" s="506"/>
      <c r="J914" s="506"/>
      <c r="K914" s="507"/>
      <c r="L914" s="508"/>
      <c r="M914" s="508"/>
      <c r="N914" s="508"/>
      <c r="O914" s="509"/>
      <c r="P914" s="509"/>
    </row>
    <row r="915" spans="1:16" ht="21.75" customHeight="1" x14ac:dyDescent="0.3">
      <c r="A915" s="504"/>
      <c r="B915" s="504"/>
      <c r="C915" s="504"/>
      <c r="D915" s="504"/>
      <c r="E915" s="506"/>
      <c r="F915" s="506"/>
      <c r="G915" s="506"/>
      <c r="H915" s="506"/>
      <c r="I915" s="506"/>
      <c r="J915" s="506"/>
      <c r="K915" s="507"/>
      <c r="L915" s="508"/>
      <c r="M915" s="508"/>
      <c r="N915" s="508"/>
      <c r="O915" s="509"/>
      <c r="P915" s="509"/>
    </row>
    <row r="916" spans="1:16" ht="21.75" customHeight="1" x14ac:dyDescent="0.3">
      <c r="A916" s="504"/>
      <c r="B916" s="504"/>
      <c r="C916" s="504"/>
      <c r="D916" s="504"/>
      <c r="E916" s="506"/>
      <c r="F916" s="506"/>
      <c r="G916" s="506"/>
      <c r="H916" s="506"/>
      <c r="I916" s="506"/>
      <c r="J916" s="506"/>
      <c r="K916" s="507"/>
      <c r="L916" s="508"/>
      <c r="M916" s="508"/>
      <c r="N916" s="508"/>
      <c r="O916" s="509"/>
      <c r="P916" s="509"/>
    </row>
    <row r="917" spans="1:16" ht="21.75" customHeight="1" x14ac:dyDescent="0.3">
      <c r="A917" s="504"/>
      <c r="B917" s="504"/>
      <c r="C917" s="504"/>
      <c r="D917" s="504"/>
      <c r="E917" s="506"/>
      <c r="F917" s="506"/>
      <c r="G917" s="506"/>
      <c r="H917" s="506"/>
      <c r="I917" s="506"/>
      <c r="J917" s="506"/>
      <c r="K917" s="507"/>
      <c r="L917" s="508"/>
      <c r="M917" s="508"/>
      <c r="N917" s="508"/>
      <c r="O917" s="509"/>
      <c r="P917" s="509"/>
    </row>
    <row r="918" spans="1:16" ht="21.75" customHeight="1" x14ac:dyDescent="0.3">
      <c r="A918" s="504"/>
      <c r="B918" s="504"/>
      <c r="C918" s="504"/>
      <c r="D918" s="504"/>
      <c r="E918" s="506"/>
      <c r="F918" s="506"/>
      <c r="G918" s="506"/>
      <c r="H918" s="506"/>
      <c r="I918" s="506"/>
      <c r="J918" s="506"/>
      <c r="K918" s="507"/>
      <c r="L918" s="508"/>
      <c r="M918" s="508"/>
      <c r="N918" s="508"/>
      <c r="O918" s="509"/>
      <c r="P918" s="509"/>
    </row>
    <row r="919" spans="1:16" ht="21.75" customHeight="1" x14ac:dyDescent="0.3">
      <c r="A919" s="504"/>
      <c r="B919" s="504"/>
      <c r="C919" s="504"/>
      <c r="D919" s="504"/>
      <c r="E919" s="506"/>
      <c r="F919" s="506"/>
      <c r="G919" s="506"/>
      <c r="H919" s="506"/>
      <c r="I919" s="506"/>
      <c r="J919" s="506"/>
      <c r="K919" s="507"/>
      <c r="L919" s="508"/>
      <c r="M919" s="508"/>
      <c r="N919" s="508"/>
      <c r="O919" s="509"/>
      <c r="P919" s="509"/>
    </row>
    <row r="920" spans="1:16" ht="21.75" customHeight="1" x14ac:dyDescent="0.3">
      <c r="A920" s="504"/>
      <c r="B920" s="504"/>
      <c r="C920" s="504"/>
      <c r="D920" s="504"/>
      <c r="E920" s="506"/>
      <c r="F920" s="506"/>
      <c r="G920" s="506"/>
      <c r="H920" s="506"/>
      <c r="I920" s="506"/>
      <c r="J920" s="506"/>
      <c r="K920" s="507"/>
      <c r="L920" s="508"/>
      <c r="M920" s="508"/>
      <c r="N920" s="508"/>
      <c r="O920" s="509"/>
      <c r="P920" s="509"/>
    </row>
    <row r="921" spans="1:16" ht="21.75" customHeight="1" x14ac:dyDescent="0.3">
      <c r="A921" s="504"/>
      <c r="B921" s="504"/>
      <c r="C921" s="504"/>
      <c r="D921" s="504"/>
      <c r="E921" s="506"/>
      <c r="F921" s="506"/>
      <c r="G921" s="506"/>
      <c r="H921" s="506"/>
      <c r="I921" s="506"/>
      <c r="J921" s="506"/>
      <c r="K921" s="507"/>
      <c r="L921" s="508"/>
      <c r="M921" s="508"/>
      <c r="N921" s="508"/>
      <c r="O921" s="509"/>
      <c r="P921" s="509"/>
    </row>
    <row r="922" spans="1:16" ht="21.75" customHeight="1" x14ac:dyDescent="0.3">
      <c r="A922" s="504"/>
      <c r="B922" s="504"/>
      <c r="C922" s="504"/>
      <c r="D922" s="504"/>
      <c r="E922" s="506"/>
      <c r="F922" s="506"/>
      <c r="G922" s="506"/>
      <c r="H922" s="506"/>
      <c r="I922" s="506"/>
      <c r="J922" s="506"/>
      <c r="K922" s="507"/>
      <c r="L922" s="508"/>
      <c r="M922" s="508"/>
      <c r="N922" s="508"/>
      <c r="O922" s="509"/>
      <c r="P922" s="509"/>
    </row>
    <row r="923" spans="1:16" ht="21.75" customHeight="1" x14ac:dyDescent="0.3">
      <c r="A923" s="504"/>
      <c r="B923" s="504"/>
      <c r="C923" s="504"/>
      <c r="D923" s="504"/>
      <c r="E923" s="506"/>
      <c r="F923" s="506"/>
      <c r="G923" s="506"/>
      <c r="H923" s="506"/>
      <c r="I923" s="506"/>
      <c r="J923" s="506"/>
      <c r="K923" s="507"/>
      <c r="L923" s="508"/>
      <c r="M923" s="508"/>
      <c r="N923" s="508"/>
      <c r="O923" s="509"/>
      <c r="P923" s="509"/>
    </row>
    <row r="924" spans="1:16" ht="21.75" customHeight="1" x14ac:dyDescent="0.3">
      <c r="A924" s="504"/>
      <c r="B924" s="504"/>
      <c r="C924" s="504"/>
      <c r="D924" s="504"/>
      <c r="E924" s="506"/>
      <c r="F924" s="506"/>
      <c r="G924" s="506"/>
      <c r="H924" s="506"/>
      <c r="I924" s="506"/>
      <c r="J924" s="506"/>
      <c r="K924" s="507"/>
      <c r="L924" s="508"/>
      <c r="M924" s="508"/>
      <c r="N924" s="508"/>
      <c r="O924" s="509"/>
      <c r="P924" s="509"/>
    </row>
    <row r="925" spans="1:16" ht="21.75" customHeight="1" x14ac:dyDescent="0.3">
      <c r="A925" s="504"/>
      <c r="B925" s="504"/>
      <c r="C925" s="504"/>
      <c r="D925" s="504"/>
      <c r="E925" s="506"/>
      <c r="F925" s="506"/>
      <c r="G925" s="506"/>
      <c r="H925" s="506"/>
      <c r="I925" s="506"/>
      <c r="J925" s="506"/>
      <c r="K925" s="507"/>
      <c r="L925" s="508"/>
      <c r="M925" s="508"/>
      <c r="N925" s="508"/>
      <c r="O925" s="509"/>
      <c r="P925" s="509"/>
    </row>
    <row r="926" spans="1:16" ht="21.75" customHeight="1" x14ac:dyDescent="0.3">
      <c r="A926" s="504"/>
      <c r="B926" s="504"/>
      <c r="C926" s="504"/>
      <c r="D926" s="504"/>
      <c r="E926" s="506"/>
      <c r="F926" s="506"/>
      <c r="G926" s="506"/>
      <c r="H926" s="506"/>
      <c r="I926" s="506"/>
      <c r="J926" s="506"/>
      <c r="K926" s="507"/>
      <c r="L926" s="508"/>
      <c r="M926" s="508"/>
      <c r="N926" s="508"/>
      <c r="O926" s="509"/>
      <c r="P926" s="509"/>
    </row>
    <row r="927" spans="1:16" ht="21.75" customHeight="1" x14ac:dyDescent="0.3">
      <c r="A927" s="504"/>
      <c r="B927" s="504"/>
      <c r="C927" s="504"/>
      <c r="D927" s="504"/>
      <c r="E927" s="506"/>
      <c r="F927" s="506"/>
      <c r="G927" s="506"/>
      <c r="H927" s="506"/>
      <c r="I927" s="506"/>
      <c r="J927" s="506"/>
      <c r="K927" s="507"/>
      <c r="L927" s="508"/>
      <c r="M927" s="508"/>
      <c r="N927" s="508"/>
      <c r="O927" s="509"/>
      <c r="P927" s="509"/>
    </row>
    <row r="928" spans="1:16" ht="21.75" customHeight="1" x14ac:dyDescent="0.3">
      <c r="A928" s="504"/>
      <c r="B928" s="504"/>
      <c r="C928" s="504"/>
      <c r="D928" s="504"/>
      <c r="E928" s="506"/>
      <c r="F928" s="506"/>
      <c r="G928" s="506"/>
      <c r="H928" s="506"/>
      <c r="I928" s="506"/>
      <c r="J928" s="506"/>
      <c r="K928" s="507"/>
      <c r="L928" s="508"/>
      <c r="M928" s="508"/>
      <c r="N928" s="508"/>
      <c r="O928" s="509"/>
      <c r="P928" s="509"/>
    </row>
    <row r="929" spans="1:16" ht="21.75" customHeight="1" x14ac:dyDescent="0.3">
      <c r="A929" s="504"/>
      <c r="B929" s="504"/>
      <c r="C929" s="504"/>
      <c r="D929" s="504"/>
      <c r="E929" s="506"/>
      <c r="F929" s="506"/>
      <c r="G929" s="506"/>
      <c r="H929" s="506"/>
      <c r="I929" s="506"/>
      <c r="J929" s="506"/>
      <c r="K929" s="507"/>
      <c r="L929" s="508"/>
      <c r="M929" s="508"/>
      <c r="N929" s="508"/>
      <c r="O929" s="509"/>
      <c r="P929" s="509"/>
    </row>
    <row r="930" spans="1:16" ht="21.75" customHeight="1" x14ac:dyDescent="0.3">
      <c r="A930" s="504"/>
      <c r="B930" s="504"/>
      <c r="C930" s="504"/>
      <c r="D930" s="504"/>
      <c r="E930" s="506"/>
      <c r="F930" s="506"/>
      <c r="G930" s="506"/>
      <c r="H930" s="506"/>
      <c r="I930" s="506"/>
      <c r="J930" s="506"/>
      <c r="K930" s="507"/>
      <c r="L930" s="508"/>
      <c r="M930" s="508"/>
      <c r="N930" s="508"/>
      <c r="O930" s="509"/>
      <c r="P930" s="509"/>
    </row>
    <row r="931" spans="1:16" ht="21.75" customHeight="1" x14ac:dyDescent="0.3">
      <c r="A931" s="504"/>
      <c r="B931" s="504"/>
      <c r="C931" s="504"/>
      <c r="D931" s="504"/>
      <c r="E931" s="506"/>
      <c r="F931" s="506"/>
      <c r="G931" s="506"/>
      <c r="H931" s="506"/>
      <c r="I931" s="506"/>
      <c r="J931" s="506"/>
      <c r="K931" s="507"/>
      <c r="L931" s="508"/>
      <c r="M931" s="508"/>
      <c r="N931" s="508"/>
      <c r="O931" s="509"/>
      <c r="P931" s="509"/>
    </row>
    <row r="932" spans="1:16" ht="21.75" customHeight="1" x14ac:dyDescent="0.3">
      <c r="A932" s="504"/>
      <c r="B932" s="504"/>
      <c r="C932" s="504"/>
      <c r="D932" s="504"/>
      <c r="E932" s="506"/>
      <c r="F932" s="506"/>
      <c r="G932" s="506"/>
      <c r="H932" s="506"/>
      <c r="I932" s="506"/>
      <c r="J932" s="506"/>
      <c r="K932" s="507"/>
      <c r="L932" s="508"/>
      <c r="M932" s="508"/>
      <c r="N932" s="508"/>
      <c r="O932" s="509"/>
      <c r="P932" s="509"/>
    </row>
    <row r="933" spans="1:16" ht="21.75" customHeight="1" x14ac:dyDescent="0.3">
      <c r="A933" s="504"/>
      <c r="B933" s="504"/>
      <c r="C933" s="504"/>
      <c r="D933" s="504"/>
      <c r="E933" s="506"/>
      <c r="F933" s="506"/>
      <c r="G933" s="506"/>
      <c r="H933" s="506"/>
      <c r="I933" s="506"/>
      <c r="J933" s="506"/>
      <c r="K933" s="507"/>
      <c r="L933" s="508"/>
      <c r="M933" s="508"/>
      <c r="N933" s="508"/>
      <c r="O933" s="509"/>
      <c r="P933" s="509"/>
    </row>
    <row r="934" spans="1:16" ht="21.75" customHeight="1" x14ac:dyDescent="0.3">
      <c r="A934" s="504"/>
      <c r="B934" s="504"/>
      <c r="C934" s="504"/>
      <c r="D934" s="504"/>
      <c r="E934" s="506"/>
      <c r="F934" s="506"/>
      <c r="G934" s="506"/>
      <c r="H934" s="506"/>
      <c r="I934" s="506"/>
      <c r="J934" s="506"/>
      <c r="K934" s="507"/>
      <c r="L934" s="508"/>
      <c r="M934" s="508"/>
      <c r="N934" s="508"/>
      <c r="O934" s="509"/>
      <c r="P934" s="509"/>
    </row>
    <row r="935" spans="1:16" ht="21.75" customHeight="1" x14ac:dyDescent="0.3">
      <c r="A935" s="504"/>
      <c r="B935" s="504"/>
      <c r="C935" s="504"/>
      <c r="D935" s="504"/>
      <c r="E935" s="506"/>
      <c r="F935" s="506"/>
      <c r="G935" s="506"/>
      <c r="H935" s="506"/>
      <c r="I935" s="506"/>
      <c r="J935" s="506"/>
      <c r="K935" s="507"/>
      <c r="L935" s="508"/>
      <c r="M935" s="508"/>
      <c r="N935" s="508"/>
      <c r="O935" s="509"/>
      <c r="P935" s="509"/>
    </row>
    <row r="936" spans="1:16" ht="21.75" customHeight="1" x14ac:dyDescent="0.3">
      <c r="A936" s="504"/>
      <c r="B936" s="504"/>
      <c r="C936" s="504"/>
      <c r="D936" s="504"/>
      <c r="E936" s="506"/>
      <c r="F936" s="506"/>
      <c r="G936" s="506"/>
      <c r="H936" s="506"/>
      <c r="I936" s="506"/>
      <c r="J936" s="506"/>
      <c r="K936" s="507"/>
      <c r="L936" s="508"/>
      <c r="M936" s="508"/>
      <c r="N936" s="508"/>
      <c r="O936" s="509"/>
      <c r="P936" s="509"/>
    </row>
    <row r="937" spans="1:16" ht="21.75" customHeight="1" x14ac:dyDescent="0.3">
      <c r="A937" s="504"/>
      <c r="B937" s="504"/>
      <c r="C937" s="504"/>
      <c r="D937" s="504"/>
      <c r="E937" s="506"/>
      <c r="F937" s="506"/>
      <c r="G937" s="506"/>
      <c r="H937" s="506"/>
      <c r="I937" s="506"/>
      <c r="J937" s="506"/>
      <c r="K937" s="507"/>
      <c r="L937" s="508"/>
      <c r="M937" s="508"/>
      <c r="N937" s="508"/>
      <c r="O937" s="509"/>
      <c r="P937" s="509"/>
    </row>
    <row r="938" spans="1:16" ht="21.75" customHeight="1" x14ac:dyDescent="0.3">
      <c r="A938" s="504"/>
      <c r="B938" s="504"/>
      <c r="C938" s="504"/>
      <c r="D938" s="504"/>
      <c r="E938" s="506"/>
      <c r="F938" s="506"/>
      <c r="G938" s="506"/>
      <c r="H938" s="506"/>
      <c r="I938" s="506"/>
      <c r="J938" s="506"/>
      <c r="K938" s="507"/>
      <c r="L938" s="508"/>
      <c r="M938" s="508"/>
      <c r="N938" s="508"/>
      <c r="O938" s="509"/>
      <c r="P938" s="509"/>
    </row>
    <row r="939" spans="1:16" ht="21.75" customHeight="1" x14ac:dyDescent="0.3">
      <c r="A939" s="504"/>
      <c r="B939" s="504"/>
      <c r="C939" s="504"/>
      <c r="D939" s="504"/>
      <c r="E939" s="506"/>
      <c r="F939" s="506"/>
      <c r="G939" s="506"/>
      <c r="H939" s="506"/>
      <c r="I939" s="506"/>
      <c r="J939" s="506"/>
      <c r="K939" s="507"/>
      <c r="L939" s="508"/>
      <c r="M939" s="508"/>
      <c r="N939" s="508"/>
      <c r="O939" s="509"/>
      <c r="P939" s="509"/>
    </row>
    <row r="940" spans="1:16" ht="21.75" customHeight="1" x14ac:dyDescent="0.3">
      <c r="A940" s="504"/>
      <c r="B940" s="504"/>
      <c r="C940" s="504"/>
      <c r="D940" s="504"/>
      <c r="E940" s="506"/>
      <c r="F940" s="506"/>
      <c r="G940" s="506"/>
      <c r="H940" s="506"/>
      <c r="I940" s="506"/>
      <c r="J940" s="506"/>
      <c r="K940" s="507"/>
      <c r="L940" s="508"/>
      <c r="M940" s="508"/>
      <c r="N940" s="508"/>
      <c r="O940" s="509"/>
      <c r="P940" s="509"/>
    </row>
    <row r="941" spans="1:16" ht="21.75" customHeight="1" x14ac:dyDescent="0.3">
      <c r="A941" s="504"/>
      <c r="B941" s="504"/>
      <c r="C941" s="504"/>
      <c r="D941" s="504"/>
      <c r="E941" s="506"/>
      <c r="F941" s="506"/>
      <c r="G941" s="506"/>
      <c r="H941" s="506"/>
      <c r="I941" s="506"/>
      <c r="J941" s="506"/>
      <c r="K941" s="507"/>
      <c r="L941" s="508"/>
      <c r="M941" s="508"/>
      <c r="N941" s="508"/>
      <c r="O941" s="509"/>
      <c r="P941" s="509"/>
    </row>
    <row r="942" spans="1:16" ht="21.75" customHeight="1" x14ac:dyDescent="0.3">
      <c r="A942" s="504"/>
      <c r="B942" s="504"/>
      <c r="C942" s="504"/>
      <c r="D942" s="504"/>
      <c r="E942" s="506"/>
      <c r="F942" s="506"/>
      <c r="G942" s="506"/>
      <c r="H942" s="506"/>
      <c r="I942" s="506"/>
      <c r="J942" s="506"/>
      <c r="K942" s="507"/>
      <c r="L942" s="508"/>
      <c r="M942" s="508"/>
      <c r="N942" s="508"/>
      <c r="O942" s="509"/>
      <c r="P942" s="509"/>
    </row>
    <row r="943" spans="1:16" ht="21.75" customHeight="1" x14ac:dyDescent="0.3">
      <c r="A943" s="504"/>
      <c r="B943" s="504"/>
      <c r="C943" s="504"/>
      <c r="D943" s="504"/>
      <c r="E943" s="506"/>
      <c r="F943" s="506"/>
      <c r="G943" s="506"/>
      <c r="H943" s="506"/>
      <c r="I943" s="506"/>
      <c r="J943" s="506"/>
      <c r="K943" s="507"/>
      <c r="L943" s="508"/>
      <c r="M943" s="508"/>
      <c r="N943" s="508"/>
      <c r="O943" s="509"/>
      <c r="P943" s="509"/>
    </row>
    <row r="944" spans="1:16" ht="21.75" customHeight="1" x14ac:dyDescent="0.3">
      <c r="A944" s="504"/>
      <c r="B944" s="504"/>
      <c r="C944" s="504"/>
      <c r="D944" s="504"/>
      <c r="E944" s="506"/>
      <c r="F944" s="506"/>
      <c r="G944" s="506"/>
      <c r="H944" s="506"/>
      <c r="I944" s="506"/>
      <c r="J944" s="506"/>
      <c r="K944" s="507"/>
      <c r="L944" s="508"/>
      <c r="M944" s="508"/>
      <c r="N944" s="508"/>
      <c r="O944" s="509"/>
      <c r="P944" s="509"/>
    </row>
    <row r="945" spans="1:16" ht="21.75" customHeight="1" x14ac:dyDescent="0.3">
      <c r="A945" s="504"/>
      <c r="B945" s="504"/>
      <c r="C945" s="504"/>
      <c r="D945" s="504"/>
      <c r="E945" s="506"/>
      <c r="F945" s="506"/>
      <c r="G945" s="506"/>
      <c r="H945" s="506"/>
      <c r="I945" s="506"/>
      <c r="J945" s="506"/>
      <c r="K945" s="507"/>
      <c r="L945" s="508"/>
      <c r="M945" s="508"/>
      <c r="N945" s="508"/>
      <c r="O945" s="509"/>
      <c r="P945" s="509"/>
    </row>
    <row r="946" spans="1:16" ht="21.75" customHeight="1" x14ac:dyDescent="0.3">
      <c r="A946" s="504"/>
      <c r="B946" s="504"/>
      <c r="C946" s="504"/>
      <c r="D946" s="504"/>
      <c r="E946" s="506"/>
      <c r="F946" s="506"/>
      <c r="G946" s="506"/>
      <c r="H946" s="506"/>
      <c r="I946" s="506"/>
      <c r="J946" s="506"/>
      <c r="K946" s="507"/>
      <c r="L946" s="508"/>
      <c r="M946" s="508"/>
      <c r="N946" s="508"/>
      <c r="O946" s="509"/>
      <c r="P946" s="509"/>
    </row>
    <row r="947" spans="1:16" ht="21.75" customHeight="1" x14ac:dyDescent="0.3">
      <c r="A947" s="504"/>
      <c r="B947" s="504"/>
      <c r="C947" s="504"/>
      <c r="D947" s="504"/>
      <c r="E947" s="506"/>
      <c r="F947" s="506"/>
      <c r="G947" s="506"/>
      <c r="H947" s="506"/>
      <c r="I947" s="506"/>
      <c r="J947" s="506"/>
      <c r="K947" s="507"/>
      <c r="L947" s="508"/>
      <c r="M947" s="508"/>
      <c r="N947" s="508"/>
      <c r="O947" s="509"/>
      <c r="P947" s="509"/>
    </row>
    <row r="948" spans="1:16" ht="21.75" customHeight="1" x14ac:dyDescent="0.3">
      <c r="A948" s="504"/>
      <c r="B948" s="504"/>
      <c r="C948" s="504"/>
      <c r="D948" s="504"/>
      <c r="E948" s="506"/>
      <c r="F948" s="506"/>
      <c r="G948" s="506"/>
      <c r="H948" s="506"/>
      <c r="I948" s="506"/>
      <c r="J948" s="506"/>
      <c r="K948" s="507"/>
      <c r="L948" s="508"/>
      <c r="M948" s="508"/>
      <c r="N948" s="508"/>
      <c r="O948" s="509"/>
      <c r="P948" s="509"/>
    </row>
    <row r="949" spans="1:16" ht="21.75" customHeight="1" x14ac:dyDescent="0.3">
      <c r="A949" s="504"/>
      <c r="B949" s="504"/>
      <c r="C949" s="504"/>
      <c r="D949" s="504"/>
      <c r="E949" s="506"/>
      <c r="F949" s="506"/>
      <c r="G949" s="506"/>
      <c r="H949" s="506"/>
      <c r="I949" s="506"/>
      <c r="J949" s="506"/>
      <c r="K949" s="507"/>
      <c r="L949" s="508"/>
      <c r="M949" s="508"/>
      <c r="N949" s="508"/>
      <c r="O949" s="509"/>
      <c r="P949" s="509"/>
    </row>
    <row r="950" spans="1:16" ht="21.75" customHeight="1" x14ac:dyDescent="0.3">
      <c r="A950" s="504"/>
      <c r="B950" s="504"/>
      <c r="C950" s="504"/>
      <c r="D950" s="504"/>
      <c r="E950" s="506"/>
      <c r="F950" s="506"/>
      <c r="G950" s="506"/>
      <c r="H950" s="506"/>
      <c r="I950" s="506"/>
      <c r="J950" s="506"/>
      <c r="K950" s="507"/>
      <c r="L950" s="508"/>
      <c r="M950" s="508"/>
      <c r="N950" s="508"/>
      <c r="O950" s="509"/>
      <c r="P950" s="509"/>
    </row>
    <row r="951" spans="1:16" ht="21.75" customHeight="1" x14ac:dyDescent="0.3">
      <c r="A951" s="504"/>
      <c r="B951" s="504"/>
      <c r="C951" s="504"/>
      <c r="D951" s="504"/>
      <c r="E951" s="506"/>
      <c r="F951" s="506"/>
      <c r="G951" s="506"/>
      <c r="H951" s="506"/>
      <c r="I951" s="506"/>
      <c r="J951" s="506"/>
      <c r="K951" s="507"/>
      <c r="L951" s="508"/>
      <c r="M951" s="508"/>
      <c r="N951" s="508"/>
      <c r="O951" s="509"/>
      <c r="P951" s="509"/>
    </row>
    <row r="952" spans="1:16" ht="21.75" customHeight="1" x14ac:dyDescent="0.3">
      <c r="A952" s="504"/>
      <c r="B952" s="504"/>
      <c r="C952" s="504"/>
      <c r="D952" s="504"/>
      <c r="E952" s="506"/>
      <c r="F952" s="506"/>
      <c r="G952" s="506"/>
      <c r="H952" s="506"/>
      <c r="I952" s="506"/>
      <c r="J952" s="506"/>
      <c r="K952" s="507"/>
      <c r="L952" s="508"/>
      <c r="M952" s="508"/>
      <c r="N952" s="508"/>
      <c r="O952" s="509"/>
      <c r="P952" s="509"/>
    </row>
    <row r="953" spans="1:16" ht="21.75" customHeight="1" x14ac:dyDescent="0.3">
      <c r="A953" s="504"/>
      <c r="B953" s="504"/>
      <c r="C953" s="504"/>
      <c r="D953" s="504"/>
      <c r="E953" s="506"/>
      <c r="F953" s="506"/>
      <c r="G953" s="506"/>
      <c r="H953" s="506"/>
      <c r="I953" s="506"/>
      <c r="J953" s="506"/>
      <c r="K953" s="507"/>
      <c r="L953" s="508"/>
      <c r="M953" s="508"/>
      <c r="N953" s="508"/>
      <c r="O953" s="509"/>
      <c r="P953" s="509"/>
    </row>
    <row r="954" spans="1:16" ht="21.75" customHeight="1" x14ac:dyDescent="0.3">
      <c r="A954" s="504"/>
      <c r="B954" s="504"/>
      <c r="C954" s="504"/>
      <c r="D954" s="504"/>
      <c r="E954" s="506"/>
      <c r="F954" s="506"/>
      <c r="G954" s="506"/>
      <c r="H954" s="506"/>
      <c r="I954" s="506"/>
      <c r="J954" s="506"/>
      <c r="K954" s="507"/>
      <c r="L954" s="508"/>
      <c r="M954" s="508"/>
      <c r="N954" s="508"/>
      <c r="O954" s="509"/>
      <c r="P954" s="509"/>
    </row>
    <row r="955" spans="1:16" ht="21.75" customHeight="1" x14ac:dyDescent="0.3">
      <c r="A955" s="504"/>
      <c r="B955" s="504"/>
      <c r="C955" s="504"/>
      <c r="D955" s="504"/>
      <c r="E955" s="506"/>
      <c r="F955" s="506"/>
      <c r="G955" s="506"/>
      <c r="H955" s="506"/>
      <c r="I955" s="506"/>
      <c r="J955" s="506"/>
      <c r="K955" s="507"/>
      <c r="L955" s="508"/>
      <c r="M955" s="508"/>
      <c r="N955" s="508"/>
      <c r="O955" s="509"/>
      <c r="P955" s="509"/>
    </row>
    <row r="956" spans="1:16" ht="21.75" customHeight="1" x14ac:dyDescent="0.3">
      <c r="A956" s="504"/>
      <c r="B956" s="504"/>
      <c r="C956" s="504"/>
      <c r="D956" s="504"/>
      <c r="E956" s="506"/>
      <c r="F956" s="506"/>
      <c r="G956" s="506"/>
      <c r="H956" s="506"/>
      <c r="I956" s="506"/>
      <c r="J956" s="506"/>
      <c r="K956" s="507"/>
      <c r="L956" s="508"/>
      <c r="M956" s="508"/>
      <c r="N956" s="508"/>
      <c r="O956" s="509"/>
      <c r="P956" s="509"/>
    </row>
    <row r="957" spans="1:16" ht="21.75" customHeight="1" x14ac:dyDescent="0.3">
      <c r="A957" s="504"/>
      <c r="B957" s="504"/>
      <c r="C957" s="504"/>
      <c r="D957" s="504"/>
      <c r="E957" s="506"/>
      <c r="F957" s="506"/>
      <c r="G957" s="506"/>
      <c r="H957" s="506"/>
      <c r="I957" s="506"/>
      <c r="J957" s="506"/>
      <c r="K957" s="507"/>
      <c r="L957" s="508"/>
      <c r="M957" s="508"/>
      <c r="N957" s="508"/>
      <c r="O957" s="509"/>
      <c r="P957" s="509"/>
    </row>
    <row r="958" spans="1:16" ht="21.75" customHeight="1" x14ac:dyDescent="0.3">
      <c r="A958" s="504"/>
      <c r="B958" s="504"/>
      <c r="C958" s="504"/>
      <c r="D958" s="504"/>
      <c r="E958" s="506"/>
      <c r="F958" s="506"/>
      <c r="G958" s="506"/>
      <c r="H958" s="506"/>
      <c r="I958" s="506"/>
      <c r="J958" s="506"/>
      <c r="K958" s="507"/>
      <c r="L958" s="508"/>
      <c r="M958" s="508"/>
      <c r="N958" s="508"/>
      <c r="O958" s="509"/>
      <c r="P958" s="509"/>
    </row>
    <row r="959" spans="1:16" ht="21.75" customHeight="1" x14ac:dyDescent="0.3">
      <c r="A959" s="504"/>
      <c r="B959" s="504"/>
      <c r="C959" s="504"/>
      <c r="D959" s="504"/>
      <c r="E959" s="506"/>
      <c r="F959" s="506"/>
      <c r="G959" s="506"/>
      <c r="H959" s="506"/>
      <c r="I959" s="506"/>
      <c r="J959" s="506"/>
      <c r="K959" s="507"/>
      <c r="L959" s="508"/>
      <c r="M959" s="508"/>
      <c r="N959" s="508"/>
      <c r="O959" s="509"/>
      <c r="P959" s="509"/>
    </row>
    <row r="960" spans="1:16" ht="21.75" customHeight="1" x14ac:dyDescent="0.3">
      <c r="A960" s="504"/>
      <c r="B960" s="504"/>
      <c r="C960" s="504"/>
      <c r="D960" s="504"/>
      <c r="E960" s="506"/>
      <c r="F960" s="506"/>
      <c r="G960" s="506"/>
      <c r="H960" s="506"/>
      <c r="I960" s="506"/>
      <c r="J960" s="506"/>
      <c r="K960" s="507"/>
      <c r="L960" s="508"/>
      <c r="M960" s="508"/>
      <c r="N960" s="508"/>
      <c r="O960" s="509"/>
      <c r="P960" s="509"/>
    </row>
    <row r="961" spans="1:16" ht="21.75" customHeight="1" x14ac:dyDescent="0.3">
      <c r="A961" s="504"/>
      <c r="B961" s="504"/>
      <c r="C961" s="504"/>
      <c r="D961" s="504"/>
      <c r="E961" s="506"/>
      <c r="F961" s="506"/>
      <c r="G961" s="506"/>
      <c r="H961" s="506"/>
      <c r="I961" s="506"/>
      <c r="J961" s="506"/>
      <c r="K961" s="507"/>
      <c r="L961" s="508"/>
      <c r="M961" s="508"/>
      <c r="N961" s="508"/>
      <c r="O961" s="509"/>
      <c r="P961" s="509"/>
    </row>
    <row r="962" spans="1:16" ht="21.75" customHeight="1" x14ac:dyDescent="0.3">
      <c r="A962" s="504"/>
      <c r="B962" s="504"/>
      <c r="C962" s="504"/>
      <c r="D962" s="504"/>
      <c r="E962" s="506"/>
      <c r="F962" s="506"/>
      <c r="G962" s="506"/>
      <c r="H962" s="506"/>
      <c r="I962" s="506"/>
      <c r="J962" s="506"/>
      <c r="K962" s="507"/>
      <c r="L962" s="508"/>
      <c r="M962" s="508"/>
      <c r="N962" s="508"/>
      <c r="O962" s="509"/>
      <c r="P962" s="509"/>
    </row>
    <row r="963" spans="1:16" ht="21.75" customHeight="1" x14ac:dyDescent="0.3">
      <c r="A963" s="504"/>
      <c r="B963" s="504"/>
      <c r="C963" s="504"/>
      <c r="D963" s="504"/>
      <c r="E963" s="506"/>
      <c r="F963" s="506"/>
      <c r="G963" s="506"/>
      <c r="H963" s="506"/>
      <c r="I963" s="506"/>
      <c r="J963" s="506"/>
      <c r="K963" s="507"/>
      <c r="L963" s="508"/>
      <c r="M963" s="508"/>
      <c r="N963" s="508"/>
      <c r="O963" s="509"/>
      <c r="P963" s="509"/>
    </row>
    <row r="964" spans="1:16" ht="21.75" customHeight="1" x14ac:dyDescent="0.3">
      <c r="A964" s="504"/>
      <c r="B964" s="504"/>
      <c r="C964" s="504"/>
      <c r="D964" s="504"/>
      <c r="E964" s="506"/>
      <c r="F964" s="506"/>
      <c r="G964" s="506"/>
      <c r="H964" s="506"/>
      <c r="I964" s="506"/>
      <c r="J964" s="506"/>
      <c r="K964" s="507"/>
      <c r="L964" s="508"/>
      <c r="M964" s="508"/>
      <c r="N964" s="508"/>
      <c r="O964" s="509"/>
      <c r="P964" s="509"/>
    </row>
    <row r="965" spans="1:16" ht="21.75" customHeight="1" x14ac:dyDescent="0.3">
      <c r="A965" s="504"/>
      <c r="B965" s="504"/>
      <c r="C965" s="504"/>
      <c r="D965" s="504"/>
      <c r="E965" s="506"/>
      <c r="F965" s="506"/>
      <c r="G965" s="506"/>
      <c r="H965" s="506"/>
      <c r="I965" s="506"/>
      <c r="J965" s="506"/>
      <c r="K965" s="507"/>
      <c r="L965" s="508"/>
      <c r="M965" s="508"/>
      <c r="N965" s="508"/>
      <c r="O965" s="509"/>
      <c r="P965" s="509"/>
    </row>
    <row r="966" spans="1:16" ht="21.75" customHeight="1" x14ac:dyDescent="0.3">
      <c r="A966" s="504"/>
      <c r="B966" s="504"/>
      <c r="C966" s="504"/>
      <c r="D966" s="504"/>
      <c r="E966" s="506"/>
      <c r="F966" s="506"/>
      <c r="G966" s="506"/>
      <c r="H966" s="506"/>
      <c r="I966" s="506"/>
      <c r="J966" s="506"/>
      <c r="K966" s="507"/>
      <c r="L966" s="508"/>
      <c r="M966" s="508"/>
      <c r="N966" s="508"/>
      <c r="O966" s="509"/>
      <c r="P966" s="509"/>
    </row>
    <row r="967" spans="1:16" ht="21.75" customHeight="1" x14ac:dyDescent="0.3">
      <c r="A967" s="504"/>
      <c r="B967" s="504"/>
      <c r="C967" s="504"/>
      <c r="D967" s="504"/>
      <c r="E967" s="506"/>
      <c r="F967" s="506"/>
      <c r="G967" s="506"/>
      <c r="H967" s="506"/>
      <c r="I967" s="506"/>
      <c r="J967" s="506"/>
      <c r="K967" s="507"/>
      <c r="L967" s="508"/>
      <c r="M967" s="508"/>
      <c r="N967" s="508"/>
      <c r="O967" s="509"/>
      <c r="P967" s="509"/>
    </row>
    <row r="968" spans="1:16" ht="21.75" customHeight="1" x14ac:dyDescent="0.3">
      <c r="A968" s="504"/>
      <c r="B968" s="504"/>
      <c r="C968" s="504"/>
      <c r="D968" s="504"/>
      <c r="E968" s="506"/>
      <c r="F968" s="506"/>
      <c r="G968" s="506"/>
      <c r="H968" s="506"/>
      <c r="I968" s="506"/>
      <c r="J968" s="506"/>
      <c r="K968" s="507"/>
      <c r="L968" s="508"/>
      <c r="M968" s="508"/>
      <c r="N968" s="508"/>
      <c r="O968" s="509"/>
      <c r="P968" s="509"/>
    </row>
    <row r="969" spans="1:16" ht="21.75" customHeight="1" x14ac:dyDescent="0.3">
      <c r="A969" s="504"/>
      <c r="B969" s="504"/>
      <c r="C969" s="504"/>
      <c r="D969" s="504"/>
      <c r="E969" s="506"/>
      <c r="F969" s="506"/>
      <c r="G969" s="506"/>
      <c r="H969" s="506"/>
      <c r="I969" s="506"/>
      <c r="J969" s="506"/>
      <c r="K969" s="507"/>
      <c r="L969" s="508"/>
      <c r="M969" s="508"/>
      <c r="N969" s="508"/>
      <c r="O969" s="509"/>
      <c r="P969" s="509"/>
    </row>
    <row r="970" spans="1:16" ht="21.75" customHeight="1" x14ac:dyDescent="0.3">
      <c r="A970" s="504"/>
      <c r="B970" s="504"/>
      <c r="C970" s="504"/>
      <c r="D970" s="504"/>
      <c r="E970" s="506"/>
      <c r="F970" s="506"/>
      <c r="G970" s="506"/>
      <c r="H970" s="506"/>
      <c r="I970" s="506"/>
      <c r="J970" s="506"/>
      <c r="K970" s="507"/>
      <c r="L970" s="508"/>
      <c r="M970" s="508"/>
      <c r="N970" s="508"/>
      <c r="O970" s="509"/>
      <c r="P970" s="509"/>
    </row>
    <row r="971" spans="1:16" ht="21.75" customHeight="1" x14ac:dyDescent="0.3">
      <c r="A971" s="504"/>
      <c r="B971" s="504"/>
      <c r="C971" s="504"/>
      <c r="D971" s="504"/>
      <c r="E971" s="506"/>
      <c r="F971" s="506"/>
      <c r="G971" s="506"/>
      <c r="H971" s="506"/>
      <c r="I971" s="506"/>
      <c r="J971" s="506"/>
      <c r="K971" s="507"/>
      <c r="L971" s="508"/>
      <c r="M971" s="508"/>
      <c r="N971" s="508"/>
      <c r="O971" s="509"/>
      <c r="P971" s="509"/>
    </row>
    <row r="972" spans="1:16" ht="21.75" customHeight="1" x14ac:dyDescent="0.3">
      <c r="A972" s="504"/>
      <c r="B972" s="504"/>
      <c r="C972" s="504"/>
      <c r="D972" s="504"/>
      <c r="E972" s="506"/>
      <c r="F972" s="506"/>
      <c r="G972" s="506"/>
      <c r="H972" s="506"/>
      <c r="I972" s="506"/>
      <c r="J972" s="506"/>
      <c r="K972" s="507"/>
      <c r="L972" s="508"/>
      <c r="M972" s="508"/>
      <c r="N972" s="508"/>
      <c r="O972" s="509"/>
      <c r="P972" s="509"/>
    </row>
    <row r="973" spans="1:16" ht="21.75" customHeight="1" x14ac:dyDescent="0.3">
      <c r="A973" s="504"/>
      <c r="B973" s="504"/>
      <c r="C973" s="504"/>
      <c r="D973" s="504"/>
      <c r="E973" s="506"/>
      <c r="F973" s="506"/>
      <c r="G973" s="506"/>
      <c r="H973" s="506"/>
      <c r="I973" s="506"/>
      <c r="J973" s="506"/>
      <c r="K973" s="507"/>
      <c r="L973" s="508"/>
      <c r="M973" s="508"/>
      <c r="N973" s="508"/>
      <c r="O973" s="509"/>
      <c r="P973" s="509"/>
    </row>
    <row r="974" spans="1:16" ht="21.75" customHeight="1" x14ac:dyDescent="0.3">
      <c r="A974" s="504"/>
      <c r="B974" s="504"/>
      <c r="C974" s="504"/>
      <c r="D974" s="504"/>
      <c r="E974" s="506"/>
      <c r="F974" s="506"/>
      <c r="G974" s="506"/>
      <c r="H974" s="506"/>
      <c r="I974" s="506"/>
      <c r="J974" s="506"/>
      <c r="K974" s="507"/>
      <c r="L974" s="508"/>
      <c r="M974" s="508"/>
      <c r="N974" s="508"/>
      <c r="O974" s="509"/>
      <c r="P974" s="509"/>
    </row>
    <row r="975" spans="1:16" ht="21.75" customHeight="1" x14ac:dyDescent="0.3">
      <c r="A975" s="504"/>
      <c r="B975" s="504"/>
      <c r="C975" s="504"/>
      <c r="D975" s="504"/>
      <c r="E975" s="506"/>
      <c r="F975" s="506"/>
      <c r="G975" s="506"/>
      <c r="H975" s="506"/>
      <c r="I975" s="506"/>
      <c r="J975" s="506"/>
      <c r="K975" s="507"/>
      <c r="L975" s="508"/>
      <c r="M975" s="508"/>
      <c r="N975" s="508"/>
      <c r="O975" s="509"/>
      <c r="P975" s="509"/>
    </row>
    <row r="976" spans="1:16" ht="21.75" customHeight="1" x14ac:dyDescent="0.3">
      <c r="A976" s="504"/>
      <c r="B976" s="504"/>
      <c r="C976" s="504"/>
      <c r="D976" s="504"/>
      <c r="E976" s="506"/>
      <c r="F976" s="506"/>
      <c r="G976" s="506"/>
      <c r="H976" s="506"/>
      <c r="I976" s="506"/>
      <c r="J976" s="506"/>
      <c r="K976" s="507"/>
      <c r="L976" s="508"/>
      <c r="M976" s="508"/>
      <c r="N976" s="508"/>
      <c r="O976" s="509"/>
      <c r="P976" s="509"/>
    </row>
    <row r="977" spans="1:16" ht="21.75" customHeight="1" x14ac:dyDescent="0.3">
      <c r="A977" s="504"/>
      <c r="B977" s="504"/>
      <c r="C977" s="504"/>
      <c r="D977" s="504"/>
      <c r="E977" s="506"/>
      <c r="F977" s="506"/>
      <c r="G977" s="506"/>
      <c r="H977" s="506"/>
      <c r="I977" s="506"/>
      <c r="J977" s="506"/>
      <c r="K977" s="507"/>
      <c r="L977" s="508"/>
      <c r="M977" s="508"/>
      <c r="N977" s="508"/>
      <c r="O977" s="509"/>
      <c r="P977" s="509"/>
    </row>
    <row r="978" spans="1:16" ht="21.75" customHeight="1" x14ac:dyDescent="0.3">
      <c r="A978" s="504"/>
      <c r="B978" s="504"/>
      <c r="C978" s="504"/>
      <c r="D978" s="504"/>
      <c r="E978" s="506"/>
      <c r="F978" s="506"/>
      <c r="G978" s="506"/>
      <c r="H978" s="506"/>
      <c r="I978" s="506"/>
      <c r="J978" s="506"/>
      <c r="K978" s="507"/>
      <c r="L978" s="508"/>
      <c r="M978" s="508"/>
      <c r="N978" s="508"/>
      <c r="O978" s="509"/>
      <c r="P978" s="509"/>
    </row>
    <row r="979" spans="1:16" ht="21.75" customHeight="1" x14ac:dyDescent="0.3">
      <c r="A979" s="504"/>
      <c r="B979" s="504"/>
      <c r="C979" s="504"/>
      <c r="D979" s="504"/>
      <c r="E979" s="506"/>
      <c r="F979" s="506"/>
      <c r="G979" s="506"/>
      <c r="H979" s="506"/>
      <c r="I979" s="506"/>
      <c r="J979" s="506"/>
      <c r="K979" s="507"/>
      <c r="L979" s="508"/>
      <c r="M979" s="508"/>
      <c r="N979" s="508"/>
      <c r="O979" s="509"/>
      <c r="P979" s="509"/>
    </row>
    <row r="980" spans="1:16" ht="21.75" customHeight="1" x14ac:dyDescent="0.3">
      <c r="A980" s="504"/>
      <c r="B980" s="504"/>
      <c r="C980" s="504"/>
      <c r="D980" s="504"/>
      <c r="E980" s="506"/>
      <c r="F980" s="506"/>
      <c r="G980" s="506"/>
      <c r="H980" s="506"/>
      <c r="I980" s="506"/>
      <c r="J980" s="506"/>
      <c r="K980" s="507"/>
      <c r="L980" s="508"/>
      <c r="M980" s="508"/>
      <c r="N980" s="508"/>
      <c r="O980" s="509"/>
      <c r="P980" s="509"/>
    </row>
    <row r="981" spans="1:16" ht="21.75" customHeight="1" x14ac:dyDescent="0.3">
      <c r="A981" s="504"/>
      <c r="B981" s="504"/>
      <c r="C981" s="504"/>
      <c r="D981" s="504"/>
      <c r="E981" s="506"/>
      <c r="F981" s="506"/>
      <c r="G981" s="506"/>
      <c r="H981" s="506"/>
      <c r="I981" s="506"/>
      <c r="J981" s="506"/>
      <c r="K981" s="507"/>
      <c r="L981" s="508"/>
      <c r="M981" s="508"/>
      <c r="N981" s="508"/>
      <c r="O981" s="509"/>
      <c r="P981" s="509"/>
    </row>
    <row r="982" spans="1:16" ht="21.75" customHeight="1" x14ac:dyDescent="0.3">
      <c r="A982" s="504"/>
      <c r="B982" s="504"/>
      <c r="C982" s="504"/>
      <c r="D982" s="504"/>
      <c r="E982" s="506"/>
      <c r="F982" s="506"/>
      <c r="G982" s="506"/>
      <c r="H982" s="506"/>
      <c r="I982" s="506"/>
      <c r="J982" s="506"/>
      <c r="K982" s="507"/>
      <c r="L982" s="508"/>
      <c r="M982" s="508"/>
      <c r="N982" s="508"/>
      <c r="O982" s="509"/>
      <c r="P982" s="509"/>
    </row>
    <row r="983" spans="1:16" ht="21.75" customHeight="1" x14ac:dyDescent="0.3">
      <c r="A983" s="504"/>
      <c r="B983" s="504"/>
      <c r="C983" s="504"/>
      <c r="D983" s="504"/>
      <c r="E983" s="506"/>
      <c r="F983" s="506"/>
      <c r="G983" s="506"/>
      <c r="H983" s="506"/>
      <c r="I983" s="506"/>
      <c r="J983" s="506"/>
      <c r="K983" s="507"/>
      <c r="L983" s="508"/>
      <c r="M983" s="508"/>
      <c r="N983" s="508"/>
      <c r="O983" s="509"/>
      <c r="P983" s="509"/>
    </row>
    <row r="984" spans="1:16" ht="21.75" customHeight="1" x14ac:dyDescent="0.3">
      <c r="A984" s="504"/>
      <c r="B984" s="504"/>
      <c r="C984" s="504"/>
      <c r="D984" s="504"/>
      <c r="E984" s="506"/>
      <c r="F984" s="506"/>
      <c r="G984" s="506"/>
      <c r="H984" s="506"/>
      <c r="I984" s="506"/>
      <c r="J984" s="506"/>
      <c r="K984" s="507"/>
      <c r="L984" s="508"/>
      <c r="M984" s="508"/>
      <c r="N984" s="508"/>
      <c r="O984" s="509"/>
      <c r="P984" s="509"/>
    </row>
    <row r="985" spans="1:16" ht="21.75" customHeight="1" x14ac:dyDescent="0.3">
      <c r="A985" s="504"/>
      <c r="B985" s="504"/>
      <c r="C985" s="504"/>
      <c r="D985" s="504"/>
      <c r="E985" s="506"/>
      <c r="F985" s="506"/>
      <c r="G985" s="506"/>
      <c r="H985" s="506"/>
      <c r="I985" s="506"/>
      <c r="J985" s="506"/>
      <c r="K985" s="507"/>
      <c r="L985" s="508"/>
      <c r="M985" s="508"/>
      <c r="N985" s="508"/>
      <c r="O985" s="509"/>
      <c r="P985" s="509"/>
    </row>
    <row r="986" spans="1:16" ht="21.75" customHeight="1" x14ac:dyDescent="0.3">
      <c r="A986" s="504"/>
      <c r="B986" s="504"/>
      <c r="C986" s="504"/>
      <c r="D986" s="504"/>
      <c r="E986" s="506"/>
      <c r="F986" s="506"/>
      <c r="G986" s="506"/>
      <c r="H986" s="506"/>
      <c r="I986" s="506"/>
      <c r="J986" s="506"/>
      <c r="K986" s="507"/>
      <c r="L986" s="508"/>
      <c r="M986" s="508"/>
      <c r="N986" s="508"/>
      <c r="O986" s="509"/>
      <c r="P986" s="509"/>
    </row>
    <row r="987" spans="1:16" ht="21.75" customHeight="1" x14ac:dyDescent="0.3">
      <c r="A987" s="504"/>
      <c r="B987" s="504"/>
      <c r="C987" s="504"/>
      <c r="D987" s="504"/>
      <c r="E987" s="506"/>
      <c r="F987" s="506"/>
      <c r="G987" s="506"/>
      <c r="H987" s="506"/>
      <c r="I987" s="506"/>
      <c r="J987" s="506"/>
      <c r="K987" s="507"/>
      <c r="L987" s="508"/>
      <c r="M987" s="508"/>
      <c r="N987" s="508"/>
      <c r="O987" s="509"/>
      <c r="P987" s="509"/>
    </row>
    <row r="988" spans="1:16" ht="21.75" customHeight="1" x14ac:dyDescent="0.3">
      <c r="A988" s="504"/>
      <c r="B988" s="504"/>
      <c r="C988" s="504"/>
      <c r="D988" s="504"/>
      <c r="E988" s="506"/>
      <c r="F988" s="506"/>
      <c r="G988" s="506"/>
      <c r="H988" s="506"/>
      <c r="I988" s="506"/>
      <c r="J988" s="506"/>
      <c r="K988" s="507"/>
      <c r="L988" s="508"/>
      <c r="M988" s="508"/>
      <c r="N988" s="508"/>
      <c r="O988" s="509"/>
      <c r="P988" s="509"/>
    </row>
    <row r="989" spans="1:16" ht="21.75" customHeight="1" x14ac:dyDescent="0.3">
      <c r="A989" s="504"/>
      <c r="B989" s="504"/>
      <c r="C989" s="504"/>
      <c r="D989" s="504"/>
      <c r="E989" s="506"/>
      <c r="F989" s="506"/>
      <c r="G989" s="506"/>
      <c r="H989" s="506"/>
      <c r="I989" s="506"/>
      <c r="J989" s="506"/>
      <c r="K989" s="507"/>
      <c r="L989" s="508"/>
      <c r="M989" s="508"/>
      <c r="N989" s="508"/>
      <c r="O989" s="509"/>
      <c r="P989" s="509"/>
    </row>
    <row r="990" spans="1:16" ht="21.75" customHeight="1" x14ac:dyDescent="0.3">
      <c r="A990" s="504"/>
      <c r="B990" s="504"/>
      <c r="C990" s="504"/>
      <c r="D990" s="504"/>
      <c r="E990" s="506"/>
      <c r="F990" s="506"/>
      <c r="G990" s="506"/>
      <c r="H990" s="506"/>
      <c r="I990" s="506"/>
      <c r="J990" s="506"/>
      <c r="K990" s="507"/>
      <c r="L990" s="508"/>
      <c r="M990" s="508"/>
      <c r="N990" s="508"/>
      <c r="O990" s="509"/>
      <c r="P990" s="509"/>
    </row>
    <row r="991" spans="1:16" ht="21.75" customHeight="1" x14ac:dyDescent="0.3">
      <c r="A991" s="504"/>
      <c r="B991" s="504"/>
      <c r="C991" s="504"/>
      <c r="D991" s="504"/>
      <c r="E991" s="506"/>
      <c r="F991" s="506"/>
      <c r="G991" s="506"/>
      <c r="H991" s="506"/>
      <c r="I991" s="506"/>
      <c r="J991" s="506"/>
      <c r="K991" s="507"/>
      <c r="L991" s="508"/>
      <c r="M991" s="508"/>
      <c r="N991" s="508"/>
      <c r="O991" s="509"/>
      <c r="P991" s="509"/>
    </row>
    <row r="992" spans="1:16" ht="21.75" customHeight="1" x14ac:dyDescent="0.3">
      <c r="A992" s="504"/>
      <c r="B992" s="504"/>
      <c r="C992" s="504"/>
      <c r="D992" s="504"/>
      <c r="E992" s="506"/>
      <c r="F992" s="506"/>
      <c r="G992" s="506"/>
      <c r="H992" s="506"/>
      <c r="I992" s="506"/>
      <c r="J992" s="506"/>
      <c r="K992" s="507"/>
      <c r="L992" s="508"/>
      <c r="M992" s="508"/>
      <c r="N992" s="508"/>
      <c r="O992" s="509"/>
      <c r="P992" s="509"/>
    </row>
    <row r="993" spans="1:16" ht="21.75" customHeight="1" x14ac:dyDescent="0.3">
      <c r="A993" s="504"/>
      <c r="B993" s="504"/>
      <c r="C993" s="504"/>
      <c r="D993" s="504"/>
      <c r="E993" s="506"/>
      <c r="F993" s="506"/>
      <c r="G993" s="506"/>
      <c r="H993" s="506"/>
      <c r="I993" s="506"/>
      <c r="J993" s="506"/>
      <c r="K993" s="507"/>
      <c r="L993" s="508"/>
      <c r="M993" s="508"/>
      <c r="N993" s="508"/>
      <c r="O993" s="509"/>
      <c r="P993" s="509"/>
    </row>
    <row r="994" spans="1:16" ht="21.75" customHeight="1" x14ac:dyDescent="0.3">
      <c r="A994" s="504"/>
      <c r="B994" s="504"/>
      <c r="C994" s="504"/>
      <c r="D994" s="504"/>
      <c r="E994" s="506"/>
      <c r="F994" s="506"/>
      <c r="G994" s="506"/>
      <c r="H994" s="506"/>
      <c r="I994" s="506"/>
      <c r="J994" s="506"/>
      <c r="K994" s="507"/>
      <c r="L994" s="508"/>
      <c r="M994" s="508"/>
      <c r="N994" s="508"/>
      <c r="O994" s="509"/>
      <c r="P994" s="509"/>
    </row>
    <row r="995" spans="1:16" ht="21.75" customHeight="1" x14ac:dyDescent="0.3">
      <c r="A995" s="504"/>
      <c r="B995" s="504"/>
      <c r="C995" s="504"/>
      <c r="D995" s="504"/>
      <c r="E995" s="506"/>
      <c r="F995" s="506"/>
      <c r="G995" s="506"/>
      <c r="H995" s="506"/>
      <c r="I995" s="506"/>
      <c r="J995" s="506"/>
      <c r="K995" s="507"/>
      <c r="L995" s="508"/>
      <c r="M995" s="508"/>
      <c r="N995" s="508"/>
      <c r="O995" s="509"/>
      <c r="P995" s="509"/>
    </row>
    <row r="996" spans="1:16" ht="21.75" customHeight="1" x14ac:dyDescent="0.3">
      <c r="A996" s="504"/>
      <c r="B996" s="504"/>
      <c r="C996" s="504"/>
      <c r="D996" s="504"/>
      <c r="E996" s="506"/>
      <c r="F996" s="506"/>
      <c r="G996" s="506"/>
      <c r="H996" s="506"/>
      <c r="I996" s="506"/>
      <c r="J996" s="506"/>
      <c r="K996" s="507"/>
      <c r="L996" s="508"/>
      <c r="M996" s="508"/>
      <c r="N996" s="508"/>
      <c r="O996" s="509"/>
      <c r="P996" s="509"/>
    </row>
    <row r="997" spans="1:16" ht="21.75" customHeight="1" x14ac:dyDescent="0.3">
      <c r="A997" s="504"/>
      <c r="B997" s="504"/>
      <c r="C997" s="504"/>
      <c r="D997" s="504"/>
      <c r="E997" s="506"/>
      <c r="F997" s="506"/>
      <c r="G997" s="506"/>
      <c r="H997" s="506"/>
      <c r="I997" s="506"/>
      <c r="J997" s="506"/>
      <c r="K997" s="507"/>
      <c r="L997" s="508"/>
      <c r="M997" s="508"/>
      <c r="N997" s="508"/>
      <c r="O997" s="509"/>
      <c r="P997" s="509"/>
    </row>
    <row r="998" spans="1:16" ht="21.75" customHeight="1" x14ac:dyDescent="0.3">
      <c r="A998" s="504"/>
      <c r="B998" s="504"/>
      <c r="C998" s="504"/>
      <c r="D998" s="504"/>
      <c r="E998" s="506"/>
      <c r="F998" s="506"/>
      <c r="G998" s="506"/>
      <c r="H998" s="506"/>
      <c r="I998" s="506"/>
      <c r="J998" s="506"/>
      <c r="K998" s="507"/>
      <c r="L998" s="508"/>
      <c r="M998" s="508"/>
      <c r="N998" s="508"/>
      <c r="O998" s="509"/>
      <c r="P998" s="509"/>
    </row>
    <row r="999" spans="1:16" ht="21.75" customHeight="1" x14ac:dyDescent="0.3">
      <c r="A999" s="504"/>
      <c r="B999" s="504"/>
      <c r="C999" s="504"/>
      <c r="D999" s="504"/>
      <c r="E999" s="506"/>
      <c r="F999" s="506"/>
      <c r="G999" s="506"/>
      <c r="H999" s="506"/>
      <c r="I999" s="506"/>
      <c r="J999" s="506"/>
      <c r="K999" s="507"/>
      <c r="L999" s="508"/>
      <c r="M999" s="508"/>
      <c r="N999" s="508"/>
      <c r="O999" s="509"/>
      <c r="P999" s="509"/>
    </row>
    <row r="1000" spans="1:16" ht="21.75" customHeight="1" x14ac:dyDescent="0.3">
      <c r="A1000" s="504"/>
      <c r="B1000" s="504"/>
      <c r="C1000" s="504"/>
      <c r="D1000" s="504"/>
      <c r="E1000" s="506"/>
      <c r="F1000" s="506"/>
      <c r="G1000" s="506"/>
      <c r="H1000" s="506"/>
      <c r="I1000" s="506"/>
      <c r="J1000" s="506"/>
      <c r="K1000" s="507"/>
      <c r="L1000" s="508"/>
      <c r="M1000" s="508"/>
      <c r="N1000" s="508"/>
      <c r="O1000" s="509"/>
      <c r="P1000" s="509"/>
    </row>
    <row r="1001" spans="1:16" ht="21.75" customHeight="1" x14ac:dyDescent="0.3">
      <c r="A1001" s="504"/>
      <c r="B1001" s="504"/>
      <c r="C1001" s="504"/>
      <c r="D1001" s="504"/>
      <c r="E1001" s="506"/>
      <c r="F1001" s="506"/>
      <c r="G1001" s="506"/>
      <c r="H1001" s="506"/>
      <c r="I1001" s="506"/>
      <c r="J1001" s="506"/>
      <c r="K1001" s="507"/>
      <c r="L1001" s="508"/>
      <c r="M1001" s="508"/>
      <c r="N1001" s="508"/>
      <c r="O1001" s="509"/>
      <c r="P1001" s="509"/>
    </row>
    <row r="1002" spans="1:16" ht="21.75" customHeight="1" x14ac:dyDescent="0.3">
      <c r="A1002" s="504"/>
      <c r="B1002" s="504"/>
      <c r="C1002" s="504"/>
      <c r="D1002" s="504"/>
      <c r="E1002" s="506"/>
      <c r="F1002" s="506"/>
      <c r="G1002" s="506"/>
      <c r="H1002" s="506"/>
      <c r="I1002" s="506"/>
      <c r="J1002" s="506"/>
      <c r="K1002" s="507"/>
      <c r="L1002" s="508"/>
      <c r="M1002" s="508"/>
      <c r="N1002" s="508"/>
      <c r="O1002" s="509"/>
      <c r="P1002" s="509"/>
    </row>
    <row r="1003" spans="1:16" ht="21.75" customHeight="1" x14ac:dyDescent="0.3">
      <c r="A1003" s="504"/>
      <c r="B1003" s="504"/>
      <c r="C1003" s="504"/>
      <c r="D1003" s="504"/>
      <c r="E1003" s="506"/>
      <c r="F1003" s="506"/>
      <c r="G1003" s="506"/>
      <c r="H1003" s="506"/>
      <c r="I1003" s="506"/>
      <c r="J1003" s="506"/>
      <c r="K1003" s="507"/>
      <c r="L1003" s="508"/>
      <c r="M1003" s="508"/>
      <c r="N1003" s="508"/>
      <c r="O1003" s="509"/>
      <c r="P1003" s="509"/>
    </row>
    <row r="1004" spans="1:16" ht="21.75" customHeight="1" x14ac:dyDescent="0.3">
      <c r="A1004" s="504"/>
      <c r="B1004" s="504"/>
      <c r="C1004" s="504"/>
      <c r="D1004" s="504"/>
      <c r="E1004" s="506"/>
      <c r="F1004" s="506"/>
      <c r="G1004" s="506"/>
      <c r="H1004" s="506"/>
      <c r="I1004" s="506"/>
      <c r="J1004" s="506"/>
      <c r="K1004" s="507"/>
      <c r="L1004" s="508"/>
      <c r="M1004" s="508"/>
      <c r="N1004" s="508"/>
      <c r="O1004" s="509"/>
      <c r="P1004" s="509"/>
    </row>
    <row r="1005" spans="1:16" ht="21.75" customHeight="1" x14ac:dyDescent="0.3">
      <c r="A1005" s="504"/>
      <c r="B1005" s="504"/>
      <c r="C1005" s="504"/>
      <c r="D1005" s="504"/>
      <c r="E1005" s="506"/>
      <c r="F1005" s="506"/>
      <c r="G1005" s="506"/>
      <c r="H1005" s="506"/>
      <c r="I1005" s="506"/>
      <c r="J1005" s="506"/>
      <c r="K1005" s="507"/>
      <c r="L1005" s="508"/>
      <c r="M1005" s="508"/>
      <c r="N1005" s="508"/>
      <c r="O1005" s="509"/>
      <c r="P1005" s="509"/>
    </row>
    <row r="1006" spans="1:16" ht="21.75" customHeight="1" x14ac:dyDescent="0.3">
      <c r="A1006" s="504"/>
      <c r="B1006" s="504"/>
      <c r="C1006" s="504"/>
      <c r="D1006" s="504"/>
      <c r="E1006" s="506"/>
      <c r="F1006" s="506"/>
      <c r="G1006" s="506"/>
      <c r="H1006" s="506"/>
      <c r="I1006" s="506"/>
      <c r="J1006" s="506"/>
      <c r="K1006" s="507"/>
      <c r="L1006" s="508"/>
      <c r="M1006" s="508"/>
      <c r="N1006" s="508"/>
      <c r="O1006" s="509"/>
      <c r="P1006" s="509"/>
    </row>
    <row r="1007" spans="1:16" ht="21.75" customHeight="1" x14ac:dyDescent="0.3">
      <c r="A1007" s="504"/>
      <c r="B1007" s="504"/>
      <c r="C1007" s="504"/>
      <c r="D1007" s="504"/>
      <c r="E1007" s="506"/>
      <c r="F1007" s="506"/>
      <c r="G1007" s="506"/>
      <c r="H1007" s="506"/>
      <c r="I1007" s="506"/>
      <c r="J1007" s="506"/>
      <c r="K1007" s="507"/>
      <c r="L1007" s="508"/>
      <c r="M1007" s="508"/>
      <c r="N1007" s="508"/>
      <c r="O1007" s="509"/>
      <c r="P1007" s="509"/>
    </row>
    <row r="1008" spans="1:16" ht="21.75" customHeight="1" x14ac:dyDescent="0.3">
      <c r="A1008" s="504"/>
      <c r="B1008" s="504"/>
      <c r="C1008" s="504"/>
      <c r="D1008" s="504"/>
      <c r="E1008" s="506"/>
      <c r="F1008" s="506"/>
      <c r="G1008" s="506"/>
      <c r="H1008" s="506"/>
      <c r="I1008" s="506"/>
      <c r="J1008" s="506"/>
      <c r="K1008" s="507"/>
      <c r="L1008" s="508"/>
      <c r="M1008" s="508"/>
      <c r="N1008" s="508"/>
      <c r="O1008" s="509"/>
      <c r="P1008" s="509"/>
    </row>
    <row r="1009" spans="1:16" ht="21.75" customHeight="1" x14ac:dyDescent="0.3">
      <c r="A1009" s="504"/>
      <c r="B1009" s="504"/>
      <c r="C1009" s="504"/>
      <c r="D1009" s="504"/>
      <c r="E1009" s="506"/>
      <c r="F1009" s="506"/>
      <c r="G1009" s="506"/>
      <c r="H1009" s="506"/>
      <c r="I1009" s="506"/>
      <c r="J1009" s="506"/>
      <c r="K1009" s="507"/>
      <c r="L1009" s="508"/>
      <c r="M1009" s="508"/>
      <c r="N1009" s="508"/>
      <c r="O1009" s="509"/>
      <c r="P1009" s="509"/>
    </row>
    <row r="1010" spans="1:16" ht="21.75" customHeight="1" x14ac:dyDescent="0.3">
      <c r="A1010" s="504"/>
      <c r="B1010" s="504"/>
      <c r="C1010" s="504"/>
      <c r="D1010" s="504"/>
      <c r="E1010" s="506"/>
      <c r="F1010" s="506"/>
      <c r="G1010" s="506"/>
      <c r="H1010" s="506"/>
      <c r="I1010" s="506"/>
      <c r="J1010" s="506"/>
      <c r="K1010" s="507"/>
      <c r="L1010" s="508"/>
      <c r="M1010" s="508"/>
      <c r="N1010" s="508"/>
      <c r="O1010" s="509"/>
      <c r="P1010" s="509"/>
    </row>
    <row r="1011" spans="1:16" ht="21.75" customHeight="1" x14ac:dyDescent="0.3">
      <c r="A1011" s="504"/>
      <c r="B1011" s="504"/>
      <c r="C1011" s="504"/>
      <c r="D1011" s="504"/>
      <c r="E1011" s="506"/>
      <c r="F1011" s="506"/>
      <c r="G1011" s="506"/>
      <c r="H1011" s="506"/>
      <c r="I1011" s="506"/>
      <c r="J1011" s="506"/>
      <c r="K1011" s="507"/>
      <c r="L1011" s="508"/>
      <c r="M1011" s="508"/>
      <c r="N1011" s="508"/>
      <c r="O1011" s="509"/>
      <c r="P1011" s="509"/>
    </row>
    <row r="1012" spans="1:16" ht="21.75" customHeight="1" x14ac:dyDescent="0.3">
      <c r="A1012" s="504"/>
      <c r="B1012" s="504"/>
      <c r="C1012" s="504"/>
      <c r="D1012" s="504"/>
      <c r="E1012" s="506"/>
      <c r="F1012" s="506"/>
      <c r="G1012" s="506"/>
      <c r="H1012" s="506"/>
      <c r="I1012" s="506"/>
      <c r="J1012" s="506"/>
      <c r="K1012" s="507"/>
      <c r="L1012" s="508"/>
      <c r="M1012" s="508"/>
      <c r="N1012" s="508"/>
      <c r="O1012" s="509"/>
      <c r="P1012" s="509"/>
    </row>
    <row r="1013" spans="1:16" ht="21.75" customHeight="1" x14ac:dyDescent="0.3">
      <c r="A1013" s="504"/>
      <c r="B1013" s="504"/>
      <c r="C1013" s="504"/>
      <c r="D1013" s="504"/>
      <c r="E1013" s="506"/>
      <c r="F1013" s="506"/>
      <c r="G1013" s="506"/>
      <c r="H1013" s="506"/>
      <c r="I1013" s="506"/>
      <c r="J1013" s="506"/>
      <c r="K1013" s="507"/>
      <c r="L1013" s="508"/>
      <c r="M1013" s="508"/>
      <c r="N1013" s="508"/>
      <c r="O1013" s="509"/>
      <c r="P1013" s="509"/>
    </row>
    <row r="1014" spans="1:16" ht="21.75" customHeight="1" x14ac:dyDescent="0.3">
      <c r="A1014" s="504"/>
      <c r="B1014" s="504"/>
      <c r="C1014" s="504"/>
      <c r="D1014" s="504"/>
      <c r="E1014" s="506"/>
      <c r="F1014" s="506"/>
      <c r="G1014" s="506"/>
      <c r="H1014" s="506"/>
      <c r="I1014" s="506"/>
      <c r="J1014" s="506"/>
      <c r="K1014" s="507"/>
      <c r="L1014" s="508"/>
      <c r="M1014" s="508"/>
      <c r="N1014" s="508"/>
      <c r="O1014" s="509"/>
      <c r="P1014" s="509"/>
    </row>
    <row r="1015" spans="1:16" ht="21.75" customHeight="1" x14ac:dyDescent="0.3">
      <c r="A1015" s="504"/>
      <c r="B1015" s="504"/>
      <c r="C1015" s="504"/>
      <c r="D1015" s="504"/>
      <c r="E1015" s="506"/>
      <c r="F1015" s="506"/>
      <c r="G1015" s="506"/>
      <c r="H1015" s="506"/>
      <c r="I1015" s="506"/>
      <c r="J1015" s="506"/>
      <c r="K1015" s="507"/>
      <c r="L1015" s="508"/>
      <c r="M1015" s="508"/>
      <c r="N1015" s="508"/>
      <c r="O1015" s="509"/>
      <c r="P1015" s="509"/>
    </row>
    <row r="1016" spans="1:16" ht="21.75" customHeight="1" x14ac:dyDescent="0.3">
      <c r="A1016" s="504"/>
      <c r="B1016" s="504"/>
      <c r="C1016" s="504"/>
      <c r="D1016" s="504"/>
      <c r="E1016" s="506"/>
      <c r="F1016" s="506"/>
      <c r="G1016" s="506"/>
      <c r="H1016" s="506"/>
      <c r="I1016" s="506"/>
      <c r="J1016" s="506"/>
      <c r="K1016" s="507"/>
      <c r="L1016" s="508"/>
      <c r="M1016" s="508"/>
      <c r="N1016" s="508"/>
      <c r="O1016" s="509"/>
      <c r="P1016" s="509"/>
    </row>
    <row r="1017" spans="1:16" ht="21.75" customHeight="1" x14ac:dyDescent="0.3">
      <c r="A1017" s="504"/>
      <c r="B1017" s="504"/>
      <c r="C1017" s="504"/>
      <c r="D1017" s="504"/>
      <c r="E1017" s="506"/>
      <c r="F1017" s="506"/>
      <c r="G1017" s="506"/>
      <c r="H1017" s="506"/>
      <c r="I1017" s="506"/>
      <c r="J1017" s="506"/>
      <c r="K1017" s="507"/>
      <c r="L1017" s="508"/>
      <c r="M1017" s="508"/>
      <c r="N1017" s="508"/>
      <c r="O1017" s="509"/>
      <c r="P1017" s="509"/>
    </row>
    <row r="1018" spans="1:16" ht="21.75" customHeight="1" x14ac:dyDescent="0.3">
      <c r="A1018" s="504"/>
      <c r="B1018" s="504"/>
      <c r="C1018" s="504"/>
      <c r="D1018" s="504"/>
      <c r="E1018" s="506"/>
      <c r="F1018" s="506"/>
      <c r="G1018" s="506"/>
      <c r="H1018" s="506"/>
      <c r="I1018" s="506"/>
      <c r="J1018" s="506"/>
      <c r="K1018" s="507"/>
      <c r="L1018" s="508"/>
      <c r="M1018" s="508"/>
      <c r="N1018" s="508"/>
      <c r="O1018" s="509"/>
      <c r="P1018" s="509"/>
    </row>
    <row r="1019" spans="1:16" ht="21.75" customHeight="1" x14ac:dyDescent="0.3">
      <c r="A1019" s="504"/>
      <c r="B1019" s="504"/>
      <c r="C1019" s="504"/>
      <c r="D1019" s="504"/>
      <c r="E1019" s="506"/>
      <c r="F1019" s="506"/>
      <c r="G1019" s="506"/>
      <c r="H1019" s="506"/>
      <c r="I1019" s="506"/>
      <c r="J1019" s="506"/>
      <c r="K1019" s="507"/>
      <c r="L1019" s="508"/>
      <c r="M1019" s="508"/>
      <c r="N1019" s="508"/>
      <c r="O1019" s="509"/>
      <c r="P1019" s="509"/>
    </row>
    <row r="1020" spans="1:16" ht="21.75" customHeight="1" x14ac:dyDescent="0.3">
      <c r="A1020" s="504"/>
      <c r="B1020" s="504"/>
      <c r="C1020" s="504"/>
      <c r="D1020" s="504"/>
      <c r="E1020" s="506"/>
      <c r="F1020" s="506"/>
      <c r="G1020" s="506"/>
      <c r="H1020" s="506"/>
      <c r="I1020" s="506"/>
      <c r="J1020" s="506"/>
      <c r="K1020" s="507"/>
      <c r="L1020" s="508"/>
      <c r="M1020" s="508"/>
      <c r="N1020" s="508"/>
      <c r="O1020" s="509"/>
      <c r="P1020" s="509"/>
    </row>
    <row r="1021" spans="1:16" ht="21.75" customHeight="1" x14ac:dyDescent="0.3">
      <c r="A1021" s="504"/>
      <c r="B1021" s="504"/>
      <c r="C1021" s="504"/>
      <c r="D1021" s="504"/>
      <c r="E1021" s="506"/>
      <c r="F1021" s="506"/>
      <c r="G1021" s="506"/>
      <c r="H1021" s="506"/>
      <c r="I1021" s="506"/>
      <c r="J1021" s="506"/>
      <c r="K1021" s="507"/>
      <c r="L1021" s="508"/>
      <c r="M1021" s="508"/>
      <c r="N1021" s="508"/>
      <c r="O1021" s="509"/>
      <c r="P1021" s="509"/>
    </row>
    <row r="1022" spans="1:16" ht="21.75" customHeight="1" x14ac:dyDescent="0.3">
      <c r="A1022" s="504"/>
      <c r="B1022" s="504"/>
      <c r="C1022" s="504"/>
      <c r="D1022" s="504"/>
      <c r="E1022" s="506"/>
      <c r="F1022" s="506"/>
      <c r="G1022" s="506"/>
      <c r="H1022" s="506"/>
      <c r="I1022" s="506"/>
      <c r="J1022" s="506"/>
      <c r="K1022" s="507"/>
      <c r="L1022" s="508"/>
      <c r="M1022" s="508"/>
      <c r="N1022" s="508"/>
      <c r="O1022" s="509"/>
      <c r="P1022" s="509"/>
    </row>
    <row r="1023" spans="1:16" ht="21.75" customHeight="1" x14ac:dyDescent="0.3">
      <c r="A1023" s="504"/>
      <c r="B1023" s="504"/>
      <c r="C1023" s="504"/>
      <c r="D1023" s="504"/>
      <c r="E1023" s="506"/>
      <c r="F1023" s="506"/>
      <c r="G1023" s="506"/>
      <c r="H1023" s="506"/>
      <c r="I1023" s="506"/>
      <c r="J1023" s="506"/>
      <c r="K1023" s="507"/>
      <c r="L1023" s="508"/>
      <c r="M1023" s="508"/>
      <c r="N1023" s="508"/>
      <c r="O1023" s="509"/>
      <c r="P1023" s="509"/>
    </row>
    <row r="1024" spans="1:16" ht="21.75" customHeight="1" x14ac:dyDescent="0.3">
      <c r="A1024" s="504"/>
      <c r="B1024" s="504"/>
      <c r="C1024" s="504"/>
      <c r="D1024" s="504"/>
      <c r="E1024" s="506"/>
      <c r="F1024" s="506"/>
      <c r="G1024" s="506"/>
      <c r="H1024" s="506"/>
      <c r="I1024" s="506"/>
      <c r="J1024" s="506"/>
      <c r="K1024" s="507"/>
      <c r="L1024" s="508"/>
      <c r="M1024" s="508"/>
      <c r="N1024" s="508"/>
      <c r="O1024" s="509"/>
      <c r="P1024" s="509"/>
    </row>
    <row r="1025" spans="1:16" ht="21.75" customHeight="1" x14ac:dyDescent="0.3">
      <c r="A1025" s="504"/>
      <c r="B1025" s="504"/>
      <c r="C1025" s="504"/>
      <c r="D1025" s="504"/>
      <c r="E1025" s="506"/>
      <c r="F1025" s="506"/>
      <c r="G1025" s="506"/>
      <c r="H1025" s="506"/>
      <c r="I1025" s="506"/>
      <c r="J1025" s="506"/>
      <c r="K1025" s="507"/>
      <c r="L1025" s="508"/>
      <c r="M1025" s="508"/>
      <c r="N1025" s="508"/>
      <c r="O1025" s="509"/>
      <c r="P1025" s="509"/>
    </row>
    <row r="1026" spans="1:16" ht="21.75" customHeight="1" x14ac:dyDescent="0.3">
      <c r="A1026" s="504"/>
      <c r="B1026" s="504"/>
      <c r="C1026" s="504"/>
      <c r="D1026" s="504"/>
      <c r="E1026" s="506"/>
      <c r="F1026" s="506"/>
      <c r="G1026" s="506"/>
      <c r="H1026" s="506"/>
      <c r="I1026" s="506"/>
      <c r="J1026" s="506"/>
      <c r="K1026" s="507"/>
      <c r="L1026" s="508"/>
      <c r="M1026" s="508"/>
      <c r="N1026" s="508"/>
      <c r="O1026" s="509"/>
      <c r="P1026" s="509"/>
    </row>
    <row r="1027" spans="1:16" ht="21.75" customHeight="1" x14ac:dyDescent="0.3">
      <c r="A1027" s="504"/>
      <c r="B1027" s="504"/>
      <c r="C1027" s="504"/>
      <c r="D1027" s="504"/>
      <c r="E1027" s="506"/>
      <c r="F1027" s="506"/>
      <c r="G1027" s="506"/>
      <c r="H1027" s="506"/>
      <c r="I1027" s="506"/>
      <c r="J1027" s="506"/>
      <c r="K1027" s="507"/>
      <c r="L1027" s="508"/>
      <c r="M1027" s="508"/>
      <c r="N1027" s="508"/>
      <c r="O1027" s="509"/>
      <c r="P1027" s="509"/>
    </row>
    <row r="1028" spans="1:16" ht="21.75" customHeight="1" x14ac:dyDescent="0.3">
      <c r="A1028" s="504"/>
      <c r="B1028" s="504"/>
      <c r="C1028" s="504"/>
      <c r="D1028" s="504"/>
      <c r="E1028" s="506"/>
      <c r="F1028" s="506"/>
      <c r="G1028" s="506"/>
      <c r="H1028" s="506"/>
      <c r="I1028" s="506"/>
      <c r="J1028" s="506"/>
      <c r="K1028" s="507"/>
      <c r="L1028" s="508"/>
      <c r="M1028" s="508"/>
      <c r="N1028" s="508"/>
      <c r="O1028" s="509"/>
      <c r="P1028" s="509"/>
    </row>
    <row r="1029" spans="1:16" ht="21.75" customHeight="1" x14ac:dyDescent="0.3">
      <c r="A1029" s="504"/>
      <c r="B1029" s="504"/>
      <c r="C1029" s="504"/>
      <c r="D1029" s="504"/>
      <c r="E1029" s="506"/>
      <c r="F1029" s="506"/>
      <c r="G1029" s="506"/>
      <c r="H1029" s="506"/>
      <c r="I1029" s="506"/>
      <c r="J1029" s="506"/>
      <c r="K1029" s="507"/>
      <c r="L1029" s="508"/>
      <c r="M1029" s="508"/>
      <c r="N1029" s="508"/>
      <c r="O1029" s="509"/>
      <c r="P1029" s="509"/>
    </row>
    <row r="1030" spans="1:16" ht="21.75" customHeight="1" x14ac:dyDescent="0.3">
      <c r="A1030" s="504"/>
      <c r="B1030" s="504"/>
      <c r="C1030" s="504"/>
      <c r="D1030" s="504"/>
      <c r="E1030" s="506"/>
      <c r="F1030" s="506"/>
      <c r="G1030" s="506"/>
      <c r="H1030" s="506"/>
      <c r="I1030" s="506"/>
      <c r="J1030" s="506"/>
      <c r="K1030" s="507"/>
      <c r="L1030" s="508"/>
      <c r="M1030" s="508"/>
      <c r="N1030" s="508"/>
      <c r="O1030" s="509"/>
      <c r="P1030" s="509"/>
    </row>
    <row r="1031" spans="1:16" ht="21.75" customHeight="1" x14ac:dyDescent="0.3">
      <c r="A1031" s="504"/>
      <c r="B1031" s="504"/>
      <c r="C1031" s="504"/>
      <c r="D1031" s="504"/>
      <c r="E1031" s="506"/>
      <c r="F1031" s="506"/>
      <c r="G1031" s="506"/>
      <c r="H1031" s="506"/>
      <c r="I1031" s="506"/>
      <c r="J1031" s="506"/>
      <c r="K1031" s="507"/>
      <c r="L1031" s="508"/>
      <c r="M1031" s="508"/>
      <c r="N1031" s="508"/>
      <c r="O1031" s="509"/>
      <c r="P1031" s="509"/>
    </row>
    <row r="1032" spans="1:16" ht="21.75" customHeight="1" x14ac:dyDescent="0.3">
      <c r="A1032" s="504"/>
      <c r="B1032" s="504"/>
      <c r="C1032" s="504"/>
      <c r="D1032" s="504"/>
      <c r="E1032" s="506"/>
      <c r="F1032" s="506"/>
      <c r="G1032" s="506"/>
      <c r="H1032" s="506"/>
      <c r="I1032" s="506"/>
      <c r="J1032" s="506"/>
      <c r="K1032" s="507"/>
      <c r="L1032" s="508"/>
      <c r="M1032" s="508"/>
      <c r="N1032" s="508"/>
      <c r="O1032" s="509"/>
      <c r="P1032" s="509"/>
    </row>
    <row r="1033" spans="1:16" ht="21.75" customHeight="1" x14ac:dyDescent="0.3">
      <c r="A1033" s="504"/>
      <c r="B1033" s="504"/>
      <c r="C1033" s="504"/>
      <c r="D1033" s="504"/>
      <c r="E1033" s="506"/>
      <c r="F1033" s="506"/>
      <c r="G1033" s="506"/>
      <c r="H1033" s="506"/>
      <c r="I1033" s="506"/>
      <c r="J1033" s="506"/>
      <c r="K1033" s="507"/>
      <c r="L1033" s="508"/>
      <c r="M1033" s="508"/>
      <c r="N1033" s="508"/>
      <c r="O1033" s="509"/>
      <c r="P1033" s="509"/>
    </row>
    <row r="1034" spans="1:16" ht="21.75" customHeight="1" x14ac:dyDescent="0.3">
      <c r="A1034" s="504"/>
      <c r="B1034" s="504"/>
      <c r="C1034" s="504"/>
      <c r="D1034" s="504"/>
      <c r="E1034" s="506"/>
      <c r="F1034" s="506"/>
      <c r="G1034" s="506"/>
      <c r="H1034" s="506"/>
      <c r="I1034" s="506"/>
      <c r="J1034" s="506"/>
      <c r="K1034" s="507"/>
      <c r="L1034" s="508"/>
      <c r="M1034" s="508"/>
      <c r="N1034" s="508"/>
      <c r="O1034" s="509"/>
      <c r="P1034" s="509"/>
    </row>
    <row r="1035" spans="1:16" ht="21.75" customHeight="1" x14ac:dyDescent="0.3">
      <c r="A1035" s="504"/>
      <c r="B1035" s="504"/>
      <c r="C1035" s="504"/>
      <c r="D1035" s="504"/>
      <c r="E1035" s="506"/>
      <c r="F1035" s="506"/>
      <c r="G1035" s="506"/>
      <c r="H1035" s="506"/>
      <c r="I1035" s="506"/>
      <c r="J1035" s="506"/>
      <c r="K1035" s="507"/>
      <c r="L1035" s="508"/>
      <c r="M1035" s="508"/>
      <c r="N1035" s="508"/>
      <c r="O1035" s="509"/>
      <c r="P1035" s="509"/>
    </row>
    <row r="1036" spans="1:16" ht="21.75" customHeight="1" x14ac:dyDescent="0.3">
      <c r="A1036" s="504"/>
      <c r="B1036" s="504"/>
      <c r="C1036" s="504"/>
      <c r="D1036" s="504"/>
      <c r="E1036" s="506"/>
      <c r="F1036" s="506"/>
      <c r="G1036" s="506"/>
      <c r="H1036" s="506"/>
      <c r="I1036" s="506"/>
      <c r="J1036" s="506"/>
      <c r="K1036" s="507"/>
      <c r="L1036" s="508"/>
      <c r="M1036" s="508"/>
      <c r="N1036" s="508"/>
      <c r="O1036" s="509"/>
      <c r="P1036" s="509"/>
    </row>
    <row r="1037" spans="1:16" ht="21.75" customHeight="1" x14ac:dyDescent="0.3">
      <c r="A1037" s="504"/>
      <c r="B1037" s="504"/>
      <c r="C1037" s="504"/>
      <c r="D1037" s="504"/>
      <c r="E1037" s="506"/>
      <c r="F1037" s="506"/>
      <c r="G1037" s="506"/>
      <c r="H1037" s="506"/>
      <c r="I1037" s="506"/>
      <c r="J1037" s="506"/>
      <c r="K1037" s="507"/>
      <c r="L1037" s="508"/>
      <c r="M1037" s="508"/>
      <c r="N1037" s="508"/>
      <c r="O1037" s="509"/>
      <c r="P1037" s="509"/>
    </row>
    <row r="1038" spans="1:16" ht="21.75" customHeight="1" x14ac:dyDescent="0.3">
      <c r="A1038" s="504"/>
      <c r="B1038" s="504"/>
      <c r="C1038" s="504"/>
      <c r="D1038" s="504"/>
      <c r="E1038" s="506"/>
      <c r="F1038" s="506"/>
      <c r="G1038" s="506"/>
      <c r="H1038" s="506"/>
      <c r="I1038" s="506"/>
      <c r="J1038" s="506"/>
      <c r="K1038" s="507"/>
      <c r="L1038" s="508"/>
      <c r="M1038" s="508"/>
      <c r="N1038" s="508"/>
      <c r="O1038" s="509"/>
      <c r="P1038" s="509"/>
    </row>
    <row r="1039" spans="1:16" ht="21.75" customHeight="1" x14ac:dyDescent="0.3">
      <c r="A1039" s="504"/>
      <c r="B1039" s="504"/>
      <c r="C1039" s="504"/>
      <c r="D1039" s="504"/>
      <c r="E1039" s="506"/>
      <c r="F1039" s="506"/>
      <c r="G1039" s="506"/>
      <c r="H1039" s="506"/>
      <c r="I1039" s="506"/>
      <c r="J1039" s="506"/>
      <c r="K1039" s="507"/>
      <c r="L1039" s="508"/>
      <c r="M1039" s="508"/>
      <c r="N1039" s="508"/>
      <c r="O1039" s="509"/>
      <c r="P1039" s="509"/>
    </row>
    <row r="1040" spans="1:16" ht="21.75" customHeight="1" x14ac:dyDescent="0.3">
      <c r="A1040" s="504"/>
      <c r="B1040" s="504"/>
      <c r="C1040" s="504"/>
      <c r="D1040" s="504"/>
      <c r="E1040" s="506"/>
      <c r="F1040" s="506"/>
      <c r="G1040" s="506"/>
      <c r="H1040" s="506"/>
      <c r="I1040" s="506"/>
      <c r="J1040" s="506"/>
      <c r="K1040" s="507"/>
      <c r="L1040" s="508"/>
      <c r="M1040" s="508"/>
      <c r="N1040" s="508"/>
      <c r="O1040" s="509"/>
      <c r="P1040" s="509"/>
    </row>
    <row r="1041" spans="1:16" ht="21.75" customHeight="1" x14ac:dyDescent="0.3">
      <c r="A1041" s="504"/>
      <c r="B1041" s="504"/>
      <c r="C1041" s="504"/>
      <c r="D1041" s="504"/>
      <c r="E1041" s="506"/>
      <c r="F1041" s="506"/>
      <c r="G1041" s="506"/>
      <c r="H1041" s="506"/>
      <c r="I1041" s="506"/>
      <c r="J1041" s="506"/>
      <c r="K1041" s="507"/>
      <c r="L1041" s="508"/>
      <c r="M1041" s="508"/>
      <c r="N1041" s="508"/>
      <c r="O1041" s="509"/>
      <c r="P1041" s="509"/>
    </row>
    <row r="1042" spans="1:16" ht="21.75" customHeight="1" x14ac:dyDescent="0.3">
      <c r="A1042" s="504"/>
      <c r="B1042" s="504"/>
      <c r="C1042" s="504"/>
      <c r="D1042" s="504"/>
      <c r="E1042" s="506"/>
      <c r="F1042" s="506"/>
      <c r="G1042" s="506"/>
      <c r="H1042" s="506"/>
      <c r="I1042" s="506"/>
      <c r="J1042" s="506"/>
      <c r="K1042" s="507"/>
      <c r="L1042" s="508"/>
      <c r="M1042" s="508"/>
      <c r="N1042" s="508"/>
      <c r="O1042" s="509"/>
      <c r="P1042" s="509"/>
    </row>
    <row r="1043" spans="1:16" ht="21.75" customHeight="1" x14ac:dyDescent="0.3">
      <c r="A1043" s="504"/>
      <c r="B1043" s="504"/>
      <c r="C1043" s="504"/>
      <c r="D1043" s="504"/>
      <c r="E1043" s="506"/>
      <c r="F1043" s="506"/>
      <c r="G1043" s="506"/>
      <c r="H1043" s="506"/>
      <c r="I1043" s="506"/>
      <c r="J1043" s="506"/>
      <c r="K1043" s="507"/>
      <c r="L1043" s="508"/>
      <c r="M1043" s="508"/>
      <c r="N1043" s="508"/>
      <c r="O1043" s="509"/>
      <c r="P1043" s="509"/>
    </row>
    <row r="1044" spans="1:16" ht="21.75" customHeight="1" x14ac:dyDescent="0.3">
      <c r="A1044" s="504"/>
      <c r="B1044" s="504"/>
      <c r="C1044" s="504"/>
      <c r="D1044" s="504"/>
      <c r="E1044" s="506"/>
      <c r="F1044" s="506"/>
      <c r="G1044" s="506"/>
      <c r="H1044" s="506"/>
      <c r="I1044" s="506"/>
      <c r="J1044" s="506"/>
      <c r="K1044" s="507"/>
      <c r="L1044" s="508"/>
      <c r="M1044" s="508"/>
      <c r="N1044" s="508"/>
      <c r="O1044" s="509"/>
      <c r="P1044" s="509"/>
    </row>
    <row r="1045" spans="1:16" ht="21.75" customHeight="1" x14ac:dyDescent="0.3">
      <c r="A1045" s="504"/>
      <c r="B1045" s="504"/>
      <c r="C1045" s="504"/>
      <c r="D1045" s="504"/>
      <c r="E1045" s="506"/>
      <c r="F1045" s="506"/>
      <c r="G1045" s="506"/>
      <c r="H1045" s="506"/>
      <c r="I1045" s="506"/>
      <c r="J1045" s="506"/>
      <c r="K1045" s="507"/>
      <c r="L1045" s="508"/>
      <c r="M1045" s="508"/>
      <c r="N1045" s="508"/>
      <c r="O1045" s="509"/>
      <c r="P1045" s="509"/>
    </row>
    <row r="1046" spans="1:16" ht="21.75" customHeight="1" x14ac:dyDescent="0.3">
      <c r="A1046" s="504"/>
      <c r="B1046" s="504"/>
      <c r="C1046" s="504"/>
      <c r="D1046" s="504"/>
      <c r="E1046" s="506"/>
      <c r="F1046" s="506"/>
      <c r="G1046" s="506"/>
      <c r="H1046" s="506"/>
      <c r="I1046" s="506"/>
      <c r="J1046" s="506"/>
      <c r="K1046" s="507"/>
      <c r="L1046" s="508"/>
      <c r="M1046" s="508"/>
      <c r="N1046" s="508"/>
      <c r="O1046" s="509"/>
      <c r="P1046" s="509"/>
    </row>
    <row r="1047" spans="1:16" ht="21.75" customHeight="1" x14ac:dyDescent="0.3">
      <c r="A1047" s="504"/>
      <c r="B1047" s="504"/>
      <c r="C1047" s="504"/>
      <c r="D1047" s="504"/>
      <c r="E1047" s="506"/>
      <c r="F1047" s="506"/>
      <c r="G1047" s="506"/>
      <c r="H1047" s="506"/>
      <c r="I1047" s="506"/>
      <c r="J1047" s="506"/>
      <c r="K1047" s="507"/>
      <c r="L1047" s="508"/>
      <c r="M1047" s="508"/>
      <c r="N1047" s="508"/>
      <c r="O1047" s="509"/>
      <c r="P1047" s="509"/>
    </row>
    <row r="1048" spans="1:16" ht="21.75" customHeight="1" x14ac:dyDescent="0.3">
      <c r="A1048" s="504"/>
      <c r="B1048" s="504"/>
      <c r="C1048" s="504"/>
      <c r="D1048" s="504"/>
      <c r="E1048" s="506"/>
      <c r="F1048" s="506"/>
      <c r="G1048" s="506"/>
      <c r="H1048" s="506"/>
      <c r="I1048" s="506"/>
      <c r="J1048" s="506"/>
      <c r="K1048" s="507"/>
      <c r="L1048" s="508"/>
      <c r="M1048" s="508"/>
      <c r="N1048" s="508"/>
      <c r="O1048" s="509"/>
      <c r="P1048" s="509"/>
    </row>
    <row r="1049" spans="1:16" ht="21.75" customHeight="1" x14ac:dyDescent="0.3">
      <c r="A1049" s="504"/>
      <c r="B1049" s="504"/>
      <c r="C1049" s="504"/>
      <c r="D1049" s="504"/>
      <c r="E1049" s="506"/>
      <c r="F1049" s="506"/>
      <c r="G1049" s="506"/>
      <c r="H1049" s="506"/>
      <c r="I1049" s="506"/>
      <c r="J1049" s="506"/>
      <c r="K1049" s="507"/>
      <c r="L1049" s="508"/>
      <c r="M1049" s="508"/>
      <c r="N1049" s="508"/>
      <c r="O1049" s="509"/>
      <c r="P1049" s="509"/>
    </row>
    <row r="1050" spans="1:16" ht="21.75" customHeight="1" x14ac:dyDescent="0.3">
      <c r="A1050" s="504"/>
      <c r="B1050" s="504"/>
      <c r="C1050" s="504"/>
      <c r="D1050" s="504"/>
      <c r="E1050" s="506"/>
      <c r="F1050" s="506"/>
      <c r="G1050" s="506"/>
      <c r="H1050" s="506"/>
      <c r="I1050" s="506"/>
      <c r="J1050" s="506"/>
      <c r="K1050" s="507"/>
      <c r="L1050" s="508"/>
      <c r="M1050" s="508"/>
      <c r="N1050" s="508"/>
      <c r="O1050" s="509"/>
      <c r="P1050" s="509"/>
    </row>
    <row r="1051" spans="1:16" ht="21.75" customHeight="1" x14ac:dyDescent="0.3">
      <c r="A1051" s="504"/>
      <c r="B1051" s="504"/>
      <c r="C1051" s="504"/>
      <c r="D1051" s="504"/>
      <c r="E1051" s="506"/>
      <c r="F1051" s="506"/>
      <c r="G1051" s="506"/>
      <c r="H1051" s="506"/>
      <c r="I1051" s="506"/>
      <c r="J1051" s="506"/>
      <c r="K1051" s="507"/>
      <c r="L1051" s="508"/>
      <c r="M1051" s="508"/>
      <c r="N1051" s="508"/>
      <c r="O1051" s="509"/>
      <c r="P1051" s="509"/>
    </row>
    <row r="1052" spans="1:16" ht="21.75" customHeight="1" x14ac:dyDescent="0.3">
      <c r="A1052" s="504"/>
      <c r="B1052" s="504"/>
      <c r="C1052" s="504"/>
      <c r="D1052" s="504"/>
      <c r="E1052" s="506"/>
      <c r="F1052" s="506"/>
      <c r="G1052" s="506"/>
      <c r="H1052" s="506"/>
      <c r="I1052" s="506"/>
      <c r="J1052" s="506"/>
      <c r="K1052" s="507"/>
      <c r="L1052" s="508"/>
      <c r="M1052" s="508"/>
      <c r="N1052" s="508"/>
      <c r="O1052" s="509"/>
      <c r="P1052" s="509"/>
    </row>
    <row r="1053" spans="1:16" ht="21.75" customHeight="1" x14ac:dyDescent="0.3">
      <c r="A1053" s="504"/>
      <c r="B1053" s="504"/>
      <c r="C1053" s="504"/>
      <c r="D1053" s="504"/>
      <c r="E1053" s="506"/>
      <c r="F1053" s="506"/>
      <c r="G1053" s="506"/>
      <c r="H1053" s="506"/>
      <c r="I1053" s="506"/>
      <c r="J1053" s="506"/>
      <c r="K1053" s="507"/>
      <c r="L1053" s="508"/>
      <c r="M1053" s="508"/>
      <c r="N1053" s="508"/>
      <c r="O1053" s="509"/>
      <c r="P1053" s="509"/>
    </row>
    <row r="1054" spans="1:16" ht="21.75" customHeight="1" x14ac:dyDescent="0.3">
      <c r="A1054" s="504"/>
      <c r="B1054" s="504"/>
      <c r="C1054" s="504"/>
      <c r="D1054" s="504"/>
      <c r="E1054" s="506"/>
      <c r="F1054" s="506"/>
      <c r="G1054" s="506"/>
      <c r="H1054" s="506"/>
      <c r="I1054" s="506"/>
      <c r="J1054" s="506"/>
      <c r="K1054" s="507"/>
      <c r="L1054" s="508"/>
      <c r="M1054" s="508"/>
      <c r="N1054" s="508"/>
      <c r="O1054" s="509"/>
      <c r="P1054" s="509"/>
    </row>
    <row r="1055" spans="1:16" ht="21.75" customHeight="1" x14ac:dyDescent="0.3">
      <c r="A1055" s="504"/>
      <c r="B1055" s="504"/>
      <c r="C1055" s="504"/>
      <c r="D1055" s="504"/>
      <c r="E1055" s="506"/>
      <c r="F1055" s="506"/>
      <c r="G1055" s="506"/>
      <c r="H1055" s="506"/>
      <c r="I1055" s="506"/>
      <c r="J1055" s="506"/>
      <c r="K1055" s="507"/>
      <c r="L1055" s="508"/>
      <c r="M1055" s="508"/>
      <c r="N1055" s="508"/>
      <c r="O1055" s="509"/>
      <c r="P1055" s="509"/>
    </row>
    <row r="1056" spans="1:16" ht="21.75" customHeight="1" x14ac:dyDescent="0.3">
      <c r="A1056" s="504"/>
      <c r="B1056" s="504"/>
      <c r="C1056" s="504"/>
      <c r="D1056" s="504"/>
      <c r="E1056" s="506"/>
      <c r="F1056" s="506"/>
      <c r="G1056" s="506"/>
      <c r="H1056" s="506"/>
      <c r="I1056" s="506"/>
      <c r="J1056" s="506"/>
      <c r="K1056" s="507"/>
      <c r="L1056" s="508"/>
      <c r="M1056" s="508"/>
      <c r="N1056" s="508"/>
      <c r="O1056" s="509"/>
      <c r="P1056" s="509"/>
    </row>
    <row r="1057" spans="1:16" ht="21.75" customHeight="1" x14ac:dyDescent="0.3">
      <c r="A1057" s="504"/>
      <c r="B1057" s="504"/>
      <c r="C1057" s="504"/>
      <c r="D1057" s="504"/>
      <c r="E1057" s="506"/>
      <c r="F1057" s="506"/>
      <c r="G1057" s="506"/>
      <c r="H1057" s="506"/>
      <c r="I1057" s="506"/>
      <c r="J1057" s="506"/>
      <c r="K1057" s="507"/>
      <c r="L1057" s="508"/>
      <c r="M1057" s="508"/>
      <c r="N1057" s="508"/>
      <c r="O1057" s="509"/>
      <c r="P1057" s="509"/>
    </row>
    <row r="1058" spans="1:16" ht="21.75" customHeight="1" x14ac:dyDescent="0.3">
      <c r="A1058" s="504"/>
      <c r="B1058" s="504"/>
      <c r="C1058" s="504"/>
      <c r="D1058" s="504"/>
      <c r="E1058" s="506"/>
      <c r="F1058" s="506"/>
      <c r="G1058" s="506"/>
      <c r="H1058" s="506"/>
      <c r="I1058" s="506"/>
      <c r="J1058" s="506"/>
      <c r="K1058" s="507"/>
      <c r="L1058" s="508"/>
      <c r="M1058" s="508"/>
      <c r="N1058" s="508"/>
      <c r="O1058" s="509"/>
      <c r="P1058" s="509"/>
    </row>
    <row r="1059" spans="1:16" ht="21.75" customHeight="1" x14ac:dyDescent="0.3">
      <c r="A1059" s="504"/>
      <c r="B1059" s="504"/>
      <c r="C1059" s="504"/>
      <c r="D1059" s="504"/>
      <c r="E1059" s="506"/>
      <c r="F1059" s="506"/>
      <c r="G1059" s="506"/>
      <c r="H1059" s="506"/>
      <c r="I1059" s="506"/>
      <c r="J1059" s="506"/>
      <c r="K1059" s="507"/>
      <c r="L1059" s="508"/>
      <c r="M1059" s="508"/>
      <c r="N1059" s="508"/>
      <c r="O1059" s="509"/>
      <c r="P1059" s="509"/>
    </row>
    <row r="1060" spans="1:16" ht="21.75" customHeight="1" x14ac:dyDescent="0.3">
      <c r="A1060" s="504"/>
      <c r="B1060" s="504"/>
      <c r="C1060" s="504"/>
      <c r="D1060" s="504"/>
      <c r="E1060" s="506"/>
      <c r="F1060" s="506"/>
      <c r="G1060" s="506"/>
      <c r="H1060" s="506"/>
      <c r="I1060" s="506"/>
      <c r="J1060" s="506"/>
      <c r="K1060" s="507"/>
      <c r="L1060" s="508"/>
      <c r="M1060" s="508"/>
      <c r="N1060" s="508"/>
      <c r="O1060" s="509"/>
      <c r="P1060" s="509"/>
    </row>
    <row r="1061" spans="1:16" ht="21.75" customHeight="1" x14ac:dyDescent="0.3">
      <c r="A1061" s="504"/>
      <c r="B1061" s="504"/>
      <c r="C1061" s="504"/>
      <c r="D1061" s="504"/>
      <c r="E1061" s="506"/>
      <c r="F1061" s="506"/>
      <c r="G1061" s="506"/>
      <c r="H1061" s="506"/>
      <c r="I1061" s="506"/>
      <c r="J1061" s="506"/>
      <c r="K1061" s="507"/>
      <c r="L1061" s="508"/>
      <c r="M1061" s="508"/>
      <c r="N1061" s="508"/>
      <c r="O1061" s="509"/>
      <c r="P1061" s="509"/>
    </row>
    <row r="1062" spans="1:16" ht="21.75" customHeight="1" x14ac:dyDescent="0.3">
      <c r="A1062" s="504"/>
      <c r="B1062" s="504"/>
      <c r="C1062" s="504"/>
      <c r="D1062" s="504"/>
      <c r="E1062" s="506"/>
      <c r="F1062" s="506"/>
      <c r="G1062" s="506"/>
      <c r="H1062" s="506"/>
      <c r="I1062" s="506"/>
      <c r="J1062" s="506"/>
      <c r="K1062" s="507"/>
      <c r="L1062" s="508"/>
      <c r="M1062" s="508"/>
      <c r="N1062" s="508"/>
      <c r="O1062" s="509"/>
      <c r="P1062" s="509"/>
    </row>
    <row r="1063" spans="1:16" ht="21.75" customHeight="1" x14ac:dyDescent="0.3">
      <c r="A1063" s="504"/>
      <c r="B1063" s="504"/>
      <c r="C1063" s="504"/>
      <c r="D1063" s="504"/>
      <c r="E1063" s="506"/>
      <c r="F1063" s="506"/>
      <c r="G1063" s="506"/>
      <c r="H1063" s="506"/>
      <c r="I1063" s="506"/>
      <c r="J1063" s="506"/>
      <c r="K1063" s="507"/>
      <c r="L1063" s="508"/>
      <c r="M1063" s="508"/>
      <c r="N1063" s="508"/>
      <c r="O1063" s="509"/>
      <c r="P1063" s="509"/>
    </row>
    <row r="1064" spans="1:16" ht="21.75" customHeight="1" x14ac:dyDescent="0.3">
      <c r="A1064" s="504"/>
      <c r="B1064" s="504"/>
      <c r="C1064" s="504"/>
      <c r="D1064" s="504"/>
      <c r="E1064" s="506"/>
      <c r="F1064" s="506"/>
      <c r="G1064" s="506"/>
      <c r="H1064" s="506"/>
      <c r="I1064" s="506"/>
      <c r="J1064" s="506"/>
      <c r="K1064" s="507"/>
      <c r="L1064" s="508"/>
      <c r="M1064" s="508"/>
      <c r="N1064" s="508"/>
      <c r="O1064" s="509"/>
      <c r="P1064" s="509"/>
    </row>
    <row r="1065" spans="1:16" ht="21.75" customHeight="1" x14ac:dyDescent="0.3">
      <c r="A1065" s="504"/>
      <c r="B1065" s="504"/>
      <c r="C1065" s="504"/>
      <c r="D1065" s="504"/>
      <c r="E1065" s="506"/>
      <c r="F1065" s="506"/>
      <c r="G1065" s="506"/>
      <c r="H1065" s="506"/>
      <c r="I1065" s="506"/>
      <c r="J1065" s="506"/>
      <c r="K1065" s="507"/>
      <c r="L1065" s="508"/>
      <c r="M1065" s="508"/>
      <c r="N1065" s="508"/>
      <c r="O1065" s="509"/>
      <c r="P1065" s="509"/>
    </row>
    <row r="1066" spans="1:16" ht="21.75" customHeight="1" x14ac:dyDescent="0.3">
      <c r="A1066" s="504"/>
      <c r="B1066" s="504"/>
      <c r="C1066" s="504"/>
      <c r="D1066" s="504"/>
      <c r="E1066" s="506"/>
      <c r="F1066" s="506"/>
      <c r="G1066" s="506"/>
      <c r="H1066" s="506"/>
      <c r="I1066" s="506"/>
      <c r="J1066" s="506"/>
      <c r="K1066" s="507"/>
      <c r="L1066" s="508"/>
      <c r="M1066" s="508"/>
      <c r="N1066" s="508"/>
      <c r="O1066" s="509"/>
      <c r="P1066" s="509"/>
    </row>
    <row r="1067" spans="1:16" ht="21.75" customHeight="1" x14ac:dyDescent="0.3">
      <c r="A1067" s="504"/>
      <c r="B1067" s="504"/>
      <c r="C1067" s="504"/>
      <c r="D1067" s="504"/>
      <c r="E1067" s="506"/>
      <c r="F1067" s="506"/>
      <c r="G1067" s="506"/>
      <c r="H1067" s="506"/>
      <c r="I1067" s="506"/>
      <c r="J1067" s="506"/>
      <c r="K1067" s="507"/>
      <c r="L1067" s="508"/>
      <c r="M1067" s="508"/>
      <c r="N1067" s="508"/>
      <c r="O1067" s="509"/>
      <c r="P1067" s="509"/>
    </row>
    <row r="1068" spans="1:16" ht="21.75" customHeight="1" x14ac:dyDescent="0.3">
      <c r="A1068" s="504"/>
      <c r="B1068" s="504"/>
      <c r="C1068" s="504"/>
      <c r="D1068" s="504"/>
      <c r="E1068" s="506"/>
      <c r="F1068" s="506"/>
      <c r="G1068" s="506"/>
      <c r="H1068" s="506"/>
      <c r="I1068" s="506"/>
      <c r="J1068" s="506"/>
      <c r="K1068" s="507"/>
      <c r="L1068" s="508"/>
      <c r="M1068" s="508"/>
      <c r="N1068" s="508"/>
      <c r="O1068" s="509"/>
      <c r="P1068" s="509"/>
    </row>
    <row r="1069" spans="1:16" ht="21.75" customHeight="1" x14ac:dyDescent="0.3">
      <c r="A1069" s="504"/>
      <c r="B1069" s="504"/>
      <c r="C1069" s="504"/>
      <c r="D1069" s="504"/>
      <c r="E1069" s="506"/>
      <c r="F1069" s="506"/>
      <c r="G1069" s="506"/>
      <c r="H1069" s="506"/>
      <c r="I1069" s="506"/>
      <c r="J1069" s="506"/>
      <c r="K1069" s="507"/>
      <c r="L1069" s="508"/>
      <c r="M1069" s="508"/>
      <c r="N1069" s="508"/>
      <c r="O1069" s="509"/>
      <c r="P1069" s="509"/>
    </row>
    <row r="1070" spans="1:16" ht="21.75" customHeight="1" x14ac:dyDescent="0.3">
      <c r="A1070" s="504"/>
      <c r="B1070" s="504"/>
      <c r="C1070" s="504"/>
      <c r="D1070" s="504"/>
      <c r="E1070" s="506"/>
      <c r="F1070" s="506"/>
      <c r="G1070" s="506"/>
      <c r="H1070" s="506"/>
      <c r="I1070" s="506"/>
      <c r="J1070" s="506"/>
      <c r="K1070" s="507"/>
      <c r="L1070" s="508"/>
      <c r="M1070" s="508"/>
      <c r="N1070" s="508"/>
      <c r="O1070" s="509"/>
      <c r="P1070" s="509"/>
    </row>
    <row r="1071" spans="1:16" ht="21.75" customHeight="1" x14ac:dyDescent="0.3">
      <c r="A1071" s="504"/>
      <c r="B1071" s="504"/>
      <c r="C1071" s="504"/>
      <c r="D1071" s="504"/>
      <c r="E1071" s="506"/>
      <c r="F1071" s="506"/>
      <c r="G1071" s="506"/>
      <c r="H1071" s="506"/>
      <c r="I1071" s="506"/>
      <c r="J1071" s="506"/>
      <c r="K1071" s="507"/>
      <c r="L1071" s="508"/>
      <c r="M1071" s="508"/>
      <c r="N1071" s="508"/>
      <c r="O1071" s="509"/>
      <c r="P1071" s="509"/>
    </row>
    <row r="1072" spans="1:16" ht="21.75" customHeight="1" x14ac:dyDescent="0.3">
      <c r="A1072" s="504"/>
      <c r="B1072" s="504"/>
      <c r="C1072" s="504"/>
      <c r="D1072" s="504"/>
      <c r="E1072" s="506"/>
      <c r="F1072" s="506"/>
      <c r="G1072" s="506"/>
      <c r="H1072" s="506"/>
      <c r="I1072" s="506"/>
      <c r="J1072" s="506"/>
      <c r="K1072" s="507"/>
      <c r="L1072" s="508"/>
      <c r="M1072" s="508"/>
      <c r="N1072" s="508"/>
      <c r="O1072" s="509"/>
      <c r="P1072" s="509"/>
    </row>
    <row r="1073" spans="1:16" ht="21.75" customHeight="1" x14ac:dyDescent="0.3">
      <c r="A1073" s="504"/>
      <c r="B1073" s="504"/>
      <c r="C1073" s="504"/>
      <c r="D1073" s="504"/>
      <c r="E1073" s="506"/>
      <c r="F1073" s="506"/>
      <c r="G1073" s="506"/>
      <c r="H1073" s="506"/>
      <c r="I1073" s="506"/>
      <c r="J1073" s="506"/>
      <c r="K1073" s="507"/>
      <c r="L1073" s="508"/>
      <c r="M1073" s="508"/>
      <c r="N1073" s="508"/>
      <c r="O1073" s="509"/>
      <c r="P1073" s="509"/>
    </row>
    <row r="1074" spans="1:16" ht="21.75" customHeight="1" x14ac:dyDescent="0.3">
      <c r="A1074" s="504"/>
      <c r="B1074" s="504"/>
      <c r="C1074" s="504"/>
      <c r="D1074" s="504"/>
      <c r="E1074" s="506"/>
      <c r="F1074" s="506"/>
      <c r="G1074" s="506"/>
      <c r="H1074" s="506"/>
      <c r="I1074" s="506"/>
      <c r="J1074" s="506"/>
      <c r="K1074" s="507"/>
      <c r="L1074" s="508"/>
      <c r="M1074" s="508"/>
      <c r="N1074" s="508"/>
      <c r="O1074" s="509"/>
      <c r="P1074" s="509"/>
    </row>
    <row r="1075" spans="1:16" ht="21.75" customHeight="1" x14ac:dyDescent="0.3">
      <c r="A1075" s="504"/>
      <c r="B1075" s="504"/>
      <c r="C1075" s="504"/>
      <c r="D1075" s="504"/>
      <c r="E1075" s="506"/>
      <c r="F1075" s="506"/>
      <c r="G1075" s="506"/>
      <c r="H1075" s="506"/>
      <c r="I1075" s="506"/>
      <c r="J1075" s="506"/>
      <c r="K1075" s="507"/>
      <c r="L1075" s="508"/>
      <c r="M1075" s="508"/>
      <c r="N1075" s="508"/>
      <c r="O1075" s="509"/>
      <c r="P1075" s="509"/>
    </row>
    <row r="1076" spans="1:16" ht="21.75" customHeight="1" x14ac:dyDescent="0.3">
      <c r="A1076" s="504"/>
      <c r="B1076" s="504"/>
      <c r="C1076" s="504"/>
      <c r="D1076" s="504"/>
      <c r="E1076" s="506"/>
      <c r="F1076" s="506"/>
      <c r="G1076" s="506"/>
      <c r="H1076" s="506"/>
      <c r="I1076" s="506"/>
      <c r="J1076" s="506"/>
      <c r="K1076" s="507"/>
      <c r="L1076" s="508"/>
      <c r="M1076" s="508"/>
      <c r="N1076" s="508"/>
      <c r="O1076" s="509"/>
      <c r="P1076" s="509"/>
    </row>
    <row r="1077" spans="1:16" ht="21.75" customHeight="1" x14ac:dyDescent="0.3">
      <c r="A1077" s="504"/>
      <c r="B1077" s="504"/>
      <c r="C1077" s="504"/>
      <c r="D1077" s="504"/>
      <c r="E1077" s="506"/>
      <c r="F1077" s="506"/>
      <c r="G1077" s="506"/>
      <c r="H1077" s="506"/>
      <c r="I1077" s="506"/>
      <c r="J1077" s="506"/>
      <c r="K1077" s="507"/>
      <c r="L1077" s="508"/>
      <c r="M1077" s="508"/>
      <c r="N1077" s="508"/>
      <c r="O1077" s="509"/>
      <c r="P1077" s="509"/>
    </row>
    <row r="1078" spans="1:16" ht="21.75" customHeight="1" x14ac:dyDescent="0.3">
      <c r="A1078" s="504"/>
      <c r="B1078" s="504"/>
      <c r="C1078" s="504"/>
      <c r="D1078" s="504"/>
      <c r="E1078" s="506"/>
      <c r="F1078" s="506"/>
      <c r="G1078" s="506"/>
      <c r="H1078" s="506"/>
      <c r="I1078" s="506"/>
      <c r="J1078" s="506"/>
      <c r="K1078" s="507"/>
      <c r="L1078" s="508"/>
      <c r="M1078" s="508"/>
      <c r="N1078" s="508"/>
      <c r="O1078" s="509"/>
      <c r="P1078" s="509"/>
    </row>
    <row r="1079" spans="1:16" ht="21.75" customHeight="1" x14ac:dyDescent="0.3">
      <c r="A1079" s="504"/>
      <c r="B1079" s="504"/>
      <c r="C1079" s="504"/>
      <c r="D1079" s="504"/>
      <c r="E1079" s="506"/>
      <c r="F1079" s="506"/>
      <c r="G1079" s="506"/>
      <c r="H1079" s="506"/>
      <c r="I1079" s="506"/>
      <c r="J1079" s="506"/>
      <c r="K1079" s="507"/>
      <c r="L1079" s="508"/>
      <c r="M1079" s="508"/>
      <c r="N1079" s="508"/>
      <c r="O1079" s="509"/>
      <c r="P1079" s="509"/>
    </row>
    <row r="1080" spans="1:16" ht="21.75" customHeight="1" x14ac:dyDescent="0.3">
      <c r="A1080" s="504"/>
      <c r="B1080" s="504"/>
      <c r="C1080" s="504"/>
      <c r="D1080" s="504"/>
      <c r="E1080" s="506"/>
      <c r="F1080" s="506"/>
      <c r="G1080" s="506"/>
      <c r="H1080" s="506"/>
      <c r="I1080" s="506"/>
      <c r="J1080" s="506"/>
      <c r="K1080" s="507"/>
      <c r="L1080" s="508"/>
      <c r="M1080" s="508"/>
      <c r="N1080" s="508"/>
      <c r="O1080" s="509"/>
      <c r="P1080" s="509"/>
    </row>
    <row r="1081" spans="1:16" ht="21.75" customHeight="1" x14ac:dyDescent="0.3">
      <c r="A1081" s="504"/>
      <c r="B1081" s="504"/>
      <c r="C1081" s="504"/>
      <c r="D1081" s="504"/>
      <c r="E1081" s="506"/>
      <c r="F1081" s="506"/>
      <c r="G1081" s="506"/>
      <c r="H1081" s="506"/>
      <c r="I1081" s="506"/>
      <c r="J1081" s="506"/>
      <c r="K1081" s="507"/>
      <c r="L1081" s="508"/>
      <c r="M1081" s="508"/>
      <c r="N1081" s="508"/>
      <c r="O1081" s="509"/>
      <c r="P1081" s="509"/>
    </row>
    <row r="1082" spans="1:16" ht="21.75" customHeight="1" x14ac:dyDescent="0.3">
      <c r="A1082" s="504"/>
      <c r="B1082" s="504"/>
      <c r="C1082" s="504"/>
      <c r="D1082" s="504"/>
      <c r="E1082" s="506"/>
      <c r="F1082" s="506"/>
      <c r="G1082" s="506"/>
      <c r="H1082" s="506"/>
      <c r="I1082" s="506"/>
      <c r="J1082" s="506"/>
      <c r="K1082" s="507"/>
      <c r="L1082" s="508"/>
      <c r="M1082" s="508"/>
      <c r="N1082" s="508"/>
      <c r="O1082" s="509"/>
      <c r="P1082" s="509"/>
    </row>
    <row r="1083" spans="1:16" ht="21.75" customHeight="1" x14ac:dyDescent="0.3">
      <c r="A1083" s="504"/>
      <c r="B1083" s="504"/>
      <c r="C1083" s="504"/>
      <c r="D1083" s="504"/>
      <c r="E1083" s="506"/>
      <c r="F1083" s="506"/>
      <c r="G1083" s="506"/>
      <c r="H1083" s="506"/>
      <c r="I1083" s="506"/>
      <c r="J1083" s="506"/>
      <c r="K1083" s="507"/>
      <c r="L1083" s="508"/>
      <c r="M1083" s="508"/>
      <c r="N1083" s="508"/>
      <c r="O1083" s="509"/>
      <c r="P1083" s="509"/>
    </row>
    <row r="1084" spans="1:16" ht="21.75" customHeight="1" x14ac:dyDescent="0.3">
      <c r="A1084" s="504"/>
      <c r="B1084" s="504"/>
      <c r="C1084" s="504"/>
      <c r="D1084" s="504"/>
      <c r="E1084" s="506"/>
      <c r="F1084" s="506"/>
      <c r="G1084" s="506"/>
      <c r="H1084" s="506"/>
      <c r="I1084" s="506"/>
      <c r="J1084" s="506"/>
      <c r="K1084" s="507"/>
      <c r="L1084" s="508"/>
      <c r="M1084" s="508"/>
      <c r="N1084" s="508"/>
      <c r="O1084" s="509"/>
      <c r="P1084" s="509"/>
    </row>
    <row r="1085" spans="1:16" ht="21.75" customHeight="1" x14ac:dyDescent="0.3">
      <c r="A1085" s="504"/>
      <c r="B1085" s="504"/>
      <c r="C1085" s="504"/>
      <c r="D1085" s="504"/>
      <c r="E1085" s="506"/>
      <c r="F1085" s="506"/>
      <c r="G1085" s="506"/>
      <c r="H1085" s="506"/>
      <c r="I1085" s="506"/>
      <c r="J1085" s="506"/>
      <c r="K1085" s="507"/>
      <c r="L1085" s="508"/>
      <c r="M1085" s="508"/>
      <c r="N1085" s="508"/>
      <c r="O1085" s="509"/>
      <c r="P1085" s="509"/>
    </row>
    <row r="1086" spans="1:16" ht="21.75" customHeight="1" x14ac:dyDescent="0.3">
      <c r="A1086" s="504"/>
      <c r="B1086" s="504"/>
      <c r="C1086" s="504"/>
      <c r="D1086" s="504"/>
      <c r="E1086" s="506"/>
      <c r="F1086" s="506"/>
      <c r="G1086" s="506"/>
      <c r="H1086" s="506"/>
      <c r="I1086" s="506"/>
      <c r="J1086" s="506"/>
      <c r="K1086" s="507"/>
      <c r="L1086" s="508"/>
      <c r="M1086" s="508"/>
      <c r="N1086" s="508"/>
      <c r="O1086" s="509"/>
      <c r="P1086" s="509"/>
    </row>
    <row r="1087" spans="1:16" ht="21.75" customHeight="1" x14ac:dyDescent="0.3">
      <c r="A1087" s="504"/>
      <c r="B1087" s="504"/>
      <c r="C1087" s="504"/>
      <c r="D1087" s="504"/>
      <c r="E1087" s="506"/>
      <c r="F1087" s="506"/>
      <c r="G1087" s="506"/>
      <c r="H1087" s="506"/>
      <c r="I1087" s="506"/>
      <c r="J1087" s="506"/>
      <c r="K1087" s="507"/>
      <c r="L1087" s="508"/>
      <c r="M1087" s="508"/>
      <c r="N1087" s="508"/>
      <c r="O1087" s="509"/>
      <c r="P1087" s="509"/>
    </row>
    <row r="1088" spans="1:16" ht="21.75" customHeight="1" x14ac:dyDescent="0.3">
      <c r="A1088" s="504"/>
      <c r="B1088" s="504"/>
      <c r="C1088" s="504"/>
      <c r="D1088" s="504"/>
      <c r="E1088" s="506"/>
      <c r="F1088" s="506"/>
      <c r="G1088" s="506"/>
      <c r="H1088" s="506"/>
      <c r="I1088" s="506"/>
      <c r="J1088" s="506"/>
      <c r="K1088" s="507"/>
      <c r="L1088" s="508"/>
      <c r="M1088" s="508"/>
      <c r="N1088" s="508"/>
      <c r="O1088" s="509"/>
      <c r="P1088" s="509"/>
    </row>
    <row r="1089" spans="1:16" ht="21.75" customHeight="1" x14ac:dyDescent="0.3">
      <c r="A1089" s="504"/>
      <c r="B1089" s="504"/>
      <c r="C1089" s="504"/>
      <c r="D1089" s="504"/>
      <c r="E1089" s="506"/>
      <c r="F1089" s="506"/>
      <c r="G1089" s="506"/>
      <c r="H1089" s="506"/>
      <c r="I1089" s="506"/>
      <c r="J1089" s="506"/>
      <c r="K1089" s="507"/>
      <c r="L1089" s="508"/>
      <c r="M1089" s="508"/>
      <c r="N1089" s="508"/>
      <c r="O1089" s="509"/>
      <c r="P1089" s="509"/>
    </row>
    <row r="1090" spans="1:16" ht="21.75" customHeight="1" x14ac:dyDescent="0.3">
      <c r="A1090" s="504"/>
      <c r="B1090" s="504"/>
      <c r="C1090" s="504"/>
      <c r="D1090" s="504"/>
      <c r="E1090" s="506"/>
      <c r="F1090" s="506"/>
      <c r="G1090" s="506"/>
      <c r="H1090" s="506"/>
      <c r="I1090" s="506"/>
      <c r="J1090" s="506"/>
      <c r="K1090" s="507"/>
      <c r="L1090" s="508"/>
      <c r="M1090" s="508"/>
      <c r="N1090" s="508"/>
      <c r="O1090" s="509"/>
      <c r="P1090" s="509"/>
    </row>
    <row r="1091" spans="1:16" ht="21.75" customHeight="1" x14ac:dyDescent="0.3">
      <c r="A1091" s="504"/>
      <c r="B1091" s="504"/>
      <c r="C1091" s="504"/>
      <c r="D1091" s="504"/>
      <c r="E1091" s="506"/>
      <c r="F1091" s="506"/>
      <c r="G1091" s="506"/>
      <c r="H1091" s="506"/>
      <c r="I1091" s="506"/>
      <c r="J1091" s="506"/>
      <c r="K1091" s="507"/>
      <c r="L1091" s="508"/>
      <c r="M1091" s="508"/>
      <c r="N1091" s="508"/>
      <c r="O1091" s="509"/>
      <c r="P1091" s="509"/>
    </row>
    <row r="1092" spans="1:16" ht="21.75" customHeight="1" x14ac:dyDescent="0.3">
      <c r="A1092" s="504"/>
      <c r="B1092" s="504"/>
      <c r="C1092" s="504"/>
      <c r="D1092" s="504"/>
      <c r="E1092" s="506"/>
      <c r="F1092" s="506"/>
      <c r="G1092" s="506"/>
      <c r="H1092" s="506"/>
      <c r="I1092" s="506"/>
      <c r="J1092" s="506"/>
      <c r="K1092" s="507"/>
      <c r="L1092" s="508"/>
      <c r="M1092" s="508"/>
      <c r="N1092" s="508"/>
      <c r="O1092" s="509"/>
      <c r="P1092" s="509"/>
    </row>
    <row r="1093" spans="1:16" ht="21.75" customHeight="1" x14ac:dyDescent="0.3">
      <c r="A1093" s="504"/>
      <c r="B1093" s="504"/>
      <c r="C1093" s="504"/>
      <c r="D1093" s="504"/>
      <c r="E1093" s="506"/>
      <c r="F1093" s="506"/>
      <c r="G1093" s="506"/>
      <c r="H1093" s="506"/>
      <c r="I1093" s="506"/>
      <c r="J1093" s="506"/>
      <c r="K1093" s="507"/>
      <c r="L1093" s="508"/>
      <c r="M1093" s="508"/>
      <c r="N1093" s="508"/>
      <c r="O1093" s="509"/>
      <c r="P1093" s="509"/>
    </row>
    <row r="1094" spans="1:16" ht="21.75" customHeight="1" x14ac:dyDescent="0.3">
      <c r="A1094" s="504"/>
      <c r="B1094" s="504"/>
      <c r="C1094" s="504"/>
      <c r="D1094" s="504"/>
      <c r="E1094" s="506"/>
      <c r="F1094" s="506"/>
      <c r="G1094" s="506"/>
      <c r="H1094" s="506"/>
      <c r="I1094" s="506"/>
      <c r="J1094" s="506"/>
      <c r="K1094" s="507"/>
      <c r="L1094" s="508"/>
      <c r="M1094" s="508"/>
      <c r="N1094" s="508"/>
      <c r="O1094" s="509"/>
      <c r="P1094" s="509"/>
    </row>
    <row r="1095" spans="1:16" ht="21.75" customHeight="1" x14ac:dyDescent="0.3">
      <c r="A1095" s="504"/>
      <c r="B1095" s="504"/>
      <c r="C1095" s="504"/>
      <c r="D1095" s="504"/>
      <c r="E1095" s="506"/>
      <c r="F1095" s="506"/>
      <c r="G1095" s="506"/>
      <c r="H1095" s="506"/>
      <c r="I1095" s="506"/>
      <c r="J1095" s="506"/>
      <c r="K1095" s="507"/>
      <c r="L1095" s="508"/>
      <c r="M1095" s="508"/>
      <c r="N1095" s="508"/>
      <c r="O1095" s="509"/>
      <c r="P1095" s="509"/>
    </row>
    <row r="1096" spans="1:16" ht="21.75" customHeight="1" x14ac:dyDescent="0.3">
      <c r="A1096" s="504"/>
      <c r="B1096" s="504"/>
      <c r="C1096" s="504"/>
      <c r="D1096" s="504"/>
      <c r="E1096" s="506"/>
      <c r="F1096" s="506"/>
      <c r="G1096" s="506"/>
      <c r="H1096" s="506"/>
      <c r="I1096" s="506"/>
      <c r="J1096" s="506"/>
      <c r="K1096" s="507"/>
      <c r="L1096" s="508"/>
      <c r="M1096" s="508"/>
      <c r="N1096" s="508"/>
      <c r="O1096" s="509"/>
      <c r="P1096" s="509"/>
    </row>
    <row r="1097" spans="1:16" ht="21.75" customHeight="1" x14ac:dyDescent="0.3">
      <c r="A1097" s="504"/>
      <c r="B1097" s="504"/>
      <c r="C1097" s="504"/>
      <c r="D1097" s="504"/>
      <c r="E1097" s="506"/>
      <c r="F1097" s="506"/>
      <c r="G1097" s="506"/>
      <c r="H1097" s="506"/>
      <c r="I1097" s="506"/>
      <c r="J1097" s="506"/>
      <c r="K1097" s="507"/>
      <c r="L1097" s="508"/>
      <c r="M1097" s="508"/>
      <c r="N1097" s="508"/>
      <c r="O1097" s="509"/>
      <c r="P1097" s="509"/>
    </row>
    <row r="1098" spans="1:16" ht="21.75" customHeight="1" x14ac:dyDescent="0.3">
      <c r="A1098" s="504"/>
      <c r="B1098" s="504"/>
      <c r="C1098" s="504"/>
      <c r="D1098" s="504"/>
      <c r="E1098" s="506"/>
      <c r="F1098" s="506"/>
      <c r="G1098" s="506"/>
      <c r="H1098" s="506"/>
      <c r="I1098" s="506"/>
      <c r="J1098" s="506"/>
      <c r="K1098" s="507"/>
      <c r="L1098" s="508"/>
      <c r="M1098" s="508"/>
      <c r="N1098" s="508"/>
      <c r="O1098" s="509"/>
      <c r="P1098" s="509"/>
    </row>
    <row r="1099" spans="1:16" ht="21.75" customHeight="1" x14ac:dyDescent="0.3">
      <c r="A1099" s="504"/>
      <c r="B1099" s="504"/>
      <c r="C1099" s="504"/>
      <c r="D1099" s="504"/>
      <c r="E1099" s="506"/>
      <c r="F1099" s="506"/>
      <c r="G1099" s="506"/>
      <c r="H1099" s="506"/>
      <c r="I1099" s="506"/>
      <c r="J1099" s="506"/>
      <c r="K1099" s="507"/>
      <c r="L1099" s="508"/>
      <c r="M1099" s="508"/>
      <c r="N1099" s="508"/>
      <c r="O1099" s="509"/>
      <c r="P1099" s="509"/>
    </row>
    <row r="1100" spans="1:16" ht="21.75" customHeight="1" x14ac:dyDescent="0.3">
      <c r="A1100" s="504"/>
      <c r="B1100" s="504"/>
      <c r="C1100" s="504"/>
      <c r="D1100" s="504"/>
      <c r="E1100" s="506"/>
      <c r="F1100" s="506"/>
      <c r="G1100" s="506"/>
      <c r="H1100" s="506"/>
      <c r="I1100" s="506"/>
      <c r="J1100" s="506"/>
      <c r="K1100" s="507"/>
      <c r="L1100" s="508"/>
      <c r="M1100" s="508"/>
      <c r="N1100" s="508"/>
      <c r="O1100" s="509"/>
      <c r="P1100" s="509"/>
    </row>
    <row r="1101" spans="1:16" ht="21.75" customHeight="1" x14ac:dyDescent="0.3">
      <c r="A1101" s="504"/>
      <c r="B1101" s="504"/>
      <c r="C1101" s="504"/>
      <c r="D1101" s="504"/>
      <c r="E1101" s="506"/>
      <c r="F1101" s="506"/>
      <c r="G1101" s="506"/>
      <c r="H1101" s="506"/>
      <c r="I1101" s="506"/>
      <c r="J1101" s="506"/>
      <c r="K1101" s="507"/>
      <c r="L1101" s="508"/>
      <c r="M1101" s="508"/>
      <c r="N1101" s="508"/>
      <c r="O1101" s="509"/>
      <c r="P1101" s="509"/>
    </row>
    <row r="1102" spans="1:16" ht="21.75" customHeight="1" x14ac:dyDescent="0.3">
      <c r="A1102" s="504"/>
      <c r="B1102" s="504"/>
      <c r="C1102" s="504"/>
      <c r="D1102" s="504"/>
      <c r="E1102" s="506"/>
      <c r="F1102" s="506"/>
      <c r="G1102" s="506"/>
      <c r="H1102" s="506"/>
      <c r="I1102" s="506"/>
      <c r="J1102" s="506"/>
      <c r="K1102" s="507"/>
      <c r="L1102" s="508"/>
      <c r="M1102" s="508"/>
      <c r="N1102" s="508"/>
      <c r="O1102" s="509"/>
      <c r="P1102" s="509"/>
    </row>
    <row r="1103" spans="1:16" ht="21.75" customHeight="1" x14ac:dyDescent="0.3">
      <c r="A1103" s="504"/>
      <c r="B1103" s="504"/>
      <c r="C1103" s="504"/>
      <c r="D1103" s="504"/>
      <c r="E1103" s="506"/>
      <c r="F1103" s="506"/>
      <c r="G1103" s="506"/>
      <c r="H1103" s="506"/>
      <c r="I1103" s="506"/>
      <c r="J1103" s="506"/>
      <c r="K1103" s="507"/>
      <c r="L1103" s="508"/>
      <c r="M1103" s="508"/>
      <c r="N1103" s="508"/>
      <c r="O1103" s="509"/>
      <c r="P1103" s="509"/>
    </row>
    <row r="1104" spans="1:16" ht="21.75" customHeight="1" x14ac:dyDescent="0.3">
      <c r="A1104" s="504"/>
      <c r="B1104" s="504"/>
      <c r="C1104" s="504"/>
      <c r="D1104" s="504"/>
      <c r="E1104" s="506"/>
      <c r="F1104" s="506"/>
      <c r="G1104" s="506"/>
      <c r="H1104" s="506"/>
      <c r="I1104" s="506"/>
      <c r="J1104" s="506"/>
      <c r="K1104" s="507"/>
      <c r="L1104" s="508"/>
      <c r="M1104" s="508"/>
      <c r="N1104" s="508"/>
      <c r="O1104" s="509"/>
      <c r="P1104" s="509"/>
    </row>
    <row r="1105" spans="1:16" ht="21.75" customHeight="1" x14ac:dyDescent="0.3">
      <c r="A1105" s="504"/>
      <c r="B1105" s="504"/>
      <c r="C1105" s="504"/>
      <c r="D1105" s="504"/>
      <c r="E1105" s="506"/>
      <c r="F1105" s="506"/>
      <c r="G1105" s="506"/>
      <c r="H1105" s="506"/>
      <c r="I1105" s="506"/>
      <c r="J1105" s="506"/>
      <c r="K1105" s="507"/>
      <c r="L1105" s="508"/>
      <c r="M1105" s="508"/>
      <c r="N1105" s="508"/>
      <c r="O1105" s="509"/>
      <c r="P1105" s="509"/>
    </row>
    <row r="1106" spans="1:16" ht="21.75" customHeight="1" x14ac:dyDescent="0.3">
      <c r="A1106" s="504"/>
      <c r="B1106" s="504"/>
      <c r="C1106" s="504"/>
      <c r="D1106" s="504"/>
      <c r="E1106" s="506"/>
      <c r="F1106" s="506"/>
      <c r="G1106" s="506"/>
      <c r="H1106" s="506"/>
      <c r="I1106" s="506"/>
      <c r="J1106" s="506"/>
      <c r="K1106" s="507"/>
      <c r="L1106" s="508"/>
      <c r="M1106" s="508"/>
      <c r="N1106" s="508"/>
      <c r="O1106" s="509"/>
      <c r="P1106" s="509"/>
    </row>
    <row r="1107" spans="1:16" ht="21.75" customHeight="1" x14ac:dyDescent="0.3">
      <c r="A1107" s="504"/>
      <c r="B1107" s="504"/>
      <c r="C1107" s="504"/>
      <c r="D1107" s="504"/>
      <c r="E1107" s="506"/>
      <c r="F1107" s="506"/>
      <c r="G1107" s="506"/>
      <c r="H1107" s="506"/>
      <c r="I1107" s="506"/>
      <c r="J1107" s="506"/>
      <c r="K1107" s="507"/>
      <c r="L1107" s="508"/>
      <c r="M1107" s="508"/>
      <c r="N1107" s="508"/>
      <c r="O1107" s="509"/>
      <c r="P1107" s="509"/>
    </row>
    <row r="1108" spans="1:16" ht="21.75" customHeight="1" x14ac:dyDescent="0.3">
      <c r="A1108" s="504"/>
      <c r="B1108" s="504"/>
      <c r="C1108" s="504"/>
      <c r="D1108" s="504"/>
      <c r="E1108" s="506"/>
      <c r="F1108" s="506"/>
      <c r="G1108" s="506"/>
      <c r="H1108" s="506"/>
      <c r="I1108" s="506"/>
      <c r="J1108" s="506"/>
      <c r="K1108" s="507"/>
      <c r="L1108" s="508"/>
      <c r="M1108" s="508"/>
      <c r="N1108" s="508"/>
      <c r="O1108" s="509"/>
      <c r="P1108" s="509"/>
    </row>
    <row r="1109" spans="1:16" ht="21.75" customHeight="1" x14ac:dyDescent="0.3">
      <c r="A1109" s="504"/>
      <c r="B1109" s="504"/>
      <c r="C1109" s="504"/>
      <c r="D1109" s="504"/>
      <c r="E1109" s="506"/>
      <c r="F1109" s="506"/>
      <c r="G1109" s="506"/>
      <c r="H1109" s="506"/>
      <c r="I1109" s="506"/>
      <c r="J1109" s="506"/>
      <c r="K1109" s="507"/>
      <c r="L1109" s="508"/>
      <c r="M1109" s="508"/>
      <c r="N1109" s="508"/>
      <c r="O1109" s="509"/>
      <c r="P1109" s="509"/>
    </row>
    <row r="1110" spans="1:16" ht="21.75" customHeight="1" x14ac:dyDescent="0.3">
      <c r="A1110" s="504"/>
      <c r="B1110" s="504"/>
      <c r="C1110" s="504"/>
      <c r="D1110" s="504"/>
      <c r="E1110" s="506"/>
      <c r="F1110" s="506"/>
      <c r="G1110" s="506"/>
      <c r="H1110" s="506"/>
      <c r="I1110" s="506"/>
      <c r="J1110" s="506"/>
      <c r="K1110" s="507"/>
      <c r="L1110" s="508"/>
      <c r="M1110" s="508"/>
      <c r="N1110" s="508"/>
      <c r="O1110" s="509"/>
      <c r="P1110" s="509"/>
    </row>
    <row r="1111" spans="1:16" ht="21.75" customHeight="1" x14ac:dyDescent="0.3">
      <c r="A1111" s="504"/>
      <c r="B1111" s="504"/>
      <c r="C1111" s="504"/>
      <c r="D1111" s="504"/>
      <c r="E1111" s="506"/>
      <c r="F1111" s="506"/>
      <c r="G1111" s="506"/>
      <c r="H1111" s="506"/>
      <c r="I1111" s="506"/>
      <c r="J1111" s="506"/>
      <c r="K1111" s="507"/>
      <c r="L1111" s="508"/>
      <c r="M1111" s="508"/>
      <c r="N1111" s="508"/>
      <c r="O1111" s="509"/>
      <c r="P1111" s="509"/>
    </row>
    <row r="1112" spans="1:16" ht="21.75" customHeight="1" x14ac:dyDescent="0.3">
      <c r="A1112" s="504"/>
      <c r="B1112" s="504"/>
      <c r="C1112" s="504"/>
      <c r="D1112" s="504"/>
      <c r="E1112" s="506"/>
      <c r="F1112" s="506"/>
      <c r="G1112" s="506"/>
      <c r="H1112" s="506"/>
      <c r="I1112" s="506"/>
      <c r="J1112" s="506"/>
      <c r="K1112" s="507"/>
      <c r="L1112" s="508"/>
      <c r="M1112" s="508"/>
      <c r="N1112" s="508"/>
      <c r="O1112" s="509"/>
      <c r="P1112" s="509"/>
    </row>
    <row r="1113" spans="1:16" ht="21.75" customHeight="1" x14ac:dyDescent="0.3">
      <c r="A1113" s="504"/>
      <c r="B1113" s="504"/>
      <c r="C1113" s="504"/>
      <c r="D1113" s="504"/>
      <c r="E1113" s="506"/>
      <c r="F1113" s="506"/>
      <c r="G1113" s="506"/>
      <c r="H1113" s="506"/>
      <c r="I1113" s="506"/>
      <c r="J1113" s="506"/>
      <c r="K1113" s="507"/>
      <c r="L1113" s="508"/>
      <c r="M1113" s="508"/>
      <c r="N1113" s="508"/>
      <c r="O1113" s="509"/>
      <c r="P1113" s="509"/>
    </row>
    <row r="1114" spans="1:16" ht="21.75" customHeight="1" x14ac:dyDescent="0.3">
      <c r="A1114" s="504"/>
      <c r="B1114" s="504"/>
      <c r="C1114" s="504"/>
      <c r="D1114" s="504"/>
      <c r="E1114" s="506"/>
      <c r="F1114" s="506"/>
      <c r="G1114" s="506"/>
      <c r="H1114" s="506"/>
      <c r="I1114" s="506"/>
      <c r="J1114" s="506"/>
      <c r="K1114" s="507"/>
      <c r="L1114" s="508"/>
      <c r="M1114" s="508"/>
      <c r="N1114" s="508"/>
      <c r="O1114" s="509"/>
      <c r="P1114" s="509"/>
    </row>
    <row r="1115" spans="1:16" ht="21.75" customHeight="1" x14ac:dyDescent="0.3">
      <c r="A1115" s="504"/>
      <c r="B1115" s="504"/>
      <c r="C1115" s="504"/>
      <c r="D1115" s="504"/>
      <c r="E1115" s="506"/>
      <c r="F1115" s="506"/>
      <c r="G1115" s="506"/>
      <c r="H1115" s="506"/>
      <c r="I1115" s="506"/>
      <c r="J1115" s="506"/>
      <c r="K1115" s="507"/>
      <c r="L1115" s="508"/>
      <c r="M1115" s="508"/>
      <c r="N1115" s="508"/>
      <c r="O1115" s="509"/>
      <c r="P1115" s="509"/>
    </row>
    <row r="1116" spans="1:16" ht="21.75" customHeight="1" x14ac:dyDescent="0.3">
      <c r="A1116" s="504"/>
      <c r="B1116" s="504"/>
      <c r="C1116" s="504"/>
      <c r="D1116" s="504"/>
      <c r="E1116" s="506"/>
      <c r="F1116" s="506"/>
      <c r="G1116" s="506"/>
      <c r="H1116" s="506"/>
      <c r="I1116" s="506"/>
      <c r="J1116" s="506"/>
      <c r="K1116" s="507"/>
      <c r="L1116" s="508"/>
      <c r="M1116" s="508"/>
      <c r="N1116" s="508"/>
      <c r="O1116" s="509"/>
      <c r="P1116" s="509"/>
    </row>
    <row r="1117" spans="1:16" ht="21.75" customHeight="1" x14ac:dyDescent="0.3">
      <c r="A1117" s="504"/>
      <c r="B1117" s="504"/>
      <c r="C1117" s="504"/>
      <c r="D1117" s="504"/>
      <c r="E1117" s="506"/>
      <c r="F1117" s="506"/>
      <c r="G1117" s="506"/>
      <c r="H1117" s="506"/>
      <c r="I1117" s="506"/>
      <c r="J1117" s="506"/>
      <c r="K1117" s="507"/>
      <c r="L1117" s="508"/>
      <c r="M1117" s="508"/>
      <c r="N1117" s="508"/>
      <c r="O1117" s="509"/>
      <c r="P1117" s="509"/>
    </row>
    <row r="1118" spans="1:16" ht="21.75" customHeight="1" x14ac:dyDescent="0.3">
      <c r="A1118" s="504"/>
      <c r="B1118" s="504"/>
      <c r="C1118" s="504"/>
      <c r="D1118" s="504"/>
      <c r="E1118" s="506"/>
      <c r="F1118" s="506"/>
      <c r="G1118" s="506"/>
      <c r="H1118" s="506"/>
      <c r="I1118" s="506"/>
      <c r="J1118" s="506"/>
      <c r="K1118" s="507"/>
      <c r="L1118" s="508"/>
      <c r="M1118" s="508"/>
      <c r="N1118" s="508"/>
      <c r="O1118" s="509"/>
      <c r="P1118" s="509"/>
    </row>
    <row r="1119" spans="1:16" ht="21.75" customHeight="1" x14ac:dyDescent="0.3">
      <c r="A1119" s="504"/>
      <c r="B1119" s="504"/>
      <c r="C1119" s="504"/>
      <c r="D1119" s="504"/>
      <c r="E1119" s="506"/>
      <c r="F1119" s="506"/>
      <c r="G1119" s="506"/>
      <c r="H1119" s="506"/>
      <c r="I1119" s="506"/>
      <c r="J1119" s="506"/>
      <c r="K1119" s="507"/>
      <c r="L1119" s="508"/>
      <c r="M1119" s="508"/>
      <c r="N1119" s="508"/>
      <c r="O1119" s="509"/>
      <c r="P1119" s="509"/>
    </row>
    <row r="1120" spans="1:16" ht="21.75" customHeight="1" x14ac:dyDescent="0.3">
      <c r="A1120" s="504"/>
      <c r="B1120" s="504"/>
      <c r="C1120" s="504"/>
      <c r="D1120" s="504"/>
      <c r="E1120" s="506"/>
      <c r="F1120" s="506"/>
      <c r="G1120" s="506"/>
      <c r="H1120" s="506"/>
      <c r="I1120" s="506"/>
      <c r="J1120" s="506"/>
      <c r="K1120" s="507"/>
      <c r="L1120" s="508"/>
      <c r="M1120" s="508"/>
      <c r="N1120" s="508"/>
      <c r="O1120" s="509"/>
      <c r="P1120" s="509"/>
    </row>
    <row r="1121" spans="1:16" ht="21.75" customHeight="1" x14ac:dyDescent="0.3">
      <c r="A1121" s="504"/>
      <c r="B1121" s="504"/>
      <c r="C1121" s="504"/>
      <c r="D1121" s="504"/>
      <c r="E1121" s="506"/>
      <c r="F1121" s="506"/>
      <c r="G1121" s="506"/>
      <c r="H1121" s="506"/>
      <c r="I1121" s="506"/>
      <c r="J1121" s="506"/>
      <c r="K1121" s="507"/>
      <c r="L1121" s="508"/>
      <c r="M1121" s="508"/>
      <c r="N1121" s="508"/>
      <c r="O1121" s="509"/>
      <c r="P1121" s="509"/>
    </row>
    <row r="1122" spans="1:16" ht="21.75" customHeight="1" x14ac:dyDescent="0.3">
      <c r="A1122" s="504"/>
      <c r="B1122" s="504"/>
      <c r="C1122" s="504"/>
      <c r="D1122" s="504"/>
      <c r="E1122" s="506"/>
      <c r="F1122" s="506"/>
      <c r="G1122" s="506"/>
      <c r="H1122" s="506"/>
      <c r="I1122" s="506"/>
      <c r="J1122" s="506"/>
      <c r="K1122" s="507"/>
      <c r="L1122" s="508"/>
      <c r="M1122" s="508"/>
      <c r="N1122" s="508"/>
      <c r="O1122" s="509"/>
      <c r="P1122" s="509"/>
    </row>
    <row r="1123" spans="1:16" ht="21.75" customHeight="1" x14ac:dyDescent="0.3">
      <c r="A1123" s="504"/>
      <c r="B1123" s="504"/>
      <c r="C1123" s="504"/>
      <c r="D1123" s="504"/>
      <c r="E1123" s="506"/>
      <c r="F1123" s="506"/>
      <c r="G1123" s="506"/>
      <c r="H1123" s="506"/>
      <c r="I1123" s="506"/>
      <c r="J1123" s="506"/>
      <c r="K1123" s="507"/>
      <c r="L1123" s="508"/>
      <c r="M1123" s="508"/>
      <c r="N1123" s="508"/>
      <c r="O1123" s="509"/>
      <c r="P1123" s="509"/>
    </row>
    <row r="1124" spans="1:16" ht="21.75" customHeight="1" x14ac:dyDescent="0.3">
      <c r="A1124" s="504"/>
      <c r="B1124" s="504"/>
      <c r="C1124" s="504"/>
      <c r="D1124" s="504"/>
      <c r="E1124" s="506"/>
      <c r="F1124" s="506"/>
      <c r="G1124" s="506"/>
      <c r="H1124" s="506"/>
      <c r="I1124" s="506"/>
      <c r="J1124" s="506"/>
      <c r="K1124" s="507"/>
      <c r="L1124" s="508"/>
      <c r="M1124" s="508"/>
      <c r="N1124" s="508"/>
      <c r="O1124" s="509"/>
      <c r="P1124" s="509"/>
    </row>
    <row r="1125" spans="1:16" ht="21.75" customHeight="1" x14ac:dyDescent="0.3">
      <c r="A1125" s="504"/>
      <c r="B1125" s="504"/>
      <c r="C1125" s="504"/>
      <c r="D1125" s="504"/>
      <c r="E1125" s="506"/>
      <c r="F1125" s="506"/>
      <c r="G1125" s="506"/>
      <c r="H1125" s="506"/>
      <c r="I1125" s="506"/>
      <c r="J1125" s="506"/>
      <c r="K1125" s="507"/>
      <c r="L1125" s="508"/>
      <c r="M1125" s="508"/>
      <c r="N1125" s="508"/>
      <c r="O1125" s="509"/>
      <c r="P1125" s="509"/>
    </row>
    <row r="1126" spans="1:16" ht="21.75" customHeight="1" x14ac:dyDescent="0.3">
      <c r="A1126" s="504"/>
      <c r="B1126" s="504"/>
      <c r="C1126" s="504"/>
      <c r="D1126" s="504"/>
      <c r="E1126" s="506"/>
      <c r="F1126" s="506"/>
      <c r="G1126" s="506"/>
      <c r="H1126" s="506"/>
      <c r="I1126" s="506"/>
      <c r="J1126" s="506"/>
      <c r="K1126" s="507"/>
      <c r="L1126" s="508"/>
      <c r="M1126" s="508"/>
      <c r="N1126" s="508"/>
      <c r="O1126" s="509"/>
      <c r="P1126" s="509"/>
    </row>
    <row r="1127" spans="1:16" ht="21.75" customHeight="1" x14ac:dyDescent="0.3">
      <c r="A1127" s="504"/>
      <c r="B1127" s="504"/>
      <c r="C1127" s="504"/>
      <c r="D1127" s="504"/>
      <c r="E1127" s="506"/>
      <c r="F1127" s="506"/>
      <c r="G1127" s="506"/>
      <c r="H1127" s="506"/>
      <c r="I1127" s="506"/>
      <c r="J1127" s="506"/>
      <c r="K1127" s="507"/>
      <c r="L1127" s="508"/>
      <c r="M1127" s="508"/>
      <c r="N1127" s="508"/>
      <c r="O1127" s="509"/>
      <c r="P1127" s="509"/>
    </row>
    <row r="1128" spans="1:16" ht="21.75" customHeight="1" x14ac:dyDescent="0.3">
      <c r="A1128" s="504"/>
      <c r="B1128" s="504"/>
      <c r="C1128" s="504"/>
      <c r="D1128" s="504"/>
      <c r="E1128" s="506"/>
      <c r="F1128" s="506"/>
      <c r="G1128" s="506"/>
      <c r="H1128" s="506"/>
      <c r="I1128" s="506"/>
      <c r="J1128" s="506"/>
      <c r="K1128" s="507"/>
      <c r="L1128" s="508"/>
      <c r="M1128" s="508"/>
      <c r="N1128" s="508"/>
      <c r="O1128" s="509"/>
      <c r="P1128" s="509"/>
    </row>
    <row r="1129" spans="1:16" ht="21.75" customHeight="1" x14ac:dyDescent="0.3">
      <c r="A1129" s="504"/>
      <c r="B1129" s="504"/>
      <c r="C1129" s="504"/>
      <c r="D1129" s="504"/>
      <c r="E1129" s="506"/>
      <c r="F1129" s="506"/>
      <c r="G1129" s="506"/>
      <c r="H1129" s="506"/>
      <c r="I1129" s="506"/>
      <c r="J1129" s="506"/>
      <c r="K1129" s="507"/>
      <c r="L1129" s="508"/>
      <c r="M1129" s="508"/>
      <c r="N1129" s="508"/>
      <c r="O1129" s="509"/>
      <c r="P1129" s="509"/>
    </row>
    <row r="1130" spans="1:16" ht="21.75" customHeight="1" x14ac:dyDescent="0.3">
      <c r="A1130" s="504"/>
      <c r="B1130" s="504"/>
      <c r="C1130" s="504"/>
      <c r="D1130" s="504"/>
      <c r="E1130" s="506"/>
      <c r="F1130" s="506"/>
      <c r="G1130" s="506"/>
      <c r="H1130" s="506"/>
      <c r="I1130" s="506"/>
      <c r="J1130" s="506"/>
      <c r="K1130" s="507"/>
      <c r="L1130" s="508"/>
      <c r="M1130" s="508"/>
      <c r="N1130" s="508"/>
      <c r="O1130" s="509"/>
      <c r="P1130" s="509"/>
    </row>
    <row r="1131" spans="1:16" ht="21.75" customHeight="1" x14ac:dyDescent="0.3">
      <c r="A1131" s="504"/>
      <c r="B1131" s="504"/>
      <c r="C1131" s="504"/>
      <c r="D1131" s="504"/>
      <c r="E1131" s="506"/>
      <c r="F1131" s="506"/>
      <c r="G1131" s="506"/>
      <c r="H1131" s="506"/>
      <c r="I1131" s="506"/>
      <c r="J1131" s="506"/>
      <c r="K1131" s="507"/>
      <c r="L1131" s="508"/>
      <c r="M1131" s="508"/>
      <c r="N1131" s="508"/>
      <c r="O1131" s="509"/>
      <c r="P1131" s="509"/>
    </row>
    <row r="1132" spans="1:16" ht="21.75" customHeight="1" x14ac:dyDescent="0.3">
      <c r="A1132" s="504"/>
      <c r="B1132" s="504"/>
      <c r="C1132" s="504"/>
      <c r="D1132" s="504"/>
      <c r="E1132" s="506"/>
      <c r="F1132" s="506"/>
      <c r="G1132" s="506"/>
      <c r="H1132" s="506"/>
      <c r="I1132" s="506"/>
      <c r="J1132" s="506"/>
      <c r="K1132" s="507"/>
      <c r="L1132" s="508"/>
      <c r="M1132" s="508"/>
      <c r="N1132" s="508"/>
      <c r="O1132" s="509"/>
      <c r="P1132" s="509"/>
    </row>
    <row r="1133" spans="1:16" ht="21.75" customHeight="1" x14ac:dyDescent="0.3">
      <c r="A1133" s="504"/>
      <c r="B1133" s="504"/>
      <c r="C1133" s="504"/>
      <c r="D1133" s="504"/>
      <c r="E1133" s="506"/>
      <c r="F1133" s="506"/>
      <c r="G1133" s="506"/>
      <c r="H1133" s="506"/>
      <c r="I1133" s="506"/>
      <c r="J1133" s="506"/>
      <c r="K1133" s="507"/>
      <c r="L1133" s="508"/>
      <c r="M1133" s="508"/>
      <c r="N1133" s="508"/>
      <c r="O1133" s="509"/>
      <c r="P1133" s="509"/>
    </row>
    <row r="1134" spans="1:16" ht="21.75" customHeight="1" x14ac:dyDescent="0.3">
      <c r="A1134" s="504"/>
      <c r="B1134" s="504"/>
      <c r="C1134" s="504"/>
      <c r="D1134" s="504"/>
      <c r="E1134" s="506"/>
      <c r="F1134" s="506"/>
      <c r="G1134" s="506"/>
      <c r="H1134" s="506"/>
      <c r="I1134" s="506"/>
      <c r="J1134" s="506"/>
      <c r="K1134" s="507"/>
      <c r="L1134" s="508"/>
      <c r="M1134" s="508"/>
      <c r="N1134" s="508"/>
      <c r="O1134" s="509"/>
      <c r="P1134" s="509"/>
    </row>
    <row r="1135" spans="1:16" ht="21.75" customHeight="1" x14ac:dyDescent="0.3">
      <c r="A1135" s="504"/>
      <c r="B1135" s="504"/>
      <c r="C1135" s="504"/>
      <c r="D1135" s="504"/>
      <c r="E1135" s="506"/>
      <c r="F1135" s="506"/>
      <c r="G1135" s="506"/>
      <c r="H1135" s="506"/>
      <c r="I1135" s="506"/>
      <c r="J1135" s="506"/>
      <c r="K1135" s="507"/>
      <c r="L1135" s="508"/>
      <c r="M1135" s="508"/>
      <c r="N1135" s="508"/>
      <c r="O1135" s="509"/>
      <c r="P1135" s="509"/>
    </row>
    <row r="1136" spans="1:16" ht="21.75" customHeight="1" x14ac:dyDescent="0.3">
      <c r="A1136" s="504"/>
      <c r="B1136" s="504"/>
      <c r="C1136" s="504"/>
      <c r="D1136" s="504"/>
      <c r="E1136" s="506"/>
      <c r="F1136" s="506"/>
      <c r="G1136" s="506"/>
      <c r="H1136" s="506"/>
      <c r="I1136" s="506"/>
      <c r="J1136" s="506"/>
      <c r="K1136" s="507"/>
      <c r="L1136" s="508"/>
      <c r="M1136" s="508"/>
      <c r="N1136" s="508"/>
      <c r="O1136" s="509"/>
      <c r="P1136" s="509"/>
    </row>
    <row r="1137" spans="1:16" ht="21.75" customHeight="1" x14ac:dyDescent="0.3">
      <c r="A1137" s="504"/>
      <c r="B1137" s="504"/>
      <c r="C1137" s="504"/>
      <c r="D1137" s="504"/>
      <c r="E1137" s="506"/>
      <c r="F1137" s="506"/>
      <c r="G1137" s="506"/>
      <c r="H1137" s="506"/>
      <c r="I1137" s="506"/>
      <c r="J1137" s="506"/>
      <c r="K1137" s="507"/>
      <c r="L1137" s="508"/>
      <c r="M1137" s="508"/>
      <c r="N1137" s="508"/>
      <c r="O1137" s="509"/>
      <c r="P1137" s="509"/>
    </row>
    <row r="1138" spans="1:16" ht="21.75" customHeight="1" x14ac:dyDescent="0.3">
      <c r="A1138" s="504"/>
      <c r="B1138" s="504"/>
      <c r="C1138" s="504"/>
      <c r="D1138" s="504"/>
      <c r="E1138" s="506"/>
      <c r="F1138" s="506"/>
      <c r="G1138" s="506"/>
      <c r="H1138" s="506"/>
      <c r="I1138" s="506"/>
      <c r="J1138" s="506"/>
      <c r="K1138" s="507"/>
      <c r="L1138" s="508"/>
      <c r="M1138" s="508"/>
      <c r="N1138" s="508"/>
      <c r="O1138" s="509"/>
      <c r="P1138" s="509"/>
    </row>
    <row r="1139" spans="1:16" ht="21.75" customHeight="1" x14ac:dyDescent="0.3">
      <c r="A1139" s="504"/>
      <c r="B1139" s="504"/>
      <c r="C1139" s="504"/>
      <c r="D1139" s="504"/>
      <c r="E1139" s="506"/>
      <c r="F1139" s="506"/>
      <c r="G1139" s="506"/>
      <c r="H1139" s="506"/>
      <c r="I1139" s="506"/>
      <c r="J1139" s="506"/>
      <c r="K1139" s="507"/>
      <c r="L1139" s="508"/>
      <c r="M1139" s="508"/>
      <c r="N1139" s="508"/>
      <c r="O1139" s="509"/>
      <c r="P1139" s="509"/>
    </row>
    <row r="1140" spans="1:16" ht="21.75" customHeight="1" x14ac:dyDescent="0.3">
      <c r="A1140" s="504"/>
      <c r="B1140" s="504"/>
      <c r="C1140" s="504"/>
      <c r="D1140" s="504"/>
      <c r="E1140" s="506"/>
      <c r="F1140" s="506"/>
      <c r="G1140" s="506"/>
      <c r="H1140" s="506"/>
      <c r="I1140" s="506"/>
      <c r="J1140" s="506"/>
      <c r="K1140" s="507"/>
      <c r="L1140" s="508"/>
      <c r="M1140" s="508"/>
      <c r="N1140" s="508"/>
      <c r="O1140" s="509"/>
      <c r="P1140" s="509"/>
    </row>
    <row r="1141" spans="1:16" ht="21.75" customHeight="1" x14ac:dyDescent="0.3">
      <c r="A1141" s="504"/>
      <c r="B1141" s="504"/>
      <c r="C1141" s="504"/>
      <c r="D1141" s="504"/>
      <c r="E1141" s="506"/>
      <c r="F1141" s="506"/>
      <c r="G1141" s="506"/>
      <c r="H1141" s="506"/>
      <c r="I1141" s="506"/>
      <c r="J1141" s="506"/>
      <c r="K1141" s="507"/>
      <c r="L1141" s="508"/>
      <c r="M1141" s="508"/>
      <c r="N1141" s="508"/>
      <c r="O1141" s="509"/>
      <c r="P1141" s="509"/>
    </row>
    <row r="1142" spans="1:16" ht="21.75" customHeight="1" x14ac:dyDescent="0.3">
      <c r="A1142" s="504"/>
      <c r="B1142" s="504"/>
      <c r="C1142" s="504"/>
      <c r="D1142" s="504"/>
      <c r="E1142" s="506"/>
      <c r="F1142" s="506"/>
      <c r="G1142" s="506"/>
      <c r="H1142" s="506"/>
      <c r="I1142" s="506"/>
      <c r="J1142" s="506"/>
      <c r="K1142" s="507"/>
      <c r="L1142" s="508"/>
      <c r="M1142" s="508"/>
      <c r="N1142" s="508"/>
      <c r="O1142" s="509"/>
      <c r="P1142" s="509"/>
    </row>
    <row r="1143" spans="1:16" ht="21.75" customHeight="1" x14ac:dyDescent="0.3">
      <c r="A1143" s="504"/>
      <c r="B1143" s="504"/>
      <c r="C1143" s="504"/>
      <c r="D1143" s="504"/>
      <c r="E1143" s="506"/>
      <c r="F1143" s="506"/>
      <c r="G1143" s="506"/>
      <c r="H1143" s="506"/>
      <c r="I1143" s="506"/>
      <c r="J1143" s="506"/>
      <c r="K1143" s="507"/>
      <c r="L1143" s="508"/>
      <c r="M1143" s="508"/>
      <c r="N1143" s="508"/>
      <c r="O1143" s="509"/>
      <c r="P1143" s="509"/>
    </row>
  </sheetData>
  <mergeCells count="49">
    <mergeCell ref="D310:G310"/>
    <mergeCell ref="D317:E317"/>
    <mergeCell ref="D329:G329"/>
    <mergeCell ref="D336:E336"/>
    <mergeCell ref="D140:G140"/>
    <mergeCell ref="D147:E147"/>
    <mergeCell ref="D220:G220"/>
    <mergeCell ref="D227:E227"/>
    <mergeCell ref="D250:G250"/>
    <mergeCell ref="D257:E257"/>
    <mergeCell ref="D271:G271"/>
    <mergeCell ref="D118:G118"/>
    <mergeCell ref="D125:E125"/>
    <mergeCell ref="D278:E278"/>
    <mergeCell ref="D290:G290"/>
    <mergeCell ref="D297:E297"/>
    <mergeCell ref="D60:E60"/>
    <mergeCell ref="D66:G66"/>
    <mergeCell ref="D73:E73"/>
    <mergeCell ref="D94:G94"/>
    <mergeCell ref="D101:E101"/>
    <mergeCell ref="D44:F44"/>
    <mergeCell ref="D48:E48"/>
    <mergeCell ref="B52:G52"/>
    <mergeCell ref="D53:G53"/>
    <mergeCell ref="D56:F56"/>
    <mergeCell ref="D31:F31"/>
    <mergeCell ref="D35:E35"/>
    <mergeCell ref="A38:G38"/>
    <mergeCell ref="B39:G39"/>
    <mergeCell ref="D41:G41"/>
    <mergeCell ref="D18:G18"/>
    <mergeCell ref="D21:F21"/>
    <mergeCell ref="D25:E25"/>
    <mergeCell ref="A27:G27"/>
    <mergeCell ref="D28:G28"/>
    <mergeCell ref="A7:G7"/>
    <mergeCell ref="D8:G8"/>
    <mergeCell ref="D11:F11"/>
    <mergeCell ref="D15:E15"/>
    <mergeCell ref="A17:G17"/>
    <mergeCell ref="H5:H6"/>
    <mergeCell ref="I5:K5"/>
    <mergeCell ref="L5:M5"/>
    <mergeCell ref="N5:P5"/>
    <mergeCell ref="A5:G6"/>
    <mergeCell ref="A1:P1"/>
    <mergeCell ref="A2:P2"/>
    <mergeCell ref="A3:P3"/>
  </mergeCells>
  <printOptions horizontalCentered="1"/>
  <pageMargins left="0.23622047244094491" right="0.27559055118110237" top="0.31496062992125984" bottom="0.39370078740157483" header="0" footer="0"/>
  <pageSetup paperSize="9" scale="39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46" max="16383" man="1"/>
    <brk id="326" max="16383" man="1"/>
    <brk id="400" max="16383" man="1"/>
    <brk id="486" max="16383" man="1"/>
    <brk id="563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J7" sqref="J7"/>
      <selection pane="bottomLeft" activeCell="J565" sqref="J565"/>
    </sheetView>
  </sheetViews>
  <sheetFormatPr defaultColWidth="12.6640625" defaultRowHeight="15" customHeight="1" x14ac:dyDescent="0.3"/>
  <cols>
    <col min="1" max="3" width="2.75" customWidth="1"/>
    <col min="4" max="6" width="5" customWidth="1"/>
    <col min="7" max="7" width="70.9140625" customWidth="1"/>
    <col min="8" max="8" width="9.5" customWidth="1"/>
    <col min="9" max="10" width="13.9140625" customWidth="1"/>
    <col min="11" max="11" width="10.08203125" bestFit="1" customWidth="1"/>
    <col min="12" max="12" width="16.33203125" bestFit="1" customWidth="1"/>
    <col min="13" max="13" width="17.6640625" customWidth="1"/>
    <col min="14" max="14" width="19.5" customWidth="1"/>
    <col min="15" max="15" width="16.5" customWidth="1"/>
    <col min="16" max="16" width="18" customWidth="1"/>
  </cols>
  <sheetData>
    <row r="1" spans="1:16" ht="18" customHeight="1" x14ac:dyDescent="0.3">
      <c r="A1" s="512" t="s">
        <v>0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</row>
    <row r="2" spans="1:16" ht="18" customHeight="1" x14ac:dyDescent="0.3">
      <c r="A2" s="512" t="s">
        <v>242</v>
      </c>
      <c r="B2" s="512"/>
      <c r="C2" s="512"/>
      <c r="D2" s="512"/>
      <c r="E2" s="512"/>
      <c r="F2" s="512"/>
      <c r="G2" s="512"/>
      <c r="H2" s="512"/>
      <c r="I2" s="512"/>
      <c r="J2" s="512"/>
      <c r="K2" s="512"/>
      <c r="L2" s="512"/>
      <c r="M2" s="512"/>
      <c r="N2" s="512"/>
      <c r="O2" s="512"/>
      <c r="P2" s="512"/>
    </row>
    <row r="3" spans="1:16" ht="18" customHeight="1" x14ac:dyDescent="0.3">
      <c r="A3" s="512" t="s">
        <v>272</v>
      </c>
      <c r="B3" s="512"/>
      <c r="C3" s="512"/>
      <c r="D3" s="512"/>
      <c r="E3" s="512"/>
      <c r="F3" s="512"/>
      <c r="G3" s="512"/>
      <c r="H3" s="512"/>
      <c r="I3" s="512"/>
      <c r="J3" s="512"/>
      <c r="K3" s="512"/>
      <c r="L3" s="512"/>
      <c r="M3" s="512"/>
      <c r="N3" s="512"/>
      <c r="O3" s="512"/>
      <c r="P3" s="512"/>
    </row>
    <row r="4" spans="1:16" ht="33.75" customHeight="1" x14ac:dyDescent="0.3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3">
      <c r="A5" s="520" t="s">
        <v>2</v>
      </c>
      <c r="B5" s="521"/>
      <c r="C5" s="521"/>
      <c r="D5" s="521"/>
      <c r="E5" s="521"/>
      <c r="F5" s="521"/>
      <c r="G5" s="522"/>
      <c r="H5" s="513" t="s">
        <v>3</v>
      </c>
      <c r="I5" s="515" t="s">
        <v>4</v>
      </c>
      <c r="J5" s="516"/>
      <c r="K5" s="517"/>
      <c r="L5" s="518" t="s">
        <v>5</v>
      </c>
      <c r="M5" s="517"/>
      <c r="N5" s="519" t="s">
        <v>6</v>
      </c>
      <c r="O5" s="516"/>
      <c r="P5" s="517"/>
    </row>
    <row r="6" spans="1:16" ht="21.75" customHeight="1" x14ac:dyDescent="0.3">
      <c r="A6" s="523"/>
      <c r="B6" s="524"/>
      <c r="C6" s="524"/>
      <c r="D6" s="524"/>
      <c r="E6" s="524"/>
      <c r="F6" s="524"/>
      <c r="G6" s="525"/>
      <c r="H6" s="514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45">
      <c r="A7" s="526" t="s">
        <v>15</v>
      </c>
      <c r="B7" s="516"/>
      <c r="C7" s="516"/>
      <c r="D7" s="516"/>
      <c r="E7" s="516"/>
      <c r="F7" s="516"/>
      <c r="G7" s="517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45">
      <c r="A8" s="17"/>
      <c r="B8" s="18"/>
      <c r="C8" s="19" t="s">
        <v>16</v>
      </c>
      <c r="D8" s="527" t="s">
        <v>17</v>
      </c>
      <c r="E8" s="528"/>
      <c r="F8" s="528"/>
      <c r="G8" s="528"/>
      <c r="H8" s="20" t="s">
        <v>12</v>
      </c>
      <c r="I8" s="21"/>
      <c r="J8" s="21"/>
      <c r="K8" s="22"/>
      <c r="L8" s="23">
        <f t="shared" ref="L8:N8" ca="1" si="0">L9+L10</f>
        <v>7366584</v>
      </c>
      <c r="M8" s="23">
        <f t="shared" ca="1" si="0"/>
        <v>2650115</v>
      </c>
      <c r="N8" s="23">
        <f t="shared" ca="1" si="0"/>
        <v>2583256.42</v>
      </c>
      <c r="O8" s="22">
        <f t="shared" ref="O8:O16" ca="1" si="1">IF(L8&gt;0,N8*100/L8,0)</f>
        <v>35.067222745305017</v>
      </c>
      <c r="P8" s="22">
        <f t="shared" ref="P8:P16" ca="1" si="2">IF(M8&gt;0,N8*100/M8,0)</f>
        <v>97.477144199402673</v>
      </c>
    </row>
    <row r="9" spans="1:16" ht="21.75" customHeight="1" x14ac:dyDescent="0.45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45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7366584</v>
      </c>
      <c r="M10" s="30">
        <f t="shared" ca="1" si="4"/>
        <v>2650115</v>
      </c>
      <c r="N10" s="30">
        <f t="shared" ca="1" si="4"/>
        <v>2583256.42</v>
      </c>
      <c r="O10" s="29">
        <f t="shared" ca="1" si="1"/>
        <v>35.067222745305017</v>
      </c>
      <c r="P10" s="29">
        <f t="shared" ca="1" si="2"/>
        <v>97.477144199402673</v>
      </c>
    </row>
    <row r="11" spans="1:16" ht="21.75" customHeight="1" x14ac:dyDescent="0.45">
      <c r="A11" s="31"/>
      <c r="B11" s="32"/>
      <c r="C11" s="33" t="s">
        <v>16</v>
      </c>
      <c r="D11" s="529" t="s">
        <v>20</v>
      </c>
      <c r="E11" s="530"/>
      <c r="F11" s="530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45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7055184</v>
      </c>
      <c r="M12" s="38">
        <f t="shared" ca="1" si="6"/>
        <v>2338715</v>
      </c>
      <c r="N12" s="38">
        <f t="shared" ca="1" si="6"/>
        <v>2271856.42</v>
      </c>
      <c r="O12" s="38">
        <f t="shared" ca="1" si="1"/>
        <v>32.201235573728482</v>
      </c>
      <c r="P12" s="38">
        <f t="shared" ca="1" si="2"/>
        <v>97.1412258441067</v>
      </c>
    </row>
    <row r="13" spans="1:16" ht="21.75" customHeight="1" x14ac:dyDescent="0.45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2412000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45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4643184</v>
      </c>
      <c r="M14" s="38">
        <f t="shared" si="8"/>
        <v>0</v>
      </c>
      <c r="N14" s="38">
        <f t="shared" ca="1" si="8"/>
        <v>590284.41999999993</v>
      </c>
      <c r="O14" s="38">
        <f t="shared" ca="1" si="1"/>
        <v>12.712923287123662</v>
      </c>
      <c r="P14" s="38">
        <f t="shared" si="2"/>
        <v>0</v>
      </c>
    </row>
    <row r="15" spans="1:16" ht="21.75" customHeight="1" x14ac:dyDescent="0.45">
      <c r="A15" s="31"/>
      <c r="B15" s="32"/>
      <c r="C15" s="33" t="s">
        <v>16</v>
      </c>
      <c r="D15" s="529" t="s">
        <v>23</v>
      </c>
      <c r="E15" s="530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45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311400</v>
      </c>
      <c r="M16" s="38">
        <f t="shared" ca="1" si="10"/>
        <v>311400</v>
      </c>
      <c r="N16" s="38">
        <f t="shared" ca="1" si="10"/>
        <v>311400</v>
      </c>
      <c r="O16" s="49">
        <f t="shared" ca="1" si="1"/>
        <v>100</v>
      </c>
      <c r="P16" s="49">
        <f t="shared" ca="1" si="2"/>
        <v>100</v>
      </c>
    </row>
    <row r="17" spans="1:16" ht="21.75" customHeight="1" x14ac:dyDescent="0.45">
      <c r="A17" s="526" t="s">
        <v>24</v>
      </c>
      <c r="B17" s="516"/>
      <c r="C17" s="516"/>
      <c r="D17" s="516"/>
      <c r="E17" s="516"/>
      <c r="F17" s="516"/>
      <c r="G17" s="517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45">
      <c r="A18" s="17"/>
      <c r="B18" s="18"/>
      <c r="C18" s="19" t="s">
        <v>16</v>
      </c>
      <c r="D18" s="527" t="s">
        <v>17</v>
      </c>
      <c r="E18" s="528"/>
      <c r="F18" s="528"/>
      <c r="G18" s="528"/>
      <c r="H18" s="20" t="s">
        <v>12</v>
      </c>
      <c r="I18" s="21"/>
      <c r="J18" s="21"/>
      <c r="K18" s="22"/>
      <c r="L18" s="23">
        <f t="shared" ref="L18:N18" ca="1" si="11">L19+L20</f>
        <v>4736305</v>
      </c>
      <c r="M18" s="23">
        <f t="shared" ca="1" si="11"/>
        <v>2650115</v>
      </c>
      <c r="N18" s="23">
        <f t="shared" ca="1" si="11"/>
        <v>1992972</v>
      </c>
      <c r="O18" s="22">
        <f t="shared" ref="O18:O20" ca="1" si="12">IF(L18&gt;0,N18*100/L18,0)</f>
        <v>42.078624581820641</v>
      </c>
      <c r="P18" s="22">
        <f t="shared" ref="P18:P26" ca="1" si="13">IF(M18&gt;0,N18*100/M18,0)</f>
        <v>75.203227029770403</v>
      </c>
    </row>
    <row r="19" spans="1:16" ht="21.75" customHeight="1" x14ac:dyDescent="0.45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45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4736305</v>
      </c>
      <c r="M20" s="30">
        <f t="shared" ca="1" si="15"/>
        <v>2650115</v>
      </c>
      <c r="N20" s="30">
        <f t="shared" ca="1" si="15"/>
        <v>1992972</v>
      </c>
      <c r="O20" s="29">
        <f t="shared" ca="1" si="12"/>
        <v>42.078624581820641</v>
      </c>
      <c r="P20" s="29">
        <f t="shared" ca="1" si="13"/>
        <v>75.203227029770403</v>
      </c>
    </row>
    <row r="21" spans="1:16" ht="21.75" customHeight="1" x14ac:dyDescent="0.45">
      <c r="A21" s="31"/>
      <c r="B21" s="32"/>
      <c r="C21" s="33" t="s">
        <v>16</v>
      </c>
      <c r="D21" s="529" t="s">
        <v>20</v>
      </c>
      <c r="E21" s="530"/>
      <c r="F21" s="530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45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4424905</v>
      </c>
      <c r="M22" s="41">
        <f t="shared" ca="1" si="18"/>
        <v>2338715</v>
      </c>
      <c r="N22" s="38">
        <f t="shared" ca="1" si="18"/>
        <v>1681572</v>
      </c>
      <c r="O22" s="38">
        <f t="shared" ca="1" si="17"/>
        <v>38.002442990301489</v>
      </c>
      <c r="P22" s="38">
        <f t="shared" ca="1" si="13"/>
        <v>71.901535672367089</v>
      </c>
    </row>
    <row r="23" spans="1:16" ht="21.75" customHeight="1" x14ac:dyDescent="0.45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2412000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45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2012905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45">
      <c r="A25" s="31"/>
      <c r="B25" s="32"/>
      <c r="C25" s="33" t="s">
        <v>16</v>
      </c>
      <c r="D25" s="529" t="s">
        <v>23</v>
      </c>
      <c r="E25" s="530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45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311400</v>
      </c>
      <c r="M26" s="49">
        <f t="shared" ca="1" si="22"/>
        <v>311400</v>
      </c>
      <c r="N26" s="49">
        <f t="shared" ca="1" si="22"/>
        <v>311400</v>
      </c>
      <c r="O26" s="49">
        <f t="shared" ca="1" si="17"/>
        <v>100</v>
      </c>
      <c r="P26" s="49">
        <f t="shared" ca="1" si="13"/>
        <v>100</v>
      </c>
    </row>
    <row r="27" spans="1:16" ht="21.75" customHeight="1" x14ac:dyDescent="0.45">
      <c r="A27" s="526" t="s">
        <v>25</v>
      </c>
      <c r="B27" s="516"/>
      <c r="C27" s="516"/>
      <c r="D27" s="516"/>
      <c r="E27" s="516"/>
      <c r="F27" s="516"/>
      <c r="G27" s="517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45">
      <c r="A28" s="17"/>
      <c r="B28" s="18"/>
      <c r="C28" s="19" t="s">
        <v>16</v>
      </c>
      <c r="D28" s="527" t="s">
        <v>17</v>
      </c>
      <c r="E28" s="528"/>
      <c r="F28" s="528"/>
      <c r="G28" s="528"/>
      <c r="H28" s="20" t="s">
        <v>12</v>
      </c>
      <c r="I28" s="21"/>
      <c r="J28" s="21"/>
      <c r="K28" s="22"/>
      <c r="L28" s="23">
        <f t="shared" ref="L28:N28" ca="1" si="23">L29+L30</f>
        <v>2630279</v>
      </c>
      <c r="M28" s="23">
        <f t="shared" si="23"/>
        <v>0</v>
      </c>
      <c r="N28" s="23">
        <f t="shared" ca="1" si="23"/>
        <v>590284.41999999993</v>
      </c>
      <c r="O28" s="22">
        <f t="shared" ref="O28:O30" ca="1" si="24">IF(L28&gt;0,N28*100/L28,0)</f>
        <v>22.441893806702634</v>
      </c>
      <c r="P28" s="22">
        <f t="shared" ref="P28:P37" si="25">IF(M28&gt;0,N28*100/M28,0)</f>
        <v>0</v>
      </c>
    </row>
    <row r="29" spans="1:16" ht="21.75" customHeight="1" x14ac:dyDescent="0.45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45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2630279</v>
      </c>
      <c r="M30" s="30">
        <f t="shared" si="27"/>
        <v>0</v>
      </c>
      <c r="N30" s="30">
        <f t="shared" ca="1" si="27"/>
        <v>590284.41999999993</v>
      </c>
      <c r="O30" s="29">
        <f t="shared" ca="1" si="24"/>
        <v>22.441893806702634</v>
      </c>
      <c r="P30" s="29">
        <f t="shared" si="25"/>
        <v>0</v>
      </c>
    </row>
    <row r="31" spans="1:16" ht="21.75" customHeight="1" x14ac:dyDescent="0.45">
      <c r="A31" s="31"/>
      <c r="B31" s="32"/>
      <c r="C31" s="33" t="s">
        <v>16</v>
      </c>
      <c r="D31" s="529" t="s">
        <v>20</v>
      </c>
      <c r="E31" s="530"/>
      <c r="F31" s="530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45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2630279</v>
      </c>
      <c r="M32" s="38">
        <f t="shared" si="30"/>
        <v>0</v>
      </c>
      <c r="N32" s="38">
        <f t="shared" ca="1" si="30"/>
        <v>590284.41999999993</v>
      </c>
      <c r="O32" s="38">
        <f t="shared" ca="1" si="29"/>
        <v>22.441893806702634</v>
      </c>
      <c r="P32" s="38">
        <f t="shared" si="25"/>
        <v>0</v>
      </c>
    </row>
    <row r="33" spans="1:16" ht="21.75" customHeight="1" x14ac:dyDescent="0.45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45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2630279</v>
      </c>
      <c r="M34" s="38">
        <f t="shared" si="32"/>
        <v>0</v>
      </c>
      <c r="N34" s="38">
        <f t="shared" ca="1" si="32"/>
        <v>590284.41999999993</v>
      </c>
      <c r="O34" s="38">
        <f t="shared" ca="1" si="29"/>
        <v>22.441893806702634</v>
      </c>
      <c r="P34" s="38">
        <f t="shared" si="25"/>
        <v>0</v>
      </c>
    </row>
    <row r="35" spans="1:16" ht="21.75" customHeight="1" x14ac:dyDescent="0.45">
      <c r="A35" s="31"/>
      <c r="B35" s="32"/>
      <c r="C35" s="33" t="s">
        <v>16</v>
      </c>
      <c r="D35" s="529" t="s">
        <v>23</v>
      </c>
      <c r="E35" s="530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45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3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4736305</v>
      </c>
      <c r="M37" s="54">
        <f t="shared" ca="1" si="33"/>
        <v>2650115</v>
      </c>
      <c r="N37" s="54">
        <f t="shared" ca="1" si="33"/>
        <v>1992972</v>
      </c>
      <c r="O37" s="55">
        <f t="shared" ca="1" si="29"/>
        <v>42.078624581820641</v>
      </c>
      <c r="P37" s="55">
        <f t="shared" ca="1" si="25"/>
        <v>75.203227029770403</v>
      </c>
    </row>
    <row r="38" spans="1:16" ht="21.75" customHeight="1" x14ac:dyDescent="0.45">
      <c r="A38" s="531" t="s">
        <v>27</v>
      </c>
      <c r="B38" s="516"/>
      <c r="C38" s="516"/>
      <c r="D38" s="516"/>
      <c r="E38" s="516"/>
      <c r="F38" s="516"/>
      <c r="G38" s="517"/>
      <c r="H38" s="56"/>
      <c r="I38" s="57"/>
      <c r="J38" s="57"/>
      <c r="K38" s="58"/>
      <c r="L38" s="59"/>
      <c r="M38" s="59"/>
      <c r="N38" s="59"/>
      <c r="O38" s="59"/>
      <c r="P38" s="59"/>
    </row>
    <row r="39" spans="1:16" ht="21.75" customHeight="1" x14ac:dyDescent="0.45">
      <c r="A39" s="60"/>
      <c r="B39" s="532" t="s">
        <v>28</v>
      </c>
      <c r="C39" s="528"/>
      <c r="D39" s="528"/>
      <c r="E39" s="528"/>
      <c r="F39" s="528"/>
      <c r="G39" s="528"/>
      <c r="H39" s="61"/>
      <c r="I39" s="62"/>
      <c r="J39" s="62"/>
      <c r="K39" s="63"/>
      <c r="L39" s="64"/>
      <c r="M39" s="64"/>
      <c r="N39" s="64"/>
      <c r="O39" s="63"/>
      <c r="P39" s="63"/>
    </row>
    <row r="40" spans="1:16" ht="21.75" customHeight="1" x14ac:dyDescent="0.45">
      <c r="A40" s="65"/>
      <c r="B40" s="66" t="s">
        <v>29</v>
      </c>
      <c r="C40" s="67"/>
      <c r="D40" s="67"/>
      <c r="E40" s="67"/>
      <c r="F40" s="67"/>
      <c r="G40" s="67"/>
      <c r="H40" s="68"/>
      <c r="I40" s="69"/>
      <c r="J40" s="69"/>
      <c r="K40" s="70"/>
      <c r="L40" s="71"/>
      <c r="M40" s="71"/>
      <c r="N40" s="71"/>
      <c r="O40" s="70"/>
      <c r="P40" s="70"/>
    </row>
    <row r="41" spans="1:16" ht="21.75" customHeight="1" x14ac:dyDescent="0.45">
      <c r="A41" s="72"/>
      <c r="B41" s="73"/>
      <c r="C41" s="74" t="s">
        <v>16</v>
      </c>
      <c r="D41" s="533" t="s">
        <v>17</v>
      </c>
      <c r="E41" s="530"/>
      <c r="F41" s="530"/>
      <c r="G41" s="530"/>
      <c r="H41" s="75" t="s">
        <v>12</v>
      </c>
      <c r="I41" s="76"/>
      <c r="J41" s="76"/>
      <c r="K41" s="77"/>
      <c r="L41" s="78">
        <f t="shared" ref="L41:N41" ca="1" si="34">L42+L43</f>
        <v>885000</v>
      </c>
      <c r="M41" s="78">
        <f t="shared" ca="1" si="34"/>
        <v>530500</v>
      </c>
      <c r="N41" s="78">
        <f t="shared" ca="1" si="34"/>
        <v>492312</v>
      </c>
      <c r="O41" s="77">
        <f t="shared" ref="O41:O43" ca="1" si="35">IF(L41&gt;0,N41*100/L41,0)</f>
        <v>55.628474576271188</v>
      </c>
      <c r="P41" s="77">
        <f t="shared" ref="P41:P43" ca="1" si="36">IF(M41&gt;0,N41*100/M41,0)</f>
        <v>92.801508011310091</v>
      </c>
    </row>
    <row r="42" spans="1:16" ht="21.75" customHeight="1" x14ac:dyDescent="0.45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45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885000</v>
      </c>
      <c r="M43" s="78">
        <f t="shared" ca="1" si="38"/>
        <v>530500</v>
      </c>
      <c r="N43" s="78">
        <f t="shared" ca="1" si="38"/>
        <v>492312</v>
      </c>
      <c r="O43" s="77">
        <f t="shared" ca="1" si="35"/>
        <v>55.628474576271188</v>
      </c>
      <c r="P43" s="77">
        <f t="shared" ca="1" si="36"/>
        <v>92.801508011310091</v>
      </c>
    </row>
    <row r="44" spans="1:16" ht="21.75" customHeight="1" x14ac:dyDescent="0.45">
      <c r="A44" s="79"/>
      <c r="B44" s="80"/>
      <c r="C44" s="81" t="s">
        <v>16</v>
      </c>
      <c r="D44" s="534" t="s">
        <v>20</v>
      </c>
      <c r="E44" s="530"/>
      <c r="F44" s="530"/>
      <c r="G44" s="82" t="s">
        <v>18</v>
      </c>
      <c r="H44" s="83" t="s">
        <v>12</v>
      </c>
      <c r="I44" s="84"/>
      <c r="J44" s="84"/>
      <c r="K44" s="85"/>
      <c r="L44" s="86">
        <v>0</v>
      </c>
      <c r="M44" s="510"/>
      <c r="N44" s="511"/>
      <c r="O44" s="511"/>
      <c r="P44" s="511"/>
    </row>
    <row r="45" spans="1:16" ht="21.75" customHeight="1" x14ac:dyDescent="0.45">
      <c r="A45" s="79"/>
      <c r="B45" s="80"/>
      <c r="C45" s="80"/>
      <c r="D45" s="80"/>
      <c r="E45" s="88"/>
      <c r="F45" s="89"/>
      <c r="G45" s="82" t="s">
        <v>19</v>
      </c>
      <c r="H45" s="83" t="s">
        <v>12</v>
      </c>
      <c r="I45" s="84"/>
      <c r="J45" s="84"/>
      <c r="K45" s="85"/>
      <c r="L45" s="38">
        <f ca="1">L46+L47</f>
        <v>709000</v>
      </c>
      <c r="M45" s="49">
        <f ca="1">IFERROR(__xludf.DUMMYFUNCTION("IMPORTRANGE(""https://docs.google.com/spreadsheets/d/1Yj_ptqi66GCucihVvJfMjLAmec39IyEx_6qawtMGysU/edit?usp=sharing"",""สบก!Q22"")"),354500)</f>
        <v>354500</v>
      </c>
      <c r="N45" s="49">
        <f ca="1">IFERROR(__xludf.DUMMYFUNCTION("IMPORTRANGE(""https://docs.google.com/spreadsheets/d/1Yj_ptqi66GCucihVvJfMjLAmec39IyEx_6qawtMGysU/edit?usp=sharing"",""สบก!R22"")"),316312)</f>
        <v>316312</v>
      </c>
      <c r="O45" s="38">
        <f ca="1">IF(L45&gt;0,N45*100/L45,0)</f>
        <v>44.613822284908323</v>
      </c>
      <c r="P45" s="38">
        <f ca="1">IF(M45&gt;0,N45*100/M45,0)</f>
        <v>89.227644569816647</v>
      </c>
    </row>
    <row r="46" spans="1:16" ht="21.75" customHeight="1" x14ac:dyDescent="0.45">
      <c r="A46" s="79"/>
      <c r="B46" s="80"/>
      <c r="C46" s="80"/>
      <c r="D46" s="80"/>
      <c r="E46" s="88"/>
      <c r="F46" s="88"/>
      <c r="G46" s="82" t="s">
        <v>21</v>
      </c>
      <c r="H46" s="83" t="s">
        <v>12</v>
      </c>
      <c r="I46" s="84"/>
      <c r="J46" s="84"/>
      <c r="K46" s="85"/>
      <c r="L46" s="49">
        <f ca="1">IFERROR(__xludf.DUMMYFUNCTION("IMPORTRANGE(""https://docs.google.com/spreadsheets/d/1Yj_ptqi66GCucihVvJfMjLAmec39IyEx_6qawtMGysU/edit?usp=sharing"",""สบก!M22"")"),709000)</f>
        <v>709000</v>
      </c>
      <c r="M46" s="41"/>
      <c r="N46" s="38"/>
      <c r="O46" s="38"/>
      <c r="P46" s="38"/>
    </row>
    <row r="47" spans="1:16" ht="21.75" customHeight="1" x14ac:dyDescent="0.45">
      <c r="A47" s="79"/>
      <c r="B47" s="80"/>
      <c r="C47" s="80"/>
      <c r="D47" s="80"/>
      <c r="E47" s="88"/>
      <c r="F47" s="88"/>
      <c r="G47" s="82" t="s">
        <v>22</v>
      </c>
      <c r="H47" s="83" t="s">
        <v>12</v>
      </c>
      <c r="I47" s="84"/>
      <c r="J47" s="84"/>
      <c r="K47" s="85"/>
      <c r="L47" s="49">
        <f ca="1">IFERROR(__xludf.DUMMYFUNCTION("IMPORTRANGE(""https://docs.google.com/spreadsheets/d/1Yj_ptqi66GCucihVvJfMjLAmec39IyEx_6qawtMGysU/edit?usp=sharing"",""สบก!N22"")"),0)</f>
        <v>0</v>
      </c>
      <c r="M47" s="41"/>
      <c r="N47" s="38"/>
      <c r="O47" s="38"/>
      <c r="P47" s="38"/>
    </row>
    <row r="48" spans="1:16" ht="21.75" customHeight="1" x14ac:dyDescent="0.45">
      <c r="A48" s="79"/>
      <c r="B48" s="80"/>
      <c r="C48" s="81" t="s">
        <v>16</v>
      </c>
      <c r="D48" s="534" t="s">
        <v>23</v>
      </c>
      <c r="E48" s="530"/>
      <c r="F48" s="88"/>
      <c r="G48" s="82" t="s">
        <v>18</v>
      </c>
      <c r="H48" s="83" t="s">
        <v>12</v>
      </c>
      <c r="I48" s="84"/>
      <c r="J48" s="84"/>
      <c r="K48" s="85"/>
      <c r="L48" s="50">
        <v>0</v>
      </c>
      <c r="M48" s="41"/>
      <c r="N48" s="41"/>
      <c r="O48" s="41"/>
      <c r="P48" s="41"/>
    </row>
    <row r="49" spans="1:16" ht="21.75" customHeight="1" x14ac:dyDescent="0.45">
      <c r="A49" s="90"/>
      <c r="B49" s="91"/>
      <c r="C49" s="91"/>
      <c r="D49" s="91"/>
      <c r="E49" s="92"/>
      <c r="F49" s="92"/>
      <c r="G49" s="93" t="s">
        <v>19</v>
      </c>
      <c r="H49" s="94" t="s">
        <v>12</v>
      </c>
      <c r="I49" s="95"/>
      <c r="J49" s="95"/>
      <c r="K49" s="96"/>
      <c r="L49" s="49">
        <f ca="1">IFERROR(__xludf.DUMMYFUNCTION("IMPORTRANGE(""https://docs.google.com/spreadsheets/d/1Yj_ptqi66GCucihVvJfMjLAmec39IyEx_6qawtMGysU/edit?usp=sharing"",""สบก!O22"")"),176000)</f>
        <v>176000</v>
      </c>
      <c r="M49" s="49">
        <f ca="1">L49</f>
        <v>176000</v>
      </c>
      <c r="N49" s="49">
        <f ca="1">IFERROR(__xludf.DUMMYFUNCTION("IMPORTRANGE(""https://docs.google.com/spreadsheets/d/1Yj_ptqi66GCucihVvJfMjLAmec39IyEx_6qawtMGysU/edit?usp=sharing"",""สบก!S22"")"),176000)</f>
        <v>176000</v>
      </c>
      <c r="O49" s="49">
        <f ca="1">IF(L49&gt;0,N49*100/L49,0)</f>
        <v>100</v>
      </c>
      <c r="P49" s="49">
        <f ca="1">IF(M49&gt;0,N49*100/M49,0)</f>
        <v>100</v>
      </c>
    </row>
    <row r="50" spans="1:16" ht="21.75" customHeight="1" x14ac:dyDescent="0.45">
      <c r="A50" s="97" t="s">
        <v>30</v>
      </c>
      <c r="B50" s="98"/>
      <c r="C50" s="98"/>
      <c r="D50" s="98"/>
      <c r="E50" s="98"/>
      <c r="F50" s="98"/>
      <c r="G50" s="98"/>
      <c r="H50" s="99"/>
      <c r="I50" s="100"/>
      <c r="J50" s="100"/>
      <c r="K50" s="101"/>
      <c r="L50" s="102"/>
      <c r="M50" s="102"/>
      <c r="N50" s="102"/>
      <c r="O50" s="101"/>
      <c r="P50" s="101"/>
    </row>
    <row r="51" spans="1:16" ht="21.75" customHeight="1" x14ac:dyDescent="0.45">
      <c r="A51" s="103"/>
      <c r="B51" s="104" t="s">
        <v>31</v>
      </c>
      <c r="C51" s="104"/>
      <c r="D51" s="104"/>
      <c r="E51" s="104"/>
      <c r="F51" s="104"/>
      <c r="G51" s="104"/>
      <c r="H51" s="105"/>
      <c r="I51" s="106"/>
      <c r="J51" s="106"/>
      <c r="K51" s="107"/>
      <c r="L51" s="108"/>
      <c r="M51" s="108"/>
      <c r="N51" s="108"/>
      <c r="O51" s="107"/>
      <c r="P51" s="107"/>
    </row>
    <row r="52" spans="1:16" ht="21.75" customHeight="1" x14ac:dyDescent="0.45">
      <c r="A52" s="109"/>
      <c r="B52" s="535" t="s">
        <v>32</v>
      </c>
      <c r="C52" s="530"/>
      <c r="D52" s="530"/>
      <c r="E52" s="530"/>
      <c r="F52" s="530"/>
      <c r="G52" s="530"/>
      <c r="H52" s="110"/>
      <c r="I52" s="111"/>
      <c r="J52" s="111"/>
      <c r="K52" s="112"/>
      <c r="L52" s="113"/>
      <c r="M52" s="113"/>
      <c r="N52" s="113"/>
      <c r="O52" s="112"/>
      <c r="P52" s="112"/>
    </row>
    <row r="53" spans="1:16" ht="21.75" customHeight="1" x14ac:dyDescent="0.45">
      <c r="A53" s="114"/>
      <c r="B53" s="115"/>
      <c r="C53" s="116" t="s">
        <v>16</v>
      </c>
      <c r="D53" s="536" t="s">
        <v>17</v>
      </c>
      <c r="E53" s="530"/>
      <c r="F53" s="530"/>
      <c r="G53" s="530"/>
      <c r="H53" s="117" t="s">
        <v>12</v>
      </c>
      <c r="I53" s="118"/>
      <c r="J53" s="118"/>
      <c r="K53" s="119"/>
      <c r="L53" s="120">
        <f t="shared" ref="L53:N53" ca="1" si="39">L54+L55</f>
        <v>900000</v>
      </c>
      <c r="M53" s="120">
        <f t="shared" ca="1" si="39"/>
        <v>454500</v>
      </c>
      <c r="N53" s="120">
        <f t="shared" ca="1" si="39"/>
        <v>376308</v>
      </c>
      <c r="O53" s="119">
        <f t="shared" ref="O53:O55" ca="1" si="40">IF(L53&gt;0,N53*100/L53,0)</f>
        <v>41.811999999999998</v>
      </c>
      <c r="P53" s="119">
        <f t="shared" ref="P53:P55" ca="1" si="41">IF(M53&gt;0,N53*100/M53,0)</f>
        <v>82.796039603960395</v>
      </c>
    </row>
    <row r="54" spans="1:16" ht="21.75" customHeight="1" x14ac:dyDescent="0.45">
      <c r="A54" s="114"/>
      <c r="B54" s="115"/>
      <c r="C54" s="115"/>
      <c r="D54" s="115"/>
      <c r="E54" s="115"/>
      <c r="F54" s="115"/>
      <c r="G54" s="116" t="s">
        <v>18</v>
      </c>
      <c r="H54" s="117" t="s">
        <v>12</v>
      </c>
      <c r="I54" s="118"/>
      <c r="J54" s="118"/>
      <c r="K54" s="119"/>
      <c r="L54" s="120">
        <f t="shared" ref="L54:N54" si="42">L56+L60</f>
        <v>0</v>
      </c>
      <c r="M54" s="120">
        <f t="shared" si="42"/>
        <v>0</v>
      </c>
      <c r="N54" s="120">
        <f t="shared" si="42"/>
        <v>0</v>
      </c>
      <c r="O54" s="119">
        <f t="shared" si="40"/>
        <v>0</v>
      </c>
      <c r="P54" s="119">
        <f t="shared" si="41"/>
        <v>0</v>
      </c>
    </row>
    <row r="55" spans="1:16" ht="21.75" customHeight="1" x14ac:dyDescent="0.45">
      <c r="A55" s="114"/>
      <c r="B55" s="115"/>
      <c r="C55" s="115"/>
      <c r="D55" s="115"/>
      <c r="E55" s="115"/>
      <c r="F55" s="115"/>
      <c r="G55" s="116" t="s">
        <v>19</v>
      </c>
      <c r="H55" s="117" t="s">
        <v>12</v>
      </c>
      <c r="I55" s="118"/>
      <c r="J55" s="118"/>
      <c r="K55" s="119"/>
      <c r="L55" s="120">
        <f t="shared" ref="L55:N55" ca="1" si="43">L57+L61</f>
        <v>900000</v>
      </c>
      <c r="M55" s="120">
        <f t="shared" ca="1" si="43"/>
        <v>454500</v>
      </c>
      <c r="N55" s="120">
        <f t="shared" ca="1" si="43"/>
        <v>376308</v>
      </c>
      <c r="O55" s="119">
        <f t="shared" ca="1" si="40"/>
        <v>41.811999999999998</v>
      </c>
      <c r="P55" s="119">
        <f t="shared" ca="1" si="41"/>
        <v>82.796039603960395</v>
      </c>
    </row>
    <row r="56" spans="1:16" ht="21.75" customHeight="1" x14ac:dyDescent="0.45">
      <c r="A56" s="79"/>
      <c r="B56" s="80"/>
      <c r="C56" s="81" t="s">
        <v>16</v>
      </c>
      <c r="D56" s="534" t="s">
        <v>20</v>
      </c>
      <c r="E56" s="530"/>
      <c r="F56" s="530"/>
      <c r="G56" s="82" t="s">
        <v>18</v>
      </c>
      <c r="H56" s="83" t="s">
        <v>12</v>
      </c>
      <c r="I56" s="84"/>
      <c r="J56" s="84"/>
      <c r="K56" s="85"/>
      <c r="L56" s="511">
        <v>0</v>
      </c>
      <c r="M56" s="510"/>
      <c r="N56" s="511"/>
      <c r="O56" s="511"/>
      <c r="P56" s="511"/>
    </row>
    <row r="57" spans="1:16" ht="21.75" customHeight="1" x14ac:dyDescent="0.45">
      <c r="A57" s="79"/>
      <c r="B57" s="80"/>
      <c r="C57" s="80"/>
      <c r="D57" s="80"/>
      <c r="E57" s="88"/>
      <c r="F57" s="89"/>
      <c r="G57" s="82" t="s">
        <v>19</v>
      </c>
      <c r="H57" s="83" t="s">
        <v>12</v>
      </c>
      <c r="I57" s="84"/>
      <c r="J57" s="84"/>
      <c r="K57" s="85"/>
      <c r="L57" s="38">
        <f ca="1">L58+L59</f>
        <v>900000</v>
      </c>
      <c r="M57" s="49">
        <f ca="1">IFERROR(__xludf.DUMMYFUNCTION("IMPORTRANGE(""https://docs.google.com/spreadsheets/d/1Yj_ptqi66GCucihVvJfMjLAmec39IyEx_6qawtMGysU/edit?usp=sharing"",""สบก!Z22"")"),454500)</f>
        <v>454500</v>
      </c>
      <c r="N57" s="49">
        <f ca="1">IFERROR(__xludf.DUMMYFUNCTION("IMPORTRANGE(""https://docs.google.com/spreadsheets/d/1Yj_ptqi66GCucihVvJfMjLAmec39IyEx_6qawtMGysU/edit?usp=sharing"",""สบก!AA22"")"),376308)</f>
        <v>376308</v>
      </c>
      <c r="O57" s="38">
        <f ca="1">IF(L57&gt;0,N57*100/L57,0)</f>
        <v>41.811999999999998</v>
      </c>
      <c r="P57" s="38">
        <f ca="1">IF(M57&gt;0,N57*100/M57,0)</f>
        <v>82.796039603960395</v>
      </c>
    </row>
    <row r="58" spans="1:16" ht="21.75" customHeight="1" x14ac:dyDescent="0.45">
      <c r="A58" s="79"/>
      <c r="B58" s="80"/>
      <c r="C58" s="80"/>
      <c r="D58" s="80"/>
      <c r="E58" s="88"/>
      <c r="F58" s="88"/>
      <c r="G58" s="82" t="s">
        <v>21</v>
      </c>
      <c r="H58" s="83" t="s">
        <v>12</v>
      </c>
      <c r="I58" s="84"/>
      <c r="J58" s="84"/>
      <c r="K58" s="85"/>
      <c r="L58" s="49">
        <f ca="1">IFERROR(__xludf.DUMMYFUNCTION("IMPORTRANGE(""https://docs.google.com/spreadsheets/d/1Yj_ptqi66GCucihVvJfMjLAmec39IyEx_6qawtMGysU/edit?usp=sharing"",""สบก!V22"")"),900000)</f>
        <v>900000</v>
      </c>
      <c r="M58" s="41"/>
      <c r="N58" s="38"/>
      <c r="O58" s="38"/>
      <c r="P58" s="38"/>
    </row>
    <row r="59" spans="1:16" ht="21.75" customHeight="1" x14ac:dyDescent="0.45">
      <c r="A59" s="79"/>
      <c r="B59" s="80"/>
      <c r="C59" s="80"/>
      <c r="D59" s="80"/>
      <c r="E59" s="88"/>
      <c r="F59" s="88"/>
      <c r="G59" s="82" t="s">
        <v>22</v>
      </c>
      <c r="H59" s="83" t="s">
        <v>12</v>
      </c>
      <c r="I59" s="84"/>
      <c r="J59" s="84"/>
      <c r="K59" s="85"/>
      <c r="L59" s="49">
        <f ca="1">IFERROR(__xludf.DUMMYFUNCTION("IMPORTRANGE(""https://docs.google.com/spreadsheets/d/1Yj_ptqi66GCucihVvJfMjLAmec39IyEx_6qawtMGysU/edit?usp=sharing"",""สบก!W22"")"),0)</f>
        <v>0</v>
      </c>
      <c r="M59" s="41"/>
      <c r="N59" s="38"/>
      <c r="O59" s="38"/>
      <c r="P59" s="38"/>
    </row>
    <row r="60" spans="1:16" ht="21.75" customHeight="1" x14ac:dyDescent="0.45">
      <c r="A60" s="79"/>
      <c r="B60" s="80"/>
      <c r="C60" s="81" t="s">
        <v>16</v>
      </c>
      <c r="D60" s="534" t="s">
        <v>23</v>
      </c>
      <c r="E60" s="530"/>
      <c r="F60" s="88"/>
      <c r="G60" s="82" t="s">
        <v>18</v>
      </c>
      <c r="H60" s="83" t="s">
        <v>12</v>
      </c>
      <c r="I60" s="84"/>
      <c r="J60" s="84"/>
      <c r="K60" s="85"/>
      <c r="L60" s="50">
        <v>0</v>
      </c>
      <c r="M60" s="41"/>
      <c r="N60" s="41"/>
      <c r="O60" s="41"/>
      <c r="P60" s="41"/>
    </row>
    <row r="61" spans="1:16" ht="21.75" customHeight="1" x14ac:dyDescent="0.45">
      <c r="A61" s="90"/>
      <c r="B61" s="91"/>
      <c r="C61" s="91"/>
      <c r="D61" s="91"/>
      <c r="E61" s="92"/>
      <c r="F61" s="92"/>
      <c r="G61" s="93" t="s">
        <v>19</v>
      </c>
      <c r="H61" s="94" t="s">
        <v>12</v>
      </c>
      <c r="I61" s="95"/>
      <c r="J61" s="95"/>
      <c r="K61" s="96"/>
      <c r="L61" s="49">
        <f ca="1">IFERROR(__xludf.DUMMYFUNCTION("IMPORTRANGE(""https://docs.google.com/spreadsheets/d/1Yj_ptqi66GCucihVvJfMjLAmec39IyEx_6qawtMGysU/edit?usp=sharing"",""สบก!X22"")"),0)</f>
        <v>0</v>
      </c>
      <c r="M61" s="49"/>
      <c r="N61" s="49">
        <f ca="1">IFERROR(__xludf.DUMMYFUNCTION("IMPORTRANGE(""https://docs.google.com/spreadsheets/d/1Yj_ptqi66GCucihVvJfMjLAmec39IyEx_6qawtMGysU/edit?usp=sharing"",""สบก!AB22"")"),0)</f>
        <v>0</v>
      </c>
      <c r="O61" s="49">
        <f ca="1">IF(L61&gt;0,N61*100/L61,0)</f>
        <v>0</v>
      </c>
      <c r="P61" s="49"/>
    </row>
    <row r="62" spans="1:16" ht="21.75" customHeight="1" x14ac:dyDescent="0.3">
      <c r="A62" s="121" t="s">
        <v>33</v>
      </c>
      <c r="B62" s="122"/>
      <c r="C62" s="122"/>
      <c r="D62" s="122"/>
      <c r="E62" s="123"/>
      <c r="F62" s="123"/>
      <c r="G62" s="123"/>
      <c r="H62" s="124"/>
      <c r="I62" s="125"/>
      <c r="J62" s="125"/>
      <c r="K62" s="126"/>
      <c r="L62" s="127"/>
      <c r="M62" s="127"/>
      <c r="N62" s="127"/>
      <c r="O62" s="127"/>
      <c r="P62" s="127"/>
    </row>
    <row r="63" spans="1:16" ht="21.75" customHeight="1" x14ac:dyDescent="0.3">
      <c r="A63" s="128" t="s">
        <v>34</v>
      </c>
      <c r="B63" s="129"/>
      <c r="C63" s="130"/>
      <c r="D63" s="129"/>
      <c r="E63" s="131"/>
      <c r="F63" s="131"/>
      <c r="G63" s="131"/>
      <c r="H63" s="132"/>
      <c r="I63" s="133"/>
      <c r="J63" s="133"/>
      <c r="K63" s="134"/>
      <c r="L63" s="135"/>
      <c r="M63" s="135"/>
      <c r="N63" s="135"/>
      <c r="O63" s="136"/>
      <c r="P63" s="136"/>
    </row>
    <row r="64" spans="1:16" ht="21.75" customHeight="1" x14ac:dyDescent="0.3">
      <c r="A64" s="137"/>
      <c r="B64" s="138" t="s">
        <v>35</v>
      </c>
      <c r="C64" s="138"/>
      <c r="D64" s="139"/>
      <c r="E64" s="138"/>
      <c r="F64" s="138"/>
      <c r="G64" s="138"/>
      <c r="H64" s="140" t="s">
        <v>36</v>
      </c>
      <c r="I64" s="141">
        <f ca="1">IFERROR(__xludf.DUMMYFUNCTION("IMPORTRANGE(""https://docs.google.com/spreadsheets/d/11923uPwbBZFjjGgGUA6NLw09EwE0CqkOc4q9oUmW1yo/edit?usp=sharing"",""เชียงใหม่!I9"")"),1)</f>
        <v>1</v>
      </c>
      <c r="J64" s="141">
        <f ca="1">IFERROR(__xludf.DUMMYFUNCTION("IMPORTRANGE(""https://docs.google.com/spreadsheets/d/11923uPwbBZFjjGgGUA6NLw09EwE0CqkOc4q9oUmW1yo/edit?usp=sharing"",""เชียงใหม่!J9"")"),1)</f>
        <v>1</v>
      </c>
      <c r="K64" s="142">
        <f t="shared" ref="K64:K65" ca="1" si="44">IF(I64&gt;0,J64*100/I64,0)</f>
        <v>100</v>
      </c>
      <c r="L64" s="143"/>
      <c r="M64" s="143"/>
      <c r="N64" s="144"/>
      <c r="O64" s="142"/>
      <c r="P64" s="142"/>
    </row>
    <row r="65" spans="1:16" ht="21.75" customHeight="1" x14ac:dyDescent="0.3">
      <c r="A65" s="137"/>
      <c r="B65" s="138"/>
      <c r="C65" s="138"/>
      <c r="D65" s="139"/>
      <c r="E65" s="138"/>
      <c r="F65" s="138"/>
      <c r="G65" s="138"/>
      <c r="H65" s="140" t="s">
        <v>37</v>
      </c>
      <c r="I65" s="141">
        <f ca="1">IFERROR(__xludf.DUMMYFUNCTION("IMPORTRANGE(""https://docs.google.com/spreadsheets/d/11923uPwbBZFjjGgGUA6NLw09EwE0CqkOc4q9oUmW1yo/edit?usp=sharing"",""เชียงใหม่!I10"")"),50)</f>
        <v>50</v>
      </c>
      <c r="J65" s="141">
        <f ca="1">IFERROR(__xludf.DUMMYFUNCTION("IMPORTRANGE(""https://docs.google.com/spreadsheets/d/11923uPwbBZFjjGgGUA6NLw09EwE0CqkOc4q9oUmW1yo/edit?usp=sharing"",""เชียงใหม่!J10"")"),50)</f>
        <v>50</v>
      </c>
      <c r="K65" s="142">
        <f t="shared" ca="1" si="44"/>
        <v>100</v>
      </c>
      <c r="L65" s="144"/>
      <c r="M65" s="144"/>
      <c r="N65" s="144"/>
      <c r="O65" s="142"/>
      <c r="P65" s="142"/>
    </row>
    <row r="66" spans="1:16" ht="21.75" customHeight="1" x14ac:dyDescent="0.45">
      <c r="A66" s="145"/>
      <c r="B66" s="146"/>
      <c r="C66" s="147" t="s">
        <v>16</v>
      </c>
      <c r="D66" s="537" t="s">
        <v>17</v>
      </c>
      <c r="E66" s="528"/>
      <c r="F66" s="528"/>
      <c r="G66" s="528"/>
      <c r="H66" s="148" t="s">
        <v>12</v>
      </c>
      <c r="I66" s="149"/>
      <c r="J66" s="149"/>
      <c r="K66" s="150"/>
      <c r="L66" s="151">
        <f t="shared" ref="L66:N66" ca="1" si="45">L67+L68</f>
        <v>486000</v>
      </c>
      <c r="M66" s="151">
        <f t="shared" ca="1" si="45"/>
        <v>279620</v>
      </c>
      <c r="N66" s="151">
        <f t="shared" ca="1" si="45"/>
        <v>224773</v>
      </c>
      <c r="O66" s="150">
        <f t="shared" ref="O66:O68" ca="1" si="46">IF(L66&gt;0,N66*100/L66,0)</f>
        <v>46.249588477366252</v>
      </c>
      <c r="P66" s="150">
        <f t="shared" ref="P66:P68" ca="1" si="47">IF(M66&gt;0,N66*100/M66,0)</f>
        <v>80.385165581861102</v>
      </c>
    </row>
    <row r="67" spans="1:16" ht="21.75" customHeight="1" x14ac:dyDescent="0.45">
      <c r="A67" s="152"/>
      <c r="B67" s="32"/>
      <c r="C67" s="32"/>
      <c r="D67" s="32"/>
      <c r="E67" s="32"/>
      <c r="F67" s="32"/>
      <c r="G67" s="33" t="s">
        <v>18</v>
      </c>
      <c r="H67" s="153" t="s">
        <v>12</v>
      </c>
      <c r="I67" s="154"/>
      <c r="J67" s="154"/>
      <c r="K67" s="155"/>
      <c r="L67" s="87">
        <f t="shared" ref="L67:N67" si="48">L69+L73</f>
        <v>0</v>
      </c>
      <c r="M67" s="87">
        <f t="shared" si="48"/>
        <v>0</v>
      </c>
      <c r="N67" s="87">
        <f t="shared" si="48"/>
        <v>0</v>
      </c>
      <c r="O67" s="155">
        <f t="shared" si="46"/>
        <v>0</v>
      </c>
      <c r="P67" s="155">
        <f t="shared" si="47"/>
        <v>0</v>
      </c>
    </row>
    <row r="68" spans="1:16" ht="21.75" customHeight="1" x14ac:dyDescent="0.45">
      <c r="A68" s="152"/>
      <c r="B68" s="32"/>
      <c r="C68" s="32"/>
      <c r="D68" s="32"/>
      <c r="E68" s="32"/>
      <c r="F68" s="32"/>
      <c r="G68" s="33" t="s">
        <v>19</v>
      </c>
      <c r="H68" s="153" t="s">
        <v>12</v>
      </c>
      <c r="I68" s="154"/>
      <c r="J68" s="154"/>
      <c r="K68" s="155"/>
      <c r="L68" s="87">
        <f t="shared" ref="L68:N68" ca="1" si="49">L70+L74</f>
        <v>486000</v>
      </c>
      <c r="M68" s="87">
        <f t="shared" ca="1" si="49"/>
        <v>279620</v>
      </c>
      <c r="N68" s="87">
        <f t="shared" ca="1" si="49"/>
        <v>224773</v>
      </c>
      <c r="O68" s="155">
        <f t="shared" ca="1" si="46"/>
        <v>46.249588477366252</v>
      </c>
      <c r="P68" s="155">
        <f t="shared" ca="1" si="47"/>
        <v>80.385165581861102</v>
      </c>
    </row>
    <row r="69" spans="1:16" ht="21.75" customHeight="1" x14ac:dyDescent="0.3">
      <c r="A69" s="156"/>
      <c r="B69" s="157"/>
      <c r="C69" s="157" t="s">
        <v>16</v>
      </c>
      <c r="D69" s="158" t="s">
        <v>38</v>
      </c>
      <c r="E69" s="159"/>
      <c r="F69" s="159"/>
      <c r="G69" s="160" t="s">
        <v>39</v>
      </c>
      <c r="H69" s="161" t="s">
        <v>12</v>
      </c>
      <c r="I69" s="162" t="s">
        <v>40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3">
      <c r="A70" s="156"/>
      <c r="B70" s="157"/>
      <c r="C70" s="157"/>
      <c r="D70" s="166"/>
      <c r="E70" s="159"/>
      <c r="F70" s="159" t="s">
        <v>40</v>
      </c>
      <c r="G70" s="160" t="s">
        <v>41</v>
      </c>
      <c r="H70" s="161" t="s">
        <v>12</v>
      </c>
      <c r="I70" s="162"/>
      <c r="J70" s="162"/>
      <c r="K70" s="163"/>
      <c r="L70" s="167">
        <f ca="1">L71+L72</f>
        <v>486000</v>
      </c>
      <c r="M70" s="167">
        <f ca="1">IFERROR(__xludf.DUMMYFUNCTION("IMPORTRANGE(""https://docs.google.com/spreadsheets/d/1Yj_ptqi66GCucihVvJfMjLAmec39IyEx_6qawtMGysU/edit?usp=sharing"",""สบก!AI22"")"),279620)</f>
        <v>279620</v>
      </c>
      <c r="N70" s="168">
        <f ca="1">IFERROR(__xludf.DUMMYFUNCTION("IMPORTRANGE(""https://docs.google.com/spreadsheets/d/1Yj_ptqi66GCucihVvJfMjLAmec39IyEx_6qawtMGysU/edit?usp=sharing"",""สบก!AJ22"")"),224773)</f>
        <v>224773</v>
      </c>
      <c r="O70" s="168">
        <f ca="1">IF(L70&gt;0,N70*100/L70,0)</f>
        <v>46.249588477366252</v>
      </c>
      <c r="P70" s="168">
        <f ca="1">IF(M70&gt;0,N70*100/M70,0)</f>
        <v>80.385165581861102</v>
      </c>
    </row>
    <row r="71" spans="1:16" ht="21.75" customHeight="1" x14ac:dyDescent="0.3">
      <c r="A71" s="156"/>
      <c r="B71" s="157"/>
      <c r="C71" s="157"/>
      <c r="D71" s="166"/>
      <c r="E71" s="159"/>
      <c r="F71" s="159"/>
      <c r="G71" s="169" t="s">
        <v>42</v>
      </c>
      <c r="H71" s="161" t="s">
        <v>12</v>
      </c>
      <c r="I71" s="162"/>
      <c r="J71" s="162"/>
      <c r="K71" s="163"/>
      <c r="L71" s="167">
        <f ca="1">IFERROR(__xludf.DUMMYFUNCTION("IMPORTRANGE(""https://docs.google.com/spreadsheets/d/1Yj_ptqi66GCucihVvJfMjLAmec39IyEx_6qawtMGysU/edit?usp=sharing"",""สบก!AE22"")"),0)</f>
        <v>0</v>
      </c>
      <c r="M71" s="167"/>
      <c r="N71" s="167"/>
      <c r="O71" s="168"/>
      <c r="P71" s="168"/>
    </row>
    <row r="72" spans="1:16" ht="21.75" customHeight="1" x14ac:dyDescent="0.3">
      <c r="A72" s="156"/>
      <c r="B72" s="157"/>
      <c r="C72" s="157"/>
      <c r="D72" s="166"/>
      <c r="E72" s="159"/>
      <c r="F72" s="159"/>
      <c r="G72" s="169" t="s">
        <v>43</v>
      </c>
      <c r="H72" s="161" t="s">
        <v>12</v>
      </c>
      <c r="I72" s="162"/>
      <c r="J72" s="162"/>
      <c r="K72" s="163"/>
      <c r="L72" s="167">
        <f ca="1">IFERROR(__xludf.DUMMYFUNCTION("IMPORTRANGE(""https://docs.google.com/spreadsheets/d/1Yj_ptqi66GCucihVvJfMjLAmec39IyEx_6qawtMGysU/edit?usp=sharing"",""สบก!AF22"")"),486000)</f>
        <v>486000</v>
      </c>
      <c r="M72" s="167"/>
      <c r="N72" s="167"/>
      <c r="O72" s="168"/>
      <c r="P72" s="168"/>
    </row>
    <row r="73" spans="1:16" ht="21.75" customHeight="1" x14ac:dyDescent="0.45">
      <c r="A73" s="170"/>
      <c r="B73" s="80"/>
      <c r="C73" s="81" t="s">
        <v>16</v>
      </c>
      <c r="D73" s="534" t="s">
        <v>23</v>
      </c>
      <c r="E73" s="530"/>
      <c r="F73" s="88"/>
      <c r="G73" s="82" t="s">
        <v>18</v>
      </c>
      <c r="H73" s="171" t="s">
        <v>12</v>
      </c>
      <c r="I73" s="84"/>
      <c r="J73" s="84"/>
      <c r="K73" s="85"/>
      <c r="L73" s="41">
        <v>0</v>
      </c>
      <c r="M73" s="41"/>
      <c r="N73" s="41"/>
      <c r="O73" s="41"/>
      <c r="P73" s="41"/>
    </row>
    <row r="74" spans="1:16" ht="21.75" customHeight="1" x14ac:dyDescent="0.45">
      <c r="A74" s="172"/>
      <c r="B74" s="91"/>
      <c r="C74" s="91"/>
      <c r="D74" s="173"/>
      <c r="E74" s="92"/>
      <c r="F74" s="92"/>
      <c r="G74" s="93" t="s">
        <v>19</v>
      </c>
      <c r="H74" s="174" t="s">
        <v>12</v>
      </c>
      <c r="I74" s="95"/>
      <c r="J74" s="95"/>
      <c r="K74" s="96"/>
      <c r="L74" s="49">
        <f ca="1">IFERROR(__xludf.DUMMYFUNCTION("IMPORTRANGE(""https://docs.google.com/spreadsheets/d/1Yj_ptqi66GCucihVvJfMjLAmec39IyEx_6qawtMGysU/edit?usp=sharing"",""สบก!AG22"")"),0)</f>
        <v>0</v>
      </c>
      <c r="M74" s="49"/>
      <c r="N74" s="49">
        <f ca="1">IFERROR(__xludf.DUMMYFUNCTION("IMPORTRANGE(""https://docs.google.com/spreadsheets/d/1Yj_ptqi66GCucihVvJfMjLAmec39IyEx_6qawtMGysU/edit?usp=sharing"",""สบก!AK22"")"),0)</f>
        <v>0</v>
      </c>
      <c r="O74" s="49">
        <f ca="1">IF(L74&gt;0,N74*100/L74,0)</f>
        <v>0</v>
      </c>
      <c r="P74" s="49"/>
    </row>
    <row r="75" spans="1:16" ht="21.75" customHeight="1" x14ac:dyDescent="0.3">
      <c r="A75" s="175"/>
      <c r="B75" s="176"/>
      <c r="C75" s="157" t="s">
        <v>16</v>
      </c>
      <c r="D75" s="177" t="s">
        <v>44</v>
      </c>
      <c r="E75" s="178"/>
      <c r="F75" s="178"/>
      <c r="G75" s="179"/>
      <c r="H75" s="180"/>
      <c r="I75" s="162"/>
      <c r="J75" s="162"/>
      <c r="K75" s="163"/>
      <c r="L75" s="181"/>
      <c r="M75" s="181"/>
      <c r="N75" s="181"/>
      <c r="O75" s="181"/>
      <c r="P75" s="181"/>
    </row>
    <row r="76" spans="1:16" ht="21.75" customHeight="1" x14ac:dyDescent="0.3">
      <c r="A76" s="175"/>
      <c r="B76" s="176"/>
      <c r="C76" s="176"/>
      <c r="D76" s="182">
        <v>1</v>
      </c>
      <c r="E76" s="183" t="s">
        <v>45</v>
      </c>
      <c r="F76" s="184"/>
      <c r="G76" s="185"/>
      <c r="H76" s="186"/>
      <c r="I76" s="187"/>
      <c r="J76" s="188">
        <f ca="1">IFERROR(__xludf.DUMMYFUNCTION("IMPORTRANGE(""https://docs.google.com/spreadsheets/d/11923uPwbBZFjjGgGUA6NLw09EwE0CqkOc4q9oUmW1yo/edit?usp=sharing"",""เชียงใหม่!J16"")"),0)</f>
        <v>0</v>
      </c>
      <c r="K76" s="163"/>
      <c r="L76" s="181"/>
      <c r="M76" s="181"/>
      <c r="N76" s="181"/>
      <c r="O76" s="181"/>
      <c r="P76" s="181"/>
    </row>
    <row r="77" spans="1:16" ht="21.75" customHeight="1" x14ac:dyDescent="0.3">
      <c r="A77" s="175"/>
      <c r="B77" s="176"/>
      <c r="C77" s="176"/>
      <c r="D77" s="189">
        <v>2</v>
      </c>
      <c r="E77" s="190" t="s">
        <v>46</v>
      </c>
      <c r="F77" s="191"/>
      <c r="G77" s="192"/>
      <c r="H77" s="186"/>
      <c r="I77" s="187"/>
      <c r="J77" s="188">
        <f ca="1">IFERROR(__xludf.DUMMYFUNCTION("IMPORTRANGE(""https://docs.google.com/spreadsheets/d/11923uPwbBZFjjGgGUA6NLw09EwE0CqkOc4q9oUmW1yo/edit?usp=sharing"",""เชียงใหม่!J17"")"),1)</f>
        <v>1</v>
      </c>
      <c r="K77" s="163"/>
      <c r="L77" s="181" t="s">
        <v>40</v>
      </c>
      <c r="M77" s="181"/>
      <c r="N77" s="181" t="s">
        <v>40</v>
      </c>
      <c r="O77" s="181"/>
      <c r="P77" s="181"/>
    </row>
    <row r="78" spans="1:16" ht="21.75" customHeight="1" x14ac:dyDescent="0.3">
      <c r="A78" s="175"/>
      <c r="B78" s="176"/>
      <c r="C78" s="176"/>
      <c r="D78" s="193"/>
      <c r="E78" s="194" t="s">
        <v>47</v>
      </c>
      <c r="F78" s="195"/>
      <c r="G78" s="196"/>
      <c r="H78" s="186"/>
      <c r="I78" s="187"/>
      <c r="J78" s="188">
        <f ca="1">IFERROR(__xludf.DUMMYFUNCTION("IMPORTRANGE(""https://docs.google.com/spreadsheets/d/11923uPwbBZFjjGgGUA6NLw09EwE0CqkOc4q9oUmW1yo/edit?usp=sharing"",""เชียงใหม่!J18"")"),1)</f>
        <v>1</v>
      </c>
      <c r="K78" s="163"/>
      <c r="L78" s="181"/>
      <c r="M78" s="181"/>
      <c r="N78" s="181"/>
      <c r="O78" s="181"/>
      <c r="P78" s="181"/>
    </row>
    <row r="79" spans="1:16" ht="21.75" customHeight="1" x14ac:dyDescent="0.3">
      <c r="A79" s="175"/>
      <c r="B79" s="176"/>
      <c r="C79" s="176"/>
      <c r="D79" s="193"/>
      <c r="E79" s="194" t="s">
        <v>48</v>
      </c>
      <c r="F79" s="195"/>
      <c r="G79" s="196"/>
      <c r="H79" s="186"/>
      <c r="I79" s="187"/>
      <c r="J79" s="197">
        <f ca="1">IFERROR(__xludf.DUMMYFUNCTION("IMPORTRANGE(""https://docs.google.com/spreadsheets/d/11923uPwbBZFjjGgGUA6NLw09EwE0CqkOc4q9oUmW1yo/edit?usp=sharing"",""เชียงใหม่!J19"")"),1)</f>
        <v>1</v>
      </c>
      <c r="K79" s="163"/>
      <c r="L79" s="181"/>
      <c r="M79" s="181"/>
      <c r="N79" s="181"/>
      <c r="O79" s="181"/>
      <c r="P79" s="181"/>
    </row>
    <row r="80" spans="1:16" ht="21.75" customHeight="1" x14ac:dyDescent="0.3">
      <c r="A80" s="175"/>
      <c r="B80" s="176"/>
      <c r="C80" s="176"/>
      <c r="D80" s="193"/>
      <c r="E80" s="198"/>
      <c r="F80" s="194" t="s">
        <v>49</v>
      </c>
      <c r="G80" s="195"/>
      <c r="H80" s="199" t="s">
        <v>36</v>
      </c>
      <c r="I80" s="200">
        <f ca="1">IFERROR(__xludf.DUMMYFUNCTION("IMPORTRANGE(""https://docs.google.com/spreadsheets/d/11923uPwbBZFjjGgGUA6NLw09EwE0CqkOc4q9oUmW1yo/edit?usp=sharing"",""เชียงใหม่!I20"")"),1)</f>
        <v>1</v>
      </c>
      <c r="J80" s="200">
        <f ca="1">IFERROR(__xludf.DUMMYFUNCTION("IMPORTRANGE(""https://docs.google.com/spreadsheets/d/11923uPwbBZFjjGgGUA6NLw09EwE0CqkOc4q9oUmW1yo/edit?usp=sharing"",""เชียงใหม่!J20"")"),1)</f>
        <v>1</v>
      </c>
      <c r="K80" s="201">
        <f t="shared" ref="K80:K88" ca="1" si="50">IF(I80&gt;0,J80*100/I80,0)</f>
        <v>100</v>
      </c>
      <c r="L80" s="181"/>
      <c r="M80" s="181"/>
      <c r="N80" s="181"/>
      <c r="O80" s="181"/>
      <c r="P80" s="181"/>
    </row>
    <row r="81" spans="1:16" ht="21.75" customHeight="1" x14ac:dyDescent="0.3">
      <c r="A81" s="175"/>
      <c r="B81" s="176"/>
      <c r="C81" s="176"/>
      <c r="D81" s="193"/>
      <c r="E81" s="198"/>
      <c r="F81" s="195"/>
      <c r="G81" s="196"/>
      <c r="H81" s="199" t="s">
        <v>37</v>
      </c>
      <c r="I81" s="200">
        <f ca="1">IFERROR(__xludf.DUMMYFUNCTION("IMPORTRANGE(""https://docs.google.com/spreadsheets/d/11923uPwbBZFjjGgGUA6NLw09EwE0CqkOc4q9oUmW1yo/edit?usp=sharing"",""เชียงใหม่!I21"")"),50)</f>
        <v>50</v>
      </c>
      <c r="J81" s="200">
        <f ca="1">IFERROR(__xludf.DUMMYFUNCTION("IMPORTRANGE(""https://docs.google.com/spreadsheets/d/11923uPwbBZFjjGgGUA6NLw09EwE0CqkOc4q9oUmW1yo/edit?usp=sharing"",""เชียงใหม่!J21"")"),50)</f>
        <v>50</v>
      </c>
      <c r="K81" s="201">
        <f t="shared" ca="1" si="50"/>
        <v>100</v>
      </c>
      <c r="L81" s="181"/>
      <c r="M81" s="181"/>
      <c r="N81" s="181"/>
      <c r="O81" s="181"/>
      <c r="P81" s="181"/>
    </row>
    <row r="82" spans="1:16" ht="21.75" customHeight="1" x14ac:dyDescent="0.3">
      <c r="A82" s="175"/>
      <c r="B82" s="176"/>
      <c r="C82" s="176"/>
      <c r="D82" s="193"/>
      <c r="E82" s="198"/>
      <c r="F82" s="195"/>
      <c r="G82" s="195" t="s">
        <v>50</v>
      </c>
      <c r="H82" s="180" t="s">
        <v>36</v>
      </c>
      <c r="I82" s="202">
        <f ca="1">IFERROR(__xludf.DUMMYFUNCTION("IMPORTRANGE(""https://docs.google.com/spreadsheets/d/11923uPwbBZFjjGgGUA6NLw09EwE0CqkOc4q9oUmW1yo/edit?usp=sharing"",""เชียงใหม่!I22"")"),0)</f>
        <v>0</v>
      </c>
      <c r="J82" s="203">
        <f ca="1">IFERROR(__xludf.DUMMYFUNCTION("IMPORTRANGE(""https://docs.google.com/spreadsheets/d/11923uPwbBZFjjGgGUA6NLw09EwE0CqkOc4q9oUmW1yo/edit?usp=sharing"",""เชียงใหม่!J22"")"),0)</f>
        <v>0</v>
      </c>
      <c r="K82" s="163">
        <f t="shared" ca="1" si="50"/>
        <v>0</v>
      </c>
      <c r="L82" s="181"/>
      <c r="M82" s="181"/>
      <c r="N82" s="181"/>
      <c r="O82" s="181"/>
      <c r="P82" s="181"/>
    </row>
    <row r="83" spans="1:16" ht="21.75" customHeight="1" x14ac:dyDescent="0.3">
      <c r="A83" s="175"/>
      <c r="B83" s="176"/>
      <c r="C83" s="176"/>
      <c r="D83" s="193"/>
      <c r="E83" s="198"/>
      <c r="F83" s="195"/>
      <c r="G83" s="196"/>
      <c r="H83" s="180" t="s">
        <v>37</v>
      </c>
      <c r="I83" s="202">
        <f ca="1">IFERROR(__xludf.DUMMYFUNCTION("IMPORTRANGE(""https://docs.google.com/spreadsheets/d/11923uPwbBZFjjGgGUA6NLw09EwE0CqkOc4q9oUmW1yo/edit?usp=sharing"",""เชียงใหม่!I23"")"),0)</f>
        <v>0</v>
      </c>
      <c r="J83" s="203">
        <f ca="1">IFERROR(__xludf.DUMMYFUNCTION("IMPORTRANGE(""https://docs.google.com/spreadsheets/d/11923uPwbBZFjjGgGUA6NLw09EwE0CqkOc4q9oUmW1yo/edit?usp=sharing"",""เชียงใหม่!J23"")"),0)</f>
        <v>0</v>
      </c>
      <c r="K83" s="163">
        <f t="shared" ca="1" si="50"/>
        <v>0</v>
      </c>
      <c r="L83" s="181"/>
      <c r="M83" s="181"/>
      <c r="N83" s="181"/>
      <c r="O83" s="181"/>
      <c r="P83" s="181"/>
    </row>
    <row r="84" spans="1:16" ht="21.75" customHeight="1" x14ac:dyDescent="0.3">
      <c r="A84" s="175"/>
      <c r="B84" s="176"/>
      <c r="C84" s="176"/>
      <c r="D84" s="193"/>
      <c r="E84" s="198"/>
      <c r="F84" s="195"/>
      <c r="G84" s="195" t="s">
        <v>51</v>
      </c>
      <c r="H84" s="180" t="s">
        <v>36</v>
      </c>
      <c r="I84" s="202">
        <f ca="1">IFERROR(__xludf.DUMMYFUNCTION("IMPORTRANGE(""https://docs.google.com/spreadsheets/d/11923uPwbBZFjjGgGUA6NLw09EwE0CqkOc4q9oUmW1yo/edit?usp=sharing"",""เชียงใหม่!I24"")"),0)</f>
        <v>0</v>
      </c>
      <c r="J84" s="188">
        <f ca="1">IFERROR(__xludf.DUMMYFUNCTION("IMPORTRANGE(""https://docs.google.com/spreadsheets/d/11923uPwbBZFjjGgGUA6NLw09EwE0CqkOc4q9oUmW1yo/edit?usp=sharing"",""เชียงใหม่!J24"")"),0)</f>
        <v>0</v>
      </c>
      <c r="K84" s="163">
        <f t="shared" ca="1" si="50"/>
        <v>0</v>
      </c>
      <c r="L84" s="181"/>
      <c r="M84" s="181"/>
      <c r="N84" s="181"/>
      <c r="O84" s="181"/>
      <c r="P84" s="181"/>
    </row>
    <row r="85" spans="1:16" ht="21.75" customHeight="1" x14ac:dyDescent="0.3">
      <c r="A85" s="175"/>
      <c r="B85" s="176"/>
      <c r="C85" s="176"/>
      <c r="D85" s="193"/>
      <c r="E85" s="198"/>
      <c r="F85" s="195"/>
      <c r="G85" s="196"/>
      <c r="H85" s="180" t="s">
        <v>37</v>
      </c>
      <c r="I85" s="202">
        <f ca="1">IFERROR(__xludf.DUMMYFUNCTION("IMPORTRANGE(""https://docs.google.com/spreadsheets/d/11923uPwbBZFjjGgGUA6NLw09EwE0CqkOc4q9oUmW1yo/edit?usp=sharing"",""เชียงใหม่!I25"")"),0)</f>
        <v>0</v>
      </c>
      <c r="J85" s="188">
        <f ca="1">IFERROR(__xludf.DUMMYFUNCTION("IMPORTRANGE(""https://docs.google.com/spreadsheets/d/11923uPwbBZFjjGgGUA6NLw09EwE0CqkOc4q9oUmW1yo/edit?usp=sharing"",""เชียงใหม่!J25"")"),0)</f>
        <v>0</v>
      </c>
      <c r="K85" s="163">
        <f t="shared" ca="1" si="50"/>
        <v>0</v>
      </c>
      <c r="L85" s="181"/>
      <c r="M85" s="181"/>
      <c r="N85" s="181"/>
      <c r="O85" s="181"/>
      <c r="P85" s="181"/>
    </row>
    <row r="86" spans="1:16" ht="21.75" customHeight="1" x14ac:dyDescent="0.3">
      <c r="A86" s="175"/>
      <c r="B86" s="176"/>
      <c r="C86" s="176"/>
      <c r="D86" s="193"/>
      <c r="E86" s="198"/>
      <c r="F86" s="195"/>
      <c r="G86" s="195" t="s">
        <v>52</v>
      </c>
      <c r="H86" s="180" t="s">
        <v>36</v>
      </c>
      <c r="I86" s="202">
        <f ca="1">IFERROR(__xludf.DUMMYFUNCTION("IMPORTRANGE(""https://docs.google.com/spreadsheets/d/11923uPwbBZFjjGgGUA6NLw09EwE0CqkOc4q9oUmW1yo/edit?usp=sharing"",""เชียงใหม่!I26"")"),1)</f>
        <v>1</v>
      </c>
      <c r="J86" s="203">
        <f ca="1">IFERROR(__xludf.DUMMYFUNCTION("IMPORTRANGE(""https://docs.google.com/spreadsheets/d/11923uPwbBZFjjGgGUA6NLw09EwE0CqkOc4q9oUmW1yo/edit?usp=sharing"",""เชียงใหม่!J26"")"),1)</f>
        <v>1</v>
      </c>
      <c r="K86" s="163">
        <f t="shared" ca="1" si="50"/>
        <v>100</v>
      </c>
      <c r="L86" s="181"/>
      <c r="M86" s="181"/>
      <c r="N86" s="181"/>
      <c r="O86" s="181"/>
      <c r="P86" s="181"/>
    </row>
    <row r="87" spans="1:16" ht="21.75" customHeight="1" x14ac:dyDescent="0.3">
      <c r="A87" s="175"/>
      <c r="B87" s="176"/>
      <c r="C87" s="176"/>
      <c r="D87" s="193"/>
      <c r="E87" s="198"/>
      <c r="F87" s="195"/>
      <c r="G87" s="196"/>
      <c r="H87" s="180" t="s">
        <v>37</v>
      </c>
      <c r="I87" s="202">
        <f ca="1">IFERROR(__xludf.DUMMYFUNCTION("IMPORTRANGE(""https://docs.google.com/spreadsheets/d/11923uPwbBZFjjGgGUA6NLw09EwE0CqkOc4q9oUmW1yo/edit?usp=sharing"",""เชียงใหม่!I27"")"),50)</f>
        <v>50</v>
      </c>
      <c r="J87" s="203">
        <f ca="1">IFERROR(__xludf.DUMMYFUNCTION("IMPORTRANGE(""https://docs.google.com/spreadsheets/d/11923uPwbBZFjjGgGUA6NLw09EwE0CqkOc4q9oUmW1yo/edit?usp=sharing"",""เชียงใหม่!J27"")"),50)</f>
        <v>50</v>
      </c>
      <c r="K87" s="163">
        <f t="shared" ca="1" si="50"/>
        <v>100</v>
      </c>
      <c r="L87" s="181"/>
      <c r="M87" s="181"/>
      <c r="N87" s="181"/>
      <c r="O87" s="181"/>
      <c r="P87" s="181"/>
    </row>
    <row r="88" spans="1:16" ht="21.75" customHeight="1" x14ac:dyDescent="0.3">
      <c r="A88" s="175"/>
      <c r="B88" s="176"/>
      <c r="C88" s="176"/>
      <c r="D88" s="193"/>
      <c r="E88" s="198"/>
      <c r="F88" s="204" t="s">
        <v>53</v>
      </c>
      <c r="G88" s="195"/>
      <c r="H88" s="180" t="s">
        <v>37</v>
      </c>
      <c r="I88" s="202">
        <f ca="1">IFERROR(__xludf.DUMMYFUNCTION("IMPORTRANGE(""https://docs.google.com/spreadsheets/d/11923uPwbBZFjjGgGUA6NLw09EwE0CqkOc4q9oUmW1yo/edit?usp=sharing"",""เชียงใหม่!I28"")"),0)</f>
        <v>0</v>
      </c>
      <c r="J88" s="203">
        <f ca="1">IFERROR(__xludf.DUMMYFUNCTION("IMPORTRANGE(""https://docs.google.com/spreadsheets/d/11923uPwbBZFjjGgGUA6NLw09EwE0CqkOc4q9oUmW1yo/edit?usp=sharing"",""เชียงใหม่!J28"")"),0)</f>
        <v>0</v>
      </c>
      <c r="K88" s="163">
        <f t="shared" ca="1" si="50"/>
        <v>0</v>
      </c>
      <c r="L88" s="181"/>
      <c r="M88" s="181"/>
      <c r="N88" s="181"/>
      <c r="O88" s="181"/>
      <c r="P88" s="181"/>
    </row>
    <row r="89" spans="1:16" ht="21.75" customHeight="1" x14ac:dyDescent="0.3">
      <c r="A89" s="175"/>
      <c r="B89" s="176"/>
      <c r="C89" s="176"/>
      <c r="D89" s="193"/>
      <c r="E89" s="194" t="s">
        <v>54</v>
      </c>
      <c r="F89" s="195"/>
      <c r="G89" s="196"/>
      <c r="H89" s="186"/>
      <c r="I89" s="187"/>
      <c r="J89" s="197">
        <f ca="1">IFERROR(__xludf.DUMMYFUNCTION("IMPORTRANGE(""https://docs.google.com/spreadsheets/d/11923uPwbBZFjjGgGUA6NLw09EwE0CqkOc4q9oUmW1yo/edit?usp=sharing"",""เชียงใหม่!J29"")"),0)</f>
        <v>0</v>
      </c>
      <c r="K89" s="163"/>
      <c r="L89" s="181"/>
      <c r="M89" s="181"/>
      <c r="N89" s="181"/>
      <c r="O89" s="181"/>
      <c r="P89" s="181"/>
    </row>
    <row r="90" spans="1:16" ht="21.75" customHeight="1" x14ac:dyDescent="0.3">
      <c r="A90" s="175"/>
      <c r="B90" s="176"/>
      <c r="C90" s="176"/>
      <c r="D90" s="205">
        <v>3</v>
      </c>
      <c r="E90" s="206" t="s">
        <v>55</v>
      </c>
      <c r="F90" s="207"/>
      <c r="G90" s="208"/>
      <c r="H90" s="186"/>
      <c r="I90" s="187"/>
      <c r="J90" s="209">
        <f ca="1">IFERROR(__xludf.DUMMYFUNCTION("IMPORTRANGE(""https://docs.google.com/spreadsheets/d/11923uPwbBZFjjGgGUA6NLw09EwE0CqkOc4q9oUmW1yo/edit?usp=sharing"",""เชียงใหม่!J30"")"),0)</f>
        <v>0</v>
      </c>
      <c r="K90" s="163"/>
      <c r="L90" s="181"/>
      <c r="M90" s="181"/>
      <c r="N90" s="181"/>
      <c r="O90" s="181"/>
      <c r="P90" s="181"/>
    </row>
    <row r="91" spans="1:16" ht="21.75" customHeight="1" x14ac:dyDescent="0.3">
      <c r="A91" s="210" t="s">
        <v>56</v>
      </c>
      <c r="B91" s="211"/>
      <c r="C91" s="212"/>
      <c r="D91" s="211"/>
      <c r="E91" s="213"/>
      <c r="F91" s="213"/>
      <c r="G91" s="214"/>
      <c r="H91" s="215"/>
      <c r="I91" s="216"/>
      <c r="J91" s="216"/>
      <c r="K91" s="217"/>
      <c r="L91" s="218"/>
      <c r="M91" s="218"/>
      <c r="N91" s="218"/>
      <c r="O91" s="219"/>
      <c r="P91" s="219"/>
    </row>
    <row r="92" spans="1:16" ht="21.75" customHeight="1" x14ac:dyDescent="0.3">
      <c r="A92" s="137"/>
      <c r="B92" s="138" t="s">
        <v>57</v>
      </c>
      <c r="C92" s="138"/>
      <c r="D92" s="139"/>
      <c r="E92" s="138"/>
      <c r="F92" s="138"/>
      <c r="G92" s="220"/>
      <c r="H92" s="140" t="s">
        <v>37</v>
      </c>
      <c r="I92" s="141">
        <f ca="1">IFERROR(__xludf.DUMMYFUNCTION("IMPORTRANGE(""https://docs.google.com/spreadsheets/d/11923uPwbBZFjjGgGUA6NLw09EwE0CqkOc4q9oUmW1yo/edit?usp=sharing"",""เชียงใหม่!I32"")"),4)</f>
        <v>4</v>
      </c>
      <c r="J92" s="141">
        <f ca="1">IFERROR(__xludf.DUMMYFUNCTION("IMPORTRANGE(""https://docs.google.com/spreadsheets/d/11923uPwbBZFjjGgGUA6NLw09EwE0CqkOc4q9oUmW1yo/edit?usp=sharing"",""เชียงใหม่!J32"")"),4)</f>
        <v>4</v>
      </c>
      <c r="K92" s="142">
        <f t="shared" ref="K92:K93" ca="1" si="51">IF(I92&gt;0,J92*100/I92,0)</f>
        <v>100</v>
      </c>
      <c r="L92" s="221"/>
      <c r="M92" s="221"/>
      <c r="N92" s="222"/>
      <c r="O92" s="142"/>
      <c r="P92" s="142"/>
    </row>
    <row r="93" spans="1:16" ht="21.75" customHeight="1" x14ac:dyDescent="0.3">
      <c r="A93" s="137"/>
      <c r="B93" s="138"/>
      <c r="C93" s="138"/>
      <c r="D93" s="139" t="s">
        <v>58</v>
      </c>
      <c r="E93" s="138"/>
      <c r="F93" s="138"/>
      <c r="G93" s="220"/>
      <c r="H93" s="140" t="s">
        <v>59</v>
      </c>
      <c r="I93" s="141">
        <f ca="1">IFERROR(__xludf.DUMMYFUNCTION("IMPORTRANGE(""https://docs.google.com/spreadsheets/d/11923uPwbBZFjjGgGUA6NLw09EwE0CqkOc4q9oUmW1yo/edit?usp=sharing"",""เชียงใหม่!I33"")"),1)</f>
        <v>1</v>
      </c>
      <c r="J93" s="141">
        <f ca="1">IFERROR(__xludf.DUMMYFUNCTION("IMPORTRANGE(""https://docs.google.com/spreadsheets/d/11923uPwbBZFjjGgGUA6NLw09EwE0CqkOc4q9oUmW1yo/edit?usp=sharing"",""เชียงใหม่!J33"")"),0)</f>
        <v>0</v>
      </c>
      <c r="K93" s="142">
        <f t="shared" ca="1" si="51"/>
        <v>0</v>
      </c>
      <c r="L93" s="222"/>
      <c r="M93" s="222"/>
      <c r="N93" s="222"/>
      <c r="O93" s="142"/>
      <c r="P93" s="142"/>
    </row>
    <row r="94" spans="1:16" ht="21.75" customHeight="1" x14ac:dyDescent="0.45">
      <c r="A94" s="145"/>
      <c r="B94" s="146"/>
      <c r="C94" s="147" t="s">
        <v>16</v>
      </c>
      <c r="D94" s="537" t="s">
        <v>17</v>
      </c>
      <c r="E94" s="528"/>
      <c r="F94" s="528"/>
      <c r="G94" s="528"/>
      <c r="H94" s="148" t="s">
        <v>12</v>
      </c>
      <c r="I94" s="162"/>
      <c r="J94" s="162"/>
      <c r="K94" s="163"/>
      <c r="L94" s="151">
        <f t="shared" ref="L94:N94" ca="1" si="52">L95+L96</f>
        <v>214500</v>
      </c>
      <c r="M94" s="151">
        <f t="shared" ca="1" si="52"/>
        <v>161130</v>
      </c>
      <c r="N94" s="151">
        <f t="shared" ca="1" si="52"/>
        <v>119220</v>
      </c>
      <c r="O94" s="150">
        <f t="shared" ref="O94:O96" ca="1" si="53">IF(L94&gt;0,N94*100/L94,0)</f>
        <v>55.58041958041958</v>
      </c>
      <c r="P94" s="150">
        <f t="shared" ref="P94:P96" ca="1" si="54">IF(M94&gt;0,N94*100/M94,0)</f>
        <v>73.989946006330285</v>
      </c>
    </row>
    <row r="95" spans="1:16" ht="21.75" customHeight="1" x14ac:dyDescent="0.45">
      <c r="A95" s="152"/>
      <c r="B95" s="32"/>
      <c r="C95" s="32"/>
      <c r="D95" s="32"/>
      <c r="E95" s="32"/>
      <c r="F95" s="32"/>
      <c r="G95" s="33" t="s">
        <v>18</v>
      </c>
      <c r="H95" s="153" t="s">
        <v>12</v>
      </c>
      <c r="I95" s="162"/>
      <c r="J95" s="162"/>
      <c r="K95" s="163"/>
      <c r="L95" s="87">
        <f t="shared" ref="L95:N95" si="55">L97+L101</f>
        <v>0</v>
      </c>
      <c r="M95" s="87">
        <f t="shared" si="55"/>
        <v>0</v>
      </c>
      <c r="N95" s="87">
        <f t="shared" si="55"/>
        <v>0</v>
      </c>
      <c r="O95" s="155">
        <f t="shared" si="53"/>
        <v>0</v>
      </c>
      <c r="P95" s="155">
        <f t="shared" si="54"/>
        <v>0</v>
      </c>
    </row>
    <row r="96" spans="1:16" ht="21.75" customHeight="1" x14ac:dyDescent="0.45">
      <c r="A96" s="152"/>
      <c r="B96" s="32"/>
      <c r="C96" s="32"/>
      <c r="D96" s="32"/>
      <c r="E96" s="32"/>
      <c r="F96" s="32"/>
      <c r="G96" s="33" t="s">
        <v>19</v>
      </c>
      <c r="H96" s="153" t="s">
        <v>12</v>
      </c>
      <c r="I96" s="162"/>
      <c r="J96" s="162"/>
      <c r="K96" s="163"/>
      <c r="L96" s="87">
        <f t="shared" ref="L96:N96" ca="1" si="56">L98+L102</f>
        <v>214500</v>
      </c>
      <c r="M96" s="87">
        <f t="shared" ca="1" si="56"/>
        <v>161130</v>
      </c>
      <c r="N96" s="87">
        <f t="shared" ca="1" si="56"/>
        <v>119220</v>
      </c>
      <c r="O96" s="155">
        <f t="shared" ca="1" si="53"/>
        <v>55.58041958041958</v>
      </c>
      <c r="P96" s="155">
        <f t="shared" ca="1" si="54"/>
        <v>73.989946006330285</v>
      </c>
    </row>
    <row r="97" spans="1:16" ht="21.75" customHeight="1" x14ac:dyDescent="0.3">
      <c r="A97" s="156"/>
      <c r="B97" s="157"/>
      <c r="C97" s="157" t="s">
        <v>16</v>
      </c>
      <c r="D97" s="158" t="s">
        <v>38</v>
      </c>
      <c r="E97" s="159"/>
      <c r="F97" s="159"/>
      <c r="G97" s="160" t="s">
        <v>39</v>
      </c>
      <c r="H97" s="161" t="s">
        <v>12</v>
      </c>
      <c r="I97" s="162" t="s">
        <v>40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3">
      <c r="A98" s="156"/>
      <c r="B98" s="157"/>
      <c r="C98" s="157"/>
      <c r="D98" s="166"/>
      <c r="E98" s="159"/>
      <c r="F98" s="159" t="s">
        <v>40</v>
      </c>
      <c r="G98" s="160" t="s">
        <v>41</v>
      </c>
      <c r="H98" s="161" t="s">
        <v>12</v>
      </c>
      <c r="I98" s="162"/>
      <c r="J98" s="162"/>
      <c r="K98" s="163"/>
      <c r="L98" s="167">
        <f ca="1">L99+L100</f>
        <v>122100</v>
      </c>
      <c r="M98" s="167">
        <f ca="1">IFERROR(__xludf.DUMMYFUNCTION("IMPORTRANGE(""https://docs.google.com/spreadsheets/d/1Yj_ptqi66GCucihVvJfMjLAmec39IyEx_6qawtMGysU/edit?usp=sharing"",""สบก!AR22"")"),68730)</f>
        <v>68730</v>
      </c>
      <c r="N98" s="168">
        <f ca="1">IFERROR(__xludf.DUMMYFUNCTION("IMPORTRANGE(""https://docs.google.com/spreadsheets/d/1Yj_ptqi66GCucihVvJfMjLAmec39IyEx_6qawtMGysU/edit?usp=sharing"",""สบก!AS22"")"),26820)</f>
        <v>26820</v>
      </c>
      <c r="O98" s="168">
        <f ca="1">IF(L98&gt;0,N98*100/L98,0)</f>
        <v>21.965601965601966</v>
      </c>
      <c r="P98" s="168">
        <f ca="1">IF(M98&gt;0,N98*100/M98,0)</f>
        <v>39.02226102138804</v>
      </c>
    </row>
    <row r="99" spans="1:16" ht="21.75" customHeight="1" x14ac:dyDescent="0.3">
      <c r="A99" s="156"/>
      <c r="B99" s="157"/>
      <c r="C99" s="157"/>
      <c r="D99" s="166"/>
      <c r="E99" s="159"/>
      <c r="F99" s="159"/>
      <c r="G99" s="169" t="s">
        <v>42</v>
      </c>
      <c r="H99" s="161" t="s">
        <v>12</v>
      </c>
      <c r="I99" s="162"/>
      <c r="J99" s="162"/>
      <c r="K99" s="163"/>
      <c r="L99" s="167">
        <f ca="1">IFERROR(__xludf.DUMMYFUNCTION("IMPORTRANGE(""https://docs.google.com/spreadsheets/d/1Yj_ptqi66GCucihVvJfMjLAmec39IyEx_6qawtMGysU/edit?usp=sharing"",""สบก!AN22"")"),0)</f>
        <v>0</v>
      </c>
      <c r="M99" s="167"/>
      <c r="N99" s="167"/>
      <c r="O99" s="168"/>
      <c r="P99" s="168"/>
    </row>
    <row r="100" spans="1:16" ht="21.75" customHeight="1" x14ac:dyDescent="0.3">
      <c r="A100" s="156"/>
      <c r="B100" s="157"/>
      <c r="C100" s="157"/>
      <c r="D100" s="166"/>
      <c r="E100" s="159"/>
      <c r="F100" s="159"/>
      <c r="G100" s="169" t="s">
        <v>43</v>
      </c>
      <c r="H100" s="161" t="s">
        <v>12</v>
      </c>
      <c r="I100" s="162"/>
      <c r="J100" s="187"/>
      <c r="K100" s="223"/>
      <c r="L100" s="167">
        <f ca="1">IFERROR(__xludf.DUMMYFUNCTION("IMPORTRANGE(""https://docs.google.com/spreadsheets/d/1Yj_ptqi66GCucihVvJfMjLAmec39IyEx_6qawtMGysU/edit?usp=sharing"",""สบก!AO22"")"),122100)</f>
        <v>122100</v>
      </c>
      <c r="M100" s="167"/>
      <c r="N100" s="167"/>
      <c r="O100" s="168"/>
      <c r="P100" s="168"/>
    </row>
    <row r="101" spans="1:16" ht="21.75" customHeight="1" x14ac:dyDescent="0.45">
      <c r="A101" s="170"/>
      <c r="B101" s="80"/>
      <c r="C101" s="81" t="s">
        <v>16</v>
      </c>
      <c r="D101" s="534" t="s">
        <v>23</v>
      </c>
      <c r="E101" s="530"/>
      <c r="F101" s="88"/>
      <c r="G101" s="82" t="s">
        <v>18</v>
      </c>
      <c r="H101" s="171" t="s">
        <v>12</v>
      </c>
      <c r="I101" s="187"/>
      <c r="J101" s="187"/>
      <c r="K101" s="223"/>
      <c r="L101" s="41">
        <v>0</v>
      </c>
      <c r="M101" s="41"/>
      <c r="N101" s="41"/>
      <c r="O101" s="41"/>
      <c r="P101" s="41"/>
    </row>
    <row r="102" spans="1:16" ht="21.75" customHeight="1" x14ac:dyDescent="0.45">
      <c r="A102" s="172"/>
      <c r="B102" s="91"/>
      <c r="C102" s="91"/>
      <c r="D102" s="173"/>
      <c r="E102" s="92"/>
      <c r="F102" s="92"/>
      <c r="G102" s="93" t="s">
        <v>19</v>
      </c>
      <c r="H102" s="174" t="s">
        <v>12</v>
      </c>
      <c r="I102" s="187"/>
      <c r="J102" s="187"/>
      <c r="K102" s="223"/>
      <c r="L102" s="49">
        <f ca="1">IFERROR(__xludf.DUMMYFUNCTION("IMPORTRANGE(""https://docs.google.com/spreadsheets/d/1Yj_ptqi66GCucihVvJfMjLAmec39IyEx_6qawtMGysU/edit?usp=sharing"",""สบก!AP22"")"),92400)</f>
        <v>92400</v>
      </c>
      <c r="M102" s="49">
        <f ca="1">L102</f>
        <v>92400</v>
      </c>
      <c r="N102" s="49">
        <f ca="1">IFERROR(__xludf.DUMMYFUNCTION("IMPORTRANGE(""https://docs.google.com/spreadsheets/d/1Yj_ptqi66GCucihVvJfMjLAmec39IyEx_6qawtMGysU/edit?usp=sharing"",""สบก!AT22"")"),92400)</f>
        <v>92400</v>
      </c>
      <c r="O102" s="49">
        <f ca="1">IF(L102&gt;0,N102*100/L102,0)</f>
        <v>100</v>
      </c>
      <c r="P102" s="49">
        <f ca="1">IF(M102&gt;0,N102*100/M102,0)</f>
        <v>100</v>
      </c>
    </row>
    <row r="103" spans="1:16" ht="21.75" customHeight="1" x14ac:dyDescent="0.3">
      <c r="A103" s="175"/>
      <c r="B103" s="176"/>
      <c r="C103" s="157" t="s">
        <v>16</v>
      </c>
      <c r="D103" s="177" t="s">
        <v>44</v>
      </c>
      <c r="E103" s="178"/>
      <c r="F103" s="178"/>
      <c r="G103" s="179"/>
      <c r="H103" s="180"/>
      <c r="I103" s="162"/>
      <c r="J103" s="187"/>
      <c r="K103" s="223"/>
      <c r="L103" s="168"/>
      <c r="M103" s="168"/>
      <c r="N103" s="168"/>
      <c r="O103" s="181"/>
      <c r="P103" s="181"/>
    </row>
    <row r="104" spans="1:16" ht="21.75" customHeight="1" x14ac:dyDescent="0.3">
      <c r="A104" s="175"/>
      <c r="B104" s="176"/>
      <c r="C104" s="176"/>
      <c r="D104" s="182">
        <v>1</v>
      </c>
      <c r="E104" s="183" t="s">
        <v>45</v>
      </c>
      <c r="F104" s="184"/>
      <c r="G104" s="185"/>
      <c r="H104" s="186"/>
      <c r="I104" s="187"/>
      <c r="J104" s="187">
        <f ca="1">IFERROR(__xludf.DUMMYFUNCTION("IMPORTRANGE(""https://docs.google.com/spreadsheets/d/11923uPwbBZFjjGgGUA6NLw09EwE0CqkOc4q9oUmW1yo/edit?usp=sharing"",""เชียงใหม่!J39"")"),0)</f>
        <v>0</v>
      </c>
      <c r="K104" s="223"/>
      <c r="L104" s="168"/>
      <c r="M104" s="168"/>
      <c r="N104" s="168"/>
      <c r="O104" s="181"/>
      <c r="P104" s="181"/>
    </row>
    <row r="105" spans="1:16" ht="21.75" customHeight="1" x14ac:dyDescent="0.3">
      <c r="A105" s="175"/>
      <c r="B105" s="176"/>
      <c r="C105" s="176"/>
      <c r="D105" s="189">
        <v>2</v>
      </c>
      <c r="E105" s="190" t="s">
        <v>46</v>
      </c>
      <c r="F105" s="191"/>
      <c r="G105" s="192"/>
      <c r="H105" s="186"/>
      <c r="I105" s="187"/>
      <c r="J105" s="187">
        <f ca="1">IFERROR(__xludf.DUMMYFUNCTION("IMPORTRANGE(""https://docs.google.com/spreadsheets/d/11923uPwbBZFjjGgGUA6NLw09EwE0CqkOc4q9oUmW1yo/edit?usp=sharing"",""เชียงใหม่!J40"")"),1)</f>
        <v>1</v>
      </c>
      <c r="K105" s="223"/>
      <c r="L105" s="168" t="s">
        <v>40</v>
      </c>
      <c r="M105" s="168"/>
      <c r="N105" s="168" t="s">
        <v>40</v>
      </c>
      <c r="O105" s="181"/>
      <c r="P105" s="181"/>
    </row>
    <row r="106" spans="1:16" ht="21.75" customHeight="1" x14ac:dyDescent="0.3">
      <c r="A106" s="175"/>
      <c r="B106" s="176"/>
      <c r="C106" s="176"/>
      <c r="D106" s="193"/>
      <c r="E106" s="194" t="s">
        <v>47</v>
      </c>
      <c r="F106" s="195"/>
      <c r="G106" s="196"/>
      <c r="H106" s="186"/>
      <c r="I106" s="187"/>
      <c r="J106" s="187">
        <f ca="1">IFERROR(__xludf.DUMMYFUNCTION("IMPORTRANGE(""https://docs.google.com/spreadsheets/d/11923uPwbBZFjjGgGUA6NLw09EwE0CqkOc4q9oUmW1yo/edit?usp=sharing"",""เชียงใหม่!J41"")"),1)</f>
        <v>1</v>
      </c>
      <c r="K106" s="223"/>
      <c r="L106" s="168"/>
      <c r="M106" s="168"/>
      <c r="N106" s="168"/>
      <c r="O106" s="181"/>
      <c r="P106" s="181"/>
    </row>
    <row r="107" spans="1:16" ht="21.75" customHeight="1" x14ac:dyDescent="0.3">
      <c r="A107" s="175"/>
      <c r="B107" s="176"/>
      <c r="C107" s="176"/>
      <c r="D107" s="193"/>
      <c r="E107" s="194" t="s">
        <v>48</v>
      </c>
      <c r="F107" s="195"/>
      <c r="G107" s="196"/>
      <c r="H107" s="186"/>
      <c r="I107" s="187"/>
      <c r="J107" s="187">
        <f ca="1">IFERROR(__xludf.DUMMYFUNCTION("IMPORTRANGE(""https://docs.google.com/spreadsheets/d/11923uPwbBZFjjGgGUA6NLw09EwE0CqkOc4q9oUmW1yo/edit?usp=sharing"",""เชียงใหม่!J42"")"),1)</f>
        <v>1</v>
      </c>
      <c r="K107" s="223"/>
      <c r="L107" s="168"/>
      <c r="M107" s="168"/>
      <c r="N107" s="168"/>
      <c r="O107" s="181"/>
      <c r="P107" s="181"/>
    </row>
    <row r="108" spans="1:16" ht="21.75" customHeight="1" x14ac:dyDescent="0.3">
      <c r="A108" s="175"/>
      <c r="B108" s="176"/>
      <c r="C108" s="176"/>
      <c r="D108" s="193"/>
      <c r="E108" s="195"/>
      <c r="F108" s="195" t="s">
        <v>60</v>
      </c>
      <c r="G108" s="195"/>
      <c r="H108" s="180" t="s">
        <v>61</v>
      </c>
      <c r="I108" s="202">
        <f ca="1">IFERROR(__xludf.DUMMYFUNCTION("IMPORTRANGE(""https://docs.google.com/spreadsheets/d/11923uPwbBZFjjGgGUA6NLw09EwE0CqkOc4q9oUmW1yo/edit?usp=sharing"",""เชียงใหม่!I43"")"),1)</f>
        <v>1</v>
      </c>
      <c r="J108" s="203">
        <f ca="1">IFERROR(__xludf.DUMMYFUNCTION("IMPORTRANGE(""https://docs.google.com/spreadsheets/d/11923uPwbBZFjjGgGUA6NLw09EwE0CqkOc4q9oUmW1yo/edit?usp=sharing"",""เชียงใหม่!J43"")"),1)</f>
        <v>1</v>
      </c>
      <c r="K108" s="223">
        <f t="shared" ref="K108:K113" ca="1" si="57">IF(I108&gt;0,J108*100/I108,0)</f>
        <v>100</v>
      </c>
      <c r="L108" s="168"/>
      <c r="M108" s="168"/>
      <c r="N108" s="168"/>
      <c r="O108" s="181"/>
      <c r="P108" s="181"/>
    </row>
    <row r="109" spans="1:16" ht="21.75" customHeight="1" x14ac:dyDescent="0.3">
      <c r="A109" s="175"/>
      <c r="B109" s="176"/>
      <c r="C109" s="176"/>
      <c r="D109" s="193"/>
      <c r="E109" s="198"/>
      <c r="F109" s="194" t="s">
        <v>62</v>
      </c>
      <c r="G109" s="195"/>
      <c r="H109" s="180" t="s">
        <v>37</v>
      </c>
      <c r="I109" s="202">
        <f ca="1">IFERROR(__xludf.DUMMYFUNCTION("IMPORTRANGE(""https://docs.google.com/spreadsheets/d/11923uPwbBZFjjGgGUA6NLw09EwE0CqkOc4q9oUmW1yo/edit?usp=sharing"",""เชียงใหม่!I44"")"),4)</f>
        <v>4</v>
      </c>
      <c r="J109" s="203">
        <f ca="1">IFERROR(__xludf.DUMMYFUNCTION("IMPORTRANGE(""https://docs.google.com/spreadsheets/d/11923uPwbBZFjjGgGUA6NLw09EwE0CqkOc4q9oUmW1yo/edit?usp=sharing"",""เชียงใหม่!J44"")"),4)</f>
        <v>4</v>
      </c>
      <c r="K109" s="223">
        <f t="shared" ca="1" si="57"/>
        <v>100</v>
      </c>
      <c r="L109" s="168"/>
      <c r="M109" s="168"/>
      <c r="N109" s="168"/>
      <c r="O109" s="181"/>
      <c r="P109" s="181"/>
    </row>
    <row r="110" spans="1:16" ht="21.75" customHeight="1" x14ac:dyDescent="0.3">
      <c r="A110" s="175"/>
      <c r="B110" s="176"/>
      <c r="C110" s="176"/>
      <c r="D110" s="193"/>
      <c r="E110" s="198"/>
      <c r="F110" s="195"/>
      <c r="G110" s="224" t="s">
        <v>63</v>
      </c>
      <c r="H110" s="180" t="s">
        <v>37</v>
      </c>
      <c r="I110" s="202">
        <f ca="1">IFERROR(__xludf.DUMMYFUNCTION("IMPORTRANGE(""https://docs.google.com/spreadsheets/d/11923uPwbBZFjjGgGUA6NLw09EwE0CqkOc4q9oUmW1yo/edit?usp=sharing"",""เชียงใหม่!I45"")"),4)</f>
        <v>4</v>
      </c>
      <c r="J110" s="203">
        <f ca="1">IFERROR(__xludf.DUMMYFUNCTION("IMPORTRANGE(""https://docs.google.com/spreadsheets/d/11923uPwbBZFjjGgGUA6NLw09EwE0CqkOc4q9oUmW1yo/edit?usp=sharing"",""เชียงใหม่!J45"")"),4)</f>
        <v>4</v>
      </c>
      <c r="K110" s="223">
        <f t="shared" ca="1" si="57"/>
        <v>100</v>
      </c>
      <c r="L110" s="168"/>
      <c r="M110" s="168"/>
      <c r="N110" s="168"/>
      <c r="O110" s="181"/>
      <c r="P110" s="181"/>
    </row>
    <row r="111" spans="1:16" ht="21.75" customHeight="1" x14ac:dyDescent="0.3">
      <c r="A111" s="175"/>
      <c r="B111" s="176"/>
      <c r="C111" s="176"/>
      <c r="D111" s="193"/>
      <c r="E111" s="198"/>
      <c r="F111" s="195"/>
      <c r="G111" s="224" t="s">
        <v>64</v>
      </c>
      <c r="H111" s="180" t="s">
        <v>37</v>
      </c>
      <c r="I111" s="202">
        <f ca="1">IFERROR(__xludf.DUMMYFUNCTION("IMPORTRANGE(""https://docs.google.com/spreadsheets/d/11923uPwbBZFjjGgGUA6NLw09EwE0CqkOc4q9oUmW1yo/edit?usp=sharing"",""เชียงใหม่!I46"")"),4)</f>
        <v>4</v>
      </c>
      <c r="J111" s="203">
        <f ca="1">IFERROR(__xludf.DUMMYFUNCTION("IMPORTRANGE(""https://docs.google.com/spreadsheets/d/11923uPwbBZFjjGgGUA6NLw09EwE0CqkOc4q9oUmW1yo/edit?usp=sharing"",""เชียงใหม่!J46"")"),4)</f>
        <v>4</v>
      </c>
      <c r="K111" s="223">
        <f t="shared" ca="1" si="57"/>
        <v>100</v>
      </c>
      <c r="L111" s="168"/>
      <c r="M111" s="168"/>
      <c r="N111" s="168"/>
      <c r="O111" s="181"/>
      <c r="P111" s="181"/>
    </row>
    <row r="112" spans="1:16" ht="21.75" customHeight="1" x14ac:dyDescent="0.3">
      <c r="A112" s="175"/>
      <c r="B112" s="176"/>
      <c r="C112" s="176"/>
      <c r="D112" s="193"/>
      <c r="E112" s="198"/>
      <c r="F112" s="195"/>
      <c r="G112" s="225" t="s">
        <v>65</v>
      </c>
      <c r="H112" s="180" t="s">
        <v>37</v>
      </c>
      <c r="I112" s="202">
        <f ca="1">IFERROR(__xludf.DUMMYFUNCTION("IMPORTRANGE(""https://docs.google.com/spreadsheets/d/11923uPwbBZFjjGgGUA6NLw09EwE0CqkOc4q9oUmW1yo/edit?usp=sharing"",""เชียงใหม่!I47"")"),4)</f>
        <v>4</v>
      </c>
      <c r="J112" s="203">
        <f ca="1">IFERROR(__xludf.DUMMYFUNCTION("IMPORTRANGE(""https://docs.google.com/spreadsheets/d/11923uPwbBZFjjGgGUA6NLw09EwE0CqkOc4q9oUmW1yo/edit?usp=sharing"",""เชียงใหม่!J47"")"),0)</f>
        <v>0</v>
      </c>
      <c r="K112" s="223">
        <f t="shared" ca="1" si="57"/>
        <v>0</v>
      </c>
      <c r="L112" s="168"/>
      <c r="M112" s="168"/>
      <c r="N112" s="168"/>
      <c r="O112" s="181"/>
      <c r="P112" s="181"/>
    </row>
    <row r="113" spans="1:16" ht="21.75" customHeight="1" x14ac:dyDescent="0.3">
      <c r="A113" s="175"/>
      <c r="B113" s="176"/>
      <c r="C113" s="176"/>
      <c r="D113" s="193"/>
      <c r="E113" s="198"/>
      <c r="F113" s="195" t="s">
        <v>66</v>
      </c>
      <c r="G113" s="195"/>
      <c r="H113" s="180" t="s">
        <v>59</v>
      </c>
      <c r="I113" s="202">
        <f ca="1">IFERROR(__xludf.DUMMYFUNCTION("IMPORTRANGE(""https://docs.google.com/spreadsheets/d/11923uPwbBZFjjGgGUA6NLw09EwE0CqkOc4q9oUmW1yo/edit?usp=sharing"",""เชียงใหม่!I48"")"),1)</f>
        <v>1</v>
      </c>
      <c r="J113" s="203">
        <f ca="1">IFERROR(__xludf.DUMMYFUNCTION("IMPORTRANGE(""https://docs.google.com/spreadsheets/d/11923uPwbBZFjjGgGUA6NLw09EwE0CqkOc4q9oUmW1yo/edit?usp=sharing"",""เชียงใหม่!J48"")"),0)</f>
        <v>0</v>
      </c>
      <c r="K113" s="223">
        <f t="shared" ca="1" si="57"/>
        <v>0</v>
      </c>
      <c r="L113" s="168"/>
      <c r="M113" s="168"/>
      <c r="N113" s="168"/>
      <c r="O113" s="181"/>
      <c r="P113" s="181"/>
    </row>
    <row r="114" spans="1:16" ht="21.75" customHeight="1" x14ac:dyDescent="0.3">
      <c r="A114" s="175"/>
      <c r="B114" s="176"/>
      <c r="C114" s="176"/>
      <c r="D114" s="193"/>
      <c r="E114" s="194" t="s">
        <v>54</v>
      </c>
      <c r="F114" s="195"/>
      <c r="G114" s="196"/>
      <c r="H114" s="186"/>
      <c r="I114" s="187"/>
      <c r="J114" s="187">
        <f ca="1">IFERROR(__xludf.DUMMYFUNCTION("IMPORTRANGE(""https://docs.google.com/spreadsheets/d/11923uPwbBZFjjGgGUA6NLw09EwE0CqkOc4q9oUmW1yo/edit?usp=sharing"",""เชียงใหม่!J49"")"),0)</f>
        <v>0</v>
      </c>
      <c r="K114" s="223"/>
      <c r="L114" s="168"/>
      <c r="M114" s="168"/>
      <c r="N114" s="168"/>
      <c r="O114" s="181"/>
      <c r="P114" s="181"/>
    </row>
    <row r="115" spans="1:16" ht="21.75" customHeight="1" x14ac:dyDescent="0.3">
      <c r="A115" s="175"/>
      <c r="B115" s="176"/>
      <c r="C115" s="176"/>
      <c r="D115" s="205">
        <v>3</v>
      </c>
      <c r="E115" s="206" t="s">
        <v>55</v>
      </c>
      <c r="F115" s="207"/>
      <c r="G115" s="208"/>
      <c r="H115" s="186"/>
      <c r="I115" s="187"/>
      <c r="J115" s="226">
        <f ca="1">IFERROR(__xludf.DUMMYFUNCTION("IMPORTRANGE(""https://docs.google.com/spreadsheets/d/11923uPwbBZFjjGgGUA6NLw09EwE0CqkOc4q9oUmW1yo/edit?usp=sharing"",""เชียงใหม่!J50"")"),0)</f>
        <v>0</v>
      </c>
      <c r="K115" s="223"/>
      <c r="L115" s="168"/>
      <c r="M115" s="168"/>
      <c r="N115" s="168"/>
      <c r="O115" s="181"/>
      <c r="P115" s="181"/>
    </row>
    <row r="116" spans="1:16" ht="21.75" customHeight="1" x14ac:dyDescent="0.3">
      <c r="A116" s="210" t="s">
        <v>67</v>
      </c>
      <c r="B116" s="227"/>
      <c r="C116" s="228"/>
      <c r="D116" s="227"/>
      <c r="E116" s="229"/>
      <c r="F116" s="229"/>
      <c r="G116" s="230"/>
      <c r="H116" s="215"/>
      <c r="I116" s="216"/>
      <c r="J116" s="216"/>
      <c r="K116" s="217"/>
      <c r="L116" s="218"/>
      <c r="M116" s="218"/>
      <c r="N116" s="218"/>
      <c r="O116" s="219"/>
      <c r="P116" s="219"/>
    </row>
    <row r="117" spans="1:16" ht="21.75" customHeight="1" x14ac:dyDescent="0.3">
      <c r="A117" s="137"/>
      <c r="B117" s="138" t="s">
        <v>68</v>
      </c>
      <c r="C117" s="231"/>
      <c r="D117" s="139"/>
      <c r="E117" s="138"/>
      <c r="F117" s="138"/>
      <c r="G117" s="220"/>
      <c r="H117" s="140" t="s">
        <v>37</v>
      </c>
      <c r="I117" s="141">
        <f ca="1">IFERROR(__xludf.DUMMYFUNCTION("IMPORTRANGE(""https://docs.google.com/spreadsheets/d/11923uPwbBZFjjGgGUA6NLw09EwE0CqkOc4q9oUmW1yo/edit?usp=sharing"",""เชียงใหม่!I52"")"),0)</f>
        <v>0</v>
      </c>
      <c r="J117" s="141">
        <f ca="1">IFERROR(__xludf.DUMMYFUNCTION("IMPORTRANGE(""https://docs.google.com/spreadsheets/d/11923uPwbBZFjjGgGUA6NLw09EwE0CqkOc4q9oUmW1yo/edit?usp=sharing"",""เชียงใหม่!J52"")"),0)</f>
        <v>0</v>
      </c>
      <c r="K117" s="142">
        <f ca="1">IF(I117&gt;0,J117*100/I117,0)</f>
        <v>0</v>
      </c>
      <c r="L117" s="143"/>
      <c r="M117" s="143"/>
      <c r="N117" s="144"/>
      <c r="O117" s="142"/>
      <c r="P117" s="142"/>
    </row>
    <row r="118" spans="1:16" ht="21.75" customHeight="1" x14ac:dyDescent="0.45">
      <c r="A118" s="145"/>
      <c r="B118" s="146"/>
      <c r="C118" s="147" t="s">
        <v>16</v>
      </c>
      <c r="D118" s="537" t="s">
        <v>17</v>
      </c>
      <c r="E118" s="528"/>
      <c r="F118" s="528"/>
      <c r="G118" s="528"/>
      <c r="H118" s="148" t="s">
        <v>12</v>
      </c>
      <c r="I118" s="162"/>
      <c r="J118" s="162"/>
      <c r="K118" s="163"/>
      <c r="L118" s="151">
        <f t="shared" ref="L118:N118" ca="1" si="58">L119+L120</f>
        <v>0</v>
      </c>
      <c r="M118" s="151">
        <f t="shared" ca="1" si="58"/>
        <v>0</v>
      </c>
      <c r="N118" s="151">
        <f t="shared" ca="1" si="58"/>
        <v>0</v>
      </c>
      <c r="O118" s="150">
        <f t="shared" ref="O118:O120" ca="1" si="59">IF(L118&gt;0,N118*100/L118,0)</f>
        <v>0</v>
      </c>
      <c r="P118" s="150">
        <f t="shared" ref="P118:P120" ca="1" si="60">IF(M118&gt;0,N118*100/M118,0)</f>
        <v>0</v>
      </c>
    </row>
    <row r="119" spans="1:16" ht="21.75" customHeight="1" x14ac:dyDescent="0.45">
      <c r="A119" s="152"/>
      <c r="B119" s="32"/>
      <c r="C119" s="32"/>
      <c r="D119" s="32"/>
      <c r="E119" s="32"/>
      <c r="F119" s="32"/>
      <c r="G119" s="33" t="s">
        <v>18</v>
      </c>
      <c r="H119" s="153" t="s">
        <v>12</v>
      </c>
      <c r="I119" s="162"/>
      <c r="J119" s="162"/>
      <c r="K119" s="163"/>
      <c r="L119" s="87">
        <f t="shared" ref="L119:N119" si="61">L121+L125</f>
        <v>0</v>
      </c>
      <c r="M119" s="87">
        <f t="shared" si="61"/>
        <v>0</v>
      </c>
      <c r="N119" s="87">
        <f t="shared" si="61"/>
        <v>0</v>
      </c>
      <c r="O119" s="155">
        <f t="shared" si="59"/>
        <v>0</v>
      </c>
      <c r="P119" s="155">
        <f t="shared" si="60"/>
        <v>0</v>
      </c>
    </row>
    <row r="120" spans="1:16" ht="21.75" customHeight="1" x14ac:dyDescent="0.45">
      <c r="A120" s="152"/>
      <c r="B120" s="32"/>
      <c r="C120" s="32"/>
      <c r="D120" s="32"/>
      <c r="E120" s="32"/>
      <c r="F120" s="32"/>
      <c r="G120" s="33" t="s">
        <v>19</v>
      </c>
      <c r="H120" s="153" t="s">
        <v>12</v>
      </c>
      <c r="I120" s="162"/>
      <c r="J120" s="162"/>
      <c r="K120" s="163"/>
      <c r="L120" s="87">
        <f t="shared" ref="L120:N120" ca="1" si="62">L122+L126</f>
        <v>0</v>
      </c>
      <c r="M120" s="87">
        <f t="shared" ca="1" si="62"/>
        <v>0</v>
      </c>
      <c r="N120" s="87">
        <f t="shared" ca="1" si="62"/>
        <v>0</v>
      </c>
      <c r="O120" s="155">
        <f t="shared" ca="1" si="59"/>
        <v>0</v>
      </c>
      <c r="P120" s="155">
        <f t="shared" ca="1" si="60"/>
        <v>0</v>
      </c>
    </row>
    <row r="121" spans="1:16" ht="21.75" customHeight="1" x14ac:dyDescent="0.3">
      <c r="A121" s="156"/>
      <c r="B121" s="157"/>
      <c r="C121" s="157" t="s">
        <v>16</v>
      </c>
      <c r="D121" s="158" t="s">
        <v>38</v>
      </c>
      <c r="E121" s="159"/>
      <c r="F121" s="159"/>
      <c r="G121" s="160" t="s">
        <v>39</v>
      </c>
      <c r="H121" s="161" t="s">
        <v>12</v>
      </c>
      <c r="I121" s="162" t="s">
        <v>40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3">
      <c r="A122" s="156"/>
      <c r="B122" s="157"/>
      <c r="C122" s="157"/>
      <c r="D122" s="166"/>
      <c r="E122" s="159"/>
      <c r="F122" s="159" t="s">
        <v>40</v>
      </c>
      <c r="G122" s="160" t="s">
        <v>41</v>
      </c>
      <c r="H122" s="161" t="s">
        <v>12</v>
      </c>
      <c r="I122" s="162"/>
      <c r="J122" s="162"/>
      <c r="K122" s="163"/>
      <c r="L122" s="167">
        <f ca="1">L123+L124</f>
        <v>0</v>
      </c>
      <c r="M122" s="167">
        <f ca="1">IFERROR(__xludf.DUMMYFUNCTION("IMPORTRANGE(""https://docs.google.com/spreadsheets/d/1Yj_ptqi66GCucihVvJfMjLAmec39IyEx_6qawtMGysU/edit?usp=sharing"",""สบก!BA22"")"),0)</f>
        <v>0</v>
      </c>
      <c r="N122" s="168">
        <f ca="1">IFERROR(__xludf.DUMMYFUNCTION("IMPORTRANGE(""https://docs.google.com/spreadsheets/d/1Yj_ptqi66GCucihVvJfMjLAmec39IyEx_6qawtMGysU/edit?usp=sharing"",""สบก!BB22"")"),0)</f>
        <v>0</v>
      </c>
      <c r="O122" s="168">
        <f ca="1">IF(L122&gt;0,N122*100/L122,0)</f>
        <v>0</v>
      </c>
      <c r="P122" s="168">
        <f ca="1">IF(M122&gt;0,N122*100/M122,0)</f>
        <v>0</v>
      </c>
    </row>
    <row r="123" spans="1:16" ht="21.75" customHeight="1" x14ac:dyDescent="0.3">
      <c r="A123" s="156"/>
      <c r="B123" s="157"/>
      <c r="C123" s="157"/>
      <c r="D123" s="166"/>
      <c r="E123" s="159"/>
      <c r="F123" s="159"/>
      <c r="G123" s="169" t="s">
        <v>42</v>
      </c>
      <c r="H123" s="161" t="s">
        <v>12</v>
      </c>
      <c r="I123" s="162"/>
      <c r="J123" s="162"/>
      <c r="K123" s="163"/>
      <c r="L123" s="167">
        <f ca="1">IFERROR(__xludf.DUMMYFUNCTION("IMPORTRANGE(""https://docs.google.com/spreadsheets/d/1Yj_ptqi66GCucihVvJfMjLAmec39IyEx_6qawtMGysU/edit?usp=sharing"",""สบก!AW22"")"),0)</f>
        <v>0</v>
      </c>
      <c r="M123" s="167"/>
      <c r="N123" s="167"/>
      <c r="O123" s="168"/>
      <c r="P123" s="168"/>
    </row>
    <row r="124" spans="1:16" ht="21.75" customHeight="1" x14ac:dyDescent="0.3">
      <c r="A124" s="156"/>
      <c r="B124" s="157"/>
      <c r="C124" s="157"/>
      <c r="D124" s="166"/>
      <c r="E124" s="159"/>
      <c r="F124" s="159"/>
      <c r="G124" s="169" t="s">
        <v>43</v>
      </c>
      <c r="H124" s="161" t="s">
        <v>12</v>
      </c>
      <c r="I124" s="162"/>
      <c r="J124" s="187"/>
      <c r="K124" s="223"/>
      <c r="L124" s="167">
        <f ca="1">IFERROR(__xludf.DUMMYFUNCTION("IMPORTRANGE(""https://docs.google.com/spreadsheets/d/1Yj_ptqi66GCucihVvJfMjLAmec39IyEx_6qawtMGysU/edit?usp=sharing"",""สบก!AX22"")"),0)</f>
        <v>0</v>
      </c>
      <c r="M124" s="167"/>
      <c r="N124" s="167"/>
      <c r="O124" s="168"/>
      <c r="P124" s="168"/>
    </row>
    <row r="125" spans="1:16" ht="21.75" customHeight="1" x14ac:dyDescent="0.45">
      <c r="A125" s="170"/>
      <c r="B125" s="80"/>
      <c r="C125" s="81" t="s">
        <v>16</v>
      </c>
      <c r="D125" s="534" t="s">
        <v>23</v>
      </c>
      <c r="E125" s="530"/>
      <c r="F125" s="88"/>
      <c r="G125" s="82" t="s">
        <v>18</v>
      </c>
      <c r="H125" s="171" t="s">
        <v>12</v>
      </c>
      <c r="I125" s="187"/>
      <c r="J125" s="187"/>
      <c r="K125" s="223"/>
      <c r="L125" s="41">
        <v>0</v>
      </c>
      <c r="M125" s="41"/>
      <c r="N125" s="41"/>
      <c r="O125" s="41"/>
      <c r="P125" s="41"/>
    </row>
    <row r="126" spans="1:16" ht="21.75" customHeight="1" x14ac:dyDescent="0.45">
      <c r="A126" s="172"/>
      <c r="B126" s="91"/>
      <c r="C126" s="91"/>
      <c r="D126" s="173"/>
      <c r="E126" s="92"/>
      <c r="F126" s="92"/>
      <c r="G126" s="93" t="s">
        <v>19</v>
      </c>
      <c r="H126" s="174" t="s">
        <v>12</v>
      </c>
      <c r="I126" s="187"/>
      <c r="J126" s="187"/>
      <c r="K126" s="223"/>
      <c r="L126" s="49">
        <f ca="1">IFERROR(__xludf.DUMMYFUNCTION("IMPORTRANGE(""https://docs.google.com/spreadsheets/d/1Yj_ptqi66GCucihVvJfMjLAmec39IyEx_6qawtMGysU/edit?usp=sharing"",""สบก!AY22"")"),0)</f>
        <v>0</v>
      </c>
      <c r="M126" s="49"/>
      <c r="N126" s="49">
        <f ca="1">IFERROR(__xludf.DUMMYFUNCTION("IMPORTRANGE(""https://docs.google.com/spreadsheets/d/1Yj_ptqi66GCucihVvJfMjLAmec39IyEx_6qawtMGysU/edit?usp=sharing"",""สบก!BC22"")"),0)</f>
        <v>0</v>
      </c>
      <c r="O126" s="49">
        <f ca="1">IF(L126&gt;0,N126*100/L126,0)</f>
        <v>0</v>
      </c>
      <c r="P126" s="49"/>
    </row>
    <row r="127" spans="1:16" ht="21.75" customHeight="1" x14ac:dyDescent="0.3">
      <c r="A127" s="175"/>
      <c r="B127" s="176"/>
      <c r="C127" s="157" t="s">
        <v>16</v>
      </c>
      <c r="D127" s="232" t="s">
        <v>243</v>
      </c>
      <c r="E127" s="178"/>
      <c r="F127" s="178"/>
      <c r="G127" s="179"/>
      <c r="H127" s="180"/>
      <c r="I127" s="162"/>
      <c r="J127" s="187"/>
      <c r="K127" s="223"/>
      <c r="L127" s="168"/>
      <c r="M127" s="168"/>
      <c r="N127" s="168"/>
      <c r="O127" s="181"/>
      <c r="P127" s="181"/>
    </row>
    <row r="128" spans="1:16" ht="21.75" customHeight="1" x14ac:dyDescent="0.3">
      <c r="A128" s="175"/>
      <c r="B128" s="176"/>
      <c r="C128" s="176"/>
      <c r="D128" s="182">
        <v>1</v>
      </c>
      <c r="E128" s="183" t="s">
        <v>45</v>
      </c>
      <c r="F128" s="184"/>
      <c r="G128" s="185"/>
      <c r="H128" s="186"/>
      <c r="I128" s="187"/>
      <c r="J128" s="203">
        <f ca="1">IFERROR(__xludf.DUMMYFUNCTION("IMPORTRANGE(""https://docs.google.com/spreadsheets/d/11923uPwbBZFjjGgGUA6NLw09EwE0CqkOc4q9oUmW1yo/edit?usp=sharing"",""เชียงใหม่!J58"")"),0)</f>
        <v>0</v>
      </c>
      <c r="K128" s="223"/>
      <c r="L128" s="168"/>
      <c r="M128" s="168"/>
      <c r="N128" s="168"/>
      <c r="O128" s="181"/>
      <c r="P128" s="181"/>
    </row>
    <row r="129" spans="1:16" ht="21.75" customHeight="1" x14ac:dyDescent="0.3">
      <c r="A129" s="175"/>
      <c r="B129" s="176"/>
      <c r="C129" s="176"/>
      <c r="D129" s="189">
        <v>2</v>
      </c>
      <c r="E129" s="190" t="s">
        <v>46</v>
      </c>
      <c r="F129" s="191"/>
      <c r="G129" s="192"/>
      <c r="H129" s="186"/>
      <c r="I129" s="187"/>
      <c r="J129" s="187">
        <f ca="1">IFERROR(__xludf.DUMMYFUNCTION("IMPORTRANGE(""https://docs.google.com/spreadsheets/d/11923uPwbBZFjjGgGUA6NLw09EwE0CqkOc4q9oUmW1yo/edit?usp=sharing"",""เชียงใหม่!J59"")"),0)</f>
        <v>0</v>
      </c>
      <c r="K129" s="223"/>
      <c r="L129" s="168" t="s">
        <v>40</v>
      </c>
      <c r="M129" s="168"/>
      <c r="N129" s="168" t="s">
        <v>40</v>
      </c>
      <c r="O129" s="181"/>
      <c r="P129" s="181"/>
    </row>
    <row r="130" spans="1:16" ht="21.75" customHeight="1" x14ac:dyDescent="0.3">
      <c r="A130" s="175"/>
      <c r="B130" s="176"/>
      <c r="C130" s="176"/>
      <c r="D130" s="193"/>
      <c r="E130" s="194" t="s">
        <v>47</v>
      </c>
      <c r="F130" s="195"/>
      <c r="G130" s="196"/>
      <c r="H130" s="186"/>
      <c r="I130" s="187"/>
      <c r="J130" s="187">
        <f ca="1">IFERROR(__xludf.DUMMYFUNCTION("IMPORTRANGE(""https://docs.google.com/spreadsheets/d/11923uPwbBZFjjGgGUA6NLw09EwE0CqkOc4q9oUmW1yo/edit?usp=sharing"",""เชียงใหม่!J60"")"),0)</f>
        <v>0</v>
      </c>
      <c r="K130" s="223"/>
      <c r="L130" s="168"/>
      <c r="M130" s="168"/>
      <c r="N130" s="168"/>
      <c r="O130" s="181"/>
      <c r="P130" s="181"/>
    </row>
    <row r="131" spans="1:16" ht="21.75" customHeight="1" x14ac:dyDescent="0.3">
      <c r="A131" s="175"/>
      <c r="B131" s="176"/>
      <c r="C131" s="176"/>
      <c r="D131" s="193"/>
      <c r="E131" s="194" t="s">
        <v>48</v>
      </c>
      <c r="F131" s="195"/>
      <c r="G131" s="196"/>
      <c r="H131" s="186"/>
      <c r="I131" s="187"/>
      <c r="J131" s="187">
        <f ca="1">IFERROR(__xludf.DUMMYFUNCTION("IMPORTRANGE(""https://docs.google.com/spreadsheets/d/11923uPwbBZFjjGgGUA6NLw09EwE0CqkOc4q9oUmW1yo/edit?usp=sharing"",""เชียงใหม่!J61"")"),0)</f>
        <v>0</v>
      </c>
      <c r="K131" s="223"/>
      <c r="L131" s="168"/>
      <c r="M131" s="168"/>
      <c r="N131" s="168"/>
      <c r="O131" s="181"/>
      <c r="P131" s="181"/>
    </row>
    <row r="132" spans="1:16" ht="21.75" customHeight="1" x14ac:dyDescent="0.3">
      <c r="A132" s="175"/>
      <c r="B132" s="176"/>
      <c r="C132" s="176"/>
      <c r="D132" s="193"/>
      <c r="E132" s="198"/>
      <c r="F132" s="194" t="s">
        <v>70</v>
      </c>
      <c r="G132" s="196"/>
      <c r="H132" s="180" t="s">
        <v>37</v>
      </c>
      <c r="I132" s="187">
        <f ca="1">IFERROR(__xludf.DUMMYFUNCTION("IMPORTRANGE(""https://docs.google.com/spreadsheets/d/11923uPwbBZFjjGgGUA6NLw09EwE0CqkOc4q9oUmW1yo/edit?usp=sharing"",""เชียงใหม่!I62"")"),0)</f>
        <v>0</v>
      </c>
      <c r="J132" s="203">
        <f ca="1">IFERROR(__xludf.DUMMYFUNCTION("IMPORTRANGE(""https://docs.google.com/spreadsheets/d/11923uPwbBZFjjGgGUA6NLw09EwE0CqkOc4q9oUmW1yo/edit?usp=sharing"",""เชียงใหม่!J62"")"),0)</f>
        <v>0</v>
      </c>
      <c r="K132" s="223">
        <f t="shared" ref="K132:K133" ca="1" si="63">IF(I132&gt;0,J132*100/I132,0)</f>
        <v>0</v>
      </c>
      <c r="L132" s="168"/>
      <c r="M132" s="168"/>
      <c r="N132" s="168"/>
      <c r="O132" s="181"/>
      <c r="P132" s="181"/>
    </row>
    <row r="133" spans="1:16" ht="21.75" customHeight="1" x14ac:dyDescent="0.3">
      <c r="A133" s="175"/>
      <c r="B133" s="176"/>
      <c r="C133" s="176"/>
      <c r="D133" s="193"/>
      <c r="E133" s="198"/>
      <c r="F133" s="194" t="s">
        <v>71</v>
      </c>
      <c r="G133" s="196"/>
      <c r="H133" s="180" t="s">
        <v>37</v>
      </c>
      <c r="I133" s="187">
        <f ca="1">IFERROR(__xludf.DUMMYFUNCTION("IMPORTRANGE(""https://docs.google.com/spreadsheets/d/11923uPwbBZFjjGgGUA6NLw09EwE0CqkOc4q9oUmW1yo/edit?usp=sharing"",""เชียงใหม่!I63"")"),0)</f>
        <v>0</v>
      </c>
      <c r="J133" s="203">
        <f ca="1">IFERROR(__xludf.DUMMYFUNCTION("IMPORTRANGE(""https://docs.google.com/spreadsheets/d/11923uPwbBZFjjGgGUA6NLw09EwE0CqkOc4q9oUmW1yo/edit?usp=sharing"",""เชียงใหม่!J63"")"),0)</f>
        <v>0</v>
      </c>
      <c r="K133" s="223">
        <f t="shared" ca="1" si="63"/>
        <v>0</v>
      </c>
      <c r="L133" s="168"/>
      <c r="M133" s="168"/>
      <c r="N133" s="168"/>
      <c r="O133" s="181"/>
      <c r="P133" s="181"/>
    </row>
    <row r="134" spans="1:16" ht="21.75" customHeight="1" x14ac:dyDescent="0.3">
      <c r="A134" s="175"/>
      <c r="B134" s="176"/>
      <c r="C134" s="176"/>
      <c r="D134" s="193"/>
      <c r="E134" s="194" t="s">
        <v>54</v>
      </c>
      <c r="F134" s="195"/>
      <c r="G134" s="196"/>
      <c r="H134" s="186"/>
      <c r="I134" s="187"/>
      <c r="J134" s="187">
        <f ca="1">IFERROR(__xludf.DUMMYFUNCTION("IMPORTRANGE(""https://docs.google.com/spreadsheets/d/11923uPwbBZFjjGgGUA6NLw09EwE0CqkOc4q9oUmW1yo/edit?usp=sharing"",""เชียงใหม่!J64"")"),0)</f>
        <v>0</v>
      </c>
      <c r="K134" s="223"/>
      <c r="L134" s="168"/>
      <c r="M134" s="168"/>
      <c r="N134" s="168"/>
      <c r="O134" s="181"/>
      <c r="P134" s="181"/>
    </row>
    <row r="135" spans="1:16" ht="21.75" customHeight="1" x14ac:dyDescent="0.3">
      <c r="A135" s="233"/>
      <c r="B135" s="234"/>
      <c r="C135" s="234"/>
      <c r="D135" s="235">
        <v>3</v>
      </c>
      <c r="E135" s="236" t="s">
        <v>55</v>
      </c>
      <c r="F135" s="237"/>
      <c r="G135" s="238"/>
      <c r="H135" s="239"/>
      <c r="I135" s="240"/>
      <c r="J135" s="241">
        <f ca="1">IFERROR(__xludf.DUMMYFUNCTION("IMPORTRANGE(""https://docs.google.com/spreadsheets/d/11923uPwbBZFjjGgGUA6NLw09EwE0CqkOc4q9oUmW1yo/edit?usp=sharing"",""เชียงใหม่!J65"")"),0)</f>
        <v>0</v>
      </c>
      <c r="K135" s="242"/>
      <c r="L135" s="243"/>
      <c r="M135" s="243"/>
      <c r="N135" s="243"/>
      <c r="O135" s="244"/>
      <c r="P135" s="244"/>
    </row>
    <row r="136" spans="1:16" ht="21.75" customHeight="1" x14ac:dyDescent="0.3">
      <c r="A136" s="245" t="s">
        <v>72</v>
      </c>
      <c r="B136" s="246"/>
      <c r="C136" s="246"/>
      <c r="D136" s="246"/>
      <c r="E136" s="247"/>
      <c r="F136" s="247"/>
      <c r="G136" s="248"/>
      <c r="H136" s="249"/>
      <c r="I136" s="250"/>
      <c r="J136" s="250"/>
      <c r="K136" s="251"/>
      <c r="L136" s="252"/>
      <c r="M136" s="252"/>
      <c r="N136" s="252"/>
      <c r="O136" s="252"/>
      <c r="P136" s="252"/>
    </row>
    <row r="137" spans="1:16" ht="21.75" customHeight="1" x14ac:dyDescent="0.3">
      <c r="A137" s="253" t="s">
        <v>73</v>
      </c>
      <c r="B137" s="254"/>
      <c r="C137" s="254"/>
      <c r="D137" s="255"/>
      <c r="E137" s="255"/>
      <c r="F137" s="255"/>
      <c r="G137" s="256"/>
      <c r="H137" s="257"/>
      <c r="I137" s="258"/>
      <c r="J137" s="258"/>
      <c r="K137" s="259"/>
      <c r="L137" s="259"/>
      <c r="M137" s="259"/>
      <c r="N137" s="259"/>
      <c r="O137" s="260"/>
      <c r="P137" s="260"/>
    </row>
    <row r="138" spans="1:16" ht="21.75" customHeight="1" x14ac:dyDescent="0.3">
      <c r="A138" s="261"/>
      <c r="B138" s="262" t="s">
        <v>74</v>
      </c>
      <c r="C138" s="263"/>
      <c r="D138" s="262"/>
      <c r="E138" s="262"/>
      <c r="F138" s="262"/>
      <c r="G138" s="264"/>
      <c r="H138" s="265" t="s">
        <v>37</v>
      </c>
      <c r="I138" s="266">
        <f ca="1">IFERROR(__xludf.DUMMYFUNCTION("IMPORTRANGE(""https://docs.google.com/spreadsheets/d/11923uPwbBZFjjGgGUA6NLw09EwE0CqkOc4q9oUmW1yo/edit?usp=sharing"",""เชียงใหม่!I68"")"),100)</f>
        <v>100</v>
      </c>
      <c r="J138" s="266">
        <f ca="1">IFERROR(__xludf.DUMMYFUNCTION("IMPORTRANGE(""https://docs.google.com/spreadsheets/d/11923uPwbBZFjjGgGUA6NLw09EwE0CqkOc4q9oUmW1yo/edit?usp=sharing"",""เชียงใหม่!J68"")"),100)</f>
        <v>100</v>
      </c>
      <c r="K138" s="267">
        <f ca="1">IF(I138&gt;0,J138*100/I138,0)</f>
        <v>100</v>
      </c>
      <c r="L138" s="268"/>
      <c r="M138" s="268"/>
      <c r="N138" s="268"/>
      <c r="O138" s="267"/>
      <c r="P138" s="267"/>
    </row>
    <row r="139" spans="1:16" ht="21.75" customHeight="1" x14ac:dyDescent="0.3">
      <c r="A139" s="261"/>
      <c r="B139" s="262" t="s">
        <v>75</v>
      </c>
      <c r="C139" s="263"/>
      <c r="D139" s="262"/>
      <c r="E139" s="262"/>
      <c r="F139" s="262"/>
      <c r="G139" s="264"/>
      <c r="H139" s="265"/>
      <c r="I139" s="266"/>
      <c r="J139" s="266"/>
      <c r="K139" s="267"/>
      <c r="L139" s="268"/>
      <c r="M139" s="268"/>
      <c r="N139" s="268"/>
      <c r="O139" s="267"/>
      <c r="P139" s="267"/>
    </row>
    <row r="140" spans="1:16" ht="21.75" customHeight="1" x14ac:dyDescent="0.45">
      <c r="A140" s="145"/>
      <c r="B140" s="146"/>
      <c r="C140" s="147" t="s">
        <v>16</v>
      </c>
      <c r="D140" s="537" t="s">
        <v>17</v>
      </c>
      <c r="E140" s="528"/>
      <c r="F140" s="528"/>
      <c r="G140" s="528"/>
      <c r="H140" s="148" t="s">
        <v>12</v>
      </c>
      <c r="I140" s="162"/>
      <c r="J140" s="162"/>
      <c r="K140" s="163"/>
      <c r="L140" s="151">
        <f t="shared" ref="L140:N140" ca="1" si="64">L141+L142</f>
        <v>891700</v>
      </c>
      <c r="M140" s="151">
        <f t="shared" ca="1" si="64"/>
        <v>463150</v>
      </c>
      <c r="N140" s="151">
        <f t="shared" ca="1" si="64"/>
        <v>309206</v>
      </c>
      <c r="O140" s="150">
        <f t="shared" ref="O140:O142" ca="1" si="65">IF(L140&gt;0,N140*100/L140,0)</f>
        <v>34.676012111696757</v>
      </c>
      <c r="P140" s="150">
        <f t="shared" ref="P140:P142" ca="1" si="66">IF(M140&gt;0,N140*100/M140,0)</f>
        <v>66.761524344164954</v>
      </c>
    </row>
    <row r="141" spans="1:16" ht="21.75" customHeight="1" x14ac:dyDescent="0.45">
      <c r="A141" s="152"/>
      <c r="B141" s="32"/>
      <c r="C141" s="32"/>
      <c r="D141" s="32"/>
      <c r="E141" s="32"/>
      <c r="F141" s="32"/>
      <c r="G141" s="33" t="s">
        <v>18</v>
      </c>
      <c r="H141" s="153" t="s">
        <v>12</v>
      </c>
      <c r="I141" s="162"/>
      <c r="J141" s="162"/>
      <c r="K141" s="163"/>
      <c r="L141" s="87">
        <f t="shared" ref="L141:N141" si="67">L143+L147</f>
        <v>0</v>
      </c>
      <c r="M141" s="87">
        <f t="shared" si="67"/>
        <v>0</v>
      </c>
      <c r="N141" s="87">
        <f t="shared" si="67"/>
        <v>0</v>
      </c>
      <c r="O141" s="155">
        <f t="shared" si="65"/>
        <v>0</v>
      </c>
      <c r="P141" s="155">
        <f t="shared" si="66"/>
        <v>0</v>
      </c>
    </row>
    <row r="142" spans="1:16" ht="21.75" customHeight="1" x14ac:dyDescent="0.45">
      <c r="A142" s="152"/>
      <c r="B142" s="32"/>
      <c r="C142" s="32"/>
      <c r="D142" s="32"/>
      <c r="E142" s="32"/>
      <c r="F142" s="32"/>
      <c r="G142" s="33" t="s">
        <v>19</v>
      </c>
      <c r="H142" s="153" t="s">
        <v>12</v>
      </c>
      <c r="I142" s="162"/>
      <c r="J142" s="162"/>
      <c r="K142" s="163"/>
      <c r="L142" s="87">
        <f t="shared" ref="L142:N142" ca="1" si="68">L144+L148</f>
        <v>891700</v>
      </c>
      <c r="M142" s="87">
        <f t="shared" ca="1" si="68"/>
        <v>463150</v>
      </c>
      <c r="N142" s="87">
        <f t="shared" ca="1" si="68"/>
        <v>309206</v>
      </c>
      <c r="O142" s="155">
        <f t="shared" ca="1" si="65"/>
        <v>34.676012111696757</v>
      </c>
      <c r="P142" s="155">
        <f t="shared" ca="1" si="66"/>
        <v>66.761524344164954</v>
      </c>
    </row>
    <row r="143" spans="1:16" ht="21.75" customHeight="1" x14ac:dyDescent="0.3">
      <c r="A143" s="156"/>
      <c r="B143" s="157"/>
      <c r="C143" s="157" t="s">
        <v>16</v>
      </c>
      <c r="D143" s="158" t="s">
        <v>38</v>
      </c>
      <c r="E143" s="159"/>
      <c r="F143" s="159"/>
      <c r="G143" s="160" t="s">
        <v>39</v>
      </c>
      <c r="H143" s="161" t="s">
        <v>12</v>
      </c>
      <c r="I143" s="162" t="s">
        <v>40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3">
      <c r="A144" s="156"/>
      <c r="B144" s="157"/>
      <c r="C144" s="157"/>
      <c r="D144" s="166"/>
      <c r="E144" s="159"/>
      <c r="F144" s="159" t="s">
        <v>40</v>
      </c>
      <c r="G144" s="160" t="s">
        <v>41</v>
      </c>
      <c r="H144" s="161" t="s">
        <v>12</v>
      </c>
      <c r="I144" s="162"/>
      <c r="J144" s="162"/>
      <c r="K144" s="163"/>
      <c r="L144" s="167">
        <f ca="1">L145+L146</f>
        <v>891700</v>
      </c>
      <c r="M144" s="167">
        <f ca="1">IFERROR(__xludf.DUMMYFUNCTION("IMPORTRANGE(""https://docs.google.com/spreadsheets/d/1Yj_ptqi66GCucihVvJfMjLAmec39IyEx_6qawtMGysU/edit?usp=sharing"",""สบก!BJ22"")"),463150)</f>
        <v>463150</v>
      </c>
      <c r="N144" s="168">
        <f ca="1">IFERROR(__xludf.DUMMYFUNCTION("IMPORTRANGE(""https://docs.google.com/spreadsheets/d/1Yj_ptqi66GCucihVvJfMjLAmec39IyEx_6qawtMGysU/edit?usp=sharing"",""สบก!BK22"")"),309206)</f>
        <v>309206</v>
      </c>
      <c r="O144" s="168">
        <f ca="1">IF(L144&gt;0,N144*100/L144,0)</f>
        <v>34.676012111696757</v>
      </c>
      <c r="P144" s="168">
        <f ca="1">IF(M144&gt;0,N144*100/M144,0)</f>
        <v>66.761524344164954</v>
      </c>
    </row>
    <row r="145" spans="1:16" ht="21.75" customHeight="1" x14ac:dyDescent="0.3">
      <c r="A145" s="156"/>
      <c r="B145" s="157"/>
      <c r="C145" s="157"/>
      <c r="D145" s="166"/>
      <c r="E145" s="159"/>
      <c r="F145" s="159"/>
      <c r="G145" s="169" t="s">
        <v>42</v>
      </c>
      <c r="H145" s="161" t="s">
        <v>12</v>
      </c>
      <c r="I145" s="162"/>
      <c r="J145" s="162"/>
      <c r="K145" s="163"/>
      <c r="L145" s="167">
        <f ca="1">IFERROR(__xludf.DUMMYFUNCTION("IMPORTRANGE(""https://docs.google.com/spreadsheets/d/1Yj_ptqi66GCucihVvJfMjLAmec39IyEx_6qawtMGysU/edit?usp=sharing"",""สบก!BF22"")"),331400)</f>
        <v>331400</v>
      </c>
      <c r="M145" s="167"/>
      <c r="N145" s="167"/>
      <c r="O145" s="168"/>
      <c r="P145" s="168"/>
    </row>
    <row r="146" spans="1:16" ht="21.75" customHeight="1" x14ac:dyDescent="0.3">
      <c r="A146" s="156"/>
      <c r="B146" s="157"/>
      <c r="C146" s="157"/>
      <c r="D146" s="166"/>
      <c r="E146" s="159"/>
      <c r="F146" s="159"/>
      <c r="G146" s="169" t="s">
        <v>43</v>
      </c>
      <c r="H146" s="161" t="s">
        <v>12</v>
      </c>
      <c r="I146" s="162"/>
      <c r="J146" s="162"/>
      <c r="K146" s="163"/>
      <c r="L146" s="167">
        <f ca="1">IFERROR(__xludf.DUMMYFUNCTION("IMPORTRANGE(""https://docs.google.com/spreadsheets/d/1Yj_ptqi66GCucihVvJfMjLAmec39IyEx_6qawtMGysU/edit?usp=sharing"",""สบก!BG22"")"),560300)</f>
        <v>560300</v>
      </c>
      <c r="M146" s="167"/>
      <c r="N146" s="167"/>
      <c r="O146" s="168"/>
      <c r="P146" s="168"/>
    </row>
    <row r="147" spans="1:16" ht="21.75" customHeight="1" x14ac:dyDescent="0.45">
      <c r="A147" s="170"/>
      <c r="B147" s="80"/>
      <c r="C147" s="81" t="s">
        <v>16</v>
      </c>
      <c r="D147" s="534" t="s">
        <v>23</v>
      </c>
      <c r="E147" s="530"/>
      <c r="F147" s="88"/>
      <c r="G147" s="82" t="s">
        <v>18</v>
      </c>
      <c r="H147" s="171" t="s">
        <v>12</v>
      </c>
      <c r="I147" s="187"/>
      <c r="J147" s="187"/>
      <c r="K147" s="223"/>
      <c r="L147" s="41">
        <v>0</v>
      </c>
      <c r="M147" s="41"/>
      <c r="N147" s="41"/>
      <c r="O147" s="41"/>
      <c r="P147" s="41"/>
    </row>
    <row r="148" spans="1:16" ht="21.75" customHeight="1" x14ac:dyDescent="0.45">
      <c r="A148" s="172"/>
      <c r="B148" s="91"/>
      <c r="C148" s="91"/>
      <c r="D148" s="173"/>
      <c r="E148" s="92"/>
      <c r="F148" s="92"/>
      <c r="G148" s="93" t="s">
        <v>19</v>
      </c>
      <c r="H148" s="174" t="s">
        <v>12</v>
      </c>
      <c r="I148" s="187"/>
      <c r="J148" s="187"/>
      <c r="K148" s="223"/>
      <c r="L148" s="49">
        <f ca="1">IFERROR(__xludf.DUMMYFUNCTION("IMPORTRANGE(""https://docs.google.com/spreadsheets/d/1Yj_ptqi66GCucihVvJfMjLAmec39IyEx_6qawtMGysU/edit?usp=sharing"",""สบก!BH22"")"),0)</f>
        <v>0</v>
      </c>
      <c r="M148" s="49"/>
      <c r="N148" s="49">
        <f ca="1">IFERROR(__xludf.DUMMYFUNCTION("IMPORTRANGE(""https://docs.google.com/spreadsheets/d/1Yj_ptqi66GCucihVvJfMjLAmec39IyEx_6qawtMGysU/edit?usp=sharing"",""สบก!BL22"")"),0)</f>
        <v>0</v>
      </c>
      <c r="O148" s="49">
        <f ca="1">IF(L148&gt;0,N148*100/L148,0)</f>
        <v>0</v>
      </c>
      <c r="P148" s="49"/>
    </row>
    <row r="149" spans="1:16" ht="21.75" customHeight="1" x14ac:dyDescent="0.3">
      <c r="A149" s="269"/>
      <c r="B149" s="270"/>
      <c r="C149" s="271" t="s">
        <v>76</v>
      </c>
      <c r="D149" s="271"/>
      <c r="E149" s="271"/>
      <c r="F149" s="271"/>
      <c r="G149" s="272"/>
      <c r="H149" s="273" t="s">
        <v>77</v>
      </c>
      <c r="I149" s="274">
        <f ca="1">IFERROR(__xludf.DUMMYFUNCTION("IMPORTRANGE(""https://docs.google.com/spreadsheets/d/11923uPwbBZFjjGgGUA6NLw09EwE0CqkOc4q9oUmW1yo/edit?usp=sharing"",""เชียงใหม่!I74"")"),4)</f>
        <v>4</v>
      </c>
      <c r="J149" s="274">
        <f ca="1">IFERROR(__xludf.DUMMYFUNCTION("IMPORTRANGE(""https://docs.google.com/spreadsheets/d/11923uPwbBZFjjGgGUA6NLw09EwE0CqkOc4q9oUmW1yo/edit?usp=sharing"",""เชียงใหม่!J74"")"),1)</f>
        <v>1</v>
      </c>
      <c r="K149" s="275">
        <f ca="1">IF(I149&gt;0,J149*100/I149,0)</f>
        <v>25</v>
      </c>
      <c r="L149" s="276"/>
      <c r="M149" s="276"/>
      <c r="N149" s="276"/>
      <c r="O149" s="276"/>
      <c r="P149" s="276"/>
    </row>
    <row r="150" spans="1:16" ht="21.75" customHeight="1" x14ac:dyDescent="0.3">
      <c r="A150" s="156"/>
      <c r="B150" s="157"/>
      <c r="C150" s="157" t="s">
        <v>16</v>
      </c>
      <c r="D150" s="158" t="s">
        <v>38</v>
      </c>
      <c r="E150" s="159"/>
      <c r="F150" s="159"/>
      <c r="G150" s="160" t="s">
        <v>39</v>
      </c>
      <c r="H150" s="161" t="s">
        <v>12</v>
      </c>
      <c r="I150" s="162" t="s">
        <v>40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3">
      <c r="A151" s="156"/>
      <c r="B151" s="157"/>
      <c r="C151" s="157"/>
      <c r="D151" s="166"/>
      <c r="E151" s="159"/>
      <c r="F151" s="159" t="s">
        <v>40</v>
      </c>
      <c r="G151" s="160" t="s">
        <v>41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3">
      <c r="A152" s="156"/>
      <c r="B152" s="157"/>
      <c r="C152" s="157"/>
      <c r="D152" s="166"/>
      <c r="E152" s="159"/>
      <c r="F152" s="159"/>
      <c r="G152" s="169" t="s">
        <v>43</v>
      </c>
      <c r="H152" s="161" t="s">
        <v>12</v>
      </c>
      <c r="I152" s="162"/>
      <c r="J152" s="162"/>
      <c r="K152" s="163"/>
      <c r="L152" s="168"/>
      <c r="M152" s="168"/>
      <c r="N152" s="167"/>
      <c r="O152" s="168"/>
      <c r="P152" s="168"/>
    </row>
    <row r="153" spans="1:16" ht="21.75" customHeight="1" x14ac:dyDescent="0.3">
      <c r="A153" s="175"/>
      <c r="B153" s="176"/>
      <c r="C153" s="157" t="s">
        <v>16</v>
      </c>
      <c r="D153" s="177" t="s">
        <v>44</v>
      </c>
      <c r="E153" s="178"/>
      <c r="F153" s="178"/>
      <c r="G153" s="179"/>
      <c r="H153" s="180"/>
      <c r="I153" s="162"/>
      <c r="J153" s="162"/>
      <c r="K153" s="163"/>
      <c r="L153" s="181"/>
      <c r="M153" s="181"/>
      <c r="N153" s="181"/>
      <c r="O153" s="181"/>
      <c r="P153" s="181"/>
    </row>
    <row r="154" spans="1:16" ht="21.75" customHeight="1" x14ac:dyDescent="0.3">
      <c r="A154" s="175"/>
      <c r="B154" s="176"/>
      <c r="C154" s="176"/>
      <c r="D154" s="182">
        <v>1</v>
      </c>
      <c r="E154" s="183" t="s">
        <v>45</v>
      </c>
      <c r="F154" s="184"/>
      <c r="G154" s="185"/>
      <c r="H154" s="186"/>
      <c r="I154" s="187"/>
      <c r="J154" s="188">
        <f ca="1">IFERROR(__xludf.DUMMYFUNCTION("IMPORTRANGE(""https://docs.google.com/spreadsheets/d/11923uPwbBZFjjGgGUA6NLw09EwE0CqkOc4q9oUmW1yo/edit?usp=sharing"",""เชียงใหม่!J79"")"),0)</f>
        <v>0</v>
      </c>
      <c r="K154" s="163"/>
      <c r="L154" s="181"/>
      <c r="M154" s="181"/>
      <c r="N154" s="181"/>
      <c r="O154" s="181"/>
      <c r="P154" s="181"/>
    </row>
    <row r="155" spans="1:16" ht="21.75" customHeight="1" x14ac:dyDescent="0.3">
      <c r="A155" s="175"/>
      <c r="B155" s="176"/>
      <c r="C155" s="176"/>
      <c r="D155" s="189">
        <v>2</v>
      </c>
      <c r="E155" s="190" t="s">
        <v>46</v>
      </c>
      <c r="F155" s="191"/>
      <c r="G155" s="192"/>
      <c r="H155" s="186"/>
      <c r="I155" s="187"/>
      <c r="J155" s="197">
        <f ca="1">IFERROR(__xludf.DUMMYFUNCTION("IMPORTRANGE(""https://docs.google.com/spreadsheets/d/11923uPwbBZFjjGgGUA6NLw09EwE0CqkOc4q9oUmW1yo/edit?usp=sharing"",""เชียงใหม่!J80"")"),1)</f>
        <v>1</v>
      </c>
      <c r="K155" s="163"/>
      <c r="L155" s="181"/>
      <c r="M155" s="181"/>
      <c r="N155" s="181"/>
      <c r="O155" s="181"/>
      <c r="P155" s="181"/>
    </row>
    <row r="156" spans="1:16" ht="21.75" customHeight="1" x14ac:dyDescent="0.3">
      <c r="A156" s="175"/>
      <c r="B156" s="176"/>
      <c r="C156" s="176"/>
      <c r="D156" s="193"/>
      <c r="E156" s="194" t="s">
        <v>47</v>
      </c>
      <c r="F156" s="195"/>
      <c r="G156" s="196"/>
      <c r="H156" s="186"/>
      <c r="I156" s="187"/>
      <c r="J156" s="197">
        <f ca="1">IFERROR(__xludf.DUMMYFUNCTION("IMPORTRANGE(""https://docs.google.com/spreadsheets/d/11923uPwbBZFjjGgGUA6NLw09EwE0CqkOc4q9oUmW1yo/edit?usp=sharing"",""เชียงใหม่!J81"")"),1)</f>
        <v>1</v>
      </c>
      <c r="K156" s="163"/>
      <c r="L156" s="181"/>
      <c r="M156" s="181"/>
      <c r="N156" s="181"/>
      <c r="O156" s="181"/>
      <c r="P156" s="181"/>
    </row>
    <row r="157" spans="1:16" ht="21.75" customHeight="1" x14ac:dyDescent="0.3">
      <c r="A157" s="175"/>
      <c r="B157" s="176"/>
      <c r="C157" s="176"/>
      <c r="D157" s="193"/>
      <c r="E157" s="194" t="s">
        <v>48</v>
      </c>
      <c r="F157" s="195"/>
      <c r="G157" s="196"/>
      <c r="H157" s="186"/>
      <c r="I157" s="187"/>
      <c r="J157" s="197">
        <f ca="1">IFERROR(__xludf.DUMMYFUNCTION("IMPORTRANGE(""https://docs.google.com/spreadsheets/d/11923uPwbBZFjjGgGUA6NLw09EwE0CqkOc4q9oUmW1yo/edit?usp=sharing"",""เชียงใหม่!J82"")"),1)</f>
        <v>1</v>
      </c>
      <c r="K157" s="163"/>
      <c r="L157" s="181"/>
      <c r="M157" s="181"/>
      <c r="N157" s="181"/>
      <c r="O157" s="181"/>
      <c r="P157" s="181"/>
    </row>
    <row r="158" spans="1:16" ht="21.75" customHeight="1" x14ac:dyDescent="0.3">
      <c r="A158" s="175"/>
      <c r="B158" s="176"/>
      <c r="C158" s="176"/>
      <c r="D158" s="193"/>
      <c r="E158" s="198"/>
      <c r="F158" s="194" t="s">
        <v>78</v>
      </c>
      <c r="G158" s="196"/>
      <c r="H158" s="180" t="s">
        <v>77</v>
      </c>
      <c r="I158" s="187">
        <f ca="1">IFERROR(__xludf.DUMMYFUNCTION("IMPORTRANGE(""https://docs.google.com/spreadsheets/d/11923uPwbBZFjjGgGUA6NLw09EwE0CqkOc4q9oUmW1yo/edit?usp=sharing"",""เชียงใหม่!I83"")"),4)</f>
        <v>4</v>
      </c>
      <c r="J158" s="188">
        <f ca="1">IFERROR(__xludf.DUMMYFUNCTION("IMPORTRANGE(""https://docs.google.com/spreadsheets/d/11923uPwbBZFjjGgGUA6NLw09EwE0CqkOc4q9oUmW1yo/edit?usp=sharing"",""เชียงใหม่!J83"")"),1)</f>
        <v>1</v>
      </c>
      <c r="K158" s="163">
        <f ca="1">IF(I158&gt;0,J158*100/I158,0)</f>
        <v>25</v>
      </c>
      <c r="L158" s="181"/>
      <c r="M158" s="181"/>
      <c r="N158" s="181"/>
      <c r="O158" s="181"/>
      <c r="P158" s="181"/>
    </row>
    <row r="159" spans="1:16" ht="21.75" customHeight="1" x14ac:dyDescent="0.3">
      <c r="A159" s="175"/>
      <c r="B159" s="176"/>
      <c r="C159" s="176"/>
      <c r="D159" s="193"/>
      <c r="E159" s="195"/>
      <c r="F159" s="277" t="s">
        <v>79</v>
      </c>
      <c r="G159" s="196"/>
      <c r="H159" s="278" t="s">
        <v>37</v>
      </c>
      <c r="I159" s="187"/>
      <c r="J159" s="203">
        <f ca="1">IFERROR(__xludf.DUMMYFUNCTION("IMPORTRANGE(""https://docs.google.com/spreadsheets/d/11923uPwbBZFjjGgGUA6NLw09EwE0CqkOc4q9oUmW1yo/edit?usp=sharing"",""เชียงใหม่!J84"")"),19)</f>
        <v>19</v>
      </c>
      <c r="K159" s="163"/>
      <c r="L159" s="181"/>
      <c r="M159" s="181"/>
      <c r="N159" s="181"/>
      <c r="O159" s="181"/>
      <c r="P159" s="181"/>
    </row>
    <row r="160" spans="1:16" ht="21.75" customHeight="1" x14ac:dyDescent="0.45">
      <c r="A160" s="175"/>
      <c r="B160" s="176"/>
      <c r="C160" s="176"/>
      <c r="D160" s="193"/>
      <c r="E160" s="195"/>
      <c r="F160" s="195"/>
      <c r="G160" s="279" t="s">
        <v>80</v>
      </c>
      <c r="H160" s="278" t="s">
        <v>37</v>
      </c>
      <c r="I160" s="187"/>
      <c r="J160" s="280">
        <f ca="1">IFERROR(__xludf.DUMMYFUNCTION("IMPORTRANGE(""https://docs.google.com/spreadsheets/d/11923uPwbBZFjjGgGUA6NLw09EwE0CqkOc4q9oUmW1yo/edit?usp=sharing"",""เชียงใหม่!J85"")"),19)</f>
        <v>19</v>
      </c>
      <c r="K160" s="163"/>
      <c r="L160" s="181"/>
      <c r="M160" s="181"/>
      <c r="N160" s="181"/>
      <c r="O160" s="181"/>
      <c r="P160" s="181"/>
    </row>
    <row r="161" spans="1:16" ht="21.75" customHeight="1" x14ac:dyDescent="0.45">
      <c r="A161" s="175"/>
      <c r="B161" s="176"/>
      <c r="C161" s="176"/>
      <c r="D161" s="193"/>
      <c r="E161" s="195"/>
      <c r="F161" s="195"/>
      <c r="G161" s="279" t="s">
        <v>81</v>
      </c>
      <c r="H161" s="278" t="s">
        <v>37</v>
      </c>
      <c r="I161" s="187"/>
      <c r="J161" s="280">
        <f ca="1">IFERROR(__xludf.DUMMYFUNCTION("IMPORTRANGE(""https://docs.google.com/spreadsheets/d/11923uPwbBZFjjGgGUA6NLw09EwE0CqkOc4q9oUmW1yo/edit?usp=sharing"",""เชียงใหม่!J86"")"),0)</f>
        <v>0</v>
      </c>
      <c r="K161" s="163"/>
      <c r="L161" s="181"/>
      <c r="M161" s="181"/>
      <c r="N161" s="181"/>
      <c r="O161" s="181"/>
      <c r="P161" s="181"/>
    </row>
    <row r="162" spans="1:16" ht="21.75" customHeight="1" x14ac:dyDescent="0.3">
      <c r="A162" s="175"/>
      <c r="B162" s="176"/>
      <c r="C162" s="176"/>
      <c r="D162" s="193"/>
      <c r="E162" s="194" t="s">
        <v>54</v>
      </c>
      <c r="F162" s="195"/>
      <c r="G162" s="196"/>
      <c r="H162" s="186"/>
      <c r="I162" s="187"/>
      <c r="J162" s="197">
        <f ca="1">IFERROR(__xludf.DUMMYFUNCTION("IMPORTRANGE(""https://docs.google.com/spreadsheets/d/11923uPwbBZFjjGgGUA6NLw09EwE0CqkOc4q9oUmW1yo/edit?usp=sharing"",""เชียงใหม่!J87"")"),0)</f>
        <v>0</v>
      </c>
      <c r="K162" s="163"/>
      <c r="L162" s="181"/>
      <c r="M162" s="181"/>
      <c r="N162" s="181"/>
      <c r="O162" s="181"/>
      <c r="P162" s="181"/>
    </row>
    <row r="163" spans="1:16" ht="21.75" customHeight="1" x14ac:dyDescent="0.3">
      <c r="A163" s="175"/>
      <c r="B163" s="176"/>
      <c r="C163" s="176"/>
      <c r="D163" s="205">
        <v>3</v>
      </c>
      <c r="E163" s="206" t="s">
        <v>55</v>
      </c>
      <c r="F163" s="207"/>
      <c r="G163" s="208"/>
      <c r="H163" s="186"/>
      <c r="I163" s="187"/>
      <c r="J163" s="209">
        <f ca="1">IFERROR(__xludf.DUMMYFUNCTION("IMPORTRANGE(""https://docs.google.com/spreadsheets/d/11923uPwbBZFjjGgGUA6NLw09EwE0CqkOc4q9oUmW1yo/edit?usp=sharing"",""เชียงใหม่!J88"")"),0)</f>
        <v>0</v>
      </c>
      <c r="K163" s="163"/>
      <c r="L163" s="181"/>
      <c r="M163" s="181"/>
      <c r="N163" s="181"/>
      <c r="O163" s="181"/>
      <c r="P163" s="181"/>
    </row>
    <row r="164" spans="1:16" ht="21.75" customHeight="1" x14ac:dyDescent="0.3">
      <c r="A164" s="269"/>
      <c r="B164" s="270"/>
      <c r="C164" s="271" t="s">
        <v>82</v>
      </c>
      <c r="D164" s="271"/>
      <c r="E164" s="271"/>
      <c r="F164" s="271"/>
      <c r="G164" s="272"/>
      <c r="H164" s="281" t="s">
        <v>83</v>
      </c>
      <c r="I164" s="282">
        <f ca="1">IFERROR(__xludf.DUMMYFUNCTION("IMPORTRANGE(""https://docs.google.com/spreadsheets/d/11923uPwbBZFjjGgGUA6NLw09EwE0CqkOc4q9oUmW1yo/edit?usp=sharing"",""เชียงใหม่!I89"")"),2)</f>
        <v>2</v>
      </c>
      <c r="J164" s="282">
        <f ca="1">IFERROR(__xludf.DUMMYFUNCTION("IMPORTRANGE(""https://docs.google.com/spreadsheets/d/11923uPwbBZFjjGgGUA6NLw09EwE0CqkOc4q9oUmW1yo/edit?usp=sharing"",""เชียงใหม่!J89"")"),2)</f>
        <v>2</v>
      </c>
      <c r="K164" s="283">
        <f ca="1">IF(I164&gt;0,J164*100/I164,0)</f>
        <v>100</v>
      </c>
      <c r="L164" s="276"/>
      <c r="M164" s="276"/>
      <c r="N164" s="276"/>
      <c r="O164" s="276"/>
      <c r="P164" s="276"/>
    </row>
    <row r="165" spans="1:16" ht="21.75" customHeight="1" x14ac:dyDescent="0.3">
      <c r="A165" s="156"/>
      <c r="B165" s="157"/>
      <c r="C165" s="157" t="s">
        <v>16</v>
      </c>
      <c r="D165" s="158" t="s">
        <v>38</v>
      </c>
      <c r="E165" s="159"/>
      <c r="F165" s="159"/>
      <c r="G165" s="160" t="s">
        <v>39</v>
      </c>
      <c r="H165" s="161" t="s">
        <v>12</v>
      </c>
      <c r="I165" s="162" t="s">
        <v>40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3">
      <c r="A166" s="156"/>
      <c r="B166" s="157"/>
      <c r="C166" s="157"/>
      <c r="D166" s="166"/>
      <c r="E166" s="159"/>
      <c r="F166" s="159" t="s">
        <v>40</v>
      </c>
      <c r="G166" s="160" t="s">
        <v>41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3">
      <c r="A167" s="156"/>
      <c r="B167" s="157"/>
      <c r="C167" s="157"/>
      <c r="D167" s="166"/>
      <c r="E167" s="159"/>
      <c r="F167" s="159"/>
      <c r="G167" s="169" t="s">
        <v>43</v>
      </c>
      <c r="H167" s="161" t="s">
        <v>12</v>
      </c>
      <c r="I167" s="162"/>
      <c r="J167" s="162"/>
      <c r="K167" s="163"/>
      <c r="L167" s="168"/>
      <c r="M167" s="168"/>
      <c r="N167" s="167"/>
      <c r="O167" s="168"/>
      <c r="P167" s="168"/>
    </row>
    <row r="168" spans="1:16" ht="21.75" customHeight="1" x14ac:dyDescent="0.3">
      <c r="A168" s="175"/>
      <c r="B168" s="176"/>
      <c r="C168" s="157" t="s">
        <v>16</v>
      </c>
      <c r="D168" s="177" t="s">
        <v>44</v>
      </c>
      <c r="E168" s="178"/>
      <c r="F168" s="178"/>
      <c r="G168" s="179"/>
      <c r="H168" s="180"/>
      <c r="I168" s="162"/>
      <c r="J168" s="162"/>
      <c r="K168" s="163"/>
      <c r="L168" s="181"/>
      <c r="M168" s="181"/>
      <c r="N168" s="181"/>
      <c r="O168" s="181"/>
      <c r="P168" s="181"/>
    </row>
    <row r="169" spans="1:16" ht="21.75" customHeight="1" x14ac:dyDescent="0.3">
      <c r="A169" s="175"/>
      <c r="B169" s="176"/>
      <c r="C169" s="176"/>
      <c r="D169" s="182">
        <v>1</v>
      </c>
      <c r="E169" s="183" t="s">
        <v>45</v>
      </c>
      <c r="F169" s="184"/>
      <c r="G169" s="185"/>
      <c r="H169" s="186"/>
      <c r="I169" s="187"/>
      <c r="J169" s="188">
        <f ca="1">IFERROR(__xludf.DUMMYFUNCTION("IMPORTRANGE(""https://docs.google.com/spreadsheets/d/11923uPwbBZFjjGgGUA6NLw09EwE0CqkOc4q9oUmW1yo/edit?usp=sharing"",""เชียงใหม่!J94"")"),0)</f>
        <v>0</v>
      </c>
      <c r="K169" s="163"/>
      <c r="L169" s="181"/>
      <c r="M169" s="181"/>
      <c r="N169" s="181"/>
      <c r="O169" s="181"/>
      <c r="P169" s="181"/>
    </row>
    <row r="170" spans="1:16" ht="21.75" customHeight="1" x14ac:dyDescent="0.3">
      <c r="A170" s="175"/>
      <c r="B170" s="176"/>
      <c r="C170" s="176"/>
      <c r="D170" s="189">
        <v>2</v>
      </c>
      <c r="E170" s="190" t="s">
        <v>46</v>
      </c>
      <c r="F170" s="191"/>
      <c r="G170" s="192"/>
      <c r="H170" s="186"/>
      <c r="I170" s="187"/>
      <c r="J170" s="197">
        <f ca="1">IFERROR(__xludf.DUMMYFUNCTION("IMPORTRANGE(""https://docs.google.com/spreadsheets/d/11923uPwbBZFjjGgGUA6NLw09EwE0CqkOc4q9oUmW1yo/edit?usp=sharing"",""เชียงใหม่!J95"")"),1)</f>
        <v>1</v>
      </c>
      <c r="K170" s="163"/>
      <c r="L170" s="181"/>
      <c r="M170" s="181"/>
      <c r="N170" s="181"/>
      <c r="O170" s="181"/>
      <c r="P170" s="181"/>
    </row>
    <row r="171" spans="1:16" ht="21.75" customHeight="1" x14ac:dyDescent="0.3">
      <c r="A171" s="175"/>
      <c r="B171" s="176"/>
      <c r="C171" s="176"/>
      <c r="D171" s="193"/>
      <c r="E171" s="194" t="s">
        <v>47</v>
      </c>
      <c r="F171" s="195"/>
      <c r="G171" s="196"/>
      <c r="H171" s="186"/>
      <c r="I171" s="187"/>
      <c r="J171" s="197">
        <f ca="1">IFERROR(__xludf.DUMMYFUNCTION("IMPORTRANGE(""https://docs.google.com/spreadsheets/d/11923uPwbBZFjjGgGUA6NLw09EwE0CqkOc4q9oUmW1yo/edit?usp=sharing"",""เชียงใหม่!J96"")"),1)</f>
        <v>1</v>
      </c>
      <c r="K171" s="163"/>
      <c r="L171" s="181"/>
      <c r="M171" s="181"/>
      <c r="N171" s="181"/>
      <c r="O171" s="181"/>
      <c r="P171" s="181"/>
    </row>
    <row r="172" spans="1:16" ht="21.75" customHeight="1" x14ac:dyDescent="0.3">
      <c r="A172" s="175"/>
      <c r="B172" s="176"/>
      <c r="C172" s="176"/>
      <c r="D172" s="193"/>
      <c r="E172" s="194" t="s">
        <v>48</v>
      </c>
      <c r="F172" s="195"/>
      <c r="G172" s="196"/>
      <c r="H172" s="186"/>
      <c r="I172" s="187"/>
      <c r="J172" s="197">
        <f ca="1">IFERROR(__xludf.DUMMYFUNCTION("IMPORTRANGE(""https://docs.google.com/spreadsheets/d/11923uPwbBZFjjGgGUA6NLw09EwE0CqkOc4q9oUmW1yo/edit?usp=sharing"",""เชียงใหม่!J97"")"),1)</f>
        <v>1</v>
      </c>
      <c r="K172" s="163"/>
      <c r="L172" s="181"/>
      <c r="M172" s="181"/>
      <c r="N172" s="181"/>
      <c r="O172" s="181"/>
      <c r="P172" s="181"/>
    </row>
    <row r="173" spans="1:16" ht="21.75" customHeight="1" x14ac:dyDescent="0.3">
      <c r="A173" s="175"/>
      <c r="B173" s="176"/>
      <c r="C173" s="176"/>
      <c r="D173" s="193"/>
      <c r="E173" s="198"/>
      <c r="F173" s="204" t="s">
        <v>84</v>
      </c>
      <c r="G173" s="196"/>
      <c r="H173" s="180" t="s">
        <v>83</v>
      </c>
      <c r="I173" s="187">
        <f ca="1">IFERROR(__xludf.DUMMYFUNCTION("IMPORTRANGE(""https://docs.google.com/spreadsheets/d/11923uPwbBZFjjGgGUA6NLw09EwE0CqkOc4q9oUmW1yo/edit?usp=sharing"",""เชียงใหม่!I98"")"),2)</f>
        <v>2</v>
      </c>
      <c r="J173" s="188">
        <f ca="1">IFERROR(__xludf.DUMMYFUNCTION("IMPORTRANGE(""https://docs.google.com/spreadsheets/d/11923uPwbBZFjjGgGUA6NLw09EwE0CqkOc4q9oUmW1yo/edit?usp=sharing"",""เชียงใหม่!J98"")"),2)</f>
        <v>2</v>
      </c>
      <c r="K173" s="163">
        <f ca="1">IF(I173&gt;0,J173*100/I173,0)</f>
        <v>100</v>
      </c>
      <c r="L173" s="168"/>
      <c r="M173" s="168"/>
      <c r="N173" s="167"/>
      <c r="O173" s="168"/>
      <c r="P173" s="168"/>
    </row>
    <row r="174" spans="1:16" ht="21.75" customHeight="1" x14ac:dyDescent="0.3">
      <c r="A174" s="175"/>
      <c r="B174" s="176"/>
      <c r="C174" s="176"/>
      <c r="D174" s="193"/>
      <c r="E174" s="194" t="s">
        <v>54</v>
      </c>
      <c r="F174" s="195"/>
      <c r="G174" s="196"/>
      <c r="H174" s="186"/>
      <c r="I174" s="187"/>
      <c r="J174" s="197">
        <f ca="1">IFERROR(__xludf.DUMMYFUNCTION("IMPORTRANGE(""https://docs.google.com/spreadsheets/d/11923uPwbBZFjjGgGUA6NLw09EwE0CqkOc4q9oUmW1yo/edit?usp=sharing"",""เชียงใหม่!J99"")"),0)</f>
        <v>0</v>
      </c>
      <c r="K174" s="163"/>
      <c r="L174" s="181"/>
      <c r="M174" s="181"/>
      <c r="N174" s="181"/>
      <c r="O174" s="181"/>
      <c r="P174" s="181"/>
    </row>
    <row r="175" spans="1:16" ht="21.75" customHeight="1" x14ac:dyDescent="0.3">
      <c r="A175" s="175"/>
      <c r="B175" s="176"/>
      <c r="C175" s="176"/>
      <c r="D175" s="205">
        <v>3</v>
      </c>
      <c r="E175" s="206" t="s">
        <v>55</v>
      </c>
      <c r="F175" s="207"/>
      <c r="G175" s="208"/>
      <c r="H175" s="186"/>
      <c r="I175" s="187"/>
      <c r="J175" s="209">
        <f ca="1">IFERROR(__xludf.DUMMYFUNCTION("IMPORTRANGE(""https://docs.google.com/spreadsheets/d/11923uPwbBZFjjGgGUA6NLw09EwE0CqkOc4q9oUmW1yo/edit?usp=sharing"",""เชียงใหม่!J100"")"),0)</f>
        <v>0</v>
      </c>
      <c r="K175" s="163"/>
      <c r="L175" s="181"/>
      <c r="M175" s="181"/>
      <c r="N175" s="181"/>
      <c r="O175" s="181"/>
      <c r="P175" s="181"/>
    </row>
    <row r="176" spans="1:16" ht="21.75" customHeight="1" x14ac:dyDescent="0.3">
      <c r="A176" s="269"/>
      <c r="B176" s="270"/>
      <c r="C176" s="271" t="s">
        <v>85</v>
      </c>
      <c r="D176" s="271"/>
      <c r="E176" s="271"/>
      <c r="F176" s="271"/>
      <c r="G176" s="272"/>
      <c r="H176" s="281" t="s">
        <v>83</v>
      </c>
      <c r="I176" s="282">
        <f ca="1">IFERROR(__xludf.DUMMYFUNCTION("IMPORTRANGE(""https://docs.google.com/spreadsheets/d/11923uPwbBZFjjGgGUA6NLw09EwE0CqkOc4q9oUmW1yo/edit?usp=sharing"",""เชียงใหม่!I101"")"),1)</f>
        <v>1</v>
      </c>
      <c r="J176" s="282">
        <f ca="1">IFERROR(__xludf.DUMMYFUNCTION("IMPORTRANGE(""https://docs.google.com/spreadsheets/d/11923uPwbBZFjjGgGUA6NLw09EwE0CqkOc4q9oUmW1yo/edit?usp=sharing"",""เชียงใหม่!J101"")"),1)</f>
        <v>1</v>
      </c>
      <c r="K176" s="283">
        <f ca="1">IF(I176&gt;0,J176*100/I176,0)</f>
        <v>100</v>
      </c>
      <c r="L176" s="276"/>
      <c r="M176" s="276"/>
      <c r="N176" s="276"/>
      <c r="O176" s="276"/>
      <c r="P176" s="276"/>
    </row>
    <row r="177" spans="1:16" ht="21.75" customHeight="1" x14ac:dyDescent="0.3">
      <c r="A177" s="156"/>
      <c r="B177" s="157"/>
      <c r="C177" s="157" t="s">
        <v>16</v>
      </c>
      <c r="D177" s="158" t="s">
        <v>38</v>
      </c>
      <c r="E177" s="159"/>
      <c r="F177" s="159"/>
      <c r="G177" s="160" t="s">
        <v>39</v>
      </c>
      <c r="H177" s="161" t="s">
        <v>12</v>
      </c>
      <c r="I177" s="162" t="s">
        <v>40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3">
      <c r="A178" s="156"/>
      <c r="B178" s="157"/>
      <c r="C178" s="157"/>
      <c r="D178" s="166"/>
      <c r="E178" s="159"/>
      <c r="F178" s="159" t="s">
        <v>40</v>
      </c>
      <c r="G178" s="160" t="s">
        <v>41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3">
      <c r="A179" s="156"/>
      <c r="B179" s="157"/>
      <c r="C179" s="157"/>
      <c r="D179" s="166"/>
      <c r="E179" s="159"/>
      <c r="F179" s="159"/>
      <c r="G179" s="169" t="s">
        <v>43</v>
      </c>
      <c r="H179" s="161" t="s">
        <v>12</v>
      </c>
      <c r="I179" s="162"/>
      <c r="J179" s="187"/>
      <c r="K179" s="223"/>
      <c r="L179" s="168"/>
      <c r="M179" s="168"/>
      <c r="N179" s="167"/>
      <c r="O179" s="168"/>
      <c r="P179" s="168"/>
    </row>
    <row r="180" spans="1:16" ht="21.75" customHeight="1" x14ac:dyDescent="0.3">
      <c r="A180" s="175"/>
      <c r="B180" s="176"/>
      <c r="C180" s="157" t="s">
        <v>16</v>
      </c>
      <c r="D180" s="177" t="s">
        <v>44</v>
      </c>
      <c r="E180" s="178"/>
      <c r="F180" s="178"/>
      <c r="G180" s="179"/>
      <c r="H180" s="180"/>
      <c r="I180" s="162"/>
      <c r="J180" s="187"/>
      <c r="K180" s="223"/>
      <c r="L180" s="168"/>
      <c r="M180" s="168"/>
      <c r="N180" s="168"/>
      <c r="O180" s="181"/>
      <c r="P180" s="181"/>
    </row>
    <row r="181" spans="1:16" ht="21.75" customHeight="1" x14ac:dyDescent="0.3">
      <c r="A181" s="175"/>
      <c r="B181" s="176"/>
      <c r="C181" s="176"/>
      <c r="D181" s="182">
        <v>1</v>
      </c>
      <c r="E181" s="183" t="s">
        <v>45</v>
      </c>
      <c r="F181" s="184"/>
      <c r="G181" s="185"/>
      <c r="H181" s="186"/>
      <c r="I181" s="187"/>
      <c r="J181" s="187">
        <f ca="1">IFERROR(__xludf.DUMMYFUNCTION("IMPORTRANGE(""https://docs.google.com/spreadsheets/d/11923uPwbBZFjjGgGUA6NLw09EwE0CqkOc4q9oUmW1yo/edit?usp=sharing"",""เชียงใหม่!J106"")"),0)</f>
        <v>0</v>
      </c>
      <c r="K181" s="223"/>
      <c r="L181" s="168"/>
      <c r="M181" s="168"/>
      <c r="N181" s="168"/>
      <c r="O181" s="181"/>
      <c r="P181" s="181"/>
    </row>
    <row r="182" spans="1:16" ht="21.75" customHeight="1" x14ac:dyDescent="0.3">
      <c r="A182" s="175"/>
      <c r="B182" s="176"/>
      <c r="C182" s="176"/>
      <c r="D182" s="189">
        <v>2</v>
      </c>
      <c r="E182" s="190" t="s">
        <v>46</v>
      </c>
      <c r="F182" s="191"/>
      <c r="G182" s="192"/>
      <c r="H182" s="186"/>
      <c r="I182" s="187"/>
      <c r="J182" s="187">
        <f ca="1">IFERROR(__xludf.DUMMYFUNCTION("IMPORTRANGE(""https://docs.google.com/spreadsheets/d/11923uPwbBZFjjGgGUA6NLw09EwE0CqkOc4q9oUmW1yo/edit?usp=sharing"",""เชียงใหม่!J107"")"),1)</f>
        <v>1</v>
      </c>
      <c r="K182" s="223"/>
      <c r="L182" s="168"/>
      <c r="M182" s="168"/>
      <c r="N182" s="168"/>
      <c r="O182" s="181"/>
      <c r="P182" s="181"/>
    </row>
    <row r="183" spans="1:16" ht="21.75" customHeight="1" x14ac:dyDescent="0.3">
      <c r="A183" s="175"/>
      <c r="B183" s="176"/>
      <c r="C183" s="176"/>
      <c r="D183" s="193"/>
      <c r="E183" s="194" t="s">
        <v>47</v>
      </c>
      <c r="F183" s="195"/>
      <c r="G183" s="196"/>
      <c r="H183" s="186"/>
      <c r="I183" s="187"/>
      <c r="J183" s="187">
        <f ca="1">IFERROR(__xludf.DUMMYFUNCTION("IMPORTRANGE(""https://docs.google.com/spreadsheets/d/11923uPwbBZFjjGgGUA6NLw09EwE0CqkOc4q9oUmW1yo/edit?usp=sharing"",""เชียงใหม่!J108"")"),1)</f>
        <v>1</v>
      </c>
      <c r="K183" s="223"/>
      <c r="L183" s="168"/>
      <c r="M183" s="168"/>
      <c r="N183" s="168"/>
      <c r="O183" s="181"/>
      <c r="P183" s="181"/>
    </row>
    <row r="184" spans="1:16" ht="21.75" customHeight="1" x14ac:dyDescent="0.3">
      <c r="A184" s="175"/>
      <c r="B184" s="176"/>
      <c r="C184" s="176"/>
      <c r="D184" s="193"/>
      <c r="E184" s="194" t="s">
        <v>48</v>
      </c>
      <c r="F184" s="195"/>
      <c r="G184" s="196"/>
      <c r="H184" s="186"/>
      <c r="I184" s="187"/>
      <c r="J184" s="187">
        <f ca="1">IFERROR(__xludf.DUMMYFUNCTION("IMPORTRANGE(""https://docs.google.com/spreadsheets/d/11923uPwbBZFjjGgGUA6NLw09EwE0CqkOc4q9oUmW1yo/edit?usp=sharing"",""เชียงใหม่!J109"")"),1)</f>
        <v>1</v>
      </c>
      <c r="K184" s="223"/>
      <c r="L184" s="168"/>
      <c r="M184" s="168"/>
      <c r="N184" s="168"/>
      <c r="O184" s="181"/>
      <c r="P184" s="181"/>
    </row>
    <row r="185" spans="1:16" ht="21.75" customHeight="1" x14ac:dyDescent="0.3">
      <c r="A185" s="175"/>
      <c r="B185" s="176"/>
      <c r="C185" s="176"/>
      <c r="D185" s="193"/>
      <c r="E185" s="198"/>
      <c r="F185" s="194" t="s">
        <v>86</v>
      </c>
      <c r="G185" s="196"/>
      <c r="H185" s="180" t="s">
        <v>83</v>
      </c>
      <c r="I185" s="187">
        <f ca="1">IFERROR(__xludf.DUMMYFUNCTION("IMPORTRANGE(""https://docs.google.com/spreadsheets/d/11923uPwbBZFjjGgGUA6NLw09EwE0CqkOc4q9oUmW1yo/edit?usp=sharing"",""เชียงใหม่!I110"")"),1)</f>
        <v>1</v>
      </c>
      <c r="J185" s="203">
        <f ca="1">IFERROR(__xludf.DUMMYFUNCTION("IMPORTRANGE(""https://docs.google.com/spreadsheets/d/11923uPwbBZFjjGgGUA6NLw09EwE0CqkOc4q9oUmW1yo/edit?usp=sharing"",""เชียงใหม่!J110"")"),0)</f>
        <v>0</v>
      </c>
      <c r="K185" s="223">
        <f t="shared" ref="K185:K186" ca="1" si="69">IF(I185&gt;0,J185*100/I185,0)</f>
        <v>0</v>
      </c>
      <c r="L185" s="168"/>
      <c r="M185" s="168"/>
      <c r="N185" s="167"/>
      <c r="O185" s="168"/>
      <c r="P185" s="168"/>
    </row>
    <row r="186" spans="1:16" ht="21.75" customHeight="1" x14ac:dyDescent="0.3">
      <c r="A186" s="175"/>
      <c r="B186" s="176"/>
      <c r="C186" s="176"/>
      <c r="D186" s="193"/>
      <c r="E186" s="198"/>
      <c r="F186" s="194" t="s">
        <v>87</v>
      </c>
      <c r="G186" s="196"/>
      <c r="H186" s="180" t="s">
        <v>83</v>
      </c>
      <c r="I186" s="187">
        <f ca="1">IFERROR(__xludf.DUMMYFUNCTION("IMPORTRANGE(""https://docs.google.com/spreadsheets/d/11923uPwbBZFjjGgGUA6NLw09EwE0CqkOc4q9oUmW1yo/edit?usp=sharing"",""เชียงใหม่!I111"")"),1)</f>
        <v>1</v>
      </c>
      <c r="J186" s="203">
        <f ca="1">IFERROR(__xludf.DUMMYFUNCTION("IMPORTRANGE(""https://docs.google.com/spreadsheets/d/11923uPwbBZFjjGgGUA6NLw09EwE0CqkOc4q9oUmW1yo/edit?usp=sharing"",""เชียงใหม่!J111"")"),1)</f>
        <v>1</v>
      </c>
      <c r="K186" s="223">
        <f t="shared" ca="1" si="69"/>
        <v>100</v>
      </c>
      <c r="L186" s="168"/>
      <c r="M186" s="168"/>
      <c r="N186" s="167"/>
      <c r="O186" s="168"/>
      <c r="P186" s="168"/>
    </row>
    <row r="187" spans="1:16" ht="21.75" customHeight="1" x14ac:dyDescent="0.3">
      <c r="A187" s="175"/>
      <c r="B187" s="176"/>
      <c r="C187" s="176"/>
      <c r="D187" s="193"/>
      <c r="E187" s="194" t="s">
        <v>54</v>
      </c>
      <c r="F187" s="195"/>
      <c r="G187" s="196"/>
      <c r="H187" s="186"/>
      <c r="I187" s="187"/>
      <c r="J187" s="187">
        <f ca="1">IFERROR(__xludf.DUMMYFUNCTION("IMPORTRANGE(""https://docs.google.com/spreadsheets/d/11923uPwbBZFjjGgGUA6NLw09EwE0CqkOc4q9oUmW1yo/edit?usp=sharing"",""เชียงใหม่!J112"")"),0)</f>
        <v>0</v>
      </c>
      <c r="K187" s="223"/>
      <c r="L187" s="168"/>
      <c r="M187" s="168"/>
      <c r="N187" s="168"/>
      <c r="O187" s="181"/>
      <c r="P187" s="181"/>
    </row>
    <row r="188" spans="1:16" ht="21.75" customHeight="1" x14ac:dyDescent="0.3">
      <c r="A188" s="175"/>
      <c r="B188" s="176"/>
      <c r="C188" s="176"/>
      <c r="D188" s="205">
        <v>3</v>
      </c>
      <c r="E188" s="206" t="s">
        <v>55</v>
      </c>
      <c r="F188" s="207"/>
      <c r="G188" s="208"/>
      <c r="H188" s="186"/>
      <c r="I188" s="187"/>
      <c r="J188" s="226">
        <f ca="1">IFERROR(__xludf.DUMMYFUNCTION("IMPORTRANGE(""https://docs.google.com/spreadsheets/d/11923uPwbBZFjjGgGUA6NLw09EwE0CqkOc4q9oUmW1yo/edit?usp=sharing"",""เชียงใหม่!J113"")"),0)</f>
        <v>0</v>
      </c>
      <c r="K188" s="223"/>
      <c r="L188" s="168"/>
      <c r="M188" s="168"/>
      <c r="N188" s="168"/>
      <c r="O188" s="181"/>
      <c r="P188" s="181"/>
    </row>
    <row r="189" spans="1:16" ht="21.75" customHeight="1" x14ac:dyDescent="0.3">
      <c r="A189" s="269"/>
      <c r="B189" s="270"/>
      <c r="C189" s="271" t="s">
        <v>88</v>
      </c>
      <c r="D189" s="271"/>
      <c r="E189" s="271"/>
      <c r="F189" s="271"/>
      <c r="G189" s="272"/>
      <c r="H189" s="284" t="s">
        <v>89</v>
      </c>
      <c r="I189" s="282">
        <f ca="1">IFERROR(__xludf.DUMMYFUNCTION("IMPORTRANGE(""https://docs.google.com/spreadsheets/d/11923uPwbBZFjjGgGUA6NLw09EwE0CqkOc4q9oUmW1yo/edit?usp=sharing"",""เชียงใหม่!I114"")"),16000)</f>
        <v>16000</v>
      </c>
      <c r="J189" s="282">
        <f ca="1">IFERROR(__xludf.DUMMYFUNCTION("IMPORTRANGE(""https://docs.google.com/spreadsheets/d/11923uPwbBZFjjGgGUA6NLw09EwE0CqkOc4q9oUmW1yo/edit?usp=sharing"",""เชียงใหม่!J114"")"),0)</f>
        <v>0</v>
      </c>
      <c r="K189" s="283">
        <f ca="1">IF(I189&gt;0,J189*100/I189,0)</f>
        <v>0</v>
      </c>
      <c r="L189" s="276"/>
      <c r="M189" s="276"/>
      <c r="N189" s="276"/>
      <c r="O189" s="276"/>
      <c r="P189" s="276"/>
    </row>
    <row r="190" spans="1:16" ht="21.75" customHeight="1" x14ac:dyDescent="0.3">
      <c r="A190" s="156"/>
      <c r="B190" s="157"/>
      <c r="C190" s="157" t="s">
        <v>16</v>
      </c>
      <c r="D190" s="158" t="s">
        <v>38</v>
      </c>
      <c r="E190" s="159"/>
      <c r="F190" s="159"/>
      <c r="G190" s="160" t="s">
        <v>39</v>
      </c>
      <c r="H190" s="161" t="s">
        <v>12</v>
      </c>
      <c r="I190" s="162" t="s">
        <v>40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3">
      <c r="A191" s="156"/>
      <c r="B191" s="157"/>
      <c r="C191" s="157"/>
      <c r="D191" s="166"/>
      <c r="E191" s="159"/>
      <c r="F191" s="159" t="s">
        <v>40</v>
      </c>
      <c r="G191" s="160" t="s">
        <v>41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3">
      <c r="A192" s="156"/>
      <c r="B192" s="157"/>
      <c r="C192" s="157"/>
      <c r="D192" s="166"/>
      <c r="E192" s="159"/>
      <c r="F192" s="159"/>
      <c r="G192" s="169" t="s">
        <v>43</v>
      </c>
      <c r="H192" s="161" t="s">
        <v>12</v>
      </c>
      <c r="I192" s="162"/>
      <c r="J192" s="162"/>
      <c r="K192" s="163"/>
      <c r="L192" s="168"/>
      <c r="M192" s="168"/>
      <c r="N192" s="167"/>
      <c r="O192" s="168"/>
      <c r="P192" s="168"/>
    </row>
    <row r="193" spans="1:16" ht="21.75" customHeight="1" x14ac:dyDescent="0.3">
      <c r="A193" s="175"/>
      <c r="B193" s="176"/>
      <c r="C193" s="157" t="s">
        <v>16</v>
      </c>
      <c r="D193" s="177" t="s">
        <v>44</v>
      </c>
      <c r="E193" s="178"/>
      <c r="F193" s="178"/>
      <c r="G193" s="179"/>
      <c r="H193" s="180"/>
      <c r="I193" s="162"/>
      <c r="J193" s="162"/>
      <c r="K193" s="163"/>
      <c r="L193" s="181"/>
      <c r="M193" s="181"/>
      <c r="N193" s="181"/>
      <c r="O193" s="181"/>
      <c r="P193" s="181"/>
    </row>
    <row r="194" spans="1:16" ht="21.75" customHeight="1" x14ac:dyDescent="0.3">
      <c r="A194" s="175"/>
      <c r="B194" s="176"/>
      <c r="C194" s="176"/>
      <c r="D194" s="182">
        <v>1</v>
      </c>
      <c r="E194" s="183" t="s">
        <v>45</v>
      </c>
      <c r="F194" s="184"/>
      <c r="G194" s="185"/>
      <c r="H194" s="186"/>
      <c r="I194" s="187"/>
      <c r="J194" s="197">
        <f ca="1">IFERROR(__xludf.DUMMYFUNCTION("IMPORTRANGE(""https://docs.google.com/spreadsheets/d/11923uPwbBZFjjGgGUA6NLw09EwE0CqkOc4q9oUmW1yo/edit?usp=sharing"",""เชียงใหม่!J119"")"),0)</f>
        <v>0</v>
      </c>
      <c r="K194" s="163"/>
      <c r="L194" s="181"/>
      <c r="M194" s="181"/>
      <c r="N194" s="181"/>
      <c r="O194" s="181"/>
      <c r="P194" s="181"/>
    </row>
    <row r="195" spans="1:16" ht="21.75" customHeight="1" x14ac:dyDescent="0.3">
      <c r="A195" s="175"/>
      <c r="B195" s="176"/>
      <c r="C195" s="176"/>
      <c r="D195" s="189">
        <v>2</v>
      </c>
      <c r="E195" s="190" t="s">
        <v>46</v>
      </c>
      <c r="F195" s="191"/>
      <c r="G195" s="192"/>
      <c r="H195" s="186"/>
      <c r="I195" s="187"/>
      <c r="J195" s="188">
        <f ca="1">IFERROR(__xludf.DUMMYFUNCTION("IMPORTRANGE(""https://docs.google.com/spreadsheets/d/11923uPwbBZFjjGgGUA6NLw09EwE0CqkOc4q9oUmW1yo/edit?usp=sharing"",""เชียงใหม่!J120"")"),1)</f>
        <v>1</v>
      </c>
      <c r="K195" s="163"/>
      <c r="L195" s="181"/>
      <c r="M195" s="181"/>
      <c r="N195" s="181"/>
      <c r="O195" s="181"/>
      <c r="P195" s="181"/>
    </row>
    <row r="196" spans="1:16" ht="21.75" customHeight="1" x14ac:dyDescent="0.3">
      <c r="A196" s="175"/>
      <c r="B196" s="176"/>
      <c r="C196" s="176"/>
      <c r="D196" s="193"/>
      <c r="E196" s="194" t="s">
        <v>47</v>
      </c>
      <c r="F196" s="195"/>
      <c r="G196" s="196"/>
      <c r="H196" s="186"/>
      <c r="I196" s="187"/>
      <c r="J196" s="188">
        <f ca="1">IFERROR(__xludf.DUMMYFUNCTION("IMPORTRANGE(""https://docs.google.com/spreadsheets/d/11923uPwbBZFjjGgGUA6NLw09EwE0CqkOc4q9oUmW1yo/edit?usp=sharing"",""เชียงใหม่!J121"")"),1)</f>
        <v>1</v>
      </c>
      <c r="K196" s="163"/>
      <c r="L196" s="181"/>
      <c r="M196" s="181"/>
      <c r="N196" s="181"/>
      <c r="O196" s="181"/>
      <c r="P196" s="181"/>
    </row>
    <row r="197" spans="1:16" ht="21.75" customHeight="1" x14ac:dyDescent="0.3">
      <c r="A197" s="175"/>
      <c r="B197" s="176"/>
      <c r="C197" s="176"/>
      <c r="D197" s="193"/>
      <c r="E197" s="194" t="s">
        <v>48</v>
      </c>
      <c r="F197" s="195"/>
      <c r="G197" s="196"/>
      <c r="H197" s="186"/>
      <c r="I197" s="187"/>
      <c r="J197" s="197">
        <f ca="1">IFERROR(__xludf.DUMMYFUNCTION("IMPORTRANGE(""https://docs.google.com/spreadsheets/d/11923uPwbBZFjjGgGUA6NLw09EwE0CqkOc4q9oUmW1yo/edit?usp=sharing"",""เชียงใหม่!J122"")"),1)</f>
        <v>1</v>
      </c>
      <c r="K197" s="163"/>
      <c r="L197" s="181"/>
      <c r="M197" s="181"/>
      <c r="N197" s="181"/>
      <c r="O197" s="181"/>
      <c r="P197" s="181"/>
    </row>
    <row r="198" spans="1:16" ht="21.75" customHeight="1" x14ac:dyDescent="0.3">
      <c r="A198" s="175"/>
      <c r="B198" s="176"/>
      <c r="C198" s="176"/>
      <c r="D198" s="193"/>
      <c r="E198" s="195"/>
      <c r="F198" s="195" t="s">
        <v>90</v>
      </c>
      <c r="G198" s="196"/>
      <c r="H198" s="180"/>
      <c r="I198" s="187"/>
      <c r="J198" s="187"/>
      <c r="K198" s="163"/>
      <c r="L198" s="181"/>
      <c r="M198" s="181"/>
      <c r="N198" s="181"/>
      <c r="O198" s="181"/>
      <c r="P198" s="181"/>
    </row>
    <row r="199" spans="1:16" ht="21.75" customHeight="1" x14ac:dyDescent="0.3">
      <c r="A199" s="175"/>
      <c r="B199" s="176"/>
      <c r="C199" s="176"/>
      <c r="D199" s="193"/>
      <c r="E199" s="198"/>
      <c r="F199" s="195"/>
      <c r="G199" s="194" t="s">
        <v>91</v>
      </c>
      <c r="H199" s="180" t="s">
        <v>89</v>
      </c>
      <c r="I199" s="187">
        <f ca="1">IFERROR(__xludf.DUMMYFUNCTION("IMPORTRANGE(""https://docs.google.com/spreadsheets/d/11923uPwbBZFjjGgGUA6NLw09EwE0CqkOc4q9oUmW1yo/edit?usp=sharing"",""เชียงใหม่!I124"")"),16000)</f>
        <v>16000</v>
      </c>
      <c r="J199" s="188">
        <f ca="1">IFERROR(__xludf.DUMMYFUNCTION("IMPORTRANGE(""https://docs.google.com/spreadsheets/d/11923uPwbBZFjjGgGUA6NLw09EwE0CqkOc4q9oUmW1yo/edit?usp=sharing"",""เชียงใหม่!J124"")"),16000)</f>
        <v>16000</v>
      </c>
      <c r="K199" s="163">
        <f t="shared" ref="K199:K201" ca="1" si="70">IF(I199&gt;0,J199*100/I199,0)</f>
        <v>100</v>
      </c>
      <c r="L199" s="181"/>
      <c r="M199" s="181"/>
      <c r="N199" s="181"/>
      <c r="O199" s="181"/>
      <c r="P199" s="181"/>
    </row>
    <row r="200" spans="1:16" ht="21.75" customHeight="1" x14ac:dyDescent="0.3">
      <c r="A200" s="175"/>
      <c r="B200" s="176"/>
      <c r="C200" s="176"/>
      <c r="D200" s="193"/>
      <c r="E200" s="198"/>
      <c r="F200" s="195"/>
      <c r="G200" s="194" t="s">
        <v>92</v>
      </c>
      <c r="H200" s="180" t="s">
        <v>89</v>
      </c>
      <c r="I200" s="187">
        <f ca="1">IFERROR(__xludf.DUMMYFUNCTION("IMPORTRANGE(""https://docs.google.com/spreadsheets/d/11923uPwbBZFjjGgGUA6NLw09EwE0CqkOc4q9oUmW1yo/edit?usp=sharing"",""เชียงใหม่!I125"")"),16000)</f>
        <v>16000</v>
      </c>
      <c r="J200" s="188">
        <f ca="1">IFERROR(__xludf.DUMMYFUNCTION("IMPORTRANGE(""https://docs.google.com/spreadsheets/d/11923uPwbBZFjjGgGUA6NLw09EwE0CqkOc4q9oUmW1yo/edit?usp=sharing"",""เชียงใหม่!J125"")"),0)</f>
        <v>0</v>
      </c>
      <c r="K200" s="163">
        <f t="shared" ca="1" si="70"/>
        <v>0</v>
      </c>
      <c r="L200" s="168"/>
      <c r="M200" s="168"/>
      <c r="N200" s="167"/>
      <c r="O200" s="168"/>
      <c r="P200" s="168"/>
    </row>
    <row r="201" spans="1:16" ht="21.75" customHeight="1" x14ac:dyDescent="0.3">
      <c r="A201" s="175"/>
      <c r="B201" s="176"/>
      <c r="C201" s="176"/>
      <c r="D201" s="193"/>
      <c r="E201" s="198"/>
      <c r="F201" s="195" t="s">
        <v>93</v>
      </c>
      <c r="G201" s="196"/>
      <c r="H201" s="180" t="s">
        <v>37</v>
      </c>
      <c r="I201" s="187">
        <f ca="1">IFERROR(__xludf.DUMMYFUNCTION("IMPORTRANGE(""https://docs.google.com/spreadsheets/d/11923uPwbBZFjjGgGUA6NLw09EwE0CqkOc4q9oUmW1yo/edit?usp=sharing"",""เชียงใหม่!I126"")"),0)</f>
        <v>0</v>
      </c>
      <c r="J201" s="188">
        <f ca="1">IFERROR(__xludf.DUMMYFUNCTION("IMPORTRANGE(""https://docs.google.com/spreadsheets/d/11923uPwbBZFjjGgGUA6NLw09EwE0CqkOc4q9oUmW1yo/edit?usp=sharing"",""เชียงใหม่!J126"")"),0)</f>
        <v>0</v>
      </c>
      <c r="K201" s="163">
        <f t="shared" ca="1" si="70"/>
        <v>0</v>
      </c>
      <c r="L201" s="168"/>
      <c r="M201" s="168"/>
      <c r="N201" s="167"/>
      <c r="O201" s="168"/>
      <c r="P201" s="168"/>
    </row>
    <row r="202" spans="1:16" ht="21.75" customHeight="1" x14ac:dyDescent="0.3">
      <c r="A202" s="175"/>
      <c r="B202" s="176"/>
      <c r="C202" s="176"/>
      <c r="D202" s="193"/>
      <c r="E202" s="194" t="s">
        <v>54</v>
      </c>
      <c r="F202" s="195"/>
      <c r="G202" s="196"/>
      <c r="H202" s="186"/>
      <c r="I202" s="187"/>
      <c r="J202" s="197">
        <f ca="1">IFERROR(__xludf.DUMMYFUNCTION("IMPORTRANGE(""https://docs.google.com/spreadsheets/d/11923uPwbBZFjjGgGUA6NLw09EwE0CqkOc4q9oUmW1yo/edit?usp=sharing"",""เชียงใหม่!J127"")"),0)</f>
        <v>0</v>
      </c>
      <c r="K202" s="163"/>
      <c r="L202" s="181"/>
      <c r="M202" s="181"/>
      <c r="N202" s="181"/>
      <c r="O202" s="181"/>
      <c r="P202" s="181"/>
    </row>
    <row r="203" spans="1:16" ht="21.75" customHeight="1" x14ac:dyDescent="0.3">
      <c r="A203" s="233"/>
      <c r="B203" s="234"/>
      <c r="C203" s="234"/>
      <c r="D203" s="235">
        <v>3</v>
      </c>
      <c r="E203" s="236" t="s">
        <v>55</v>
      </c>
      <c r="F203" s="237"/>
      <c r="G203" s="238"/>
      <c r="H203" s="239"/>
      <c r="I203" s="240"/>
      <c r="J203" s="285">
        <f ca="1">IFERROR(__xludf.DUMMYFUNCTION("IMPORTRANGE(""https://docs.google.com/spreadsheets/d/11923uPwbBZFjjGgGUA6NLw09EwE0CqkOc4q9oUmW1yo/edit?usp=sharing"",""เชียงใหม่!J128"")"),0)</f>
        <v>0</v>
      </c>
      <c r="K203" s="286"/>
      <c r="L203" s="244"/>
      <c r="M203" s="244"/>
      <c r="N203" s="244"/>
      <c r="O203" s="244"/>
      <c r="P203" s="244"/>
    </row>
    <row r="204" spans="1:16" ht="21.75" customHeight="1" x14ac:dyDescent="0.3">
      <c r="A204" s="269"/>
      <c r="B204" s="270"/>
      <c r="C204" s="287" t="s">
        <v>94</v>
      </c>
      <c r="D204" s="271"/>
      <c r="E204" s="271"/>
      <c r="F204" s="271"/>
      <c r="G204" s="272"/>
      <c r="H204" s="284" t="s">
        <v>37</v>
      </c>
      <c r="I204" s="282">
        <f ca="1">IFERROR(__xludf.DUMMYFUNCTION("IMPORTRANGE(""https://docs.google.com/spreadsheets/d/11923uPwbBZFjjGgGUA6NLw09EwE0CqkOc4q9oUmW1yo/edit?usp=sharing"",""เชียงใหม่!I129"")"),100)</f>
        <v>100</v>
      </c>
      <c r="J204" s="282">
        <f ca="1">IFERROR(__xludf.DUMMYFUNCTION("IMPORTRANGE(""https://docs.google.com/spreadsheets/d/11923uPwbBZFjjGgGUA6NLw09EwE0CqkOc4q9oUmW1yo/edit?usp=sharing"",""เชียงใหม่!J129"")"),100)</f>
        <v>100</v>
      </c>
      <c r="K204" s="283">
        <f ca="1">IF(I204&gt;0,J204*100/I204,0)</f>
        <v>100</v>
      </c>
      <c r="L204" s="276"/>
      <c r="M204" s="276"/>
      <c r="N204" s="276"/>
      <c r="O204" s="276"/>
      <c r="P204" s="276"/>
    </row>
    <row r="205" spans="1:16" ht="21.75" customHeight="1" x14ac:dyDescent="0.3">
      <c r="A205" s="156"/>
      <c r="B205" s="157"/>
      <c r="C205" s="157" t="s">
        <v>16</v>
      </c>
      <c r="D205" s="158" t="s">
        <v>38</v>
      </c>
      <c r="E205" s="159"/>
      <c r="F205" s="159"/>
      <c r="G205" s="160" t="s">
        <v>39</v>
      </c>
      <c r="H205" s="161" t="s">
        <v>12</v>
      </c>
      <c r="I205" s="162" t="s">
        <v>40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3">
      <c r="A206" s="156"/>
      <c r="B206" s="157"/>
      <c r="C206" s="157"/>
      <c r="D206" s="166"/>
      <c r="E206" s="159"/>
      <c r="F206" s="159" t="s">
        <v>40</v>
      </c>
      <c r="G206" s="160" t="s">
        <v>41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3">
      <c r="A207" s="156"/>
      <c r="B207" s="157"/>
      <c r="C207" s="157"/>
      <c r="D207" s="166"/>
      <c r="E207" s="159"/>
      <c r="F207" s="159"/>
      <c r="G207" s="169" t="s">
        <v>43</v>
      </c>
      <c r="H207" s="161" t="s">
        <v>12</v>
      </c>
      <c r="I207" s="162"/>
      <c r="J207" s="187"/>
      <c r="K207" s="223"/>
      <c r="L207" s="168"/>
      <c r="M207" s="168"/>
      <c r="N207" s="167"/>
      <c r="O207" s="168"/>
      <c r="P207" s="168"/>
    </row>
    <row r="208" spans="1:16" ht="21.75" customHeight="1" x14ac:dyDescent="0.3">
      <c r="A208" s="175"/>
      <c r="B208" s="176"/>
      <c r="C208" s="157" t="s">
        <v>16</v>
      </c>
      <c r="D208" s="177" t="s">
        <v>44</v>
      </c>
      <c r="E208" s="178"/>
      <c r="F208" s="178"/>
      <c r="G208" s="179"/>
      <c r="H208" s="180"/>
      <c r="I208" s="162"/>
      <c r="J208" s="187"/>
      <c r="K208" s="223"/>
      <c r="L208" s="168"/>
      <c r="M208" s="168"/>
      <c r="N208" s="168"/>
      <c r="O208" s="181"/>
      <c r="P208" s="181"/>
    </row>
    <row r="209" spans="1:16" ht="21.75" customHeight="1" x14ac:dyDescent="0.3">
      <c r="A209" s="175"/>
      <c r="B209" s="176"/>
      <c r="C209" s="176"/>
      <c r="D209" s="182">
        <v>1</v>
      </c>
      <c r="E209" s="183" t="s">
        <v>45</v>
      </c>
      <c r="F209" s="184"/>
      <c r="G209" s="185"/>
      <c r="H209" s="186"/>
      <c r="I209" s="187"/>
      <c r="J209" s="187">
        <f ca="1">IFERROR(__xludf.DUMMYFUNCTION("IMPORTRANGE(""https://docs.google.com/spreadsheets/d/11923uPwbBZFjjGgGUA6NLw09EwE0CqkOc4q9oUmW1yo/edit?usp=sharing"",""เชียงใหม่!J134"")"),0)</f>
        <v>0</v>
      </c>
      <c r="K209" s="223"/>
      <c r="L209" s="168"/>
      <c r="M209" s="168"/>
      <c r="N209" s="168"/>
      <c r="O209" s="181"/>
      <c r="P209" s="181"/>
    </row>
    <row r="210" spans="1:16" ht="21.75" customHeight="1" x14ac:dyDescent="0.3">
      <c r="A210" s="175"/>
      <c r="B210" s="176"/>
      <c r="C210" s="176"/>
      <c r="D210" s="189">
        <v>2</v>
      </c>
      <c r="E210" s="190" t="s">
        <v>46</v>
      </c>
      <c r="F210" s="191"/>
      <c r="G210" s="192"/>
      <c r="H210" s="186"/>
      <c r="I210" s="187"/>
      <c r="J210" s="187">
        <f ca="1">IFERROR(__xludf.DUMMYFUNCTION("IMPORTRANGE(""https://docs.google.com/spreadsheets/d/11923uPwbBZFjjGgGUA6NLw09EwE0CqkOc4q9oUmW1yo/edit?usp=sharing"",""เชียงใหม่!J135"")"),1)</f>
        <v>1</v>
      </c>
      <c r="K210" s="223"/>
      <c r="L210" s="168"/>
      <c r="M210" s="168"/>
      <c r="N210" s="168"/>
      <c r="O210" s="181"/>
      <c r="P210" s="181"/>
    </row>
    <row r="211" spans="1:16" ht="21.75" customHeight="1" x14ac:dyDescent="0.3">
      <c r="A211" s="175"/>
      <c r="B211" s="176"/>
      <c r="C211" s="176"/>
      <c r="D211" s="193"/>
      <c r="E211" s="194" t="s">
        <v>47</v>
      </c>
      <c r="F211" s="195"/>
      <c r="G211" s="196"/>
      <c r="H211" s="186"/>
      <c r="I211" s="187"/>
      <c r="J211" s="187">
        <f ca="1">IFERROR(__xludf.DUMMYFUNCTION("IMPORTRANGE(""https://docs.google.com/spreadsheets/d/11923uPwbBZFjjGgGUA6NLw09EwE0CqkOc4q9oUmW1yo/edit?usp=sharing"",""เชียงใหม่!J136"")"),1)</f>
        <v>1</v>
      </c>
      <c r="K211" s="223"/>
      <c r="L211" s="168"/>
      <c r="M211" s="168"/>
      <c r="N211" s="168"/>
      <c r="O211" s="181"/>
      <c r="P211" s="181"/>
    </row>
    <row r="212" spans="1:16" ht="21.75" customHeight="1" x14ac:dyDescent="0.3">
      <c r="A212" s="175"/>
      <c r="B212" s="176"/>
      <c r="C212" s="176"/>
      <c r="D212" s="193"/>
      <c r="E212" s="194" t="s">
        <v>48</v>
      </c>
      <c r="F212" s="195"/>
      <c r="G212" s="196"/>
      <c r="H212" s="186"/>
      <c r="I212" s="187"/>
      <c r="J212" s="187">
        <f ca="1">IFERROR(__xludf.DUMMYFUNCTION("IMPORTRANGE(""https://docs.google.com/spreadsheets/d/11923uPwbBZFjjGgGUA6NLw09EwE0CqkOc4q9oUmW1yo/edit?usp=sharing"",""เชียงใหม่!J137"")"),1)</f>
        <v>1</v>
      </c>
      <c r="K212" s="223"/>
      <c r="L212" s="168"/>
      <c r="M212" s="168"/>
      <c r="N212" s="168"/>
      <c r="O212" s="181"/>
      <c r="P212" s="181"/>
    </row>
    <row r="213" spans="1:16" ht="21.75" customHeight="1" x14ac:dyDescent="0.3">
      <c r="A213" s="175"/>
      <c r="B213" s="176"/>
      <c r="C213" s="176"/>
      <c r="D213" s="193"/>
      <c r="E213" s="198"/>
      <c r="F213" s="195" t="s">
        <v>95</v>
      </c>
      <c r="G213" s="196"/>
      <c r="H213" s="180" t="s">
        <v>37</v>
      </c>
      <c r="I213" s="187">
        <f ca="1">IFERROR(__xludf.DUMMYFUNCTION("IMPORTRANGE(""https://docs.google.com/spreadsheets/d/11923uPwbBZFjjGgGUA6NLw09EwE0CqkOc4q9oUmW1yo/edit?usp=sharing"",""เชียงใหม่!I138"")"),100)</f>
        <v>100</v>
      </c>
      <c r="J213" s="203">
        <f ca="1">IFERROR(__xludf.DUMMYFUNCTION("IMPORTRANGE(""https://docs.google.com/spreadsheets/d/11923uPwbBZFjjGgGUA6NLw09EwE0CqkOc4q9oUmW1yo/edit?usp=sharing"",""เชียงใหม่!J138"")"),100)</f>
        <v>100</v>
      </c>
      <c r="K213" s="223">
        <f ca="1">IF(I213&gt;0,J213*100/I213,0)</f>
        <v>100</v>
      </c>
      <c r="L213" s="168"/>
      <c r="M213" s="168"/>
      <c r="N213" s="167"/>
      <c r="O213" s="168"/>
      <c r="P213" s="168"/>
    </row>
    <row r="214" spans="1:16" ht="21.75" customHeight="1" x14ac:dyDescent="0.3">
      <c r="A214" s="175"/>
      <c r="B214" s="176"/>
      <c r="C214" s="176"/>
      <c r="D214" s="193"/>
      <c r="E214" s="198"/>
      <c r="F214" s="194" t="s">
        <v>53</v>
      </c>
      <c r="G214" s="196"/>
      <c r="H214" s="180"/>
      <c r="I214" s="187"/>
      <c r="J214" s="187"/>
      <c r="K214" s="223"/>
      <c r="L214" s="168"/>
      <c r="M214" s="168"/>
      <c r="N214" s="168"/>
      <c r="O214" s="181"/>
      <c r="P214" s="181"/>
    </row>
    <row r="215" spans="1:16" ht="21.75" customHeight="1" x14ac:dyDescent="0.3">
      <c r="A215" s="175"/>
      <c r="B215" s="176"/>
      <c r="C215" s="176"/>
      <c r="D215" s="193"/>
      <c r="E215" s="198"/>
      <c r="F215" s="195"/>
      <c r="G215" s="225" t="s">
        <v>96</v>
      </c>
      <c r="H215" s="180" t="s">
        <v>37</v>
      </c>
      <c r="I215" s="187">
        <f ca="1">IFERROR(__xludf.DUMMYFUNCTION("IMPORTRANGE(""https://docs.google.com/spreadsheets/d/11923uPwbBZFjjGgGUA6NLw09EwE0CqkOc4q9oUmW1yo/edit?usp=sharing"",""เชียงใหม่!I140"")"),0)</f>
        <v>0</v>
      </c>
      <c r="J215" s="203">
        <f ca="1">IFERROR(__xludf.DUMMYFUNCTION("IMPORTRANGE(""https://docs.google.com/spreadsheets/d/11923uPwbBZFjjGgGUA6NLw09EwE0CqkOc4q9oUmW1yo/edit?usp=sharing"",""เชียงใหม่!J140"")"),0)</f>
        <v>0</v>
      </c>
      <c r="K215" s="223">
        <f t="shared" ref="K215:K216" ca="1" si="71">IF(I215&gt;0,J215*100/I215,0)</f>
        <v>0</v>
      </c>
      <c r="L215" s="168"/>
      <c r="M215" s="168"/>
      <c r="N215" s="167"/>
      <c r="O215" s="168"/>
      <c r="P215" s="168"/>
    </row>
    <row r="216" spans="1:16" ht="21.75" customHeight="1" x14ac:dyDescent="0.3">
      <c r="A216" s="175"/>
      <c r="B216" s="176"/>
      <c r="C216" s="176"/>
      <c r="D216" s="193"/>
      <c r="E216" s="198"/>
      <c r="F216" s="195"/>
      <c r="G216" s="225" t="s">
        <v>97</v>
      </c>
      <c r="H216" s="180" t="s">
        <v>59</v>
      </c>
      <c r="I216" s="187">
        <f ca="1">IFERROR(__xludf.DUMMYFUNCTION("IMPORTRANGE(""https://docs.google.com/spreadsheets/d/11923uPwbBZFjjGgGUA6NLw09EwE0CqkOc4q9oUmW1yo/edit?usp=sharing"",""เชียงใหม่!I141"")"),3)</f>
        <v>3</v>
      </c>
      <c r="J216" s="203">
        <f ca="1">IFERROR(__xludf.DUMMYFUNCTION("IMPORTRANGE(""https://docs.google.com/spreadsheets/d/11923uPwbBZFjjGgGUA6NLw09EwE0CqkOc4q9oUmW1yo/edit?usp=sharing"",""เชียงใหม่!J141"")"),0)</f>
        <v>0</v>
      </c>
      <c r="K216" s="223">
        <f t="shared" ca="1" si="71"/>
        <v>0</v>
      </c>
      <c r="L216" s="168"/>
      <c r="M216" s="168"/>
      <c r="N216" s="167"/>
      <c r="O216" s="168"/>
      <c r="P216" s="168"/>
    </row>
    <row r="217" spans="1:16" ht="21.75" customHeight="1" x14ac:dyDescent="0.3">
      <c r="A217" s="175"/>
      <c r="B217" s="176"/>
      <c r="C217" s="176"/>
      <c r="D217" s="193"/>
      <c r="E217" s="194" t="s">
        <v>54</v>
      </c>
      <c r="F217" s="195"/>
      <c r="G217" s="196"/>
      <c r="H217" s="186"/>
      <c r="I217" s="187"/>
      <c r="J217" s="187">
        <f ca="1">IFERROR(__xludf.DUMMYFUNCTION("IMPORTRANGE(""https://docs.google.com/spreadsheets/d/11923uPwbBZFjjGgGUA6NLw09EwE0CqkOc4q9oUmW1yo/edit?usp=sharing"",""เชียงใหม่!J142"")"),0)</f>
        <v>0</v>
      </c>
      <c r="K217" s="223"/>
      <c r="L217" s="168"/>
      <c r="M217" s="168"/>
      <c r="N217" s="168"/>
      <c r="O217" s="181"/>
      <c r="P217" s="181"/>
    </row>
    <row r="218" spans="1:16" ht="21.75" customHeight="1" x14ac:dyDescent="0.3">
      <c r="A218" s="233"/>
      <c r="B218" s="234"/>
      <c r="C218" s="234"/>
      <c r="D218" s="235">
        <v>3</v>
      </c>
      <c r="E218" s="236" t="s">
        <v>55</v>
      </c>
      <c r="F218" s="237"/>
      <c r="G218" s="238"/>
      <c r="H218" s="239"/>
      <c r="I218" s="240"/>
      <c r="J218" s="241">
        <f ca="1">IFERROR(__xludf.DUMMYFUNCTION("IMPORTRANGE(""https://docs.google.com/spreadsheets/d/11923uPwbBZFjjGgGUA6NLw09EwE0CqkOc4q9oUmW1yo/edit?usp=sharing"",""เชียงใหม่!J143"")"),0)</f>
        <v>0</v>
      </c>
      <c r="K218" s="242"/>
      <c r="L218" s="243"/>
      <c r="M218" s="243"/>
      <c r="N218" s="243"/>
      <c r="O218" s="244"/>
      <c r="P218" s="244"/>
    </row>
    <row r="219" spans="1:16" ht="21.75" customHeight="1" x14ac:dyDescent="0.3">
      <c r="A219" s="261"/>
      <c r="B219" s="262" t="s">
        <v>98</v>
      </c>
      <c r="C219" s="263"/>
      <c r="D219" s="262"/>
      <c r="E219" s="262"/>
      <c r="F219" s="262"/>
      <c r="G219" s="264"/>
      <c r="H219" s="265" t="s">
        <v>37</v>
      </c>
      <c r="I219" s="266">
        <f ca="1">IFERROR(__xludf.DUMMYFUNCTION("IMPORTRANGE(""https://docs.google.com/spreadsheets/d/11923uPwbBZFjjGgGUA6NLw09EwE0CqkOc4q9oUmW1yo/edit?usp=sharing"",""เชียงใหม่!I144"")"),15)</f>
        <v>15</v>
      </c>
      <c r="J219" s="266">
        <f ca="1">IFERROR(__xludf.DUMMYFUNCTION("IMPORTRANGE(""https://docs.google.com/spreadsheets/d/11923uPwbBZFjjGgGUA6NLw09EwE0CqkOc4q9oUmW1yo/edit?usp=sharing"",""เชียงใหม่!J144"")"),15)</f>
        <v>15</v>
      </c>
      <c r="K219" s="267">
        <f ca="1">IF(I219&gt;0,J219*100/I219,0)</f>
        <v>100</v>
      </c>
      <c r="L219" s="268"/>
      <c r="M219" s="268"/>
      <c r="N219" s="268"/>
      <c r="O219" s="267"/>
      <c r="P219" s="267"/>
    </row>
    <row r="220" spans="1:16" ht="21.75" customHeight="1" x14ac:dyDescent="0.45">
      <c r="A220" s="145"/>
      <c r="B220" s="146"/>
      <c r="C220" s="147" t="s">
        <v>16</v>
      </c>
      <c r="D220" s="537" t="s">
        <v>17</v>
      </c>
      <c r="E220" s="528"/>
      <c r="F220" s="528"/>
      <c r="G220" s="528"/>
      <c r="H220" s="148" t="s">
        <v>12</v>
      </c>
      <c r="I220" s="162"/>
      <c r="J220" s="162"/>
      <c r="K220" s="163"/>
      <c r="L220" s="151">
        <f t="shared" ref="L220:N220" ca="1" si="72">L221+L222</f>
        <v>21125</v>
      </c>
      <c r="M220" s="151">
        <f t="shared" ca="1" si="72"/>
        <v>21125</v>
      </c>
      <c r="N220" s="151">
        <f t="shared" ca="1" si="72"/>
        <v>20125</v>
      </c>
      <c r="O220" s="150">
        <f t="shared" ref="O220:O222" ca="1" si="73">IF(L220&gt;0,N220*100/L220,0)</f>
        <v>95.26627218934911</v>
      </c>
      <c r="P220" s="150">
        <f t="shared" ref="P220:P222" ca="1" si="74">IF(M220&gt;0,N220*100/M220,0)</f>
        <v>95.26627218934911</v>
      </c>
    </row>
    <row r="221" spans="1:16" ht="21.75" customHeight="1" x14ac:dyDescent="0.45">
      <c r="A221" s="152"/>
      <c r="B221" s="32"/>
      <c r="C221" s="32"/>
      <c r="D221" s="32"/>
      <c r="E221" s="32"/>
      <c r="F221" s="32"/>
      <c r="G221" s="33" t="s">
        <v>18</v>
      </c>
      <c r="H221" s="153" t="s">
        <v>12</v>
      </c>
      <c r="I221" s="162"/>
      <c r="J221" s="162"/>
      <c r="K221" s="163"/>
      <c r="L221" s="87">
        <f t="shared" ref="L221:N221" si="75">L223+L227</f>
        <v>0</v>
      </c>
      <c r="M221" s="87">
        <f t="shared" si="75"/>
        <v>0</v>
      </c>
      <c r="N221" s="87">
        <f t="shared" si="75"/>
        <v>0</v>
      </c>
      <c r="O221" s="155">
        <f t="shared" si="73"/>
        <v>0</v>
      </c>
      <c r="P221" s="155">
        <f t="shared" si="74"/>
        <v>0</v>
      </c>
    </row>
    <row r="222" spans="1:16" ht="21.75" customHeight="1" x14ac:dyDescent="0.45">
      <c r="A222" s="152"/>
      <c r="B222" s="32"/>
      <c r="C222" s="32"/>
      <c r="D222" s="32"/>
      <c r="E222" s="32"/>
      <c r="F222" s="32"/>
      <c r="G222" s="33" t="s">
        <v>19</v>
      </c>
      <c r="H222" s="153" t="s">
        <v>12</v>
      </c>
      <c r="I222" s="162"/>
      <c r="J222" s="162"/>
      <c r="K222" s="163"/>
      <c r="L222" s="87">
        <f t="shared" ref="L222:N222" ca="1" si="76">L224+L228</f>
        <v>21125</v>
      </c>
      <c r="M222" s="87">
        <f t="shared" ca="1" si="76"/>
        <v>21125</v>
      </c>
      <c r="N222" s="87">
        <f t="shared" ca="1" si="76"/>
        <v>20125</v>
      </c>
      <c r="O222" s="155">
        <f t="shared" ca="1" si="73"/>
        <v>95.26627218934911</v>
      </c>
      <c r="P222" s="155">
        <f t="shared" ca="1" si="74"/>
        <v>95.26627218934911</v>
      </c>
    </row>
    <row r="223" spans="1:16" ht="21.75" customHeight="1" x14ac:dyDescent="0.3">
      <c r="A223" s="156"/>
      <c r="B223" s="157"/>
      <c r="C223" s="157" t="s">
        <v>16</v>
      </c>
      <c r="D223" s="158" t="s">
        <v>38</v>
      </c>
      <c r="E223" s="159"/>
      <c r="F223" s="159"/>
      <c r="G223" s="160" t="s">
        <v>39</v>
      </c>
      <c r="H223" s="161" t="s">
        <v>12</v>
      </c>
      <c r="I223" s="162" t="s">
        <v>40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3">
      <c r="A224" s="156"/>
      <c r="B224" s="157"/>
      <c r="C224" s="157"/>
      <c r="D224" s="166"/>
      <c r="E224" s="159"/>
      <c r="F224" s="159" t="s">
        <v>40</v>
      </c>
      <c r="G224" s="160" t="s">
        <v>41</v>
      </c>
      <c r="H224" s="161" t="s">
        <v>12</v>
      </c>
      <c r="I224" s="162"/>
      <c r="J224" s="162"/>
      <c r="K224" s="163"/>
      <c r="L224" s="167">
        <f ca="1">L225+L226</f>
        <v>21125</v>
      </c>
      <c r="M224" s="167">
        <f ca="1">IFERROR(__xludf.DUMMYFUNCTION("IMPORTRANGE(""https://docs.google.com/spreadsheets/d/1Yj_ptqi66GCucihVvJfMjLAmec39IyEx_6qawtMGysU/edit?usp=sharing"",""สบก!BS22"")"),21125)</f>
        <v>21125</v>
      </c>
      <c r="N224" s="168">
        <f ca="1">IFERROR(__xludf.DUMMYFUNCTION("IMPORTRANGE(""https://docs.google.com/spreadsheets/d/1Yj_ptqi66GCucihVvJfMjLAmec39IyEx_6qawtMGysU/edit?usp=sharing"",""สบก!BT22"")"),20125)</f>
        <v>20125</v>
      </c>
      <c r="O224" s="168">
        <f ca="1">IF(L224&gt;0,N224*100/L224,0)</f>
        <v>95.26627218934911</v>
      </c>
      <c r="P224" s="168">
        <f ca="1">IF(M224&gt;0,N224*100/M224,0)</f>
        <v>95.26627218934911</v>
      </c>
    </row>
    <row r="225" spans="1:16" ht="21.75" customHeight="1" x14ac:dyDescent="0.3">
      <c r="A225" s="156"/>
      <c r="B225" s="157"/>
      <c r="C225" s="157"/>
      <c r="D225" s="166"/>
      <c r="E225" s="159"/>
      <c r="F225" s="159"/>
      <c r="G225" s="169" t="s">
        <v>42</v>
      </c>
      <c r="H225" s="161" t="s">
        <v>12</v>
      </c>
      <c r="I225" s="162"/>
      <c r="J225" s="162"/>
      <c r="K225" s="163"/>
      <c r="L225" s="167">
        <f ca="1">IFERROR(__xludf.DUMMYFUNCTION("IMPORTRANGE(""https://docs.google.com/spreadsheets/d/1Yj_ptqi66GCucihVvJfMjLAmec39IyEx_6qawtMGysU/edit?usp=sharing"",""สบก!BO22"")"),0)</f>
        <v>0</v>
      </c>
      <c r="M225" s="167"/>
      <c r="N225" s="167"/>
      <c r="O225" s="168"/>
      <c r="P225" s="168"/>
    </row>
    <row r="226" spans="1:16" ht="21.75" customHeight="1" x14ac:dyDescent="0.3">
      <c r="A226" s="156"/>
      <c r="B226" s="157"/>
      <c r="C226" s="157"/>
      <c r="D226" s="166"/>
      <c r="E226" s="159"/>
      <c r="F226" s="159"/>
      <c r="G226" s="169" t="s">
        <v>43</v>
      </c>
      <c r="H226" s="161" t="s">
        <v>12</v>
      </c>
      <c r="I226" s="162"/>
      <c r="J226" s="162"/>
      <c r="K226" s="163"/>
      <c r="L226" s="167">
        <f ca="1">IFERROR(__xludf.DUMMYFUNCTION("IMPORTRANGE(""https://docs.google.com/spreadsheets/d/1Yj_ptqi66GCucihVvJfMjLAmec39IyEx_6qawtMGysU/edit?usp=sharing"",""สบก!BP22"")"),21125)</f>
        <v>21125</v>
      </c>
      <c r="M226" s="167"/>
      <c r="N226" s="167"/>
      <c r="O226" s="168"/>
      <c r="P226" s="168"/>
    </row>
    <row r="227" spans="1:16" ht="21.75" customHeight="1" x14ac:dyDescent="0.45">
      <c r="A227" s="170"/>
      <c r="B227" s="80"/>
      <c r="C227" s="81" t="s">
        <v>16</v>
      </c>
      <c r="D227" s="534" t="s">
        <v>23</v>
      </c>
      <c r="E227" s="530"/>
      <c r="F227" s="88"/>
      <c r="G227" s="82" t="s">
        <v>18</v>
      </c>
      <c r="H227" s="171" t="s">
        <v>12</v>
      </c>
      <c r="I227" s="200"/>
      <c r="J227" s="200"/>
      <c r="K227" s="288"/>
      <c r="L227" s="41">
        <v>0</v>
      </c>
      <c r="M227" s="41"/>
      <c r="N227" s="41"/>
      <c r="O227" s="41"/>
      <c r="P227" s="41"/>
    </row>
    <row r="228" spans="1:16" ht="21.75" customHeight="1" x14ac:dyDescent="0.45">
      <c r="A228" s="172"/>
      <c r="B228" s="91"/>
      <c r="C228" s="91"/>
      <c r="D228" s="173"/>
      <c r="E228" s="92"/>
      <c r="F228" s="92"/>
      <c r="G228" s="93" t="s">
        <v>19</v>
      </c>
      <c r="H228" s="174" t="s">
        <v>12</v>
      </c>
      <c r="I228" s="200"/>
      <c r="J228" s="200"/>
      <c r="K228" s="288"/>
      <c r="L228" s="49">
        <f ca="1">IFERROR(__xludf.DUMMYFUNCTION("IMPORTRANGE(""https://docs.google.com/spreadsheets/d/1Yj_ptqi66GCucihVvJfMjLAmec39IyEx_6qawtMGysU/edit?usp=sharing"",""สบก!BQ22"")"),0)</f>
        <v>0</v>
      </c>
      <c r="M228" s="49"/>
      <c r="N228" s="49">
        <f ca="1">IFERROR(__xludf.DUMMYFUNCTION("IMPORTRANGE(""https://docs.google.com/spreadsheets/d/1Yj_ptqi66GCucihVvJfMjLAmec39IyEx_6qawtMGysU/edit?usp=sharing"",""สบก!BU22"")"),0)</f>
        <v>0</v>
      </c>
      <c r="O228" s="49">
        <f ca="1">IF(L228&gt;0,N228*100/L228,0)</f>
        <v>0</v>
      </c>
      <c r="P228" s="49"/>
    </row>
    <row r="229" spans="1:16" ht="21.75" customHeight="1" x14ac:dyDescent="0.3">
      <c r="A229" s="175"/>
      <c r="B229" s="289"/>
      <c r="C229" s="263" t="s">
        <v>99</v>
      </c>
      <c r="D229" s="262"/>
      <c r="E229" s="262"/>
      <c r="F229" s="262"/>
      <c r="G229" s="264"/>
      <c r="H229" s="265" t="s">
        <v>37</v>
      </c>
      <c r="I229" s="266">
        <f ca="1">IFERROR(__xludf.DUMMYFUNCTION("IMPORTRANGE(""https://docs.google.com/spreadsheets/d/11923uPwbBZFjjGgGUA6NLw09EwE0CqkOc4q9oUmW1yo/edit?usp=sharing"",""เชียงใหม่!I149"")"),15)</f>
        <v>15</v>
      </c>
      <c r="J229" s="266">
        <f ca="1">IFERROR(__xludf.DUMMYFUNCTION("IMPORTRANGE(""https://docs.google.com/spreadsheets/d/11923uPwbBZFjjGgGUA6NLw09EwE0CqkOc4q9oUmW1yo/edit?usp=sharing"",""เชียงใหม่!J149"")"),15)</f>
        <v>15</v>
      </c>
      <c r="K229" s="267">
        <f ca="1">IF(I229&gt;0,J229*100/I229,0)</f>
        <v>100</v>
      </c>
      <c r="L229" s="290"/>
      <c r="M229" s="290"/>
      <c r="N229" s="290"/>
      <c r="O229" s="290"/>
      <c r="P229" s="290"/>
    </row>
    <row r="230" spans="1:16" ht="21.75" customHeight="1" x14ac:dyDescent="0.3">
      <c r="A230" s="175"/>
      <c r="B230" s="176"/>
      <c r="C230" s="157" t="s">
        <v>16</v>
      </c>
      <c r="D230" s="177" t="s">
        <v>44</v>
      </c>
      <c r="E230" s="178"/>
      <c r="F230" s="178"/>
      <c r="G230" s="179"/>
      <c r="H230" s="180"/>
      <c r="I230" s="162"/>
      <c r="J230" s="162"/>
      <c r="K230" s="163"/>
      <c r="L230" s="181"/>
      <c r="M230" s="181"/>
      <c r="N230" s="181"/>
      <c r="O230" s="181"/>
      <c r="P230" s="181"/>
    </row>
    <row r="231" spans="1:16" ht="21.75" customHeight="1" x14ac:dyDescent="0.3">
      <c r="A231" s="175"/>
      <c r="B231" s="176"/>
      <c r="C231" s="176"/>
      <c r="D231" s="182">
        <v>1</v>
      </c>
      <c r="E231" s="183" t="s">
        <v>45</v>
      </c>
      <c r="F231" s="184"/>
      <c r="G231" s="185"/>
      <c r="H231" s="186"/>
      <c r="I231" s="187"/>
      <c r="J231" s="197">
        <f ca="1">IFERROR(__xludf.DUMMYFUNCTION("IMPORTRANGE(""https://docs.google.com/spreadsheets/d/11923uPwbBZFjjGgGUA6NLw09EwE0CqkOc4q9oUmW1yo/edit?usp=sharing"",""เชียงใหม่!J151"")"),0)</f>
        <v>0</v>
      </c>
      <c r="K231" s="163"/>
      <c r="L231" s="181"/>
      <c r="M231" s="181"/>
      <c r="N231" s="181"/>
      <c r="O231" s="181"/>
      <c r="P231" s="181"/>
    </row>
    <row r="232" spans="1:16" ht="21.75" customHeight="1" x14ac:dyDescent="0.3">
      <c r="A232" s="175"/>
      <c r="B232" s="176"/>
      <c r="C232" s="176"/>
      <c r="D232" s="189">
        <v>2</v>
      </c>
      <c r="E232" s="190" t="s">
        <v>46</v>
      </c>
      <c r="F232" s="191"/>
      <c r="G232" s="192"/>
      <c r="H232" s="186"/>
      <c r="I232" s="187"/>
      <c r="J232" s="188">
        <f ca="1">IFERROR(__xludf.DUMMYFUNCTION("IMPORTRANGE(""https://docs.google.com/spreadsheets/d/11923uPwbBZFjjGgGUA6NLw09EwE0CqkOc4q9oUmW1yo/edit?usp=sharing"",""เชียงใหม่!J152"")"),1)</f>
        <v>1</v>
      </c>
      <c r="K232" s="163"/>
      <c r="L232" s="181" t="s">
        <v>40</v>
      </c>
      <c r="M232" s="181"/>
      <c r="N232" s="181" t="s">
        <v>40</v>
      </c>
      <c r="O232" s="181"/>
      <c r="P232" s="181"/>
    </row>
    <row r="233" spans="1:16" ht="21.75" customHeight="1" x14ac:dyDescent="0.3">
      <c r="A233" s="175"/>
      <c r="B233" s="176"/>
      <c r="C233" s="176"/>
      <c r="D233" s="193"/>
      <c r="E233" s="194" t="s">
        <v>47</v>
      </c>
      <c r="F233" s="195"/>
      <c r="G233" s="196"/>
      <c r="H233" s="186"/>
      <c r="I233" s="187"/>
      <c r="J233" s="188">
        <f ca="1">IFERROR(__xludf.DUMMYFUNCTION("IMPORTRANGE(""https://docs.google.com/spreadsheets/d/11923uPwbBZFjjGgGUA6NLw09EwE0CqkOc4q9oUmW1yo/edit?usp=sharing"",""เชียงใหม่!J153"")"),1)</f>
        <v>1</v>
      </c>
      <c r="K233" s="163"/>
      <c r="L233" s="181"/>
      <c r="M233" s="181"/>
      <c r="N233" s="181"/>
      <c r="O233" s="181"/>
      <c r="P233" s="181"/>
    </row>
    <row r="234" spans="1:16" ht="21.75" customHeight="1" x14ac:dyDescent="0.3">
      <c r="A234" s="175"/>
      <c r="B234" s="176"/>
      <c r="C234" s="176"/>
      <c r="D234" s="193"/>
      <c r="E234" s="194" t="s">
        <v>48</v>
      </c>
      <c r="F234" s="195"/>
      <c r="G234" s="196"/>
      <c r="H234" s="186"/>
      <c r="I234" s="187"/>
      <c r="J234" s="197">
        <f ca="1">IFERROR(__xludf.DUMMYFUNCTION("IMPORTRANGE(""https://docs.google.com/spreadsheets/d/11923uPwbBZFjjGgGUA6NLw09EwE0CqkOc4q9oUmW1yo/edit?usp=sharing"",""เชียงใหม่!J154"")"),1)</f>
        <v>1</v>
      </c>
      <c r="K234" s="163"/>
      <c r="L234" s="181"/>
      <c r="M234" s="181"/>
      <c r="N234" s="181"/>
      <c r="O234" s="181"/>
      <c r="P234" s="181"/>
    </row>
    <row r="235" spans="1:16" ht="21.75" customHeight="1" x14ac:dyDescent="0.3">
      <c r="A235" s="175"/>
      <c r="B235" s="176"/>
      <c r="C235" s="176"/>
      <c r="D235" s="193"/>
      <c r="E235" s="198"/>
      <c r="F235" s="195"/>
      <c r="G235" s="291" t="s">
        <v>70</v>
      </c>
      <c r="H235" s="186" t="s">
        <v>37</v>
      </c>
      <c r="I235" s="187">
        <f ca="1">IFERROR(__xludf.DUMMYFUNCTION("IMPORTRANGE(""https://docs.google.com/spreadsheets/d/11923uPwbBZFjjGgGUA6NLw09EwE0CqkOc4q9oUmW1yo/edit?usp=sharing"",""เชียงใหม่!I155"")"),15)</f>
        <v>15</v>
      </c>
      <c r="J235" s="188">
        <f ca="1">IFERROR(__xludf.DUMMYFUNCTION("IMPORTRANGE(""https://docs.google.com/spreadsheets/d/11923uPwbBZFjjGgGUA6NLw09EwE0CqkOc4q9oUmW1yo/edit?usp=sharing"",""เชียงใหม่!J155"")"),15)</f>
        <v>15</v>
      </c>
      <c r="K235" s="163">
        <f ca="1">IF(I235&gt;0,J235*100/I235,0)</f>
        <v>100</v>
      </c>
      <c r="L235" s="181"/>
      <c r="M235" s="181"/>
      <c r="N235" s="181"/>
      <c r="O235" s="181"/>
      <c r="P235" s="181"/>
    </row>
    <row r="236" spans="1:16" ht="21.75" customHeight="1" x14ac:dyDescent="0.3">
      <c r="A236" s="175"/>
      <c r="B236" s="176"/>
      <c r="C236" s="176"/>
      <c r="D236" s="193"/>
      <c r="E236" s="194" t="s">
        <v>54</v>
      </c>
      <c r="F236" s="195"/>
      <c r="G236" s="196"/>
      <c r="H236" s="186"/>
      <c r="I236" s="187"/>
      <c r="J236" s="197">
        <f ca="1">IFERROR(__xludf.DUMMYFUNCTION("IMPORTRANGE(""https://docs.google.com/spreadsheets/d/11923uPwbBZFjjGgGUA6NLw09EwE0CqkOc4q9oUmW1yo/edit?usp=sharing"",""เชียงใหม่!J156"")"),0)</f>
        <v>0</v>
      </c>
      <c r="K236" s="163"/>
      <c r="L236" s="181"/>
      <c r="M236" s="181"/>
      <c r="N236" s="181"/>
      <c r="O236" s="181"/>
      <c r="P236" s="181"/>
    </row>
    <row r="237" spans="1:16" ht="21.75" customHeight="1" x14ac:dyDescent="0.3">
      <c r="A237" s="175"/>
      <c r="B237" s="176"/>
      <c r="C237" s="176"/>
      <c r="D237" s="205">
        <v>3</v>
      </c>
      <c r="E237" s="206" t="s">
        <v>55</v>
      </c>
      <c r="F237" s="207"/>
      <c r="G237" s="208"/>
      <c r="H237" s="186"/>
      <c r="I237" s="187"/>
      <c r="J237" s="209">
        <f ca="1">IFERROR(__xludf.DUMMYFUNCTION("IMPORTRANGE(""https://docs.google.com/spreadsheets/d/11923uPwbBZFjjGgGUA6NLw09EwE0CqkOc4q9oUmW1yo/edit?usp=sharing"",""เชียงใหม่!J157"")"),0)</f>
        <v>0</v>
      </c>
      <c r="K237" s="163"/>
      <c r="L237" s="181"/>
      <c r="M237" s="181"/>
      <c r="N237" s="181"/>
      <c r="O237" s="181"/>
      <c r="P237" s="181"/>
    </row>
    <row r="238" spans="1:16" ht="21.75" customHeight="1" x14ac:dyDescent="0.3">
      <c r="A238" s="175"/>
      <c r="B238" s="176"/>
      <c r="C238" s="263" t="s">
        <v>100</v>
      </c>
      <c r="D238" s="292"/>
      <c r="E238" s="262"/>
      <c r="F238" s="262"/>
      <c r="G238" s="264"/>
      <c r="H238" s="265" t="s">
        <v>37</v>
      </c>
      <c r="I238" s="266">
        <f ca="1">IFERROR(__xludf.DUMMYFUNCTION("IMPORTRANGE(""https://docs.google.com/spreadsheets/d/11923uPwbBZFjjGgGUA6NLw09EwE0CqkOc4q9oUmW1yo/edit?usp=sharing"",""เชียงใหม่!I158"")"),0)</f>
        <v>0</v>
      </c>
      <c r="J238" s="266">
        <f ca="1">IFERROR(__xludf.DUMMYFUNCTION("IMPORTRANGE(""https://docs.google.com/spreadsheets/d/11923uPwbBZFjjGgGUA6NLw09EwE0CqkOc4q9oUmW1yo/edit?usp=sharing"",""เชียงใหม่!J158"")"),0)</f>
        <v>0</v>
      </c>
      <c r="K238" s="267">
        <f ca="1">IF(I238&gt;0,J238*100/I238,0)</f>
        <v>0</v>
      </c>
      <c r="L238" s="181"/>
      <c r="M238" s="181"/>
      <c r="N238" s="181"/>
      <c r="O238" s="181"/>
      <c r="P238" s="181"/>
    </row>
    <row r="239" spans="1:16" ht="21.75" customHeight="1" x14ac:dyDescent="0.3">
      <c r="A239" s="175"/>
      <c r="B239" s="176"/>
      <c r="C239" s="157" t="s">
        <v>16</v>
      </c>
      <c r="D239" s="177" t="s">
        <v>44</v>
      </c>
      <c r="E239" s="178"/>
      <c r="F239" s="178"/>
      <c r="G239" s="179"/>
      <c r="H239" s="180"/>
      <c r="I239" s="162"/>
      <c r="J239" s="162"/>
      <c r="K239" s="163"/>
      <c r="L239" s="181"/>
      <c r="M239" s="181"/>
      <c r="N239" s="181"/>
      <c r="O239" s="181"/>
      <c r="P239" s="181"/>
    </row>
    <row r="240" spans="1:16" ht="21.75" customHeight="1" x14ac:dyDescent="0.3">
      <c r="A240" s="175"/>
      <c r="B240" s="176"/>
      <c r="C240" s="176"/>
      <c r="D240" s="182">
        <v>1</v>
      </c>
      <c r="E240" s="183" t="s">
        <v>45</v>
      </c>
      <c r="F240" s="184"/>
      <c r="G240" s="185"/>
      <c r="H240" s="186"/>
      <c r="I240" s="187"/>
      <c r="J240" s="187" t="str">
        <f ca="1">IFERROR(__xludf.DUMMYFUNCTION("IMPORTRANGE(""https://docs.google.com/spreadsheets/d/11923uPwbBZFjjGgGUA6NLw09EwE0CqkOc4q9oUmW1yo/edit?usp=sharing"",""เชียงใหม่!J159"")"),"")</f>
        <v/>
      </c>
      <c r="K240" s="163"/>
      <c r="L240" s="181"/>
      <c r="M240" s="181"/>
      <c r="N240" s="181"/>
      <c r="O240" s="181"/>
      <c r="P240" s="181"/>
    </row>
    <row r="241" spans="1:16" ht="21.75" customHeight="1" x14ac:dyDescent="0.3">
      <c r="A241" s="175"/>
      <c r="B241" s="176"/>
      <c r="C241" s="176"/>
      <c r="D241" s="189">
        <v>2</v>
      </c>
      <c r="E241" s="190" t="s">
        <v>46</v>
      </c>
      <c r="F241" s="191"/>
      <c r="G241" s="192"/>
      <c r="H241" s="186"/>
      <c r="I241" s="187"/>
      <c r="J241" s="187">
        <f ca="1">IFERROR(__xludf.DUMMYFUNCTION("IMPORTRANGE(""https://docs.google.com/spreadsheets/d/11923uPwbBZFjjGgGUA6NLw09EwE0CqkOc4q9oUmW1yo/edit?usp=sharing"",""เชียงใหม่!J161"")"),0)</f>
        <v>0</v>
      </c>
      <c r="K241" s="163"/>
      <c r="L241" s="181" t="s">
        <v>40</v>
      </c>
      <c r="M241" s="181"/>
      <c r="N241" s="181" t="s">
        <v>40</v>
      </c>
      <c r="O241" s="181"/>
      <c r="P241" s="181"/>
    </row>
    <row r="242" spans="1:16" ht="21.75" customHeight="1" x14ac:dyDescent="0.3">
      <c r="A242" s="175"/>
      <c r="B242" s="176"/>
      <c r="C242" s="176"/>
      <c r="D242" s="193"/>
      <c r="E242" s="194" t="s">
        <v>47</v>
      </c>
      <c r="F242" s="195"/>
      <c r="G242" s="196"/>
      <c r="H242" s="186"/>
      <c r="I242" s="187"/>
      <c r="J242" s="187">
        <f ca="1">IFERROR(__xludf.DUMMYFUNCTION("IMPORTRANGE(""https://docs.google.com/spreadsheets/d/11923uPwbBZFjjGgGUA6NLw09EwE0CqkOc4q9oUmW1yo/edit?usp=sharing"",""เชียงใหม่!J162"")"),0)</f>
        <v>0</v>
      </c>
      <c r="K242" s="163"/>
      <c r="L242" s="181"/>
      <c r="M242" s="181"/>
      <c r="N242" s="181"/>
      <c r="O242" s="181"/>
      <c r="P242" s="181"/>
    </row>
    <row r="243" spans="1:16" ht="21.75" customHeight="1" x14ac:dyDescent="0.3">
      <c r="A243" s="175"/>
      <c r="B243" s="176"/>
      <c r="C243" s="176"/>
      <c r="D243" s="193"/>
      <c r="E243" s="194" t="s">
        <v>48</v>
      </c>
      <c r="F243" s="195"/>
      <c r="G243" s="196"/>
      <c r="H243" s="186"/>
      <c r="I243" s="187"/>
      <c r="J243" s="187">
        <f ca="1">IFERROR(__xludf.DUMMYFUNCTION("IMPORTRANGE(""https://docs.google.com/spreadsheets/d/11923uPwbBZFjjGgGUA6NLw09EwE0CqkOc4q9oUmW1yo/edit?usp=sharing"",""เชียงใหม่!J163"")"),0)</f>
        <v>0</v>
      </c>
      <c r="K243" s="163"/>
      <c r="L243" s="181"/>
      <c r="M243" s="181"/>
      <c r="N243" s="181"/>
      <c r="O243" s="181"/>
      <c r="P243" s="181"/>
    </row>
    <row r="244" spans="1:16" ht="21.75" customHeight="1" x14ac:dyDescent="0.3">
      <c r="A244" s="175"/>
      <c r="B244" s="176"/>
      <c r="C244" s="176"/>
      <c r="D244" s="193"/>
      <c r="E244" s="195"/>
      <c r="F244" s="194" t="s">
        <v>101</v>
      </c>
      <c r="G244" s="195"/>
      <c r="H244" s="186" t="s">
        <v>37</v>
      </c>
      <c r="I244" s="203">
        <f ca="1">IFERROR(__xludf.DUMMYFUNCTION("IMPORTRANGE(""https://docs.google.com/spreadsheets/d/11923uPwbBZFjjGgGUA6NLw09EwE0CqkOc4q9oUmW1yo/edit?usp=sharing"",""เชียงใหม่!I164"")"),0)</f>
        <v>0</v>
      </c>
      <c r="J244" s="187">
        <f ca="1">IFERROR(__xludf.DUMMYFUNCTION("IMPORTRANGE(""https://docs.google.com/spreadsheets/d/11923uPwbBZFjjGgGUA6NLw09EwE0CqkOc4q9oUmW1yo/edit?usp=sharing"",""เชียงใหม่!J164"")"),0)</f>
        <v>0</v>
      </c>
      <c r="K244" s="163">
        <f ca="1">IF(I244&gt;0,J244*100/I244,0)</f>
        <v>0</v>
      </c>
      <c r="L244" s="181"/>
      <c r="M244" s="181"/>
      <c r="N244" s="181"/>
      <c r="O244" s="181"/>
      <c r="P244" s="181"/>
    </row>
    <row r="245" spans="1:16" ht="21.75" customHeight="1" x14ac:dyDescent="0.3">
      <c r="A245" s="175"/>
      <c r="B245" s="176"/>
      <c r="C245" s="176"/>
      <c r="D245" s="193"/>
      <c r="E245" s="194" t="s">
        <v>54</v>
      </c>
      <c r="F245" s="195"/>
      <c r="G245" s="196"/>
      <c r="H245" s="186"/>
      <c r="I245" s="187"/>
      <c r="J245" s="187">
        <f ca="1">IFERROR(__xludf.DUMMYFUNCTION("IMPORTRANGE(""https://docs.google.com/spreadsheets/d/11923uPwbBZFjjGgGUA6NLw09EwE0CqkOc4q9oUmW1yo/edit?usp=sharing"",""เชียงใหม่!J165"")"),0)</f>
        <v>0</v>
      </c>
      <c r="K245" s="163"/>
      <c r="L245" s="181"/>
      <c r="M245" s="181"/>
      <c r="N245" s="181"/>
      <c r="O245" s="181"/>
      <c r="P245" s="181"/>
    </row>
    <row r="246" spans="1:16" ht="21.75" customHeight="1" x14ac:dyDescent="0.3">
      <c r="A246" s="233"/>
      <c r="B246" s="234"/>
      <c r="C246" s="234"/>
      <c r="D246" s="235">
        <v>3</v>
      </c>
      <c r="E246" s="236" t="s">
        <v>55</v>
      </c>
      <c r="F246" s="237"/>
      <c r="G246" s="238"/>
      <c r="H246" s="239"/>
      <c r="I246" s="240"/>
      <c r="J246" s="241">
        <f ca="1">IFERROR(__xludf.DUMMYFUNCTION("IMPORTRANGE(""https://docs.google.com/spreadsheets/d/11923uPwbBZFjjGgGUA6NLw09EwE0CqkOc4q9oUmW1yo/edit?usp=sharing"",""เชียงใหม่!J166"")"),0)</f>
        <v>0</v>
      </c>
      <c r="K246" s="286"/>
      <c r="L246" s="244"/>
      <c r="M246" s="244"/>
      <c r="N246" s="244"/>
      <c r="O246" s="244"/>
      <c r="P246" s="244"/>
    </row>
    <row r="247" spans="1:16" ht="21.75" customHeight="1" x14ac:dyDescent="0.3">
      <c r="A247" s="293" t="s">
        <v>102</v>
      </c>
      <c r="B247" s="294"/>
      <c r="C247" s="294"/>
      <c r="D247" s="294"/>
      <c r="E247" s="295"/>
      <c r="F247" s="295"/>
      <c r="G247" s="296"/>
      <c r="H247" s="297"/>
      <c r="I247" s="298"/>
      <c r="J247" s="298"/>
      <c r="K247" s="299"/>
      <c r="L247" s="300"/>
      <c r="M247" s="300"/>
      <c r="N247" s="300"/>
      <c r="O247" s="301"/>
      <c r="P247" s="301"/>
    </row>
    <row r="248" spans="1:16" ht="21.75" customHeight="1" x14ac:dyDescent="0.3">
      <c r="A248" s="302" t="s">
        <v>103</v>
      </c>
      <c r="B248" s="303"/>
      <c r="C248" s="303"/>
      <c r="D248" s="304"/>
      <c r="E248" s="304"/>
      <c r="F248" s="304"/>
      <c r="G248" s="305"/>
      <c r="H248" s="306"/>
      <c r="I248" s="307"/>
      <c r="J248" s="307"/>
      <c r="K248" s="308"/>
      <c r="L248" s="308"/>
      <c r="M248" s="308"/>
      <c r="N248" s="308"/>
      <c r="O248" s="309"/>
      <c r="P248" s="309"/>
    </row>
    <row r="249" spans="1:16" ht="21.75" customHeight="1" x14ac:dyDescent="0.3">
      <c r="A249" s="310"/>
      <c r="B249" s="311" t="s">
        <v>104</v>
      </c>
      <c r="C249" s="311"/>
      <c r="D249" s="311"/>
      <c r="E249" s="311"/>
      <c r="F249" s="311"/>
      <c r="G249" s="312"/>
      <c r="H249" s="313" t="s">
        <v>37</v>
      </c>
      <c r="I249" s="314">
        <f ca="1">IFERROR(__xludf.DUMMYFUNCTION("IMPORTRANGE(""https://docs.google.com/spreadsheets/d/11923uPwbBZFjjGgGUA6NLw09EwE0CqkOc4q9oUmW1yo/edit?usp=sharing"",""เชียงใหม่!I169"")"),20)</f>
        <v>20</v>
      </c>
      <c r="J249" s="314">
        <f ca="1">IFERROR(__xludf.DUMMYFUNCTION("IMPORTRANGE(""https://docs.google.com/spreadsheets/d/11923uPwbBZFjjGgGUA6NLw09EwE0CqkOc4q9oUmW1yo/edit?usp=sharing"",""เชียงใหม่!J169"")"),20)</f>
        <v>20</v>
      </c>
      <c r="K249" s="315">
        <f ca="1">IF(I249&gt;0,J249*100/I249,0)</f>
        <v>100</v>
      </c>
      <c r="L249" s="316"/>
      <c r="M249" s="316"/>
      <c r="N249" s="316"/>
      <c r="O249" s="315"/>
      <c r="P249" s="315"/>
    </row>
    <row r="250" spans="1:16" ht="21.75" customHeight="1" x14ac:dyDescent="0.45">
      <c r="A250" s="145"/>
      <c r="B250" s="146"/>
      <c r="C250" s="147" t="s">
        <v>16</v>
      </c>
      <c r="D250" s="537" t="s">
        <v>17</v>
      </c>
      <c r="E250" s="528"/>
      <c r="F250" s="528"/>
      <c r="G250" s="528"/>
      <c r="H250" s="148" t="s">
        <v>12</v>
      </c>
      <c r="I250" s="162"/>
      <c r="J250" s="162"/>
      <c r="K250" s="163"/>
      <c r="L250" s="151">
        <f t="shared" ref="L250:N250" ca="1" si="77">L251+L252</f>
        <v>71400</v>
      </c>
      <c r="M250" s="151">
        <f t="shared" ca="1" si="77"/>
        <v>37000</v>
      </c>
      <c r="N250" s="151">
        <f t="shared" ca="1" si="77"/>
        <v>33442</v>
      </c>
      <c r="O250" s="150">
        <f t="shared" ref="O250:O252" ca="1" si="78">IF(L250&gt;0,N250*100/L250,0)</f>
        <v>46.837535014005603</v>
      </c>
      <c r="P250" s="150">
        <f t="shared" ref="P250:P252" ca="1" si="79">IF(M250&gt;0,N250*100/M250,0)</f>
        <v>90.383783783783784</v>
      </c>
    </row>
    <row r="251" spans="1:16" ht="21.75" customHeight="1" x14ac:dyDescent="0.45">
      <c r="A251" s="152"/>
      <c r="B251" s="32"/>
      <c r="C251" s="32"/>
      <c r="D251" s="32"/>
      <c r="E251" s="32"/>
      <c r="F251" s="32"/>
      <c r="G251" s="33" t="s">
        <v>18</v>
      </c>
      <c r="H251" s="153" t="s">
        <v>12</v>
      </c>
      <c r="I251" s="162"/>
      <c r="J251" s="162"/>
      <c r="K251" s="163"/>
      <c r="L251" s="87">
        <f t="shared" ref="L251:N251" si="80">L253+L257</f>
        <v>0</v>
      </c>
      <c r="M251" s="87">
        <f t="shared" si="80"/>
        <v>0</v>
      </c>
      <c r="N251" s="87">
        <f t="shared" si="80"/>
        <v>0</v>
      </c>
      <c r="O251" s="155">
        <f t="shared" si="78"/>
        <v>0</v>
      </c>
      <c r="P251" s="155">
        <f t="shared" si="79"/>
        <v>0</v>
      </c>
    </row>
    <row r="252" spans="1:16" ht="21.75" customHeight="1" x14ac:dyDescent="0.45">
      <c r="A252" s="152"/>
      <c r="B252" s="32"/>
      <c r="C252" s="32"/>
      <c r="D252" s="32"/>
      <c r="E252" s="32"/>
      <c r="F252" s="32"/>
      <c r="G252" s="33" t="s">
        <v>19</v>
      </c>
      <c r="H252" s="153" t="s">
        <v>12</v>
      </c>
      <c r="I252" s="162"/>
      <c r="J252" s="162"/>
      <c r="K252" s="163"/>
      <c r="L252" s="87">
        <f t="shared" ref="L252:N252" ca="1" si="81">L254+L258</f>
        <v>71400</v>
      </c>
      <c r="M252" s="87">
        <f t="shared" ca="1" si="81"/>
        <v>37000</v>
      </c>
      <c r="N252" s="87">
        <f t="shared" ca="1" si="81"/>
        <v>33442</v>
      </c>
      <c r="O252" s="155">
        <f t="shared" ca="1" si="78"/>
        <v>46.837535014005603</v>
      </c>
      <c r="P252" s="155">
        <f t="shared" ca="1" si="79"/>
        <v>90.383783783783784</v>
      </c>
    </row>
    <row r="253" spans="1:16" ht="21.75" customHeight="1" x14ac:dyDescent="0.3">
      <c r="A253" s="156"/>
      <c r="B253" s="157"/>
      <c r="C253" s="157" t="s">
        <v>16</v>
      </c>
      <c r="D253" s="158" t="s">
        <v>38</v>
      </c>
      <c r="E253" s="159"/>
      <c r="F253" s="159"/>
      <c r="G253" s="160" t="s">
        <v>39</v>
      </c>
      <c r="H253" s="161" t="s">
        <v>12</v>
      </c>
      <c r="I253" s="162" t="s">
        <v>40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3">
      <c r="A254" s="156"/>
      <c r="B254" s="157"/>
      <c r="C254" s="157"/>
      <c r="D254" s="166"/>
      <c r="E254" s="159"/>
      <c r="F254" s="159" t="s">
        <v>40</v>
      </c>
      <c r="G254" s="160" t="s">
        <v>41</v>
      </c>
      <c r="H254" s="161" t="s">
        <v>12</v>
      </c>
      <c r="I254" s="162"/>
      <c r="J254" s="162"/>
      <c r="K254" s="163"/>
      <c r="L254" s="167">
        <f ca="1">L255+L256</f>
        <v>71400</v>
      </c>
      <c r="M254" s="167">
        <f ca="1">IFERROR(__xludf.DUMMYFUNCTION("IMPORTRANGE(""https://docs.google.com/spreadsheets/d/1Yj_ptqi66GCucihVvJfMjLAmec39IyEx_6qawtMGysU/edit?usp=sharing"",""สบก!CB22"")"),37000)</f>
        <v>37000</v>
      </c>
      <c r="N254" s="168">
        <f ca="1">IFERROR(__xludf.DUMMYFUNCTION("IMPORTRANGE(""https://docs.google.com/spreadsheets/d/1Yj_ptqi66GCucihVvJfMjLAmec39IyEx_6qawtMGysU/edit?usp=sharing"",""สบก!CC22"")"),33442)</f>
        <v>33442</v>
      </c>
      <c r="O254" s="168">
        <f ca="1">IF(L254&gt;0,N254*100/L254,0)</f>
        <v>46.837535014005603</v>
      </c>
      <c r="P254" s="168">
        <f ca="1">IF(M254&gt;0,N254*100/M254,0)</f>
        <v>90.383783783783784</v>
      </c>
    </row>
    <row r="255" spans="1:16" ht="21.75" customHeight="1" x14ac:dyDescent="0.3">
      <c r="A255" s="156"/>
      <c r="B255" s="157"/>
      <c r="C255" s="157"/>
      <c r="D255" s="166"/>
      <c r="E255" s="159"/>
      <c r="F255" s="159"/>
      <c r="G255" s="169" t="s">
        <v>42</v>
      </c>
      <c r="H255" s="161" t="s">
        <v>12</v>
      </c>
      <c r="I255" s="162"/>
      <c r="J255" s="162"/>
      <c r="K255" s="163"/>
      <c r="L255" s="167">
        <f ca="1">IFERROR(__xludf.DUMMYFUNCTION("IMPORTRANGE(""https://docs.google.com/spreadsheets/d/1Yj_ptqi66GCucihVvJfMjLAmec39IyEx_6qawtMGysU/edit?usp=sharing"",""สบก!BX22"")"),0)</f>
        <v>0</v>
      </c>
      <c r="M255" s="167"/>
      <c r="N255" s="167"/>
      <c r="O255" s="168"/>
      <c r="P255" s="168"/>
    </row>
    <row r="256" spans="1:16" ht="21.75" customHeight="1" x14ac:dyDescent="0.3">
      <c r="A256" s="156"/>
      <c r="B256" s="157"/>
      <c r="C256" s="157"/>
      <c r="D256" s="166"/>
      <c r="E256" s="159"/>
      <c r="F256" s="159"/>
      <c r="G256" s="169" t="s">
        <v>43</v>
      </c>
      <c r="H256" s="161" t="s">
        <v>12</v>
      </c>
      <c r="I256" s="162"/>
      <c r="J256" s="162"/>
      <c r="K256" s="163"/>
      <c r="L256" s="167">
        <f ca="1">IFERROR(__xludf.DUMMYFUNCTION("IMPORTRANGE(""https://docs.google.com/spreadsheets/d/1Yj_ptqi66GCucihVvJfMjLAmec39IyEx_6qawtMGysU/edit?usp=sharing"",""สบก!BY22"")"),71400)</f>
        <v>71400</v>
      </c>
      <c r="M256" s="167"/>
      <c r="N256" s="167"/>
      <c r="O256" s="168"/>
      <c r="P256" s="168"/>
    </row>
    <row r="257" spans="1:16" ht="21.75" customHeight="1" x14ac:dyDescent="0.45">
      <c r="A257" s="170"/>
      <c r="B257" s="80"/>
      <c r="C257" s="81" t="s">
        <v>16</v>
      </c>
      <c r="D257" s="534" t="s">
        <v>23</v>
      </c>
      <c r="E257" s="530"/>
      <c r="F257" s="88"/>
      <c r="G257" s="82" t="s">
        <v>18</v>
      </c>
      <c r="H257" s="171" t="s">
        <v>12</v>
      </c>
      <c r="I257" s="162"/>
      <c r="J257" s="162"/>
      <c r="K257" s="163"/>
      <c r="L257" s="41">
        <v>0</v>
      </c>
      <c r="M257" s="41"/>
      <c r="N257" s="41"/>
      <c r="O257" s="41"/>
      <c r="P257" s="41"/>
    </row>
    <row r="258" spans="1:16" ht="21.75" customHeight="1" x14ac:dyDescent="0.45">
      <c r="A258" s="172"/>
      <c r="B258" s="91"/>
      <c r="C258" s="91"/>
      <c r="D258" s="173"/>
      <c r="E258" s="92"/>
      <c r="F258" s="92"/>
      <c r="G258" s="93" t="s">
        <v>19</v>
      </c>
      <c r="H258" s="174" t="s">
        <v>12</v>
      </c>
      <c r="I258" s="162"/>
      <c r="J258" s="162"/>
      <c r="K258" s="163"/>
      <c r="L258" s="49">
        <f ca="1">IFERROR(__xludf.DUMMYFUNCTION("IMPORTRANGE(""https://docs.google.com/spreadsheets/d/1Yj_ptqi66GCucihVvJfMjLAmec39IyEx_6qawtMGysU/edit?usp=sharing"",""สบก!BZ22"")"),0)</f>
        <v>0</v>
      </c>
      <c r="M258" s="49"/>
      <c r="N258" s="49">
        <f ca="1">IFERROR(__xludf.DUMMYFUNCTION("IMPORTRANGE(""https://docs.google.com/spreadsheets/d/1Yj_ptqi66GCucihVvJfMjLAmec39IyEx_6qawtMGysU/edit?usp=sharing"",""สบก!CD22"")"),0)</f>
        <v>0</v>
      </c>
      <c r="O258" s="49">
        <f ca="1">IF(L258&gt;0,N258*100/L258,0)</f>
        <v>0</v>
      </c>
      <c r="P258" s="49"/>
    </row>
    <row r="259" spans="1:16" ht="21.75" customHeight="1" x14ac:dyDescent="0.3">
      <c r="A259" s="175"/>
      <c r="B259" s="176"/>
      <c r="C259" s="157" t="s">
        <v>16</v>
      </c>
      <c r="D259" s="177" t="s">
        <v>44</v>
      </c>
      <c r="E259" s="178"/>
      <c r="F259" s="178"/>
      <c r="G259" s="179"/>
      <c r="H259" s="180"/>
      <c r="I259" s="162"/>
      <c r="J259" s="162"/>
      <c r="K259" s="163"/>
      <c r="L259" s="181"/>
      <c r="M259" s="181"/>
      <c r="N259" s="181"/>
      <c r="O259" s="181"/>
      <c r="P259" s="181"/>
    </row>
    <row r="260" spans="1:16" ht="21.75" customHeight="1" x14ac:dyDescent="0.3">
      <c r="A260" s="175"/>
      <c r="B260" s="176"/>
      <c r="C260" s="176"/>
      <c r="D260" s="182">
        <v>1</v>
      </c>
      <c r="E260" s="183" t="s">
        <v>45</v>
      </c>
      <c r="F260" s="184"/>
      <c r="G260" s="185"/>
      <c r="H260" s="186"/>
      <c r="I260" s="187"/>
      <c r="J260" s="188">
        <f ca="1">IFERROR(__xludf.DUMMYFUNCTION("IMPORTRANGE(""https://docs.google.com/spreadsheets/d/11923uPwbBZFjjGgGUA6NLw09EwE0CqkOc4q9oUmW1yo/edit?usp=sharing"",""เชียงใหม่!J175"")"),0)</f>
        <v>0</v>
      </c>
      <c r="K260" s="163"/>
      <c r="L260" s="181"/>
      <c r="M260" s="181"/>
      <c r="N260" s="181"/>
      <c r="O260" s="181"/>
      <c r="P260" s="181"/>
    </row>
    <row r="261" spans="1:16" ht="21.75" customHeight="1" x14ac:dyDescent="0.3">
      <c r="A261" s="175"/>
      <c r="B261" s="176"/>
      <c r="C261" s="176"/>
      <c r="D261" s="189">
        <v>2</v>
      </c>
      <c r="E261" s="190" t="s">
        <v>46</v>
      </c>
      <c r="F261" s="191"/>
      <c r="G261" s="192"/>
      <c r="H261" s="186"/>
      <c r="I261" s="187"/>
      <c r="J261" s="197">
        <f ca="1">IFERROR(__xludf.DUMMYFUNCTION("IMPORTRANGE(""https://docs.google.com/spreadsheets/d/11923uPwbBZFjjGgGUA6NLw09EwE0CqkOc4q9oUmW1yo/edit?usp=sharing"",""เชียงใหม่!J176"")"),1)</f>
        <v>1</v>
      </c>
      <c r="K261" s="163"/>
      <c r="L261" s="181" t="s">
        <v>40</v>
      </c>
      <c r="M261" s="181"/>
      <c r="N261" s="181" t="s">
        <v>40</v>
      </c>
      <c r="O261" s="181"/>
      <c r="P261" s="181"/>
    </row>
    <row r="262" spans="1:16" ht="21.75" customHeight="1" x14ac:dyDescent="0.3">
      <c r="A262" s="175"/>
      <c r="B262" s="176"/>
      <c r="C262" s="176"/>
      <c r="D262" s="193"/>
      <c r="E262" s="194" t="s">
        <v>47</v>
      </c>
      <c r="F262" s="195"/>
      <c r="G262" s="196"/>
      <c r="H262" s="186"/>
      <c r="I262" s="187"/>
      <c r="J262" s="197">
        <f ca="1">IFERROR(__xludf.DUMMYFUNCTION("IMPORTRANGE(""https://docs.google.com/spreadsheets/d/11923uPwbBZFjjGgGUA6NLw09EwE0CqkOc4q9oUmW1yo/edit?usp=sharing"",""เชียงใหม่!J177"")"),1)</f>
        <v>1</v>
      </c>
      <c r="K262" s="163"/>
      <c r="L262" s="181"/>
      <c r="M262" s="181"/>
      <c r="N262" s="181"/>
      <c r="O262" s="181"/>
      <c r="P262" s="181"/>
    </row>
    <row r="263" spans="1:16" ht="21.75" customHeight="1" x14ac:dyDescent="0.3">
      <c r="A263" s="175"/>
      <c r="B263" s="176"/>
      <c r="C263" s="176"/>
      <c r="D263" s="193"/>
      <c r="E263" s="194" t="s">
        <v>48</v>
      </c>
      <c r="F263" s="195"/>
      <c r="G263" s="196"/>
      <c r="H263" s="186"/>
      <c r="I263" s="187"/>
      <c r="J263" s="197">
        <f ca="1">IFERROR(__xludf.DUMMYFUNCTION("IMPORTRANGE(""https://docs.google.com/spreadsheets/d/11923uPwbBZFjjGgGUA6NLw09EwE0CqkOc4q9oUmW1yo/edit?usp=sharing"",""เชียงใหม่!J178"")"),1)</f>
        <v>1</v>
      </c>
      <c r="K263" s="163"/>
      <c r="L263" s="181"/>
      <c r="M263" s="181"/>
      <c r="N263" s="181"/>
      <c r="O263" s="181"/>
      <c r="P263" s="181"/>
    </row>
    <row r="264" spans="1:16" ht="21.75" customHeight="1" x14ac:dyDescent="0.3">
      <c r="A264" s="175"/>
      <c r="B264" s="176"/>
      <c r="C264" s="176"/>
      <c r="D264" s="193"/>
      <c r="E264" s="198"/>
      <c r="F264" s="194" t="s">
        <v>105</v>
      </c>
      <c r="G264" s="196"/>
      <c r="H264" s="180" t="s">
        <v>59</v>
      </c>
      <c r="I264" s="187">
        <f ca="1">IFERROR(__xludf.DUMMYFUNCTION("IMPORTRANGE(""https://docs.google.com/spreadsheets/d/11923uPwbBZFjjGgGUA6NLw09EwE0CqkOc4q9oUmW1yo/edit?usp=sharing"",""เชียงใหม่!I179"")"),1)</f>
        <v>1</v>
      </c>
      <c r="J264" s="188">
        <f ca="1">IFERROR(__xludf.DUMMYFUNCTION("IMPORTRANGE(""https://docs.google.com/spreadsheets/d/11923uPwbBZFjjGgGUA6NLw09EwE0CqkOc4q9oUmW1yo/edit?usp=sharing"",""เชียงใหม่!J179"")"),1)</f>
        <v>1</v>
      </c>
      <c r="K264" s="163">
        <f t="shared" ref="K264:K267" ca="1" si="82">IF(I264&gt;0,J264*100/I264,0)</f>
        <v>100</v>
      </c>
      <c r="L264" s="181"/>
      <c r="M264" s="181"/>
      <c r="N264" s="181"/>
      <c r="O264" s="181"/>
      <c r="P264" s="181"/>
    </row>
    <row r="265" spans="1:16" ht="21.75" customHeight="1" x14ac:dyDescent="0.3">
      <c r="A265" s="175"/>
      <c r="B265" s="176"/>
      <c r="C265" s="176"/>
      <c r="D265" s="193"/>
      <c r="E265" s="198"/>
      <c r="F265" s="194" t="s">
        <v>106</v>
      </c>
      <c r="G265" s="196"/>
      <c r="H265" s="180" t="s">
        <v>37</v>
      </c>
      <c r="I265" s="187">
        <f ca="1">IFERROR(__xludf.DUMMYFUNCTION("IMPORTRANGE(""https://docs.google.com/spreadsheets/d/11923uPwbBZFjjGgGUA6NLw09EwE0CqkOc4q9oUmW1yo/edit?usp=sharing"",""เชียงใหม่!I180"")"),20)</f>
        <v>20</v>
      </c>
      <c r="J265" s="188">
        <f ca="1">IFERROR(__xludf.DUMMYFUNCTION("IMPORTRANGE(""https://docs.google.com/spreadsheets/d/11923uPwbBZFjjGgGUA6NLw09EwE0CqkOc4q9oUmW1yo/edit?usp=sharing"",""เชียงใหม่!J180"")"),20)</f>
        <v>20</v>
      </c>
      <c r="K265" s="163">
        <f t="shared" ca="1" si="82"/>
        <v>100</v>
      </c>
      <c r="L265" s="181"/>
      <c r="M265" s="181"/>
      <c r="N265" s="181"/>
      <c r="O265" s="181"/>
      <c r="P265" s="181"/>
    </row>
    <row r="266" spans="1:16" ht="21.75" customHeight="1" x14ac:dyDescent="0.3">
      <c r="A266" s="175"/>
      <c r="B266" s="176"/>
      <c r="C266" s="176"/>
      <c r="D266" s="193"/>
      <c r="E266" s="198"/>
      <c r="F266" s="194" t="s">
        <v>107</v>
      </c>
      <c r="G266" s="196"/>
      <c r="H266" s="180" t="s">
        <v>37</v>
      </c>
      <c r="I266" s="187">
        <f ca="1">IFERROR(__xludf.DUMMYFUNCTION("IMPORTRANGE(""https://docs.google.com/spreadsheets/d/11923uPwbBZFjjGgGUA6NLw09EwE0CqkOc4q9oUmW1yo/edit?usp=sharing"",""เชียงใหม่!I181"")"),20)</f>
        <v>20</v>
      </c>
      <c r="J266" s="188">
        <f ca="1">IFERROR(__xludf.DUMMYFUNCTION("IMPORTRANGE(""https://docs.google.com/spreadsheets/d/11923uPwbBZFjjGgGUA6NLw09EwE0CqkOc4q9oUmW1yo/edit?usp=sharing"",""เชียงใหม่!J181"")"),0)</f>
        <v>0</v>
      </c>
      <c r="K266" s="163">
        <f t="shared" ca="1" si="82"/>
        <v>0</v>
      </c>
      <c r="L266" s="181"/>
      <c r="M266" s="181"/>
      <c r="N266" s="181"/>
      <c r="O266" s="181"/>
      <c r="P266" s="181"/>
    </row>
    <row r="267" spans="1:16" ht="21.75" customHeight="1" x14ac:dyDescent="0.3">
      <c r="A267" s="175"/>
      <c r="B267" s="176"/>
      <c r="C267" s="176"/>
      <c r="D267" s="193"/>
      <c r="E267" s="198"/>
      <c r="F267" s="194" t="s">
        <v>108</v>
      </c>
      <c r="G267" s="196"/>
      <c r="H267" s="180" t="s">
        <v>37</v>
      </c>
      <c r="I267" s="187">
        <f ca="1">IFERROR(__xludf.DUMMYFUNCTION("IMPORTRANGE(""https://docs.google.com/spreadsheets/d/11923uPwbBZFjjGgGUA6NLw09EwE0CqkOc4q9oUmW1yo/edit?usp=sharing"",""เชียงใหม่!I182"")"),1)</f>
        <v>1</v>
      </c>
      <c r="J267" s="188">
        <f ca="1">IFERROR(__xludf.DUMMYFUNCTION("IMPORTRANGE(""https://docs.google.com/spreadsheets/d/11923uPwbBZFjjGgGUA6NLw09EwE0CqkOc4q9oUmW1yo/edit?usp=sharing"",""เชียงใหม่!J182"")"),0)</f>
        <v>0</v>
      </c>
      <c r="K267" s="163">
        <f t="shared" ca="1" si="82"/>
        <v>0</v>
      </c>
      <c r="L267" s="181"/>
      <c r="M267" s="181"/>
      <c r="N267" s="181"/>
      <c r="O267" s="181"/>
      <c r="P267" s="181"/>
    </row>
    <row r="268" spans="1:16" ht="21.75" customHeight="1" x14ac:dyDescent="0.3">
      <c r="A268" s="175"/>
      <c r="B268" s="176"/>
      <c r="C268" s="176"/>
      <c r="D268" s="193"/>
      <c r="E268" s="194" t="s">
        <v>54</v>
      </c>
      <c r="F268" s="195"/>
      <c r="G268" s="196"/>
      <c r="H268" s="186"/>
      <c r="I268" s="187"/>
      <c r="J268" s="197">
        <f ca="1">IFERROR(__xludf.DUMMYFUNCTION("IMPORTRANGE(""https://docs.google.com/spreadsheets/d/11923uPwbBZFjjGgGUA6NLw09EwE0CqkOc4q9oUmW1yo/edit?usp=sharing"",""เชียงใหม่!J183"")"),0)</f>
        <v>0</v>
      </c>
      <c r="K268" s="163"/>
      <c r="L268" s="181"/>
      <c r="M268" s="181"/>
      <c r="N268" s="181"/>
      <c r="O268" s="181"/>
      <c r="P268" s="181"/>
    </row>
    <row r="269" spans="1:16" ht="21.75" customHeight="1" x14ac:dyDescent="0.3">
      <c r="A269" s="233"/>
      <c r="B269" s="234"/>
      <c r="C269" s="234"/>
      <c r="D269" s="235">
        <v>3</v>
      </c>
      <c r="E269" s="236" t="s">
        <v>55</v>
      </c>
      <c r="F269" s="237"/>
      <c r="G269" s="238"/>
      <c r="H269" s="239"/>
      <c r="I269" s="240"/>
      <c r="J269" s="285">
        <f ca="1">IFERROR(__xludf.DUMMYFUNCTION("IMPORTRANGE(""https://docs.google.com/spreadsheets/d/11923uPwbBZFjjGgGUA6NLw09EwE0CqkOc4q9oUmW1yo/edit?usp=sharing"",""เชียงใหม่!J184"")"),0)</f>
        <v>0</v>
      </c>
      <c r="K269" s="286"/>
      <c r="L269" s="244"/>
      <c r="M269" s="244"/>
      <c r="N269" s="244"/>
      <c r="O269" s="244"/>
      <c r="P269" s="244"/>
    </row>
    <row r="270" spans="1:16" ht="21.75" customHeight="1" x14ac:dyDescent="0.3">
      <c r="A270" s="310"/>
      <c r="B270" s="311" t="s">
        <v>109</v>
      </c>
      <c r="C270" s="311"/>
      <c r="D270" s="311"/>
      <c r="E270" s="311"/>
      <c r="F270" s="311"/>
      <c r="G270" s="312"/>
      <c r="H270" s="313" t="s">
        <v>37</v>
      </c>
      <c r="I270" s="314">
        <f ca="1">IFERROR(__xludf.DUMMYFUNCTION("IMPORTRANGE(""https://docs.google.com/spreadsheets/d/11923uPwbBZFjjGgGUA6NLw09EwE0CqkOc4q9oUmW1yo/edit?usp=sharing"",""เชียงใหม่!I185"")"),15)</f>
        <v>15</v>
      </c>
      <c r="J270" s="314">
        <f ca="1">IFERROR(__xludf.DUMMYFUNCTION("IMPORTRANGE(""https://docs.google.com/spreadsheets/d/11923uPwbBZFjjGgGUA6NLw09EwE0CqkOc4q9oUmW1yo/edit?usp=sharing"",""เชียงใหม่!J185"")"),15)</f>
        <v>15</v>
      </c>
      <c r="K270" s="315">
        <f ca="1">IF(I270&gt;0,J270*100/I270,0)</f>
        <v>100</v>
      </c>
      <c r="L270" s="316"/>
      <c r="M270" s="316"/>
      <c r="N270" s="316"/>
      <c r="O270" s="315"/>
      <c r="P270" s="315"/>
    </row>
    <row r="271" spans="1:16" ht="21.75" customHeight="1" x14ac:dyDescent="0.45">
      <c r="A271" s="145"/>
      <c r="B271" s="146"/>
      <c r="C271" s="147" t="s">
        <v>16</v>
      </c>
      <c r="D271" s="537" t="s">
        <v>17</v>
      </c>
      <c r="E271" s="528"/>
      <c r="F271" s="528"/>
      <c r="G271" s="528"/>
      <c r="H271" s="148" t="s">
        <v>12</v>
      </c>
      <c r="I271" s="162"/>
      <c r="J271" s="162"/>
      <c r="K271" s="163"/>
      <c r="L271" s="151">
        <f t="shared" ref="L271:N271" ca="1" si="83">L272+L273</f>
        <v>105700</v>
      </c>
      <c r="M271" s="151">
        <f t="shared" ca="1" si="83"/>
        <v>80000</v>
      </c>
      <c r="N271" s="151">
        <f t="shared" ca="1" si="83"/>
        <v>34461</v>
      </c>
      <c r="O271" s="150">
        <f t="shared" ref="O271:O273" ca="1" si="84">IF(L271&gt;0,N271*100/L271,0)</f>
        <v>32.602649006622514</v>
      </c>
      <c r="P271" s="150">
        <f t="shared" ref="P271:P273" ca="1" si="85">IF(M271&gt;0,N271*100/M271,0)</f>
        <v>43.076250000000002</v>
      </c>
    </row>
    <row r="272" spans="1:16" ht="21.75" customHeight="1" x14ac:dyDescent="0.45">
      <c r="A272" s="152"/>
      <c r="B272" s="32"/>
      <c r="C272" s="32"/>
      <c r="D272" s="32"/>
      <c r="E272" s="32"/>
      <c r="F272" s="32"/>
      <c r="G272" s="33" t="s">
        <v>18</v>
      </c>
      <c r="H272" s="153" t="s">
        <v>12</v>
      </c>
      <c r="I272" s="162"/>
      <c r="J272" s="162"/>
      <c r="K272" s="163"/>
      <c r="L272" s="87">
        <f t="shared" ref="L272:N272" si="86">L274+L278</f>
        <v>0</v>
      </c>
      <c r="M272" s="87">
        <f t="shared" si="86"/>
        <v>0</v>
      </c>
      <c r="N272" s="87">
        <f t="shared" si="86"/>
        <v>0</v>
      </c>
      <c r="O272" s="155">
        <f t="shared" si="84"/>
        <v>0</v>
      </c>
      <c r="P272" s="155">
        <f t="shared" si="85"/>
        <v>0</v>
      </c>
    </row>
    <row r="273" spans="1:16" ht="21.75" customHeight="1" x14ac:dyDescent="0.45">
      <c r="A273" s="152"/>
      <c r="B273" s="32"/>
      <c r="C273" s="32"/>
      <c r="D273" s="32"/>
      <c r="E273" s="32"/>
      <c r="F273" s="32"/>
      <c r="G273" s="33" t="s">
        <v>19</v>
      </c>
      <c r="H273" s="153" t="s">
        <v>12</v>
      </c>
      <c r="I273" s="162"/>
      <c r="J273" s="162"/>
      <c r="K273" s="163"/>
      <c r="L273" s="87">
        <f t="shared" ref="L273:N273" ca="1" si="87">L275+L279</f>
        <v>105700</v>
      </c>
      <c r="M273" s="87">
        <f t="shared" ca="1" si="87"/>
        <v>80000</v>
      </c>
      <c r="N273" s="87">
        <f t="shared" ca="1" si="87"/>
        <v>34461</v>
      </c>
      <c r="O273" s="155">
        <f t="shared" ca="1" si="84"/>
        <v>32.602649006622514</v>
      </c>
      <c r="P273" s="155">
        <f t="shared" ca="1" si="85"/>
        <v>43.076250000000002</v>
      </c>
    </row>
    <row r="274" spans="1:16" ht="21.75" customHeight="1" x14ac:dyDescent="0.3">
      <c r="A274" s="156"/>
      <c r="B274" s="157"/>
      <c r="C274" s="157" t="s">
        <v>16</v>
      </c>
      <c r="D274" s="158" t="s">
        <v>38</v>
      </c>
      <c r="E274" s="159"/>
      <c r="F274" s="159"/>
      <c r="G274" s="160" t="s">
        <v>39</v>
      </c>
      <c r="H274" s="161" t="s">
        <v>12</v>
      </c>
      <c r="I274" s="162" t="s">
        <v>40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3">
      <c r="A275" s="156"/>
      <c r="B275" s="157"/>
      <c r="C275" s="157"/>
      <c r="D275" s="166"/>
      <c r="E275" s="159"/>
      <c r="F275" s="159" t="s">
        <v>40</v>
      </c>
      <c r="G275" s="160" t="s">
        <v>41</v>
      </c>
      <c r="H275" s="161" t="s">
        <v>12</v>
      </c>
      <c r="I275" s="162"/>
      <c r="J275" s="162"/>
      <c r="K275" s="163"/>
      <c r="L275" s="167">
        <f ca="1">L276+L277</f>
        <v>105700</v>
      </c>
      <c r="M275" s="167">
        <f ca="1">IFERROR(__xludf.DUMMYFUNCTION("IMPORTRANGE(""https://docs.google.com/spreadsheets/d/1Yj_ptqi66GCucihVvJfMjLAmec39IyEx_6qawtMGysU/edit?usp=sharing"",""สบก!CK22"")"),80000)</f>
        <v>80000</v>
      </c>
      <c r="N275" s="168">
        <f ca="1">IFERROR(__xludf.DUMMYFUNCTION("IMPORTRANGE(""https://docs.google.com/spreadsheets/d/1Yj_ptqi66GCucihVvJfMjLAmec39IyEx_6qawtMGysU/edit?usp=sharing"",""สบก!CL22"")"),34461)</f>
        <v>34461</v>
      </c>
      <c r="O275" s="168">
        <f ca="1">IF(L275&gt;0,N275*100/L275,0)</f>
        <v>32.602649006622514</v>
      </c>
      <c r="P275" s="168">
        <f ca="1">IF(M275&gt;0,N275*100/M275,0)</f>
        <v>43.076250000000002</v>
      </c>
    </row>
    <row r="276" spans="1:16" ht="21.75" customHeight="1" x14ac:dyDescent="0.3">
      <c r="A276" s="156"/>
      <c r="B276" s="157"/>
      <c r="C276" s="157"/>
      <c r="D276" s="166"/>
      <c r="E276" s="159"/>
      <c r="F276" s="159"/>
      <c r="G276" s="169" t="s">
        <v>42</v>
      </c>
      <c r="H276" s="161" t="s">
        <v>12</v>
      </c>
      <c r="I276" s="162"/>
      <c r="J276" s="162"/>
      <c r="K276" s="163"/>
      <c r="L276" s="167">
        <f ca="1">IFERROR(__xludf.DUMMYFUNCTION("IMPORTRANGE(""https://docs.google.com/spreadsheets/d/1Yj_ptqi66GCucihVvJfMjLAmec39IyEx_6qawtMGysU/edit?usp=sharing"",""สบก!CG22"")"),0)</f>
        <v>0</v>
      </c>
      <c r="M276" s="167"/>
      <c r="N276" s="167"/>
      <c r="O276" s="168"/>
      <c r="P276" s="168"/>
    </row>
    <row r="277" spans="1:16" ht="21.75" customHeight="1" x14ac:dyDescent="0.3">
      <c r="A277" s="156"/>
      <c r="B277" s="157"/>
      <c r="C277" s="157"/>
      <c r="D277" s="166"/>
      <c r="E277" s="159"/>
      <c r="F277" s="159"/>
      <c r="G277" s="169" t="s">
        <v>43</v>
      </c>
      <c r="H277" s="161" t="s">
        <v>12</v>
      </c>
      <c r="I277" s="162"/>
      <c r="J277" s="162"/>
      <c r="K277" s="163"/>
      <c r="L277" s="167">
        <f ca="1">IFERROR(__xludf.DUMMYFUNCTION("IMPORTRANGE(""https://docs.google.com/spreadsheets/d/1Yj_ptqi66GCucihVvJfMjLAmec39IyEx_6qawtMGysU/edit?usp=sharing"",""สบก!CH22"")"),105700)</f>
        <v>105700</v>
      </c>
      <c r="M277" s="167"/>
      <c r="N277" s="167"/>
      <c r="O277" s="168"/>
      <c r="P277" s="168"/>
    </row>
    <row r="278" spans="1:16" ht="21.75" customHeight="1" x14ac:dyDescent="0.45">
      <c r="A278" s="170"/>
      <c r="B278" s="80"/>
      <c r="C278" s="81" t="s">
        <v>16</v>
      </c>
      <c r="D278" s="534" t="s">
        <v>23</v>
      </c>
      <c r="E278" s="530"/>
      <c r="F278" s="88"/>
      <c r="G278" s="82" t="s">
        <v>18</v>
      </c>
      <c r="H278" s="171" t="s">
        <v>12</v>
      </c>
      <c r="I278" s="162"/>
      <c r="J278" s="162"/>
      <c r="K278" s="163"/>
      <c r="L278" s="41">
        <v>0</v>
      </c>
      <c r="M278" s="41"/>
      <c r="N278" s="41"/>
      <c r="O278" s="41"/>
      <c r="P278" s="41"/>
    </row>
    <row r="279" spans="1:16" ht="21.75" customHeight="1" x14ac:dyDescent="0.45">
      <c r="A279" s="172"/>
      <c r="B279" s="91"/>
      <c r="C279" s="91"/>
      <c r="D279" s="173"/>
      <c r="E279" s="92"/>
      <c r="F279" s="92"/>
      <c r="G279" s="93" t="s">
        <v>19</v>
      </c>
      <c r="H279" s="174" t="s">
        <v>12</v>
      </c>
      <c r="I279" s="162"/>
      <c r="J279" s="162"/>
      <c r="K279" s="163"/>
      <c r="L279" s="49">
        <f ca="1">IFERROR(__xludf.DUMMYFUNCTION("IMPORTRANGE(""https://docs.google.com/spreadsheets/d/1Yj_ptqi66GCucihVvJfMjLAmec39IyEx_6qawtMGysU/edit?usp=sharing"",""สบก!CI22"")"),0)</f>
        <v>0</v>
      </c>
      <c r="M279" s="49"/>
      <c r="N279" s="49">
        <f ca="1">IFERROR(__xludf.DUMMYFUNCTION("IMPORTRANGE(""https://docs.google.com/spreadsheets/d/1Yj_ptqi66GCucihVvJfMjLAmec39IyEx_6qawtMGysU/edit?usp=sharing"",""สบก!CM22"")"),0)</f>
        <v>0</v>
      </c>
      <c r="O279" s="49">
        <f ca="1">IF(L279&gt;0,N279*100/L279,0)</f>
        <v>0</v>
      </c>
      <c r="P279" s="49"/>
    </row>
    <row r="280" spans="1:16" ht="21.75" customHeight="1" x14ac:dyDescent="0.3">
      <c r="A280" s="175"/>
      <c r="B280" s="176"/>
      <c r="C280" s="157" t="s">
        <v>16</v>
      </c>
      <c r="D280" s="177" t="s">
        <v>44</v>
      </c>
      <c r="E280" s="178"/>
      <c r="F280" s="178"/>
      <c r="G280" s="179"/>
      <c r="H280" s="180"/>
      <c r="I280" s="162"/>
      <c r="J280" s="162"/>
      <c r="K280" s="163"/>
      <c r="L280" s="181"/>
      <c r="M280" s="181"/>
      <c r="N280" s="181"/>
      <c r="O280" s="181"/>
      <c r="P280" s="181"/>
    </row>
    <row r="281" spans="1:16" ht="21.75" customHeight="1" x14ac:dyDescent="0.3">
      <c r="A281" s="175"/>
      <c r="B281" s="176"/>
      <c r="C281" s="176"/>
      <c r="D281" s="182">
        <v>1</v>
      </c>
      <c r="E281" s="183" t="s">
        <v>45</v>
      </c>
      <c r="F281" s="184"/>
      <c r="G281" s="185"/>
      <c r="H281" s="186"/>
      <c r="I281" s="187"/>
      <c r="J281" s="188">
        <f ca="1">IFERROR(__xludf.DUMMYFUNCTION("IMPORTRANGE(""https://docs.google.com/spreadsheets/d/11923uPwbBZFjjGgGUA6NLw09EwE0CqkOc4q9oUmW1yo/edit?usp=sharing"",""เชียงใหม่!J191"")"),0)</f>
        <v>0</v>
      </c>
      <c r="K281" s="163"/>
      <c r="L281" s="181"/>
      <c r="M281" s="181"/>
      <c r="N281" s="181"/>
      <c r="O281" s="181"/>
      <c r="P281" s="181"/>
    </row>
    <row r="282" spans="1:16" ht="21.75" customHeight="1" x14ac:dyDescent="0.3">
      <c r="A282" s="175"/>
      <c r="B282" s="176"/>
      <c r="C282" s="176"/>
      <c r="D282" s="189">
        <v>2</v>
      </c>
      <c r="E282" s="190" t="s">
        <v>46</v>
      </c>
      <c r="F282" s="191"/>
      <c r="G282" s="192"/>
      <c r="H282" s="186"/>
      <c r="I282" s="187"/>
      <c r="J282" s="197">
        <f ca="1">IFERROR(__xludf.DUMMYFUNCTION("IMPORTRANGE(""https://docs.google.com/spreadsheets/d/11923uPwbBZFjjGgGUA6NLw09EwE0CqkOc4q9oUmW1yo/edit?usp=sharing"",""เชียงใหม่!J192"")"),1)</f>
        <v>1</v>
      </c>
      <c r="K282" s="163"/>
      <c r="L282" s="181"/>
      <c r="M282" s="181"/>
      <c r="N282" s="181"/>
      <c r="O282" s="181"/>
      <c r="P282" s="181"/>
    </row>
    <row r="283" spans="1:16" ht="21.75" customHeight="1" x14ac:dyDescent="0.3">
      <c r="A283" s="175"/>
      <c r="B283" s="176"/>
      <c r="C283" s="176"/>
      <c r="D283" s="193"/>
      <c r="E283" s="194" t="s">
        <v>47</v>
      </c>
      <c r="F283" s="195"/>
      <c r="G283" s="196"/>
      <c r="H283" s="186"/>
      <c r="I283" s="187"/>
      <c r="J283" s="197">
        <f ca="1">IFERROR(__xludf.DUMMYFUNCTION("IMPORTRANGE(""https://docs.google.com/spreadsheets/d/11923uPwbBZFjjGgGUA6NLw09EwE0CqkOc4q9oUmW1yo/edit?usp=sharing"",""เชียงใหม่!J193"")"),1)</f>
        <v>1</v>
      </c>
      <c r="K283" s="163"/>
      <c r="L283" s="181"/>
      <c r="M283" s="181"/>
      <c r="N283" s="181"/>
      <c r="O283" s="181"/>
      <c r="P283" s="181"/>
    </row>
    <row r="284" spans="1:16" ht="21.75" customHeight="1" x14ac:dyDescent="0.3">
      <c r="A284" s="175"/>
      <c r="B284" s="176"/>
      <c r="C284" s="176"/>
      <c r="D284" s="193"/>
      <c r="E284" s="194" t="s">
        <v>48</v>
      </c>
      <c r="F284" s="195"/>
      <c r="G284" s="196"/>
      <c r="H284" s="186"/>
      <c r="I284" s="187"/>
      <c r="J284" s="197">
        <f ca="1">IFERROR(__xludf.DUMMYFUNCTION("IMPORTRANGE(""https://docs.google.com/spreadsheets/d/11923uPwbBZFjjGgGUA6NLw09EwE0CqkOc4q9oUmW1yo/edit?usp=sharing"",""เชียงใหม่!J194"")"),1)</f>
        <v>1</v>
      </c>
      <c r="K284" s="163"/>
      <c r="L284" s="181"/>
      <c r="M284" s="181"/>
      <c r="N284" s="181"/>
      <c r="O284" s="181"/>
      <c r="P284" s="181"/>
    </row>
    <row r="285" spans="1:16" ht="21.75" customHeight="1" x14ac:dyDescent="0.3">
      <c r="A285" s="175"/>
      <c r="B285" s="176"/>
      <c r="C285" s="176"/>
      <c r="D285" s="193"/>
      <c r="E285" s="195"/>
      <c r="F285" s="194" t="s">
        <v>110</v>
      </c>
      <c r="G285" s="196"/>
      <c r="H285" s="186" t="s">
        <v>37</v>
      </c>
      <c r="I285" s="187">
        <f ca="1">IFERROR(__xludf.DUMMYFUNCTION("IMPORTRANGE(""https://docs.google.com/spreadsheets/d/11923uPwbBZFjjGgGUA6NLw09EwE0CqkOc4q9oUmW1yo/edit?usp=sharing"",""เชียงใหม่!I195"")"),15)</f>
        <v>15</v>
      </c>
      <c r="J285" s="188">
        <f ca="1">IFERROR(__xludf.DUMMYFUNCTION("IMPORTRANGE(""https://docs.google.com/spreadsheets/d/11923uPwbBZFjjGgGUA6NLw09EwE0CqkOc4q9oUmW1yo/edit?usp=sharing"",""เชียงใหม่!J195"")"),15)</f>
        <v>15</v>
      </c>
      <c r="K285" s="163">
        <f ca="1">IF(I285&gt;0,J285*100/I285,0)</f>
        <v>100</v>
      </c>
      <c r="L285" s="181"/>
      <c r="M285" s="181"/>
      <c r="N285" s="181"/>
      <c r="O285" s="181"/>
      <c r="P285" s="181"/>
    </row>
    <row r="286" spans="1:16" ht="21.75" customHeight="1" x14ac:dyDescent="0.3">
      <c r="A286" s="175"/>
      <c r="B286" s="176"/>
      <c r="C286" s="176"/>
      <c r="D286" s="193"/>
      <c r="E286" s="194" t="s">
        <v>54</v>
      </c>
      <c r="F286" s="195"/>
      <c r="G286" s="196"/>
      <c r="H286" s="186"/>
      <c r="I286" s="187"/>
      <c r="J286" s="197">
        <f ca="1">IFERROR(__xludf.DUMMYFUNCTION("IMPORTRANGE(""https://docs.google.com/spreadsheets/d/11923uPwbBZFjjGgGUA6NLw09EwE0CqkOc4q9oUmW1yo/edit?usp=sharing"",""เชียงใหม่!J196"")"),0)</f>
        <v>0</v>
      </c>
      <c r="K286" s="163"/>
      <c r="L286" s="181"/>
      <c r="M286" s="181"/>
      <c r="N286" s="181"/>
      <c r="O286" s="181"/>
      <c r="P286" s="181"/>
    </row>
    <row r="287" spans="1:16" ht="21.75" customHeight="1" x14ac:dyDescent="0.3">
      <c r="A287" s="175"/>
      <c r="B287" s="176"/>
      <c r="C287" s="176"/>
      <c r="D287" s="205">
        <v>3</v>
      </c>
      <c r="E287" s="206" t="s">
        <v>55</v>
      </c>
      <c r="F287" s="207"/>
      <c r="G287" s="208"/>
      <c r="H287" s="186"/>
      <c r="I287" s="187"/>
      <c r="J287" s="209">
        <f ca="1">IFERROR(__xludf.DUMMYFUNCTION("IMPORTRANGE(""https://docs.google.com/spreadsheets/d/11923uPwbBZFjjGgGUA6NLw09EwE0CqkOc4q9oUmW1yo/edit?usp=sharing"",""เชียงใหม่!J197"")"),0)</f>
        <v>0</v>
      </c>
      <c r="K287" s="163"/>
      <c r="L287" s="181"/>
      <c r="M287" s="181"/>
      <c r="N287" s="181"/>
      <c r="O287" s="181"/>
      <c r="P287" s="181"/>
    </row>
    <row r="288" spans="1:16" ht="21.75" customHeight="1" x14ac:dyDescent="0.3">
      <c r="A288" s="302" t="s">
        <v>111</v>
      </c>
      <c r="B288" s="303"/>
      <c r="C288" s="303"/>
      <c r="D288" s="304"/>
      <c r="E288" s="303"/>
      <c r="F288" s="303"/>
      <c r="G288" s="317"/>
      <c r="H288" s="318"/>
      <c r="I288" s="319"/>
      <c r="J288" s="319"/>
      <c r="K288" s="320"/>
      <c r="L288" s="320"/>
      <c r="M288" s="320"/>
      <c r="N288" s="320"/>
      <c r="O288" s="309"/>
      <c r="P288" s="309"/>
    </row>
    <row r="289" spans="1:16" ht="21.75" customHeight="1" x14ac:dyDescent="0.3">
      <c r="A289" s="321"/>
      <c r="B289" s="311" t="s">
        <v>112</v>
      </c>
      <c r="C289" s="322"/>
      <c r="D289" s="323"/>
      <c r="E289" s="311"/>
      <c r="F289" s="311"/>
      <c r="G289" s="312"/>
      <c r="H289" s="313" t="s">
        <v>37</v>
      </c>
      <c r="I289" s="314">
        <f ca="1">IFERROR(__xludf.DUMMYFUNCTION("IMPORTRANGE(""https://docs.google.com/spreadsheets/d/11923uPwbBZFjjGgGUA6NLw09EwE0CqkOc4q9oUmW1yo/edit?usp=sharing"",""เชียงใหม่!I199"")"),0)</f>
        <v>0</v>
      </c>
      <c r="J289" s="314">
        <f ca="1">IFERROR(__xludf.DUMMYFUNCTION("IMPORTRANGE(""https://docs.google.com/spreadsheets/d/11923uPwbBZFjjGgGUA6NLw09EwE0CqkOc4q9oUmW1yo/edit?usp=sharing"",""เชียงใหม่!J199"")"),0)</f>
        <v>0</v>
      </c>
      <c r="K289" s="315">
        <f ca="1">IF(I289&gt;0,J289*100/I289,0)</f>
        <v>0</v>
      </c>
      <c r="L289" s="316"/>
      <c r="M289" s="316"/>
      <c r="N289" s="316"/>
      <c r="O289" s="315"/>
      <c r="P289" s="315"/>
    </row>
    <row r="290" spans="1:16" ht="21.75" customHeight="1" x14ac:dyDescent="0.45">
      <c r="A290" s="145"/>
      <c r="B290" s="146"/>
      <c r="C290" s="147" t="s">
        <v>16</v>
      </c>
      <c r="D290" s="537" t="s">
        <v>17</v>
      </c>
      <c r="E290" s="528"/>
      <c r="F290" s="528"/>
      <c r="G290" s="528"/>
      <c r="H290" s="148" t="s">
        <v>12</v>
      </c>
      <c r="I290" s="187"/>
      <c r="J290" s="187"/>
      <c r="K290" s="223"/>
      <c r="L290" s="151">
        <f t="shared" ref="L290:N290" ca="1" si="88">L291+L292</f>
        <v>0</v>
      </c>
      <c r="M290" s="151">
        <f t="shared" ca="1" si="88"/>
        <v>0</v>
      </c>
      <c r="N290" s="151">
        <f t="shared" ca="1" si="88"/>
        <v>0</v>
      </c>
      <c r="O290" s="150">
        <f t="shared" ref="O290:O292" ca="1" si="89">IF(L290&gt;0,N290*100/L290,0)</f>
        <v>0</v>
      </c>
      <c r="P290" s="150">
        <f t="shared" ref="P290:P292" ca="1" si="90">IF(M290&gt;0,N290*100/M290,0)</f>
        <v>0</v>
      </c>
    </row>
    <row r="291" spans="1:16" ht="21.75" customHeight="1" x14ac:dyDescent="0.45">
      <c r="A291" s="152"/>
      <c r="B291" s="32"/>
      <c r="C291" s="32"/>
      <c r="D291" s="32"/>
      <c r="E291" s="32"/>
      <c r="F291" s="32"/>
      <c r="G291" s="33" t="s">
        <v>18</v>
      </c>
      <c r="H291" s="153" t="s">
        <v>12</v>
      </c>
      <c r="I291" s="187"/>
      <c r="J291" s="187"/>
      <c r="K291" s="223"/>
      <c r="L291" s="87">
        <f t="shared" ref="L291:N291" si="91">L293+L297</f>
        <v>0</v>
      </c>
      <c r="M291" s="87">
        <f t="shared" si="91"/>
        <v>0</v>
      </c>
      <c r="N291" s="87">
        <f t="shared" si="91"/>
        <v>0</v>
      </c>
      <c r="O291" s="155">
        <f t="shared" si="89"/>
        <v>0</v>
      </c>
      <c r="P291" s="155">
        <f t="shared" si="90"/>
        <v>0</v>
      </c>
    </row>
    <row r="292" spans="1:16" ht="21.75" customHeight="1" x14ac:dyDescent="0.45">
      <c r="A292" s="152"/>
      <c r="B292" s="32"/>
      <c r="C292" s="32"/>
      <c r="D292" s="32"/>
      <c r="E292" s="32"/>
      <c r="F292" s="32"/>
      <c r="G292" s="33" t="s">
        <v>19</v>
      </c>
      <c r="H292" s="153" t="s">
        <v>12</v>
      </c>
      <c r="I292" s="187"/>
      <c r="J292" s="187"/>
      <c r="K292" s="223"/>
      <c r="L292" s="87">
        <f t="shared" ref="L292:N292" ca="1" si="92">L294+L298</f>
        <v>0</v>
      </c>
      <c r="M292" s="87">
        <f t="shared" ca="1" si="92"/>
        <v>0</v>
      </c>
      <c r="N292" s="87">
        <f t="shared" ca="1" si="92"/>
        <v>0</v>
      </c>
      <c r="O292" s="155">
        <f t="shared" ca="1" si="89"/>
        <v>0</v>
      </c>
      <c r="P292" s="155">
        <f t="shared" ca="1" si="90"/>
        <v>0</v>
      </c>
    </row>
    <row r="293" spans="1:16" ht="21.75" customHeight="1" x14ac:dyDescent="0.3">
      <c r="A293" s="156"/>
      <c r="B293" s="157"/>
      <c r="C293" s="157" t="s">
        <v>16</v>
      </c>
      <c r="D293" s="158" t="s">
        <v>38</v>
      </c>
      <c r="E293" s="159"/>
      <c r="F293" s="159"/>
      <c r="G293" s="160" t="s">
        <v>39</v>
      </c>
      <c r="H293" s="161" t="s">
        <v>12</v>
      </c>
      <c r="I293" s="187" t="s">
        <v>40</v>
      </c>
      <c r="J293" s="187"/>
      <c r="K293" s="223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3">
      <c r="A294" s="156"/>
      <c r="B294" s="157"/>
      <c r="C294" s="157"/>
      <c r="D294" s="166"/>
      <c r="E294" s="159"/>
      <c r="F294" s="159" t="s">
        <v>40</v>
      </c>
      <c r="G294" s="160" t="s">
        <v>41</v>
      </c>
      <c r="H294" s="161" t="s">
        <v>12</v>
      </c>
      <c r="I294" s="187"/>
      <c r="J294" s="187"/>
      <c r="K294" s="223"/>
      <c r="L294" s="167">
        <f ca="1">L295+L296</f>
        <v>0</v>
      </c>
      <c r="M294" s="167">
        <f ca="1">IFERROR(__xludf.DUMMYFUNCTION("IMPORTRANGE(""https://docs.google.com/spreadsheets/d/1Yj_ptqi66GCucihVvJfMjLAmec39IyEx_6qawtMGysU/edit?usp=sharing"",""สบก!CT22"")"),0)</f>
        <v>0</v>
      </c>
      <c r="N294" s="168">
        <f ca="1">IFERROR(__xludf.DUMMYFUNCTION("IMPORTRANGE(""https://docs.google.com/spreadsheets/d/1Yj_ptqi66GCucihVvJfMjLAmec39IyEx_6qawtMGysU/edit?usp=sharing"",""สบก!CU22"")"),0)</f>
        <v>0</v>
      </c>
      <c r="O294" s="168">
        <f ca="1">IF(L294&gt;0,N294*100/L294,0)</f>
        <v>0</v>
      </c>
      <c r="P294" s="168">
        <f ca="1">IF(M294&gt;0,N294*100/M294,0)</f>
        <v>0</v>
      </c>
    </row>
    <row r="295" spans="1:16" ht="21.75" customHeight="1" x14ac:dyDescent="0.3">
      <c r="A295" s="156"/>
      <c r="B295" s="157"/>
      <c r="C295" s="157"/>
      <c r="D295" s="166"/>
      <c r="E295" s="159"/>
      <c r="F295" s="159"/>
      <c r="G295" s="169" t="s">
        <v>42</v>
      </c>
      <c r="H295" s="161" t="s">
        <v>12</v>
      </c>
      <c r="I295" s="187"/>
      <c r="J295" s="187"/>
      <c r="K295" s="223"/>
      <c r="L295" s="167">
        <f ca="1">IFERROR(__xludf.DUMMYFUNCTION("IMPORTRANGE(""https://docs.google.com/spreadsheets/d/1Yj_ptqi66GCucihVvJfMjLAmec39IyEx_6qawtMGysU/edit?usp=sharing"",""สบก!CP22"")"),0)</f>
        <v>0</v>
      </c>
      <c r="M295" s="167"/>
      <c r="N295" s="167"/>
      <c r="O295" s="168"/>
      <c r="P295" s="168"/>
    </row>
    <row r="296" spans="1:16" ht="21.75" customHeight="1" x14ac:dyDescent="0.3">
      <c r="A296" s="156"/>
      <c r="B296" s="157"/>
      <c r="C296" s="157"/>
      <c r="D296" s="166"/>
      <c r="E296" s="159"/>
      <c r="F296" s="159"/>
      <c r="G296" s="169" t="s">
        <v>43</v>
      </c>
      <c r="H296" s="161" t="s">
        <v>12</v>
      </c>
      <c r="I296" s="187"/>
      <c r="J296" s="187"/>
      <c r="K296" s="223"/>
      <c r="L296" s="167">
        <f ca="1">IFERROR(__xludf.DUMMYFUNCTION("IMPORTRANGE(""https://docs.google.com/spreadsheets/d/1Yj_ptqi66GCucihVvJfMjLAmec39IyEx_6qawtMGysU/edit?usp=sharing"",""สบก!CQ22"")"),0)</f>
        <v>0</v>
      </c>
      <c r="M296" s="167"/>
      <c r="N296" s="167"/>
      <c r="O296" s="168"/>
      <c r="P296" s="168"/>
    </row>
    <row r="297" spans="1:16" ht="21.75" customHeight="1" x14ac:dyDescent="0.45">
      <c r="A297" s="170"/>
      <c r="B297" s="80"/>
      <c r="C297" s="81" t="s">
        <v>16</v>
      </c>
      <c r="D297" s="534" t="s">
        <v>23</v>
      </c>
      <c r="E297" s="530"/>
      <c r="F297" s="88"/>
      <c r="G297" s="82" t="s">
        <v>18</v>
      </c>
      <c r="H297" s="171" t="s">
        <v>12</v>
      </c>
      <c r="I297" s="187"/>
      <c r="J297" s="187"/>
      <c r="K297" s="223"/>
      <c r="L297" s="41">
        <v>0</v>
      </c>
      <c r="M297" s="41"/>
      <c r="N297" s="41"/>
      <c r="O297" s="41"/>
      <c r="P297" s="41"/>
    </row>
    <row r="298" spans="1:16" ht="21.75" customHeight="1" x14ac:dyDescent="0.45">
      <c r="A298" s="172"/>
      <c r="B298" s="91"/>
      <c r="C298" s="91"/>
      <c r="D298" s="173"/>
      <c r="E298" s="92"/>
      <c r="F298" s="92"/>
      <c r="G298" s="93" t="s">
        <v>19</v>
      </c>
      <c r="H298" s="174" t="s">
        <v>12</v>
      </c>
      <c r="I298" s="187"/>
      <c r="J298" s="187"/>
      <c r="K298" s="223"/>
      <c r="L298" s="49">
        <f ca="1">IFERROR(__xludf.DUMMYFUNCTION("IMPORTRANGE(""https://docs.google.com/spreadsheets/d/1Yj_ptqi66GCucihVvJfMjLAmec39IyEx_6qawtMGysU/edit?usp=sharing"",""สบก!CR22"")"),0)</f>
        <v>0</v>
      </c>
      <c r="M298" s="49"/>
      <c r="N298" s="49">
        <f ca="1">IFERROR(__xludf.DUMMYFUNCTION("IMPORTRANGE(""https://docs.google.com/spreadsheets/d/1Yj_ptqi66GCucihVvJfMjLAmec39IyEx_6qawtMGysU/edit?usp=sharing"",""สบก!CV22"")"),0)</f>
        <v>0</v>
      </c>
      <c r="O298" s="49">
        <f ca="1">IF(L298&gt;0,N298*100/L298,0)</f>
        <v>0</v>
      </c>
      <c r="P298" s="49"/>
    </row>
    <row r="299" spans="1:16" ht="21.75" customHeight="1" x14ac:dyDescent="0.3">
      <c r="A299" s="175"/>
      <c r="B299" s="176"/>
      <c r="C299" s="157" t="s">
        <v>16</v>
      </c>
      <c r="D299" s="177" t="s">
        <v>44</v>
      </c>
      <c r="E299" s="178"/>
      <c r="F299" s="178"/>
      <c r="G299" s="179"/>
      <c r="H299" s="180"/>
      <c r="I299" s="187"/>
      <c r="J299" s="187"/>
      <c r="K299" s="223"/>
      <c r="L299" s="168"/>
      <c r="M299" s="168"/>
      <c r="N299" s="168"/>
      <c r="O299" s="181"/>
      <c r="P299" s="181"/>
    </row>
    <row r="300" spans="1:16" ht="21.75" customHeight="1" x14ac:dyDescent="0.3">
      <c r="A300" s="175"/>
      <c r="B300" s="176"/>
      <c r="C300" s="176"/>
      <c r="D300" s="182">
        <v>1</v>
      </c>
      <c r="E300" s="183" t="s">
        <v>45</v>
      </c>
      <c r="F300" s="184"/>
      <c r="G300" s="185"/>
      <c r="H300" s="186"/>
      <c r="I300" s="187"/>
      <c r="J300" s="187">
        <f ca="1">IFERROR(__xludf.DUMMYFUNCTION("IMPORTRANGE(""https://docs.google.com/spreadsheets/d/11923uPwbBZFjjGgGUA6NLw09EwE0CqkOc4q9oUmW1yo/edit?usp=sharing"",""เชียงใหม่!J205"")"),0)</f>
        <v>0</v>
      </c>
      <c r="K300" s="223"/>
      <c r="L300" s="168"/>
      <c r="M300" s="168"/>
      <c r="N300" s="168"/>
      <c r="O300" s="181"/>
      <c r="P300" s="181"/>
    </row>
    <row r="301" spans="1:16" ht="21.75" customHeight="1" x14ac:dyDescent="0.3">
      <c r="A301" s="175"/>
      <c r="B301" s="176"/>
      <c r="C301" s="176"/>
      <c r="D301" s="189">
        <v>2</v>
      </c>
      <c r="E301" s="190" t="s">
        <v>46</v>
      </c>
      <c r="F301" s="191"/>
      <c r="G301" s="192"/>
      <c r="H301" s="186"/>
      <c r="I301" s="187"/>
      <c r="J301" s="187">
        <f ca="1">IFERROR(__xludf.DUMMYFUNCTION("IMPORTRANGE(""https://docs.google.com/spreadsheets/d/11923uPwbBZFjjGgGUA6NLw09EwE0CqkOc4q9oUmW1yo/edit?usp=sharing"",""เชียงใหม่!J206"")"),0)</f>
        <v>0</v>
      </c>
      <c r="K301" s="223"/>
      <c r="L301" s="168" t="s">
        <v>40</v>
      </c>
      <c r="M301" s="168"/>
      <c r="N301" s="168" t="s">
        <v>40</v>
      </c>
      <c r="O301" s="181"/>
      <c r="P301" s="181"/>
    </row>
    <row r="302" spans="1:16" ht="21.75" customHeight="1" x14ac:dyDescent="0.3">
      <c r="A302" s="175"/>
      <c r="B302" s="176"/>
      <c r="C302" s="176"/>
      <c r="D302" s="193"/>
      <c r="E302" s="194" t="s">
        <v>47</v>
      </c>
      <c r="F302" s="195"/>
      <c r="G302" s="196"/>
      <c r="H302" s="186"/>
      <c r="I302" s="187"/>
      <c r="J302" s="187">
        <f ca="1">IFERROR(__xludf.DUMMYFUNCTION("IMPORTRANGE(""https://docs.google.com/spreadsheets/d/11923uPwbBZFjjGgGUA6NLw09EwE0CqkOc4q9oUmW1yo/edit?usp=sharing"",""เชียงใหม่!J207"")"),0)</f>
        <v>0</v>
      </c>
      <c r="K302" s="223"/>
      <c r="L302" s="168"/>
      <c r="M302" s="168"/>
      <c r="N302" s="168"/>
      <c r="O302" s="181"/>
      <c r="P302" s="181"/>
    </row>
    <row r="303" spans="1:16" ht="21.75" customHeight="1" x14ac:dyDescent="0.3">
      <c r="A303" s="175"/>
      <c r="B303" s="176"/>
      <c r="C303" s="176"/>
      <c r="D303" s="193"/>
      <c r="E303" s="194" t="s">
        <v>48</v>
      </c>
      <c r="F303" s="195"/>
      <c r="G303" s="196"/>
      <c r="H303" s="186"/>
      <c r="I303" s="187"/>
      <c r="J303" s="187">
        <f ca="1">IFERROR(__xludf.DUMMYFUNCTION("IMPORTRANGE(""https://docs.google.com/spreadsheets/d/11923uPwbBZFjjGgGUA6NLw09EwE0CqkOc4q9oUmW1yo/edit?usp=sharing"",""เชียงใหม่!J208"")"),0)</f>
        <v>0</v>
      </c>
      <c r="K303" s="223"/>
      <c r="L303" s="168"/>
      <c r="M303" s="168"/>
      <c r="N303" s="168"/>
      <c r="O303" s="181"/>
      <c r="P303" s="181"/>
    </row>
    <row r="304" spans="1:16" ht="21.75" customHeight="1" x14ac:dyDescent="0.3">
      <c r="A304" s="175"/>
      <c r="B304" s="176"/>
      <c r="C304" s="176"/>
      <c r="D304" s="193"/>
      <c r="E304" s="198"/>
      <c r="F304" s="194" t="s">
        <v>113</v>
      </c>
      <c r="G304" s="196"/>
      <c r="H304" s="180" t="s">
        <v>37</v>
      </c>
      <c r="I304" s="187">
        <f ca="1">IFERROR(__xludf.DUMMYFUNCTION("IMPORTRANGE(""https://docs.google.com/spreadsheets/d/11923uPwbBZFjjGgGUA6NLw09EwE0CqkOc4q9oUmW1yo/edit?usp=sharing"",""เชียงใหม่!I209"")"),0)</f>
        <v>0</v>
      </c>
      <c r="J304" s="203">
        <f ca="1">IFERROR(__xludf.DUMMYFUNCTION("IMPORTRANGE(""https://docs.google.com/spreadsheets/d/11923uPwbBZFjjGgGUA6NLw09EwE0CqkOc4q9oUmW1yo/edit?usp=sharing"",""เชียงใหม่!J209"")"),0)</f>
        <v>0</v>
      </c>
      <c r="K304" s="223">
        <f ca="1">IF(I304&gt;0,J304*100/I304,0)</f>
        <v>0</v>
      </c>
      <c r="L304" s="168"/>
      <c r="M304" s="168"/>
      <c r="N304" s="168"/>
      <c r="O304" s="181"/>
      <c r="P304" s="181"/>
    </row>
    <row r="305" spans="1:16" ht="21.75" customHeight="1" x14ac:dyDescent="0.3">
      <c r="A305" s="175"/>
      <c r="B305" s="176"/>
      <c r="C305" s="176"/>
      <c r="D305" s="193"/>
      <c r="E305" s="198"/>
      <c r="F305" s="194" t="s">
        <v>114</v>
      </c>
      <c r="G305" s="196"/>
      <c r="H305" s="180"/>
      <c r="I305" s="187"/>
      <c r="J305" s="187"/>
      <c r="K305" s="223"/>
      <c r="L305" s="168"/>
      <c r="M305" s="168"/>
      <c r="N305" s="168"/>
      <c r="O305" s="181"/>
      <c r="P305" s="181"/>
    </row>
    <row r="306" spans="1:16" ht="21.75" customHeight="1" x14ac:dyDescent="0.3">
      <c r="A306" s="175"/>
      <c r="B306" s="176"/>
      <c r="C306" s="176"/>
      <c r="D306" s="193"/>
      <c r="E306" s="198"/>
      <c r="F306" s="195" t="s">
        <v>53</v>
      </c>
      <c r="G306" s="196"/>
      <c r="H306" s="180" t="s">
        <v>37</v>
      </c>
      <c r="I306" s="187">
        <f ca="1">IFERROR(__xludf.DUMMYFUNCTION("IMPORTRANGE(""https://docs.google.com/spreadsheets/d/11923uPwbBZFjjGgGUA6NLw09EwE0CqkOc4q9oUmW1yo/edit?usp=sharing"",""เชียงใหม่!I211"")"),0)</f>
        <v>0</v>
      </c>
      <c r="J306" s="203">
        <f ca="1">IFERROR(__xludf.DUMMYFUNCTION("IMPORTRANGE(""https://docs.google.com/spreadsheets/d/11923uPwbBZFjjGgGUA6NLw09EwE0CqkOc4q9oUmW1yo/edit?usp=sharing"",""เชียงใหม่!J211"")"),0)</f>
        <v>0</v>
      </c>
      <c r="K306" s="223">
        <f ca="1">IF(I306&gt;0,J306*100/I306,0)</f>
        <v>0</v>
      </c>
      <c r="L306" s="168"/>
      <c r="M306" s="168"/>
      <c r="N306" s="168"/>
      <c r="O306" s="181"/>
      <c r="P306" s="181"/>
    </row>
    <row r="307" spans="1:16" ht="21.75" customHeight="1" x14ac:dyDescent="0.3">
      <c r="A307" s="175"/>
      <c r="B307" s="176"/>
      <c r="C307" s="176"/>
      <c r="D307" s="193"/>
      <c r="E307" s="194" t="s">
        <v>54</v>
      </c>
      <c r="F307" s="195"/>
      <c r="G307" s="196"/>
      <c r="H307" s="186"/>
      <c r="I307" s="187"/>
      <c r="J307" s="187">
        <f ca="1">IFERROR(__xludf.DUMMYFUNCTION("IMPORTRANGE(""https://docs.google.com/spreadsheets/d/11923uPwbBZFjjGgGUA6NLw09EwE0CqkOc4q9oUmW1yo/edit?usp=sharing"",""เชียงใหม่!J212"")"),0)</f>
        <v>0</v>
      </c>
      <c r="K307" s="223"/>
      <c r="L307" s="168"/>
      <c r="M307" s="168"/>
      <c r="N307" s="168"/>
      <c r="O307" s="181"/>
      <c r="P307" s="181"/>
    </row>
    <row r="308" spans="1:16" ht="21.75" customHeight="1" x14ac:dyDescent="0.3">
      <c r="A308" s="175"/>
      <c r="B308" s="176"/>
      <c r="C308" s="176"/>
      <c r="D308" s="205">
        <v>3</v>
      </c>
      <c r="E308" s="206" t="s">
        <v>55</v>
      </c>
      <c r="F308" s="207"/>
      <c r="G308" s="208"/>
      <c r="H308" s="186"/>
      <c r="I308" s="187"/>
      <c r="J308" s="324">
        <f ca="1">IFERROR(__xludf.DUMMYFUNCTION("IMPORTRANGE(""https://docs.google.com/spreadsheets/d/11923uPwbBZFjjGgGUA6NLw09EwE0CqkOc4q9oUmW1yo/edit?usp=sharing"",""เชียงใหม่!J213"")"),0)</f>
        <v>0</v>
      </c>
      <c r="K308" s="223"/>
      <c r="L308" s="168"/>
      <c r="M308" s="168"/>
      <c r="N308" s="168"/>
      <c r="O308" s="181"/>
      <c r="P308" s="181"/>
    </row>
    <row r="309" spans="1:16" ht="21.75" customHeight="1" x14ac:dyDescent="0.3">
      <c r="A309" s="325"/>
      <c r="B309" s="326" t="s">
        <v>115</v>
      </c>
      <c r="C309" s="327"/>
      <c r="D309" s="328"/>
      <c r="E309" s="326"/>
      <c r="F309" s="326"/>
      <c r="G309" s="329"/>
      <c r="H309" s="330" t="s">
        <v>116</v>
      </c>
      <c r="I309" s="331">
        <f ca="1">IFERROR(__xludf.DUMMYFUNCTION("IMPORTRANGE(""https://docs.google.com/spreadsheets/d/11923uPwbBZFjjGgGUA6NLw09EwE0CqkOc4q9oUmW1yo/edit?usp=sharing"",""เชียงใหม่!I214"")"),6)</f>
        <v>6</v>
      </c>
      <c r="J309" s="331">
        <f ca="1">IFERROR(__xludf.DUMMYFUNCTION("IMPORTRANGE(""https://docs.google.com/spreadsheets/d/11923uPwbBZFjjGgGUA6NLw09EwE0CqkOc4q9oUmW1yo/edit?usp=sharing"",""เชียงใหม่!J214"")"),2)</f>
        <v>2</v>
      </c>
      <c r="K309" s="332">
        <f ca="1">IF(I309&gt;0,J309*100/I309,0)</f>
        <v>33.333333333333336</v>
      </c>
      <c r="L309" s="333"/>
      <c r="M309" s="333"/>
      <c r="N309" s="333"/>
      <c r="O309" s="332"/>
      <c r="P309" s="332"/>
    </row>
    <row r="310" spans="1:16" ht="21.75" customHeight="1" x14ac:dyDescent="0.45">
      <c r="A310" s="145"/>
      <c r="B310" s="146"/>
      <c r="C310" s="147" t="s">
        <v>16</v>
      </c>
      <c r="D310" s="537" t="s">
        <v>17</v>
      </c>
      <c r="E310" s="528"/>
      <c r="F310" s="528"/>
      <c r="G310" s="528"/>
      <c r="H310" s="148" t="s">
        <v>12</v>
      </c>
      <c r="I310" s="334"/>
      <c r="J310" s="334"/>
      <c r="K310" s="335"/>
      <c r="L310" s="151">
        <f t="shared" ref="L310:N310" ca="1" si="93">L311+L312</f>
        <v>315600</v>
      </c>
      <c r="M310" s="151">
        <f t="shared" ca="1" si="93"/>
        <v>157800</v>
      </c>
      <c r="N310" s="151">
        <f t="shared" ca="1" si="93"/>
        <v>72588</v>
      </c>
      <c r="O310" s="150">
        <f t="shared" ref="O310:O312" ca="1" si="94">IF(L310&gt;0,N310*100/L310,0)</f>
        <v>23</v>
      </c>
      <c r="P310" s="150">
        <f t="shared" ref="P310:P312" ca="1" si="95">IF(M310&gt;0,N310*100/M310,0)</f>
        <v>46</v>
      </c>
    </row>
    <row r="311" spans="1:16" ht="21.75" customHeight="1" x14ac:dyDescent="0.45">
      <c r="A311" s="152"/>
      <c r="B311" s="32"/>
      <c r="C311" s="32"/>
      <c r="D311" s="32"/>
      <c r="E311" s="32"/>
      <c r="F311" s="32"/>
      <c r="G311" s="33" t="s">
        <v>18</v>
      </c>
      <c r="H311" s="153" t="s">
        <v>12</v>
      </c>
      <c r="I311" s="334"/>
      <c r="J311" s="334"/>
      <c r="K311" s="335"/>
      <c r="L311" s="87">
        <f t="shared" ref="L311:N311" si="96">L313+L317</f>
        <v>0</v>
      </c>
      <c r="M311" s="87">
        <f t="shared" si="96"/>
        <v>0</v>
      </c>
      <c r="N311" s="87">
        <f t="shared" si="96"/>
        <v>0</v>
      </c>
      <c r="O311" s="155">
        <f t="shared" si="94"/>
        <v>0</v>
      </c>
      <c r="P311" s="155">
        <f t="shared" si="95"/>
        <v>0</v>
      </c>
    </row>
    <row r="312" spans="1:16" ht="21.75" customHeight="1" x14ac:dyDescent="0.45">
      <c r="A312" s="152"/>
      <c r="B312" s="32"/>
      <c r="C312" s="32"/>
      <c r="D312" s="32"/>
      <c r="E312" s="32"/>
      <c r="F312" s="32"/>
      <c r="G312" s="33" t="s">
        <v>19</v>
      </c>
      <c r="H312" s="153" t="s">
        <v>12</v>
      </c>
      <c r="I312" s="334"/>
      <c r="J312" s="334"/>
      <c r="K312" s="335"/>
      <c r="L312" s="87">
        <f t="shared" ref="L312:N312" ca="1" si="97">L314+L318</f>
        <v>315600</v>
      </c>
      <c r="M312" s="87">
        <f t="shared" ca="1" si="97"/>
        <v>157800</v>
      </c>
      <c r="N312" s="87">
        <f t="shared" ca="1" si="97"/>
        <v>72588</v>
      </c>
      <c r="O312" s="155">
        <f t="shared" ca="1" si="94"/>
        <v>23</v>
      </c>
      <c r="P312" s="155">
        <f t="shared" ca="1" si="95"/>
        <v>46</v>
      </c>
    </row>
    <row r="313" spans="1:16" ht="21.75" customHeight="1" x14ac:dyDescent="0.3">
      <c r="A313" s="156"/>
      <c r="B313" s="157"/>
      <c r="C313" s="157" t="s">
        <v>16</v>
      </c>
      <c r="D313" s="158" t="s">
        <v>38</v>
      </c>
      <c r="E313" s="159"/>
      <c r="F313" s="159"/>
      <c r="G313" s="160" t="s">
        <v>39</v>
      </c>
      <c r="H313" s="161" t="s">
        <v>12</v>
      </c>
      <c r="I313" s="162" t="s">
        <v>40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3">
      <c r="A314" s="156"/>
      <c r="B314" s="157"/>
      <c r="C314" s="157"/>
      <c r="D314" s="166"/>
      <c r="E314" s="159"/>
      <c r="F314" s="159" t="s">
        <v>40</v>
      </c>
      <c r="G314" s="160" t="s">
        <v>41</v>
      </c>
      <c r="H314" s="161" t="s">
        <v>12</v>
      </c>
      <c r="I314" s="162"/>
      <c r="J314" s="162"/>
      <c r="K314" s="163"/>
      <c r="L314" s="167">
        <f ca="1">L315+L316</f>
        <v>315600</v>
      </c>
      <c r="M314" s="167">
        <f ca="1">IFERROR(__xludf.DUMMYFUNCTION("IMPORTRANGE(""https://docs.google.com/spreadsheets/d/1Yj_ptqi66GCucihVvJfMjLAmec39IyEx_6qawtMGysU/edit?usp=sharing"",""สบก!DC22"")"),157800)</f>
        <v>157800</v>
      </c>
      <c r="N314" s="168">
        <f ca="1">IFERROR(__xludf.DUMMYFUNCTION("IMPORTRANGE(""https://docs.google.com/spreadsheets/d/1Yj_ptqi66GCucihVvJfMjLAmec39IyEx_6qawtMGysU/edit?usp=sharing"",""สบก!DD22"")"),72588)</f>
        <v>72588</v>
      </c>
      <c r="O314" s="168">
        <f ca="1">IF(L314&gt;0,N314*100/L314,0)</f>
        <v>23</v>
      </c>
      <c r="P314" s="168">
        <f ca="1">IF(M314&gt;0,N314*100/M314,0)</f>
        <v>46</v>
      </c>
    </row>
    <row r="315" spans="1:16" ht="21.75" customHeight="1" x14ac:dyDescent="0.3">
      <c r="A315" s="156"/>
      <c r="B315" s="157"/>
      <c r="C315" s="157"/>
      <c r="D315" s="166"/>
      <c r="E315" s="159"/>
      <c r="F315" s="159"/>
      <c r="G315" s="169" t="s">
        <v>42</v>
      </c>
      <c r="H315" s="161" t="s">
        <v>12</v>
      </c>
      <c r="I315" s="162"/>
      <c r="J315" s="162"/>
      <c r="K315" s="163"/>
      <c r="L315" s="167">
        <f ca="1">IFERROR(__xludf.DUMMYFUNCTION("IMPORTRANGE(""https://docs.google.com/spreadsheets/d/1Yj_ptqi66GCucihVvJfMjLAmec39IyEx_6qawtMGysU/edit?usp=sharing"",""สบก!CY22"")"),0)</f>
        <v>0</v>
      </c>
      <c r="M315" s="167"/>
      <c r="N315" s="167"/>
      <c r="O315" s="168"/>
      <c r="P315" s="168"/>
    </row>
    <row r="316" spans="1:16" ht="21.75" customHeight="1" x14ac:dyDescent="0.3">
      <c r="A316" s="156"/>
      <c r="B316" s="157"/>
      <c r="C316" s="157"/>
      <c r="D316" s="166"/>
      <c r="E316" s="159"/>
      <c r="F316" s="159"/>
      <c r="G316" s="169" t="s">
        <v>43</v>
      </c>
      <c r="H316" s="161" t="s">
        <v>12</v>
      </c>
      <c r="I316" s="162"/>
      <c r="J316" s="187"/>
      <c r="K316" s="223"/>
      <c r="L316" s="167">
        <f ca="1">IFERROR(__xludf.DUMMYFUNCTION("IMPORTRANGE(""https://docs.google.com/spreadsheets/d/1Yj_ptqi66GCucihVvJfMjLAmec39IyEx_6qawtMGysU/edit?usp=sharing"",""สบก!CZ22"")"),315600)</f>
        <v>315600</v>
      </c>
      <c r="M316" s="167"/>
      <c r="N316" s="167"/>
      <c r="O316" s="168"/>
      <c r="P316" s="168"/>
    </row>
    <row r="317" spans="1:16" ht="21.75" customHeight="1" x14ac:dyDescent="0.45">
      <c r="A317" s="170"/>
      <c r="B317" s="80"/>
      <c r="C317" s="81" t="s">
        <v>16</v>
      </c>
      <c r="D317" s="534" t="s">
        <v>23</v>
      </c>
      <c r="E317" s="530"/>
      <c r="F317" s="88"/>
      <c r="G317" s="82" t="s">
        <v>18</v>
      </c>
      <c r="H317" s="171" t="s">
        <v>12</v>
      </c>
      <c r="I317" s="162"/>
      <c r="J317" s="187"/>
      <c r="K317" s="223"/>
      <c r="L317" s="41">
        <v>0</v>
      </c>
      <c r="M317" s="41"/>
      <c r="N317" s="41"/>
      <c r="O317" s="41"/>
      <c r="P317" s="41"/>
    </row>
    <row r="318" spans="1:16" ht="21.75" customHeight="1" x14ac:dyDescent="0.45">
      <c r="A318" s="172"/>
      <c r="B318" s="91"/>
      <c r="C318" s="91"/>
      <c r="D318" s="173"/>
      <c r="E318" s="92"/>
      <c r="F318" s="92"/>
      <c r="G318" s="93" t="s">
        <v>19</v>
      </c>
      <c r="H318" s="174" t="s">
        <v>12</v>
      </c>
      <c r="I318" s="162"/>
      <c r="J318" s="187"/>
      <c r="K318" s="223"/>
      <c r="L318" s="49">
        <f ca="1">IFERROR(__xludf.DUMMYFUNCTION("IMPORTRANGE(""https://docs.google.com/spreadsheets/d/1Yj_ptqi66GCucihVvJfMjLAmec39IyEx_6qawtMGysU/edit?usp=sharing"",""สบก!DA22"")"),0)</f>
        <v>0</v>
      </c>
      <c r="M318" s="49"/>
      <c r="N318" s="49">
        <f ca="1">IFERROR(__xludf.DUMMYFUNCTION("IMPORTRANGE(""https://docs.google.com/spreadsheets/d/1Yj_ptqi66GCucihVvJfMjLAmec39IyEx_6qawtMGysU/edit?usp=sharing"",""สบก!DE22"")"),0)</f>
        <v>0</v>
      </c>
      <c r="O318" s="49">
        <f ca="1">IF(L318&gt;0,N318*100/L318,0)</f>
        <v>0</v>
      </c>
      <c r="P318" s="49"/>
    </row>
    <row r="319" spans="1:16" ht="21.75" customHeight="1" x14ac:dyDescent="0.3">
      <c r="A319" s="175"/>
      <c r="B319" s="176"/>
      <c r="C319" s="157" t="s">
        <v>16</v>
      </c>
      <c r="D319" s="177" t="s">
        <v>44</v>
      </c>
      <c r="E319" s="178"/>
      <c r="F319" s="178"/>
      <c r="G319" s="179"/>
      <c r="H319" s="180"/>
      <c r="I319" s="162"/>
      <c r="J319" s="187"/>
      <c r="K319" s="223"/>
      <c r="L319" s="168"/>
      <c r="M319" s="168"/>
      <c r="N319" s="168"/>
      <c r="O319" s="181"/>
      <c r="P319" s="181"/>
    </row>
    <row r="320" spans="1:16" ht="21.75" customHeight="1" x14ac:dyDescent="0.3">
      <c r="A320" s="175"/>
      <c r="B320" s="176"/>
      <c r="C320" s="176"/>
      <c r="D320" s="182">
        <v>1</v>
      </c>
      <c r="E320" s="183" t="s">
        <v>45</v>
      </c>
      <c r="F320" s="184"/>
      <c r="G320" s="185"/>
      <c r="H320" s="186"/>
      <c r="I320" s="187"/>
      <c r="J320" s="187">
        <f ca="1">IFERROR(__xludf.DUMMYFUNCTION("IMPORTRANGE(""https://docs.google.com/spreadsheets/d/11923uPwbBZFjjGgGUA6NLw09EwE0CqkOc4q9oUmW1yo/edit?usp=sharing"",""เชียงใหม่!J220"")"),0)</f>
        <v>0</v>
      </c>
      <c r="K320" s="223"/>
      <c r="L320" s="168"/>
      <c r="M320" s="168"/>
      <c r="N320" s="168"/>
      <c r="O320" s="181"/>
      <c r="P320" s="181"/>
    </row>
    <row r="321" spans="1:16" ht="21.75" customHeight="1" x14ac:dyDescent="0.3">
      <c r="A321" s="175"/>
      <c r="B321" s="176"/>
      <c r="C321" s="176"/>
      <c r="D321" s="189">
        <v>2</v>
      </c>
      <c r="E321" s="190" t="s">
        <v>46</v>
      </c>
      <c r="F321" s="191"/>
      <c r="G321" s="192"/>
      <c r="H321" s="186"/>
      <c r="I321" s="187"/>
      <c r="J321" s="187">
        <f ca="1">IFERROR(__xludf.DUMMYFUNCTION("IMPORTRANGE(""https://docs.google.com/spreadsheets/d/11923uPwbBZFjjGgGUA6NLw09EwE0CqkOc4q9oUmW1yo/edit?usp=sharing"",""เชียงใหม่!J221"")"),1)</f>
        <v>1</v>
      </c>
      <c r="K321" s="223"/>
      <c r="L321" s="168" t="s">
        <v>40</v>
      </c>
      <c r="M321" s="168"/>
      <c r="N321" s="168" t="s">
        <v>40</v>
      </c>
      <c r="O321" s="181"/>
      <c r="P321" s="181"/>
    </row>
    <row r="322" spans="1:16" ht="21.75" customHeight="1" x14ac:dyDescent="0.3">
      <c r="A322" s="175"/>
      <c r="B322" s="176"/>
      <c r="C322" s="176"/>
      <c r="D322" s="193"/>
      <c r="E322" s="194" t="s">
        <v>47</v>
      </c>
      <c r="F322" s="195"/>
      <c r="G322" s="196"/>
      <c r="H322" s="186"/>
      <c r="I322" s="187"/>
      <c r="J322" s="187">
        <f ca="1">IFERROR(__xludf.DUMMYFUNCTION("IMPORTRANGE(""https://docs.google.com/spreadsheets/d/11923uPwbBZFjjGgGUA6NLw09EwE0CqkOc4q9oUmW1yo/edit?usp=sharing"",""เชียงใหม่!J222"")"),1)</f>
        <v>1</v>
      </c>
      <c r="K322" s="223"/>
      <c r="L322" s="168"/>
      <c r="M322" s="168"/>
      <c r="N322" s="168"/>
      <c r="O322" s="181"/>
      <c r="P322" s="181"/>
    </row>
    <row r="323" spans="1:16" ht="21.75" customHeight="1" x14ac:dyDescent="0.3">
      <c r="A323" s="175"/>
      <c r="B323" s="176"/>
      <c r="C323" s="176"/>
      <c r="D323" s="193"/>
      <c r="E323" s="194" t="s">
        <v>48</v>
      </c>
      <c r="F323" s="195"/>
      <c r="G323" s="196"/>
      <c r="H323" s="186"/>
      <c r="I323" s="187"/>
      <c r="J323" s="187">
        <f ca="1">IFERROR(__xludf.DUMMYFUNCTION("IMPORTRANGE(""https://docs.google.com/spreadsheets/d/11923uPwbBZFjjGgGUA6NLw09EwE0CqkOc4q9oUmW1yo/edit?usp=sharing"",""เชียงใหม่!J223"")"),1)</f>
        <v>1</v>
      </c>
      <c r="K323" s="223"/>
      <c r="L323" s="168"/>
      <c r="M323" s="168"/>
      <c r="N323" s="168"/>
      <c r="O323" s="181"/>
      <c r="P323" s="181"/>
    </row>
    <row r="324" spans="1:16" ht="21.75" customHeight="1" x14ac:dyDescent="0.3">
      <c r="A324" s="175"/>
      <c r="B324" s="176"/>
      <c r="C324" s="176"/>
      <c r="D324" s="193"/>
      <c r="E324" s="198"/>
      <c r="F324" s="194" t="s">
        <v>117</v>
      </c>
      <c r="G324" s="196"/>
      <c r="H324" s="186" t="s">
        <v>116</v>
      </c>
      <c r="I324" s="187">
        <f ca="1">IFERROR(__xludf.DUMMYFUNCTION("IMPORTRANGE(""https://docs.google.com/spreadsheets/d/11923uPwbBZFjjGgGUA6NLw09EwE0CqkOc4q9oUmW1yo/edit?usp=sharing"",""เชียงใหม่!I224"")"),6)</f>
        <v>6</v>
      </c>
      <c r="J324" s="203">
        <f ca="1">IFERROR(__xludf.DUMMYFUNCTION("IMPORTRANGE(""https://docs.google.com/spreadsheets/d/11923uPwbBZFjjGgGUA6NLw09EwE0CqkOc4q9oUmW1yo/edit?usp=sharing"",""เชียงใหม่!J224"")"),2)</f>
        <v>2</v>
      </c>
      <c r="K324" s="223">
        <f ca="1">IF(I324&gt;0,J324*100/I324,0)</f>
        <v>33.333333333333336</v>
      </c>
      <c r="L324" s="168"/>
      <c r="M324" s="168"/>
      <c r="N324" s="168"/>
      <c r="O324" s="181"/>
      <c r="P324" s="181"/>
    </row>
    <row r="325" spans="1:16" ht="21.75" customHeight="1" x14ac:dyDescent="0.3">
      <c r="A325" s="175"/>
      <c r="B325" s="176"/>
      <c r="C325" s="176"/>
      <c r="D325" s="193"/>
      <c r="E325" s="194" t="s">
        <v>54</v>
      </c>
      <c r="F325" s="195"/>
      <c r="G325" s="196"/>
      <c r="H325" s="186"/>
      <c r="I325" s="187"/>
      <c r="J325" s="187">
        <f ca="1">IFERROR(__xludf.DUMMYFUNCTION("IMPORTRANGE(""https://docs.google.com/spreadsheets/d/11923uPwbBZFjjGgGUA6NLw09EwE0CqkOc4q9oUmW1yo/edit?usp=sharing"",""เชียงใหม่!J225"")"),0)</f>
        <v>0</v>
      </c>
      <c r="K325" s="223"/>
      <c r="L325" s="168"/>
      <c r="M325" s="168"/>
      <c r="N325" s="168"/>
      <c r="O325" s="181"/>
      <c r="P325" s="181"/>
    </row>
    <row r="326" spans="1:16" ht="21.75" customHeight="1" x14ac:dyDescent="0.3">
      <c r="A326" s="175"/>
      <c r="B326" s="176"/>
      <c r="C326" s="176"/>
      <c r="D326" s="205">
        <v>3</v>
      </c>
      <c r="E326" s="206" t="s">
        <v>55</v>
      </c>
      <c r="F326" s="207"/>
      <c r="G326" s="208"/>
      <c r="H326" s="186"/>
      <c r="I326" s="187"/>
      <c r="J326" s="226">
        <f ca="1">IFERROR(__xludf.DUMMYFUNCTION("IMPORTRANGE(""https://docs.google.com/spreadsheets/d/11923uPwbBZFjjGgGUA6NLw09EwE0CqkOc4q9oUmW1yo/edit?usp=sharing"",""เชียงใหม่!J226"")"),0)</f>
        <v>0</v>
      </c>
      <c r="K326" s="223"/>
      <c r="L326" s="168"/>
      <c r="M326" s="168"/>
      <c r="N326" s="168"/>
      <c r="O326" s="181"/>
      <c r="P326" s="181"/>
    </row>
    <row r="327" spans="1:16" ht="21.75" customHeight="1" x14ac:dyDescent="0.3">
      <c r="A327" s="302" t="s">
        <v>118</v>
      </c>
      <c r="B327" s="303"/>
      <c r="C327" s="303"/>
      <c r="D327" s="304"/>
      <c r="E327" s="303"/>
      <c r="F327" s="303"/>
      <c r="G327" s="317"/>
      <c r="H327" s="306"/>
      <c r="I327" s="307"/>
      <c r="J327" s="307"/>
      <c r="K327" s="308"/>
      <c r="L327" s="308"/>
      <c r="M327" s="308"/>
      <c r="N327" s="308"/>
      <c r="O327" s="309"/>
      <c r="P327" s="309"/>
    </row>
    <row r="328" spans="1:16" ht="21.75" customHeight="1" x14ac:dyDescent="0.3">
      <c r="A328" s="310"/>
      <c r="B328" s="336" t="s">
        <v>119</v>
      </c>
      <c r="C328" s="323"/>
      <c r="D328" s="311"/>
      <c r="E328" s="311"/>
      <c r="F328" s="311"/>
      <c r="G328" s="312"/>
      <c r="H328" s="313" t="s">
        <v>37</v>
      </c>
      <c r="I328" s="337">
        <f ca="1">IFERROR(__xludf.DUMMYFUNCTION("IMPORTRANGE(""https://docs.google.com/spreadsheets/d/11923uPwbBZFjjGgGUA6NLw09EwE0CqkOc4q9oUmW1yo/edit?usp=sharing"",""เชียงใหม่!I228"")"),315)</f>
        <v>315</v>
      </c>
      <c r="J328" s="337">
        <f ca="1">IFERROR(__xludf.DUMMYFUNCTION("IMPORTRANGE(""https://docs.google.com/spreadsheets/d/11923uPwbBZFjjGgGUA6NLw09EwE0CqkOc4q9oUmW1yo/edit?usp=sharing"",""เชียงใหม่!J228"")"),33)</f>
        <v>33</v>
      </c>
      <c r="K328" s="315">
        <f ca="1">IF(I328&gt;0,J328*100/I328,0)</f>
        <v>10.476190476190476</v>
      </c>
      <c r="L328" s="316"/>
      <c r="M328" s="316"/>
      <c r="N328" s="316"/>
      <c r="O328" s="315"/>
      <c r="P328" s="315"/>
    </row>
    <row r="329" spans="1:16" ht="21.75" customHeight="1" x14ac:dyDescent="0.45">
      <c r="A329" s="145"/>
      <c r="B329" s="146"/>
      <c r="C329" s="147" t="s">
        <v>16</v>
      </c>
      <c r="D329" s="537" t="s">
        <v>17</v>
      </c>
      <c r="E329" s="528"/>
      <c r="F329" s="528"/>
      <c r="G329" s="528"/>
      <c r="H329" s="148" t="s">
        <v>12</v>
      </c>
      <c r="I329" s="162"/>
      <c r="J329" s="162"/>
      <c r="K329" s="163"/>
      <c r="L329" s="151">
        <f t="shared" ref="L329:N329" ca="1" si="98">L330+L331</f>
        <v>845280</v>
      </c>
      <c r="M329" s="151">
        <f t="shared" ca="1" si="98"/>
        <v>465290</v>
      </c>
      <c r="N329" s="151">
        <f t="shared" ca="1" si="98"/>
        <v>310537</v>
      </c>
      <c r="O329" s="150">
        <f t="shared" ref="O329:O331" ca="1" si="99">IF(L329&gt;0,N329*100/L329,0)</f>
        <v>36.737767367026308</v>
      </c>
      <c r="P329" s="150">
        <f t="shared" ref="P329:P331" ca="1" si="100">IF(M329&gt;0,N329*100/M329,0)</f>
        <v>66.740527413011236</v>
      </c>
    </row>
    <row r="330" spans="1:16" ht="21.75" customHeight="1" x14ac:dyDescent="0.45">
      <c r="A330" s="152"/>
      <c r="B330" s="32"/>
      <c r="C330" s="32"/>
      <c r="D330" s="32"/>
      <c r="E330" s="32"/>
      <c r="F330" s="32"/>
      <c r="G330" s="33" t="s">
        <v>18</v>
      </c>
      <c r="H330" s="153" t="s">
        <v>12</v>
      </c>
      <c r="I330" s="162"/>
      <c r="J330" s="162"/>
      <c r="K330" s="163"/>
      <c r="L330" s="87">
        <f t="shared" ref="L330:N330" si="101">L332+L336</f>
        <v>0</v>
      </c>
      <c r="M330" s="87">
        <f t="shared" si="101"/>
        <v>0</v>
      </c>
      <c r="N330" s="87">
        <f t="shared" si="101"/>
        <v>0</v>
      </c>
      <c r="O330" s="155">
        <f t="shared" si="99"/>
        <v>0</v>
      </c>
      <c r="P330" s="155">
        <f t="shared" si="100"/>
        <v>0</v>
      </c>
    </row>
    <row r="331" spans="1:16" ht="21.75" customHeight="1" x14ac:dyDescent="0.45">
      <c r="A331" s="152"/>
      <c r="B331" s="32"/>
      <c r="C331" s="32"/>
      <c r="D331" s="32"/>
      <c r="E331" s="32"/>
      <c r="F331" s="32"/>
      <c r="G331" s="33" t="s">
        <v>19</v>
      </c>
      <c r="H331" s="153" t="s">
        <v>12</v>
      </c>
      <c r="I331" s="162"/>
      <c r="J331" s="162"/>
      <c r="K331" s="163"/>
      <c r="L331" s="87">
        <f t="shared" ref="L331:N331" ca="1" si="102">L333+L337</f>
        <v>845280</v>
      </c>
      <c r="M331" s="87">
        <f t="shared" ca="1" si="102"/>
        <v>465290</v>
      </c>
      <c r="N331" s="87">
        <f t="shared" ca="1" si="102"/>
        <v>310537</v>
      </c>
      <c r="O331" s="155">
        <f t="shared" ca="1" si="99"/>
        <v>36.737767367026308</v>
      </c>
      <c r="P331" s="155">
        <f t="shared" ca="1" si="100"/>
        <v>66.740527413011236</v>
      </c>
    </row>
    <row r="332" spans="1:16" ht="21.75" customHeight="1" x14ac:dyDescent="0.3">
      <c r="A332" s="156"/>
      <c r="B332" s="157"/>
      <c r="C332" s="157" t="s">
        <v>16</v>
      </c>
      <c r="D332" s="158" t="s">
        <v>38</v>
      </c>
      <c r="E332" s="159"/>
      <c r="F332" s="159"/>
      <c r="G332" s="160" t="s">
        <v>39</v>
      </c>
      <c r="H332" s="161" t="s">
        <v>12</v>
      </c>
      <c r="I332" s="162" t="s">
        <v>40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3">
      <c r="A333" s="156"/>
      <c r="B333" s="157"/>
      <c r="C333" s="157"/>
      <c r="D333" s="166"/>
      <c r="E333" s="159"/>
      <c r="F333" s="159" t="s">
        <v>40</v>
      </c>
      <c r="G333" s="160" t="s">
        <v>41</v>
      </c>
      <c r="H333" s="161" t="s">
        <v>12</v>
      </c>
      <c r="I333" s="162"/>
      <c r="J333" s="162"/>
      <c r="K333" s="163"/>
      <c r="L333" s="167">
        <f ca="1">L334+L335</f>
        <v>802280</v>
      </c>
      <c r="M333" s="167">
        <f ca="1">IFERROR(__xludf.DUMMYFUNCTION("IMPORTRANGE(""https://docs.google.com/spreadsheets/d/1Yj_ptqi66GCucihVvJfMjLAmec39IyEx_6qawtMGysU/edit?usp=sharing"",""สบก!DL22"")"),422290)</f>
        <v>422290</v>
      </c>
      <c r="N333" s="168">
        <f ca="1">IFERROR(__xludf.DUMMYFUNCTION("IMPORTRANGE(""https://docs.google.com/spreadsheets/d/1Yj_ptqi66GCucihVvJfMjLAmec39IyEx_6qawtMGysU/edit?usp=sharing"",""สบก!DM22"")"),267537)</f>
        <v>267537</v>
      </c>
      <c r="O333" s="168">
        <f ca="1">IF(L333&gt;0,N333*100/L333,0)</f>
        <v>33.347085805454455</v>
      </c>
      <c r="P333" s="168">
        <f ca="1">IF(M333&gt;0,N333*100/M333,0)</f>
        <v>63.353856354637806</v>
      </c>
    </row>
    <row r="334" spans="1:16" ht="21.75" customHeight="1" x14ac:dyDescent="0.3">
      <c r="A334" s="156"/>
      <c r="B334" s="157"/>
      <c r="C334" s="157"/>
      <c r="D334" s="166"/>
      <c r="E334" s="159"/>
      <c r="F334" s="159"/>
      <c r="G334" s="169" t="s">
        <v>42</v>
      </c>
      <c r="H334" s="161" t="s">
        <v>12</v>
      </c>
      <c r="I334" s="162"/>
      <c r="J334" s="162"/>
      <c r="K334" s="163"/>
      <c r="L334" s="167">
        <f ca="1">IFERROR(__xludf.DUMMYFUNCTION("IMPORTRANGE(""https://docs.google.com/spreadsheets/d/1Yj_ptqi66GCucihVvJfMjLAmec39IyEx_6qawtMGysU/edit?usp=sharing"",""สบก!DH22"")"),471600)</f>
        <v>471600</v>
      </c>
      <c r="M334" s="167"/>
      <c r="N334" s="167"/>
      <c r="O334" s="168"/>
      <c r="P334" s="168"/>
    </row>
    <row r="335" spans="1:16" ht="21.75" customHeight="1" x14ac:dyDescent="0.3">
      <c r="A335" s="156"/>
      <c r="B335" s="157"/>
      <c r="C335" s="157"/>
      <c r="D335" s="166"/>
      <c r="E335" s="159"/>
      <c r="F335" s="159"/>
      <c r="G335" s="169" t="s">
        <v>43</v>
      </c>
      <c r="H335" s="161" t="s">
        <v>12</v>
      </c>
      <c r="I335" s="162"/>
      <c r="J335" s="162"/>
      <c r="K335" s="163"/>
      <c r="L335" s="167">
        <f ca="1">IFERROR(__xludf.DUMMYFUNCTION("IMPORTRANGE(""https://docs.google.com/spreadsheets/d/1Yj_ptqi66GCucihVvJfMjLAmec39IyEx_6qawtMGysU/edit?usp=sharing"",""สบก!DI22"")"),330680)</f>
        <v>330680</v>
      </c>
      <c r="M335" s="167"/>
      <c r="N335" s="167"/>
      <c r="O335" s="168"/>
      <c r="P335" s="168"/>
    </row>
    <row r="336" spans="1:16" ht="21.75" customHeight="1" x14ac:dyDescent="0.45">
      <c r="A336" s="170"/>
      <c r="B336" s="80"/>
      <c r="C336" s="81" t="s">
        <v>16</v>
      </c>
      <c r="D336" s="534" t="s">
        <v>23</v>
      </c>
      <c r="E336" s="530"/>
      <c r="F336" s="88"/>
      <c r="G336" s="82" t="s">
        <v>18</v>
      </c>
      <c r="H336" s="171" t="s">
        <v>12</v>
      </c>
      <c r="I336" s="162"/>
      <c r="J336" s="162"/>
      <c r="K336" s="163"/>
      <c r="L336" s="41">
        <v>0</v>
      </c>
      <c r="M336" s="41"/>
      <c r="N336" s="41"/>
      <c r="O336" s="41"/>
      <c r="P336" s="41"/>
    </row>
    <row r="337" spans="1:16" ht="21.75" customHeight="1" x14ac:dyDescent="0.45">
      <c r="A337" s="172"/>
      <c r="B337" s="91"/>
      <c r="C337" s="91"/>
      <c r="D337" s="173"/>
      <c r="E337" s="92"/>
      <c r="F337" s="92"/>
      <c r="G337" s="93" t="s">
        <v>19</v>
      </c>
      <c r="H337" s="174" t="s">
        <v>12</v>
      </c>
      <c r="I337" s="162"/>
      <c r="J337" s="162"/>
      <c r="K337" s="163"/>
      <c r="L337" s="49">
        <f ca="1">IFERROR(__xludf.DUMMYFUNCTION("IMPORTRANGE(""https://docs.google.com/spreadsheets/d/1Yj_ptqi66GCucihVvJfMjLAmec39IyEx_6qawtMGysU/edit?usp=sharing"",""สบก!DJ22"")"),43000)</f>
        <v>43000</v>
      </c>
      <c r="M337" s="49">
        <f ca="1">L337</f>
        <v>43000</v>
      </c>
      <c r="N337" s="49">
        <f ca="1">IFERROR(__xludf.DUMMYFUNCTION("IMPORTRANGE(""https://docs.google.com/spreadsheets/d/1Yj_ptqi66GCucihVvJfMjLAmec39IyEx_6qawtMGysU/edit?usp=sharing"",""สบก!DN22"")"),43000)</f>
        <v>43000</v>
      </c>
      <c r="O337" s="49">
        <f ca="1">IF(L337&gt;0,N337*100/L337,0)</f>
        <v>100</v>
      </c>
      <c r="P337" s="49">
        <f ca="1">IF(M337&gt;0,N337*100/M337,0)</f>
        <v>100</v>
      </c>
    </row>
    <row r="338" spans="1:16" ht="21.75" customHeight="1" x14ac:dyDescent="0.3">
      <c r="A338" s="175"/>
      <c r="B338" s="289"/>
      <c r="C338" s="338" t="s">
        <v>120</v>
      </c>
      <c r="D338" s="195"/>
      <c r="E338" s="195"/>
      <c r="F338" s="195"/>
      <c r="G338" s="196"/>
      <c r="H338" s="180"/>
      <c r="I338" s="339"/>
      <c r="J338" s="339"/>
      <c r="K338" s="340"/>
      <c r="L338" s="181"/>
      <c r="M338" s="181"/>
      <c r="N338" s="181"/>
      <c r="O338" s="341"/>
      <c r="P338" s="341"/>
    </row>
    <row r="339" spans="1:16" ht="21.75" customHeight="1" x14ac:dyDescent="0.3">
      <c r="A339" s="175"/>
      <c r="B339" s="289"/>
      <c r="C339" s="176"/>
      <c r="D339" s="195"/>
      <c r="E339" s="194" t="s">
        <v>121</v>
      </c>
      <c r="F339" s="195"/>
      <c r="G339" s="196"/>
      <c r="H339" s="342" t="s">
        <v>37</v>
      </c>
      <c r="I339" s="203">
        <f ca="1">IFERROR(__xludf.DUMMYFUNCTION("IMPORTRANGE(""https://docs.google.com/spreadsheets/d/11923uPwbBZFjjGgGUA6NLw09EwE0CqkOc4q9oUmW1yo/edit?usp=sharing"",""เชียงใหม่!I234"")"),0)</f>
        <v>0</v>
      </c>
      <c r="J339" s="187">
        <f ca="1">IFERROR(__xludf.DUMMYFUNCTION("IMPORTRANGE(""https://docs.google.com/spreadsheets/d/11923uPwbBZFjjGgGUA6NLw09EwE0CqkOc4q9oUmW1yo/edit?usp=sharing"",""เชียงใหม่!J234"")"),58)</f>
        <v>58</v>
      </c>
      <c r="K339" s="340">
        <f t="shared" ref="K339:K346" ca="1" si="103">IF(I339&gt;0,J339*100/I339,0)</f>
        <v>0</v>
      </c>
      <c r="L339" s="181"/>
      <c r="M339" s="181"/>
      <c r="N339" s="181"/>
      <c r="O339" s="341"/>
      <c r="P339" s="341"/>
    </row>
    <row r="340" spans="1:16" ht="21.75" customHeight="1" x14ac:dyDescent="0.3">
      <c r="A340" s="175"/>
      <c r="B340" s="289"/>
      <c r="C340" s="176"/>
      <c r="D340" s="195"/>
      <c r="E340" s="195"/>
      <c r="F340" s="195"/>
      <c r="G340" s="196"/>
      <c r="H340" s="342" t="s">
        <v>122</v>
      </c>
      <c r="I340" s="187">
        <f ca="1">IFERROR(__xludf.DUMMYFUNCTION("IMPORTRANGE(""https://docs.google.com/spreadsheets/d/11923uPwbBZFjjGgGUA6NLw09EwE0CqkOc4q9oUmW1yo/edit?usp=sharing"",""เชียงใหม่!I235"")"),1060)</f>
        <v>1060</v>
      </c>
      <c r="J340" s="187">
        <f ca="1">IFERROR(__xludf.DUMMYFUNCTION("IMPORTRANGE(""https://docs.google.com/spreadsheets/d/11923uPwbBZFjjGgGUA6NLw09EwE0CqkOc4q9oUmW1yo/edit?usp=sharing"",""เชียงใหม่!J235"")"),126.05)</f>
        <v>126.05</v>
      </c>
      <c r="K340" s="340">
        <f t="shared" ca="1" si="103"/>
        <v>11.891509433962264</v>
      </c>
      <c r="L340" s="181"/>
      <c r="M340" s="181"/>
      <c r="N340" s="181"/>
      <c r="O340" s="341"/>
      <c r="P340" s="341"/>
    </row>
    <row r="341" spans="1:16" ht="21.75" customHeight="1" x14ac:dyDescent="0.3">
      <c r="A341" s="175"/>
      <c r="B341" s="289"/>
      <c r="C341" s="176"/>
      <c r="D341" s="195"/>
      <c r="E341" s="194" t="s">
        <v>123</v>
      </c>
      <c r="F341" s="195"/>
      <c r="G341" s="196"/>
      <c r="H341" s="180" t="s">
        <v>37</v>
      </c>
      <c r="I341" s="187">
        <f ca="1">IFERROR(__xludf.DUMMYFUNCTION("IMPORTRANGE(""https://docs.google.com/spreadsheets/d/11923uPwbBZFjjGgGUA6NLw09EwE0CqkOc4q9oUmW1yo/edit?usp=sharing"",""เชียงใหม่!I236"")"),315)</f>
        <v>315</v>
      </c>
      <c r="J341" s="187">
        <f ca="1">IFERROR(__xludf.DUMMYFUNCTION("IMPORTRANGE(""https://docs.google.com/spreadsheets/d/11923uPwbBZFjjGgGUA6NLw09EwE0CqkOc4q9oUmW1yo/edit?usp=sharing"",""เชียงใหม่!J236"")"),83)</f>
        <v>83</v>
      </c>
      <c r="K341" s="340">
        <f t="shared" ca="1" si="103"/>
        <v>26.349206349206348</v>
      </c>
      <c r="L341" s="181"/>
      <c r="M341" s="181"/>
      <c r="N341" s="181"/>
      <c r="O341" s="341"/>
      <c r="P341" s="341"/>
    </row>
    <row r="342" spans="1:16" ht="21.75" customHeight="1" x14ac:dyDescent="0.3">
      <c r="A342" s="175"/>
      <c r="B342" s="289"/>
      <c r="C342" s="176"/>
      <c r="D342" s="195"/>
      <c r="E342" s="195"/>
      <c r="F342" s="195"/>
      <c r="G342" s="196"/>
      <c r="H342" s="180" t="s">
        <v>122</v>
      </c>
      <c r="I342" s="343">
        <f ca="1">IFERROR(__xludf.DUMMYFUNCTION("IMPORTRANGE(""https://docs.google.com/spreadsheets/d/11923uPwbBZFjjGgGUA6NLw09EwE0CqkOc4q9oUmW1yo/edit?usp=sharing"",""เชียงใหม่!I237"")"),0)</f>
        <v>0</v>
      </c>
      <c r="J342" s="187">
        <f ca="1">IFERROR(__xludf.DUMMYFUNCTION("IMPORTRANGE(""https://docs.google.com/spreadsheets/d/11923uPwbBZFjjGgGUA6NLw09EwE0CqkOc4q9oUmW1yo/edit?usp=sharing"",""เชียงใหม่!J237"")"),353.01)</f>
        <v>353.01</v>
      </c>
      <c r="K342" s="340">
        <f t="shared" ca="1" si="103"/>
        <v>0</v>
      </c>
      <c r="L342" s="181"/>
      <c r="M342" s="181"/>
      <c r="N342" s="181"/>
      <c r="O342" s="341"/>
      <c r="P342" s="341"/>
    </row>
    <row r="343" spans="1:16" ht="21.75" customHeight="1" x14ac:dyDescent="0.3">
      <c r="A343" s="175"/>
      <c r="B343" s="289"/>
      <c r="C343" s="176"/>
      <c r="D343" s="195"/>
      <c r="E343" s="194" t="s">
        <v>124</v>
      </c>
      <c r="F343" s="195"/>
      <c r="G343" s="196"/>
      <c r="H343" s="180" t="s">
        <v>37</v>
      </c>
      <c r="I343" s="187">
        <f ca="1">IFERROR(__xludf.DUMMYFUNCTION("IMPORTRANGE(""https://docs.google.com/spreadsheets/d/11923uPwbBZFjjGgGUA6NLw09EwE0CqkOc4q9oUmW1yo/edit?usp=sharing"",""เชียงใหม่!I238"")"),315)</f>
        <v>315</v>
      </c>
      <c r="J343" s="187">
        <f ca="1">IFERROR(__xludf.DUMMYFUNCTION("IMPORTRANGE(""https://docs.google.com/spreadsheets/d/11923uPwbBZFjjGgGUA6NLw09EwE0CqkOc4q9oUmW1yo/edit?usp=sharing"",""เชียงใหม่!J238"")"),0)</f>
        <v>0</v>
      </c>
      <c r="K343" s="340">
        <f t="shared" ca="1" si="103"/>
        <v>0</v>
      </c>
      <c r="L343" s="181"/>
      <c r="M343" s="181"/>
      <c r="N343" s="181"/>
      <c r="O343" s="341"/>
      <c r="P343" s="341"/>
    </row>
    <row r="344" spans="1:16" ht="21.75" customHeight="1" x14ac:dyDescent="0.3">
      <c r="A344" s="175"/>
      <c r="B344" s="289"/>
      <c r="C344" s="176"/>
      <c r="D344" s="195"/>
      <c r="E344" s="195"/>
      <c r="F344" s="195"/>
      <c r="G344" s="196"/>
      <c r="H344" s="180" t="s">
        <v>122</v>
      </c>
      <c r="I344" s="343">
        <f ca="1">IFERROR(__xludf.DUMMYFUNCTION("IMPORTRANGE(""https://docs.google.com/spreadsheets/d/11923uPwbBZFjjGgGUA6NLw09EwE0CqkOc4q9oUmW1yo/edit?usp=sharing"",""เชียงใหม่!I239"")"),0)</f>
        <v>0</v>
      </c>
      <c r="J344" s="187">
        <f ca="1">IFERROR(__xludf.DUMMYFUNCTION("IMPORTRANGE(""https://docs.google.com/spreadsheets/d/11923uPwbBZFjjGgGUA6NLw09EwE0CqkOc4q9oUmW1yo/edit?usp=sharing"",""เชียงใหม่!J239"")"),0)</f>
        <v>0</v>
      </c>
      <c r="K344" s="340">
        <f t="shared" ca="1" si="103"/>
        <v>0</v>
      </c>
      <c r="L344" s="181"/>
      <c r="M344" s="181"/>
      <c r="N344" s="181"/>
      <c r="O344" s="341"/>
      <c r="P344" s="341"/>
    </row>
    <row r="345" spans="1:16" ht="21.75" customHeight="1" x14ac:dyDescent="0.3">
      <c r="A345" s="175"/>
      <c r="B345" s="289"/>
      <c r="C345" s="176"/>
      <c r="D345" s="195"/>
      <c r="E345" s="194" t="s">
        <v>125</v>
      </c>
      <c r="F345" s="195"/>
      <c r="G345" s="196"/>
      <c r="H345" s="180" t="s">
        <v>37</v>
      </c>
      <c r="I345" s="187">
        <f ca="1">IFERROR(__xludf.DUMMYFUNCTION("IMPORTRANGE(""https://docs.google.com/spreadsheets/d/11923uPwbBZFjjGgGUA6NLw09EwE0CqkOc4q9oUmW1yo/edit?usp=sharing"",""เชียงใหม่!I240"")"),315)</f>
        <v>315</v>
      </c>
      <c r="J345" s="187">
        <f ca="1">IFERROR(__xludf.DUMMYFUNCTION("IMPORTRANGE(""https://docs.google.com/spreadsheets/d/11923uPwbBZFjjGgGUA6NLw09EwE0CqkOc4q9oUmW1yo/edit?usp=sharing"",""เชียงใหม่!J240"")"),33)</f>
        <v>33</v>
      </c>
      <c r="K345" s="340">
        <f t="shared" ca="1" si="103"/>
        <v>10.476190476190476</v>
      </c>
      <c r="L345" s="181"/>
      <c r="M345" s="181"/>
      <c r="N345" s="181"/>
      <c r="O345" s="341"/>
      <c r="P345" s="341"/>
    </row>
    <row r="346" spans="1:16" ht="21.75" customHeight="1" x14ac:dyDescent="0.3">
      <c r="A346" s="233"/>
      <c r="B346" s="344"/>
      <c r="C346" s="234"/>
      <c r="D346" s="344"/>
      <c r="E346" s="345"/>
      <c r="F346" s="345"/>
      <c r="G346" s="346"/>
      <c r="H346" s="347" t="s">
        <v>122</v>
      </c>
      <c r="I346" s="348">
        <f ca="1">IFERROR(__xludf.DUMMYFUNCTION("IMPORTRANGE(""https://docs.google.com/spreadsheets/d/11923uPwbBZFjjGgGUA6NLw09EwE0CqkOc4q9oUmW1yo/edit?usp=sharing"",""เชียงใหม่!I241"")"),0)</f>
        <v>0</v>
      </c>
      <c r="J346" s="187">
        <f ca="1">IFERROR(__xludf.DUMMYFUNCTION("IMPORTRANGE(""https://docs.google.com/spreadsheets/d/11923uPwbBZFjjGgGUA6NLw09EwE0CqkOc4q9oUmW1yo/edit?usp=sharing"",""เชียงใหม่!J241"")"),190.1)</f>
        <v>190.1</v>
      </c>
      <c r="K346" s="349">
        <f t="shared" ca="1" si="103"/>
        <v>0</v>
      </c>
      <c r="L346" s="244"/>
      <c r="M346" s="244"/>
      <c r="N346" s="244"/>
      <c r="O346" s="350"/>
      <c r="P346" s="350"/>
    </row>
    <row r="347" spans="1:16" ht="21.75" customHeight="1" x14ac:dyDescent="0.3">
      <c r="A347" s="351" t="s">
        <v>126</v>
      </c>
      <c r="B347" s="352"/>
      <c r="C347" s="352"/>
      <c r="D347" s="352"/>
      <c r="E347" s="352"/>
      <c r="F347" s="352"/>
      <c r="G347" s="353"/>
      <c r="H347" s="354"/>
      <c r="I347" s="355"/>
      <c r="J347" s="355"/>
      <c r="K347" s="356"/>
      <c r="L347" s="356">
        <f ca="1">IFERROR(__xludf.DUMMYFUNCTION("IMPORTRANGE(""https://docs.google.com/spreadsheets/d/11923uPwbBZFjjGgGUA6NLw09EwE0CqkOc4q9oUmW1yo/edit?usp=sharing"",""เชียงใหม่!L242"")"),2630279)</f>
        <v>2630279</v>
      </c>
      <c r="M347" s="356"/>
      <c r="N347" s="356">
        <f ca="1">IFERROR(__xludf.DUMMYFUNCTION("IMPORTRANGE(""https://docs.google.com/spreadsheets/d/11923uPwbBZFjjGgGUA6NLw09EwE0CqkOc4q9oUmW1yo/edit?usp=sharing"",""เชียงใหม่!M242"")"),590284.42)</f>
        <v>590284.42000000004</v>
      </c>
      <c r="O347" s="356">
        <f ca="1">+IF(L347&gt;0,N347*100/L347,0)</f>
        <v>22.441893806702637</v>
      </c>
      <c r="P347" s="356"/>
    </row>
    <row r="348" spans="1:16" ht="21.75" customHeight="1" x14ac:dyDescent="0.3">
      <c r="A348" s="357" t="s">
        <v>127</v>
      </c>
      <c r="B348" s="358"/>
      <c r="C348" s="358"/>
      <c r="D348" s="358"/>
      <c r="E348" s="358"/>
      <c r="F348" s="358"/>
      <c r="G348" s="359"/>
      <c r="H348" s="360"/>
      <c r="I348" s="361"/>
      <c r="J348" s="361"/>
      <c r="K348" s="362"/>
      <c r="L348" s="362"/>
      <c r="M348" s="362"/>
      <c r="N348" s="362"/>
      <c r="O348" s="363"/>
      <c r="P348" s="363"/>
    </row>
    <row r="349" spans="1:16" ht="21.75" customHeight="1" x14ac:dyDescent="0.3">
      <c r="A349" s="364"/>
      <c r="B349" s="365">
        <v>1</v>
      </c>
      <c r="C349" s="366" t="s">
        <v>128</v>
      </c>
      <c r="D349" s="366"/>
      <c r="E349" s="366"/>
      <c r="F349" s="366"/>
      <c r="G349" s="367"/>
      <c r="H349" s="368" t="s">
        <v>122</v>
      </c>
      <c r="I349" s="369">
        <f ca="1">IFERROR(__xludf.DUMMYFUNCTION("IMPORTRANGE(""https://docs.google.com/spreadsheets/d/11923uPwbBZFjjGgGUA6NLw09EwE0CqkOc4q9oUmW1yo/edit?usp=sharing"",""เชียงใหม่!I244"")"),100)</f>
        <v>100</v>
      </c>
      <c r="J349" s="369">
        <f ca="1">IFERROR(__xludf.DUMMYFUNCTION("IMPORTRANGE(""https://docs.google.com/spreadsheets/d/11923uPwbBZFjjGgGUA6NLw09EwE0CqkOc4q9oUmW1yo/edit?usp=sharing"",""เชียงใหม่!J244"")"),0)</f>
        <v>0</v>
      </c>
      <c r="K349" s="370">
        <f t="shared" ref="K349:K350" ca="1" si="104">IF(I349&gt;0,J349*100/I349,0)</f>
        <v>0</v>
      </c>
      <c r="L349" s="371">
        <f ca="1">IFERROR(__xludf.DUMMYFUNCTION("IMPORTRANGE(""https://docs.google.com/spreadsheets/d/11923uPwbBZFjjGgGUA6NLw09EwE0CqkOc4q9oUmW1yo/edit?usp=sharing"",""เชียงใหม่!L244"")"),317760)</f>
        <v>317760</v>
      </c>
      <c r="M349" s="371"/>
      <c r="N349" s="371">
        <f ca="1">IFERROR(__xludf.DUMMYFUNCTION("IMPORTRANGE(""https://docs.google.com/spreadsheets/d/11923uPwbBZFjjGgGUA6NLw09EwE0CqkOc4q9oUmW1yo/edit?usp=sharing"",""เชียงใหม่!M244"")"),108972.58)</f>
        <v>108972.58</v>
      </c>
      <c r="O349" s="371">
        <f ca="1">+IF(L349&gt;0,N349*100/L349,0)</f>
        <v>34.29398917421954</v>
      </c>
      <c r="P349" s="371"/>
    </row>
    <row r="350" spans="1:16" ht="21.75" customHeight="1" x14ac:dyDescent="0.3">
      <c r="A350" s="364"/>
      <c r="B350" s="365"/>
      <c r="C350" s="366"/>
      <c r="D350" s="366"/>
      <c r="E350" s="366"/>
      <c r="F350" s="366"/>
      <c r="G350" s="367"/>
      <c r="H350" s="368" t="s">
        <v>37</v>
      </c>
      <c r="I350" s="369">
        <f ca="1">IFERROR(__xludf.DUMMYFUNCTION("IMPORTRANGE(""https://docs.google.com/spreadsheets/d/11923uPwbBZFjjGgGUA6NLw09EwE0CqkOc4q9oUmW1yo/edit?usp=sharing"",""เชียงใหม่!I245"")"),40)</f>
        <v>40</v>
      </c>
      <c r="J350" s="369">
        <f ca="1">IFERROR(__xludf.DUMMYFUNCTION("IMPORTRANGE(""https://docs.google.com/spreadsheets/d/11923uPwbBZFjjGgGUA6NLw09EwE0CqkOc4q9oUmW1yo/edit?usp=sharing"",""เชียงใหม่!J245"")"),40)</f>
        <v>40</v>
      </c>
      <c r="K350" s="370">
        <f t="shared" ca="1" si="104"/>
        <v>100</v>
      </c>
      <c r="L350" s="371"/>
      <c r="M350" s="371"/>
      <c r="N350" s="371"/>
      <c r="O350" s="371"/>
      <c r="P350" s="371"/>
    </row>
    <row r="351" spans="1:16" ht="21.75" customHeight="1" x14ac:dyDescent="0.3">
      <c r="A351" s="156"/>
      <c r="B351" s="157"/>
      <c r="C351" s="157" t="s">
        <v>16</v>
      </c>
      <c r="D351" s="158" t="s">
        <v>38</v>
      </c>
      <c r="E351" s="159"/>
      <c r="F351" s="159"/>
      <c r="G351" s="160" t="s">
        <v>39</v>
      </c>
      <c r="H351" s="161" t="s">
        <v>12</v>
      </c>
      <c r="I351" s="162" t="s">
        <v>40</v>
      </c>
      <c r="J351" s="162"/>
      <c r="K351" s="163"/>
      <c r="L351" s="164">
        <f ca="1">IFERROR(__xludf.DUMMYFUNCTION("IMPORTRANGE(""https://docs.google.com/spreadsheets/d/11923uPwbBZFjjGgGUA6NLw09EwE0CqkOc4q9oUmW1yo/edit?usp=sharing"",""เชียงใหม่!L246"")"),0)</f>
        <v>0</v>
      </c>
      <c r="M351" s="164"/>
      <c r="N351" s="164">
        <f ca="1">IFERROR(__xludf.DUMMYFUNCTION("IMPORTRANGE(""https://docs.google.com/spreadsheets/d/11923uPwbBZFjjGgGUA6NLw09EwE0CqkOc4q9oUmW1yo/edit?usp=sharing"",""เชียงใหม่!M246"")"),0)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3">
      <c r="A352" s="156"/>
      <c r="B352" s="157"/>
      <c r="C352" s="157"/>
      <c r="D352" s="166"/>
      <c r="E352" s="159"/>
      <c r="F352" s="159" t="s">
        <v>40</v>
      </c>
      <c r="G352" s="160" t="s">
        <v>41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IFERROR(__xludf.DUMMYFUNCTION("IMPORTRANGE(""https://docs.google.com/spreadsheets/d/11923uPwbBZFjjGgGUA6NLw09EwE0CqkOc4q9oUmW1yo/edit?usp=sharing"",""เชียงใหม่!L247"")"),317760)</f>
        <v>317760</v>
      </c>
      <c r="M352" s="165"/>
      <c r="N352" s="164">
        <f ca="1">IFERROR(__xludf.DUMMYFUNCTION("IMPORTRANGE(""https://docs.google.com/spreadsheets/d/11923uPwbBZFjjGgGUA6NLw09EwE0CqkOc4q9oUmW1yo/edit?usp=sharing"",""เชียงใหม่!M247"")"),108972.58)</f>
        <v>108972.58</v>
      </c>
      <c r="O352" s="165">
        <f t="shared" ca="1" si="105"/>
        <v>34.29398917421954</v>
      </c>
      <c r="P352" s="165"/>
    </row>
    <row r="353" spans="1:16" ht="21.75" customHeight="1" x14ac:dyDescent="0.3">
      <c r="A353" s="156"/>
      <c r="B353" s="157"/>
      <c r="C353" s="157"/>
      <c r="D353" s="166"/>
      <c r="E353" s="159"/>
      <c r="F353" s="159"/>
      <c r="G353" s="372" t="s">
        <v>129</v>
      </c>
      <c r="H353" s="161" t="s">
        <v>12</v>
      </c>
      <c r="I353" s="162"/>
      <c r="J353" s="162"/>
      <c r="K353" s="163"/>
      <c r="L353" s="168">
        <f ca="1">IFERROR(__xludf.DUMMYFUNCTION("IMPORTRANGE(""https://docs.google.com/spreadsheets/d/11923uPwbBZFjjGgGUA6NLw09EwE0CqkOc4q9oUmW1yo/edit?usp=sharing"",""เชียงใหม่!L248"")"),0)</f>
        <v>0</v>
      </c>
      <c r="M353" s="168"/>
      <c r="N353" s="168">
        <f ca="1">IFERROR(__xludf.DUMMYFUNCTION("IMPORTRANGE(""https://docs.google.com/spreadsheets/d/11923uPwbBZFjjGgGUA6NLw09EwE0CqkOc4q9oUmW1yo/edit?usp=sharing"",""เชียงใหม่!M248"")"),0)</f>
        <v>0</v>
      </c>
      <c r="O353" s="168">
        <f t="shared" ca="1" si="105"/>
        <v>0</v>
      </c>
      <c r="P353" s="168"/>
    </row>
    <row r="354" spans="1:16" ht="21.75" customHeight="1" x14ac:dyDescent="0.3">
      <c r="A354" s="156"/>
      <c r="B354" s="157"/>
      <c r="C354" s="157"/>
      <c r="D354" s="166"/>
      <c r="E354" s="159"/>
      <c r="F354" s="159"/>
      <c r="G354" s="372" t="s">
        <v>130</v>
      </c>
      <c r="H354" s="161" t="s">
        <v>12</v>
      </c>
      <c r="I354" s="162"/>
      <c r="J354" s="162"/>
      <c r="K354" s="163"/>
      <c r="L354" s="168">
        <f ca="1">IFERROR(__xludf.DUMMYFUNCTION("IMPORTRANGE(""https://docs.google.com/spreadsheets/d/11923uPwbBZFjjGgGUA6NLw09EwE0CqkOc4q9oUmW1yo/edit?usp=sharing"",""เชียงใหม่!L249"")"),317760)</f>
        <v>317760</v>
      </c>
      <c r="M354" s="168"/>
      <c r="N354" s="167">
        <f ca="1">IFERROR(__xludf.DUMMYFUNCTION("IMPORTRANGE(""https://docs.google.com/spreadsheets/d/11923uPwbBZFjjGgGUA6NLw09EwE0CqkOc4q9oUmW1yo/edit?usp=sharing"",""เชียงใหม่!M249"")"),108972.58)</f>
        <v>108972.58</v>
      </c>
      <c r="O354" s="168">
        <f t="shared" ca="1" si="105"/>
        <v>34.29398917421954</v>
      </c>
      <c r="P354" s="168"/>
    </row>
    <row r="355" spans="1:16" ht="21.75" customHeight="1" x14ac:dyDescent="0.3">
      <c r="A355" s="373"/>
      <c r="B355" s="374"/>
      <c r="C355" s="157"/>
      <c r="D355" s="375"/>
      <c r="E355" s="159"/>
      <c r="F355" s="159"/>
      <c r="G355" s="376" t="s">
        <v>131</v>
      </c>
      <c r="H355" s="161" t="s">
        <v>12</v>
      </c>
      <c r="I355" s="187"/>
      <c r="J355" s="187"/>
      <c r="K355" s="223"/>
      <c r="L355" s="168"/>
      <c r="M355" s="168"/>
      <c r="N355" s="377">
        <f ca="1">IFERROR(__xludf.DUMMYFUNCTION("IMPORTRANGE(""https://docs.google.com/spreadsheets/d/11923uPwbBZFjjGgGUA6NLw09EwE0CqkOc4q9oUmW1yo/edit?usp=sharing"",""เชียงใหม่!M250"")"),50400)</f>
        <v>50400</v>
      </c>
      <c r="O355" s="168"/>
      <c r="P355" s="168"/>
    </row>
    <row r="356" spans="1:16" ht="21.75" customHeight="1" x14ac:dyDescent="0.3">
      <c r="A356" s="373"/>
      <c r="B356" s="374"/>
      <c r="C356" s="157"/>
      <c r="D356" s="375"/>
      <c r="E356" s="159"/>
      <c r="F356" s="159"/>
      <c r="G356" s="376" t="s">
        <v>132</v>
      </c>
      <c r="H356" s="161" t="s">
        <v>12</v>
      </c>
      <c r="I356" s="187"/>
      <c r="J356" s="187"/>
      <c r="K356" s="223"/>
      <c r="L356" s="168"/>
      <c r="M356" s="168"/>
      <c r="N356" s="377">
        <f ca="1">IFERROR(__xludf.DUMMYFUNCTION("IMPORTRANGE(""https://docs.google.com/spreadsheets/d/11923uPwbBZFjjGgGUA6NLw09EwE0CqkOc4q9oUmW1yo/edit?usp=sharing"",""เชียงใหม่!M251"")"),0)</f>
        <v>0</v>
      </c>
      <c r="O356" s="168"/>
      <c r="P356" s="168"/>
    </row>
    <row r="357" spans="1:16" ht="21.75" customHeight="1" x14ac:dyDescent="0.3">
      <c r="A357" s="373"/>
      <c r="B357" s="374"/>
      <c r="C357" s="157"/>
      <c r="D357" s="375"/>
      <c r="E357" s="159"/>
      <c r="F357" s="159"/>
      <c r="G357" s="376" t="s">
        <v>133</v>
      </c>
      <c r="H357" s="161" t="s">
        <v>12</v>
      </c>
      <c r="I357" s="187"/>
      <c r="J357" s="187"/>
      <c r="K357" s="223"/>
      <c r="L357" s="168"/>
      <c r="M357" s="168"/>
      <c r="N357" s="377">
        <f ca="1">IFERROR(__xludf.DUMMYFUNCTION("IMPORTRANGE(""https://docs.google.com/spreadsheets/d/11923uPwbBZFjjGgGUA6NLw09EwE0CqkOc4q9oUmW1yo/edit?usp=sharing"",""เชียงใหม่!M252"")"),53225.58)</f>
        <v>53225.58</v>
      </c>
      <c r="O357" s="168"/>
      <c r="P357" s="168"/>
    </row>
    <row r="358" spans="1:16" ht="21.75" customHeight="1" x14ac:dyDescent="0.3">
      <c r="A358" s="373"/>
      <c r="B358" s="374"/>
      <c r="C358" s="157"/>
      <c r="D358" s="375"/>
      <c r="E358" s="159"/>
      <c r="F358" s="159"/>
      <c r="G358" s="376" t="s">
        <v>134</v>
      </c>
      <c r="H358" s="161" t="s">
        <v>12</v>
      </c>
      <c r="I358" s="187"/>
      <c r="J358" s="187"/>
      <c r="K358" s="223"/>
      <c r="L358" s="168"/>
      <c r="M358" s="168"/>
      <c r="N358" s="377">
        <f ca="1">IFERROR(__xludf.DUMMYFUNCTION("IMPORTRANGE(""https://docs.google.com/spreadsheets/d/11923uPwbBZFjjGgGUA6NLw09EwE0CqkOc4q9oUmW1yo/edit?usp=sharing"",""เชียงใหม่!M253"")"),5347)</f>
        <v>5347</v>
      </c>
      <c r="O358" s="168"/>
      <c r="P358" s="168"/>
    </row>
    <row r="359" spans="1:16" ht="21.75" customHeight="1" x14ac:dyDescent="0.3">
      <c r="A359" s="175"/>
      <c r="B359" s="176"/>
      <c r="C359" s="157" t="s">
        <v>16</v>
      </c>
      <c r="D359" s="177" t="s">
        <v>44</v>
      </c>
      <c r="E359" s="178"/>
      <c r="F359" s="178"/>
      <c r="G359" s="179"/>
      <c r="H359" s="180"/>
      <c r="I359" s="162"/>
      <c r="J359" s="162"/>
      <c r="K359" s="163"/>
      <c r="L359" s="181"/>
      <c r="M359" s="181"/>
      <c r="N359" s="181"/>
      <c r="O359" s="181"/>
      <c r="P359" s="181"/>
    </row>
    <row r="360" spans="1:16" ht="21.75" customHeight="1" x14ac:dyDescent="0.3">
      <c r="A360" s="175"/>
      <c r="B360" s="176"/>
      <c r="C360" s="176"/>
      <c r="D360" s="182">
        <v>1</v>
      </c>
      <c r="E360" s="183" t="s">
        <v>45</v>
      </c>
      <c r="F360" s="184"/>
      <c r="G360" s="185"/>
      <c r="H360" s="186"/>
      <c r="I360" s="187"/>
      <c r="J360" s="197">
        <f ca="1">IFERROR(__xludf.DUMMYFUNCTION("IMPORTRANGE(""https://docs.google.com/spreadsheets/d/11923uPwbBZFjjGgGUA6NLw09EwE0CqkOc4q9oUmW1yo/edit?usp=sharing"",""เชียงใหม่!J255"")"),0)</f>
        <v>0</v>
      </c>
      <c r="K360" s="163"/>
      <c r="L360" s="181"/>
      <c r="M360" s="181"/>
      <c r="N360" s="181"/>
      <c r="O360" s="181"/>
      <c r="P360" s="181"/>
    </row>
    <row r="361" spans="1:16" ht="21.75" customHeight="1" x14ac:dyDescent="0.3">
      <c r="A361" s="175"/>
      <c r="B361" s="176"/>
      <c r="C361" s="176"/>
      <c r="D361" s="189">
        <v>2</v>
      </c>
      <c r="E361" s="190" t="s">
        <v>46</v>
      </c>
      <c r="F361" s="191"/>
      <c r="G361" s="192"/>
      <c r="H361" s="186"/>
      <c r="I361" s="187"/>
      <c r="J361" s="188">
        <f ca="1">IFERROR(__xludf.DUMMYFUNCTION("IMPORTRANGE(""https://docs.google.com/spreadsheets/d/11923uPwbBZFjjGgGUA6NLw09EwE0CqkOc4q9oUmW1yo/edit?usp=sharing"",""เชียงใหม่!J256"")"),1)</f>
        <v>1</v>
      </c>
      <c r="K361" s="163"/>
      <c r="L361" s="181" t="s">
        <v>40</v>
      </c>
      <c r="M361" s="181"/>
      <c r="N361" s="181" t="s">
        <v>40</v>
      </c>
      <c r="O361" s="181"/>
      <c r="P361" s="181"/>
    </row>
    <row r="362" spans="1:16" ht="21.75" customHeight="1" x14ac:dyDescent="0.3">
      <c r="A362" s="175"/>
      <c r="B362" s="176"/>
      <c r="C362" s="176"/>
      <c r="D362" s="193"/>
      <c r="E362" s="194" t="s">
        <v>47</v>
      </c>
      <c r="F362" s="195"/>
      <c r="G362" s="196"/>
      <c r="H362" s="186"/>
      <c r="I362" s="187"/>
      <c r="J362" s="188">
        <f ca="1">IFERROR(__xludf.DUMMYFUNCTION("IMPORTRANGE(""https://docs.google.com/spreadsheets/d/11923uPwbBZFjjGgGUA6NLw09EwE0CqkOc4q9oUmW1yo/edit?usp=sharing"",""เชียงใหม่!J257"")"),1)</f>
        <v>1</v>
      </c>
      <c r="K362" s="163"/>
      <c r="L362" s="181"/>
      <c r="M362" s="181"/>
      <c r="N362" s="181"/>
      <c r="O362" s="181"/>
      <c r="P362" s="181"/>
    </row>
    <row r="363" spans="1:16" ht="21.75" customHeight="1" x14ac:dyDescent="0.3">
      <c r="A363" s="175"/>
      <c r="B363" s="176"/>
      <c r="C363" s="176"/>
      <c r="D363" s="193"/>
      <c r="E363" s="194" t="s">
        <v>48</v>
      </c>
      <c r="F363" s="195"/>
      <c r="G363" s="196"/>
      <c r="H363" s="186"/>
      <c r="I363" s="187"/>
      <c r="J363" s="197">
        <f ca="1">IFERROR(__xludf.DUMMYFUNCTION("IMPORTRANGE(""https://docs.google.com/spreadsheets/d/11923uPwbBZFjjGgGUA6NLw09EwE0CqkOc4q9oUmW1yo/edit?usp=sharing"",""เชียงใหม่!J258"")"),1)</f>
        <v>1</v>
      </c>
      <c r="K363" s="163"/>
      <c r="L363" s="181"/>
      <c r="M363" s="181"/>
      <c r="N363" s="181"/>
      <c r="O363" s="181"/>
      <c r="P363" s="181"/>
    </row>
    <row r="364" spans="1:16" ht="21.75" hidden="1" customHeight="1" x14ac:dyDescent="0.3">
      <c r="A364" s="175"/>
      <c r="B364" s="176"/>
      <c r="C364" s="176"/>
      <c r="D364" s="193"/>
      <c r="E364" s="198"/>
      <c r="F364" s="194" t="s">
        <v>70</v>
      </c>
      <c r="G364" s="196"/>
      <c r="H364" s="180"/>
      <c r="I364" s="187"/>
      <c r="J364" s="187">
        <f ca="1">IFERROR(__xludf.DUMMYFUNCTION("IMPORTRANGE(""https://docs.google.com/spreadsheets/d/11923uPwbBZFjjGgGUA6NLw09EwE0CqkOc4q9oUmW1yo/edit?usp=sharing"",""เชียงใหม่!J166"")"),0)</f>
        <v>0</v>
      </c>
      <c r="K364" s="163"/>
      <c r="L364" s="181"/>
      <c r="M364" s="181"/>
      <c r="N364" s="181"/>
      <c r="O364" s="181"/>
      <c r="P364" s="181"/>
    </row>
    <row r="365" spans="1:16" ht="21.75" hidden="1" customHeight="1" x14ac:dyDescent="0.3">
      <c r="A365" s="175"/>
      <c r="B365" s="176"/>
      <c r="C365" s="176"/>
      <c r="D365" s="193"/>
      <c r="E365" s="198"/>
      <c r="F365" s="195"/>
      <c r="G365" s="225" t="s">
        <v>135</v>
      </c>
      <c r="H365" s="180" t="s">
        <v>37</v>
      </c>
      <c r="I365" s="187">
        <f ca="1">IFERROR(__xludf.DUMMYFUNCTION("IMPORTRANGE(""https://docs.google.com/spreadsheets/d/1C3CXT74ZlgGe6_JY_1olB1XN4rF0dxEuIIF-xsYjHgg/edit?usp=sharing"",""งบกองทุน!f63"")"),0)</f>
        <v>0</v>
      </c>
      <c r="J365" s="187">
        <f ca="1">IFERROR(__xludf.DUMMYFUNCTION("IMPORTRANGE(""https://docs.google.com/spreadsheets/d/11923uPwbBZFjjGgGUA6NLw09EwE0CqkOc4q9oUmW1yo/edit?usp=sharing"",""เชียงใหม่!J166"")"),0)</f>
        <v>0</v>
      </c>
      <c r="K365" s="163">
        <f ca="1">IF(I365&gt;0,J365*100/I365,0)</f>
        <v>0</v>
      </c>
      <c r="L365" s="181"/>
      <c r="M365" s="181"/>
      <c r="N365" s="181"/>
      <c r="O365" s="181"/>
      <c r="P365" s="181"/>
    </row>
    <row r="366" spans="1:16" ht="21.75" hidden="1" customHeight="1" x14ac:dyDescent="0.3">
      <c r="A366" s="175"/>
      <c r="B366" s="176"/>
      <c r="C366" s="176"/>
      <c r="D366" s="193"/>
      <c r="E366" s="198"/>
      <c r="F366" s="195"/>
      <c r="G366" s="196" t="s">
        <v>136</v>
      </c>
      <c r="H366" s="180"/>
      <c r="I366" s="162"/>
      <c r="J366" s="187">
        <f ca="1">IFERROR(__xludf.DUMMYFUNCTION("IMPORTRANGE(""https://docs.google.com/spreadsheets/d/11923uPwbBZFjjGgGUA6NLw09EwE0CqkOc4q9oUmW1yo/edit?usp=sharing"",""เชียงใหม่!J166"")"),0)</f>
        <v>0</v>
      </c>
      <c r="K366" s="163"/>
      <c r="L366" s="181"/>
      <c r="M366" s="181"/>
      <c r="N366" s="181"/>
      <c r="O366" s="181"/>
      <c r="P366" s="181"/>
    </row>
    <row r="367" spans="1:16" ht="21.75" hidden="1" customHeight="1" x14ac:dyDescent="0.3">
      <c r="A367" s="175"/>
      <c r="B367" s="176"/>
      <c r="C367" s="176"/>
      <c r="D367" s="193"/>
      <c r="E367" s="198"/>
      <c r="F367" s="195"/>
      <c r="G367" s="225" t="s">
        <v>137</v>
      </c>
      <c r="H367" s="186" t="s">
        <v>122</v>
      </c>
      <c r="I367" s="187">
        <f ca="1">SUM(I369,I371)</f>
        <v>0</v>
      </c>
      <c r="J367" s="187">
        <f ca="1">IFERROR(__xludf.DUMMYFUNCTION("IMPORTRANGE(""https://docs.google.com/spreadsheets/d/11923uPwbBZFjjGgGUA6NLw09EwE0CqkOc4q9oUmW1yo/edit?usp=sharing"",""เชียงใหม่!J166"")"),0)</f>
        <v>0</v>
      </c>
      <c r="K367" s="163">
        <f t="shared" ref="K367:K373" ca="1" si="106">IF(I367&gt;0,J367*100/I367,0)</f>
        <v>0</v>
      </c>
      <c r="L367" s="181"/>
      <c r="M367" s="181"/>
      <c r="N367" s="181"/>
      <c r="O367" s="181"/>
      <c r="P367" s="181"/>
    </row>
    <row r="368" spans="1:16" ht="21.75" customHeight="1" x14ac:dyDescent="0.3">
      <c r="A368" s="175"/>
      <c r="B368" s="176"/>
      <c r="C368" s="176"/>
      <c r="D368" s="193"/>
      <c r="E368" s="198"/>
      <c r="F368" s="378" t="s">
        <v>138</v>
      </c>
      <c r="G368" s="379"/>
      <c r="H368" s="186" t="s">
        <v>37</v>
      </c>
      <c r="I368" s="162">
        <f ca="1">IFERROR(__xludf.DUMMYFUNCTION("IMPORTRANGE(""https://docs.google.com/spreadsheets/d/11923uPwbBZFjjGgGUA6NLw09EwE0CqkOc4q9oUmW1yo/edit?usp=sharing"",""เชียงใหม่!I263"")"),40)</f>
        <v>40</v>
      </c>
      <c r="J368" s="187">
        <f ca="1">IFERROR(__xludf.DUMMYFUNCTION("IMPORTRANGE(""https://docs.google.com/spreadsheets/d/11923uPwbBZFjjGgGUA6NLw09EwE0CqkOc4q9oUmW1yo/edit?usp=sharing"",""เชียงใหม่!J263"")"),40)</f>
        <v>40</v>
      </c>
      <c r="K368" s="163">
        <f t="shared" ca="1" si="106"/>
        <v>100</v>
      </c>
      <c r="L368" s="181"/>
      <c r="M368" s="181"/>
      <c r="N368" s="181"/>
      <c r="O368" s="181"/>
      <c r="P368" s="181"/>
    </row>
    <row r="369" spans="1:16" ht="21.75" hidden="1" customHeight="1" x14ac:dyDescent="0.3">
      <c r="A369" s="175"/>
      <c r="B369" s="176"/>
      <c r="C369" s="176"/>
      <c r="D369" s="193"/>
      <c r="E369" s="198"/>
      <c r="F369" s="195"/>
      <c r="G369" s="379"/>
      <c r="H369" s="180" t="s">
        <v>122</v>
      </c>
      <c r="I369" s="162">
        <f ca="1">IFERROR(__xludf.DUMMYFUNCTION("IMPORTRANGE(""https://docs.google.com/spreadsheets/d/11923uPwbBZFjjGgGUA6NLw09EwE0CqkOc4q9oUmW1yo/edit?usp=sharing"",""เชียงใหม่!I164"")"),0)</f>
        <v>0</v>
      </c>
      <c r="J369" s="203">
        <f ca="1">IFERROR(__xludf.DUMMYFUNCTION("IMPORTRANGE(""https://docs.google.com/spreadsheets/d/11923uPwbBZFjjGgGUA6NLw09EwE0CqkOc4q9oUmW1yo/edit?usp=sharing"",""เชียงใหม่!J164"")"),0)</f>
        <v>0</v>
      </c>
      <c r="K369" s="163">
        <f t="shared" ca="1" si="106"/>
        <v>0</v>
      </c>
      <c r="L369" s="181"/>
      <c r="M369" s="181"/>
      <c r="N369" s="181"/>
      <c r="O369" s="181"/>
      <c r="P369" s="181"/>
    </row>
    <row r="370" spans="1:16" ht="21.75" customHeight="1" x14ac:dyDescent="0.3">
      <c r="A370" s="175"/>
      <c r="B370" s="176"/>
      <c r="C370" s="176"/>
      <c r="D370" s="193"/>
      <c r="E370" s="198"/>
      <c r="F370" s="195"/>
      <c r="G370" s="378" t="s">
        <v>139</v>
      </c>
      <c r="H370" s="180" t="s">
        <v>37</v>
      </c>
      <c r="I370" s="162">
        <f ca="1">IFERROR(__xludf.DUMMYFUNCTION("IMPORTRANGE(""https://docs.google.com/spreadsheets/d/11923uPwbBZFjjGgGUA6NLw09EwE0CqkOc4q9oUmW1yo/edit?usp=sharing"",""เชียงใหม่!I265"")"),40)</f>
        <v>40</v>
      </c>
      <c r="J370" s="203">
        <f ca="1">IFERROR(__xludf.DUMMYFUNCTION("IMPORTRANGE(""https://docs.google.com/spreadsheets/d/11923uPwbBZFjjGgGUA6NLw09EwE0CqkOc4q9oUmW1yo/edit?usp=sharing"",""เชียงใหม่!J265"")"),40)</f>
        <v>40</v>
      </c>
      <c r="K370" s="163">
        <f t="shared" ca="1" si="106"/>
        <v>100</v>
      </c>
      <c r="L370" s="181"/>
      <c r="M370" s="181"/>
      <c r="N370" s="181"/>
      <c r="O370" s="181"/>
      <c r="P370" s="181"/>
    </row>
    <row r="371" spans="1:16" ht="21.75" hidden="1" customHeight="1" x14ac:dyDescent="0.3">
      <c r="A371" s="175"/>
      <c r="B371" s="176"/>
      <c r="C371" s="176"/>
      <c r="D371" s="193"/>
      <c r="E371" s="198"/>
      <c r="F371" s="195"/>
      <c r="G371" s="379"/>
      <c r="H371" s="180" t="s">
        <v>122</v>
      </c>
      <c r="I371" s="162">
        <f ca="1">IFERROR(__xludf.DUMMYFUNCTION("IMPORTRANGE(""https://docs.google.com/spreadsheets/d/11923uPwbBZFjjGgGUA6NLw09EwE0CqkOc4q9oUmW1yo/edit?usp=sharing"",""เชียงใหม่!I164"")"),0)</f>
        <v>0</v>
      </c>
      <c r="J371" s="188">
        <f ca="1">IFERROR(__xludf.DUMMYFUNCTION("IMPORTRANGE(""https://docs.google.com/spreadsheets/d/11923uPwbBZFjjGgGUA6NLw09EwE0CqkOc4q9oUmW1yo/edit?usp=sharing"",""เชียงใหม่!J164"")"),0)</f>
        <v>0</v>
      </c>
      <c r="K371" s="163">
        <f t="shared" ca="1" si="106"/>
        <v>0</v>
      </c>
      <c r="L371" s="181"/>
      <c r="M371" s="181"/>
      <c r="N371" s="181"/>
      <c r="O371" s="181"/>
      <c r="P371" s="181"/>
    </row>
    <row r="372" spans="1:16" ht="21.75" customHeight="1" x14ac:dyDescent="0.3">
      <c r="A372" s="175"/>
      <c r="B372" s="176"/>
      <c r="C372" s="176"/>
      <c r="D372" s="193"/>
      <c r="E372" s="198"/>
      <c r="F372" s="195"/>
      <c r="G372" s="378" t="s">
        <v>140</v>
      </c>
      <c r="H372" s="180" t="s">
        <v>37</v>
      </c>
      <c r="I372" s="162">
        <f ca="1">IFERROR(__xludf.DUMMYFUNCTION("IMPORTRANGE(""https://docs.google.com/spreadsheets/d/11923uPwbBZFjjGgGUA6NLw09EwE0CqkOc4q9oUmW1yo/edit?usp=sharing"",""เชียงใหม่!I267"")"),40)</f>
        <v>40</v>
      </c>
      <c r="J372" s="188">
        <f ca="1">IFERROR(__xludf.DUMMYFUNCTION("IMPORTRANGE(""https://docs.google.com/spreadsheets/d/11923uPwbBZFjjGgGUA6NLw09EwE0CqkOc4q9oUmW1yo/edit?usp=sharing"",""เชียงใหม่!J267"")"),40)</f>
        <v>40</v>
      </c>
      <c r="K372" s="163">
        <f t="shared" ca="1" si="106"/>
        <v>100</v>
      </c>
      <c r="L372" s="181"/>
      <c r="M372" s="181"/>
      <c r="N372" s="181"/>
      <c r="O372" s="181"/>
      <c r="P372" s="181"/>
    </row>
    <row r="373" spans="1:16" ht="21.75" hidden="1" customHeight="1" x14ac:dyDescent="0.3">
      <c r="A373" s="175"/>
      <c r="B373" s="176"/>
      <c r="C373" s="176"/>
      <c r="D373" s="193"/>
      <c r="E373" s="198"/>
      <c r="F373" s="195"/>
      <c r="G373" s="225" t="s">
        <v>141</v>
      </c>
      <c r="H373" s="180" t="s">
        <v>37</v>
      </c>
      <c r="I373" s="187">
        <f ca="1">IFERROR(__xludf.DUMMYFUNCTION("IMPORTRANGE(""https://docs.google.com/spreadsheets/d/11923uPwbBZFjjGgGUA6NLw09EwE0CqkOc4q9oUmW1yo/edit?usp=sharing"",""เชียงใหม่!I164"")"),0)</f>
        <v>0</v>
      </c>
      <c r="J373" s="203">
        <f ca="1">IFERROR(__xludf.DUMMYFUNCTION("IMPORTRANGE(""https://docs.google.com/spreadsheets/d/11923uPwbBZFjjGgGUA6NLw09EwE0CqkOc4q9oUmW1yo/edit?usp=sharing"",""เชียงใหม่!J164"")"),0)</f>
        <v>0</v>
      </c>
      <c r="K373" s="163">
        <f t="shared" ca="1" si="106"/>
        <v>0</v>
      </c>
      <c r="L373" s="181"/>
      <c r="M373" s="181"/>
      <c r="N373" s="181"/>
      <c r="O373" s="181"/>
      <c r="P373" s="181"/>
    </row>
    <row r="374" spans="1:16" ht="21.75" hidden="1" customHeight="1" x14ac:dyDescent="0.3">
      <c r="A374" s="175"/>
      <c r="B374" s="176"/>
      <c r="C374" s="176"/>
      <c r="D374" s="193"/>
      <c r="E374" s="198"/>
      <c r="F374" s="195"/>
      <c r="G374" s="196" t="s">
        <v>142</v>
      </c>
      <c r="H374" s="180"/>
      <c r="I374" s="187">
        <f ca="1">IFERROR(__xludf.DUMMYFUNCTION("IMPORTRANGE(""https://docs.google.com/spreadsheets/d/11923uPwbBZFjjGgGUA6NLw09EwE0CqkOc4q9oUmW1yo/edit?usp=sharing"",""เชียงใหม่!I164"")"),0)</f>
        <v>0</v>
      </c>
      <c r="J374" s="187">
        <f ca="1">IFERROR(__xludf.DUMMYFUNCTION("IMPORTRANGE(""https://docs.google.com/spreadsheets/d/11923uPwbBZFjjGgGUA6NLw09EwE0CqkOc4q9oUmW1yo/edit?usp=sharing"",""เชียงใหม่!J164"")"),0)</f>
        <v>0</v>
      </c>
      <c r="K374" s="163"/>
      <c r="L374" s="181"/>
      <c r="M374" s="181"/>
      <c r="N374" s="181"/>
      <c r="O374" s="181"/>
      <c r="P374" s="181"/>
    </row>
    <row r="375" spans="1:16" ht="21.75" customHeight="1" x14ac:dyDescent="0.3">
      <c r="A375" s="175"/>
      <c r="B375" s="176"/>
      <c r="C375" s="176"/>
      <c r="D375" s="193"/>
      <c r="E375" s="195"/>
      <c r="F375" s="204" t="s">
        <v>53</v>
      </c>
      <c r="G375" s="196"/>
      <c r="H375" s="278" t="s">
        <v>122</v>
      </c>
      <c r="I375" s="187">
        <f ca="1">IFERROR(__xludf.DUMMYFUNCTION("IMPORTRANGE(""https://docs.google.com/spreadsheets/d/11923uPwbBZFjjGgGUA6NLw09EwE0CqkOc4q9oUmW1yo/edit?usp=sharing"",""เชียงใหม่!I270"")"),100)</f>
        <v>100</v>
      </c>
      <c r="J375" s="187">
        <f ca="1">IFERROR(__xludf.DUMMYFUNCTION("IMPORTRANGE(""https://docs.google.com/spreadsheets/d/11923uPwbBZFjjGgGUA6NLw09EwE0CqkOc4q9oUmW1yo/edit?usp=sharing"",""เชียงใหม่!J270"")"),0)</f>
        <v>0</v>
      </c>
      <c r="K375" s="163">
        <f t="shared" ref="K375:K377" ca="1" si="107">IF(I375&gt;0,J375*100/I375,0)</f>
        <v>0</v>
      </c>
      <c r="L375" s="181"/>
      <c r="M375" s="181"/>
      <c r="N375" s="181"/>
      <c r="O375" s="181"/>
      <c r="P375" s="181"/>
    </row>
    <row r="376" spans="1:16" ht="21.75" customHeight="1" x14ac:dyDescent="0.3">
      <c r="A376" s="175"/>
      <c r="B376" s="176"/>
      <c r="C376" s="176"/>
      <c r="D376" s="193"/>
      <c r="E376" s="195"/>
      <c r="F376" s="195"/>
      <c r="G376" s="279" t="s">
        <v>143</v>
      </c>
      <c r="H376" s="278" t="s">
        <v>122</v>
      </c>
      <c r="I376" s="187">
        <f ca="1">IFERROR(__xludf.DUMMYFUNCTION("IMPORTRANGE(""https://docs.google.com/spreadsheets/d/11923uPwbBZFjjGgGUA6NLw09EwE0CqkOc4q9oUmW1yo/edit?usp=sharing"",""เชียงใหม่!I271"")"),32)</f>
        <v>32</v>
      </c>
      <c r="J376" s="188">
        <f ca="1">IFERROR(__xludf.DUMMYFUNCTION("IMPORTRANGE(""https://docs.google.com/spreadsheets/d/11923uPwbBZFjjGgGUA6NLw09EwE0CqkOc4q9oUmW1yo/edit?usp=sharing"",""เชียงใหม่!J271"")"),0)</f>
        <v>0</v>
      </c>
      <c r="K376" s="163">
        <f t="shared" ca="1" si="107"/>
        <v>0</v>
      </c>
      <c r="L376" s="181"/>
      <c r="M376" s="181"/>
      <c r="N376" s="181"/>
      <c r="O376" s="181"/>
      <c r="P376" s="181"/>
    </row>
    <row r="377" spans="1:16" ht="21.75" customHeight="1" x14ac:dyDescent="0.3">
      <c r="A377" s="175"/>
      <c r="B377" s="176"/>
      <c r="C377" s="176"/>
      <c r="D377" s="193"/>
      <c r="E377" s="195"/>
      <c r="F377" s="195"/>
      <c r="G377" s="279" t="s">
        <v>144</v>
      </c>
      <c r="H377" s="278" t="s">
        <v>122</v>
      </c>
      <c r="I377" s="187">
        <f ca="1">IFERROR(__xludf.DUMMYFUNCTION("IMPORTRANGE(""https://docs.google.com/spreadsheets/d/11923uPwbBZFjjGgGUA6NLw09EwE0CqkOc4q9oUmW1yo/edit?usp=sharing"",""เชียงใหม่!I272"")"),68)</f>
        <v>68</v>
      </c>
      <c r="J377" s="203">
        <f ca="1">IFERROR(__xludf.DUMMYFUNCTION("IMPORTRANGE(""https://docs.google.com/spreadsheets/d/11923uPwbBZFjjGgGUA6NLw09EwE0CqkOc4q9oUmW1yo/edit?usp=sharing"",""เชียงใหม่!J272"")"),0)</f>
        <v>0</v>
      </c>
      <c r="K377" s="163">
        <f t="shared" ca="1" si="107"/>
        <v>0</v>
      </c>
      <c r="L377" s="181"/>
      <c r="M377" s="181"/>
      <c r="N377" s="181"/>
      <c r="O377" s="181"/>
      <c r="P377" s="181"/>
    </row>
    <row r="378" spans="1:16" ht="21.75" customHeight="1" x14ac:dyDescent="0.3">
      <c r="A378" s="175"/>
      <c r="B378" s="176"/>
      <c r="C378" s="176"/>
      <c r="D378" s="193"/>
      <c r="E378" s="194" t="s">
        <v>54</v>
      </c>
      <c r="F378" s="195"/>
      <c r="G378" s="196"/>
      <c r="H378" s="186"/>
      <c r="I378" s="187"/>
      <c r="J378" s="197">
        <f ca="1">IFERROR(__xludf.DUMMYFUNCTION("IMPORTRANGE(""https://docs.google.com/spreadsheets/d/11923uPwbBZFjjGgGUA6NLw09EwE0CqkOc4q9oUmW1yo/edit?usp=sharing"",""เชียงใหม่!J273"")"),0)</f>
        <v>0</v>
      </c>
      <c r="K378" s="163"/>
      <c r="L378" s="181"/>
      <c r="M378" s="181"/>
      <c r="N378" s="181"/>
      <c r="O378" s="181"/>
      <c r="P378" s="181"/>
    </row>
    <row r="379" spans="1:16" ht="21.75" customHeight="1" x14ac:dyDescent="0.3">
      <c r="A379" s="175"/>
      <c r="B379" s="176"/>
      <c r="C379" s="176"/>
      <c r="D379" s="205">
        <v>3</v>
      </c>
      <c r="E379" s="206" t="s">
        <v>55</v>
      </c>
      <c r="F379" s="207"/>
      <c r="G379" s="208"/>
      <c r="H379" s="186"/>
      <c r="I379" s="187"/>
      <c r="J379" s="209">
        <f ca="1">IFERROR(__xludf.DUMMYFUNCTION("IMPORTRANGE(""https://docs.google.com/spreadsheets/d/11923uPwbBZFjjGgGUA6NLw09EwE0CqkOc4q9oUmW1yo/edit?usp=sharing"",""เชียงใหม่!J274"")"),0)</f>
        <v>0</v>
      </c>
      <c r="K379" s="163"/>
      <c r="L379" s="181"/>
      <c r="M379" s="181"/>
      <c r="N379" s="181"/>
      <c r="O379" s="181"/>
      <c r="P379" s="181"/>
    </row>
    <row r="380" spans="1:16" ht="21.75" customHeight="1" x14ac:dyDescent="0.3">
      <c r="A380" s="364"/>
      <c r="B380" s="365">
        <v>2</v>
      </c>
      <c r="C380" s="366" t="s">
        <v>145</v>
      </c>
      <c r="D380" s="366"/>
      <c r="E380" s="380"/>
      <c r="F380" s="380"/>
      <c r="G380" s="381"/>
      <c r="H380" s="368" t="s">
        <v>122</v>
      </c>
      <c r="I380" s="369">
        <f ca="1">IFERROR(__xludf.DUMMYFUNCTION("IMPORTRANGE(""https://docs.google.com/spreadsheets/d/11923uPwbBZFjjGgGUA6NLw09EwE0CqkOc4q9oUmW1yo/edit?usp=sharing"",""เชียงใหม่!I275"")"),1000)</f>
        <v>1000</v>
      </c>
      <c r="J380" s="369">
        <f ca="1">IFERROR(__xludf.DUMMYFUNCTION("IMPORTRANGE(""https://docs.google.com/spreadsheets/d/11923uPwbBZFjjGgGUA6NLw09EwE0CqkOc4q9oUmW1yo/edit?usp=sharing"",""เชียงใหม่!J275"")"),0)</f>
        <v>0</v>
      </c>
      <c r="K380" s="370">
        <f t="shared" ref="K380:K381" ca="1" si="108">IF(I380&gt;0,J380*100/I380,0)</f>
        <v>0</v>
      </c>
      <c r="L380" s="371">
        <f ca="1">IFERROR(__xludf.DUMMYFUNCTION("IMPORTRANGE(""https://docs.google.com/spreadsheets/d/11923uPwbBZFjjGgGUA6NLw09EwE0CqkOc4q9oUmW1yo/edit?usp=sharing"",""เชียงใหม่!L275"")"),1028520)</f>
        <v>1028520</v>
      </c>
      <c r="M380" s="371"/>
      <c r="N380" s="371">
        <f ca="1">IFERROR(__xludf.DUMMYFUNCTION("IMPORTRANGE(""https://docs.google.com/spreadsheets/d/11923uPwbBZFjjGgGUA6NLw09EwE0CqkOc4q9oUmW1yo/edit?usp=sharing"",""เชียงใหม่!M275"")"),101235.58)</f>
        <v>101235.58</v>
      </c>
      <c r="O380" s="371">
        <f ca="1">+IF(L380&gt;0,N380*100/L380,0)</f>
        <v>9.8428401975654332</v>
      </c>
      <c r="P380" s="371"/>
    </row>
    <row r="381" spans="1:16" ht="21.75" customHeight="1" x14ac:dyDescent="0.3">
      <c r="A381" s="364"/>
      <c r="B381" s="365"/>
      <c r="C381" s="366"/>
      <c r="D381" s="382"/>
      <c r="E381" s="383"/>
      <c r="F381" s="383"/>
      <c r="G381" s="384"/>
      <c r="H381" s="368" t="s">
        <v>37</v>
      </c>
      <c r="I381" s="369">
        <f ca="1">IFERROR(__xludf.DUMMYFUNCTION("IMPORTRANGE(""https://docs.google.com/spreadsheets/d/11923uPwbBZFjjGgGUA6NLw09EwE0CqkOc4q9oUmW1yo/edit?usp=sharing"",""เชียงใหม่!I276"")"),100)</f>
        <v>100</v>
      </c>
      <c r="J381" s="369">
        <f ca="1">IFERROR(__xludf.DUMMYFUNCTION("IMPORTRANGE(""https://docs.google.com/spreadsheets/d/11923uPwbBZFjjGgGUA6NLw09EwE0CqkOc4q9oUmW1yo/edit?usp=sharing"",""เชียงใหม่!J276"")"),100)</f>
        <v>100</v>
      </c>
      <c r="K381" s="370">
        <f t="shared" ca="1" si="108"/>
        <v>100</v>
      </c>
      <c r="L381" s="371"/>
      <c r="M381" s="371"/>
      <c r="N381" s="371"/>
      <c r="O381" s="371"/>
      <c r="P381" s="371"/>
    </row>
    <row r="382" spans="1:16" ht="21.75" customHeight="1" x14ac:dyDescent="0.3">
      <c r="A382" s="156"/>
      <c r="B382" s="157"/>
      <c r="C382" s="157" t="s">
        <v>16</v>
      </c>
      <c r="D382" s="158" t="s">
        <v>38</v>
      </c>
      <c r="E382" s="159"/>
      <c r="F382" s="159"/>
      <c r="G382" s="160" t="s">
        <v>39</v>
      </c>
      <c r="H382" s="161" t="s">
        <v>12</v>
      </c>
      <c r="I382" s="162" t="s">
        <v>40</v>
      </c>
      <c r="J382" s="162"/>
      <c r="K382" s="163"/>
      <c r="L382" s="164">
        <f ca="1">IFERROR(__xludf.DUMMYFUNCTION("IMPORTRANGE(""https://docs.google.com/spreadsheets/d/11923uPwbBZFjjGgGUA6NLw09EwE0CqkOc4q9oUmW1yo/edit?usp=sharing"",""เชียงใหม่!L277"")"),0)</f>
        <v>0</v>
      </c>
      <c r="M382" s="164"/>
      <c r="N382" s="164">
        <f ca="1">IFERROR(__xludf.DUMMYFUNCTION("IMPORTRANGE(""https://docs.google.com/spreadsheets/d/11923uPwbBZFjjGgGUA6NLw09EwE0CqkOc4q9oUmW1yo/edit?usp=sharing"",""เชียงใหม่!M277"")"),0)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3">
      <c r="A383" s="156"/>
      <c r="B383" s="157"/>
      <c r="C383" s="157"/>
      <c r="D383" s="166"/>
      <c r="E383" s="159"/>
      <c r="F383" s="159" t="s">
        <v>40</v>
      </c>
      <c r="G383" s="160" t="s">
        <v>41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IFERROR(__xludf.DUMMYFUNCTION("IMPORTRANGE(""https://docs.google.com/spreadsheets/d/11923uPwbBZFjjGgGUA6NLw09EwE0CqkOc4q9oUmW1yo/edit?usp=sharing"",""เชียงใหม่!L278"")"),1028520)</f>
        <v>1028520</v>
      </c>
      <c r="M383" s="165"/>
      <c r="N383" s="165">
        <f ca="1">IFERROR(__xludf.DUMMYFUNCTION("IMPORTRANGE(""https://docs.google.com/spreadsheets/d/11923uPwbBZFjjGgGUA6NLw09EwE0CqkOc4q9oUmW1yo/edit?usp=sharing"",""เชียงใหม่!M278"")"),101235.58)</f>
        <v>101235.58</v>
      </c>
      <c r="O383" s="165">
        <f t="shared" ca="1" si="109"/>
        <v>9.8428401975654332</v>
      </c>
      <c r="P383" s="165"/>
    </row>
    <row r="384" spans="1:16" ht="21.75" customHeight="1" x14ac:dyDescent="0.3">
      <c r="A384" s="156"/>
      <c r="B384" s="157"/>
      <c r="C384" s="157"/>
      <c r="D384" s="166"/>
      <c r="E384" s="159"/>
      <c r="F384" s="159"/>
      <c r="G384" s="372" t="s">
        <v>129</v>
      </c>
      <c r="H384" s="161" t="s">
        <v>12</v>
      </c>
      <c r="I384" s="162"/>
      <c r="J384" s="162"/>
      <c r="K384" s="163"/>
      <c r="L384" s="168">
        <f ca="1">IFERROR(__xludf.DUMMYFUNCTION("IMPORTRANGE(""https://docs.google.com/spreadsheets/d/11923uPwbBZFjjGgGUA6NLw09EwE0CqkOc4q9oUmW1yo/edit?usp=sharing"",""เชียงใหม่!L279"")"),0)</f>
        <v>0</v>
      </c>
      <c r="M384" s="168"/>
      <c r="N384" s="168">
        <f ca="1">IFERROR(__xludf.DUMMYFUNCTION("IMPORTRANGE(""https://docs.google.com/spreadsheets/d/11923uPwbBZFjjGgGUA6NLw09EwE0CqkOc4q9oUmW1yo/edit?usp=sharing"",""เชียงใหม่!M279"")"),0)</f>
        <v>0</v>
      </c>
      <c r="O384" s="168">
        <f t="shared" ca="1" si="109"/>
        <v>0</v>
      </c>
      <c r="P384" s="168"/>
    </row>
    <row r="385" spans="1:16" ht="21.75" customHeight="1" x14ac:dyDescent="0.3">
      <c r="A385" s="156"/>
      <c r="B385" s="157"/>
      <c r="C385" s="157"/>
      <c r="D385" s="166"/>
      <c r="E385" s="159"/>
      <c r="F385" s="159"/>
      <c r="G385" s="372" t="s">
        <v>130</v>
      </c>
      <c r="H385" s="161" t="s">
        <v>12</v>
      </c>
      <c r="I385" s="162"/>
      <c r="J385" s="162"/>
      <c r="K385" s="163"/>
      <c r="L385" s="168">
        <f ca="1">IFERROR(__xludf.DUMMYFUNCTION("IMPORTRANGE(""https://docs.google.com/spreadsheets/d/11923uPwbBZFjjGgGUA6NLw09EwE0CqkOc4q9oUmW1yo/edit?usp=sharing"",""เชียงใหม่!L280"")"),1028520)</f>
        <v>1028520</v>
      </c>
      <c r="M385" s="168"/>
      <c r="N385" s="167">
        <f ca="1">IFERROR(__xludf.DUMMYFUNCTION("IMPORTRANGE(""https://docs.google.com/spreadsheets/d/11923uPwbBZFjjGgGUA6NLw09EwE0CqkOc4q9oUmW1yo/edit?usp=sharing"",""เชียงใหม่!M280"")"),101235.58)</f>
        <v>101235.58</v>
      </c>
      <c r="O385" s="168">
        <f t="shared" ca="1" si="109"/>
        <v>9.8428401975654332</v>
      </c>
      <c r="P385" s="168"/>
    </row>
    <row r="386" spans="1:16" ht="21.75" customHeight="1" x14ac:dyDescent="0.3">
      <c r="A386" s="373"/>
      <c r="B386" s="374"/>
      <c r="C386" s="157"/>
      <c r="D386" s="375"/>
      <c r="E386" s="159"/>
      <c r="F386" s="159"/>
      <c r="G386" s="376" t="s">
        <v>131</v>
      </c>
      <c r="H386" s="161" t="s">
        <v>12</v>
      </c>
      <c r="I386" s="187"/>
      <c r="J386" s="187"/>
      <c r="K386" s="223"/>
      <c r="L386" s="168"/>
      <c r="M386" s="168"/>
      <c r="N386" s="377">
        <f ca="1">IFERROR(__xludf.DUMMYFUNCTION("IMPORTRANGE(""https://docs.google.com/spreadsheets/d/11923uPwbBZFjjGgGUA6NLw09EwE0CqkOc4q9oUmW1yo/edit?usp=sharing"",""เชียงใหม่!M281"")"),44450)</f>
        <v>44450</v>
      </c>
      <c r="O386" s="168"/>
      <c r="P386" s="168"/>
    </row>
    <row r="387" spans="1:16" ht="21.75" customHeight="1" x14ac:dyDescent="0.3">
      <c r="A387" s="373"/>
      <c r="B387" s="374"/>
      <c r="C387" s="157"/>
      <c r="D387" s="375"/>
      <c r="E387" s="159"/>
      <c r="F387" s="159"/>
      <c r="G387" s="376" t="s">
        <v>132</v>
      </c>
      <c r="H387" s="161" t="s">
        <v>12</v>
      </c>
      <c r="I387" s="187"/>
      <c r="J387" s="187"/>
      <c r="K387" s="223"/>
      <c r="L387" s="168"/>
      <c r="M387" s="168"/>
      <c r="N387" s="377">
        <f ca="1">IFERROR(__xludf.DUMMYFUNCTION("IMPORTRANGE(""https://docs.google.com/spreadsheets/d/11923uPwbBZFjjGgGUA6NLw09EwE0CqkOc4q9oUmW1yo/edit?usp=sharing"",""เชียงใหม่!M282"")"),0)</f>
        <v>0</v>
      </c>
      <c r="O387" s="168"/>
      <c r="P387" s="168"/>
    </row>
    <row r="388" spans="1:16" ht="21.75" customHeight="1" x14ac:dyDescent="0.3">
      <c r="A388" s="373"/>
      <c r="B388" s="374"/>
      <c r="C388" s="157"/>
      <c r="D388" s="375"/>
      <c r="E388" s="159"/>
      <c r="F388" s="159"/>
      <c r="G388" s="376" t="s">
        <v>133</v>
      </c>
      <c r="H388" s="161" t="s">
        <v>12</v>
      </c>
      <c r="I388" s="187"/>
      <c r="J388" s="187"/>
      <c r="K388" s="223"/>
      <c r="L388" s="168"/>
      <c r="M388" s="168"/>
      <c r="N388" s="377">
        <f ca="1">IFERROR(__xludf.DUMMYFUNCTION("IMPORTRANGE(""https://docs.google.com/spreadsheets/d/11923uPwbBZFjjGgGUA6NLw09EwE0CqkOc4q9oUmW1yo/edit?usp=sharing"",""เชียงใหม่!M283"")"),53225.58)</f>
        <v>53225.58</v>
      </c>
      <c r="O388" s="168"/>
      <c r="P388" s="168"/>
    </row>
    <row r="389" spans="1:16" ht="21.75" customHeight="1" x14ac:dyDescent="0.3">
      <c r="A389" s="373"/>
      <c r="B389" s="374"/>
      <c r="C389" s="157"/>
      <c r="D389" s="375"/>
      <c r="E389" s="159"/>
      <c r="F389" s="159"/>
      <c r="G389" s="376" t="s">
        <v>134</v>
      </c>
      <c r="H389" s="161" t="s">
        <v>12</v>
      </c>
      <c r="I389" s="187"/>
      <c r="J389" s="187"/>
      <c r="K389" s="223"/>
      <c r="L389" s="168"/>
      <c r="M389" s="168"/>
      <c r="N389" s="377">
        <f ca="1">IFERROR(__xludf.DUMMYFUNCTION("IMPORTRANGE(""https://docs.google.com/spreadsheets/d/11923uPwbBZFjjGgGUA6NLw09EwE0CqkOc4q9oUmW1yo/edit?usp=sharing"",""เชียงใหม่!M284"")"),3560)</f>
        <v>3560</v>
      </c>
      <c r="O389" s="168"/>
      <c r="P389" s="168"/>
    </row>
    <row r="390" spans="1:16" ht="21.75" customHeight="1" x14ac:dyDescent="0.3">
      <c r="A390" s="175"/>
      <c r="B390" s="176"/>
      <c r="C390" s="157" t="s">
        <v>16</v>
      </c>
      <c r="D390" s="177" t="s">
        <v>44</v>
      </c>
      <c r="E390" s="178"/>
      <c r="F390" s="178"/>
      <c r="G390" s="179"/>
      <c r="H390" s="180"/>
      <c r="I390" s="162"/>
      <c r="J390" s="162"/>
      <c r="K390" s="163"/>
      <c r="L390" s="181"/>
      <c r="M390" s="181"/>
      <c r="N390" s="181"/>
      <c r="O390" s="181"/>
      <c r="P390" s="181"/>
    </row>
    <row r="391" spans="1:16" ht="21.75" customHeight="1" x14ac:dyDescent="0.3">
      <c r="A391" s="175"/>
      <c r="B391" s="176"/>
      <c r="C391" s="176"/>
      <c r="D391" s="182">
        <v>1</v>
      </c>
      <c r="E391" s="183" t="s">
        <v>45</v>
      </c>
      <c r="F391" s="184"/>
      <c r="G391" s="185"/>
      <c r="H391" s="186"/>
      <c r="I391" s="187"/>
      <c r="J391" s="197">
        <f ca="1">IFERROR(__xludf.DUMMYFUNCTION("IMPORTRANGE(""https://docs.google.com/spreadsheets/d/11923uPwbBZFjjGgGUA6NLw09EwE0CqkOc4q9oUmW1yo/edit?usp=sharing"",""เชียงใหม่!J286"")"),0)</f>
        <v>0</v>
      </c>
      <c r="K391" s="163"/>
      <c r="L391" s="181"/>
      <c r="M391" s="181"/>
      <c r="N391" s="181"/>
      <c r="O391" s="181"/>
      <c r="P391" s="181"/>
    </row>
    <row r="392" spans="1:16" ht="21.75" customHeight="1" x14ac:dyDescent="0.3">
      <c r="A392" s="175"/>
      <c r="B392" s="176"/>
      <c r="C392" s="176"/>
      <c r="D392" s="189">
        <v>2</v>
      </c>
      <c r="E392" s="190" t="s">
        <v>46</v>
      </c>
      <c r="F392" s="191"/>
      <c r="G392" s="192"/>
      <c r="H392" s="186"/>
      <c r="I392" s="187"/>
      <c r="J392" s="188">
        <f ca="1">IFERROR(__xludf.DUMMYFUNCTION("IMPORTRANGE(""https://docs.google.com/spreadsheets/d/11923uPwbBZFjjGgGUA6NLw09EwE0CqkOc4q9oUmW1yo/edit?usp=sharing"",""เชียงใหม่!J287"")"),1)</f>
        <v>1</v>
      </c>
      <c r="K392" s="163"/>
      <c r="L392" s="181" t="s">
        <v>40</v>
      </c>
      <c r="M392" s="181"/>
      <c r="N392" s="181" t="s">
        <v>40</v>
      </c>
      <c r="O392" s="181"/>
      <c r="P392" s="181"/>
    </row>
    <row r="393" spans="1:16" ht="21.75" customHeight="1" x14ac:dyDescent="0.3">
      <c r="A393" s="175"/>
      <c r="B393" s="176"/>
      <c r="C393" s="176"/>
      <c r="D393" s="193"/>
      <c r="E393" s="194" t="s">
        <v>47</v>
      </c>
      <c r="F393" s="195"/>
      <c r="G393" s="196"/>
      <c r="H393" s="186"/>
      <c r="I393" s="187"/>
      <c r="J393" s="188">
        <f ca="1">IFERROR(__xludf.DUMMYFUNCTION("IMPORTRANGE(""https://docs.google.com/spreadsheets/d/11923uPwbBZFjjGgGUA6NLw09EwE0CqkOc4q9oUmW1yo/edit?usp=sharing"",""เชียงใหม่!J288"")"),1)</f>
        <v>1</v>
      </c>
      <c r="K393" s="163"/>
      <c r="L393" s="181"/>
      <c r="M393" s="181"/>
      <c r="N393" s="181"/>
      <c r="O393" s="181"/>
      <c r="P393" s="181"/>
    </row>
    <row r="394" spans="1:16" ht="21.75" customHeight="1" x14ac:dyDescent="0.3">
      <c r="A394" s="175"/>
      <c r="B394" s="176"/>
      <c r="C394" s="176"/>
      <c r="D394" s="193"/>
      <c r="E394" s="194" t="s">
        <v>48</v>
      </c>
      <c r="F394" s="195"/>
      <c r="G394" s="196"/>
      <c r="H394" s="186"/>
      <c r="I394" s="187"/>
      <c r="J394" s="197">
        <f ca="1">IFERROR(__xludf.DUMMYFUNCTION("IMPORTRANGE(""https://docs.google.com/spreadsheets/d/11923uPwbBZFjjGgGUA6NLw09EwE0CqkOc4q9oUmW1yo/edit?usp=sharing"",""เชียงใหม่!J289"")"),1)</f>
        <v>1</v>
      </c>
      <c r="K394" s="163"/>
      <c r="L394" s="181"/>
      <c r="M394" s="181"/>
      <c r="N394" s="181"/>
      <c r="O394" s="181"/>
      <c r="P394" s="181"/>
    </row>
    <row r="395" spans="1:16" ht="21.75" customHeight="1" x14ac:dyDescent="0.3">
      <c r="A395" s="175"/>
      <c r="B395" s="176"/>
      <c r="C395" s="176"/>
      <c r="D395" s="193"/>
      <c r="E395" s="198"/>
      <c r="F395" s="194" t="s">
        <v>146</v>
      </c>
      <c r="G395" s="195"/>
      <c r="H395" s="186"/>
      <c r="I395" s="187"/>
      <c r="J395" s="187"/>
      <c r="K395" s="163"/>
      <c r="L395" s="181"/>
      <c r="M395" s="181"/>
      <c r="N395" s="181"/>
      <c r="O395" s="181"/>
      <c r="P395" s="181"/>
    </row>
    <row r="396" spans="1:16" ht="21.75" customHeight="1" x14ac:dyDescent="0.3">
      <c r="A396" s="175"/>
      <c r="B396" s="176"/>
      <c r="C396" s="176"/>
      <c r="D396" s="193"/>
      <c r="E396" s="198"/>
      <c r="F396" s="195"/>
      <c r="G396" s="291" t="s">
        <v>70</v>
      </c>
      <c r="H396" s="186" t="s">
        <v>37</v>
      </c>
      <c r="I396" s="187">
        <f ca="1">IFERROR(__xludf.DUMMYFUNCTION("IMPORTRANGE(""https://docs.google.com/spreadsheets/d/11923uPwbBZFjjGgGUA6NLw09EwE0CqkOc4q9oUmW1yo/edit?usp=sharing"",""เชียงใหม่!I291"")"),100)</f>
        <v>100</v>
      </c>
      <c r="J396" s="197">
        <f ca="1">IFERROR(__xludf.DUMMYFUNCTION("IMPORTRANGE(""https://docs.google.com/spreadsheets/d/11923uPwbBZFjjGgGUA6NLw09EwE0CqkOc4q9oUmW1yo/edit?usp=sharing"",""เชียงใหม่!J291"")"),100)</f>
        <v>100</v>
      </c>
      <c r="K396" s="163">
        <f t="shared" ref="K396:K398" ca="1" si="110">IF(I396&gt;0,J396*100/I396,0)</f>
        <v>100</v>
      </c>
      <c r="L396" s="181"/>
      <c r="M396" s="181"/>
      <c r="N396" s="181"/>
      <c r="O396" s="181"/>
      <c r="P396" s="181"/>
    </row>
    <row r="397" spans="1:16" ht="21.75" customHeight="1" x14ac:dyDescent="0.3">
      <c r="A397" s="175"/>
      <c r="B397" s="176"/>
      <c r="C397" s="176"/>
      <c r="D397" s="193"/>
      <c r="E397" s="198"/>
      <c r="F397" s="195"/>
      <c r="G397" s="196" t="s">
        <v>53</v>
      </c>
      <c r="H397" s="186" t="s">
        <v>122</v>
      </c>
      <c r="I397" s="187">
        <f ca="1">IFERROR(__xludf.DUMMYFUNCTION("IMPORTRANGE(""https://docs.google.com/spreadsheets/d/11923uPwbBZFjjGgGUA6NLw09EwE0CqkOc4q9oUmW1yo/edit?usp=sharing"",""เชียงใหม่!I292"")"),1000)</f>
        <v>1000</v>
      </c>
      <c r="J397" s="197">
        <f ca="1">IFERROR(__xludf.DUMMYFUNCTION("IMPORTRANGE(""https://docs.google.com/spreadsheets/d/11923uPwbBZFjjGgGUA6NLw09EwE0CqkOc4q9oUmW1yo/edit?usp=sharing"",""เชียงใหม่!J292"")"),0)</f>
        <v>0</v>
      </c>
      <c r="K397" s="163">
        <f t="shared" ca="1" si="110"/>
        <v>0</v>
      </c>
      <c r="L397" s="181"/>
      <c r="M397" s="181"/>
      <c r="N397" s="181"/>
      <c r="O397" s="181"/>
      <c r="P397" s="181"/>
    </row>
    <row r="398" spans="1:16" ht="21.75" customHeight="1" x14ac:dyDescent="0.3">
      <c r="A398" s="175"/>
      <c r="B398" s="176"/>
      <c r="C398" s="176"/>
      <c r="D398" s="193"/>
      <c r="E398" s="198"/>
      <c r="F398" s="195"/>
      <c r="G398" s="196"/>
      <c r="H398" s="186" t="s">
        <v>37</v>
      </c>
      <c r="I398" s="187">
        <f ca="1">IFERROR(__xludf.DUMMYFUNCTION("IMPORTRANGE(""https://docs.google.com/spreadsheets/d/11923uPwbBZFjjGgGUA6NLw09EwE0CqkOc4q9oUmW1yo/edit?usp=sharing"",""เชียงใหม่!I293"")"),100)</f>
        <v>100</v>
      </c>
      <c r="J398" s="197">
        <f ca="1">IFERROR(__xludf.DUMMYFUNCTION("IMPORTRANGE(""https://docs.google.com/spreadsheets/d/11923uPwbBZFjjGgGUA6NLw09EwE0CqkOc4q9oUmW1yo/edit?usp=sharing"",""เชียงใหม่!J293"")"),0)</f>
        <v>0</v>
      </c>
      <c r="K398" s="163">
        <f t="shared" ca="1" si="110"/>
        <v>0</v>
      </c>
      <c r="L398" s="181"/>
      <c r="M398" s="181"/>
      <c r="N398" s="181"/>
      <c r="O398" s="181"/>
      <c r="P398" s="181"/>
    </row>
    <row r="399" spans="1:16" ht="21.75" customHeight="1" x14ac:dyDescent="0.3">
      <c r="A399" s="175"/>
      <c r="B399" s="176"/>
      <c r="C399" s="176"/>
      <c r="D399" s="193"/>
      <c r="E399" s="194" t="s">
        <v>54</v>
      </c>
      <c r="F399" s="195"/>
      <c r="G399" s="196"/>
      <c r="H399" s="186"/>
      <c r="I399" s="187"/>
      <c r="J399" s="197">
        <f ca="1">IFERROR(__xludf.DUMMYFUNCTION("IMPORTRANGE(""https://docs.google.com/spreadsheets/d/11923uPwbBZFjjGgGUA6NLw09EwE0CqkOc4q9oUmW1yo/edit?usp=sharing"",""เชียงใหม่!J294"")"),0)</f>
        <v>0</v>
      </c>
      <c r="K399" s="163"/>
      <c r="L399" s="181"/>
      <c r="M399" s="181"/>
      <c r="N399" s="181"/>
      <c r="O399" s="181"/>
      <c r="P399" s="181"/>
    </row>
    <row r="400" spans="1:16" ht="21.75" customHeight="1" x14ac:dyDescent="0.3">
      <c r="A400" s="175"/>
      <c r="B400" s="176"/>
      <c r="C400" s="176"/>
      <c r="D400" s="205">
        <v>3</v>
      </c>
      <c r="E400" s="206" t="s">
        <v>55</v>
      </c>
      <c r="F400" s="207"/>
      <c r="G400" s="208"/>
      <c r="H400" s="186"/>
      <c r="I400" s="187"/>
      <c r="J400" s="209">
        <f ca="1">IFERROR(__xludf.DUMMYFUNCTION("IMPORTRANGE(""https://docs.google.com/spreadsheets/d/11923uPwbBZFjjGgGUA6NLw09EwE0CqkOc4q9oUmW1yo/edit?usp=sharing"",""เชียงใหม่!J295"")"),0)</f>
        <v>0</v>
      </c>
      <c r="K400" s="163"/>
      <c r="L400" s="181"/>
      <c r="M400" s="181"/>
      <c r="N400" s="181"/>
      <c r="O400" s="181"/>
      <c r="P400" s="181"/>
    </row>
    <row r="401" spans="1:16" ht="21.75" customHeight="1" x14ac:dyDescent="0.3">
      <c r="A401" s="364"/>
      <c r="B401" s="365">
        <v>3</v>
      </c>
      <c r="C401" s="365" t="s">
        <v>147</v>
      </c>
      <c r="D401" s="366"/>
      <c r="E401" s="366"/>
      <c r="F401" s="366"/>
      <c r="G401" s="367"/>
      <c r="H401" s="368" t="s">
        <v>122</v>
      </c>
      <c r="I401" s="369">
        <f ca="1">IFERROR(__xludf.DUMMYFUNCTION("IMPORTRANGE(""https://docs.google.com/spreadsheets/d/11923uPwbBZFjjGgGUA6NLw09EwE0CqkOc4q9oUmW1yo/edit?usp=sharing"",""เชียงใหม่!I296"")"),105)</f>
        <v>105</v>
      </c>
      <c r="J401" s="369">
        <f ca="1">IFERROR(__xludf.DUMMYFUNCTION("IMPORTRANGE(""https://docs.google.com/spreadsheets/d/11923uPwbBZFjjGgGUA6NLw09EwE0CqkOc4q9oUmW1yo/edit?usp=sharing"",""เชียงใหม่!J296"")"),105)</f>
        <v>105</v>
      </c>
      <c r="K401" s="370">
        <f t="shared" ref="K401:K402" ca="1" si="111">IF(I401&gt;0,J401*100/I401,0)</f>
        <v>100</v>
      </c>
      <c r="L401" s="371">
        <f ca="1">IFERROR(__xludf.DUMMYFUNCTION("IMPORTRANGE(""https://docs.google.com/spreadsheets/d/11923uPwbBZFjjGgGUA6NLw09EwE0CqkOc4q9oUmW1yo/edit?usp=sharing"",""เชียงใหม่!L296"")"),131710)</f>
        <v>131710</v>
      </c>
      <c r="M401" s="371"/>
      <c r="N401" s="371">
        <f ca="1">IFERROR(__xludf.DUMMYFUNCTION("IMPORTRANGE(""https://docs.google.com/spreadsheets/d/11923uPwbBZFjjGgGUA6NLw09EwE0CqkOc4q9oUmW1yo/edit?usp=sharing"",""เชียงใหม่!M296"")"),87215)</f>
        <v>87215</v>
      </c>
      <c r="O401" s="371">
        <f ca="1">+IF(L401&gt;0,N401*100/L401,0)</f>
        <v>66.217447422367329</v>
      </c>
      <c r="P401" s="371"/>
    </row>
    <row r="402" spans="1:16" ht="21.75" customHeight="1" x14ac:dyDescent="0.3">
      <c r="A402" s="364"/>
      <c r="B402" s="365"/>
      <c r="C402" s="365"/>
      <c r="D402" s="382"/>
      <c r="E402" s="382"/>
      <c r="F402" s="382"/>
      <c r="G402" s="385"/>
      <c r="H402" s="368" t="s">
        <v>37</v>
      </c>
      <c r="I402" s="369">
        <f ca="1">IFERROR(__xludf.DUMMYFUNCTION("IMPORTRANGE(""https://docs.google.com/spreadsheets/d/11923uPwbBZFjjGgGUA6NLw09EwE0CqkOc4q9oUmW1yo/edit?usp=sharing"",""เชียงใหม่!I297"")"),35)</f>
        <v>35</v>
      </c>
      <c r="J402" s="369">
        <f ca="1">IFERROR(__xludf.DUMMYFUNCTION("IMPORTRANGE(""https://docs.google.com/spreadsheets/d/11923uPwbBZFjjGgGUA6NLw09EwE0CqkOc4q9oUmW1yo/edit?usp=sharing"",""เชียงใหม่!J297"")"),35)</f>
        <v>35</v>
      </c>
      <c r="K402" s="370">
        <f t="shared" ca="1" si="111"/>
        <v>100</v>
      </c>
      <c r="L402" s="371"/>
      <c r="M402" s="371"/>
      <c r="N402" s="371"/>
      <c r="O402" s="371"/>
      <c r="P402" s="371"/>
    </row>
    <row r="403" spans="1:16" ht="21.75" customHeight="1" x14ac:dyDescent="0.3">
      <c r="A403" s="156"/>
      <c r="B403" s="157"/>
      <c r="C403" s="157" t="s">
        <v>16</v>
      </c>
      <c r="D403" s="158" t="s">
        <v>38</v>
      </c>
      <c r="E403" s="159"/>
      <c r="F403" s="159"/>
      <c r="G403" s="160" t="s">
        <v>39</v>
      </c>
      <c r="H403" s="161" t="s">
        <v>12</v>
      </c>
      <c r="I403" s="162" t="s">
        <v>40</v>
      </c>
      <c r="J403" s="162"/>
      <c r="K403" s="163"/>
      <c r="L403" s="164">
        <f ca="1">IFERROR(__xludf.DUMMYFUNCTION("IMPORTRANGE(""https://docs.google.com/spreadsheets/d/11923uPwbBZFjjGgGUA6NLw09EwE0CqkOc4q9oUmW1yo/edit?usp=sharing"",""เชียงใหม่!L298"")"),0)</f>
        <v>0</v>
      </c>
      <c r="M403" s="164"/>
      <c r="N403" s="168">
        <f ca="1">IFERROR(__xludf.DUMMYFUNCTION("IMPORTRANGE(""https://docs.google.com/spreadsheets/d/11923uPwbBZFjjGgGUA6NLw09EwE0CqkOc4q9oUmW1yo/edit?usp=sharing"",""เชียงใหม่!M298"")"),0)</f>
        <v>0</v>
      </c>
      <c r="O403" s="168">
        <f t="shared" ref="O403:O406" ca="1" si="112">+IF(L403&gt;0,N403*100/L403,0)</f>
        <v>0</v>
      </c>
      <c r="P403" s="168"/>
    </row>
    <row r="404" spans="1:16" ht="21.75" customHeight="1" x14ac:dyDescent="0.3">
      <c r="A404" s="156"/>
      <c r="B404" s="157"/>
      <c r="C404" s="157"/>
      <c r="D404" s="166"/>
      <c r="E404" s="159"/>
      <c r="F404" s="159" t="s">
        <v>40</v>
      </c>
      <c r="G404" s="160" t="s">
        <v>41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IFERROR(__xludf.DUMMYFUNCTION("IMPORTRANGE(""https://docs.google.com/spreadsheets/d/11923uPwbBZFjjGgGUA6NLw09EwE0CqkOc4q9oUmW1yo/edit?usp=sharing"",""เชียงใหม่!L299"")"),131710)</f>
        <v>131710</v>
      </c>
      <c r="M404" s="165"/>
      <c r="N404" s="168">
        <f ca="1">IFERROR(__xludf.DUMMYFUNCTION("IMPORTRANGE(""https://docs.google.com/spreadsheets/d/11923uPwbBZFjjGgGUA6NLw09EwE0CqkOc4q9oUmW1yo/edit?usp=sharing"",""เชียงใหม่!M299"")"),87215)</f>
        <v>87215</v>
      </c>
      <c r="O404" s="168">
        <f t="shared" ca="1" si="112"/>
        <v>66.217447422367329</v>
      </c>
      <c r="P404" s="168"/>
    </row>
    <row r="405" spans="1:16" ht="21.75" customHeight="1" x14ac:dyDescent="0.3">
      <c r="A405" s="156"/>
      <c r="B405" s="157"/>
      <c r="C405" s="157"/>
      <c r="D405" s="166"/>
      <c r="E405" s="159"/>
      <c r="F405" s="159"/>
      <c r="G405" s="372" t="s">
        <v>129</v>
      </c>
      <c r="H405" s="161" t="s">
        <v>12</v>
      </c>
      <c r="I405" s="162"/>
      <c r="J405" s="162"/>
      <c r="K405" s="163"/>
      <c r="L405" s="168">
        <f ca="1">IFERROR(__xludf.DUMMYFUNCTION("IMPORTRANGE(""https://docs.google.com/spreadsheets/d/11923uPwbBZFjjGgGUA6NLw09EwE0CqkOc4q9oUmW1yo/edit?usp=sharing"",""เชียงใหม่!L300"")"),0)</f>
        <v>0</v>
      </c>
      <c r="M405" s="168"/>
      <c r="N405" s="168">
        <f ca="1">IFERROR(__xludf.DUMMYFUNCTION("IMPORTRANGE(""https://docs.google.com/spreadsheets/d/11923uPwbBZFjjGgGUA6NLw09EwE0CqkOc4q9oUmW1yo/edit?usp=sharing"",""เชียงใหม่!M300"")"),0)</f>
        <v>0</v>
      </c>
      <c r="O405" s="168">
        <f t="shared" ca="1" si="112"/>
        <v>0</v>
      </c>
      <c r="P405" s="168"/>
    </row>
    <row r="406" spans="1:16" ht="21.75" customHeight="1" x14ac:dyDescent="0.3">
      <c r="A406" s="156"/>
      <c r="B406" s="157"/>
      <c r="C406" s="157"/>
      <c r="D406" s="166"/>
      <c r="E406" s="159"/>
      <c r="F406" s="159"/>
      <c r="G406" s="372" t="s">
        <v>130</v>
      </c>
      <c r="H406" s="161" t="s">
        <v>12</v>
      </c>
      <c r="I406" s="162"/>
      <c r="J406" s="162"/>
      <c r="K406" s="163"/>
      <c r="L406" s="168">
        <f ca="1">IFERROR(__xludf.DUMMYFUNCTION("IMPORTRANGE(""https://docs.google.com/spreadsheets/d/11923uPwbBZFjjGgGUA6NLw09EwE0CqkOc4q9oUmW1yo/edit?usp=sharing"",""เชียงใหม่!L301"")"),131710)</f>
        <v>131710</v>
      </c>
      <c r="M406" s="168"/>
      <c r="N406" s="168">
        <f ca="1">IFERROR(__xludf.DUMMYFUNCTION("IMPORTRANGE(""https://docs.google.com/spreadsheets/d/11923uPwbBZFjjGgGUA6NLw09EwE0CqkOc4q9oUmW1yo/edit?usp=sharing"",""เชียงใหม่!M301"")"),87215)</f>
        <v>87215</v>
      </c>
      <c r="O406" s="168">
        <f t="shared" ca="1" si="112"/>
        <v>66.217447422367329</v>
      </c>
      <c r="P406" s="168"/>
    </row>
    <row r="407" spans="1:16" ht="21.75" customHeight="1" x14ac:dyDescent="0.3">
      <c r="A407" s="373"/>
      <c r="B407" s="374"/>
      <c r="C407" s="157"/>
      <c r="D407" s="375"/>
      <c r="E407" s="159"/>
      <c r="F407" s="159"/>
      <c r="G407" s="376" t="s">
        <v>131</v>
      </c>
      <c r="H407" s="161" t="s">
        <v>12</v>
      </c>
      <c r="I407" s="187"/>
      <c r="J407" s="187"/>
      <c r="K407" s="223"/>
      <c r="L407" s="168"/>
      <c r="M407" s="168"/>
      <c r="N407" s="377">
        <f ca="1">IFERROR(__xludf.DUMMYFUNCTION("IMPORTRANGE(""https://docs.google.com/spreadsheets/d/11923uPwbBZFjjGgGUA6NLw09EwE0CqkOc4q9oUmW1yo/edit?usp=sharing"",""เชียงใหม่!M302"")"),74225)</f>
        <v>74225</v>
      </c>
      <c r="O407" s="168"/>
      <c r="P407" s="168"/>
    </row>
    <row r="408" spans="1:16" ht="21.75" customHeight="1" x14ac:dyDescent="0.3">
      <c r="A408" s="373"/>
      <c r="B408" s="374"/>
      <c r="C408" s="157"/>
      <c r="D408" s="375"/>
      <c r="E408" s="159"/>
      <c r="F408" s="159"/>
      <c r="G408" s="376" t="s">
        <v>132</v>
      </c>
      <c r="H408" s="161" t="s">
        <v>12</v>
      </c>
      <c r="I408" s="187"/>
      <c r="J408" s="187"/>
      <c r="K408" s="223"/>
      <c r="L408" s="168"/>
      <c r="M408" s="168"/>
      <c r="N408" s="377">
        <f ca="1">IFERROR(__xludf.DUMMYFUNCTION("IMPORTRANGE(""https://docs.google.com/spreadsheets/d/11923uPwbBZFjjGgGUA6NLw09EwE0CqkOc4q9oUmW1yo/edit?usp=sharing"",""เชียงใหม่!M303"")"),0)</f>
        <v>0</v>
      </c>
      <c r="O408" s="168"/>
      <c r="P408" s="168"/>
    </row>
    <row r="409" spans="1:16" ht="21.75" customHeight="1" x14ac:dyDescent="0.3">
      <c r="A409" s="373"/>
      <c r="B409" s="374"/>
      <c r="C409" s="157"/>
      <c r="D409" s="375"/>
      <c r="E409" s="159"/>
      <c r="F409" s="159"/>
      <c r="G409" s="376" t="s">
        <v>133</v>
      </c>
      <c r="H409" s="161" t="s">
        <v>12</v>
      </c>
      <c r="I409" s="187"/>
      <c r="J409" s="187"/>
      <c r="K409" s="223"/>
      <c r="L409" s="168"/>
      <c r="M409" s="168"/>
      <c r="N409" s="377">
        <f ca="1">IFERROR(__xludf.DUMMYFUNCTION("IMPORTRANGE(""https://docs.google.com/spreadsheets/d/11923uPwbBZFjjGgGUA6NLw09EwE0CqkOc4q9oUmW1yo/edit?usp=sharing"",""เชียงใหม่!M304"")"),0)</f>
        <v>0</v>
      </c>
      <c r="O409" s="168"/>
      <c r="P409" s="168"/>
    </row>
    <row r="410" spans="1:16" ht="21.75" customHeight="1" x14ac:dyDescent="0.3">
      <c r="A410" s="373"/>
      <c r="B410" s="374"/>
      <c r="C410" s="157"/>
      <c r="D410" s="375"/>
      <c r="E410" s="159"/>
      <c r="F410" s="159"/>
      <c r="G410" s="376" t="s">
        <v>134</v>
      </c>
      <c r="H410" s="161" t="s">
        <v>12</v>
      </c>
      <c r="I410" s="187"/>
      <c r="J410" s="187"/>
      <c r="K410" s="223"/>
      <c r="L410" s="168"/>
      <c r="M410" s="168"/>
      <c r="N410" s="377">
        <f ca="1">IFERROR(__xludf.DUMMYFUNCTION("IMPORTRANGE(""https://docs.google.com/spreadsheets/d/11923uPwbBZFjjGgGUA6NLw09EwE0CqkOc4q9oUmW1yo/edit?usp=sharing"",""เชียงใหม่!M305"")"),12990)</f>
        <v>12990</v>
      </c>
      <c r="O410" s="168"/>
      <c r="P410" s="168"/>
    </row>
    <row r="411" spans="1:16" ht="21.75" customHeight="1" x14ac:dyDescent="0.3">
      <c r="A411" s="175"/>
      <c r="B411" s="176"/>
      <c r="C411" s="157" t="s">
        <v>16</v>
      </c>
      <c r="D411" s="177" t="s">
        <v>44</v>
      </c>
      <c r="E411" s="178"/>
      <c r="F411" s="178"/>
      <c r="G411" s="179"/>
      <c r="H411" s="180"/>
      <c r="I411" s="162"/>
      <c r="J411" s="162"/>
      <c r="K411" s="163"/>
      <c r="L411" s="181"/>
      <c r="M411" s="181"/>
      <c r="N411" s="181"/>
      <c r="O411" s="181"/>
      <c r="P411" s="181"/>
    </row>
    <row r="412" spans="1:16" ht="21.75" customHeight="1" x14ac:dyDescent="0.3">
      <c r="A412" s="175"/>
      <c r="B412" s="176"/>
      <c r="C412" s="176"/>
      <c r="D412" s="182">
        <v>1</v>
      </c>
      <c r="E412" s="183" t="s">
        <v>45</v>
      </c>
      <c r="F412" s="184"/>
      <c r="G412" s="185"/>
      <c r="H412" s="186"/>
      <c r="I412" s="187"/>
      <c r="J412" s="197">
        <f ca="1">IFERROR(__xludf.DUMMYFUNCTION("IMPORTRANGE(""https://docs.google.com/spreadsheets/d/11923uPwbBZFjjGgGUA6NLw09EwE0CqkOc4q9oUmW1yo/edit?usp=sharing"",""เชียงใหม่!J307"")"),0)</f>
        <v>0</v>
      </c>
      <c r="K412" s="163"/>
      <c r="L412" s="181"/>
      <c r="M412" s="181"/>
      <c r="N412" s="181"/>
      <c r="O412" s="181"/>
      <c r="P412" s="181"/>
    </row>
    <row r="413" spans="1:16" ht="21.75" customHeight="1" x14ac:dyDescent="0.3">
      <c r="A413" s="175"/>
      <c r="B413" s="176"/>
      <c r="C413" s="176"/>
      <c r="D413" s="189">
        <v>2</v>
      </c>
      <c r="E413" s="190" t="s">
        <v>46</v>
      </c>
      <c r="F413" s="191"/>
      <c r="G413" s="192"/>
      <c r="H413" s="186"/>
      <c r="I413" s="187"/>
      <c r="J413" s="188">
        <f ca="1">IFERROR(__xludf.DUMMYFUNCTION("IMPORTRANGE(""https://docs.google.com/spreadsheets/d/11923uPwbBZFjjGgGUA6NLw09EwE0CqkOc4q9oUmW1yo/edit?usp=sharing"",""เชียงใหม่!J308"")"),1)</f>
        <v>1</v>
      </c>
      <c r="K413" s="163"/>
      <c r="L413" s="181" t="s">
        <v>40</v>
      </c>
      <c r="M413" s="181"/>
      <c r="N413" s="181" t="s">
        <v>40</v>
      </c>
      <c r="O413" s="181"/>
      <c r="P413" s="181"/>
    </row>
    <row r="414" spans="1:16" ht="21.75" customHeight="1" x14ac:dyDescent="0.3">
      <c r="A414" s="175"/>
      <c r="B414" s="176"/>
      <c r="C414" s="176"/>
      <c r="D414" s="193"/>
      <c r="E414" s="194" t="s">
        <v>47</v>
      </c>
      <c r="F414" s="195"/>
      <c r="G414" s="196"/>
      <c r="H414" s="186"/>
      <c r="I414" s="187"/>
      <c r="J414" s="188">
        <f ca="1">IFERROR(__xludf.DUMMYFUNCTION("IMPORTRANGE(""https://docs.google.com/spreadsheets/d/11923uPwbBZFjjGgGUA6NLw09EwE0CqkOc4q9oUmW1yo/edit?usp=sharing"",""เชียงใหม่!J309"")"),1)</f>
        <v>1</v>
      </c>
      <c r="K414" s="163"/>
      <c r="L414" s="181"/>
      <c r="M414" s="181"/>
      <c r="N414" s="181"/>
      <c r="O414" s="181"/>
      <c r="P414" s="181"/>
    </row>
    <row r="415" spans="1:16" ht="21.75" customHeight="1" x14ac:dyDescent="0.3">
      <c r="A415" s="175"/>
      <c r="B415" s="176"/>
      <c r="C415" s="176"/>
      <c r="D415" s="193"/>
      <c r="E415" s="194" t="s">
        <v>48</v>
      </c>
      <c r="F415" s="195"/>
      <c r="G415" s="196"/>
      <c r="H415" s="186"/>
      <c r="I415" s="187"/>
      <c r="J415" s="197">
        <f ca="1">IFERROR(__xludf.DUMMYFUNCTION("IMPORTRANGE(""https://docs.google.com/spreadsheets/d/11923uPwbBZFjjGgGUA6NLw09EwE0CqkOc4q9oUmW1yo/edit?usp=sharing"",""เชียงใหม่!J310"")"),1)</f>
        <v>1</v>
      </c>
      <c r="K415" s="163"/>
      <c r="L415" s="181"/>
      <c r="M415" s="181"/>
      <c r="N415" s="181"/>
      <c r="O415" s="181"/>
      <c r="P415" s="181"/>
    </row>
    <row r="416" spans="1:16" ht="21.75" customHeight="1" x14ac:dyDescent="0.3">
      <c r="A416" s="175"/>
      <c r="B416" s="176"/>
      <c r="C416" s="176"/>
      <c r="D416" s="193"/>
      <c r="E416" s="198"/>
      <c r="F416" s="194" t="s">
        <v>70</v>
      </c>
      <c r="G416" s="386"/>
      <c r="H416" s="387" t="s">
        <v>37</v>
      </c>
      <c r="I416" s="200">
        <f ca="1">IFERROR(__xludf.DUMMYFUNCTION("IMPORTRANGE(""https://docs.google.com/spreadsheets/d/11923uPwbBZFjjGgGUA6NLw09EwE0CqkOc4q9oUmW1yo/edit?usp=sharing"",""เชียงใหม่!I311"")"),35)</f>
        <v>35</v>
      </c>
      <c r="J416" s="200">
        <f ca="1">IFERROR(__xludf.DUMMYFUNCTION("IMPORTRANGE(""https://docs.google.com/spreadsheets/d/11923uPwbBZFjjGgGUA6NLw09EwE0CqkOc4q9oUmW1yo/edit?usp=sharing"",""เชียงใหม่!J311"")"),35)</f>
        <v>35</v>
      </c>
      <c r="K416" s="201">
        <f t="shared" ref="K416:K432" ca="1" si="113">IF(I416&gt;0,J416*100/I416,0)</f>
        <v>100</v>
      </c>
      <c r="L416" s="181"/>
      <c r="M416" s="181"/>
      <c r="N416" s="181"/>
      <c r="O416" s="181"/>
      <c r="P416" s="181"/>
    </row>
    <row r="417" spans="1:16" ht="21.75" customHeight="1" x14ac:dyDescent="0.45">
      <c r="A417" s="175"/>
      <c r="B417" s="176"/>
      <c r="C417" s="176"/>
      <c r="D417" s="193"/>
      <c r="E417" s="198"/>
      <c r="F417" s="388" t="s">
        <v>148</v>
      </c>
      <c r="G417" s="196"/>
      <c r="H417" s="199" t="s">
        <v>37</v>
      </c>
      <c r="I417" s="389">
        <f ca="1">IFERROR(__xludf.DUMMYFUNCTION("IMPORTRANGE(""https://docs.google.com/spreadsheets/d/11923uPwbBZFjjGgGUA6NLw09EwE0CqkOc4q9oUmW1yo/edit?usp=sharing"",""เชียงใหม่!I312"")"),10)</f>
        <v>10</v>
      </c>
      <c r="J417" s="390">
        <f ca="1">IFERROR(__xludf.DUMMYFUNCTION("IMPORTRANGE(""https://docs.google.com/spreadsheets/d/11923uPwbBZFjjGgGUA6NLw09EwE0CqkOc4q9oUmW1yo/edit?usp=sharing"",""เชียงใหม่!J312"")"),10)</f>
        <v>10</v>
      </c>
      <c r="K417" s="201">
        <f t="shared" ca="1" si="113"/>
        <v>100</v>
      </c>
      <c r="L417" s="181"/>
      <c r="M417" s="181"/>
      <c r="N417" s="181"/>
      <c r="O417" s="181"/>
      <c r="P417" s="181"/>
    </row>
    <row r="418" spans="1:16" ht="21.75" customHeight="1" x14ac:dyDescent="0.45">
      <c r="A418" s="175"/>
      <c r="B418" s="176"/>
      <c r="C418" s="176"/>
      <c r="D418" s="193"/>
      <c r="E418" s="198"/>
      <c r="F418" s="195"/>
      <c r="G418" s="196"/>
      <c r="H418" s="199" t="s">
        <v>122</v>
      </c>
      <c r="I418" s="389">
        <f ca="1">IFERROR(__xludf.DUMMYFUNCTION("IMPORTRANGE(""https://docs.google.com/spreadsheets/d/11923uPwbBZFjjGgGUA6NLw09EwE0CqkOc4q9oUmW1yo/edit?usp=sharing"",""เชียงใหม่!I313"")"),30)</f>
        <v>30</v>
      </c>
      <c r="J418" s="391">
        <f ca="1">IFERROR(__xludf.DUMMYFUNCTION("IMPORTRANGE(""https://docs.google.com/spreadsheets/d/11923uPwbBZFjjGgGUA6NLw09EwE0CqkOc4q9oUmW1yo/edit?usp=sharing"",""เชียงใหม่!J313"")"),30)</f>
        <v>30</v>
      </c>
      <c r="K418" s="201">
        <f t="shared" ca="1" si="113"/>
        <v>100</v>
      </c>
      <c r="L418" s="181"/>
      <c r="M418" s="181"/>
      <c r="N418" s="181"/>
      <c r="O418" s="181"/>
      <c r="P418" s="181"/>
    </row>
    <row r="419" spans="1:16" ht="21.75" customHeight="1" x14ac:dyDescent="0.45">
      <c r="A419" s="175"/>
      <c r="B419" s="176"/>
      <c r="C419" s="176"/>
      <c r="D419" s="193"/>
      <c r="E419" s="198"/>
      <c r="F419" s="195"/>
      <c r="G419" s="225" t="s">
        <v>149</v>
      </c>
      <c r="H419" s="180" t="s">
        <v>37</v>
      </c>
      <c r="I419" s="339">
        <f ca="1">IFERROR(__xludf.DUMMYFUNCTION("IMPORTRANGE(""https://docs.google.com/spreadsheets/d/11923uPwbBZFjjGgGUA6NLw09EwE0CqkOc4q9oUmW1yo/edit?usp=sharing"",""เชียงใหม่!I314"")"),10)</f>
        <v>10</v>
      </c>
      <c r="J419" s="392">
        <f ca="1">IFERROR(__xludf.DUMMYFUNCTION("IMPORTRANGE(""https://docs.google.com/spreadsheets/d/11923uPwbBZFjjGgGUA6NLw09EwE0CqkOc4q9oUmW1yo/edit?usp=sharing"",""เชียงใหม่!J314"")"),10)</f>
        <v>10</v>
      </c>
      <c r="K419" s="163">
        <f t="shared" ca="1" si="113"/>
        <v>100</v>
      </c>
      <c r="L419" s="181"/>
      <c r="M419" s="181"/>
      <c r="N419" s="181"/>
      <c r="O419" s="181"/>
      <c r="P419" s="181"/>
    </row>
    <row r="420" spans="1:16" ht="21.75" customHeight="1" x14ac:dyDescent="0.45">
      <c r="A420" s="233"/>
      <c r="B420" s="234"/>
      <c r="C420" s="234"/>
      <c r="D420" s="393"/>
      <c r="E420" s="394"/>
      <c r="F420" s="345"/>
      <c r="G420" s="395" t="s">
        <v>150</v>
      </c>
      <c r="H420" s="347" t="s">
        <v>37</v>
      </c>
      <c r="I420" s="396">
        <f ca="1">IFERROR(__xludf.DUMMYFUNCTION("IMPORTRANGE(""https://docs.google.com/spreadsheets/d/11923uPwbBZFjjGgGUA6NLw09EwE0CqkOc4q9oUmW1yo/edit?usp=sharing"",""เชียงใหม่!I315"")"),10)</f>
        <v>10</v>
      </c>
      <c r="J420" s="392">
        <f ca="1">IFERROR(__xludf.DUMMYFUNCTION("IMPORTRANGE(""https://docs.google.com/spreadsheets/d/11923uPwbBZFjjGgGUA6NLw09EwE0CqkOc4q9oUmW1yo/edit?usp=sharing"",""เชียงใหม่!J315"")"),10)</f>
        <v>10</v>
      </c>
      <c r="K420" s="286">
        <f t="shared" ca="1" si="113"/>
        <v>100</v>
      </c>
      <c r="L420" s="244"/>
      <c r="M420" s="244"/>
      <c r="N420" s="244"/>
      <c r="O420" s="244"/>
      <c r="P420" s="244"/>
    </row>
    <row r="421" spans="1:16" ht="21.75" customHeight="1" x14ac:dyDescent="0.45">
      <c r="A421" s="175"/>
      <c r="B421" s="176"/>
      <c r="C421" s="176"/>
      <c r="D421" s="193"/>
      <c r="E421" s="198"/>
      <c r="F421" s="388" t="s">
        <v>151</v>
      </c>
      <c r="G421" s="196"/>
      <c r="H421" s="199" t="s">
        <v>37</v>
      </c>
      <c r="I421" s="389">
        <f ca="1">IFERROR(__xludf.DUMMYFUNCTION("IMPORTRANGE(""https://docs.google.com/spreadsheets/d/11923uPwbBZFjjGgGUA6NLw09EwE0CqkOc4q9oUmW1yo/edit?usp=sharing"",""เชียงใหม่!I316"")"),15)</f>
        <v>15</v>
      </c>
      <c r="J421" s="390">
        <f ca="1">IFERROR(__xludf.DUMMYFUNCTION("IMPORTRANGE(""https://docs.google.com/spreadsheets/d/11923uPwbBZFjjGgGUA6NLw09EwE0CqkOc4q9oUmW1yo/edit?usp=sharing"",""เชียงใหม่!J316"")"),15)</f>
        <v>15</v>
      </c>
      <c r="K421" s="201">
        <f t="shared" ca="1" si="113"/>
        <v>100</v>
      </c>
      <c r="L421" s="181"/>
      <c r="M421" s="181"/>
      <c r="N421" s="181"/>
      <c r="O421" s="181"/>
      <c r="P421" s="181"/>
    </row>
    <row r="422" spans="1:16" ht="21.75" customHeight="1" x14ac:dyDescent="0.45">
      <c r="A422" s="175"/>
      <c r="B422" s="176"/>
      <c r="C422" s="176"/>
      <c r="D422" s="193"/>
      <c r="E422" s="198"/>
      <c r="F422" s="195"/>
      <c r="G422" s="196"/>
      <c r="H422" s="199" t="s">
        <v>122</v>
      </c>
      <c r="I422" s="389">
        <f ca="1">IFERROR(__xludf.DUMMYFUNCTION("IMPORTRANGE(""https://docs.google.com/spreadsheets/d/11923uPwbBZFjjGgGUA6NLw09EwE0CqkOc4q9oUmW1yo/edit?usp=sharing"",""เชียงใหม่!I317"")"),45)</f>
        <v>45</v>
      </c>
      <c r="J422" s="391">
        <f ca="1">IFERROR(__xludf.DUMMYFUNCTION("IMPORTRANGE(""https://docs.google.com/spreadsheets/d/11923uPwbBZFjjGgGUA6NLw09EwE0CqkOc4q9oUmW1yo/edit?usp=sharing"",""เชียงใหม่!J317"")"),45)</f>
        <v>45</v>
      </c>
      <c r="K422" s="201">
        <f t="shared" ca="1" si="113"/>
        <v>100</v>
      </c>
      <c r="L422" s="181"/>
      <c r="M422" s="181"/>
      <c r="N422" s="181"/>
      <c r="O422" s="181"/>
      <c r="P422" s="181"/>
    </row>
    <row r="423" spans="1:16" ht="21.75" customHeight="1" x14ac:dyDescent="0.45">
      <c r="A423" s="175"/>
      <c r="B423" s="176"/>
      <c r="C423" s="176"/>
      <c r="D423" s="193"/>
      <c r="E423" s="198"/>
      <c r="F423" s="195"/>
      <c r="G423" s="225" t="s">
        <v>152</v>
      </c>
      <c r="H423" s="180" t="s">
        <v>37</v>
      </c>
      <c r="I423" s="339">
        <f ca="1">IFERROR(__xludf.DUMMYFUNCTION("IMPORTRANGE(""https://docs.google.com/spreadsheets/d/11923uPwbBZFjjGgGUA6NLw09EwE0CqkOc4q9oUmW1yo/edit?usp=sharing"",""เชียงใหม่!I318"")"),15)</f>
        <v>15</v>
      </c>
      <c r="J423" s="392">
        <f ca="1">IFERROR(__xludf.DUMMYFUNCTION("IMPORTRANGE(""https://docs.google.com/spreadsheets/d/11923uPwbBZFjjGgGUA6NLw09EwE0CqkOc4q9oUmW1yo/edit?usp=sharing"",""เชียงใหม่!J318"")"),15)</f>
        <v>15</v>
      </c>
      <c r="K423" s="163">
        <f t="shared" ca="1" si="113"/>
        <v>100</v>
      </c>
      <c r="L423" s="181"/>
      <c r="M423" s="181"/>
      <c r="N423" s="181"/>
      <c r="O423" s="181"/>
      <c r="P423" s="181"/>
    </row>
    <row r="424" spans="1:16" ht="21.75" customHeight="1" x14ac:dyDescent="0.45">
      <c r="A424" s="175"/>
      <c r="B424" s="176"/>
      <c r="C424" s="176"/>
      <c r="D424" s="193"/>
      <c r="E424" s="198"/>
      <c r="F424" s="195"/>
      <c r="G424" s="225" t="s">
        <v>153</v>
      </c>
      <c r="H424" s="180" t="s">
        <v>37</v>
      </c>
      <c r="I424" s="339">
        <f ca="1">IFERROR(__xludf.DUMMYFUNCTION("IMPORTRANGE(""https://docs.google.com/spreadsheets/d/11923uPwbBZFjjGgGUA6NLw09EwE0CqkOc4q9oUmW1yo/edit?usp=sharing"",""เชียงใหม่!I319"")"),15)</f>
        <v>15</v>
      </c>
      <c r="J424" s="392">
        <f ca="1">IFERROR(__xludf.DUMMYFUNCTION("IMPORTRANGE(""https://docs.google.com/spreadsheets/d/11923uPwbBZFjjGgGUA6NLw09EwE0CqkOc4q9oUmW1yo/edit?usp=sharing"",""เชียงใหม่!J319"")"),15)</f>
        <v>15</v>
      </c>
      <c r="K424" s="163">
        <f t="shared" ca="1" si="113"/>
        <v>100</v>
      </c>
      <c r="L424" s="181"/>
      <c r="M424" s="181"/>
      <c r="N424" s="181"/>
      <c r="O424" s="181"/>
      <c r="P424" s="181"/>
    </row>
    <row r="425" spans="1:16" ht="21.75" customHeight="1" x14ac:dyDescent="0.45">
      <c r="A425" s="175"/>
      <c r="B425" s="176"/>
      <c r="C425" s="176"/>
      <c r="D425" s="193"/>
      <c r="E425" s="198"/>
      <c r="F425" s="195"/>
      <c r="G425" s="225" t="s">
        <v>154</v>
      </c>
      <c r="H425" s="180" t="s">
        <v>37</v>
      </c>
      <c r="I425" s="339">
        <f ca="1">IFERROR(__xludf.DUMMYFUNCTION("IMPORTRANGE(""https://docs.google.com/spreadsheets/d/11923uPwbBZFjjGgGUA6NLw09EwE0CqkOc4q9oUmW1yo/edit?usp=sharing"",""เชียงใหม่!I320"")"),15)</f>
        <v>15</v>
      </c>
      <c r="J425" s="392">
        <f ca="1">IFERROR(__xludf.DUMMYFUNCTION("IMPORTRANGE(""https://docs.google.com/spreadsheets/d/11923uPwbBZFjjGgGUA6NLw09EwE0CqkOc4q9oUmW1yo/edit?usp=sharing"",""เชียงใหม่!J320"")"),15)</f>
        <v>15</v>
      </c>
      <c r="K425" s="163">
        <f t="shared" ca="1" si="113"/>
        <v>100</v>
      </c>
      <c r="L425" s="181"/>
      <c r="M425" s="181"/>
      <c r="N425" s="181"/>
      <c r="O425" s="181"/>
      <c r="P425" s="181"/>
    </row>
    <row r="426" spans="1:16" ht="21.75" customHeight="1" x14ac:dyDescent="0.45">
      <c r="A426" s="175"/>
      <c r="B426" s="176"/>
      <c r="C426" s="176"/>
      <c r="D426" s="193"/>
      <c r="E426" s="198"/>
      <c r="F426" s="397" t="s">
        <v>155</v>
      </c>
      <c r="G426" s="196"/>
      <c r="H426" s="199" t="s">
        <v>37</v>
      </c>
      <c r="I426" s="389">
        <f ca="1">IFERROR(__xludf.DUMMYFUNCTION("IMPORTRANGE(""https://docs.google.com/spreadsheets/d/11923uPwbBZFjjGgGUA6NLw09EwE0CqkOc4q9oUmW1yo/edit?usp=sharing"",""เชียงใหม่!I321"")"),10)</f>
        <v>10</v>
      </c>
      <c r="J426" s="390">
        <f ca="1">IFERROR(__xludf.DUMMYFUNCTION("IMPORTRANGE(""https://docs.google.com/spreadsheets/d/11923uPwbBZFjjGgGUA6NLw09EwE0CqkOc4q9oUmW1yo/edit?usp=sharing"",""เชียงใหม่!J321"")"),10)</f>
        <v>10</v>
      </c>
      <c r="K426" s="201">
        <f t="shared" ca="1" si="113"/>
        <v>100</v>
      </c>
      <c r="L426" s="181"/>
      <c r="M426" s="181"/>
      <c r="N426" s="181"/>
      <c r="O426" s="181"/>
      <c r="P426" s="181"/>
    </row>
    <row r="427" spans="1:16" ht="21.75" customHeight="1" x14ac:dyDescent="0.45">
      <c r="A427" s="175"/>
      <c r="B427" s="176"/>
      <c r="C427" s="176"/>
      <c r="D427" s="193"/>
      <c r="E427" s="198"/>
      <c r="F427" s="195"/>
      <c r="G427" s="196"/>
      <c r="H427" s="199" t="s">
        <v>122</v>
      </c>
      <c r="I427" s="389">
        <f ca="1">IFERROR(__xludf.DUMMYFUNCTION("IMPORTRANGE(""https://docs.google.com/spreadsheets/d/11923uPwbBZFjjGgGUA6NLw09EwE0CqkOc4q9oUmW1yo/edit?usp=sharing"",""เชียงใหม่!I322"")"),30)</f>
        <v>30</v>
      </c>
      <c r="J427" s="391">
        <f ca="1">IFERROR(__xludf.DUMMYFUNCTION("IMPORTRANGE(""https://docs.google.com/spreadsheets/d/11923uPwbBZFjjGgGUA6NLw09EwE0CqkOc4q9oUmW1yo/edit?usp=sharing"",""เชียงใหม่!J322"")"),30)</f>
        <v>30</v>
      </c>
      <c r="K427" s="201">
        <f t="shared" ca="1" si="113"/>
        <v>100</v>
      </c>
      <c r="L427" s="181"/>
      <c r="M427" s="181"/>
      <c r="N427" s="181"/>
      <c r="O427" s="181"/>
      <c r="P427" s="181"/>
    </row>
    <row r="428" spans="1:16" ht="21.75" customHeight="1" x14ac:dyDescent="0.45">
      <c r="A428" s="175"/>
      <c r="B428" s="176"/>
      <c r="C428" s="176"/>
      <c r="D428" s="193"/>
      <c r="E428" s="198"/>
      <c r="F428" s="195"/>
      <c r="G428" s="225" t="s">
        <v>156</v>
      </c>
      <c r="H428" s="180" t="s">
        <v>37</v>
      </c>
      <c r="I428" s="398">
        <f ca="1">IFERROR(__xludf.DUMMYFUNCTION("IMPORTRANGE(""https://docs.google.com/spreadsheets/d/11923uPwbBZFjjGgGUA6NLw09EwE0CqkOc4q9oUmW1yo/edit?usp=sharing"",""เชียงใหม่!I323"")"),10)</f>
        <v>10</v>
      </c>
      <c r="J428" s="392">
        <f ca="1">IFERROR(__xludf.DUMMYFUNCTION("IMPORTRANGE(""https://docs.google.com/spreadsheets/d/11923uPwbBZFjjGgGUA6NLw09EwE0CqkOc4q9oUmW1yo/edit?usp=sharing"",""เชียงใหม่!J323"")"),10)</f>
        <v>10</v>
      </c>
      <c r="K428" s="163">
        <f t="shared" ca="1" si="113"/>
        <v>100</v>
      </c>
      <c r="L428" s="181"/>
      <c r="M428" s="181"/>
      <c r="N428" s="181"/>
      <c r="O428" s="181"/>
      <c r="P428" s="181"/>
    </row>
    <row r="429" spans="1:16" ht="21.75" customHeight="1" x14ac:dyDescent="0.45">
      <c r="A429" s="175"/>
      <c r="B429" s="176"/>
      <c r="C429" s="176"/>
      <c r="D429" s="193"/>
      <c r="E429" s="198"/>
      <c r="F429" s="195"/>
      <c r="G429" s="225" t="s">
        <v>157</v>
      </c>
      <c r="H429" s="180" t="s">
        <v>37</v>
      </c>
      <c r="I429" s="398">
        <f ca="1">IFERROR(__xludf.DUMMYFUNCTION("IMPORTRANGE(""https://docs.google.com/spreadsheets/d/11923uPwbBZFjjGgGUA6NLw09EwE0CqkOc4q9oUmW1yo/edit?usp=sharing"",""เชียงใหม่!I324"")"),10)</f>
        <v>10</v>
      </c>
      <c r="J429" s="392">
        <f ca="1">IFERROR(__xludf.DUMMYFUNCTION("IMPORTRANGE(""https://docs.google.com/spreadsheets/d/11923uPwbBZFjjGgGUA6NLw09EwE0CqkOc4q9oUmW1yo/edit?usp=sharing"",""เชียงใหม่!J324"")"),10)</f>
        <v>10</v>
      </c>
      <c r="K429" s="163">
        <f t="shared" ca="1" si="113"/>
        <v>100</v>
      </c>
      <c r="L429" s="181"/>
      <c r="M429" s="181"/>
      <c r="N429" s="181"/>
      <c r="O429" s="181"/>
      <c r="P429" s="181"/>
    </row>
    <row r="430" spans="1:16" ht="21.75" customHeight="1" x14ac:dyDescent="0.45">
      <c r="A430" s="175"/>
      <c r="B430" s="176"/>
      <c r="C430" s="176"/>
      <c r="D430" s="193"/>
      <c r="E430" s="198"/>
      <c r="F430" s="194" t="s">
        <v>53</v>
      </c>
      <c r="G430" s="386"/>
      <c r="H430" s="399" t="s">
        <v>37</v>
      </c>
      <c r="I430" s="200">
        <f ca="1">IFERROR(__xludf.DUMMYFUNCTION("IMPORTRANGE(""https://docs.google.com/spreadsheets/d/11923uPwbBZFjjGgGUA6NLw09EwE0CqkOc4q9oUmW1yo/edit?usp=sharing"",""เชียงใหม่!I325"")"),25)</f>
        <v>25</v>
      </c>
      <c r="J430" s="390">
        <f ca="1">IFERROR(__xludf.DUMMYFUNCTION("IMPORTRANGE(""https://docs.google.com/spreadsheets/d/11923uPwbBZFjjGgGUA6NLw09EwE0CqkOc4q9oUmW1yo/edit?usp=sharing"",""เชียงใหม่!J325"")"),0)</f>
        <v>0</v>
      </c>
      <c r="K430" s="201">
        <f t="shared" ca="1" si="113"/>
        <v>0</v>
      </c>
      <c r="L430" s="181"/>
      <c r="M430" s="181"/>
      <c r="N430" s="181"/>
      <c r="O430" s="181"/>
      <c r="P430" s="181"/>
    </row>
    <row r="431" spans="1:16" ht="21.75" customHeight="1" x14ac:dyDescent="0.45">
      <c r="A431" s="400"/>
      <c r="B431" s="401"/>
      <c r="C431" s="401"/>
      <c r="D431" s="402"/>
      <c r="E431" s="198"/>
      <c r="F431" s="195"/>
      <c r="G431" s="225" t="s">
        <v>158</v>
      </c>
      <c r="H431" s="180" t="s">
        <v>37</v>
      </c>
      <c r="I431" s="398">
        <f ca="1">IFERROR(__xludf.DUMMYFUNCTION("IMPORTRANGE(""https://docs.google.com/spreadsheets/d/11923uPwbBZFjjGgGUA6NLw09EwE0CqkOc4q9oUmW1yo/edit?usp=sharing"",""เชียงใหม่!I326"")"),10)</f>
        <v>10</v>
      </c>
      <c r="J431" s="392">
        <f ca="1">IFERROR(__xludf.DUMMYFUNCTION("IMPORTRANGE(""https://docs.google.com/spreadsheets/d/11923uPwbBZFjjGgGUA6NLw09EwE0CqkOc4q9oUmW1yo/edit?usp=sharing"",""เชียงใหม่!J326"")"),0)</f>
        <v>0</v>
      </c>
      <c r="K431" s="163">
        <f t="shared" ca="1" si="113"/>
        <v>0</v>
      </c>
      <c r="L431" s="181"/>
      <c r="M431" s="181"/>
      <c r="N431" s="181"/>
      <c r="O431" s="181"/>
      <c r="P431" s="181"/>
    </row>
    <row r="432" spans="1:16" ht="21.75" customHeight="1" x14ac:dyDescent="0.45">
      <c r="A432" s="400"/>
      <c r="B432" s="401"/>
      <c r="C432" s="401"/>
      <c r="D432" s="402"/>
      <c r="E432" s="198"/>
      <c r="F432" s="195"/>
      <c r="G432" s="225" t="s">
        <v>159</v>
      </c>
      <c r="H432" s="180" t="s">
        <v>37</v>
      </c>
      <c r="I432" s="398">
        <f ca="1">IFERROR(__xludf.DUMMYFUNCTION("IMPORTRANGE(""https://docs.google.com/spreadsheets/d/11923uPwbBZFjjGgGUA6NLw09EwE0CqkOc4q9oUmW1yo/edit?usp=sharing"",""เชียงใหม่!I327"")"),15)</f>
        <v>15</v>
      </c>
      <c r="J432" s="392">
        <f ca="1">IFERROR(__xludf.DUMMYFUNCTION("IMPORTRANGE(""https://docs.google.com/spreadsheets/d/11923uPwbBZFjjGgGUA6NLw09EwE0CqkOc4q9oUmW1yo/edit?usp=sharing"",""เชียงใหม่!J327"")"),0)</f>
        <v>0</v>
      </c>
      <c r="K432" s="163">
        <f t="shared" ca="1" si="113"/>
        <v>0</v>
      </c>
      <c r="L432" s="181"/>
      <c r="M432" s="181"/>
      <c r="N432" s="181"/>
      <c r="O432" s="181"/>
      <c r="P432" s="181"/>
    </row>
    <row r="433" spans="1:16" ht="21.75" customHeight="1" x14ac:dyDescent="0.3">
      <c r="A433" s="175"/>
      <c r="B433" s="176"/>
      <c r="C433" s="176"/>
      <c r="D433" s="193"/>
      <c r="E433" s="194" t="s">
        <v>54</v>
      </c>
      <c r="F433" s="195"/>
      <c r="G433" s="196"/>
      <c r="H433" s="186"/>
      <c r="I433" s="187"/>
      <c r="J433" s="197">
        <f ca="1">IFERROR(__xludf.DUMMYFUNCTION("IMPORTRANGE(""https://docs.google.com/spreadsheets/d/11923uPwbBZFjjGgGUA6NLw09EwE0CqkOc4q9oUmW1yo/edit?usp=sharing"",""เชียงใหม่!J328"")"),0)</f>
        <v>0</v>
      </c>
      <c r="K433" s="163"/>
      <c r="L433" s="181"/>
      <c r="M433" s="181"/>
      <c r="N433" s="181"/>
      <c r="O433" s="181"/>
      <c r="P433" s="181"/>
    </row>
    <row r="434" spans="1:16" ht="21.75" customHeight="1" x14ac:dyDescent="0.3">
      <c r="A434" s="175"/>
      <c r="B434" s="176"/>
      <c r="C434" s="176"/>
      <c r="D434" s="205">
        <v>3</v>
      </c>
      <c r="E434" s="206" t="s">
        <v>55</v>
      </c>
      <c r="F434" s="207"/>
      <c r="G434" s="208"/>
      <c r="H434" s="186"/>
      <c r="I434" s="187"/>
      <c r="J434" s="209">
        <f ca="1">IFERROR(__xludf.DUMMYFUNCTION("IMPORTRANGE(""https://docs.google.com/spreadsheets/d/11923uPwbBZFjjGgGUA6NLw09EwE0CqkOc4q9oUmW1yo/edit?usp=sharing"",""เชียงใหม่!J329"")"),0)</f>
        <v>0</v>
      </c>
      <c r="K434" s="163"/>
      <c r="L434" s="181"/>
      <c r="M434" s="181"/>
      <c r="N434" s="181"/>
      <c r="O434" s="181"/>
      <c r="P434" s="181"/>
    </row>
    <row r="435" spans="1:16" ht="21.75" customHeight="1" x14ac:dyDescent="0.3">
      <c r="A435" s="403"/>
      <c r="B435" s="404">
        <v>4</v>
      </c>
      <c r="C435" s="404" t="s">
        <v>160</v>
      </c>
      <c r="D435" s="405"/>
      <c r="E435" s="405"/>
      <c r="F435" s="405"/>
      <c r="G435" s="406"/>
      <c r="H435" s="407" t="s">
        <v>37</v>
      </c>
      <c r="I435" s="408">
        <f ca="1">IFERROR(__xludf.DUMMYFUNCTION("IMPORTRANGE(""https://docs.google.com/spreadsheets/d/11923uPwbBZFjjGgGUA6NLw09EwE0CqkOc4q9oUmW1yo/edit?usp=sharing"",""เชียงใหม่!I330"")"),20)</f>
        <v>20</v>
      </c>
      <c r="J435" s="408">
        <f ca="1">IFERROR(__xludf.DUMMYFUNCTION("IMPORTRANGE(""https://docs.google.com/spreadsheets/d/11923uPwbBZFjjGgGUA6NLw09EwE0CqkOc4q9oUmW1yo/edit?usp=sharing"",""เชียงใหม่!J330"")"),20)</f>
        <v>20</v>
      </c>
      <c r="K435" s="409">
        <f ca="1">IF(I435&gt;0,J435*100/I435,0)</f>
        <v>100</v>
      </c>
      <c r="L435" s="410">
        <f ca="1">IFERROR(__xludf.DUMMYFUNCTION("IMPORTRANGE(""https://docs.google.com/spreadsheets/d/11923uPwbBZFjjGgGUA6NLw09EwE0CqkOc4q9oUmW1yo/edit?usp=sharing"",""เชียงใหม่!L330"")"),95000)</f>
        <v>95000</v>
      </c>
      <c r="M435" s="410"/>
      <c r="N435" s="410">
        <f ca="1">IFERROR(__xludf.DUMMYFUNCTION("IMPORTRANGE(""https://docs.google.com/spreadsheets/d/11923uPwbBZFjjGgGUA6NLw09EwE0CqkOc4q9oUmW1yo/edit?usp=sharing"",""เชียงใหม่!M330"")"),35925)</f>
        <v>35925</v>
      </c>
      <c r="O435" s="410">
        <f t="shared" ref="O435:O439" ca="1" si="114">+IF(L435&gt;0,N435*100/L435,0)</f>
        <v>37.815789473684212</v>
      </c>
      <c r="P435" s="410"/>
    </row>
    <row r="436" spans="1:16" ht="21.75" customHeight="1" x14ac:dyDescent="0.3">
      <c r="A436" s="156"/>
      <c r="B436" s="157"/>
      <c r="C436" s="157" t="s">
        <v>16</v>
      </c>
      <c r="D436" s="158" t="s">
        <v>38</v>
      </c>
      <c r="E436" s="159"/>
      <c r="F436" s="159"/>
      <c r="G436" s="160" t="s">
        <v>39</v>
      </c>
      <c r="H436" s="161" t="s">
        <v>12</v>
      </c>
      <c r="I436" s="162" t="s">
        <v>40</v>
      </c>
      <c r="J436" s="162"/>
      <c r="K436" s="163"/>
      <c r="L436" s="164">
        <f ca="1">IFERROR(__xludf.DUMMYFUNCTION("IMPORTRANGE(""https://docs.google.com/spreadsheets/d/11923uPwbBZFjjGgGUA6NLw09EwE0CqkOc4q9oUmW1yo/edit?usp=sharing"",""เชียงใหม่!L331"")"),0)</f>
        <v>0</v>
      </c>
      <c r="M436" s="164"/>
      <c r="N436" s="168">
        <f ca="1">IFERROR(__xludf.DUMMYFUNCTION("IMPORTRANGE(""https://docs.google.com/spreadsheets/d/11923uPwbBZFjjGgGUA6NLw09EwE0CqkOc4q9oUmW1yo/edit?usp=sharing"",""เชียงใหม่!M331"")"),0)</f>
        <v>0</v>
      </c>
      <c r="O436" s="168">
        <f t="shared" ca="1" si="114"/>
        <v>0</v>
      </c>
      <c r="P436" s="168"/>
    </row>
    <row r="437" spans="1:16" ht="21.75" customHeight="1" x14ac:dyDescent="0.3">
      <c r="A437" s="156"/>
      <c r="B437" s="157"/>
      <c r="C437" s="157"/>
      <c r="D437" s="166"/>
      <c r="E437" s="159"/>
      <c r="F437" s="159" t="s">
        <v>40</v>
      </c>
      <c r="G437" s="160" t="s">
        <v>41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IFERROR(__xludf.DUMMYFUNCTION("IMPORTRANGE(""https://docs.google.com/spreadsheets/d/11923uPwbBZFjjGgGUA6NLw09EwE0CqkOc4q9oUmW1yo/edit?usp=sharing"",""เชียงใหม่!L332"")"),95000)</f>
        <v>95000</v>
      </c>
      <c r="M437" s="165"/>
      <c r="N437" s="168">
        <f ca="1">IFERROR(__xludf.DUMMYFUNCTION("IMPORTRANGE(""https://docs.google.com/spreadsheets/d/11923uPwbBZFjjGgGUA6NLw09EwE0CqkOc4q9oUmW1yo/edit?usp=sharing"",""เชียงใหม่!M332"")"),35925)</f>
        <v>35925</v>
      </c>
      <c r="O437" s="168">
        <f t="shared" ca="1" si="114"/>
        <v>37.815789473684212</v>
      </c>
      <c r="P437" s="168"/>
    </row>
    <row r="438" spans="1:16" ht="21.75" customHeight="1" x14ac:dyDescent="0.3">
      <c r="A438" s="156"/>
      <c r="B438" s="157"/>
      <c r="C438" s="157"/>
      <c r="D438" s="166"/>
      <c r="E438" s="159"/>
      <c r="F438" s="159"/>
      <c r="G438" s="372" t="s">
        <v>129</v>
      </c>
      <c r="H438" s="161" t="s">
        <v>12</v>
      </c>
      <c r="I438" s="162"/>
      <c r="J438" s="162"/>
      <c r="K438" s="163"/>
      <c r="L438" s="168">
        <f ca="1">IFERROR(__xludf.DUMMYFUNCTION("IMPORTRANGE(""https://docs.google.com/spreadsheets/d/11923uPwbBZFjjGgGUA6NLw09EwE0CqkOc4q9oUmW1yo/edit?usp=sharing"",""เชียงใหม่!L333"")"),0)</f>
        <v>0</v>
      </c>
      <c r="M438" s="168"/>
      <c r="N438" s="168">
        <f ca="1">IFERROR(__xludf.DUMMYFUNCTION("IMPORTRANGE(""https://docs.google.com/spreadsheets/d/11923uPwbBZFjjGgGUA6NLw09EwE0CqkOc4q9oUmW1yo/edit?usp=sharing"",""เชียงใหม่!M333"")"),0)</f>
        <v>0</v>
      </c>
      <c r="O438" s="168">
        <f t="shared" ca="1" si="114"/>
        <v>0</v>
      </c>
      <c r="P438" s="168"/>
    </row>
    <row r="439" spans="1:16" ht="21.75" customHeight="1" x14ac:dyDescent="0.3">
      <c r="A439" s="156"/>
      <c r="B439" s="157"/>
      <c r="C439" s="157"/>
      <c r="D439" s="166"/>
      <c r="E439" s="159"/>
      <c r="F439" s="159"/>
      <c r="G439" s="372" t="s">
        <v>130</v>
      </c>
      <c r="H439" s="161" t="s">
        <v>12</v>
      </c>
      <c r="I439" s="162"/>
      <c r="J439" s="162"/>
      <c r="K439" s="163"/>
      <c r="L439" s="168">
        <f ca="1">IFERROR(__xludf.DUMMYFUNCTION("IMPORTRANGE(""https://docs.google.com/spreadsheets/d/11923uPwbBZFjjGgGUA6NLw09EwE0CqkOc4q9oUmW1yo/edit?usp=sharing"",""เชียงใหม่!L334"")"),95000)</f>
        <v>95000</v>
      </c>
      <c r="M439" s="168"/>
      <c r="N439" s="168">
        <f ca="1">IFERROR(__xludf.DUMMYFUNCTION("IMPORTRANGE(""https://docs.google.com/spreadsheets/d/11923uPwbBZFjjGgGUA6NLw09EwE0CqkOc4q9oUmW1yo/edit?usp=sharing"",""เชียงใหม่!M334"")"),35925)</f>
        <v>35925</v>
      </c>
      <c r="O439" s="168">
        <f t="shared" ca="1" si="114"/>
        <v>37.815789473684212</v>
      </c>
      <c r="P439" s="168"/>
    </row>
    <row r="440" spans="1:16" ht="21.75" customHeight="1" x14ac:dyDescent="0.3">
      <c r="A440" s="373"/>
      <c r="B440" s="374"/>
      <c r="C440" s="157"/>
      <c r="D440" s="375"/>
      <c r="E440" s="159"/>
      <c r="F440" s="159"/>
      <c r="G440" s="376" t="s">
        <v>131</v>
      </c>
      <c r="H440" s="161" t="s">
        <v>12</v>
      </c>
      <c r="I440" s="187"/>
      <c r="J440" s="187"/>
      <c r="K440" s="223"/>
      <c r="L440" s="168"/>
      <c r="M440" s="168"/>
      <c r="N440" s="377">
        <f ca="1">IFERROR(__xludf.DUMMYFUNCTION("IMPORTRANGE(""https://docs.google.com/spreadsheets/d/11923uPwbBZFjjGgGUA6NLw09EwE0CqkOc4q9oUmW1yo/edit?usp=sharing"",""เชียงใหม่!M335"")"),22395)</f>
        <v>22395</v>
      </c>
      <c r="O440" s="168"/>
      <c r="P440" s="168"/>
    </row>
    <row r="441" spans="1:16" ht="21.75" customHeight="1" x14ac:dyDescent="0.3">
      <c r="A441" s="373"/>
      <c r="B441" s="374"/>
      <c r="C441" s="157"/>
      <c r="D441" s="375"/>
      <c r="E441" s="159"/>
      <c r="F441" s="159"/>
      <c r="G441" s="376" t="s">
        <v>132</v>
      </c>
      <c r="H441" s="161" t="s">
        <v>12</v>
      </c>
      <c r="I441" s="187"/>
      <c r="J441" s="187"/>
      <c r="K441" s="223"/>
      <c r="L441" s="168"/>
      <c r="M441" s="168"/>
      <c r="N441" s="377">
        <f ca="1">IFERROR(__xludf.DUMMYFUNCTION("IMPORTRANGE(""https://docs.google.com/spreadsheets/d/11923uPwbBZFjjGgGUA6NLw09EwE0CqkOc4q9oUmW1yo/edit?usp=sharing"",""เชียงใหม่!M336"")"),0)</f>
        <v>0</v>
      </c>
      <c r="O441" s="168"/>
      <c r="P441" s="168"/>
    </row>
    <row r="442" spans="1:16" ht="21.75" customHeight="1" x14ac:dyDescent="0.3">
      <c r="A442" s="373"/>
      <c r="B442" s="374"/>
      <c r="C442" s="157"/>
      <c r="D442" s="375"/>
      <c r="E442" s="159"/>
      <c r="F442" s="159"/>
      <c r="G442" s="376" t="s">
        <v>133</v>
      </c>
      <c r="H442" s="161" t="s">
        <v>12</v>
      </c>
      <c r="I442" s="187"/>
      <c r="J442" s="187"/>
      <c r="K442" s="223"/>
      <c r="L442" s="168"/>
      <c r="M442" s="168"/>
      <c r="N442" s="377">
        <f ca="1">IFERROR(__xludf.DUMMYFUNCTION("IMPORTRANGE(""https://docs.google.com/spreadsheets/d/11923uPwbBZFjjGgGUA6NLw09EwE0CqkOc4q9oUmW1yo/edit?usp=sharing"",""เชียงใหม่!M337"")"),0)</f>
        <v>0</v>
      </c>
      <c r="O442" s="168"/>
      <c r="P442" s="168"/>
    </row>
    <row r="443" spans="1:16" ht="21.75" customHeight="1" x14ac:dyDescent="0.3">
      <c r="A443" s="373"/>
      <c r="B443" s="374"/>
      <c r="C443" s="157"/>
      <c r="D443" s="375"/>
      <c r="E443" s="159"/>
      <c r="F443" s="159"/>
      <c r="G443" s="376" t="s">
        <v>134</v>
      </c>
      <c r="H443" s="161" t="s">
        <v>12</v>
      </c>
      <c r="I443" s="187"/>
      <c r="J443" s="187"/>
      <c r="K443" s="223"/>
      <c r="L443" s="168"/>
      <c r="M443" s="168"/>
      <c r="N443" s="377">
        <f ca="1">IFERROR(__xludf.DUMMYFUNCTION("IMPORTRANGE(""https://docs.google.com/spreadsheets/d/11923uPwbBZFjjGgGUA6NLw09EwE0CqkOc4q9oUmW1yo/edit?usp=sharing"",""เชียงใหม่!M338"")"),13530)</f>
        <v>13530</v>
      </c>
      <c r="O443" s="168"/>
      <c r="P443" s="168"/>
    </row>
    <row r="444" spans="1:16" ht="21.75" customHeight="1" x14ac:dyDescent="0.3">
      <c r="A444" s="175"/>
      <c r="B444" s="176"/>
      <c r="C444" s="157" t="s">
        <v>16</v>
      </c>
      <c r="D444" s="177" t="s">
        <v>44</v>
      </c>
      <c r="E444" s="178"/>
      <c r="F444" s="178"/>
      <c r="G444" s="179"/>
      <c r="H444" s="180"/>
      <c r="I444" s="162"/>
      <c r="J444" s="162"/>
      <c r="K444" s="163"/>
      <c r="L444" s="181"/>
      <c r="M444" s="181"/>
      <c r="N444" s="181"/>
      <c r="O444" s="181"/>
      <c r="P444" s="181"/>
    </row>
    <row r="445" spans="1:16" ht="21.75" customHeight="1" x14ac:dyDescent="0.3">
      <c r="A445" s="175"/>
      <c r="B445" s="176"/>
      <c r="C445" s="176"/>
      <c r="D445" s="182">
        <v>1</v>
      </c>
      <c r="E445" s="183" t="s">
        <v>45</v>
      </c>
      <c r="F445" s="184"/>
      <c r="G445" s="185"/>
      <c r="H445" s="186"/>
      <c r="I445" s="187"/>
      <c r="J445" s="209">
        <f ca="1">IFERROR(__xludf.DUMMYFUNCTION("IMPORTRANGE(""https://docs.google.com/spreadsheets/d/11923uPwbBZFjjGgGUA6NLw09EwE0CqkOc4q9oUmW1yo/edit?usp=sharing"",""เชียงใหม่!J340"")"),0)</f>
        <v>0</v>
      </c>
      <c r="K445" s="163"/>
      <c r="L445" s="181"/>
      <c r="M445" s="181"/>
      <c r="N445" s="181"/>
      <c r="O445" s="181"/>
      <c r="P445" s="181"/>
    </row>
    <row r="446" spans="1:16" ht="21.75" customHeight="1" x14ac:dyDescent="0.3">
      <c r="A446" s="175"/>
      <c r="B446" s="176"/>
      <c r="C446" s="176"/>
      <c r="D446" s="189">
        <v>2</v>
      </c>
      <c r="E446" s="190" t="s">
        <v>46</v>
      </c>
      <c r="F446" s="191"/>
      <c r="G446" s="192"/>
      <c r="H446" s="186"/>
      <c r="I446" s="187"/>
      <c r="J446" s="411">
        <f ca="1">IFERROR(__xludf.DUMMYFUNCTION("IMPORTRANGE(""https://docs.google.com/spreadsheets/d/11923uPwbBZFjjGgGUA6NLw09EwE0CqkOc4q9oUmW1yo/edit?usp=sharing"",""เชียงใหม่!J341"")"),1)</f>
        <v>1</v>
      </c>
      <c r="K446" s="163"/>
      <c r="L446" s="181" t="s">
        <v>40</v>
      </c>
      <c r="M446" s="181"/>
      <c r="N446" s="181" t="s">
        <v>40</v>
      </c>
      <c r="O446" s="181"/>
      <c r="P446" s="181"/>
    </row>
    <row r="447" spans="1:16" ht="21.75" customHeight="1" x14ac:dyDescent="0.3">
      <c r="A447" s="175"/>
      <c r="B447" s="176"/>
      <c r="C447" s="176"/>
      <c r="D447" s="193"/>
      <c r="E447" s="194" t="s">
        <v>161</v>
      </c>
      <c r="F447" s="195"/>
      <c r="G447" s="196"/>
      <c r="H447" s="186"/>
      <c r="I447" s="187"/>
      <c r="J447" s="188">
        <f ca="1">IFERROR(__xludf.DUMMYFUNCTION("IMPORTRANGE(""https://docs.google.com/spreadsheets/d/11923uPwbBZFjjGgGUA6NLw09EwE0CqkOc4q9oUmW1yo/edit?usp=sharing"",""เชียงใหม่!J342"")"),1)</f>
        <v>1</v>
      </c>
      <c r="K447" s="163"/>
      <c r="L447" s="181"/>
      <c r="M447" s="181"/>
      <c r="N447" s="181"/>
      <c r="O447" s="181"/>
      <c r="P447" s="181"/>
    </row>
    <row r="448" spans="1:16" ht="21.75" customHeight="1" x14ac:dyDescent="0.3">
      <c r="A448" s="175"/>
      <c r="B448" s="176"/>
      <c r="C448" s="176"/>
      <c r="D448" s="193"/>
      <c r="E448" s="194" t="s">
        <v>48</v>
      </c>
      <c r="F448" s="195"/>
      <c r="G448" s="196"/>
      <c r="H448" s="186"/>
      <c r="I448" s="187"/>
      <c r="J448" s="188">
        <f ca="1">IFERROR(__xludf.DUMMYFUNCTION("IMPORTRANGE(""https://docs.google.com/spreadsheets/d/11923uPwbBZFjjGgGUA6NLw09EwE0CqkOc4q9oUmW1yo/edit?usp=sharing"",""เชียงใหม่!J343"")"),1)</f>
        <v>1</v>
      </c>
      <c r="K448" s="163"/>
      <c r="L448" s="181"/>
      <c r="M448" s="181"/>
      <c r="N448" s="181"/>
      <c r="O448" s="181"/>
      <c r="P448" s="181"/>
    </row>
    <row r="449" spans="1:16" ht="21.75" customHeight="1" x14ac:dyDescent="0.3">
      <c r="A449" s="175"/>
      <c r="B449" s="176"/>
      <c r="C449" s="176"/>
      <c r="D449" s="193"/>
      <c r="E449" s="198"/>
      <c r="F449" s="412" t="s">
        <v>101</v>
      </c>
      <c r="G449" s="196"/>
      <c r="H449" s="186" t="s">
        <v>37</v>
      </c>
      <c r="I449" s="389">
        <f ca="1">IFERROR(__xludf.DUMMYFUNCTION("IMPORTRANGE(""https://docs.google.com/spreadsheets/d/11923uPwbBZFjjGgGUA6NLw09EwE0CqkOc4q9oUmW1yo/edit?usp=sharing"",""เชียงใหม่!I344"")"),20)</f>
        <v>20</v>
      </c>
      <c r="J449" s="200">
        <f ca="1">IFERROR(__xludf.DUMMYFUNCTION("IMPORTRANGE(""https://docs.google.com/spreadsheets/d/11923uPwbBZFjjGgGUA6NLw09EwE0CqkOc4q9oUmW1yo/edit?usp=sharing"",""เชียงใหม่!J344"")"),20)</f>
        <v>20</v>
      </c>
      <c r="K449" s="163">
        <f t="shared" ref="K449:K452" ca="1" si="115">IF(I449&gt;0,J449*100/I449,0)</f>
        <v>100</v>
      </c>
      <c r="L449" s="181"/>
      <c r="M449" s="181"/>
      <c r="N449" s="181"/>
      <c r="O449" s="181"/>
      <c r="P449" s="181"/>
    </row>
    <row r="450" spans="1:16" ht="21.75" customHeight="1" x14ac:dyDescent="0.3">
      <c r="A450" s="175"/>
      <c r="B450" s="176"/>
      <c r="C450" s="176"/>
      <c r="D450" s="193"/>
      <c r="E450" s="198"/>
      <c r="F450" s="195"/>
      <c r="G450" s="225" t="s">
        <v>162</v>
      </c>
      <c r="H450" s="186" t="s">
        <v>37</v>
      </c>
      <c r="I450" s="339">
        <f ca="1">IFERROR(__xludf.DUMMYFUNCTION("IMPORTRANGE(""https://docs.google.com/spreadsheets/d/11923uPwbBZFjjGgGUA6NLw09EwE0CqkOc4q9oUmW1yo/edit?usp=sharing"",""เชียงใหม่!I345"")"),20)</f>
        <v>20</v>
      </c>
      <c r="J450" s="188">
        <f ca="1">IFERROR(__xludf.DUMMYFUNCTION("IMPORTRANGE(""https://docs.google.com/spreadsheets/d/11923uPwbBZFjjGgGUA6NLw09EwE0CqkOc4q9oUmW1yo/edit?usp=sharing"",""เชียงใหม่!J345"")"),20)</f>
        <v>20</v>
      </c>
      <c r="K450" s="163">
        <f t="shared" ca="1" si="115"/>
        <v>100</v>
      </c>
      <c r="L450" s="181"/>
      <c r="M450" s="181"/>
      <c r="N450" s="181"/>
      <c r="O450" s="181"/>
      <c r="P450" s="181"/>
    </row>
    <row r="451" spans="1:16" ht="21.75" customHeight="1" x14ac:dyDescent="0.3">
      <c r="A451" s="175"/>
      <c r="B451" s="176"/>
      <c r="C451" s="176"/>
      <c r="D451" s="193"/>
      <c r="E451" s="198"/>
      <c r="F451" s="195"/>
      <c r="G451" s="279" t="s">
        <v>163</v>
      </c>
      <c r="H451" s="186" t="s">
        <v>37</v>
      </c>
      <c r="I451" s="339">
        <f ca="1">IFERROR(__xludf.DUMMYFUNCTION("IMPORTRANGE(""https://docs.google.com/spreadsheets/d/11923uPwbBZFjjGgGUA6NLw09EwE0CqkOc4q9oUmW1yo/edit?usp=sharing"",""เชียงใหม่!I346"")"),0)</f>
        <v>0</v>
      </c>
      <c r="J451" s="187">
        <f ca="1">IFERROR(__xludf.DUMMYFUNCTION("IMPORTRANGE(""https://docs.google.com/spreadsheets/d/11923uPwbBZFjjGgGUA6NLw09EwE0CqkOc4q9oUmW1yo/edit?usp=sharing"",""เชียงใหม่!J346"")"),0)</f>
        <v>0</v>
      </c>
      <c r="K451" s="163">
        <f t="shared" ca="1" si="115"/>
        <v>0</v>
      </c>
      <c r="L451" s="181"/>
      <c r="M451" s="181"/>
      <c r="N451" s="181"/>
      <c r="O451" s="181"/>
      <c r="P451" s="181"/>
    </row>
    <row r="452" spans="1:16" ht="21.75" customHeight="1" x14ac:dyDescent="0.3">
      <c r="A452" s="175"/>
      <c r="B452" s="176"/>
      <c r="C452" s="176"/>
      <c r="D452" s="193"/>
      <c r="E452" s="198"/>
      <c r="F452" s="195"/>
      <c r="G452" s="196" t="s">
        <v>164</v>
      </c>
      <c r="H452" s="186" t="s">
        <v>37</v>
      </c>
      <c r="I452" s="187">
        <f ca="1">IFERROR(__xludf.DUMMYFUNCTION("IMPORTRANGE(""https://docs.google.com/spreadsheets/d/11923uPwbBZFjjGgGUA6NLw09EwE0CqkOc4q9oUmW1yo/edit?usp=sharing"",""เชียงใหม่!I347"")"),0)</f>
        <v>0</v>
      </c>
      <c r="J452" s="187">
        <f ca="1">IFERROR(__xludf.DUMMYFUNCTION("IMPORTRANGE(""https://docs.google.com/spreadsheets/d/11923uPwbBZFjjGgGUA6NLw09EwE0CqkOc4q9oUmW1yo/edit?usp=sharing"",""เชียงใหม่!J347"")"),0)</f>
        <v>0</v>
      </c>
      <c r="K452" s="163">
        <f t="shared" ca="1" si="115"/>
        <v>0</v>
      </c>
      <c r="L452" s="181"/>
      <c r="M452" s="181"/>
      <c r="N452" s="181"/>
      <c r="O452" s="181"/>
      <c r="P452" s="181"/>
    </row>
    <row r="453" spans="1:16" ht="21.75" customHeight="1" x14ac:dyDescent="0.3">
      <c r="A453" s="175"/>
      <c r="B453" s="176"/>
      <c r="C453" s="176"/>
      <c r="D453" s="193"/>
      <c r="E453" s="194" t="s">
        <v>54</v>
      </c>
      <c r="F453" s="195"/>
      <c r="G453" s="196"/>
      <c r="H453" s="186"/>
      <c r="I453" s="187"/>
      <c r="J453" s="197">
        <f ca="1">IFERROR(__xludf.DUMMYFUNCTION("IMPORTRANGE(""https://docs.google.com/spreadsheets/d/11923uPwbBZFjjGgGUA6NLw09EwE0CqkOc4q9oUmW1yo/edit?usp=sharing"",""เชียงใหม่!J348"")"),0)</f>
        <v>0</v>
      </c>
      <c r="K453" s="163"/>
      <c r="L453" s="181"/>
      <c r="M453" s="181"/>
      <c r="N453" s="181"/>
      <c r="O453" s="181"/>
      <c r="P453" s="181"/>
    </row>
    <row r="454" spans="1:16" ht="21.75" customHeight="1" x14ac:dyDescent="0.3">
      <c r="A454" s="175"/>
      <c r="B454" s="176"/>
      <c r="C454" s="176"/>
      <c r="D454" s="205">
        <v>3</v>
      </c>
      <c r="E454" s="206" t="s">
        <v>55</v>
      </c>
      <c r="F454" s="207"/>
      <c r="G454" s="208"/>
      <c r="H454" s="186"/>
      <c r="I454" s="187"/>
      <c r="J454" s="209">
        <f ca="1">IFERROR(__xludf.DUMMYFUNCTION("IMPORTRANGE(""https://docs.google.com/spreadsheets/d/11923uPwbBZFjjGgGUA6NLw09EwE0CqkOc4q9oUmW1yo/edit?usp=sharing"",""เชียงใหม่!J349"")"),0)</f>
        <v>0</v>
      </c>
      <c r="K454" s="163"/>
      <c r="L454" s="181"/>
      <c r="M454" s="181"/>
      <c r="N454" s="181"/>
      <c r="O454" s="181"/>
      <c r="P454" s="181"/>
    </row>
    <row r="455" spans="1:16" ht="21.75" customHeight="1" x14ac:dyDescent="0.3">
      <c r="A455" s="364"/>
      <c r="B455" s="365">
        <v>5</v>
      </c>
      <c r="C455" s="366" t="s">
        <v>165</v>
      </c>
      <c r="D455" s="366"/>
      <c r="E455" s="366"/>
      <c r="F455" s="366"/>
      <c r="G455" s="367"/>
      <c r="H455" s="368" t="s">
        <v>122</v>
      </c>
      <c r="I455" s="369">
        <f ca="1">IFERROR(__xludf.DUMMYFUNCTION("IMPORTRANGE(""https://docs.google.com/spreadsheets/d/11923uPwbBZFjjGgGUA6NLw09EwE0CqkOc4q9oUmW1yo/edit?usp=sharing"",""เชียงใหม่!I350"")"),19467)</f>
        <v>19467</v>
      </c>
      <c r="J455" s="369">
        <f ca="1">IFERROR(__xludf.DUMMYFUNCTION("IMPORTRANGE(""https://docs.google.com/spreadsheets/d/11923uPwbBZFjjGgGUA6NLw09EwE0CqkOc4q9oUmW1yo/edit?usp=sharing"",""เชียงใหม่!J350"")"),9322)</f>
        <v>9322</v>
      </c>
      <c r="K455" s="370">
        <f ca="1">IF(I455&gt;0,J455*100/I455,0)</f>
        <v>47.886166332768276</v>
      </c>
      <c r="L455" s="371">
        <f ca="1">IFERROR(__xludf.DUMMYFUNCTION("IMPORTRANGE(""https://docs.google.com/spreadsheets/d/11923uPwbBZFjjGgGUA6NLw09EwE0CqkOc4q9oUmW1yo/edit?usp=sharing"",""เชียงใหม่!L350"")"),536539)</f>
        <v>536539</v>
      </c>
      <c r="M455" s="371"/>
      <c r="N455" s="371">
        <f ca="1">IFERROR(__xludf.DUMMYFUNCTION("IMPORTRANGE(""https://docs.google.com/spreadsheets/d/11923uPwbBZFjjGgGUA6NLw09EwE0CqkOc4q9oUmW1yo/edit?usp=sharing"",""เชียงใหม่!M350"")"),155745.58)</f>
        <v>155745.57999999999</v>
      </c>
      <c r="O455" s="371">
        <f t="shared" ref="O455:O459" ca="1" si="116">+IF(L455&gt;0,N455*100/L455,0)</f>
        <v>29.027820903979016</v>
      </c>
      <c r="P455" s="371"/>
    </row>
    <row r="456" spans="1:16" ht="21.75" customHeight="1" x14ac:dyDescent="0.3">
      <c r="A456" s="156"/>
      <c r="B456" s="157"/>
      <c r="C456" s="157" t="s">
        <v>16</v>
      </c>
      <c r="D456" s="158" t="s">
        <v>38</v>
      </c>
      <c r="E456" s="159"/>
      <c r="F456" s="159"/>
      <c r="G456" s="160" t="s">
        <v>39</v>
      </c>
      <c r="H456" s="161" t="s">
        <v>12</v>
      </c>
      <c r="I456" s="162" t="s">
        <v>40</v>
      </c>
      <c r="J456" s="162"/>
      <c r="K456" s="163"/>
      <c r="L456" s="164">
        <f ca="1">IFERROR(__xludf.DUMMYFUNCTION("IMPORTRANGE(""https://docs.google.com/spreadsheets/d/11923uPwbBZFjjGgGUA6NLw09EwE0CqkOc4q9oUmW1yo/edit?usp=sharing"",""เชียงใหม่!L351"")"),0)</f>
        <v>0</v>
      </c>
      <c r="M456" s="164"/>
      <c r="N456" s="168">
        <f ca="1">IFERROR(__xludf.DUMMYFUNCTION("IMPORTRANGE(""https://docs.google.com/spreadsheets/d/11923uPwbBZFjjGgGUA6NLw09EwE0CqkOc4q9oUmW1yo/edit?usp=sharing"",""เชียงใหม่!M351"")"),0)</f>
        <v>0</v>
      </c>
      <c r="O456" s="168">
        <f t="shared" ca="1" si="116"/>
        <v>0</v>
      </c>
      <c r="P456" s="168"/>
    </row>
    <row r="457" spans="1:16" ht="21.75" customHeight="1" x14ac:dyDescent="0.3">
      <c r="A457" s="156"/>
      <c r="B457" s="157"/>
      <c r="C457" s="157"/>
      <c r="D457" s="166"/>
      <c r="E457" s="159"/>
      <c r="F457" s="159" t="s">
        <v>40</v>
      </c>
      <c r="G457" s="160" t="s">
        <v>41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IFERROR(__xludf.DUMMYFUNCTION("IMPORTRANGE(""https://docs.google.com/spreadsheets/d/11923uPwbBZFjjGgGUA6NLw09EwE0CqkOc4q9oUmW1yo/edit?usp=sharing"",""เชียงใหม่!L352"")"),536539)</f>
        <v>536539</v>
      </c>
      <c r="M457" s="165"/>
      <c r="N457" s="168">
        <f ca="1">IFERROR(__xludf.DUMMYFUNCTION("IMPORTRANGE(""https://docs.google.com/spreadsheets/d/11923uPwbBZFjjGgGUA6NLw09EwE0CqkOc4q9oUmW1yo/edit?usp=sharing"",""เชียงใหม่!M352"")"),155745.58)</f>
        <v>155745.57999999999</v>
      </c>
      <c r="O457" s="168">
        <f t="shared" ca="1" si="116"/>
        <v>29.027820903979016</v>
      </c>
      <c r="P457" s="168"/>
    </row>
    <row r="458" spans="1:16" ht="21.75" customHeight="1" x14ac:dyDescent="0.3">
      <c r="A458" s="156"/>
      <c r="B458" s="157"/>
      <c r="C458" s="157"/>
      <c r="D458" s="166"/>
      <c r="E458" s="159"/>
      <c r="F458" s="159"/>
      <c r="G458" s="372" t="s">
        <v>129</v>
      </c>
      <c r="H458" s="161" t="s">
        <v>12</v>
      </c>
      <c r="I458" s="162"/>
      <c r="J458" s="162"/>
      <c r="K458" s="163"/>
      <c r="L458" s="168">
        <f ca="1">IFERROR(__xludf.DUMMYFUNCTION("IMPORTRANGE(""https://docs.google.com/spreadsheets/d/11923uPwbBZFjjGgGUA6NLw09EwE0CqkOc4q9oUmW1yo/edit?usp=sharing"",""เชียงใหม่!L353"")"),0)</f>
        <v>0</v>
      </c>
      <c r="M458" s="168"/>
      <c r="N458" s="168">
        <f ca="1">IFERROR(__xludf.DUMMYFUNCTION("IMPORTRANGE(""https://docs.google.com/spreadsheets/d/11923uPwbBZFjjGgGUA6NLw09EwE0CqkOc4q9oUmW1yo/edit?usp=sharing"",""เชียงใหม่!M353"")"),0)</f>
        <v>0</v>
      </c>
      <c r="O458" s="168">
        <f t="shared" ca="1" si="116"/>
        <v>0</v>
      </c>
      <c r="P458" s="168"/>
    </row>
    <row r="459" spans="1:16" ht="21.75" customHeight="1" x14ac:dyDescent="0.3">
      <c r="A459" s="156"/>
      <c r="B459" s="157"/>
      <c r="C459" s="157"/>
      <c r="D459" s="166"/>
      <c r="E459" s="159"/>
      <c r="F459" s="159"/>
      <c r="G459" s="372" t="s">
        <v>130</v>
      </c>
      <c r="H459" s="161" t="s">
        <v>12</v>
      </c>
      <c r="I459" s="162"/>
      <c r="J459" s="162"/>
      <c r="K459" s="163"/>
      <c r="L459" s="168">
        <f ca="1">IFERROR(__xludf.DUMMYFUNCTION("IMPORTRANGE(""https://docs.google.com/spreadsheets/d/11923uPwbBZFjjGgGUA6NLw09EwE0CqkOc4q9oUmW1yo/edit?usp=sharing"",""เชียงใหม่!L354"")"),536539)</f>
        <v>536539</v>
      </c>
      <c r="M459" s="168"/>
      <c r="N459" s="168">
        <f ca="1">IFERROR(__xludf.DUMMYFUNCTION("IMPORTRANGE(""https://docs.google.com/spreadsheets/d/11923uPwbBZFjjGgGUA6NLw09EwE0CqkOc4q9oUmW1yo/edit?usp=sharing"",""เชียงใหม่!M354"")"),155745.58)</f>
        <v>155745.57999999999</v>
      </c>
      <c r="O459" s="168">
        <f t="shared" ca="1" si="116"/>
        <v>29.027820903979016</v>
      </c>
      <c r="P459" s="168"/>
    </row>
    <row r="460" spans="1:16" ht="21.75" customHeight="1" x14ac:dyDescent="0.3">
      <c r="A460" s="373"/>
      <c r="B460" s="374"/>
      <c r="C460" s="157"/>
      <c r="D460" s="375"/>
      <c r="E460" s="159"/>
      <c r="F460" s="159"/>
      <c r="G460" s="376" t="s">
        <v>131</v>
      </c>
      <c r="H460" s="161" t="s">
        <v>12</v>
      </c>
      <c r="I460" s="187"/>
      <c r="J460" s="187"/>
      <c r="K460" s="223"/>
      <c r="L460" s="168"/>
      <c r="M460" s="168"/>
      <c r="N460" s="167">
        <f ca="1">IFERROR(__xludf.DUMMYFUNCTION("IMPORTRANGE(""https://docs.google.com/spreadsheets/d/11923uPwbBZFjjGgGUA6NLw09EwE0CqkOc4q9oUmW1yo/edit?usp=sharing"",""เชียงใหม่!M355"")"),0)</f>
        <v>0</v>
      </c>
      <c r="O460" s="168"/>
      <c r="P460" s="168"/>
    </row>
    <row r="461" spans="1:16" ht="21.75" customHeight="1" x14ac:dyDescent="0.3">
      <c r="A461" s="373"/>
      <c r="B461" s="374"/>
      <c r="C461" s="157"/>
      <c r="D461" s="375"/>
      <c r="E461" s="159"/>
      <c r="F461" s="159"/>
      <c r="G461" s="376" t="s">
        <v>132</v>
      </c>
      <c r="H461" s="161" t="s">
        <v>12</v>
      </c>
      <c r="I461" s="187"/>
      <c r="J461" s="187"/>
      <c r="K461" s="223"/>
      <c r="L461" s="168"/>
      <c r="M461" s="168"/>
      <c r="N461" s="167">
        <f ca="1">IFERROR(__xludf.DUMMYFUNCTION("IMPORTRANGE(""https://docs.google.com/spreadsheets/d/11923uPwbBZFjjGgGUA6NLw09EwE0CqkOc4q9oUmW1yo/edit?usp=sharing"",""เชียงใหม่!M356"")"),0)</f>
        <v>0</v>
      </c>
      <c r="O461" s="168"/>
      <c r="P461" s="168"/>
    </row>
    <row r="462" spans="1:16" ht="21.75" customHeight="1" x14ac:dyDescent="0.3">
      <c r="A462" s="373"/>
      <c r="B462" s="374"/>
      <c r="C462" s="157"/>
      <c r="D462" s="375"/>
      <c r="E462" s="159"/>
      <c r="F462" s="159"/>
      <c r="G462" s="376" t="s">
        <v>133</v>
      </c>
      <c r="H462" s="161" t="s">
        <v>12</v>
      </c>
      <c r="I462" s="187"/>
      <c r="J462" s="187"/>
      <c r="K462" s="223"/>
      <c r="L462" s="168"/>
      <c r="M462" s="168"/>
      <c r="N462" s="377">
        <f ca="1">IFERROR(__xludf.DUMMYFUNCTION("IMPORTRANGE(""https://docs.google.com/spreadsheets/d/11923uPwbBZFjjGgGUA6NLw09EwE0CqkOc4q9oUmW1yo/edit?usp=sharing"",""เชียงใหม่!M357"")"),53225.58)</f>
        <v>53225.58</v>
      </c>
      <c r="O462" s="168"/>
      <c r="P462" s="168"/>
    </row>
    <row r="463" spans="1:16" ht="21.75" customHeight="1" x14ac:dyDescent="0.3">
      <c r="A463" s="373"/>
      <c r="B463" s="374"/>
      <c r="C463" s="157"/>
      <c r="D463" s="375"/>
      <c r="E463" s="159"/>
      <c r="F463" s="159"/>
      <c r="G463" s="376" t="s">
        <v>134</v>
      </c>
      <c r="H463" s="161" t="s">
        <v>12</v>
      </c>
      <c r="I463" s="187"/>
      <c r="J463" s="187"/>
      <c r="K463" s="223"/>
      <c r="L463" s="168"/>
      <c r="M463" s="168"/>
      <c r="N463" s="377">
        <f ca="1">IFERROR(__xludf.DUMMYFUNCTION("IMPORTRANGE(""https://docs.google.com/spreadsheets/d/11923uPwbBZFjjGgGUA6NLw09EwE0CqkOc4q9oUmW1yo/edit?usp=sharing"",""เชียงใหม่!M358"")"),102520)</f>
        <v>102520</v>
      </c>
      <c r="O463" s="168"/>
      <c r="P463" s="168"/>
    </row>
    <row r="464" spans="1:16" ht="21.75" customHeight="1" x14ac:dyDescent="0.3">
      <c r="A464" s="175"/>
      <c r="B464" s="176"/>
      <c r="C464" s="413" t="s">
        <v>166</v>
      </c>
      <c r="D464" s="413"/>
      <c r="E464" s="414"/>
      <c r="F464" s="414"/>
      <c r="G464" s="415"/>
      <c r="H464" s="265" t="s">
        <v>122</v>
      </c>
      <c r="I464" s="266">
        <f ca="1">IFERROR(__xludf.DUMMYFUNCTION("IMPORTRANGE(""https://docs.google.com/spreadsheets/d/11923uPwbBZFjjGgGUA6NLw09EwE0CqkOc4q9oUmW1yo/edit?usp=sharing"",""เชียงใหม่!I359"")"),19467)</f>
        <v>19467</v>
      </c>
      <c r="J464" s="266">
        <f ca="1">IFERROR(__xludf.DUMMYFUNCTION("IMPORTRANGE(""https://docs.google.com/spreadsheets/d/11923uPwbBZFjjGgGUA6NLw09EwE0CqkOc4q9oUmW1yo/edit?usp=sharing"",""เชียงใหม่!J359"")"),9322)</f>
        <v>9322</v>
      </c>
      <c r="K464" s="267">
        <f t="shared" ref="K464:K515" ca="1" si="117">IF(I464&gt;0,J464*100/I464,0)</f>
        <v>47.886166332768276</v>
      </c>
      <c r="L464" s="290"/>
      <c r="M464" s="290"/>
      <c r="N464" s="290"/>
      <c r="O464" s="290"/>
      <c r="P464" s="290"/>
    </row>
    <row r="465" spans="1:16" ht="21.75" customHeight="1" x14ac:dyDescent="0.3">
      <c r="A465" s="400"/>
      <c r="B465" s="401"/>
      <c r="C465" s="401"/>
      <c r="D465" s="402"/>
      <c r="E465" s="193" t="s">
        <v>167</v>
      </c>
      <c r="F465" s="195"/>
      <c r="G465" s="196"/>
      <c r="H465" s="416" t="s">
        <v>122</v>
      </c>
      <c r="I465" s="417">
        <f ca="1">IFERROR(__xludf.DUMMYFUNCTION("IMPORTRANGE(""https://docs.google.com/spreadsheets/d/11923uPwbBZFjjGgGUA6NLw09EwE0CqkOc4q9oUmW1yo/edit?usp=sharing"",""เชียงใหม่!I360"")"),19467)</f>
        <v>19467</v>
      </c>
      <c r="J465" s="418">
        <f ca="1">IFERROR(__xludf.DUMMYFUNCTION("IMPORTRANGE(""https://docs.google.com/spreadsheets/d/11923uPwbBZFjjGgGUA6NLw09EwE0CqkOc4q9oUmW1yo/edit?usp=sharing"",""เชียงใหม่!J360"")"),19466.7399999999)</f>
        <v>19466.7399999999</v>
      </c>
      <c r="K465" s="201">
        <f t="shared" ca="1" si="117"/>
        <v>99.998664406430876</v>
      </c>
      <c r="L465" s="181"/>
      <c r="M465" s="181"/>
      <c r="N465" s="181"/>
      <c r="O465" s="181"/>
      <c r="P465" s="181"/>
    </row>
    <row r="466" spans="1:16" ht="21.75" customHeight="1" x14ac:dyDescent="0.3">
      <c r="A466" s="400"/>
      <c r="B466" s="401"/>
      <c r="C466" s="401"/>
      <c r="D466" s="402"/>
      <c r="E466" s="195"/>
      <c r="F466" s="195"/>
      <c r="G466" s="196"/>
      <c r="H466" s="416" t="s">
        <v>36</v>
      </c>
      <c r="I466" s="417">
        <f ca="1">IFERROR(__xludf.DUMMYFUNCTION("IMPORTRANGE(""https://docs.google.com/spreadsheets/d/11923uPwbBZFjjGgGUA6NLw09EwE0CqkOc4q9oUmW1yo/edit?usp=sharing"",""เชียงใหม่!I361"")"),4394)</f>
        <v>4394</v>
      </c>
      <c r="J466" s="418">
        <f ca="1">IFERROR(__xludf.DUMMYFUNCTION("IMPORTRANGE(""https://docs.google.com/spreadsheets/d/11923uPwbBZFjjGgGUA6NLw09EwE0CqkOc4q9oUmW1yo/edit?usp=sharing"",""เชียงใหม่!J361"")"),4394)</f>
        <v>4394</v>
      </c>
      <c r="K466" s="201">
        <f t="shared" ca="1" si="117"/>
        <v>100</v>
      </c>
      <c r="L466" s="181"/>
      <c r="M466" s="181"/>
      <c r="N466" s="181"/>
      <c r="O466" s="181"/>
      <c r="P466" s="181"/>
    </row>
    <row r="467" spans="1:16" ht="21.75" customHeight="1" x14ac:dyDescent="0.3">
      <c r="A467" s="400"/>
      <c r="B467" s="401"/>
      <c r="C467" s="401"/>
      <c r="D467" s="402"/>
      <c r="E467" s="195"/>
      <c r="F467" s="388" t="s">
        <v>168</v>
      </c>
      <c r="G467" s="419"/>
      <c r="H467" s="420" t="s">
        <v>122</v>
      </c>
      <c r="I467" s="202">
        <f ca="1">IFERROR(__xludf.DUMMYFUNCTION("IMPORTRANGE(""https://docs.google.com/spreadsheets/d/11923uPwbBZFjjGgGUA6NLw09EwE0CqkOc4q9oUmW1yo/edit?usp=sharing"",""เชียงใหม่!I362"")"),0)</f>
        <v>0</v>
      </c>
      <c r="J467" s="188">
        <f ca="1">IFERROR(__xludf.DUMMYFUNCTION("IMPORTRANGE(""https://docs.google.com/spreadsheets/d/11923uPwbBZFjjGgGUA6NLw09EwE0CqkOc4q9oUmW1yo/edit?usp=sharing"",""เชียงใหม่!J362"")"),9245.41)</f>
        <v>9245.41</v>
      </c>
      <c r="K467" s="163">
        <f t="shared" ca="1" si="117"/>
        <v>0</v>
      </c>
      <c r="L467" s="181"/>
      <c r="M467" s="181"/>
      <c r="N467" s="181"/>
      <c r="O467" s="181"/>
      <c r="P467" s="181"/>
    </row>
    <row r="468" spans="1:16" ht="21.75" customHeight="1" x14ac:dyDescent="0.3">
      <c r="A468" s="400"/>
      <c r="B468" s="401"/>
      <c r="C468" s="401"/>
      <c r="D468" s="402"/>
      <c r="E468" s="195"/>
      <c r="F468" s="195"/>
      <c r="G468" s="419"/>
      <c r="H468" s="420" t="s">
        <v>36</v>
      </c>
      <c r="I468" s="202">
        <f ca="1">IFERROR(__xludf.DUMMYFUNCTION("IMPORTRANGE(""https://docs.google.com/spreadsheets/d/11923uPwbBZFjjGgGUA6NLw09EwE0CqkOc4q9oUmW1yo/edit?usp=sharing"",""เชียงใหม่!I363"")"),0)</f>
        <v>0</v>
      </c>
      <c r="J468" s="188">
        <f ca="1">IFERROR(__xludf.DUMMYFUNCTION("IMPORTRANGE(""https://docs.google.com/spreadsheets/d/11923uPwbBZFjjGgGUA6NLw09EwE0CqkOc4q9oUmW1yo/edit?usp=sharing"",""เชียงใหม่!J363"")"),2380)</f>
        <v>2380</v>
      </c>
      <c r="K468" s="163">
        <f t="shared" ca="1" si="117"/>
        <v>0</v>
      </c>
      <c r="L468" s="181"/>
      <c r="M468" s="181"/>
      <c r="N468" s="181"/>
      <c r="O468" s="181"/>
      <c r="P468" s="181"/>
    </row>
    <row r="469" spans="1:16" ht="21.75" customHeight="1" x14ac:dyDescent="0.3">
      <c r="A469" s="400"/>
      <c r="B469" s="401"/>
      <c r="C469" s="401"/>
      <c r="D469" s="402"/>
      <c r="E469" s="195"/>
      <c r="F469" s="388" t="s">
        <v>169</v>
      </c>
      <c r="G469" s="419"/>
      <c r="H469" s="420" t="s">
        <v>122</v>
      </c>
      <c r="I469" s="202">
        <f ca="1">IFERROR(__xludf.DUMMYFUNCTION("IMPORTRANGE(""https://docs.google.com/spreadsheets/d/11923uPwbBZFjjGgGUA6NLw09EwE0CqkOc4q9oUmW1yo/edit?usp=sharing"",""เชียงใหม่!I364"")"),0)</f>
        <v>0</v>
      </c>
      <c r="J469" s="188">
        <f ca="1">IFERROR(__xludf.DUMMYFUNCTION("IMPORTRANGE(""https://docs.google.com/spreadsheets/d/11923uPwbBZFjjGgGUA6NLw09EwE0CqkOc4q9oUmW1yo/edit?usp=sharing"",""เชียงใหม่!J364"")"),10020.33)</f>
        <v>10020.33</v>
      </c>
      <c r="K469" s="163">
        <f t="shared" ca="1" si="117"/>
        <v>0</v>
      </c>
      <c r="L469" s="181"/>
      <c r="M469" s="181"/>
      <c r="N469" s="181"/>
      <c r="O469" s="181"/>
      <c r="P469" s="181"/>
    </row>
    <row r="470" spans="1:16" ht="21.75" customHeight="1" x14ac:dyDescent="0.3">
      <c r="A470" s="400"/>
      <c r="B470" s="401"/>
      <c r="C470" s="401"/>
      <c r="D470" s="402"/>
      <c r="E470" s="195"/>
      <c r="F470" s="195"/>
      <c r="G470" s="419"/>
      <c r="H470" s="420" t="s">
        <v>36</v>
      </c>
      <c r="I470" s="202">
        <f ca="1">IFERROR(__xludf.DUMMYFUNCTION("IMPORTRANGE(""https://docs.google.com/spreadsheets/d/11923uPwbBZFjjGgGUA6NLw09EwE0CqkOc4q9oUmW1yo/edit?usp=sharing"",""เชียงใหม่!I365"")"),0)</f>
        <v>0</v>
      </c>
      <c r="J470" s="188">
        <f ca="1">IFERROR(__xludf.DUMMYFUNCTION("IMPORTRANGE(""https://docs.google.com/spreadsheets/d/11923uPwbBZFjjGgGUA6NLw09EwE0CqkOc4q9oUmW1yo/edit?usp=sharing"",""เชียงใหม่!J365"")"),1953)</f>
        <v>1953</v>
      </c>
      <c r="K470" s="163">
        <f t="shared" ca="1" si="117"/>
        <v>0</v>
      </c>
      <c r="L470" s="181"/>
      <c r="M470" s="181"/>
      <c r="N470" s="181"/>
      <c r="O470" s="181"/>
      <c r="P470" s="181"/>
    </row>
    <row r="471" spans="1:16" ht="21.75" customHeight="1" x14ac:dyDescent="0.3">
      <c r="A471" s="400"/>
      <c r="B471" s="401"/>
      <c r="C471" s="401"/>
      <c r="D471" s="402"/>
      <c r="E471" s="195"/>
      <c r="F471" s="388" t="s">
        <v>170</v>
      </c>
      <c r="G471" s="419"/>
      <c r="H471" s="420" t="s">
        <v>122</v>
      </c>
      <c r="I471" s="202">
        <f ca="1">IFERROR(__xludf.DUMMYFUNCTION("IMPORTRANGE(""https://docs.google.com/spreadsheets/d/11923uPwbBZFjjGgGUA6NLw09EwE0CqkOc4q9oUmW1yo/edit?usp=sharing"",""เชียงใหม่!I366"")"),0)</f>
        <v>0</v>
      </c>
      <c r="J471" s="188">
        <f ca="1">IFERROR(__xludf.DUMMYFUNCTION("IMPORTRANGE(""https://docs.google.com/spreadsheets/d/11923uPwbBZFjjGgGUA6NLw09EwE0CqkOc4q9oUmW1yo/edit?usp=sharing"",""เชียงใหม่!J366"")"),201)</f>
        <v>201</v>
      </c>
      <c r="K471" s="163">
        <f t="shared" ca="1" si="117"/>
        <v>0</v>
      </c>
      <c r="L471" s="181"/>
      <c r="M471" s="181"/>
      <c r="N471" s="181"/>
      <c r="O471" s="181"/>
      <c r="P471" s="181"/>
    </row>
    <row r="472" spans="1:16" ht="21.75" customHeight="1" x14ac:dyDescent="0.3">
      <c r="A472" s="400"/>
      <c r="B472" s="401"/>
      <c r="C472" s="401"/>
      <c r="D472" s="402"/>
      <c r="E472" s="195"/>
      <c r="F472" s="195"/>
      <c r="G472" s="195"/>
      <c r="H472" s="420" t="s">
        <v>36</v>
      </c>
      <c r="I472" s="202">
        <f ca="1">IFERROR(__xludf.DUMMYFUNCTION("IMPORTRANGE(""https://docs.google.com/spreadsheets/d/11923uPwbBZFjjGgGUA6NLw09EwE0CqkOc4q9oUmW1yo/edit?usp=sharing"",""เชียงใหม่!I367"")"),0)</f>
        <v>0</v>
      </c>
      <c r="J472" s="188">
        <f ca="1">IFERROR(__xludf.DUMMYFUNCTION("IMPORTRANGE(""https://docs.google.com/spreadsheets/d/11923uPwbBZFjjGgGUA6NLw09EwE0CqkOc4q9oUmW1yo/edit?usp=sharing"",""เชียงใหม่!J367"")"),61)</f>
        <v>61</v>
      </c>
      <c r="K472" s="163">
        <f t="shared" ca="1" si="117"/>
        <v>0</v>
      </c>
      <c r="L472" s="181"/>
      <c r="M472" s="181"/>
      <c r="N472" s="181"/>
      <c r="O472" s="181"/>
      <c r="P472" s="181"/>
    </row>
    <row r="473" spans="1:16" ht="21.75" customHeight="1" x14ac:dyDescent="0.3">
      <c r="A473" s="400"/>
      <c r="B473" s="401"/>
      <c r="C473" s="401"/>
      <c r="D473" s="402"/>
      <c r="E473" s="289" t="s">
        <v>171</v>
      </c>
      <c r="F473" s="195"/>
      <c r="G473" s="196"/>
      <c r="H473" s="416" t="s">
        <v>122</v>
      </c>
      <c r="I473" s="418">
        <f ca="1">IFERROR(__xludf.DUMMYFUNCTION("IMPORTRANGE(""https://docs.google.com/spreadsheets/d/11923uPwbBZFjjGgGUA6NLw09EwE0CqkOc4q9oUmW1yo/edit?usp=sharing"",""เชียงใหม่!I368"")"),19467)</f>
        <v>19467</v>
      </c>
      <c r="J473" s="418">
        <f ca="1">IFERROR(__xludf.DUMMYFUNCTION("IMPORTRANGE(""https://docs.google.com/spreadsheets/d/11923uPwbBZFjjGgGUA6NLw09EwE0CqkOc4q9oUmW1yo/edit?usp=sharing"",""เชียงใหม่!J368"")"),19467.3399999999)</f>
        <v>19467.339999999898</v>
      </c>
      <c r="K473" s="201">
        <f t="shared" ca="1" si="117"/>
        <v>100.00174654543534</v>
      </c>
      <c r="L473" s="181"/>
      <c r="M473" s="181"/>
      <c r="N473" s="181"/>
      <c r="O473" s="181"/>
      <c r="P473" s="181"/>
    </row>
    <row r="474" spans="1:16" ht="21.75" customHeight="1" x14ac:dyDescent="0.3">
      <c r="A474" s="400"/>
      <c r="B474" s="401"/>
      <c r="C474" s="401"/>
      <c r="D474" s="402"/>
      <c r="E474" s="195"/>
      <c r="F474" s="195"/>
      <c r="G474" s="196"/>
      <c r="H474" s="416" t="s">
        <v>36</v>
      </c>
      <c r="I474" s="417">
        <f ca="1">IFERROR(__xludf.DUMMYFUNCTION("IMPORTRANGE(""https://docs.google.com/spreadsheets/d/11923uPwbBZFjjGgGUA6NLw09EwE0CqkOc4q9oUmW1yo/edit?usp=sharing"",""เชียงใหม่!I369"")"),4394)</f>
        <v>4394</v>
      </c>
      <c r="J474" s="418">
        <f ca="1">IFERROR(__xludf.DUMMYFUNCTION("IMPORTRANGE(""https://docs.google.com/spreadsheets/d/11923uPwbBZFjjGgGUA6NLw09EwE0CqkOc4q9oUmW1yo/edit?usp=sharing"",""เชียงใหม่!J369"")"),4394)</f>
        <v>4394</v>
      </c>
      <c r="K474" s="163">
        <f t="shared" ca="1" si="117"/>
        <v>100</v>
      </c>
      <c r="L474" s="181"/>
      <c r="M474" s="181"/>
      <c r="N474" s="181"/>
      <c r="O474" s="181"/>
      <c r="P474" s="181"/>
    </row>
    <row r="475" spans="1:16" ht="21.75" customHeight="1" x14ac:dyDescent="0.3">
      <c r="A475" s="400"/>
      <c r="B475" s="401"/>
      <c r="C475" s="401"/>
      <c r="D475" s="402"/>
      <c r="E475" s="195"/>
      <c r="F475" s="194" t="s">
        <v>172</v>
      </c>
      <c r="G475" s="419"/>
      <c r="H475" s="420" t="s">
        <v>122</v>
      </c>
      <c r="I475" s="202">
        <f ca="1">IFERROR(__xludf.DUMMYFUNCTION("IMPORTRANGE(""https://docs.google.com/spreadsheets/d/11923uPwbBZFjjGgGUA6NLw09EwE0CqkOc4q9oUmW1yo/edit?usp=sharing"",""เชียงใหม่!I370"")"),0)</f>
        <v>0</v>
      </c>
      <c r="J475" s="188">
        <f ca="1">IFERROR(__xludf.DUMMYFUNCTION("IMPORTRANGE(""https://docs.google.com/spreadsheets/d/11923uPwbBZFjjGgGUA6NLw09EwE0CqkOc4q9oUmW1yo/edit?usp=sharing"",""เชียงใหม่!J370"")"),9321.76)</f>
        <v>9321.76</v>
      </c>
      <c r="K475" s="163">
        <f t="shared" ca="1" si="117"/>
        <v>0</v>
      </c>
      <c r="L475" s="181"/>
      <c r="M475" s="181"/>
      <c r="N475" s="181"/>
      <c r="O475" s="181"/>
      <c r="P475" s="181"/>
    </row>
    <row r="476" spans="1:16" ht="21.75" customHeight="1" x14ac:dyDescent="0.3">
      <c r="A476" s="400"/>
      <c r="B476" s="401"/>
      <c r="C476" s="401"/>
      <c r="D476" s="402"/>
      <c r="E476" s="195"/>
      <c r="F476" s="195"/>
      <c r="G476" s="419"/>
      <c r="H476" s="420" t="s">
        <v>36</v>
      </c>
      <c r="I476" s="202">
        <f ca="1">IFERROR(__xludf.DUMMYFUNCTION("IMPORTRANGE(""https://docs.google.com/spreadsheets/d/11923uPwbBZFjjGgGUA6NLw09EwE0CqkOc4q9oUmW1yo/edit?usp=sharing"",""เชียงใหม่!I371"")"),0)</f>
        <v>0</v>
      </c>
      <c r="J476" s="188">
        <f ca="1">IFERROR(__xludf.DUMMYFUNCTION("IMPORTRANGE(""https://docs.google.com/spreadsheets/d/11923uPwbBZFjjGgGUA6NLw09EwE0CqkOc4q9oUmW1yo/edit?usp=sharing"",""เชียงใหม่!J371"")"),2393)</f>
        <v>2393</v>
      </c>
      <c r="K476" s="163">
        <f t="shared" ca="1" si="117"/>
        <v>0</v>
      </c>
      <c r="L476" s="181"/>
      <c r="M476" s="181"/>
      <c r="N476" s="181"/>
      <c r="O476" s="181"/>
      <c r="P476" s="181"/>
    </row>
    <row r="477" spans="1:16" ht="21.75" customHeight="1" x14ac:dyDescent="0.3">
      <c r="A477" s="400"/>
      <c r="B477" s="401"/>
      <c r="C477" s="401"/>
      <c r="D477" s="402"/>
      <c r="E477" s="195"/>
      <c r="F477" s="194" t="s">
        <v>173</v>
      </c>
      <c r="G477" s="419"/>
      <c r="H477" s="420" t="s">
        <v>122</v>
      </c>
      <c r="I477" s="202">
        <f ca="1">IFERROR(__xludf.DUMMYFUNCTION("IMPORTRANGE(""https://docs.google.com/spreadsheets/d/11923uPwbBZFjjGgGUA6NLw09EwE0CqkOc4q9oUmW1yo/edit?usp=sharing"",""เชียงใหม่!I372"")"),0)</f>
        <v>0</v>
      </c>
      <c r="J477" s="188">
        <f ca="1">IFERROR(__xludf.DUMMYFUNCTION("IMPORTRANGE(""https://docs.google.com/spreadsheets/d/11923uPwbBZFjjGgGUA6NLw09EwE0CqkOc4q9oUmW1yo/edit?usp=sharing"",""เชียงใหม่!J372"")"),9937.23)</f>
        <v>9937.23</v>
      </c>
      <c r="K477" s="163">
        <f t="shared" ca="1" si="117"/>
        <v>0</v>
      </c>
      <c r="L477" s="181"/>
      <c r="M477" s="181"/>
      <c r="N477" s="181"/>
      <c r="O477" s="181"/>
      <c r="P477" s="181"/>
    </row>
    <row r="478" spans="1:16" ht="21.75" customHeight="1" x14ac:dyDescent="0.3">
      <c r="A478" s="400"/>
      <c r="B478" s="401"/>
      <c r="C478" s="401"/>
      <c r="D478" s="402"/>
      <c r="E478" s="195"/>
      <c r="F478" s="195"/>
      <c r="G478" s="419"/>
      <c r="H478" s="420" t="s">
        <v>36</v>
      </c>
      <c r="I478" s="202">
        <f ca="1">IFERROR(__xludf.DUMMYFUNCTION("IMPORTRANGE(""https://docs.google.com/spreadsheets/d/11923uPwbBZFjjGgGUA6NLw09EwE0CqkOc4q9oUmW1yo/edit?usp=sharing"",""เชียงใหม่!I373"")"),0)</f>
        <v>0</v>
      </c>
      <c r="J478" s="188">
        <f ca="1">IFERROR(__xludf.DUMMYFUNCTION("IMPORTRANGE(""https://docs.google.com/spreadsheets/d/11923uPwbBZFjjGgGUA6NLw09EwE0CqkOc4q9oUmW1yo/edit?usp=sharing"",""เชียงใหม่!J373"")"),1938)</f>
        <v>1938</v>
      </c>
      <c r="K478" s="163">
        <f t="shared" ca="1" si="117"/>
        <v>0</v>
      </c>
      <c r="L478" s="181"/>
      <c r="M478" s="181"/>
      <c r="N478" s="181"/>
      <c r="O478" s="181"/>
      <c r="P478" s="181"/>
    </row>
    <row r="479" spans="1:16" ht="21.75" customHeight="1" x14ac:dyDescent="0.3">
      <c r="A479" s="400"/>
      <c r="B479" s="401"/>
      <c r="C479" s="401"/>
      <c r="D479" s="402"/>
      <c r="E479" s="195"/>
      <c r="F479" s="194" t="s">
        <v>174</v>
      </c>
      <c r="G479" s="419"/>
      <c r="H479" s="420" t="s">
        <v>122</v>
      </c>
      <c r="I479" s="202">
        <f ca="1">IFERROR(__xludf.DUMMYFUNCTION("IMPORTRANGE(""https://docs.google.com/spreadsheets/d/11923uPwbBZFjjGgGUA6NLw09EwE0CqkOc4q9oUmW1yo/edit?usp=sharing"",""เชียงใหม่!I374"")"),0)</f>
        <v>0</v>
      </c>
      <c r="J479" s="188">
        <f ca="1">IFERROR(__xludf.DUMMYFUNCTION("IMPORTRANGE(""https://docs.google.com/spreadsheets/d/11923uPwbBZFjjGgGUA6NLw09EwE0CqkOc4q9oUmW1yo/edit?usp=sharing"",""เชียงใหม่!J374"")"),208.35)</f>
        <v>208.35</v>
      </c>
      <c r="K479" s="163">
        <f t="shared" ca="1" si="117"/>
        <v>0</v>
      </c>
      <c r="L479" s="181"/>
      <c r="M479" s="181"/>
      <c r="N479" s="181"/>
      <c r="O479" s="181"/>
      <c r="P479" s="181"/>
    </row>
    <row r="480" spans="1:16" ht="21.75" customHeight="1" x14ac:dyDescent="0.3">
      <c r="A480" s="400"/>
      <c r="B480" s="401"/>
      <c r="C480" s="401"/>
      <c r="D480" s="402"/>
      <c r="E480" s="195"/>
      <c r="F480" s="195"/>
      <c r="G480" s="196"/>
      <c r="H480" s="420" t="s">
        <v>36</v>
      </c>
      <c r="I480" s="202">
        <f ca="1">IFERROR(__xludf.DUMMYFUNCTION("IMPORTRANGE(""https://docs.google.com/spreadsheets/d/11923uPwbBZFjjGgGUA6NLw09EwE0CqkOc4q9oUmW1yo/edit?usp=sharing"",""เชียงใหม่!I375"")"),0)</f>
        <v>0</v>
      </c>
      <c r="J480" s="188">
        <f ca="1">IFERROR(__xludf.DUMMYFUNCTION("IMPORTRANGE(""https://docs.google.com/spreadsheets/d/11923uPwbBZFjjGgGUA6NLw09EwE0CqkOc4q9oUmW1yo/edit?usp=sharing"",""เชียงใหม่!J375"")"),63)</f>
        <v>63</v>
      </c>
      <c r="K480" s="163">
        <f t="shared" ca="1" si="117"/>
        <v>0</v>
      </c>
      <c r="L480" s="181"/>
      <c r="M480" s="181"/>
      <c r="N480" s="181"/>
      <c r="O480" s="181"/>
      <c r="P480" s="181"/>
    </row>
    <row r="481" spans="1:16" ht="21.75" customHeight="1" x14ac:dyDescent="0.3">
      <c r="A481" s="421"/>
      <c r="B481" s="422"/>
      <c r="C481" s="422"/>
      <c r="D481" s="423"/>
      <c r="E481" s="424" t="s">
        <v>175</v>
      </c>
      <c r="F481" s="425"/>
      <c r="G481" s="426"/>
      <c r="H481" s="427" t="s">
        <v>122</v>
      </c>
      <c r="I481" s="418">
        <f ca="1">IFERROR(__xludf.DUMMYFUNCTION("IMPORTRANGE(""https://docs.google.com/spreadsheets/d/11923uPwbBZFjjGgGUA6NLw09EwE0CqkOc4q9oUmW1yo/edit?usp=sharing"",""เชียงใหม่!I376"")"),19467)</f>
        <v>19467</v>
      </c>
      <c r="J481" s="418">
        <f ca="1">IFERROR(__xludf.DUMMYFUNCTION("IMPORTRANGE(""https://docs.google.com/spreadsheets/d/11923uPwbBZFjjGgGUA6NLw09EwE0CqkOc4q9oUmW1yo/edit?usp=sharing"",""เชียงใหม่!J376"")"),9322)</f>
        <v>9322</v>
      </c>
      <c r="K481" s="201">
        <f t="shared" ca="1" si="117"/>
        <v>47.886166332768276</v>
      </c>
      <c r="L481" s="428"/>
      <c r="M481" s="428"/>
      <c r="N481" s="428"/>
      <c r="O481" s="428"/>
      <c r="P481" s="428"/>
    </row>
    <row r="482" spans="1:16" ht="21.75" customHeight="1" x14ac:dyDescent="0.3">
      <c r="A482" s="400"/>
      <c r="B482" s="401"/>
      <c r="C482" s="401"/>
      <c r="D482" s="402"/>
      <c r="E482" s="195"/>
      <c r="F482" s="195"/>
      <c r="G482" s="196"/>
      <c r="H482" s="416" t="s">
        <v>36</v>
      </c>
      <c r="I482" s="417">
        <f ca="1">IFERROR(__xludf.DUMMYFUNCTION("IMPORTRANGE(""https://docs.google.com/spreadsheets/d/11923uPwbBZFjjGgGUA6NLw09EwE0CqkOc4q9oUmW1yo/edit?usp=sharing"",""เชียงใหม่!I377"")"),4394)</f>
        <v>4394</v>
      </c>
      <c r="J482" s="418">
        <f ca="1">IFERROR(__xludf.DUMMYFUNCTION("IMPORTRANGE(""https://docs.google.com/spreadsheets/d/11923uPwbBZFjjGgGUA6NLw09EwE0CqkOc4q9oUmW1yo/edit?usp=sharing"",""เชียงใหม่!J377"")"),2393)</f>
        <v>2393</v>
      </c>
      <c r="K482" s="163">
        <f t="shared" ca="1" si="117"/>
        <v>54.460628129267185</v>
      </c>
      <c r="L482" s="181"/>
      <c r="M482" s="181"/>
      <c r="N482" s="181"/>
      <c r="O482" s="181"/>
      <c r="P482" s="181"/>
    </row>
    <row r="483" spans="1:16" ht="21.75" customHeight="1" x14ac:dyDescent="0.3">
      <c r="A483" s="400"/>
      <c r="B483" s="401"/>
      <c r="C483" s="401"/>
      <c r="D483" s="402"/>
      <c r="E483" s="195"/>
      <c r="F483" s="194" t="s">
        <v>176</v>
      </c>
      <c r="G483" s="419"/>
      <c r="H483" s="420" t="s">
        <v>122</v>
      </c>
      <c r="I483" s="202">
        <f ca="1">IFERROR(__xludf.DUMMYFUNCTION("IMPORTRANGE(""https://docs.google.com/spreadsheets/d/11923uPwbBZFjjGgGUA6NLw09EwE0CqkOc4q9oUmW1yo/edit?usp=sharing"",""เชียงใหม่!I378"")"),0)</f>
        <v>0</v>
      </c>
      <c r="J483" s="188">
        <f ca="1">IFERROR(__xludf.DUMMYFUNCTION("IMPORTRANGE(""https://docs.google.com/spreadsheets/d/11923uPwbBZFjjGgGUA6NLw09EwE0CqkOc4q9oUmW1yo/edit?usp=sharing"",""เชียงใหม่!J378"")"),9322)</f>
        <v>9322</v>
      </c>
      <c r="K483" s="163">
        <f t="shared" ca="1" si="117"/>
        <v>0</v>
      </c>
      <c r="L483" s="181"/>
      <c r="M483" s="181"/>
      <c r="N483" s="181"/>
      <c r="O483" s="181"/>
      <c r="P483" s="181"/>
    </row>
    <row r="484" spans="1:16" ht="21.75" customHeight="1" x14ac:dyDescent="0.3">
      <c r="A484" s="400"/>
      <c r="B484" s="401"/>
      <c r="C484" s="401"/>
      <c r="D484" s="402"/>
      <c r="E484" s="195"/>
      <c r="F484" s="195"/>
      <c r="G484" s="419"/>
      <c r="H484" s="420" t="s">
        <v>36</v>
      </c>
      <c r="I484" s="202">
        <f ca="1">IFERROR(__xludf.DUMMYFUNCTION("IMPORTRANGE(""https://docs.google.com/spreadsheets/d/11923uPwbBZFjjGgGUA6NLw09EwE0CqkOc4q9oUmW1yo/edit?usp=sharing"",""เชียงใหม่!I379"")"),0)</f>
        <v>0</v>
      </c>
      <c r="J484" s="188">
        <f ca="1">IFERROR(__xludf.DUMMYFUNCTION("IMPORTRANGE(""https://docs.google.com/spreadsheets/d/11923uPwbBZFjjGgGUA6NLw09EwE0CqkOc4q9oUmW1yo/edit?usp=sharing"",""เชียงใหม่!J379"")"),2393)</f>
        <v>2393</v>
      </c>
      <c r="K484" s="163">
        <f t="shared" ca="1" si="117"/>
        <v>0</v>
      </c>
      <c r="L484" s="181"/>
      <c r="M484" s="181"/>
      <c r="N484" s="181"/>
      <c r="O484" s="181"/>
      <c r="P484" s="181"/>
    </row>
    <row r="485" spans="1:16" ht="21.75" customHeight="1" x14ac:dyDescent="0.3">
      <c r="A485" s="400"/>
      <c r="B485" s="401"/>
      <c r="C485" s="401"/>
      <c r="D485" s="402"/>
      <c r="E485" s="195"/>
      <c r="F485" s="194" t="s">
        <v>177</v>
      </c>
      <c r="G485" s="419"/>
      <c r="H485" s="420" t="s">
        <v>122</v>
      </c>
      <c r="I485" s="202">
        <f ca="1">IFERROR(__xludf.DUMMYFUNCTION("IMPORTRANGE(""https://docs.google.com/spreadsheets/d/11923uPwbBZFjjGgGUA6NLw09EwE0CqkOc4q9oUmW1yo/edit?usp=sharing"",""เชียงใหม่!I380"")"),0)</f>
        <v>0</v>
      </c>
      <c r="J485" s="188">
        <f ca="1">IFERROR(__xludf.DUMMYFUNCTION("IMPORTRANGE(""https://docs.google.com/spreadsheets/d/11923uPwbBZFjjGgGUA6NLw09EwE0CqkOc4q9oUmW1yo/edit?usp=sharing"",""เชียงใหม่!J380"")"),0)</f>
        <v>0</v>
      </c>
      <c r="K485" s="163">
        <f t="shared" ca="1" si="117"/>
        <v>0</v>
      </c>
      <c r="L485" s="181"/>
      <c r="M485" s="181"/>
      <c r="N485" s="181"/>
      <c r="O485" s="181"/>
      <c r="P485" s="181"/>
    </row>
    <row r="486" spans="1:16" ht="21.75" customHeight="1" x14ac:dyDescent="0.3">
      <c r="A486" s="400"/>
      <c r="B486" s="401"/>
      <c r="C486" s="401"/>
      <c r="D486" s="402"/>
      <c r="E486" s="195"/>
      <c r="F486" s="195"/>
      <c r="G486" s="419"/>
      <c r="H486" s="420" t="s">
        <v>36</v>
      </c>
      <c r="I486" s="202">
        <f ca="1">IFERROR(__xludf.DUMMYFUNCTION("IMPORTRANGE(""https://docs.google.com/spreadsheets/d/11923uPwbBZFjjGgGUA6NLw09EwE0CqkOc4q9oUmW1yo/edit?usp=sharing"",""เชียงใหม่!I381"")"),0)</f>
        <v>0</v>
      </c>
      <c r="J486" s="188">
        <f ca="1">IFERROR(__xludf.DUMMYFUNCTION("IMPORTRANGE(""https://docs.google.com/spreadsheets/d/11923uPwbBZFjjGgGUA6NLw09EwE0CqkOc4q9oUmW1yo/edit?usp=sharing"",""เชียงใหม่!J381"")"),0)</f>
        <v>0</v>
      </c>
      <c r="K486" s="163">
        <f t="shared" ca="1" si="117"/>
        <v>0</v>
      </c>
      <c r="L486" s="181"/>
      <c r="M486" s="181"/>
      <c r="N486" s="181"/>
      <c r="O486" s="181"/>
      <c r="P486" s="181"/>
    </row>
    <row r="487" spans="1:16" ht="21.75" customHeight="1" x14ac:dyDescent="0.3">
      <c r="A487" s="400"/>
      <c r="B487" s="401"/>
      <c r="C487" s="401"/>
      <c r="D487" s="402"/>
      <c r="E487" s="195"/>
      <c r="F487" s="194" t="s">
        <v>178</v>
      </c>
      <c r="G487" s="419"/>
      <c r="H487" s="420" t="s">
        <v>122</v>
      </c>
      <c r="I487" s="202">
        <f ca="1">IFERROR(__xludf.DUMMYFUNCTION("IMPORTRANGE(""https://docs.google.com/spreadsheets/d/11923uPwbBZFjjGgGUA6NLw09EwE0CqkOc4q9oUmW1yo/edit?usp=sharing"",""เชียงใหม่!I382"")"),0)</f>
        <v>0</v>
      </c>
      <c r="J487" s="418">
        <f ca="1">IFERROR(__xludf.DUMMYFUNCTION("IMPORTRANGE(""https://docs.google.com/spreadsheets/d/11923uPwbBZFjjGgGUA6NLw09EwE0CqkOc4q9oUmW1yo/edit?usp=sharing"",""เชียงใหม่!J382"")"),0)</f>
        <v>0</v>
      </c>
      <c r="K487" s="163">
        <f t="shared" ca="1" si="117"/>
        <v>0</v>
      </c>
      <c r="L487" s="181"/>
      <c r="M487" s="181"/>
      <c r="N487" s="181"/>
      <c r="O487" s="181"/>
      <c r="P487" s="181"/>
    </row>
    <row r="488" spans="1:16" ht="21.75" customHeight="1" x14ac:dyDescent="0.3">
      <c r="A488" s="400"/>
      <c r="B488" s="401"/>
      <c r="C488" s="401"/>
      <c r="D488" s="402"/>
      <c r="E488" s="195"/>
      <c r="F488" s="195"/>
      <c r="G488" s="195"/>
      <c r="H488" s="420" t="s">
        <v>36</v>
      </c>
      <c r="I488" s="202">
        <f ca="1">IFERROR(__xludf.DUMMYFUNCTION("IMPORTRANGE(""https://docs.google.com/spreadsheets/d/11923uPwbBZFjjGgGUA6NLw09EwE0CqkOc4q9oUmW1yo/edit?usp=sharing"",""เชียงใหม่!I383"")"),0)</f>
        <v>0</v>
      </c>
      <c r="J488" s="418">
        <f ca="1">IFERROR(__xludf.DUMMYFUNCTION("IMPORTRANGE(""https://docs.google.com/spreadsheets/d/11923uPwbBZFjjGgGUA6NLw09EwE0CqkOc4q9oUmW1yo/edit?usp=sharing"",""เชียงใหม่!J383"")"),0)</f>
        <v>0</v>
      </c>
      <c r="K488" s="163">
        <f t="shared" ca="1" si="117"/>
        <v>0</v>
      </c>
      <c r="L488" s="181"/>
      <c r="M488" s="181"/>
      <c r="N488" s="181"/>
      <c r="O488" s="181"/>
      <c r="P488" s="181"/>
    </row>
    <row r="489" spans="1:16" ht="21.75" customHeight="1" x14ac:dyDescent="0.3">
      <c r="A489" s="400"/>
      <c r="B489" s="401"/>
      <c r="C489" s="401"/>
      <c r="D489" s="402"/>
      <c r="E489" s="195"/>
      <c r="F489" s="195"/>
      <c r="G489" s="194" t="s">
        <v>179</v>
      </c>
      <c r="H489" s="420" t="s">
        <v>122</v>
      </c>
      <c r="I489" s="202">
        <f ca="1">IFERROR(__xludf.DUMMYFUNCTION("IMPORTRANGE(""https://docs.google.com/spreadsheets/d/11923uPwbBZFjjGgGUA6NLw09EwE0CqkOc4q9oUmW1yo/edit?usp=sharing"",""เชียงใหม่!I384"")"),0)</f>
        <v>0</v>
      </c>
      <c r="J489" s="188">
        <f ca="1">IFERROR(__xludf.DUMMYFUNCTION("IMPORTRANGE(""https://docs.google.com/spreadsheets/d/11923uPwbBZFjjGgGUA6NLw09EwE0CqkOc4q9oUmW1yo/edit?usp=sharing"",""เชียงใหม่!J384"")"),0)</f>
        <v>0</v>
      </c>
      <c r="K489" s="163">
        <f t="shared" ca="1" si="117"/>
        <v>0</v>
      </c>
      <c r="L489" s="181"/>
      <c r="M489" s="181"/>
      <c r="N489" s="181"/>
      <c r="O489" s="181"/>
      <c r="P489" s="181"/>
    </row>
    <row r="490" spans="1:16" ht="21.75" customHeight="1" x14ac:dyDescent="0.3">
      <c r="A490" s="400"/>
      <c r="B490" s="401"/>
      <c r="C490" s="401"/>
      <c r="D490" s="402"/>
      <c r="E490" s="195"/>
      <c r="F490" s="195"/>
      <c r="G490" s="195"/>
      <c r="H490" s="420" t="s">
        <v>36</v>
      </c>
      <c r="I490" s="202">
        <f ca="1">IFERROR(__xludf.DUMMYFUNCTION("IMPORTRANGE(""https://docs.google.com/spreadsheets/d/11923uPwbBZFjjGgGUA6NLw09EwE0CqkOc4q9oUmW1yo/edit?usp=sharing"",""เชียงใหม่!I385"")"),0)</f>
        <v>0</v>
      </c>
      <c r="J490" s="188">
        <f ca="1">IFERROR(__xludf.DUMMYFUNCTION("IMPORTRANGE(""https://docs.google.com/spreadsheets/d/11923uPwbBZFjjGgGUA6NLw09EwE0CqkOc4q9oUmW1yo/edit?usp=sharing"",""เชียงใหม่!J385"")"),0)</f>
        <v>0</v>
      </c>
      <c r="K490" s="163">
        <f t="shared" ca="1" si="117"/>
        <v>0</v>
      </c>
      <c r="L490" s="181"/>
      <c r="M490" s="181"/>
      <c r="N490" s="181"/>
      <c r="O490" s="181"/>
      <c r="P490" s="181"/>
    </row>
    <row r="491" spans="1:16" ht="21.75" customHeight="1" x14ac:dyDescent="0.3">
      <c r="A491" s="400"/>
      <c r="B491" s="401"/>
      <c r="C491" s="401"/>
      <c r="D491" s="402"/>
      <c r="E491" s="195"/>
      <c r="F491" s="195"/>
      <c r="G491" s="194" t="s">
        <v>180</v>
      </c>
      <c r="H491" s="420" t="s">
        <v>122</v>
      </c>
      <c r="I491" s="202">
        <f ca="1">IFERROR(__xludf.DUMMYFUNCTION("IMPORTRANGE(""https://docs.google.com/spreadsheets/d/11923uPwbBZFjjGgGUA6NLw09EwE0CqkOc4q9oUmW1yo/edit?usp=sharing"",""เชียงใหม่!I386"")"),0)</f>
        <v>0</v>
      </c>
      <c r="J491" s="188">
        <f ca="1">IFERROR(__xludf.DUMMYFUNCTION("IMPORTRANGE(""https://docs.google.com/spreadsheets/d/11923uPwbBZFjjGgGUA6NLw09EwE0CqkOc4q9oUmW1yo/edit?usp=sharing"",""เชียงใหม่!J386"")"),0)</f>
        <v>0</v>
      </c>
      <c r="K491" s="163">
        <f t="shared" ca="1" si="117"/>
        <v>0</v>
      </c>
      <c r="L491" s="181"/>
      <c r="M491" s="181"/>
      <c r="N491" s="181"/>
      <c r="O491" s="181"/>
      <c r="P491" s="181"/>
    </row>
    <row r="492" spans="1:16" ht="21.75" customHeight="1" x14ac:dyDescent="0.3">
      <c r="A492" s="400"/>
      <c r="B492" s="401"/>
      <c r="C492" s="401"/>
      <c r="D492" s="402"/>
      <c r="E492" s="195"/>
      <c r="F492" s="195"/>
      <c r="G492" s="196"/>
      <c r="H492" s="420" t="s">
        <v>36</v>
      </c>
      <c r="I492" s="202">
        <f ca="1">IFERROR(__xludf.DUMMYFUNCTION("IMPORTRANGE(""https://docs.google.com/spreadsheets/d/11923uPwbBZFjjGgGUA6NLw09EwE0CqkOc4q9oUmW1yo/edit?usp=sharing"",""เชียงใหม่!I387"")"),0)</f>
        <v>0</v>
      </c>
      <c r="J492" s="188">
        <f ca="1">IFERROR(__xludf.DUMMYFUNCTION("IMPORTRANGE(""https://docs.google.com/spreadsheets/d/11923uPwbBZFjjGgGUA6NLw09EwE0CqkOc4q9oUmW1yo/edit?usp=sharing"",""เชียงใหม่!J387"")"),0)</f>
        <v>0</v>
      </c>
      <c r="K492" s="163">
        <f t="shared" ca="1" si="117"/>
        <v>0</v>
      </c>
      <c r="L492" s="181"/>
      <c r="M492" s="181"/>
      <c r="N492" s="181"/>
      <c r="O492" s="181"/>
      <c r="P492" s="181"/>
    </row>
    <row r="493" spans="1:16" ht="21.75" customHeight="1" x14ac:dyDescent="0.3">
      <c r="A493" s="400"/>
      <c r="B493" s="401"/>
      <c r="C493" s="401"/>
      <c r="D493" s="402"/>
      <c r="E493" s="195"/>
      <c r="F493" s="194" t="s">
        <v>181</v>
      </c>
      <c r="G493" s="419"/>
      <c r="H493" s="420" t="s">
        <v>122</v>
      </c>
      <c r="I493" s="202">
        <f ca="1">IFERROR(__xludf.DUMMYFUNCTION("IMPORTRANGE(""https://docs.google.com/spreadsheets/d/11923uPwbBZFjjGgGUA6NLw09EwE0CqkOc4q9oUmW1yo/edit?usp=sharing"",""เชียงใหม่!I388"")"),0)</f>
        <v>0</v>
      </c>
      <c r="J493" s="188">
        <f ca="1">IFERROR(__xludf.DUMMYFUNCTION("IMPORTRANGE(""https://docs.google.com/spreadsheets/d/11923uPwbBZFjjGgGUA6NLw09EwE0CqkOc4q9oUmW1yo/edit?usp=sharing"",""เชียงใหม่!J388"")"),0)</f>
        <v>0</v>
      </c>
      <c r="K493" s="163">
        <f t="shared" ca="1" si="117"/>
        <v>0</v>
      </c>
      <c r="L493" s="181"/>
      <c r="M493" s="181"/>
      <c r="N493" s="181"/>
      <c r="O493" s="181"/>
      <c r="P493" s="181"/>
    </row>
    <row r="494" spans="1:16" ht="21.75" customHeight="1" x14ac:dyDescent="0.3">
      <c r="A494" s="429"/>
      <c r="B494" s="430"/>
      <c r="C494" s="430"/>
      <c r="D494" s="431"/>
      <c r="E494" s="345"/>
      <c r="F494" s="345"/>
      <c r="G494" s="345"/>
      <c r="H494" s="432" t="s">
        <v>36</v>
      </c>
      <c r="I494" s="433">
        <f ca="1">IFERROR(__xludf.DUMMYFUNCTION("IMPORTRANGE(""https://docs.google.com/spreadsheets/d/11923uPwbBZFjjGgGUA6NLw09EwE0CqkOc4q9oUmW1yo/edit?usp=sharing"",""เชียงใหม่!I389"")"),0)</f>
        <v>0</v>
      </c>
      <c r="J494" s="434">
        <f ca="1">IFERROR(__xludf.DUMMYFUNCTION("IMPORTRANGE(""https://docs.google.com/spreadsheets/d/11923uPwbBZFjjGgGUA6NLw09EwE0CqkOc4q9oUmW1yo/edit?usp=sharing"",""เชียงใหม่!J389"")"),0)</f>
        <v>0</v>
      </c>
      <c r="K494" s="286">
        <f t="shared" ca="1" si="117"/>
        <v>0</v>
      </c>
      <c r="L494" s="244"/>
      <c r="M494" s="244"/>
      <c r="N494" s="244"/>
      <c r="O494" s="244"/>
      <c r="P494" s="244"/>
    </row>
    <row r="495" spans="1:16" ht="21.75" customHeight="1" x14ac:dyDescent="0.3">
      <c r="A495" s="400"/>
      <c r="B495" s="401"/>
      <c r="C495" s="401"/>
      <c r="D495" s="402"/>
      <c r="E495" s="195"/>
      <c r="F495" s="195">
        <v>3.5</v>
      </c>
      <c r="G495" s="419" t="s">
        <v>182</v>
      </c>
      <c r="H495" s="420" t="s">
        <v>122</v>
      </c>
      <c r="I495" s="433">
        <f ca="1">IFERROR(__xludf.DUMMYFUNCTION("IMPORTRANGE(""https://docs.google.com/spreadsheets/d/11923uPwbBZFjjGgGUA6NLw09EwE0CqkOc4q9oUmW1yo/edit?usp=sharing"",""เชียงใหม่!I390"")"),0)</f>
        <v>0</v>
      </c>
      <c r="J495" s="434">
        <f ca="1">IFERROR(__xludf.DUMMYFUNCTION("IMPORTRANGE(""https://docs.google.com/spreadsheets/d/11923uPwbBZFjjGgGUA6NLw09EwE0CqkOc4q9oUmW1yo/edit?usp=sharing"",""เชียงใหม่!J390"")"),0)</f>
        <v>0</v>
      </c>
      <c r="K495" s="163">
        <f t="shared" ca="1" si="117"/>
        <v>0</v>
      </c>
      <c r="L495" s="181"/>
      <c r="M495" s="181"/>
      <c r="N495" s="181"/>
      <c r="O495" s="181"/>
      <c r="P495" s="181"/>
    </row>
    <row r="496" spans="1:16" ht="21.75" customHeight="1" x14ac:dyDescent="0.3">
      <c r="A496" s="429"/>
      <c r="B496" s="430"/>
      <c r="C496" s="430"/>
      <c r="D496" s="431"/>
      <c r="E496" s="345"/>
      <c r="F496" s="345"/>
      <c r="G496" s="345"/>
      <c r="H496" s="432" t="s">
        <v>36</v>
      </c>
      <c r="I496" s="433">
        <f ca="1">IFERROR(__xludf.DUMMYFUNCTION("IMPORTRANGE(""https://docs.google.com/spreadsheets/d/11923uPwbBZFjjGgGUA6NLw09EwE0CqkOc4q9oUmW1yo/edit?usp=sharing"",""เชียงใหม่!I391"")"),0)</f>
        <v>0</v>
      </c>
      <c r="J496" s="434">
        <f ca="1">IFERROR(__xludf.DUMMYFUNCTION("IMPORTRANGE(""https://docs.google.com/spreadsheets/d/11923uPwbBZFjjGgGUA6NLw09EwE0CqkOc4q9oUmW1yo/edit?usp=sharing"",""เชียงใหม่!J391"")"),0)</f>
        <v>0</v>
      </c>
      <c r="K496" s="286">
        <f t="shared" ca="1" si="117"/>
        <v>0</v>
      </c>
      <c r="L496" s="244"/>
      <c r="M496" s="244"/>
      <c r="N496" s="244"/>
      <c r="O496" s="244"/>
      <c r="P496" s="244"/>
    </row>
    <row r="497" spans="1:16" ht="21.75" customHeight="1" x14ac:dyDescent="0.3">
      <c r="A497" s="435"/>
      <c r="B497" s="436"/>
      <c r="C497" s="437" t="s">
        <v>183</v>
      </c>
      <c r="D497" s="437"/>
      <c r="E497" s="438"/>
      <c r="F497" s="438"/>
      <c r="G497" s="439"/>
      <c r="H497" s="440" t="s">
        <v>122</v>
      </c>
      <c r="I497" s="441">
        <f ca="1">IFERROR(__xludf.DUMMYFUNCTION("IMPORTRANGE(""https://docs.google.com/spreadsheets/d/11923uPwbBZFjjGgGUA6NLw09EwE0CqkOc4q9oUmW1yo/edit?usp=sharing"",""เชียงใหม่!I392"")"),5091)</f>
        <v>5091</v>
      </c>
      <c r="J497" s="441">
        <f ca="1">IFERROR(__xludf.DUMMYFUNCTION("IMPORTRANGE(""https://docs.google.com/spreadsheets/d/11923uPwbBZFjjGgGUA6NLw09EwE0CqkOc4q9oUmW1yo/edit?usp=sharing"",""เชียงใหม่!J392"")"),1642.1)</f>
        <v>1642.1</v>
      </c>
      <c r="K497" s="442">
        <f t="shared" ca="1" si="117"/>
        <v>32.254959732861913</v>
      </c>
      <c r="L497" s="443"/>
      <c r="M497" s="443"/>
      <c r="N497" s="443"/>
      <c r="O497" s="443"/>
      <c r="P497" s="443"/>
    </row>
    <row r="498" spans="1:16" ht="21.75" customHeight="1" x14ac:dyDescent="0.3">
      <c r="A498" s="175"/>
      <c r="B498" s="176"/>
      <c r="C498" s="176"/>
      <c r="D498" s="402"/>
      <c r="E498" s="444" t="s">
        <v>184</v>
      </c>
      <c r="F498" s="445"/>
      <c r="G498" s="446"/>
      <c r="H498" s="447" t="s">
        <v>122</v>
      </c>
      <c r="I498" s="418">
        <f ca="1">IFERROR(__xludf.DUMMYFUNCTION("IMPORTRANGE(""https://docs.google.com/spreadsheets/d/11923uPwbBZFjjGgGUA6NLw09EwE0CqkOc4q9oUmW1yo/edit?usp=sharing"",""เชียงใหม่!I393"")"),5091)</f>
        <v>5091</v>
      </c>
      <c r="J498" s="418">
        <f ca="1">IFERROR(__xludf.DUMMYFUNCTION("IMPORTRANGE(""https://docs.google.com/spreadsheets/d/11923uPwbBZFjjGgGUA6NLw09EwE0CqkOc4q9oUmW1yo/edit?usp=sharing"",""เชียงใหม่!J393"")"),1642.1)</f>
        <v>1642.1</v>
      </c>
      <c r="K498" s="163">
        <f t="shared" ca="1" si="117"/>
        <v>32.254959732861913</v>
      </c>
      <c r="L498" s="181"/>
      <c r="M498" s="181"/>
      <c r="N498" s="181"/>
      <c r="O498" s="181"/>
      <c r="P498" s="181"/>
    </row>
    <row r="499" spans="1:16" ht="21.75" customHeight="1" x14ac:dyDescent="0.3">
      <c r="A499" s="175"/>
      <c r="B499" s="176"/>
      <c r="C499" s="176"/>
      <c r="D499" s="193"/>
      <c r="E499" s="445"/>
      <c r="F499" s="445"/>
      <c r="G499" s="446"/>
      <c r="H499" s="447" t="s">
        <v>36</v>
      </c>
      <c r="I499" s="418">
        <f ca="1">IFERROR(__xludf.DUMMYFUNCTION("IMPORTRANGE(""https://docs.google.com/spreadsheets/d/11923uPwbBZFjjGgGUA6NLw09EwE0CqkOc4q9oUmW1yo/edit?usp=sharing"",""เชียงใหม่!I394"")"),629)</f>
        <v>629</v>
      </c>
      <c r="J499" s="418">
        <f ca="1">IFERROR(__xludf.DUMMYFUNCTION("IMPORTRANGE(""https://docs.google.com/spreadsheets/d/11923uPwbBZFjjGgGUA6NLw09EwE0CqkOc4q9oUmW1yo/edit?usp=sharing"",""เชียงใหม่!J394"")"),196)</f>
        <v>196</v>
      </c>
      <c r="K499" s="201">
        <f t="shared" ca="1" si="117"/>
        <v>31.160572337042925</v>
      </c>
      <c r="L499" s="181"/>
      <c r="M499" s="181"/>
      <c r="N499" s="181"/>
      <c r="O499" s="181"/>
      <c r="P499" s="181"/>
    </row>
    <row r="500" spans="1:16" ht="21.75" customHeight="1" x14ac:dyDescent="0.3">
      <c r="A500" s="175"/>
      <c r="B500" s="176"/>
      <c r="C500" s="176"/>
      <c r="D500" s="402"/>
      <c r="E500" s="402" t="s">
        <v>185</v>
      </c>
      <c r="F500" s="195"/>
      <c r="G500" s="196"/>
      <c r="H500" s="420" t="s">
        <v>122</v>
      </c>
      <c r="I500" s="202">
        <f ca="1">IFERROR(__xludf.DUMMYFUNCTION("IMPORTRANGE(""https://docs.google.com/spreadsheets/d/11923uPwbBZFjjGgGUA6NLw09EwE0CqkOc4q9oUmW1yo/edit?usp=sharing"",""เชียงใหม่!I395"")"),0)</f>
        <v>0</v>
      </c>
      <c r="J500" s="162">
        <f ca="1">IFERROR(__xludf.DUMMYFUNCTION("IMPORTRANGE(""https://docs.google.com/spreadsheets/d/11923uPwbBZFjjGgGUA6NLw09EwE0CqkOc4q9oUmW1yo/edit?usp=sharing"",""เชียงใหม่!J395"")"),1381)</f>
        <v>1381</v>
      </c>
      <c r="K500" s="163">
        <f t="shared" ca="1" si="117"/>
        <v>0</v>
      </c>
      <c r="L500" s="181"/>
      <c r="M500" s="181"/>
      <c r="N500" s="181"/>
      <c r="O500" s="181"/>
      <c r="P500" s="181"/>
    </row>
    <row r="501" spans="1:16" ht="21.75" customHeight="1" x14ac:dyDescent="0.3">
      <c r="A501" s="175"/>
      <c r="B501" s="176"/>
      <c r="C501" s="176"/>
      <c r="D501" s="193"/>
      <c r="E501" s="195"/>
      <c r="F501" s="195"/>
      <c r="G501" s="196"/>
      <c r="H501" s="420" t="s">
        <v>36</v>
      </c>
      <c r="I501" s="202">
        <f ca="1">IFERROR(__xludf.DUMMYFUNCTION("IMPORTRANGE(""https://docs.google.com/spreadsheets/d/11923uPwbBZFjjGgGUA6NLw09EwE0CqkOc4q9oUmW1yo/edit?usp=sharing"",""เชียงใหม่!I396"")"),0)</f>
        <v>0</v>
      </c>
      <c r="J501" s="162">
        <f ca="1">IFERROR(__xludf.DUMMYFUNCTION("IMPORTRANGE(""https://docs.google.com/spreadsheets/d/11923uPwbBZFjjGgGUA6NLw09EwE0CqkOc4q9oUmW1yo/edit?usp=sharing"",""เชียงใหม่!J396"")"),168)</f>
        <v>168</v>
      </c>
      <c r="K501" s="163">
        <f t="shared" ca="1" si="117"/>
        <v>0</v>
      </c>
      <c r="L501" s="181"/>
      <c r="M501" s="181"/>
      <c r="N501" s="181"/>
      <c r="O501" s="181"/>
      <c r="P501" s="181"/>
    </row>
    <row r="502" spans="1:16" ht="21.75" customHeight="1" x14ac:dyDescent="0.3">
      <c r="A502" s="175"/>
      <c r="B502" s="176"/>
      <c r="C502" s="176"/>
      <c r="D502" s="193"/>
      <c r="E502" s="195"/>
      <c r="F502" s="397" t="s">
        <v>186</v>
      </c>
      <c r="G502" s="419"/>
      <c r="H502" s="420" t="s">
        <v>122</v>
      </c>
      <c r="I502" s="202">
        <f ca="1">IFERROR(__xludf.DUMMYFUNCTION("IMPORTRANGE(""https://docs.google.com/spreadsheets/d/11923uPwbBZFjjGgGUA6NLw09EwE0CqkOc4q9oUmW1yo/edit?usp=sharing"",""เชียงใหม่!I397"")"),0)</f>
        <v>0</v>
      </c>
      <c r="J502" s="188">
        <f ca="1">IFERROR(__xludf.DUMMYFUNCTION("IMPORTRANGE(""https://docs.google.com/spreadsheets/d/11923uPwbBZFjjGgGUA6NLw09EwE0CqkOc4q9oUmW1yo/edit?usp=sharing"",""เชียงใหม่!J397"")"),482)</f>
        <v>482</v>
      </c>
      <c r="K502" s="163">
        <f t="shared" ca="1" si="117"/>
        <v>0</v>
      </c>
      <c r="L502" s="181"/>
      <c r="M502" s="181"/>
      <c r="N502" s="181"/>
      <c r="O502" s="181"/>
      <c r="P502" s="181"/>
    </row>
    <row r="503" spans="1:16" ht="21.75" customHeight="1" x14ac:dyDescent="0.3">
      <c r="A503" s="175"/>
      <c r="B503" s="176"/>
      <c r="C503" s="176"/>
      <c r="D503" s="193"/>
      <c r="E503" s="195"/>
      <c r="F503" s="195"/>
      <c r="G503" s="419"/>
      <c r="H503" s="420" t="s">
        <v>36</v>
      </c>
      <c r="I503" s="187">
        <f ca="1">IFERROR(__xludf.DUMMYFUNCTION("IMPORTRANGE(""https://docs.google.com/spreadsheets/d/11923uPwbBZFjjGgGUA6NLw09EwE0CqkOc4q9oUmW1yo/edit?usp=sharing"",""เชียงใหม่!I398"")"),0)</f>
        <v>0</v>
      </c>
      <c r="J503" s="197">
        <f ca="1">IFERROR(__xludf.DUMMYFUNCTION("IMPORTRANGE(""https://docs.google.com/spreadsheets/d/11923uPwbBZFjjGgGUA6NLw09EwE0CqkOc4q9oUmW1yo/edit?usp=sharing"",""เชียงใหม่!J398"")"),40)</f>
        <v>40</v>
      </c>
      <c r="K503" s="163">
        <f t="shared" ca="1" si="117"/>
        <v>0</v>
      </c>
      <c r="L503" s="181"/>
      <c r="M503" s="181"/>
      <c r="N503" s="181"/>
      <c r="O503" s="181"/>
      <c r="P503" s="181"/>
    </row>
    <row r="504" spans="1:16" ht="21.75" customHeight="1" x14ac:dyDescent="0.3">
      <c r="A504" s="175"/>
      <c r="B504" s="176"/>
      <c r="C504" s="176"/>
      <c r="D504" s="193"/>
      <c r="E504" s="195"/>
      <c r="F504" s="388" t="s">
        <v>187</v>
      </c>
      <c r="G504" s="419"/>
      <c r="H504" s="420" t="s">
        <v>122</v>
      </c>
      <c r="I504" s="203">
        <f ca="1">IFERROR(__xludf.DUMMYFUNCTION("IMPORTRANGE(""https://docs.google.com/spreadsheets/d/11923uPwbBZFjjGgGUA6NLw09EwE0CqkOc4q9oUmW1yo/edit?usp=sharing"",""เชียงใหม่!I399"")"),0)</f>
        <v>0</v>
      </c>
      <c r="J504" s="188">
        <f ca="1">IFERROR(__xludf.DUMMYFUNCTION("IMPORTRANGE(""https://docs.google.com/spreadsheets/d/11923uPwbBZFjjGgGUA6NLw09EwE0CqkOc4q9oUmW1yo/edit?usp=sharing"",""เชียงใหม่!J399"")"),899)</f>
        <v>899</v>
      </c>
      <c r="K504" s="163">
        <f t="shared" ca="1" si="117"/>
        <v>0</v>
      </c>
      <c r="L504" s="181"/>
      <c r="M504" s="181"/>
      <c r="N504" s="181"/>
      <c r="O504" s="181"/>
      <c r="P504" s="181"/>
    </row>
    <row r="505" spans="1:16" ht="21.75" customHeight="1" x14ac:dyDescent="0.3">
      <c r="A505" s="175"/>
      <c r="B505" s="176"/>
      <c r="C505" s="176"/>
      <c r="D505" s="193"/>
      <c r="E505" s="195"/>
      <c r="F505" s="195"/>
      <c r="G505" s="419"/>
      <c r="H505" s="420" t="s">
        <v>36</v>
      </c>
      <c r="I505" s="187">
        <f ca="1">IFERROR(__xludf.DUMMYFUNCTION("IMPORTRANGE(""https://docs.google.com/spreadsheets/d/11923uPwbBZFjjGgGUA6NLw09EwE0CqkOc4q9oUmW1yo/edit?usp=sharing"",""เชียงใหม่!I400"")"),0)</f>
        <v>0</v>
      </c>
      <c r="J505" s="197">
        <f ca="1">IFERROR(__xludf.DUMMYFUNCTION("IMPORTRANGE(""https://docs.google.com/spreadsheets/d/11923uPwbBZFjjGgGUA6NLw09EwE0CqkOc4q9oUmW1yo/edit?usp=sharing"",""เชียงใหม่!J400"")"),128)</f>
        <v>128</v>
      </c>
      <c r="K505" s="163">
        <f t="shared" ca="1" si="117"/>
        <v>0</v>
      </c>
      <c r="L505" s="181"/>
      <c r="M505" s="181"/>
      <c r="N505" s="181"/>
      <c r="O505" s="181"/>
      <c r="P505" s="181"/>
    </row>
    <row r="506" spans="1:16" ht="21.75" customHeight="1" x14ac:dyDescent="0.3">
      <c r="A506" s="175"/>
      <c r="B506" s="176"/>
      <c r="C506" s="176"/>
      <c r="D506" s="193"/>
      <c r="E506" s="195"/>
      <c r="F506" s="397" t="s">
        <v>188</v>
      </c>
      <c r="G506" s="419"/>
      <c r="H506" s="420" t="s">
        <v>122</v>
      </c>
      <c r="I506" s="203">
        <f ca="1">IFERROR(__xludf.DUMMYFUNCTION("IMPORTRANGE(""https://docs.google.com/spreadsheets/d/11923uPwbBZFjjGgGUA6NLw09EwE0CqkOc4q9oUmW1yo/edit?usp=sharing"",""เชียงใหม่!I401"")"),0)</f>
        <v>0</v>
      </c>
      <c r="J506" s="188">
        <f ca="1">IFERROR(__xludf.DUMMYFUNCTION("IMPORTRANGE(""https://docs.google.com/spreadsheets/d/11923uPwbBZFjjGgGUA6NLw09EwE0CqkOc4q9oUmW1yo/edit?usp=sharing"",""เชียงใหม่!J401"")"),0)</f>
        <v>0</v>
      </c>
      <c r="K506" s="163">
        <f t="shared" ca="1" si="117"/>
        <v>0</v>
      </c>
      <c r="L506" s="181"/>
      <c r="M506" s="181"/>
      <c r="N506" s="181"/>
      <c r="O506" s="181"/>
      <c r="P506" s="181"/>
    </row>
    <row r="507" spans="1:16" ht="21.75" customHeight="1" x14ac:dyDescent="0.3">
      <c r="A507" s="175"/>
      <c r="B507" s="176"/>
      <c r="C507" s="176"/>
      <c r="D507" s="193"/>
      <c r="E507" s="195"/>
      <c r="F507" s="195"/>
      <c r="G507" s="195"/>
      <c r="H507" s="420" t="s">
        <v>36</v>
      </c>
      <c r="I507" s="187">
        <f ca="1">IFERROR(__xludf.DUMMYFUNCTION("IMPORTRANGE(""https://docs.google.com/spreadsheets/d/11923uPwbBZFjjGgGUA6NLw09EwE0CqkOc4q9oUmW1yo/edit?usp=sharing"",""เชียงใหม่!I402"")"),0)</f>
        <v>0</v>
      </c>
      <c r="J507" s="197">
        <f ca="1">IFERROR(__xludf.DUMMYFUNCTION("IMPORTRANGE(""https://docs.google.com/spreadsheets/d/11923uPwbBZFjjGgGUA6NLw09EwE0CqkOc4q9oUmW1yo/edit?usp=sharing"",""เชียงใหม่!J402"")"),0)</f>
        <v>0</v>
      </c>
      <c r="K507" s="163">
        <f t="shared" ca="1" si="117"/>
        <v>0</v>
      </c>
      <c r="L507" s="181"/>
      <c r="M507" s="181"/>
      <c r="N507" s="181"/>
      <c r="O507" s="181"/>
      <c r="P507" s="181"/>
    </row>
    <row r="508" spans="1:16" ht="21.75" customHeight="1" x14ac:dyDescent="0.3">
      <c r="A508" s="175"/>
      <c r="B508" s="176"/>
      <c r="C508" s="176"/>
      <c r="D508" s="193"/>
      <c r="E508" s="194" t="s">
        <v>189</v>
      </c>
      <c r="F508" s="195"/>
      <c r="G508" s="419"/>
      <c r="H508" s="420" t="s">
        <v>122</v>
      </c>
      <c r="I508" s="187">
        <f ca="1">IFERROR(__xludf.DUMMYFUNCTION("IMPORTRANGE(""https://docs.google.com/spreadsheets/d/11923uPwbBZFjjGgGUA6NLw09EwE0CqkOc4q9oUmW1yo/edit?usp=sharing"",""เชียงใหม่!I403"")"),0)</f>
        <v>0</v>
      </c>
      <c r="J508" s="162">
        <f ca="1">IFERROR(__xludf.DUMMYFUNCTION("IMPORTRANGE(""https://docs.google.com/spreadsheets/d/11923uPwbBZFjjGgGUA6NLw09EwE0CqkOc4q9oUmW1yo/edit?usp=sharing"",""เชียงใหม่!J403"")"),13.1)</f>
        <v>13.1</v>
      </c>
      <c r="K508" s="163">
        <f t="shared" ca="1" si="117"/>
        <v>0</v>
      </c>
      <c r="L508" s="181"/>
      <c r="M508" s="181"/>
      <c r="N508" s="181"/>
      <c r="O508" s="181"/>
      <c r="P508" s="181"/>
    </row>
    <row r="509" spans="1:16" ht="21.75" customHeight="1" x14ac:dyDescent="0.3">
      <c r="A509" s="175"/>
      <c r="B509" s="176"/>
      <c r="C509" s="176"/>
      <c r="D509" s="193"/>
      <c r="E509" s="195"/>
      <c r="F509" s="195"/>
      <c r="G509" s="195"/>
      <c r="H509" s="420" t="s">
        <v>36</v>
      </c>
      <c r="I509" s="187">
        <f ca="1">IFERROR(__xludf.DUMMYFUNCTION("IMPORTRANGE(""https://docs.google.com/spreadsheets/d/11923uPwbBZFjjGgGUA6NLw09EwE0CqkOc4q9oUmW1yo/edit?usp=sharing"",""เชียงใหม่!I404"")"),0)</f>
        <v>0</v>
      </c>
      <c r="J509" s="162">
        <f ca="1">IFERROR(__xludf.DUMMYFUNCTION("IMPORTRANGE(""https://docs.google.com/spreadsheets/d/11923uPwbBZFjjGgGUA6NLw09EwE0CqkOc4q9oUmW1yo/edit?usp=sharing"",""เชียงใหม่!J404"")"),6)</f>
        <v>6</v>
      </c>
      <c r="K509" s="163">
        <f t="shared" ca="1" si="117"/>
        <v>0</v>
      </c>
      <c r="L509" s="181"/>
      <c r="M509" s="181"/>
      <c r="N509" s="181"/>
      <c r="O509" s="181"/>
      <c r="P509" s="181"/>
    </row>
    <row r="510" spans="1:16" ht="21.75" customHeight="1" x14ac:dyDescent="0.3">
      <c r="A510" s="175"/>
      <c r="B510" s="176"/>
      <c r="C510" s="176"/>
      <c r="D510" s="193"/>
      <c r="E510" s="195"/>
      <c r="F510" s="194" t="s">
        <v>190</v>
      </c>
      <c r="G510" s="195"/>
      <c r="H510" s="420" t="s">
        <v>122</v>
      </c>
      <c r="I510" s="187">
        <f ca="1">IFERROR(__xludf.DUMMYFUNCTION("IMPORTRANGE(""https://docs.google.com/spreadsheets/d/11923uPwbBZFjjGgGUA6NLw09EwE0CqkOc4q9oUmW1yo/edit?usp=sharing"",""เชียงใหม่!I405"")"),0)</f>
        <v>0</v>
      </c>
      <c r="J510" s="197">
        <f ca="1">IFERROR(__xludf.DUMMYFUNCTION("IMPORTRANGE(""https://docs.google.com/spreadsheets/d/11923uPwbBZFjjGgGUA6NLw09EwE0CqkOc4q9oUmW1yo/edit?usp=sharing"",""เชียงใหม่!J405"")"),0.1)</f>
        <v>0.1</v>
      </c>
      <c r="K510" s="163">
        <f t="shared" ca="1" si="117"/>
        <v>0</v>
      </c>
      <c r="L510" s="181"/>
      <c r="M510" s="181"/>
      <c r="N510" s="181"/>
      <c r="O510" s="181"/>
      <c r="P510" s="181"/>
    </row>
    <row r="511" spans="1:16" ht="21.75" customHeight="1" x14ac:dyDescent="0.3">
      <c r="A511" s="175"/>
      <c r="B511" s="176"/>
      <c r="C511" s="176"/>
      <c r="D511" s="193"/>
      <c r="E511" s="195"/>
      <c r="F511" s="195"/>
      <c r="G511" s="195"/>
      <c r="H511" s="420" t="s">
        <v>36</v>
      </c>
      <c r="I511" s="187">
        <f ca="1">IFERROR(__xludf.DUMMYFUNCTION("IMPORTRANGE(""https://docs.google.com/spreadsheets/d/11923uPwbBZFjjGgGUA6NLw09EwE0CqkOc4q9oUmW1yo/edit?usp=sharing"",""เชียงใหม่!I406"")"),0)</f>
        <v>0</v>
      </c>
      <c r="J511" s="197">
        <f ca="1">IFERROR(__xludf.DUMMYFUNCTION("IMPORTRANGE(""https://docs.google.com/spreadsheets/d/11923uPwbBZFjjGgGUA6NLw09EwE0CqkOc4q9oUmW1yo/edit?usp=sharing"",""เชียงใหม่!J406"")"),1)</f>
        <v>1</v>
      </c>
      <c r="K511" s="163">
        <f t="shared" ca="1" si="117"/>
        <v>0</v>
      </c>
      <c r="L511" s="181"/>
      <c r="M511" s="181"/>
      <c r="N511" s="181"/>
      <c r="O511" s="181"/>
      <c r="P511" s="181"/>
    </row>
    <row r="512" spans="1:16" ht="21.75" customHeight="1" x14ac:dyDescent="0.3">
      <c r="A512" s="175"/>
      <c r="B512" s="176"/>
      <c r="C512" s="176"/>
      <c r="D512" s="193"/>
      <c r="E512" s="195"/>
      <c r="F512" s="194" t="s">
        <v>191</v>
      </c>
      <c r="G512" s="195"/>
      <c r="H512" s="420" t="s">
        <v>122</v>
      </c>
      <c r="I512" s="187">
        <f ca="1">IFERROR(__xludf.DUMMYFUNCTION("IMPORTRANGE(""https://docs.google.com/spreadsheets/d/11923uPwbBZFjjGgGUA6NLw09EwE0CqkOc4q9oUmW1yo/edit?usp=sharing"",""เชียงใหม่!I407"")"),0)</f>
        <v>0</v>
      </c>
      <c r="J512" s="197">
        <f ca="1">IFERROR(__xludf.DUMMYFUNCTION("IMPORTRANGE(""https://docs.google.com/spreadsheets/d/11923uPwbBZFjjGgGUA6NLw09EwE0CqkOc4q9oUmW1yo/edit?usp=sharing"",""เชียงใหม่!J407"")"),13)</f>
        <v>13</v>
      </c>
      <c r="K512" s="163">
        <f t="shared" ca="1" si="117"/>
        <v>0</v>
      </c>
      <c r="L512" s="181"/>
      <c r="M512" s="181"/>
      <c r="N512" s="181"/>
      <c r="O512" s="181"/>
      <c r="P512" s="181"/>
    </row>
    <row r="513" spans="1:16" ht="21.75" customHeight="1" x14ac:dyDescent="0.3">
      <c r="A513" s="175"/>
      <c r="B513" s="176"/>
      <c r="C513" s="176"/>
      <c r="D513" s="193"/>
      <c r="E513" s="195"/>
      <c r="F513" s="195"/>
      <c r="G513" s="196"/>
      <c r="H513" s="420" t="s">
        <v>36</v>
      </c>
      <c r="I513" s="187">
        <f ca="1">IFERROR(__xludf.DUMMYFUNCTION("IMPORTRANGE(""https://docs.google.com/spreadsheets/d/11923uPwbBZFjjGgGUA6NLw09EwE0CqkOc4q9oUmW1yo/edit?usp=sharing"",""เชียงใหม่!I408"")"),0)</f>
        <v>0</v>
      </c>
      <c r="J513" s="197">
        <f ca="1">IFERROR(__xludf.DUMMYFUNCTION("IMPORTRANGE(""https://docs.google.com/spreadsheets/d/11923uPwbBZFjjGgGUA6NLw09EwE0CqkOc4q9oUmW1yo/edit?usp=sharing"",""เชียงใหม่!J408"")"),5)</f>
        <v>5</v>
      </c>
      <c r="K513" s="163">
        <f t="shared" ca="1" si="117"/>
        <v>0</v>
      </c>
      <c r="L513" s="181"/>
      <c r="M513" s="181"/>
      <c r="N513" s="181"/>
      <c r="O513" s="181"/>
      <c r="P513" s="181"/>
    </row>
    <row r="514" spans="1:16" ht="21.75" customHeight="1" x14ac:dyDescent="0.3">
      <c r="A514" s="175"/>
      <c r="B514" s="176"/>
      <c r="C514" s="176"/>
      <c r="D514" s="402"/>
      <c r="E514" s="448" t="s">
        <v>192</v>
      </c>
      <c r="F514" s="195"/>
      <c r="G514" s="196"/>
      <c r="H514" s="420" t="s">
        <v>122</v>
      </c>
      <c r="I514" s="187">
        <f ca="1">IFERROR(__xludf.DUMMYFUNCTION("IMPORTRANGE(""https://docs.google.com/spreadsheets/d/11923uPwbBZFjjGgGUA6NLw09EwE0CqkOc4q9oUmW1yo/edit?usp=sharing"",""เชียงใหม่!I409"")"),0)</f>
        <v>0</v>
      </c>
      <c r="J514" s="197">
        <f ca="1">IFERROR(__xludf.DUMMYFUNCTION("IMPORTRANGE(""https://docs.google.com/spreadsheets/d/11923uPwbBZFjjGgGUA6NLw09EwE0CqkOc4q9oUmW1yo/edit?usp=sharing"",""เชียงใหม่!J409"")"),248)</f>
        <v>248</v>
      </c>
      <c r="K514" s="163">
        <f t="shared" ca="1" si="117"/>
        <v>0</v>
      </c>
      <c r="L514" s="181"/>
      <c r="M514" s="181"/>
      <c r="N514" s="181"/>
      <c r="O514" s="181"/>
      <c r="P514" s="181"/>
    </row>
    <row r="515" spans="1:16" ht="21.75" customHeight="1" x14ac:dyDescent="0.3">
      <c r="A515" s="175"/>
      <c r="B515" s="176"/>
      <c r="C515" s="176"/>
      <c r="D515" s="193"/>
      <c r="E515" s="195"/>
      <c r="F515" s="195"/>
      <c r="G515" s="196"/>
      <c r="H515" s="420" t="s">
        <v>36</v>
      </c>
      <c r="I515" s="187">
        <f ca="1">IFERROR(__xludf.DUMMYFUNCTION("IMPORTRANGE(""https://docs.google.com/spreadsheets/d/11923uPwbBZFjjGgGUA6NLw09EwE0CqkOc4q9oUmW1yo/edit?usp=sharing"",""เชียงใหม่!I410"")"),0)</f>
        <v>0</v>
      </c>
      <c r="J515" s="197">
        <f ca="1">IFERROR(__xludf.DUMMYFUNCTION("IMPORTRANGE(""https://docs.google.com/spreadsheets/d/11923uPwbBZFjjGgGUA6NLw09EwE0CqkOc4q9oUmW1yo/edit?usp=sharing"",""เชียงใหม่!J410"")"),22)</f>
        <v>22</v>
      </c>
      <c r="K515" s="163">
        <f t="shared" ca="1" si="117"/>
        <v>0</v>
      </c>
      <c r="L515" s="181"/>
      <c r="M515" s="181"/>
      <c r="N515" s="181"/>
      <c r="O515" s="181"/>
      <c r="P515" s="181"/>
    </row>
    <row r="516" spans="1:16" ht="21.75" customHeight="1" x14ac:dyDescent="0.3">
      <c r="A516" s="175"/>
      <c r="B516" s="176"/>
      <c r="C516" s="413" t="s">
        <v>193</v>
      </c>
      <c r="D516" s="413"/>
      <c r="E516" s="449"/>
      <c r="F516" s="449"/>
      <c r="G516" s="450"/>
      <c r="H516" s="451" t="s">
        <v>122</v>
      </c>
      <c r="I516" s="266">
        <f ca="1">IFERROR(__xludf.DUMMYFUNCTION("IMPORTRANGE(""https://docs.google.com/spreadsheets/d/11923uPwbBZFjjGgGUA6NLw09EwE0CqkOc4q9oUmW1yo/edit?usp=sharing"",""เชียงใหม่!I411"")"),0)</f>
        <v>0</v>
      </c>
      <c r="J516" s="266">
        <f ca="1">IFERROR(__xludf.DUMMYFUNCTION("IMPORTRANGE(""https://docs.google.com/spreadsheets/d/11923uPwbBZFjjGgGUA6NLw09EwE0CqkOc4q9oUmW1yo/edit?usp=sharing"",""เชียงใหม่!J411"")"),0)</f>
        <v>0</v>
      </c>
      <c r="K516" s="267">
        <v>0</v>
      </c>
      <c r="L516" s="181"/>
      <c r="M516" s="181"/>
      <c r="N516" s="181"/>
      <c r="O516" s="181"/>
      <c r="P516" s="181"/>
    </row>
    <row r="517" spans="1:16" ht="21.75" customHeight="1" x14ac:dyDescent="0.3">
      <c r="A517" s="175"/>
      <c r="B517" s="176"/>
      <c r="C517" s="452"/>
      <c r="D517" s="452"/>
      <c r="E517" s="452" t="s">
        <v>194</v>
      </c>
      <c r="F517" s="453"/>
      <c r="G517" s="454"/>
      <c r="H517" s="455" t="s">
        <v>122</v>
      </c>
      <c r="I517" s="282">
        <f ca="1">IFERROR(__xludf.DUMMYFUNCTION("IMPORTRANGE(""https://docs.google.com/spreadsheets/d/11923uPwbBZFjjGgGUA6NLw09EwE0CqkOc4q9oUmW1yo/edit?usp=sharing"",""เชียงใหม่!I412"")"),0)</f>
        <v>0</v>
      </c>
      <c r="J517" s="282">
        <f ca="1">IFERROR(__xludf.DUMMYFUNCTION("IMPORTRANGE(""https://docs.google.com/spreadsheets/d/11923uPwbBZFjjGgGUA6NLw09EwE0CqkOc4q9oUmW1yo/edit?usp=sharing"",""เชียงใหม่!J412"")"),0)</f>
        <v>0</v>
      </c>
      <c r="K517" s="283">
        <v>0</v>
      </c>
      <c r="L517" s="181"/>
      <c r="M517" s="181"/>
      <c r="N517" s="181"/>
      <c r="O517" s="181"/>
      <c r="P517" s="181"/>
    </row>
    <row r="518" spans="1:16" ht="21.75" customHeight="1" x14ac:dyDescent="0.3">
      <c r="A518" s="175"/>
      <c r="B518" s="176"/>
      <c r="C518" s="452"/>
      <c r="D518" s="452"/>
      <c r="E518" s="452" t="s">
        <v>195</v>
      </c>
      <c r="F518" s="453"/>
      <c r="G518" s="454"/>
      <c r="H518" s="455" t="s">
        <v>36</v>
      </c>
      <c r="I518" s="282">
        <f ca="1">IFERROR(__xludf.DUMMYFUNCTION("IMPORTRANGE(""https://docs.google.com/spreadsheets/d/11923uPwbBZFjjGgGUA6NLw09EwE0CqkOc4q9oUmW1yo/edit?usp=sharing"",""เชียงใหม่!I413"")"),0)</f>
        <v>0</v>
      </c>
      <c r="J518" s="282">
        <f ca="1">IFERROR(__xludf.DUMMYFUNCTION("IMPORTRANGE(""https://docs.google.com/spreadsheets/d/11923uPwbBZFjjGgGUA6NLw09EwE0CqkOc4q9oUmW1yo/edit?usp=sharing"",""เชียงใหม่!J413"")"),0)</f>
        <v>0</v>
      </c>
      <c r="K518" s="283">
        <v>0</v>
      </c>
      <c r="L518" s="181"/>
      <c r="M518" s="181"/>
      <c r="N518" s="181"/>
      <c r="O518" s="181"/>
      <c r="P518" s="181"/>
    </row>
    <row r="519" spans="1:16" ht="21.75" customHeight="1" x14ac:dyDescent="0.3">
      <c r="A519" s="175"/>
      <c r="B519" s="176"/>
      <c r="C519" s="176"/>
      <c r="D519" s="193"/>
      <c r="E519" s="195"/>
      <c r="F519" s="195"/>
      <c r="G519" s="225" t="s">
        <v>196</v>
      </c>
      <c r="H519" s="420" t="s">
        <v>122</v>
      </c>
      <c r="I519" s="187">
        <f ca="1">IFERROR(__xludf.DUMMYFUNCTION("IMPORTRANGE(""https://docs.google.com/spreadsheets/d/11923uPwbBZFjjGgGUA6NLw09EwE0CqkOc4q9oUmW1yo/edit?usp=sharing"",""เชียงใหม่!I414"")"),0)</f>
        <v>0</v>
      </c>
      <c r="J519" s="187">
        <f ca="1">IFERROR(__xludf.DUMMYFUNCTION("IMPORTRANGE(""https://docs.google.com/spreadsheets/d/11923uPwbBZFjjGgGUA6NLw09EwE0CqkOc4q9oUmW1yo/edit?usp=sharing"",""เชียงใหม่!J414"")"),0)</f>
        <v>0</v>
      </c>
      <c r="K519" s="163">
        <v>0</v>
      </c>
      <c r="L519" s="181"/>
      <c r="M519" s="181"/>
      <c r="N519" s="181"/>
      <c r="O519" s="181"/>
      <c r="P519" s="181"/>
    </row>
    <row r="520" spans="1:16" ht="21.75" customHeight="1" x14ac:dyDescent="0.3">
      <c r="A520" s="175"/>
      <c r="B520" s="176"/>
      <c r="C520" s="176"/>
      <c r="D520" s="193"/>
      <c r="E520" s="195"/>
      <c r="F520" s="195"/>
      <c r="G520" s="196"/>
      <c r="H520" s="420" t="s">
        <v>36</v>
      </c>
      <c r="I520" s="187">
        <f ca="1">IFERROR(__xludf.DUMMYFUNCTION("IMPORTRANGE(""https://docs.google.com/spreadsheets/d/11923uPwbBZFjjGgGUA6NLw09EwE0CqkOc4q9oUmW1yo/edit?usp=sharing"",""เชียงใหม่!I415"")"),0)</f>
        <v>0</v>
      </c>
      <c r="J520" s="187">
        <f ca="1">IFERROR(__xludf.DUMMYFUNCTION("IMPORTRANGE(""https://docs.google.com/spreadsheets/d/11923uPwbBZFjjGgGUA6NLw09EwE0CqkOc4q9oUmW1yo/edit?usp=sharing"",""เชียงใหม่!J415"")"),0)</f>
        <v>0</v>
      </c>
      <c r="K520" s="163">
        <v>0</v>
      </c>
      <c r="L520" s="181"/>
      <c r="M520" s="181"/>
      <c r="N520" s="181"/>
      <c r="O520" s="181"/>
      <c r="P520" s="181"/>
    </row>
    <row r="521" spans="1:16" ht="21.75" customHeight="1" x14ac:dyDescent="0.3">
      <c r="A521" s="175"/>
      <c r="B521" s="176"/>
      <c r="C521" s="176"/>
      <c r="D521" s="193"/>
      <c r="E521" s="195"/>
      <c r="F521" s="195"/>
      <c r="G521" s="225" t="s">
        <v>197</v>
      </c>
      <c r="H521" s="420" t="s">
        <v>122</v>
      </c>
      <c r="I521" s="187">
        <f ca="1">IFERROR(__xludf.DUMMYFUNCTION("IMPORTRANGE(""https://docs.google.com/spreadsheets/d/11923uPwbBZFjjGgGUA6NLw09EwE0CqkOc4q9oUmW1yo/edit?usp=sharing"",""เชียงใหม่!I416"")"),0)</f>
        <v>0</v>
      </c>
      <c r="J521" s="187">
        <f ca="1">IFERROR(__xludf.DUMMYFUNCTION("IMPORTRANGE(""https://docs.google.com/spreadsheets/d/11923uPwbBZFjjGgGUA6NLw09EwE0CqkOc4q9oUmW1yo/edit?usp=sharing"",""เชียงใหม่!J416"")"),0)</f>
        <v>0</v>
      </c>
      <c r="K521" s="163">
        <v>0</v>
      </c>
      <c r="L521" s="181"/>
      <c r="M521" s="181"/>
      <c r="N521" s="181"/>
      <c r="O521" s="181"/>
      <c r="P521" s="181"/>
    </row>
    <row r="522" spans="1:16" ht="21.75" customHeight="1" x14ac:dyDescent="0.3">
      <c r="A522" s="175"/>
      <c r="B522" s="176"/>
      <c r="C522" s="176"/>
      <c r="D522" s="193"/>
      <c r="E522" s="195"/>
      <c r="F522" s="195"/>
      <c r="G522" s="196"/>
      <c r="H522" s="420" t="s">
        <v>36</v>
      </c>
      <c r="I522" s="187">
        <f ca="1">IFERROR(__xludf.DUMMYFUNCTION("IMPORTRANGE(""https://docs.google.com/spreadsheets/d/11923uPwbBZFjjGgGUA6NLw09EwE0CqkOc4q9oUmW1yo/edit?usp=sharing"",""เชียงใหม่!I417"")"),0)</f>
        <v>0</v>
      </c>
      <c r="J522" s="187">
        <f ca="1">IFERROR(__xludf.DUMMYFUNCTION("IMPORTRANGE(""https://docs.google.com/spreadsheets/d/11923uPwbBZFjjGgGUA6NLw09EwE0CqkOc4q9oUmW1yo/edit?usp=sharing"",""เชียงใหม่!J417"")"),0)</f>
        <v>0</v>
      </c>
      <c r="K522" s="163">
        <v>0</v>
      </c>
      <c r="L522" s="181"/>
      <c r="M522" s="181"/>
      <c r="N522" s="181"/>
      <c r="O522" s="181"/>
      <c r="P522" s="181"/>
    </row>
    <row r="523" spans="1:16" ht="21.75" customHeight="1" x14ac:dyDescent="0.3">
      <c r="A523" s="175"/>
      <c r="B523" s="176"/>
      <c r="C523" s="176"/>
      <c r="D523" s="193"/>
      <c r="E523" s="195"/>
      <c r="F523" s="195"/>
      <c r="G523" s="456" t="s">
        <v>198</v>
      </c>
      <c r="H523" s="420" t="s">
        <v>122</v>
      </c>
      <c r="I523" s="187">
        <f ca="1">IFERROR(__xludf.DUMMYFUNCTION("IMPORTRANGE(""https://docs.google.com/spreadsheets/d/11923uPwbBZFjjGgGUA6NLw09EwE0CqkOc4q9oUmW1yo/edit?usp=sharing"",""เชียงใหม่!I418"")"),0)</f>
        <v>0</v>
      </c>
      <c r="J523" s="187">
        <f ca="1">IFERROR(__xludf.DUMMYFUNCTION("IMPORTRANGE(""https://docs.google.com/spreadsheets/d/11923uPwbBZFjjGgGUA6NLw09EwE0CqkOc4q9oUmW1yo/edit?usp=sharing"",""เชียงใหม่!J418"")"),0)</f>
        <v>0</v>
      </c>
      <c r="K523" s="163">
        <v>0</v>
      </c>
      <c r="L523" s="181"/>
      <c r="M523" s="181"/>
      <c r="N523" s="181"/>
      <c r="O523" s="181"/>
      <c r="P523" s="181"/>
    </row>
    <row r="524" spans="1:16" ht="21.75" customHeight="1" x14ac:dyDescent="0.3">
      <c r="A524" s="175"/>
      <c r="B524" s="176"/>
      <c r="C524" s="176"/>
      <c r="D524" s="193"/>
      <c r="E524" s="195"/>
      <c r="F524" s="195"/>
      <c r="G524" s="196"/>
      <c r="H524" s="420" t="s">
        <v>36</v>
      </c>
      <c r="I524" s="187">
        <f ca="1">IFERROR(__xludf.DUMMYFUNCTION("IMPORTRANGE(""https://docs.google.com/spreadsheets/d/11923uPwbBZFjjGgGUA6NLw09EwE0CqkOc4q9oUmW1yo/edit?usp=sharing"",""เชียงใหม่!I419"")"),0)</f>
        <v>0</v>
      </c>
      <c r="J524" s="187">
        <f ca="1">IFERROR(__xludf.DUMMYFUNCTION("IMPORTRANGE(""https://docs.google.com/spreadsheets/d/11923uPwbBZFjjGgGUA6NLw09EwE0CqkOc4q9oUmW1yo/edit?usp=sharing"",""เชียงใหม่!J419"")"),0)</f>
        <v>0</v>
      </c>
      <c r="K524" s="163">
        <v>0</v>
      </c>
      <c r="L524" s="181"/>
      <c r="M524" s="181"/>
      <c r="N524" s="181"/>
      <c r="O524" s="181"/>
      <c r="P524" s="181"/>
    </row>
    <row r="525" spans="1:16" ht="21.75" customHeight="1" x14ac:dyDescent="0.3">
      <c r="A525" s="175"/>
      <c r="B525" s="176"/>
      <c r="C525" s="452"/>
      <c r="D525" s="452"/>
      <c r="E525" s="452" t="s">
        <v>199</v>
      </c>
      <c r="F525" s="453"/>
      <c r="G525" s="454"/>
      <c r="H525" s="455" t="s">
        <v>122</v>
      </c>
      <c r="I525" s="282">
        <f ca="1">IFERROR(__xludf.DUMMYFUNCTION("IMPORTRANGE(""https://docs.google.com/spreadsheets/d/11923uPwbBZFjjGgGUA6NLw09EwE0CqkOc4q9oUmW1yo/edit?usp=sharing"",""เชียงใหม่!I420"")"),0)</f>
        <v>0</v>
      </c>
      <c r="J525" s="282">
        <f ca="1">IFERROR(__xludf.DUMMYFUNCTION("IMPORTRANGE(""https://docs.google.com/spreadsheets/d/11923uPwbBZFjjGgGUA6NLw09EwE0CqkOc4q9oUmW1yo/edit?usp=sharing"",""เชียงใหม่!J420"")"),0)</f>
        <v>0</v>
      </c>
      <c r="K525" s="283">
        <v>0</v>
      </c>
      <c r="L525" s="181"/>
      <c r="M525" s="181"/>
      <c r="N525" s="181"/>
      <c r="O525" s="181"/>
      <c r="P525" s="181"/>
    </row>
    <row r="526" spans="1:16" ht="21.75" customHeight="1" x14ac:dyDescent="0.3">
      <c r="A526" s="175"/>
      <c r="B526" s="176"/>
      <c r="C526" s="452"/>
      <c r="D526" s="452"/>
      <c r="E526" s="452" t="s">
        <v>200</v>
      </c>
      <c r="F526" s="453"/>
      <c r="G526" s="454"/>
      <c r="H526" s="455" t="s">
        <v>36</v>
      </c>
      <c r="I526" s="282">
        <f ca="1">IFERROR(__xludf.DUMMYFUNCTION("IMPORTRANGE(""https://docs.google.com/spreadsheets/d/11923uPwbBZFjjGgGUA6NLw09EwE0CqkOc4q9oUmW1yo/edit?usp=sharing"",""เชียงใหม่!I421"")"),0)</f>
        <v>0</v>
      </c>
      <c r="J526" s="282">
        <f ca="1">IFERROR(__xludf.DUMMYFUNCTION("IMPORTRANGE(""https://docs.google.com/spreadsheets/d/11923uPwbBZFjjGgGUA6NLw09EwE0CqkOc4q9oUmW1yo/edit?usp=sharing"",""เชียงใหม่!J421"")"),0)</f>
        <v>0</v>
      </c>
      <c r="K526" s="283">
        <v>0</v>
      </c>
      <c r="L526" s="181"/>
      <c r="M526" s="181"/>
      <c r="N526" s="181"/>
      <c r="O526" s="181"/>
      <c r="P526" s="181"/>
    </row>
    <row r="527" spans="1:16" ht="21.75" customHeight="1" x14ac:dyDescent="0.3">
      <c r="A527" s="175"/>
      <c r="B527" s="176"/>
      <c r="C527" s="176"/>
      <c r="D527" s="193"/>
      <c r="E527" s="195"/>
      <c r="F527" s="195"/>
      <c r="G527" s="225" t="s">
        <v>196</v>
      </c>
      <c r="H527" s="420" t="s">
        <v>122</v>
      </c>
      <c r="I527" s="187">
        <f ca="1">IFERROR(__xludf.DUMMYFUNCTION("IMPORTRANGE(""https://docs.google.com/spreadsheets/d/11923uPwbBZFjjGgGUA6NLw09EwE0CqkOc4q9oUmW1yo/edit?usp=sharing"",""เชียงใหม่!I422"")"),0)</f>
        <v>0</v>
      </c>
      <c r="J527" s="197">
        <f ca="1">IFERROR(__xludf.DUMMYFUNCTION("IMPORTRANGE(""https://docs.google.com/spreadsheets/d/11923uPwbBZFjjGgGUA6NLw09EwE0CqkOc4q9oUmW1yo/edit?usp=sharing"",""เชียงใหม่!J422"")"),0)</f>
        <v>0</v>
      </c>
      <c r="K527" s="163">
        <v>0</v>
      </c>
      <c r="L527" s="181"/>
      <c r="M527" s="181"/>
      <c r="N527" s="181"/>
      <c r="O527" s="181"/>
      <c r="P527" s="181"/>
    </row>
    <row r="528" spans="1:16" ht="21.75" customHeight="1" x14ac:dyDescent="0.3">
      <c r="A528" s="175"/>
      <c r="B528" s="176"/>
      <c r="C528" s="176"/>
      <c r="D528" s="193"/>
      <c r="E528" s="195"/>
      <c r="F528" s="195"/>
      <c r="G528" s="196"/>
      <c r="H528" s="420" t="s">
        <v>36</v>
      </c>
      <c r="I528" s="187">
        <f ca="1">IFERROR(__xludf.DUMMYFUNCTION("IMPORTRANGE(""https://docs.google.com/spreadsheets/d/11923uPwbBZFjjGgGUA6NLw09EwE0CqkOc4q9oUmW1yo/edit?usp=sharing"",""เชียงใหม่!I423"")"),0)</f>
        <v>0</v>
      </c>
      <c r="J528" s="197">
        <f ca="1">IFERROR(__xludf.DUMMYFUNCTION("IMPORTRANGE(""https://docs.google.com/spreadsheets/d/11923uPwbBZFjjGgGUA6NLw09EwE0CqkOc4q9oUmW1yo/edit?usp=sharing"",""เชียงใหม่!J423"")"),0)</f>
        <v>0</v>
      </c>
      <c r="K528" s="163">
        <v>0</v>
      </c>
      <c r="L528" s="181"/>
      <c r="M528" s="181"/>
      <c r="N528" s="181"/>
      <c r="O528" s="181"/>
      <c r="P528" s="181"/>
    </row>
    <row r="529" spans="1:16" ht="21.75" customHeight="1" x14ac:dyDescent="0.3">
      <c r="A529" s="175"/>
      <c r="B529" s="176"/>
      <c r="C529" s="176"/>
      <c r="D529" s="193"/>
      <c r="E529" s="195"/>
      <c r="F529" s="195"/>
      <c r="G529" s="225" t="s">
        <v>197</v>
      </c>
      <c r="H529" s="420" t="s">
        <v>122</v>
      </c>
      <c r="I529" s="187">
        <f ca="1">IFERROR(__xludf.DUMMYFUNCTION("IMPORTRANGE(""https://docs.google.com/spreadsheets/d/11923uPwbBZFjjGgGUA6NLw09EwE0CqkOc4q9oUmW1yo/edit?usp=sharing"",""เชียงใหม่!I424"")"),0)</f>
        <v>0</v>
      </c>
      <c r="J529" s="197">
        <f ca="1">IFERROR(__xludf.DUMMYFUNCTION("IMPORTRANGE(""https://docs.google.com/spreadsheets/d/11923uPwbBZFjjGgGUA6NLw09EwE0CqkOc4q9oUmW1yo/edit?usp=sharing"",""เชียงใหม่!J424"")"),0)</f>
        <v>0</v>
      </c>
      <c r="K529" s="163">
        <v>0</v>
      </c>
      <c r="L529" s="181"/>
      <c r="M529" s="181"/>
      <c r="N529" s="181"/>
      <c r="O529" s="181"/>
      <c r="P529" s="181"/>
    </row>
    <row r="530" spans="1:16" ht="21.75" customHeight="1" x14ac:dyDescent="0.3">
      <c r="A530" s="175"/>
      <c r="B530" s="176"/>
      <c r="C530" s="176"/>
      <c r="D530" s="193"/>
      <c r="E530" s="195"/>
      <c r="F530" s="195"/>
      <c r="G530" s="196"/>
      <c r="H530" s="420" t="s">
        <v>36</v>
      </c>
      <c r="I530" s="187">
        <f ca="1">IFERROR(__xludf.DUMMYFUNCTION("IMPORTRANGE(""https://docs.google.com/spreadsheets/d/11923uPwbBZFjjGgGUA6NLw09EwE0CqkOc4q9oUmW1yo/edit?usp=sharing"",""เชียงใหม่!I425"")"),0)</f>
        <v>0</v>
      </c>
      <c r="J530" s="197">
        <f ca="1">IFERROR(__xludf.DUMMYFUNCTION("IMPORTRANGE(""https://docs.google.com/spreadsheets/d/11923uPwbBZFjjGgGUA6NLw09EwE0CqkOc4q9oUmW1yo/edit?usp=sharing"",""เชียงใหม่!J425"")"),0)</f>
        <v>0</v>
      </c>
      <c r="K530" s="163">
        <v>0</v>
      </c>
      <c r="L530" s="181"/>
      <c r="M530" s="181"/>
      <c r="N530" s="181"/>
      <c r="O530" s="181"/>
      <c r="P530" s="181"/>
    </row>
    <row r="531" spans="1:16" ht="21.75" customHeight="1" x14ac:dyDescent="0.3">
      <c r="A531" s="175"/>
      <c r="B531" s="176"/>
      <c r="C531" s="176"/>
      <c r="D531" s="193"/>
      <c r="E531" s="195"/>
      <c r="F531" s="195"/>
      <c r="G531" s="225" t="s">
        <v>201</v>
      </c>
      <c r="H531" s="420" t="s">
        <v>122</v>
      </c>
      <c r="I531" s="187">
        <f ca="1">IFERROR(__xludf.DUMMYFUNCTION("IMPORTRANGE(""https://docs.google.com/spreadsheets/d/11923uPwbBZFjjGgGUA6NLw09EwE0CqkOc4q9oUmW1yo/edit?usp=sharing"",""เชียงใหม่!I426"")"),0)</f>
        <v>0</v>
      </c>
      <c r="J531" s="197">
        <f ca="1">IFERROR(__xludf.DUMMYFUNCTION("IMPORTRANGE(""https://docs.google.com/spreadsheets/d/11923uPwbBZFjjGgGUA6NLw09EwE0CqkOc4q9oUmW1yo/edit?usp=sharing"",""เชียงใหม่!J426"")"),0)</f>
        <v>0</v>
      </c>
      <c r="K531" s="163">
        <v>0</v>
      </c>
      <c r="L531" s="181"/>
      <c r="M531" s="181"/>
      <c r="N531" s="181"/>
      <c r="O531" s="181"/>
      <c r="P531" s="181"/>
    </row>
    <row r="532" spans="1:16" ht="21.75" customHeight="1" x14ac:dyDescent="0.3">
      <c r="A532" s="457"/>
      <c r="B532" s="458"/>
      <c r="C532" s="458"/>
      <c r="D532" s="459"/>
      <c r="E532" s="460"/>
      <c r="F532" s="460"/>
      <c r="G532" s="461"/>
      <c r="H532" s="462" t="s">
        <v>36</v>
      </c>
      <c r="I532" s="463">
        <f ca="1">IFERROR(__xludf.DUMMYFUNCTION("IMPORTRANGE(""https://docs.google.com/spreadsheets/d/11923uPwbBZFjjGgGUA6NLw09EwE0CqkOc4q9oUmW1yo/edit?usp=sharing"",""เชียงใหม่!I427"")"),0)</f>
        <v>0</v>
      </c>
      <c r="J532" s="464">
        <f ca="1">IFERROR(__xludf.DUMMYFUNCTION("IMPORTRANGE(""https://docs.google.com/spreadsheets/d/11923uPwbBZFjjGgGUA6NLw09EwE0CqkOc4q9oUmW1yo/edit?usp=sharing"",""เชียงใหม่!J427"")"),0)</f>
        <v>0</v>
      </c>
      <c r="K532" s="465">
        <v>0</v>
      </c>
      <c r="L532" s="466"/>
      <c r="M532" s="466"/>
      <c r="N532" s="466"/>
      <c r="O532" s="466"/>
      <c r="P532" s="466"/>
    </row>
    <row r="533" spans="1:16" ht="21.75" customHeight="1" x14ac:dyDescent="0.3">
      <c r="A533" s="403"/>
      <c r="B533" s="404">
        <v>6</v>
      </c>
      <c r="C533" s="405" t="s">
        <v>202</v>
      </c>
      <c r="D533" s="405"/>
      <c r="E533" s="405"/>
      <c r="F533" s="405"/>
      <c r="G533" s="406"/>
      <c r="H533" s="407" t="s">
        <v>37</v>
      </c>
      <c r="I533" s="408">
        <f ca="1">IFERROR(__xludf.DUMMYFUNCTION("IMPORTRANGE(""https://docs.google.com/spreadsheets/d/11923uPwbBZFjjGgGUA6NLw09EwE0CqkOc4q9oUmW1yo/edit?usp=sharing"",""เชียงใหม่!I428"")"),26)</f>
        <v>26</v>
      </c>
      <c r="J533" s="408">
        <f ca="1">IFERROR(__xludf.DUMMYFUNCTION("IMPORTRANGE(""https://docs.google.com/spreadsheets/d/11923uPwbBZFjjGgGUA6NLw09EwE0CqkOc4q9oUmW1yo/edit?usp=sharing"",""เชียงใหม่!J428"")"),26)</f>
        <v>26</v>
      </c>
      <c r="K533" s="409">
        <f ca="1">IF(I533&gt;0,J533*100/I533,0)</f>
        <v>100</v>
      </c>
      <c r="L533" s="410">
        <f ca="1">IFERROR(__xludf.DUMMYFUNCTION("IMPORTRANGE(""https://docs.google.com/spreadsheets/d/11923uPwbBZFjjGgGUA6NLw09EwE0CqkOc4q9oUmW1yo/edit?usp=sharing"",""เชียงใหม่!L428"")"),37740)</f>
        <v>37740</v>
      </c>
      <c r="M533" s="410"/>
      <c r="N533" s="410">
        <f ca="1">IFERROR(__xludf.DUMMYFUNCTION("IMPORTRANGE(""https://docs.google.com/spreadsheets/d/11923uPwbBZFjjGgGUA6NLw09EwE0CqkOc4q9oUmW1yo/edit?usp=sharing"",""เชียงใหม่!M428"")"),26444)</f>
        <v>26444</v>
      </c>
      <c r="O533" s="410">
        <f t="shared" ref="O533:O537" ca="1" si="118">+IF(L533&gt;0,N533*100/L533,0)</f>
        <v>70.068892421833596</v>
      </c>
      <c r="P533" s="410"/>
    </row>
    <row r="534" spans="1:16" ht="21.75" customHeight="1" x14ac:dyDescent="0.3">
      <c r="A534" s="156"/>
      <c r="B534" s="157"/>
      <c r="C534" s="157" t="s">
        <v>16</v>
      </c>
      <c r="D534" s="158" t="s">
        <v>38</v>
      </c>
      <c r="E534" s="159"/>
      <c r="F534" s="159"/>
      <c r="G534" s="160" t="s">
        <v>39</v>
      </c>
      <c r="H534" s="161" t="s">
        <v>12</v>
      </c>
      <c r="I534" s="162" t="s">
        <v>40</v>
      </c>
      <c r="J534" s="162"/>
      <c r="K534" s="163"/>
      <c r="L534" s="164">
        <f ca="1">IFERROR(__xludf.DUMMYFUNCTION("IMPORTRANGE(""https://docs.google.com/spreadsheets/d/11923uPwbBZFjjGgGUA6NLw09EwE0CqkOc4q9oUmW1yo/edit?usp=sharing"",""เชียงใหม่!L429"")"),0)</f>
        <v>0</v>
      </c>
      <c r="M534" s="164"/>
      <c r="N534" s="168">
        <f ca="1">IFERROR(__xludf.DUMMYFUNCTION("IMPORTRANGE(""https://docs.google.com/spreadsheets/d/11923uPwbBZFjjGgGUA6NLw09EwE0CqkOc4q9oUmW1yo/edit?usp=sharing"",""เชียงใหม่!M429"")"),0)</f>
        <v>0</v>
      </c>
      <c r="O534" s="168">
        <f t="shared" ca="1" si="118"/>
        <v>0</v>
      </c>
      <c r="P534" s="168"/>
    </row>
    <row r="535" spans="1:16" ht="21.75" customHeight="1" x14ac:dyDescent="0.3">
      <c r="A535" s="156"/>
      <c r="B535" s="157"/>
      <c r="C535" s="157"/>
      <c r="D535" s="166"/>
      <c r="E535" s="159"/>
      <c r="F535" s="159" t="s">
        <v>40</v>
      </c>
      <c r="G535" s="160" t="s">
        <v>41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IFERROR(__xludf.DUMMYFUNCTION("IMPORTRANGE(""https://docs.google.com/spreadsheets/d/11923uPwbBZFjjGgGUA6NLw09EwE0CqkOc4q9oUmW1yo/edit?usp=sharing"",""เชียงใหม่!L430"")"),37740)</f>
        <v>37740</v>
      </c>
      <c r="M535" s="165"/>
      <c r="N535" s="168">
        <f ca="1">IFERROR(__xludf.DUMMYFUNCTION("IMPORTRANGE(""https://docs.google.com/spreadsheets/d/11923uPwbBZFjjGgGUA6NLw09EwE0CqkOc4q9oUmW1yo/edit?usp=sharing"",""เชียงใหม่!M430"")"),26444)</f>
        <v>26444</v>
      </c>
      <c r="O535" s="168">
        <f t="shared" ca="1" si="118"/>
        <v>70.068892421833596</v>
      </c>
      <c r="P535" s="168"/>
    </row>
    <row r="536" spans="1:16" ht="21.75" customHeight="1" x14ac:dyDescent="0.3">
      <c r="A536" s="156"/>
      <c r="B536" s="157"/>
      <c r="C536" s="157"/>
      <c r="D536" s="166"/>
      <c r="E536" s="159"/>
      <c r="F536" s="159"/>
      <c r="G536" s="372" t="s">
        <v>129</v>
      </c>
      <c r="H536" s="161" t="s">
        <v>12</v>
      </c>
      <c r="I536" s="162"/>
      <c r="J536" s="162"/>
      <c r="K536" s="163"/>
      <c r="L536" s="168">
        <f ca="1">IFERROR(__xludf.DUMMYFUNCTION("IMPORTRANGE(""https://docs.google.com/spreadsheets/d/11923uPwbBZFjjGgGUA6NLw09EwE0CqkOc4q9oUmW1yo/edit?usp=sharing"",""เชียงใหม่!L431"")"),0)</f>
        <v>0</v>
      </c>
      <c r="M536" s="168"/>
      <c r="N536" s="168">
        <f ca="1">IFERROR(__xludf.DUMMYFUNCTION("IMPORTRANGE(""https://docs.google.com/spreadsheets/d/11923uPwbBZFjjGgGUA6NLw09EwE0CqkOc4q9oUmW1yo/edit?usp=sharing"",""เชียงใหม่!M431"")"),0)</f>
        <v>0</v>
      </c>
      <c r="O536" s="168">
        <f t="shared" ca="1" si="118"/>
        <v>0</v>
      </c>
      <c r="P536" s="168"/>
    </row>
    <row r="537" spans="1:16" ht="21.75" customHeight="1" x14ac:dyDescent="0.3">
      <c r="A537" s="156"/>
      <c r="B537" s="157"/>
      <c r="C537" s="157"/>
      <c r="D537" s="166"/>
      <c r="E537" s="159"/>
      <c r="F537" s="159"/>
      <c r="G537" s="372" t="s">
        <v>130</v>
      </c>
      <c r="H537" s="161" t="s">
        <v>12</v>
      </c>
      <c r="I537" s="162"/>
      <c r="J537" s="162"/>
      <c r="K537" s="163"/>
      <c r="L537" s="168">
        <f ca="1">IFERROR(__xludf.DUMMYFUNCTION("IMPORTRANGE(""https://docs.google.com/spreadsheets/d/11923uPwbBZFjjGgGUA6NLw09EwE0CqkOc4q9oUmW1yo/edit?usp=sharing"",""เชียงใหม่!L432"")"),37740)</f>
        <v>37740</v>
      </c>
      <c r="M537" s="168"/>
      <c r="N537" s="168">
        <f ca="1">IFERROR(__xludf.DUMMYFUNCTION("IMPORTRANGE(""https://docs.google.com/spreadsheets/d/11923uPwbBZFjjGgGUA6NLw09EwE0CqkOc4q9oUmW1yo/edit?usp=sharing"",""เชียงใหม่!M432"")"),26444)</f>
        <v>26444</v>
      </c>
      <c r="O537" s="168">
        <f t="shared" ca="1" si="118"/>
        <v>70.068892421833596</v>
      </c>
      <c r="P537" s="168"/>
    </row>
    <row r="538" spans="1:16" ht="21.75" customHeight="1" x14ac:dyDescent="0.3">
      <c r="A538" s="373"/>
      <c r="B538" s="374"/>
      <c r="C538" s="157"/>
      <c r="D538" s="375"/>
      <c r="E538" s="159"/>
      <c r="F538" s="159"/>
      <c r="G538" s="376" t="s">
        <v>131</v>
      </c>
      <c r="H538" s="161" t="s">
        <v>12</v>
      </c>
      <c r="I538" s="187"/>
      <c r="J538" s="187"/>
      <c r="K538" s="223"/>
      <c r="L538" s="168"/>
      <c r="M538" s="168"/>
      <c r="N538" s="377">
        <f ca="1">IFERROR(__xludf.DUMMYFUNCTION("IMPORTRANGE(""https://docs.google.com/spreadsheets/d/11923uPwbBZFjjGgGUA6NLw09EwE0CqkOc4q9oUmW1yo/edit?usp=sharing"",""เชียงใหม่!M433"")"),20904)</f>
        <v>20904</v>
      </c>
      <c r="O538" s="168"/>
      <c r="P538" s="168"/>
    </row>
    <row r="539" spans="1:16" ht="21.75" customHeight="1" x14ac:dyDescent="0.3">
      <c r="A539" s="373"/>
      <c r="B539" s="374"/>
      <c r="C539" s="157"/>
      <c r="D539" s="375"/>
      <c r="E539" s="159"/>
      <c r="F539" s="159"/>
      <c r="G539" s="376" t="s">
        <v>132</v>
      </c>
      <c r="H539" s="161" t="s">
        <v>12</v>
      </c>
      <c r="I539" s="187"/>
      <c r="J539" s="187"/>
      <c r="K539" s="223"/>
      <c r="L539" s="168"/>
      <c r="M539" s="168"/>
      <c r="N539" s="377">
        <f ca="1">IFERROR(__xludf.DUMMYFUNCTION("IMPORTRANGE(""https://docs.google.com/spreadsheets/d/11923uPwbBZFjjGgGUA6NLw09EwE0CqkOc4q9oUmW1yo/edit?usp=sharing"",""เชียงใหม่!M434"")"),0)</f>
        <v>0</v>
      </c>
      <c r="O539" s="168"/>
      <c r="P539" s="168"/>
    </row>
    <row r="540" spans="1:16" ht="21.75" customHeight="1" x14ac:dyDescent="0.3">
      <c r="A540" s="373"/>
      <c r="B540" s="374"/>
      <c r="C540" s="157"/>
      <c r="D540" s="375"/>
      <c r="E540" s="159"/>
      <c r="F540" s="159"/>
      <c r="G540" s="376" t="s">
        <v>133</v>
      </c>
      <c r="H540" s="161" t="s">
        <v>12</v>
      </c>
      <c r="I540" s="187"/>
      <c r="J540" s="187"/>
      <c r="K540" s="223"/>
      <c r="L540" s="168"/>
      <c r="M540" s="168"/>
      <c r="N540" s="377">
        <f ca="1">IFERROR(__xludf.DUMMYFUNCTION("IMPORTRANGE(""https://docs.google.com/spreadsheets/d/11923uPwbBZFjjGgGUA6NLw09EwE0CqkOc4q9oUmW1yo/edit?usp=sharing"",""เชียงใหม่!M435"")"),0)</f>
        <v>0</v>
      </c>
      <c r="O540" s="168"/>
      <c r="P540" s="168"/>
    </row>
    <row r="541" spans="1:16" ht="21.75" customHeight="1" x14ac:dyDescent="0.3">
      <c r="A541" s="373"/>
      <c r="B541" s="374"/>
      <c r="C541" s="157"/>
      <c r="D541" s="375"/>
      <c r="E541" s="159"/>
      <c r="F541" s="159"/>
      <c r="G541" s="376" t="s">
        <v>134</v>
      </c>
      <c r="H541" s="161" t="s">
        <v>12</v>
      </c>
      <c r="I541" s="187"/>
      <c r="J541" s="187"/>
      <c r="K541" s="223"/>
      <c r="L541" s="168"/>
      <c r="M541" s="168"/>
      <c r="N541" s="377">
        <f ca="1">IFERROR(__xludf.DUMMYFUNCTION("IMPORTRANGE(""https://docs.google.com/spreadsheets/d/11923uPwbBZFjjGgGUA6NLw09EwE0CqkOc4q9oUmW1yo/edit?usp=sharing"",""เชียงใหม่!M436"")"),5540)</f>
        <v>5540</v>
      </c>
      <c r="O541" s="168"/>
      <c r="P541" s="168"/>
    </row>
    <row r="542" spans="1:16" ht="21.75" customHeight="1" x14ac:dyDescent="0.3">
      <c r="A542" s="175"/>
      <c r="B542" s="176"/>
      <c r="C542" s="157" t="s">
        <v>16</v>
      </c>
      <c r="D542" s="177" t="s">
        <v>44</v>
      </c>
      <c r="E542" s="178"/>
      <c r="F542" s="178"/>
      <c r="G542" s="179"/>
      <c r="H542" s="180"/>
      <c r="I542" s="162"/>
      <c r="J542" s="162"/>
      <c r="K542" s="163"/>
      <c r="L542" s="181"/>
      <c r="M542" s="181"/>
      <c r="N542" s="181"/>
      <c r="O542" s="181"/>
      <c r="P542" s="181"/>
    </row>
    <row r="543" spans="1:16" ht="21.75" customHeight="1" x14ac:dyDescent="0.3">
      <c r="A543" s="175"/>
      <c r="B543" s="176"/>
      <c r="C543" s="176"/>
      <c r="D543" s="182">
        <v>1</v>
      </c>
      <c r="E543" s="183" t="s">
        <v>45</v>
      </c>
      <c r="F543" s="184"/>
      <c r="G543" s="185"/>
      <c r="H543" s="186"/>
      <c r="I543" s="187"/>
      <c r="J543" s="197">
        <f ca="1">IFERROR(__xludf.DUMMYFUNCTION("IMPORTRANGE(""https://docs.google.com/spreadsheets/d/11923uPwbBZFjjGgGUA6NLw09EwE0CqkOc4q9oUmW1yo/edit?usp=sharing"",""เชียงใหม่!J438"")"),0)</f>
        <v>0</v>
      </c>
      <c r="K543" s="163"/>
      <c r="L543" s="181"/>
      <c r="M543" s="181"/>
      <c r="N543" s="181"/>
      <c r="O543" s="181"/>
      <c r="P543" s="181"/>
    </row>
    <row r="544" spans="1:16" ht="21.75" customHeight="1" x14ac:dyDescent="0.3">
      <c r="A544" s="175"/>
      <c r="B544" s="176"/>
      <c r="C544" s="176"/>
      <c r="D544" s="189">
        <v>2</v>
      </c>
      <c r="E544" s="190" t="s">
        <v>46</v>
      </c>
      <c r="F544" s="191"/>
      <c r="G544" s="192"/>
      <c r="H544" s="186"/>
      <c r="I544" s="187"/>
      <c r="J544" s="188">
        <f ca="1">IFERROR(__xludf.DUMMYFUNCTION("IMPORTRANGE(""https://docs.google.com/spreadsheets/d/11923uPwbBZFjjGgGUA6NLw09EwE0CqkOc4q9oUmW1yo/edit?usp=sharing"",""เชียงใหม่!J439"")"),1)</f>
        <v>1</v>
      </c>
      <c r="K544" s="163"/>
      <c r="L544" s="181" t="s">
        <v>40</v>
      </c>
      <c r="M544" s="181"/>
      <c r="N544" s="181" t="s">
        <v>40</v>
      </c>
      <c r="O544" s="181"/>
      <c r="P544" s="181"/>
    </row>
    <row r="545" spans="1:16" ht="21.75" customHeight="1" x14ac:dyDescent="0.3">
      <c r="A545" s="175"/>
      <c r="B545" s="176"/>
      <c r="C545" s="176"/>
      <c r="D545" s="193"/>
      <c r="E545" s="194" t="s">
        <v>47</v>
      </c>
      <c r="F545" s="195"/>
      <c r="G545" s="196"/>
      <c r="H545" s="186"/>
      <c r="I545" s="187"/>
      <c r="J545" s="188">
        <f ca="1">IFERROR(__xludf.DUMMYFUNCTION("IMPORTRANGE(""https://docs.google.com/spreadsheets/d/11923uPwbBZFjjGgGUA6NLw09EwE0CqkOc4q9oUmW1yo/edit?usp=sharing"",""เชียงใหม่!J440"")"),1)</f>
        <v>1</v>
      </c>
      <c r="K545" s="163"/>
      <c r="L545" s="181"/>
      <c r="M545" s="181"/>
      <c r="N545" s="181"/>
      <c r="O545" s="181"/>
      <c r="P545" s="181"/>
    </row>
    <row r="546" spans="1:16" ht="21.75" customHeight="1" x14ac:dyDescent="0.3">
      <c r="A546" s="175"/>
      <c r="B546" s="176"/>
      <c r="C546" s="176"/>
      <c r="D546" s="193"/>
      <c r="E546" s="194" t="s">
        <v>48</v>
      </c>
      <c r="F546" s="195"/>
      <c r="G546" s="196"/>
      <c r="H546" s="186"/>
      <c r="I546" s="187"/>
      <c r="J546" s="197">
        <f ca="1">IFERROR(__xludf.DUMMYFUNCTION("IMPORTRANGE(""https://docs.google.com/spreadsheets/d/11923uPwbBZFjjGgGUA6NLw09EwE0CqkOc4q9oUmW1yo/edit?usp=sharing"",""เชียงใหม่!J441"")"),1)</f>
        <v>1</v>
      </c>
      <c r="K546" s="163"/>
      <c r="L546" s="181"/>
      <c r="M546" s="181"/>
      <c r="N546" s="181"/>
      <c r="O546" s="181"/>
      <c r="P546" s="181"/>
    </row>
    <row r="547" spans="1:16" ht="21.75" customHeight="1" x14ac:dyDescent="0.3">
      <c r="A547" s="175"/>
      <c r="B547" s="176"/>
      <c r="C547" s="176"/>
      <c r="D547" s="193"/>
      <c r="E547" s="198"/>
      <c r="F547" s="195"/>
      <c r="G547" s="225" t="s">
        <v>203</v>
      </c>
      <c r="H547" s="186" t="s">
        <v>37</v>
      </c>
      <c r="I547" s="203">
        <f ca="1">IFERROR(__xludf.DUMMYFUNCTION("IMPORTRANGE(""https://docs.google.com/spreadsheets/d/11923uPwbBZFjjGgGUA6NLw09EwE0CqkOc4q9oUmW1yo/edit?usp=sharing"",""เชียงใหม่!I442"")"),26)</f>
        <v>26</v>
      </c>
      <c r="J547" s="188">
        <f ca="1">IFERROR(__xludf.DUMMYFUNCTION("IMPORTRANGE(""https://docs.google.com/spreadsheets/d/11923uPwbBZFjjGgGUA6NLw09EwE0CqkOc4q9oUmW1yo/edit?usp=sharing"",""เชียงใหม่!J442"")"),26)</f>
        <v>26</v>
      </c>
      <c r="K547" s="163">
        <f t="shared" ref="K547:K548" ca="1" si="119">IF(I547&gt;0,J547*100/I547,0)</f>
        <v>100</v>
      </c>
      <c r="L547" s="181"/>
      <c r="M547" s="181"/>
      <c r="N547" s="181"/>
      <c r="O547" s="181"/>
      <c r="P547" s="181"/>
    </row>
    <row r="548" spans="1:16" ht="21.75" hidden="1" customHeight="1" x14ac:dyDescent="0.3">
      <c r="A548" s="175"/>
      <c r="B548" s="176"/>
      <c r="C548" s="176"/>
      <c r="D548" s="193"/>
      <c r="E548" s="198"/>
      <c r="F548" s="195"/>
      <c r="G548" s="225" t="s">
        <v>204</v>
      </c>
      <c r="H548" s="186" t="s">
        <v>37</v>
      </c>
      <c r="I548" s="339">
        <f ca="1">IFERROR(__xludf.DUMMYFUNCTION("IMPORTRANGE(""https://docs.google.com/spreadsheets/d/1C3CXT74ZlgGe6_JY_1olB1XN4rF0dxEuIIF-xsYjHgg/edit?usp=sharing"",""งบกองทุน!dr63"")"),0)</f>
        <v>0</v>
      </c>
      <c r="J548" s="197">
        <f ca="1">IFERROR(__xludf.DUMMYFUNCTION("IMPORTRANGE(""https://docs.google.com/spreadsheets/d/11923uPwbBZFjjGgGUA6NLw09EwE0CqkOc4q9oUmW1yo/edit?usp=sharing"",""เชียงใหม่!J166"")"),0)</f>
        <v>0</v>
      </c>
      <c r="K548" s="163">
        <f t="shared" ca="1" si="119"/>
        <v>0</v>
      </c>
      <c r="L548" s="181"/>
      <c r="M548" s="181"/>
      <c r="N548" s="181"/>
      <c r="O548" s="181"/>
      <c r="P548" s="181"/>
    </row>
    <row r="549" spans="1:16" ht="21.75" customHeight="1" x14ac:dyDescent="0.3">
      <c r="A549" s="175"/>
      <c r="B549" s="176"/>
      <c r="C549" s="176"/>
      <c r="D549" s="193"/>
      <c r="E549" s="194" t="s">
        <v>54</v>
      </c>
      <c r="F549" s="195"/>
      <c r="G549" s="196"/>
      <c r="H549" s="186"/>
      <c r="I549" s="187"/>
      <c r="J549" s="197">
        <f ca="1">IFERROR(__xludf.DUMMYFUNCTION("IMPORTRANGE(""https://docs.google.com/spreadsheets/d/11923uPwbBZFjjGgGUA6NLw09EwE0CqkOc4q9oUmW1yo/edit?usp=sharing"",""เชียงใหม่!J444"")"),0)</f>
        <v>0</v>
      </c>
      <c r="K549" s="163"/>
      <c r="L549" s="181"/>
      <c r="M549" s="181"/>
      <c r="N549" s="181"/>
      <c r="O549" s="181"/>
      <c r="P549" s="181"/>
    </row>
    <row r="550" spans="1:16" ht="21.75" customHeight="1" x14ac:dyDescent="0.3">
      <c r="A550" s="457"/>
      <c r="B550" s="458"/>
      <c r="C550" s="458"/>
      <c r="D550" s="467">
        <v>3</v>
      </c>
      <c r="E550" s="468" t="s">
        <v>55</v>
      </c>
      <c r="F550" s="469"/>
      <c r="G550" s="470"/>
      <c r="H550" s="471"/>
      <c r="I550" s="463"/>
      <c r="J550" s="472">
        <f ca="1">IFERROR(__xludf.DUMMYFUNCTION("IMPORTRANGE(""https://docs.google.com/spreadsheets/d/11923uPwbBZFjjGgGUA6NLw09EwE0CqkOc4q9oUmW1yo/edit?usp=sharing"",""เชียงใหม่!J445"")"),0)</f>
        <v>0</v>
      </c>
      <c r="K550" s="465"/>
      <c r="L550" s="466"/>
      <c r="M550" s="466"/>
      <c r="N550" s="466"/>
      <c r="O550" s="466"/>
      <c r="P550" s="466"/>
    </row>
    <row r="551" spans="1:16" ht="21.75" customHeight="1" x14ac:dyDescent="0.3">
      <c r="A551" s="403"/>
      <c r="B551" s="404">
        <v>7</v>
      </c>
      <c r="C551" s="405" t="s">
        <v>205</v>
      </c>
      <c r="D551" s="405"/>
      <c r="E551" s="405"/>
      <c r="F551" s="405"/>
      <c r="G551" s="406"/>
      <c r="H551" s="407" t="s">
        <v>122</v>
      </c>
      <c r="I551" s="408">
        <f ca="1">IFERROR(__xludf.DUMMYFUNCTION("IMPORTRANGE(""https://docs.google.com/spreadsheets/d/11923uPwbBZFjjGgGUA6NLw09EwE0CqkOc4q9oUmW1yo/edit?usp=sharing"",""เชียงใหม่!I446"")"),3000)</f>
        <v>3000</v>
      </c>
      <c r="J551" s="408">
        <f ca="1">IFERROR(__xludf.DUMMYFUNCTION("IMPORTRANGE(""https://docs.google.com/spreadsheets/d/11923uPwbBZFjjGgGUA6NLw09EwE0CqkOc4q9oUmW1yo/edit?usp=sharing"",""เชียงใหม่!J446"")"),181)</f>
        <v>181</v>
      </c>
      <c r="K551" s="409">
        <f ca="1">IF(I551&gt;0,J551*100/I551,0)</f>
        <v>6.0333333333333332</v>
      </c>
      <c r="L551" s="410">
        <f ca="1">IFERROR(__xludf.DUMMYFUNCTION("IMPORTRANGE(""https://docs.google.com/spreadsheets/d/11923uPwbBZFjjGgGUA6NLw09EwE0CqkOc4q9oUmW1yo/edit?usp=sharing"",""เชียงใหม่!L446"")"),188000)</f>
        <v>188000</v>
      </c>
      <c r="M551" s="410"/>
      <c r="N551" s="410">
        <f ca="1">IFERROR(__xludf.DUMMYFUNCTION("IMPORTRANGE(""https://docs.google.com/spreadsheets/d/11923uPwbBZFjjGgGUA6NLw09EwE0CqkOc4q9oUmW1yo/edit?usp=sharing"",""เชียงใหม่!M446"")"),34151.44)</f>
        <v>34151.440000000002</v>
      </c>
      <c r="O551" s="410">
        <f t="shared" ref="O551:O555" ca="1" si="120">+IF(L551&gt;0,N551*100/L551,0)</f>
        <v>18.165659574468084</v>
      </c>
      <c r="P551" s="410"/>
    </row>
    <row r="552" spans="1:16" ht="21.75" customHeight="1" x14ac:dyDescent="0.3">
      <c r="A552" s="156"/>
      <c r="B552" s="157"/>
      <c r="C552" s="157" t="s">
        <v>16</v>
      </c>
      <c r="D552" s="158" t="s">
        <v>38</v>
      </c>
      <c r="E552" s="159"/>
      <c r="F552" s="159"/>
      <c r="G552" s="160" t="s">
        <v>39</v>
      </c>
      <c r="H552" s="161" t="s">
        <v>12</v>
      </c>
      <c r="I552" s="162" t="s">
        <v>40</v>
      </c>
      <c r="J552" s="162"/>
      <c r="K552" s="163"/>
      <c r="L552" s="164">
        <f ca="1">IFERROR(__xludf.DUMMYFUNCTION("IMPORTRANGE(""https://docs.google.com/spreadsheets/d/11923uPwbBZFjjGgGUA6NLw09EwE0CqkOc4q9oUmW1yo/edit?usp=sharing"",""เชียงใหม่!L447"")"),0)</f>
        <v>0</v>
      </c>
      <c r="M552" s="164"/>
      <c r="N552" s="168">
        <f ca="1">IFERROR(__xludf.DUMMYFUNCTION("IMPORTRANGE(""https://docs.google.com/spreadsheets/d/11923uPwbBZFjjGgGUA6NLw09EwE0CqkOc4q9oUmW1yo/edit?usp=sharing"",""เชียงใหม่!M447"")"),0)</f>
        <v>0</v>
      </c>
      <c r="O552" s="168">
        <f t="shared" ca="1" si="120"/>
        <v>0</v>
      </c>
      <c r="P552" s="168"/>
    </row>
    <row r="553" spans="1:16" ht="21.75" customHeight="1" x14ac:dyDescent="0.3">
      <c r="A553" s="156"/>
      <c r="B553" s="157"/>
      <c r="C553" s="157"/>
      <c r="D553" s="166"/>
      <c r="E553" s="159"/>
      <c r="F553" s="159" t="s">
        <v>40</v>
      </c>
      <c r="G553" s="160" t="s">
        <v>41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IFERROR(__xludf.DUMMYFUNCTION("IMPORTRANGE(""https://docs.google.com/spreadsheets/d/11923uPwbBZFjjGgGUA6NLw09EwE0CqkOc4q9oUmW1yo/edit?usp=sharing"",""เชียงใหม่!L448"")"),188000)</f>
        <v>188000</v>
      </c>
      <c r="M553" s="165"/>
      <c r="N553" s="168">
        <f ca="1">IFERROR(__xludf.DUMMYFUNCTION("IMPORTRANGE(""https://docs.google.com/spreadsheets/d/11923uPwbBZFjjGgGUA6NLw09EwE0CqkOc4q9oUmW1yo/edit?usp=sharing"",""เชียงใหม่!M448"")"),34151.44)</f>
        <v>34151.440000000002</v>
      </c>
      <c r="O553" s="168">
        <f t="shared" ca="1" si="120"/>
        <v>18.165659574468084</v>
      </c>
      <c r="P553" s="168"/>
    </row>
    <row r="554" spans="1:16" ht="21.75" customHeight="1" x14ac:dyDescent="0.3">
      <c r="A554" s="156"/>
      <c r="B554" s="157"/>
      <c r="C554" s="157"/>
      <c r="D554" s="166"/>
      <c r="E554" s="159"/>
      <c r="F554" s="159"/>
      <c r="G554" s="372" t="s">
        <v>129</v>
      </c>
      <c r="H554" s="161" t="s">
        <v>12</v>
      </c>
      <c r="I554" s="162"/>
      <c r="J554" s="162"/>
      <c r="K554" s="163"/>
      <c r="L554" s="168">
        <f ca="1">IFERROR(__xludf.DUMMYFUNCTION("IMPORTRANGE(""https://docs.google.com/spreadsheets/d/11923uPwbBZFjjGgGUA6NLw09EwE0CqkOc4q9oUmW1yo/edit?usp=sharing"",""เชียงใหม่!L449"")"),0)</f>
        <v>0</v>
      </c>
      <c r="M554" s="168"/>
      <c r="N554" s="168">
        <f ca="1">IFERROR(__xludf.DUMMYFUNCTION("IMPORTRANGE(""https://docs.google.com/spreadsheets/d/11923uPwbBZFjjGgGUA6NLw09EwE0CqkOc4q9oUmW1yo/edit?usp=sharing"",""เชียงใหม่!M449"")"),0)</f>
        <v>0</v>
      </c>
      <c r="O554" s="168">
        <f t="shared" ca="1" si="120"/>
        <v>0</v>
      </c>
      <c r="P554" s="168"/>
    </row>
    <row r="555" spans="1:16" ht="21.75" customHeight="1" x14ac:dyDescent="0.3">
      <c r="A555" s="156"/>
      <c r="B555" s="157"/>
      <c r="C555" s="157"/>
      <c r="D555" s="166"/>
      <c r="E555" s="159"/>
      <c r="F555" s="159"/>
      <c r="G555" s="372" t="s">
        <v>130</v>
      </c>
      <c r="H555" s="161" t="s">
        <v>12</v>
      </c>
      <c r="I555" s="162"/>
      <c r="J555" s="162"/>
      <c r="K555" s="163"/>
      <c r="L555" s="168">
        <f ca="1">IFERROR(__xludf.DUMMYFUNCTION("IMPORTRANGE(""https://docs.google.com/spreadsheets/d/11923uPwbBZFjjGgGUA6NLw09EwE0CqkOc4q9oUmW1yo/edit?usp=sharing"",""เชียงใหม่!L450"")"),188000)</f>
        <v>188000</v>
      </c>
      <c r="M555" s="168"/>
      <c r="N555" s="168">
        <f ca="1">IFERROR(__xludf.DUMMYFUNCTION("IMPORTRANGE(""https://docs.google.com/spreadsheets/d/11923uPwbBZFjjGgGUA6NLw09EwE0CqkOc4q9oUmW1yo/edit?usp=sharing"",""เชียงใหม่!M450"")"),34151.44)</f>
        <v>34151.440000000002</v>
      </c>
      <c r="O555" s="168">
        <f t="shared" ca="1" si="120"/>
        <v>18.165659574468084</v>
      </c>
      <c r="P555" s="168"/>
    </row>
    <row r="556" spans="1:16" ht="21.75" customHeight="1" x14ac:dyDescent="0.3">
      <c r="A556" s="373"/>
      <c r="B556" s="374"/>
      <c r="C556" s="157"/>
      <c r="D556" s="375"/>
      <c r="E556" s="159"/>
      <c r="F556" s="159"/>
      <c r="G556" s="376" t="s">
        <v>131</v>
      </c>
      <c r="H556" s="161" t="s">
        <v>12</v>
      </c>
      <c r="I556" s="187"/>
      <c r="J556" s="187"/>
      <c r="K556" s="223"/>
      <c r="L556" s="168"/>
      <c r="M556" s="168"/>
      <c r="N556" s="167">
        <f ca="1">IFERROR(__xludf.DUMMYFUNCTION("IMPORTRANGE(""https://docs.google.com/spreadsheets/d/11923uPwbBZFjjGgGUA6NLw09EwE0CqkOc4q9oUmW1yo/edit?usp=sharing"",""เชียงใหม่!M451"")"),0)</f>
        <v>0</v>
      </c>
      <c r="O556" s="168"/>
      <c r="P556" s="168"/>
    </row>
    <row r="557" spans="1:16" ht="21.75" customHeight="1" x14ac:dyDescent="0.3">
      <c r="A557" s="373"/>
      <c r="B557" s="374"/>
      <c r="C557" s="157"/>
      <c r="D557" s="375"/>
      <c r="E557" s="159"/>
      <c r="F557" s="159"/>
      <c r="G557" s="376" t="s">
        <v>132</v>
      </c>
      <c r="H557" s="161" t="s">
        <v>12</v>
      </c>
      <c r="I557" s="187"/>
      <c r="J557" s="187"/>
      <c r="K557" s="223"/>
      <c r="L557" s="168"/>
      <c r="M557" s="168"/>
      <c r="N557" s="167">
        <f ca="1">IFERROR(__xludf.DUMMYFUNCTION("IMPORTRANGE(""https://docs.google.com/spreadsheets/d/11923uPwbBZFjjGgGUA6NLw09EwE0CqkOc4q9oUmW1yo/edit?usp=sharing"",""เชียงใหม่!M452"")"),0)</f>
        <v>0</v>
      </c>
      <c r="O557" s="168"/>
      <c r="P557" s="168"/>
    </row>
    <row r="558" spans="1:16" ht="21.75" customHeight="1" x14ac:dyDescent="0.3">
      <c r="A558" s="373"/>
      <c r="B558" s="374"/>
      <c r="C558" s="157"/>
      <c r="D558" s="375"/>
      <c r="E558" s="159"/>
      <c r="F558" s="159"/>
      <c r="G558" s="376" t="s">
        <v>133</v>
      </c>
      <c r="H558" s="161" t="s">
        <v>12</v>
      </c>
      <c r="I558" s="187"/>
      <c r="J558" s="187"/>
      <c r="K558" s="223"/>
      <c r="L558" s="168"/>
      <c r="M558" s="168"/>
      <c r="N558" s="167">
        <f ca="1">IFERROR(__xludf.DUMMYFUNCTION("IMPORTRANGE(""https://docs.google.com/spreadsheets/d/11923uPwbBZFjjGgGUA6NLw09EwE0CqkOc4q9oUmW1yo/edit?usp=sharing"",""เชียงใหม่!M453"")"),10000)</f>
        <v>10000</v>
      </c>
      <c r="O558" s="168"/>
      <c r="P558" s="168"/>
    </row>
    <row r="559" spans="1:16" ht="21.75" customHeight="1" x14ac:dyDescent="0.3">
      <c r="A559" s="373"/>
      <c r="B559" s="374"/>
      <c r="C559" s="157"/>
      <c r="D559" s="375"/>
      <c r="E559" s="159"/>
      <c r="F559" s="159"/>
      <c r="G559" s="376" t="s">
        <v>134</v>
      </c>
      <c r="H559" s="161" t="s">
        <v>12</v>
      </c>
      <c r="I559" s="187"/>
      <c r="J559" s="187"/>
      <c r="K559" s="223"/>
      <c r="L559" s="168"/>
      <c r="M559" s="168"/>
      <c r="N559" s="167">
        <f ca="1">IFERROR(__xludf.DUMMYFUNCTION("IMPORTRANGE(""https://docs.google.com/spreadsheets/d/11923uPwbBZFjjGgGUA6NLw09EwE0CqkOc4q9oUmW1yo/edit?usp=sharing"",""เชียงใหม่!M454"")"),24151.44)</f>
        <v>24151.439999999999</v>
      </c>
      <c r="O559" s="168"/>
      <c r="P559" s="168"/>
    </row>
    <row r="560" spans="1:16" ht="21.75" customHeight="1" x14ac:dyDescent="0.3">
      <c r="A560" s="175"/>
      <c r="B560" s="176"/>
      <c r="C560" s="176"/>
      <c r="D560" s="193"/>
      <c r="E560" s="195"/>
      <c r="F560" s="277" t="s">
        <v>206</v>
      </c>
      <c r="G560" s="196"/>
      <c r="H560" s="473" t="s">
        <v>122</v>
      </c>
      <c r="I560" s="162">
        <f ca="1">IFERROR(__xludf.DUMMYFUNCTION("IMPORTRANGE(""https://docs.google.com/spreadsheets/d/11923uPwbBZFjjGgGUA6NLw09EwE0CqkOc4q9oUmW1yo/edit?usp=sharing"",""เชียงใหม่!I455"")"),3000)</f>
        <v>3000</v>
      </c>
      <c r="J560" s="162">
        <f ca="1">IFERROR(__xludf.DUMMYFUNCTION("IMPORTRANGE(""https://docs.google.com/spreadsheets/d/11923uPwbBZFjjGgGUA6NLw09EwE0CqkOc4q9oUmW1yo/edit?usp=sharing"",""เชียงใหม่!J455"")"),181)</f>
        <v>181</v>
      </c>
      <c r="K560" s="223">
        <f t="shared" ref="K560:K564" ca="1" si="121">IF(I560&gt;0,J560*100/I560,0)</f>
        <v>6.0333333333333332</v>
      </c>
      <c r="L560" s="168"/>
      <c r="M560" s="168"/>
      <c r="N560" s="168"/>
      <c r="O560" s="181"/>
      <c r="P560" s="181"/>
    </row>
    <row r="561" spans="1:16" ht="21.75" customHeight="1" x14ac:dyDescent="0.3">
      <c r="A561" s="175"/>
      <c r="B561" s="176"/>
      <c r="C561" s="176"/>
      <c r="D561" s="193"/>
      <c r="E561" s="195"/>
      <c r="F561" s="195"/>
      <c r="G561" s="196"/>
      <c r="H561" s="473" t="s">
        <v>36</v>
      </c>
      <c r="I561" s="162">
        <f ca="1">IFERROR(__xludf.DUMMYFUNCTION("IMPORTRANGE(""https://docs.google.com/spreadsheets/d/11923uPwbBZFjjGgGUA6NLw09EwE0CqkOc4q9oUmW1yo/edit?usp=sharing"",""เชียงใหม่!I456"")"),0)</f>
        <v>0</v>
      </c>
      <c r="J561" s="203">
        <f ca="1">IFERROR(__xludf.DUMMYFUNCTION("IMPORTRANGE(""https://docs.google.com/spreadsheets/d/11923uPwbBZFjjGgGUA6NLw09EwE0CqkOc4q9oUmW1yo/edit?usp=sharing"",""เชียงใหม่!J456"")"),46)</f>
        <v>46</v>
      </c>
      <c r="K561" s="223">
        <f t="shared" ca="1" si="121"/>
        <v>0</v>
      </c>
      <c r="L561" s="168"/>
      <c r="M561" s="168"/>
      <c r="N561" s="168"/>
      <c r="O561" s="181"/>
      <c r="P561" s="181"/>
    </row>
    <row r="562" spans="1:16" ht="21.75" customHeight="1" x14ac:dyDescent="0.3">
      <c r="A562" s="175"/>
      <c r="B562" s="176"/>
      <c r="C562" s="176"/>
      <c r="D562" s="193"/>
      <c r="E562" s="195"/>
      <c r="F562" s="195" t="s">
        <v>207</v>
      </c>
      <c r="G562" s="196"/>
      <c r="H562" s="473" t="s">
        <v>122</v>
      </c>
      <c r="I562" s="162">
        <v>0</v>
      </c>
      <c r="J562" s="203" t="str">
        <f ca="1">IFERROR(__xludf.DUMMYFUNCTION("IMPORTRANGE(""https://docs.google.com/spreadsheets/d/11923uPwbBZFjjGgGUA6NLw09EwE0CqkOc4q9oUmW1yo/edit?usp=sharing"",""เชียงใหม่!J457"")"),"")</f>
        <v/>
      </c>
      <c r="K562" s="163">
        <f t="shared" si="121"/>
        <v>0</v>
      </c>
      <c r="L562" s="181"/>
      <c r="M562" s="181"/>
      <c r="N562" s="181"/>
      <c r="O562" s="181"/>
      <c r="P562" s="181"/>
    </row>
    <row r="563" spans="1:16" ht="21.75" customHeight="1" x14ac:dyDescent="0.3">
      <c r="A563" s="175"/>
      <c r="B563" s="176"/>
      <c r="C563" s="176"/>
      <c r="D563" s="193"/>
      <c r="E563" s="195"/>
      <c r="F563" s="195"/>
      <c r="G563" s="196"/>
      <c r="H563" s="473" t="s">
        <v>36</v>
      </c>
      <c r="I563" s="162">
        <v>0</v>
      </c>
      <c r="J563" s="187" t="str">
        <f ca="1">IFERROR(__xludf.DUMMYFUNCTION("IMPORTRANGE(""https://docs.google.com/spreadsheets/d/11923uPwbBZFjjGgGUA6NLw09EwE0CqkOc4q9oUmW1yo/edit?usp=sharing"",""เชียงใหม่!J458"")"),"")</f>
        <v/>
      </c>
      <c r="K563" s="163">
        <f t="shared" si="121"/>
        <v>0</v>
      </c>
      <c r="L563" s="181"/>
      <c r="M563" s="181"/>
      <c r="N563" s="181"/>
      <c r="O563" s="181"/>
      <c r="P563" s="181"/>
    </row>
    <row r="564" spans="1:16" ht="21.75" customHeight="1" x14ac:dyDescent="0.3">
      <c r="A564" s="364"/>
      <c r="B564" s="365">
        <v>8</v>
      </c>
      <c r="C564" s="366" t="s">
        <v>208</v>
      </c>
      <c r="D564" s="366"/>
      <c r="E564" s="366"/>
      <c r="F564" s="366"/>
      <c r="G564" s="367"/>
      <c r="H564" s="368" t="s">
        <v>37</v>
      </c>
      <c r="I564" s="369">
        <f ca="1">IFERROR(__xludf.DUMMYFUNCTION("IMPORTRANGE(""https://docs.google.com/spreadsheets/d/11923uPwbBZFjjGgGUA6NLw09EwE0CqkOc4q9oUmW1yo/edit?usp=sharing"",""เชียงใหม่!I459"")"),1000)</f>
        <v>1000</v>
      </c>
      <c r="J564" s="369">
        <f ca="1">IFERROR(__xludf.DUMMYFUNCTION("IMPORTRANGE(""https://docs.google.com/spreadsheets/d/11923uPwbBZFjjGgGUA6NLw09EwE0CqkOc4q9oUmW1yo/edit?usp=sharing"",""เชียงใหม่!J459"")"),442)</f>
        <v>442</v>
      </c>
      <c r="K564" s="370">
        <f t="shared" ca="1" si="121"/>
        <v>44.2</v>
      </c>
      <c r="L564" s="371">
        <f ca="1">IFERROR(__xludf.DUMMYFUNCTION("IMPORTRANGE(""https://docs.google.com/spreadsheets/d/11923uPwbBZFjjGgGUA6NLw09EwE0CqkOc4q9oUmW1yo/edit?usp=sharing"",""เชียงใหม่!L459"")"),130880)</f>
        <v>130880</v>
      </c>
      <c r="M564" s="371"/>
      <c r="N564" s="371">
        <f ca="1">IFERROR(__xludf.DUMMYFUNCTION("IMPORTRANGE(""https://docs.google.com/spreadsheets/d/11923uPwbBZFjjGgGUA6NLw09EwE0CqkOc4q9oUmW1yo/edit?usp=sharing"",""เชียงใหม่!M459"")"),27295.24)</f>
        <v>27295.24</v>
      </c>
      <c r="O564" s="371">
        <f t="shared" ref="O564:O568" ca="1" si="122">+IF(L564&gt;0,N564*100/L564,0)</f>
        <v>20.855165036674816</v>
      </c>
      <c r="P564" s="371"/>
    </row>
    <row r="565" spans="1:16" ht="21.75" customHeight="1" x14ac:dyDescent="0.3">
      <c r="A565" s="156"/>
      <c r="B565" s="157"/>
      <c r="C565" s="157" t="s">
        <v>16</v>
      </c>
      <c r="D565" s="158" t="s">
        <v>38</v>
      </c>
      <c r="E565" s="159"/>
      <c r="F565" s="159"/>
      <c r="G565" s="160" t="s">
        <v>39</v>
      </c>
      <c r="H565" s="161" t="s">
        <v>12</v>
      </c>
      <c r="I565" s="162" t="s">
        <v>40</v>
      </c>
      <c r="J565" s="162"/>
      <c r="K565" s="163"/>
      <c r="L565" s="164">
        <f ca="1">IFERROR(__xludf.DUMMYFUNCTION("IMPORTRANGE(""https://docs.google.com/spreadsheets/d/11923uPwbBZFjjGgGUA6NLw09EwE0CqkOc4q9oUmW1yo/edit?usp=sharing"",""เชียงใหม่!L460"")"),0)</f>
        <v>0</v>
      </c>
      <c r="M565" s="164"/>
      <c r="N565" s="168">
        <f ca="1">IFERROR(__xludf.DUMMYFUNCTION("IMPORTRANGE(""https://docs.google.com/spreadsheets/d/11923uPwbBZFjjGgGUA6NLw09EwE0CqkOc4q9oUmW1yo/edit?usp=sharing"",""เชียงใหม่!M460"")"),0)</f>
        <v>0</v>
      </c>
      <c r="O565" s="168">
        <f t="shared" ca="1" si="122"/>
        <v>0</v>
      </c>
      <c r="P565" s="168"/>
    </row>
    <row r="566" spans="1:16" ht="21.75" customHeight="1" x14ac:dyDescent="0.3">
      <c r="A566" s="156"/>
      <c r="B566" s="157"/>
      <c r="C566" s="157"/>
      <c r="D566" s="166"/>
      <c r="E566" s="159"/>
      <c r="F566" s="159" t="s">
        <v>40</v>
      </c>
      <c r="G566" s="160" t="s">
        <v>41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IFERROR(__xludf.DUMMYFUNCTION("IMPORTRANGE(""https://docs.google.com/spreadsheets/d/11923uPwbBZFjjGgGUA6NLw09EwE0CqkOc4q9oUmW1yo/edit?usp=sharing"",""เชียงใหม่!L461"")"),130880)</f>
        <v>130880</v>
      </c>
      <c r="M566" s="165"/>
      <c r="N566" s="168">
        <f ca="1">IFERROR(__xludf.DUMMYFUNCTION("IMPORTRANGE(""https://docs.google.com/spreadsheets/d/11923uPwbBZFjjGgGUA6NLw09EwE0CqkOc4q9oUmW1yo/edit?usp=sharing"",""เชียงใหม่!M461"")"),27295.24)</f>
        <v>27295.24</v>
      </c>
      <c r="O566" s="168">
        <f t="shared" ca="1" si="122"/>
        <v>20.855165036674816</v>
      </c>
      <c r="P566" s="168"/>
    </row>
    <row r="567" spans="1:16" ht="21.75" customHeight="1" x14ac:dyDescent="0.3">
      <c r="A567" s="156"/>
      <c r="B567" s="157"/>
      <c r="C567" s="157"/>
      <c r="D567" s="166"/>
      <c r="E567" s="159"/>
      <c r="F567" s="159"/>
      <c r="G567" s="372" t="s">
        <v>129</v>
      </c>
      <c r="H567" s="161" t="s">
        <v>12</v>
      </c>
      <c r="I567" s="162"/>
      <c r="J567" s="162"/>
      <c r="K567" s="163"/>
      <c r="L567" s="168">
        <f ca="1">IFERROR(__xludf.DUMMYFUNCTION("IMPORTRANGE(""https://docs.google.com/spreadsheets/d/11923uPwbBZFjjGgGUA6NLw09EwE0CqkOc4q9oUmW1yo/edit?usp=sharing"",""เชียงใหม่!L462"")"),0)</f>
        <v>0</v>
      </c>
      <c r="M567" s="168"/>
      <c r="N567" s="168">
        <f ca="1">IFERROR(__xludf.DUMMYFUNCTION("IMPORTRANGE(""https://docs.google.com/spreadsheets/d/11923uPwbBZFjjGgGUA6NLw09EwE0CqkOc4q9oUmW1yo/edit?usp=sharing"",""เชียงใหม่!M462"")"),0)</f>
        <v>0</v>
      </c>
      <c r="O567" s="168">
        <f t="shared" ca="1" si="122"/>
        <v>0</v>
      </c>
      <c r="P567" s="168"/>
    </row>
    <row r="568" spans="1:16" ht="21.75" customHeight="1" x14ac:dyDescent="0.3">
      <c r="A568" s="156"/>
      <c r="B568" s="157"/>
      <c r="C568" s="157"/>
      <c r="D568" s="166"/>
      <c r="E568" s="159"/>
      <c r="F568" s="159"/>
      <c r="G568" s="372" t="s">
        <v>130</v>
      </c>
      <c r="H568" s="161" t="s">
        <v>12</v>
      </c>
      <c r="I568" s="162"/>
      <c r="J568" s="162"/>
      <c r="K568" s="163"/>
      <c r="L568" s="168">
        <f ca="1">IFERROR(__xludf.DUMMYFUNCTION("IMPORTRANGE(""https://docs.google.com/spreadsheets/d/11923uPwbBZFjjGgGUA6NLw09EwE0CqkOc4q9oUmW1yo/edit?usp=sharing"",""เชียงใหม่!L463"")"),130880)</f>
        <v>130880</v>
      </c>
      <c r="M568" s="168"/>
      <c r="N568" s="168">
        <f ca="1">IFERROR(__xludf.DUMMYFUNCTION("IMPORTRANGE(""https://docs.google.com/spreadsheets/d/11923uPwbBZFjjGgGUA6NLw09EwE0CqkOc4q9oUmW1yo/edit?usp=sharing"",""เชียงใหม่!M463"")"),27295.24)</f>
        <v>27295.24</v>
      </c>
      <c r="O568" s="168">
        <f t="shared" ca="1" si="122"/>
        <v>20.855165036674816</v>
      </c>
      <c r="P568" s="168"/>
    </row>
    <row r="569" spans="1:16" ht="21.75" customHeight="1" x14ac:dyDescent="0.3">
      <c r="A569" s="373"/>
      <c r="B569" s="374"/>
      <c r="C569" s="157"/>
      <c r="D569" s="375"/>
      <c r="E569" s="159"/>
      <c r="F569" s="159"/>
      <c r="G569" s="376" t="s">
        <v>131</v>
      </c>
      <c r="H569" s="161" t="s">
        <v>12</v>
      </c>
      <c r="I569" s="187"/>
      <c r="J569" s="187"/>
      <c r="K569" s="223"/>
      <c r="L569" s="168"/>
      <c r="M569" s="168"/>
      <c r="N569" s="167">
        <f ca="1">IFERROR(__xludf.DUMMYFUNCTION("IMPORTRANGE(""https://docs.google.com/spreadsheets/d/11923uPwbBZFjjGgGUA6NLw09EwE0CqkOc4q9oUmW1yo/edit?usp=sharing"",""เชียงใหม่!M464"")"),0)</f>
        <v>0</v>
      </c>
      <c r="O569" s="168"/>
      <c r="P569" s="168"/>
    </row>
    <row r="570" spans="1:16" ht="21.75" customHeight="1" x14ac:dyDescent="0.3">
      <c r="A570" s="373"/>
      <c r="B570" s="374"/>
      <c r="C570" s="157"/>
      <c r="D570" s="375"/>
      <c r="E570" s="159"/>
      <c r="F570" s="159"/>
      <c r="G570" s="376" t="s">
        <v>132</v>
      </c>
      <c r="H570" s="161" t="s">
        <v>12</v>
      </c>
      <c r="I570" s="187"/>
      <c r="J570" s="187"/>
      <c r="K570" s="223"/>
      <c r="L570" s="168"/>
      <c r="M570" s="168"/>
      <c r="N570" s="167">
        <f ca="1">IFERROR(__xludf.DUMMYFUNCTION("IMPORTRANGE(""https://docs.google.com/spreadsheets/d/11923uPwbBZFjjGgGUA6NLw09EwE0CqkOc4q9oUmW1yo/edit?usp=sharing"",""เชียงใหม่!M465"")"),0)</f>
        <v>0</v>
      </c>
      <c r="O570" s="168"/>
      <c r="P570" s="168"/>
    </row>
    <row r="571" spans="1:16" ht="21.75" customHeight="1" x14ac:dyDescent="0.3">
      <c r="A571" s="373"/>
      <c r="B571" s="374"/>
      <c r="C571" s="157"/>
      <c r="D571" s="375"/>
      <c r="E571" s="159"/>
      <c r="F571" s="159"/>
      <c r="G571" s="376" t="s">
        <v>133</v>
      </c>
      <c r="H571" s="161" t="s">
        <v>12</v>
      </c>
      <c r="I571" s="187"/>
      <c r="J571" s="187"/>
      <c r="K571" s="223"/>
      <c r="L571" s="168"/>
      <c r="M571" s="168"/>
      <c r="N571" s="377">
        <f ca="1">IFERROR(__xludf.DUMMYFUNCTION("IMPORTRANGE(""https://docs.google.com/spreadsheets/d/11923uPwbBZFjjGgGUA6NLw09EwE0CqkOc4q9oUmW1yo/edit?usp=sharing"",""เชียงใหม่!M466"")"),20935.24)</f>
        <v>20935.240000000002</v>
      </c>
      <c r="O571" s="168"/>
      <c r="P571" s="168"/>
    </row>
    <row r="572" spans="1:16" ht="21.75" customHeight="1" x14ac:dyDescent="0.3">
      <c r="A572" s="373"/>
      <c r="B572" s="374"/>
      <c r="C572" s="157"/>
      <c r="D572" s="375"/>
      <c r="E572" s="159"/>
      <c r="F572" s="159"/>
      <c r="G572" s="376" t="s">
        <v>134</v>
      </c>
      <c r="H572" s="161" t="s">
        <v>12</v>
      </c>
      <c r="I572" s="187"/>
      <c r="J572" s="187"/>
      <c r="K572" s="223"/>
      <c r="L572" s="168"/>
      <c r="M572" s="168"/>
      <c r="N572" s="377">
        <f ca="1">IFERROR(__xludf.DUMMYFUNCTION("IMPORTRANGE(""https://docs.google.com/spreadsheets/d/11923uPwbBZFjjGgGUA6NLw09EwE0CqkOc4q9oUmW1yo/edit?usp=sharing"",""เชียงใหม่!M467"")"),6360)</f>
        <v>6360</v>
      </c>
      <c r="O572" s="168"/>
      <c r="P572" s="168"/>
    </row>
    <row r="573" spans="1:16" ht="21.75" customHeight="1" x14ac:dyDescent="0.3">
      <c r="A573" s="175"/>
      <c r="B573" s="176"/>
      <c r="C573" s="176"/>
      <c r="D573" s="195"/>
      <c r="E573" s="194" t="s">
        <v>40</v>
      </c>
      <c r="F573" s="412" t="s">
        <v>209</v>
      </c>
      <c r="G573" s="386"/>
      <c r="H573" s="474" t="s">
        <v>37</v>
      </c>
      <c r="I573" s="418">
        <f ca="1">IFERROR(__xludf.DUMMYFUNCTION("IMPORTRANGE(""https://docs.google.com/spreadsheets/d/11923uPwbBZFjjGgGUA6NLw09EwE0CqkOc4q9oUmW1yo/edit?usp=sharing"",""เชียงใหม่!I468"")"),1000)</f>
        <v>1000</v>
      </c>
      <c r="J573" s="418">
        <f ca="1">IFERROR(__xludf.DUMMYFUNCTION("IMPORTRANGE(""https://docs.google.com/spreadsheets/d/11923uPwbBZFjjGgGUA6NLw09EwE0CqkOc4q9oUmW1yo/edit?usp=sharing"",""เชียงใหม่!J468"")"),442)</f>
        <v>442</v>
      </c>
      <c r="K573" s="201">
        <f ca="1">IF(I573&gt;0,J573*100/I573,0)</f>
        <v>44.2</v>
      </c>
      <c r="L573" s="181"/>
      <c r="M573" s="181"/>
      <c r="N573" s="181"/>
      <c r="O573" s="181"/>
      <c r="P573" s="181"/>
    </row>
    <row r="574" spans="1:16" ht="21.75" customHeight="1" x14ac:dyDescent="0.3">
      <c r="A574" s="175"/>
      <c r="B574" s="176"/>
      <c r="C574" s="176"/>
      <c r="D574" s="195"/>
      <c r="E574" s="195"/>
      <c r="F574" s="194" t="s">
        <v>210</v>
      </c>
      <c r="G574" s="196"/>
      <c r="H574" s="473"/>
      <c r="I574" s="162"/>
      <c r="J574" s="162"/>
      <c r="K574" s="163"/>
      <c r="L574" s="181"/>
      <c r="M574" s="181"/>
      <c r="N574" s="181"/>
      <c r="O574" s="181"/>
      <c r="P574" s="181"/>
    </row>
    <row r="575" spans="1:16" ht="21.75" customHeight="1" x14ac:dyDescent="0.3">
      <c r="A575" s="175"/>
      <c r="B575" s="176"/>
      <c r="C575" s="176"/>
      <c r="D575" s="195"/>
      <c r="E575" s="194" t="s">
        <v>40</v>
      </c>
      <c r="F575" s="194" t="s">
        <v>211</v>
      </c>
      <c r="G575" s="196"/>
      <c r="H575" s="473" t="s">
        <v>77</v>
      </c>
      <c r="I575" s="202">
        <f ca="1">IFERROR(__xludf.DUMMYFUNCTION("IMPORTRANGE(""https://docs.google.com/spreadsheets/d/11923uPwbBZFjjGgGUA6NLw09EwE0CqkOc4q9oUmW1yo/edit?usp=sharing"",""เชียงใหม่!I470"")"),0)</f>
        <v>0</v>
      </c>
      <c r="J575" s="197">
        <f ca="1">IFERROR(__xludf.DUMMYFUNCTION("IMPORTRANGE(""https://docs.google.com/spreadsheets/d/11923uPwbBZFjjGgGUA6NLw09EwE0CqkOc4q9oUmW1yo/edit?usp=sharing"",""เชียงใหม่!J470"")"),1)</f>
        <v>1</v>
      </c>
      <c r="K575" s="163">
        <f t="shared" ref="K575:K579" ca="1" si="123">IF(I575&gt;0,J575*100/I575,0)</f>
        <v>0</v>
      </c>
      <c r="L575" s="181"/>
      <c r="M575" s="181"/>
      <c r="N575" s="181"/>
      <c r="O575" s="181"/>
      <c r="P575" s="181"/>
    </row>
    <row r="576" spans="1:16" ht="21.75" customHeight="1" x14ac:dyDescent="0.3">
      <c r="A576" s="175"/>
      <c r="B576" s="176"/>
      <c r="C576" s="176"/>
      <c r="D576" s="195"/>
      <c r="E576" s="195"/>
      <c r="F576" s="194" t="s">
        <v>212</v>
      </c>
      <c r="G576" s="196"/>
      <c r="H576" s="473" t="s">
        <v>37</v>
      </c>
      <c r="I576" s="202">
        <f ca="1">IFERROR(__xludf.DUMMYFUNCTION("IMPORTRANGE(""https://docs.google.com/spreadsheets/d/11923uPwbBZFjjGgGUA6NLw09EwE0CqkOc4q9oUmW1yo/edit?usp=sharing"",""เชียงใหม่!I471"")"),0)</f>
        <v>0</v>
      </c>
      <c r="J576" s="197">
        <f ca="1">IFERROR(__xludf.DUMMYFUNCTION("IMPORTRANGE(""https://docs.google.com/spreadsheets/d/11923uPwbBZFjjGgGUA6NLw09EwE0CqkOc4q9oUmW1yo/edit?usp=sharing"",""เชียงใหม่!J471"")"),35)</f>
        <v>35</v>
      </c>
      <c r="K576" s="163">
        <f t="shared" ca="1" si="123"/>
        <v>0</v>
      </c>
      <c r="L576" s="181"/>
      <c r="M576" s="181"/>
      <c r="N576" s="181"/>
      <c r="O576" s="181"/>
      <c r="P576" s="181"/>
    </row>
    <row r="577" spans="1:16" ht="21.75" customHeight="1" x14ac:dyDescent="0.3">
      <c r="A577" s="175"/>
      <c r="B577" s="176"/>
      <c r="C577" s="176"/>
      <c r="D577" s="195"/>
      <c r="E577" s="195"/>
      <c r="F577" s="194" t="s">
        <v>213</v>
      </c>
      <c r="G577" s="196"/>
      <c r="H577" s="473" t="s">
        <v>37</v>
      </c>
      <c r="I577" s="202">
        <f ca="1">IFERROR(__xludf.DUMMYFUNCTION("IMPORTRANGE(""https://docs.google.com/spreadsheets/d/11923uPwbBZFjjGgGUA6NLw09EwE0CqkOc4q9oUmW1yo/edit?usp=sharing"",""เชียงใหม่!I472"")"),0)</f>
        <v>0</v>
      </c>
      <c r="J577" s="188">
        <f ca="1">IFERROR(__xludf.DUMMYFUNCTION("IMPORTRANGE(""https://docs.google.com/spreadsheets/d/11923uPwbBZFjjGgGUA6NLw09EwE0CqkOc4q9oUmW1yo/edit?usp=sharing"",""เชียงใหม่!J472"")"),389)</f>
        <v>389</v>
      </c>
      <c r="K577" s="163">
        <f t="shared" ca="1" si="123"/>
        <v>0</v>
      </c>
      <c r="L577" s="181"/>
      <c r="M577" s="181"/>
      <c r="N577" s="181"/>
      <c r="O577" s="181"/>
      <c r="P577" s="181"/>
    </row>
    <row r="578" spans="1:16" ht="21.75" customHeight="1" x14ac:dyDescent="0.3">
      <c r="A578" s="175"/>
      <c r="B578" s="176"/>
      <c r="C578" s="176"/>
      <c r="D578" s="195"/>
      <c r="E578" s="195"/>
      <c r="F578" s="194" t="s">
        <v>214</v>
      </c>
      <c r="G578" s="419"/>
      <c r="H578" s="473" t="s">
        <v>37</v>
      </c>
      <c r="I578" s="202">
        <f ca="1">IFERROR(__xludf.DUMMYFUNCTION("IMPORTRANGE(""https://docs.google.com/spreadsheets/d/11923uPwbBZFjjGgGUA6NLw09EwE0CqkOc4q9oUmW1yo/edit?usp=sharing"",""เชียงใหม่!I473"")"),0)</f>
        <v>0</v>
      </c>
      <c r="J578" s="197">
        <f ca="1">IFERROR(__xludf.DUMMYFUNCTION("IMPORTRANGE(""https://docs.google.com/spreadsheets/d/11923uPwbBZFjjGgGUA6NLw09EwE0CqkOc4q9oUmW1yo/edit?usp=sharing"",""เชียงใหม่!J473"")"),1)</f>
        <v>1</v>
      </c>
      <c r="K578" s="163">
        <f t="shared" ca="1" si="123"/>
        <v>0</v>
      </c>
      <c r="L578" s="181"/>
      <c r="M578" s="181"/>
      <c r="N578" s="181"/>
      <c r="O578" s="181"/>
      <c r="P578" s="181"/>
    </row>
    <row r="579" spans="1:16" ht="21.75" customHeight="1" x14ac:dyDescent="0.3">
      <c r="A579" s="175"/>
      <c r="B579" s="176"/>
      <c r="C579" s="176"/>
      <c r="D579" s="195"/>
      <c r="E579" s="195"/>
      <c r="F579" s="194" t="s">
        <v>215</v>
      </c>
      <c r="G579" s="419"/>
      <c r="H579" s="473" t="s">
        <v>37</v>
      </c>
      <c r="I579" s="202">
        <f ca="1">IFERROR(__xludf.DUMMYFUNCTION("IMPORTRANGE(""https://docs.google.com/spreadsheets/d/11923uPwbBZFjjGgGUA6NLw09EwE0CqkOc4q9oUmW1yo/edit?usp=sharing"",""เชียงใหม่!I474"")"),0)</f>
        <v>0</v>
      </c>
      <c r="J579" s="197">
        <f ca="1">IFERROR(__xludf.DUMMYFUNCTION("IMPORTRANGE(""https://docs.google.com/spreadsheets/d/11923uPwbBZFjjGgGUA6NLw09EwE0CqkOc4q9oUmW1yo/edit?usp=sharing"",""เชียงใหม่!J474"")"),17)</f>
        <v>17</v>
      </c>
      <c r="K579" s="163">
        <f t="shared" ca="1" si="123"/>
        <v>0</v>
      </c>
      <c r="L579" s="181"/>
      <c r="M579" s="181"/>
      <c r="N579" s="181"/>
      <c r="O579" s="181"/>
      <c r="P579" s="181"/>
    </row>
    <row r="580" spans="1:16" ht="21.75" customHeight="1" x14ac:dyDescent="0.3">
      <c r="A580" s="364"/>
      <c r="B580" s="365">
        <v>9</v>
      </c>
      <c r="C580" s="475" t="s">
        <v>216</v>
      </c>
      <c r="D580" s="366"/>
      <c r="E580" s="366"/>
      <c r="F580" s="366"/>
      <c r="G580" s="367"/>
      <c r="H580" s="368" t="s">
        <v>37</v>
      </c>
      <c r="I580" s="369">
        <f ca="1">IFERROR(__xludf.DUMMYFUNCTION("IMPORTRANGE(""https://docs.google.com/spreadsheets/d/11923uPwbBZFjjGgGUA6NLw09EwE0CqkOc4q9oUmW1yo/edit?usp=sharing"",""เชียงใหม่!I475"")"),30)</f>
        <v>30</v>
      </c>
      <c r="J580" s="369">
        <f ca="1">IFERROR(__xludf.DUMMYFUNCTION("IMPORTRANGE(""https://docs.google.com/spreadsheets/d/11923uPwbBZFjjGgGUA6NLw09EwE0CqkOc4q9oUmW1yo/edit?usp=sharing"",""เชียงใหม่!J475"")"),0)</f>
        <v>0</v>
      </c>
      <c r="K580" s="370">
        <f ca="1">IF(I580&gt;0,J580*100/I580,0)</f>
        <v>0</v>
      </c>
      <c r="L580" s="371">
        <f ca="1">IFERROR(__xludf.DUMMYFUNCTION("IMPORTRANGE(""https://docs.google.com/spreadsheets/d/11923uPwbBZFjjGgGUA6NLw09EwE0CqkOc4q9oUmW1yo/edit?usp=sharing"",""เชียงใหม่!L475"")"),153230)</f>
        <v>153230</v>
      </c>
      <c r="M580" s="371"/>
      <c r="N580" s="371">
        <f ca="1">IFERROR(__xludf.DUMMYFUNCTION("IMPORTRANGE(""https://docs.google.com/spreadsheets/d/11923uPwbBZFjjGgGUA6NLw09EwE0CqkOc4q9oUmW1yo/edit?usp=sharing"",""เชียงใหม่!M475"")"),10920)</f>
        <v>10920</v>
      </c>
      <c r="O580" s="371">
        <f t="shared" ref="O580:O584" ca="1" si="124">+IF(L580&gt;0,N580*100/L580,0)</f>
        <v>7.126541799908634</v>
      </c>
      <c r="P580" s="371"/>
    </row>
    <row r="581" spans="1:16" ht="21.75" customHeight="1" x14ac:dyDescent="0.3">
      <c r="A581" s="156"/>
      <c r="B581" s="157"/>
      <c r="C581" s="157" t="s">
        <v>16</v>
      </c>
      <c r="D581" s="158" t="s">
        <v>38</v>
      </c>
      <c r="E581" s="159"/>
      <c r="F581" s="159"/>
      <c r="G581" s="160" t="s">
        <v>39</v>
      </c>
      <c r="H581" s="161" t="s">
        <v>12</v>
      </c>
      <c r="I581" s="162" t="s">
        <v>40</v>
      </c>
      <c r="J581" s="162"/>
      <c r="K581" s="163"/>
      <c r="L581" s="164">
        <f ca="1">IFERROR(__xludf.DUMMYFUNCTION("IMPORTRANGE(""https://docs.google.com/spreadsheets/d/11923uPwbBZFjjGgGUA6NLw09EwE0CqkOc4q9oUmW1yo/edit?usp=sharing"",""เชียงใหม่!L476"")"),0)</f>
        <v>0</v>
      </c>
      <c r="M581" s="164"/>
      <c r="N581" s="168">
        <f ca="1">IFERROR(__xludf.DUMMYFUNCTION("IMPORTRANGE(""https://docs.google.com/spreadsheets/d/11923uPwbBZFjjGgGUA6NLw09EwE0CqkOc4q9oUmW1yo/edit?usp=sharing"",""เชียงใหม่!M476"")"),0)</f>
        <v>0</v>
      </c>
      <c r="O581" s="168">
        <f t="shared" ca="1" si="124"/>
        <v>0</v>
      </c>
      <c r="P581" s="168"/>
    </row>
    <row r="582" spans="1:16" ht="21.75" customHeight="1" x14ac:dyDescent="0.3">
      <c r="A582" s="156"/>
      <c r="B582" s="157"/>
      <c r="C582" s="157"/>
      <c r="D582" s="166"/>
      <c r="E582" s="159"/>
      <c r="F582" s="159" t="s">
        <v>40</v>
      </c>
      <c r="G582" s="160" t="s">
        <v>41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IFERROR(__xludf.DUMMYFUNCTION("IMPORTRANGE(""https://docs.google.com/spreadsheets/d/11923uPwbBZFjjGgGUA6NLw09EwE0CqkOc4q9oUmW1yo/edit?usp=sharing"",""เชียงใหม่!L477"")"),153230)</f>
        <v>153230</v>
      </c>
      <c r="M582" s="165"/>
      <c r="N582" s="168">
        <f ca="1">IFERROR(__xludf.DUMMYFUNCTION("IMPORTRANGE(""https://docs.google.com/spreadsheets/d/11923uPwbBZFjjGgGUA6NLw09EwE0CqkOc4q9oUmW1yo/edit?usp=sharing"",""เชียงใหม่!M477"")"),10920)</f>
        <v>10920</v>
      </c>
      <c r="O582" s="168">
        <f t="shared" ca="1" si="124"/>
        <v>7.126541799908634</v>
      </c>
      <c r="P582" s="168"/>
    </row>
    <row r="583" spans="1:16" ht="21.75" customHeight="1" x14ac:dyDescent="0.3">
      <c r="A583" s="156"/>
      <c r="B583" s="157"/>
      <c r="C583" s="157"/>
      <c r="D583" s="166"/>
      <c r="E583" s="159"/>
      <c r="F583" s="159"/>
      <c r="G583" s="372" t="s">
        <v>129</v>
      </c>
      <c r="H583" s="161" t="s">
        <v>12</v>
      </c>
      <c r="I583" s="162"/>
      <c r="J583" s="162"/>
      <c r="K583" s="163"/>
      <c r="L583" s="168">
        <f ca="1">IFERROR(__xludf.DUMMYFUNCTION("IMPORTRANGE(""https://docs.google.com/spreadsheets/d/11923uPwbBZFjjGgGUA6NLw09EwE0CqkOc4q9oUmW1yo/edit?usp=sharing"",""เชียงใหม่!L478"")"),0)</f>
        <v>0</v>
      </c>
      <c r="M583" s="168"/>
      <c r="N583" s="168">
        <f ca="1">IFERROR(__xludf.DUMMYFUNCTION("IMPORTRANGE(""https://docs.google.com/spreadsheets/d/11923uPwbBZFjjGgGUA6NLw09EwE0CqkOc4q9oUmW1yo/edit?usp=sharing"",""เชียงใหม่!M478"")"),0)</f>
        <v>0</v>
      </c>
      <c r="O583" s="168">
        <f t="shared" ca="1" si="124"/>
        <v>0</v>
      </c>
      <c r="P583" s="168"/>
    </row>
    <row r="584" spans="1:16" ht="21.75" customHeight="1" x14ac:dyDescent="0.3">
      <c r="A584" s="156"/>
      <c r="B584" s="157"/>
      <c r="C584" s="157"/>
      <c r="D584" s="166"/>
      <c r="E584" s="159"/>
      <c r="F584" s="159"/>
      <c r="G584" s="372" t="s">
        <v>130</v>
      </c>
      <c r="H584" s="161" t="s">
        <v>12</v>
      </c>
      <c r="I584" s="162"/>
      <c r="J584" s="162"/>
      <c r="K584" s="163"/>
      <c r="L584" s="168">
        <f ca="1">IFERROR(__xludf.DUMMYFUNCTION("IMPORTRANGE(""https://docs.google.com/spreadsheets/d/11923uPwbBZFjjGgGUA6NLw09EwE0CqkOc4q9oUmW1yo/edit?usp=sharing"",""เชียงใหม่!L479"")"),153230)</f>
        <v>153230</v>
      </c>
      <c r="M584" s="168"/>
      <c r="N584" s="168">
        <f ca="1">IFERROR(__xludf.DUMMYFUNCTION("IMPORTRANGE(""https://docs.google.com/spreadsheets/d/11923uPwbBZFjjGgGUA6NLw09EwE0CqkOc4q9oUmW1yo/edit?usp=sharing"",""เชียงใหม่!M479"")"),10920)</f>
        <v>10920</v>
      </c>
      <c r="O584" s="168">
        <f t="shared" ca="1" si="124"/>
        <v>7.126541799908634</v>
      </c>
      <c r="P584" s="168"/>
    </row>
    <row r="585" spans="1:16" ht="21.75" customHeight="1" x14ac:dyDescent="0.3">
      <c r="A585" s="373"/>
      <c r="B585" s="374"/>
      <c r="C585" s="157"/>
      <c r="D585" s="375"/>
      <c r="E585" s="159"/>
      <c r="F585" s="159"/>
      <c r="G585" s="376" t="s">
        <v>131</v>
      </c>
      <c r="H585" s="161" t="s">
        <v>12</v>
      </c>
      <c r="I585" s="187"/>
      <c r="J585" s="187"/>
      <c r="K585" s="223"/>
      <c r="L585" s="168"/>
      <c r="M585" s="168"/>
      <c r="N585" s="167">
        <f ca="1">IFERROR(__xludf.DUMMYFUNCTION("IMPORTRANGE(""https://docs.google.com/spreadsheets/d/11923uPwbBZFjjGgGUA6NLw09EwE0CqkOc4q9oUmW1yo/edit?usp=sharing"",""เชียงใหม่!M480"")"),0)</f>
        <v>0</v>
      </c>
      <c r="O585" s="168"/>
      <c r="P585" s="168"/>
    </row>
    <row r="586" spans="1:16" ht="21.75" customHeight="1" x14ac:dyDescent="0.3">
      <c r="A586" s="373"/>
      <c r="B586" s="374"/>
      <c r="C586" s="157"/>
      <c r="D586" s="375"/>
      <c r="E586" s="159"/>
      <c r="F586" s="159"/>
      <c r="G586" s="376" t="s">
        <v>132</v>
      </c>
      <c r="H586" s="161" t="s">
        <v>12</v>
      </c>
      <c r="I586" s="187"/>
      <c r="J586" s="187"/>
      <c r="K586" s="223"/>
      <c r="L586" s="168"/>
      <c r="M586" s="168"/>
      <c r="N586" s="167">
        <f ca="1">IFERROR(__xludf.DUMMYFUNCTION("IMPORTRANGE(""https://docs.google.com/spreadsheets/d/11923uPwbBZFjjGgGUA6NLw09EwE0CqkOc4q9oUmW1yo/edit?usp=sharing"",""เชียงใหม่!M481"")"),0)</f>
        <v>0</v>
      </c>
      <c r="O586" s="168"/>
      <c r="P586" s="168"/>
    </row>
    <row r="587" spans="1:16" ht="21.75" customHeight="1" x14ac:dyDescent="0.3">
      <c r="A587" s="373"/>
      <c r="B587" s="374"/>
      <c r="C587" s="157"/>
      <c r="D587" s="375"/>
      <c r="E587" s="159"/>
      <c r="F587" s="159"/>
      <c r="G587" s="376" t="s">
        <v>133</v>
      </c>
      <c r="H587" s="161" t="s">
        <v>12</v>
      </c>
      <c r="I587" s="187"/>
      <c r="J587" s="187"/>
      <c r="K587" s="223"/>
      <c r="L587" s="168"/>
      <c r="M587" s="168"/>
      <c r="N587" s="167">
        <f ca="1">IFERROR(__xludf.DUMMYFUNCTION("IMPORTRANGE(""https://docs.google.com/spreadsheets/d/11923uPwbBZFjjGgGUA6NLw09EwE0CqkOc4q9oUmW1yo/edit?usp=sharing"",""เชียงใหม่!M482"")"),0)</f>
        <v>0</v>
      </c>
      <c r="O587" s="168"/>
      <c r="P587" s="168"/>
    </row>
    <row r="588" spans="1:16" ht="21.75" customHeight="1" x14ac:dyDescent="0.3">
      <c r="A588" s="373"/>
      <c r="B588" s="374"/>
      <c r="C588" s="157"/>
      <c r="D588" s="375"/>
      <c r="E588" s="159"/>
      <c r="F588" s="159"/>
      <c r="G588" s="376" t="s">
        <v>134</v>
      </c>
      <c r="H588" s="161" t="s">
        <v>12</v>
      </c>
      <c r="I588" s="187"/>
      <c r="J588" s="187"/>
      <c r="K588" s="223"/>
      <c r="L588" s="168"/>
      <c r="M588" s="168"/>
      <c r="N588" s="167">
        <f ca="1">IFERROR(__xludf.DUMMYFUNCTION("IMPORTRANGE(""https://docs.google.com/spreadsheets/d/11923uPwbBZFjjGgGUA6NLw09EwE0CqkOc4q9oUmW1yo/edit?usp=sharing"",""เชียงใหม่!M483"")"),10920)</f>
        <v>10920</v>
      </c>
      <c r="O588" s="168"/>
      <c r="P588" s="168"/>
    </row>
    <row r="589" spans="1:16" ht="21.75" customHeight="1" x14ac:dyDescent="0.3">
      <c r="A589" s="476"/>
      <c r="B589" s="166"/>
      <c r="C589" s="157"/>
      <c r="D589" s="289"/>
      <c r="E589" s="194" t="s">
        <v>217</v>
      </c>
      <c r="F589" s="195"/>
      <c r="G589" s="196"/>
      <c r="H589" s="180" t="s">
        <v>36</v>
      </c>
      <c r="I589" s="339">
        <f ca="1">IFERROR(__xludf.DUMMYFUNCTION("IMPORTRANGE(""https://docs.google.com/spreadsheets/d/11923uPwbBZFjjGgGUA6NLw09EwE0CqkOc4q9oUmW1yo/edit?usp=sharing"",""เชียงใหม่!I484"")"),30)</f>
        <v>30</v>
      </c>
      <c r="J589" s="187">
        <f ca="1">IFERROR(__xludf.DUMMYFUNCTION("IMPORTRANGE(""https://docs.google.com/spreadsheets/d/11923uPwbBZFjjGgGUA6NLw09EwE0CqkOc4q9oUmW1yo/edit?usp=sharing"",""เชียงใหม่!J484"")"),31)</f>
        <v>31</v>
      </c>
      <c r="K589" s="163">
        <f t="shared" ref="K589:K596" ca="1" si="125">IF(I589&gt;0,J589*100/I589,0)</f>
        <v>103.33333333333333</v>
      </c>
      <c r="L589" s="181"/>
      <c r="M589" s="181"/>
      <c r="N589" s="168"/>
      <c r="O589" s="181"/>
      <c r="P589" s="181"/>
    </row>
    <row r="590" spans="1:16" ht="21.75" customHeight="1" x14ac:dyDescent="0.3">
      <c r="A590" s="476"/>
      <c r="B590" s="166"/>
      <c r="C590" s="157"/>
      <c r="D590" s="289"/>
      <c r="E590" s="195"/>
      <c r="F590" s="195"/>
      <c r="G590" s="196"/>
      <c r="H590" s="180" t="s">
        <v>122</v>
      </c>
      <c r="I590" s="343">
        <f ca="1">IFERROR(__xludf.DUMMYFUNCTION("IMPORTRANGE(""https://docs.google.com/spreadsheets/d/11923uPwbBZFjjGgGUA6NLw09EwE0CqkOc4q9oUmW1yo/edit?usp=sharing"",""เชียงใหม่!I485"")"),0)</f>
        <v>0</v>
      </c>
      <c r="J590" s="187">
        <f ca="1">IFERROR(__xludf.DUMMYFUNCTION("IMPORTRANGE(""https://docs.google.com/spreadsheets/d/11923uPwbBZFjjGgGUA6NLw09EwE0CqkOc4q9oUmW1yo/edit?usp=sharing"",""เชียงใหม่!J485"")"),11.18)</f>
        <v>11.18</v>
      </c>
      <c r="K590" s="477">
        <f t="shared" ca="1" si="125"/>
        <v>0</v>
      </c>
      <c r="L590" s="181"/>
      <c r="M590" s="181"/>
      <c r="N590" s="168"/>
      <c r="O590" s="181"/>
      <c r="P590" s="181"/>
    </row>
    <row r="591" spans="1:16" ht="21.75" customHeight="1" x14ac:dyDescent="0.3">
      <c r="A591" s="476"/>
      <c r="B591" s="166"/>
      <c r="C591" s="157"/>
      <c r="D591" s="289"/>
      <c r="E591" s="194" t="s">
        <v>123</v>
      </c>
      <c r="F591" s="195"/>
      <c r="G591" s="196"/>
      <c r="H591" s="180" t="s">
        <v>37</v>
      </c>
      <c r="I591" s="339">
        <f ca="1">IFERROR(__xludf.DUMMYFUNCTION("IMPORTRANGE(""https://docs.google.com/spreadsheets/d/11923uPwbBZFjjGgGUA6NLw09EwE0CqkOc4q9oUmW1yo/edit?usp=sharing"",""เชียงใหม่!I486"")"),30)</f>
        <v>30</v>
      </c>
      <c r="J591" s="187">
        <f ca="1">IFERROR(__xludf.DUMMYFUNCTION("IMPORTRANGE(""https://docs.google.com/spreadsheets/d/11923uPwbBZFjjGgGUA6NLw09EwE0CqkOc4q9oUmW1yo/edit?usp=sharing"",""เชียงใหม่!J486"")"),14)</f>
        <v>14</v>
      </c>
      <c r="K591" s="163">
        <f t="shared" ca="1" si="125"/>
        <v>46.666666666666664</v>
      </c>
      <c r="L591" s="181"/>
      <c r="M591" s="181"/>
      <c r="N591" s="181"/>
      <c r="O591" s="181"/>
      <c r="P591" s="181"/>
    </row>
    <row r="592" spans="1:16" ht="21.75" customHeight="1" x14ac:dyDescent="0.3">
      <c r="A592" s="476"/>
      <c r="B592" s="166"/>
      <c r="C592" s="157"/>
      <c r="D592" s="289"/>
      <c r="E592" s="195"/>
      <c r="F592" s="195"/>
      <c r="G592" s="196"/>
      <c r="H592" s="180" t="s">
        <v>122</v>
      </c>
      <c r="I592" s="343">
        <f ca="1">IFERROR(__xludf.DUMMYFUNCTION("IMPORTRANGE(""https://docs.google.com/spreadsheets/d/11923uPwbBZFjjGgGUA6NLw09EwE0CqkOc4q9oUmW1yo/edit?usp=sharing"",""เชียงใหม่!I487"")"),0)</f>
        <v>0</v>
      </c>
      <c r="J592" s="187">
        <f ca="1">IFERROR(__xludf.DUMMYFUNCTION("IMPORTRANGE(""https://docs.google.com/spreadsheets/d/11923uPwbBZFjjGgGUA6NLw09EwE0CqkOc4q9oUmW1yo/edit?usp=sharing"",""เชียงใหม่!J487"")"),4.83)</f>
        <v>4.83</v>
      </c>
      <c r="K592" s="340">
        <f t="shared" ca="1" si="125"/>
        <v>0</v>
      </c>
      <c r="L592" s="181"/>
      <c r="M592" s="181"/>
      <c r="N592" s="181"/>
      <c r="O592" s="181"/>
      <c r="P592" s="181"/>
    </row>
    <row r="593" spans="1:16" ht="21.75" customHeight="1" x14ac:dyDescent="0.3">
      <c r="A593" s="476"/>
      <c r="B593" s="166"/>
      <c r="C593" s="157"/>
      <c r="D593" s="289"/>
      <c r="E593" s="194" t="s">
        <v>124</v>
      </c>
      <c r="F593" s="195"/>
      <c r="G593" s="196"/>
      <c r="H593" s="180" t="s">
        <v>37</v>
      </c>
      <c r="I593" s="339">
        <f ca="1">IFERROR(__xludf.DUMMYFUNCTION("IMPORTRANGE(""https://docs.google.com/spreadsheets/d/11923uPwbBZFjjGgGUA6NLw09EwE0CqkOc4q9oUmW1yo/edit?usp=sharing"",""เชียงใหม่!I488"")"),30)</f>
        <v>30</v>
      </c>
      <c r="J593" s="187">
        <f ca="1">IFERROR(__xludf.DUMMYFUNCTION("IMPORTRANGE(""https://docs.google.com/spreadsheets/d/11923uPwbBZFjjGgGUA6NLw09EwE0CqkOc4q9oUmW1yo/edit?usp=sharing"",""เชียงใหม่!J488"")"),0)</f>
        <v>0</v>
      </c>
      <c r="K593" s="163">
        <f t="shared" ca="1" si="125"/>
        <v>0</v>
      </c>
      <c r="L593" s="181"/>
      <c r="M593" s="181"/>
      <c r="N593" s="181"/>
      <c r="O593" s="181"/>
      <c r="P593" s="181"/>
    </row>
    <row r="594" spans="1:16" ht="21.75" customHeight="1" x14ac:dyDescent="0.3">
      <c r="A594" s="476"/>
      <c r="B594" s="166"/>
      <c r="C594" s="157"/>
      <c r="D594" s="289"/>
      <c r="E594" s="195"/>
      <c r="F594" s="195"/>
      <c r="G594" s="196"/>
      <c r="H594" s="180" t="s">
        <v>122</v>
      </c>
      <c r="I594" s="343">
        <f ca="1">IFERROR(__xludf.DUMMYFUNCTION("IMPORTRANGE(""https://docs.google.com/spreadsheets/d/11923uPwbBZFjjGgGUA6NLw09EwE0CqkOc4q9oUmW1yo/edit?usp=sharing"",""เชียงใหม่!I489"")"),0)</f>
        <v>0</v>
      </c>
      <c r="J594" s="187">
        <f ca="1">IFERROR(__xludf.DUMMYFUNCTION("IMPORTRANGE(""https://docs.google.com/spreadsheets/d/11923uPwbBZFjjGgGUA6NLw09EwE0CqkOc4q9oUmW1yo/edit?usp=sharing"",""เชียงใหม่!J489"")"),0)</f>
        <v>0</v>
      </c>
      <c r="K594" s="340">
        <f t="shared" ca="1" si="125"/>
        <v>0</v>
      </c>
      <c r="L594" s="181"/>
      <c r="M594" s="181"/>
      <c r="N594" s="181"/>
      <c r="O594" s="181"/>
      <c r="P594" s="181"/>
    </row>
    <row r="595" spans="1:16" ht="21.75" customHeight="1" x14ac:dyDescent="0.3">
      <c r="A595" s="476"/>
      <c r="B595" s="166"/>
      <c r="C595" s="157"/>
      <c r="D595" s="289"/>
      <c r="E595" s="194" t="s">
        <v>125</v>
      </c>
      <c r="F595" s="195"/>
      <c r="G595" s="196"/>
      <c r="H595" s="180" t="s">
        <v>37</v>
      </c>
      <c r="I595" s="339">
        <f ca="1">IFERROR(__xludf.DUMMYFUNCTION("IMPORTRANGE(""https://docs.google.com/spreadsheets/d/11923uPwbBZFjjGgGUA6NLw09EwE0CqkOc4q9oUmW1yo/edit?usp=sharing"",""เชียงใหม่!I490"")"),30)</f>
        <v>30</v>
      </c>
      <c r="J595" s="187">
        <f ca="1">IFERROR(__xludf.DUMMYFUNCTION("IMPORTRANGE(""https://docs.google.com/spreadsheets/d/11923uPwbBZFjjGgGUA6NLw09EwE0CqkOc4q9oUmW1yo/edit?usp=sharing"",""เชียงใหม่!J490"")"),0)</f>
        <v>0</v>
      </c>
      <c r="K595" s="163">
        <f t="shared" ca="1" si="125"/>
        <v>0</v>
      </c>
      <c r="L595" s="181"/>
      <c r="M595" s="181"/>
      <c r="N595" s="181"/>
      <c r="O595" s="181"/>
      <c r="P595" s="181"/>
    </row>
    <row r="596" spans="1:16" ht="21.75" customHeight="1" x14ac:dyDescent="0.3">
      <c r="A596" s="478"/>
      <c r="B596" s="479"/>
      <c r="C596" s="480"/>
      <c r="D596" s="481"/>
      <c r="E596" s="460"/>
      <c r="F596" s="460"/>
      <c r="G596" s="461"/>
      <c r="H596" s="482" t="s">
        <v>122</v>
      </c>
      <c r="I596" s="483">
        <f ca="1">IFERROR(__xludf.DUMMYFUNCTION("IMPORTRANGE(""https://docs.google.com/spreadsheets/d/11923uPwbBZFjjGgGUA6NLw09EwE0CqkOc4q9oUmW1yo/edit?usp=sharing"",""เชียงใหม่!I491"")"),0)</f>
        <v>0</v>
      </c>
      <c r="J596" s="240">
        <f ca="1">IFERROR(__xludf.DUMMYFUNCTION("IMPORTRANGE(""https://docs.google.com/spreadsheets/d/11923uPwbBZFjjGgGUA6NLw09EwE0CqkOc4q9oUmW1yo/edit?usp=sharing"",""เชียงใหม่!J491"")"),0)</f>
        <v>0</v>
      </c>
      <c r="K596" s="484">
        <f t="shared" ca="1" si="125"/>
        <v>0</v>
      </c>
      <c r="L596" s="466"/>
      <c r="M596" s="466"/>
      <c r="N596" s="466"/>
      <c r="O596" s="466"/>
      <c r="P596" s="466"/>
    </row>
    <row r="597" spans="1:16" ht="21.75" customHeight="1" x14ac:dyDescent="0.3">
      <c r="A597" s="403"/>
      <c r="B597" s="404">
        <v>10</v>
      </c>
      <c r="C597" s="405" t="s">
        <v>218</v>
      </c>
      <c r="D597" s="405"/>
      <c r="E597" s="405"/>
      <c r="F597" s="405"/>
      <c r="G597" s="406"/>
      <c r="H597" s="407" t="s">
        <v>122</v>
      </c>
      <c r="I597" s="408">
        <f ca="1">IFERROR(__xludf.DUMMYFUNCTION("IMPORTRANGE(""https://docs.google.com/spreadsheets/d/11923uPwbBZFjjGgGUA6NLw09EwE0CqkOc4q9oUmW1yo/edit?usp=sharing"",""เชียงใหม่!I492"")"),100)</f>
        <v>100</v>
      </c>
      <c r="J597" s="485">
        <f ca="1">IFERROR(__xludf.DUMMYFUNCTION("IMPORTRANGE(""https://docs.google.com/spreadsheets/d/11923uPwbBZFjjGgGUA6NLw09EwE0CqkOc4q9oUmW1yo/edit?usp=sharing"",""เชียงใหม่!J492"")"),0)</f>
        <v>0</v>
      </c>
      <c r="K597" s="409">
        <f ca="1">IF(I597&gt;0,J597*100/I597,0)</f>
        <v>0</v>
      </c>
      <c r="L597" s="410">
        <f ca="1">IFERROR(__xludf.DUMMYFUNCTION("IMPORTRANGE(""https://docs.google.com/spreadsheets/d/11923uPwbBZFjjGgGUA6NLw09EwE0CqkOc4q9oUmW1yo/edit?usp=sharing"",""เชียงใหม่!L492"")"),10900)</f>
        <v>10900</v>
      </c>
      <c r="M597" s="410"/>
      <c r="N597" s="410">
        <f ca="1">IFERROR(__xludf.DUMMYFUNCTION("IMPORTRANGE(""https://docs.google.com/spreadsheets/d/11923uPwbBZFjjGgGUA6NLw09EwE0CqkOc4q9oUmW1yo/edit?usp=sharing"",""เชียงใหม่!M492"")"),2380)</f>
        <v>2380</v>
      </c>
      <c r="O597" s="410">
        <f t="shared" ref="O597:O601" ca="1" si="126">+IF(L597&gt;0,N597*100/L597,0)</f>
        <v>21.834862385321102</v>
      </c>
      <c r="P597" s="410"/>
    </row>
    <row r="598" spans="1:16" ht="21.75" customHeight="1" x14ac:dyDescent="0.3">
      <c r="A598" s="156"/>
      <c r="B598" s="157"/>
      <c r="C598" s="157" t="s">
        <v>16</v>
      </c>
      <c r="D598" s="158" t="s">
        <v>38</v>
      </c>
      <c r="E598" s="159"/>
      <c r="F598" s="159"/>
      <c r="G598" s="160" t="s">
        <v>39</v>
      </c>
      <c r="H598" s="161" t="s">
        <v>12</v>
      </c>
      <c r="I598" s="162" t="s">
        <v>40</v>
      </c>
      <c r="J598" s="162"/>
      <c r="K598" s="163"/>
      <c r="L598" s="164">
        <f ca="1">IFERROR(__xludf.DUMMYFUNCTION("IMPORTRANGE(""https://docs.google.com/spreadsheets/d/11923uPwbBZFjjGgGUA6NLw09EwE0CqkOc4q9oUmW1yo/edit?usp=sharing"",""เชียงใหม่!L493"")"),0)</f>
        <v>0</v>
      </c>
      <c r="M598" s="164"/>
      <c r="N598" s="168">
        <f ca="1">IFERROR(__xludf.DUMMYFUNCTION("IMPORTRANGE(""https://docs.google.com/spreadsheets/d/11923uPwbBZFjjGgGUA6NLw09EwE0CqkOc4q9oUmW1yo/edit?usp=sharing"",""เชียงใหม่!M493"")"),0)</f>
        <v>0</v>
      </c>
      <c r="O598" s="168">
        <f t="shared" ca="1" si="126"/>
        <v>0</v>
      </c>
      <c r="P598" s="168"/>
    </row>
    <row r="599" spans="1:16" ht="21.75" customHeight="1" x14ac:dyDescent="0.3">
      <c r="A599" s="156"/>
      <c r="B599" s="157"/>
      <c r="C599" s="157"/>
      <c r="D599" s="166"/>
      <c r="E599" s="159"/>
      <c r="F599" s="159" t="s">
        <v>40</v>
      </c>
      <c r="G599" s="160" t="s">
        <v>41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IFERROR(__xludf.DUMMYFUNCTION("IMPORTRANGE(""https://docs.google.com/spreadsheets/d/11923uPwbBZFjjGgGUA6NLw09EwE0CqkOc4q9oUmW1yo/edit?usp=sharing"",""เชียงใหม่!L494"")"),10900)</f>
        <v>10900</v>
      </c>
      <c r="M599" s="165"/>
      <c r="N599" s="168">
        <f ca="1">IFERROR(__xludf.DUMMYFUNCTION("IMPORTRANGE(""https://docs.google.com/spreadsheets/d/11923uPwbBZFjjGgGUA6NLw09EwE0CqkOc4q9oUmW1yo/edit?usp=sharing"",""เชียงใหม่!M494"")"),2380)</f>
        <v>2380</v>
      </c>
      <c r="O599" s="168">
        <f t="shared" ca="1" si="126"/>
        <v>21.834862385321102</v>
      </c>
      <c r="P599" s="168"/>
    </row>
    <row r="600" spans="1:16" ht="21.75" customHeight="1" x14ac:dyDescent="0.3">
      <c r="A600" s="156"/>
      <c r="B600" s="157"/>
      <c r="C600" s="157"/>
      <c r="D600" s="166"/>
      <c r="E600" s="159"/>
      <c r="F600" s="159"/>
      <c r="G600" s="372" t="s">
        <v>129</v>
      </c>
      <c r="H600" s="161" t="s">
        <v>12</v>
      </c>
      <c r="I600" s="162"/>
      <c r="J600" s="162"/>
      <c r="K600" s="163"/>
      <c r="L600" s="168">
        <f ca="1">IFERROR(__xludf.DUMMYFUNCTION("IMPORTRANGE(""https://docs.google.com/spreadsheets/d/11923uPwbBZFjjGgGUA6NLw09EwE0CqkOc4q9oUmW1yo/edit?usp=sharing"",""เชียงใหม่!L495"")"),0)</f>
        <v>0</v>
      </c>
      <c r="M600" s="168"/>
      <c r="N600" s="168">
        <f ca="1">IFERROR(__xludf.DUMMYFUNCTION("IMPORTRANGE(""https://docs.google.com/spreadsheets/d/11923uPwbBZFjjGgGUA6NLw09EwE0CqkOc4q9oUmW1yo/edit?usp=sharing"",""เชียงใหม่!M495"")"),0)</f>
        <v>0</v>
      </c>
      <c r="O600" s="168">
        <f t="shared" ca="1" si="126"/>
        <v>0</v>
      </c>
      <c r="P600" s="168"/>
    </row>
    <row r="601" spans="1:16" ht="21.75" customHeight="1" x14ac:dyDescent="0.3">
      <c r="A601" s="156"/>
      <c r="B601" s="157"/>
      <c r="C601" s="157"/>
      <c r="D601" s="166"/>
      <c r="E601" s="159"/>
      <c r="F601" s="159"/>
      <c r="G601" s="372" t="s">
        <v>130</v>
      </c>
      <c r="H601" s="161" t="s">
        <v>12</v>
      </c>
      <c r="I601" s="162"/>
      <c r="J601" s="162"/>
      <c r="K601" s="163"/>
      <c r="L601" s="168">
        <f ca="1">IFERROR(__xludf.DUMMYFUNCTION("IMPORTRANGE(""https://docs.google.com/spreadsheets/d/11923uPwbBZFjjGgGUA6NLw09EwE0CqkOc4q9oUmW1yo/edit?usp=sharing"",""เชียงใหม่!L496"")"),10900)</f>
        <v>10900</v>
      </c>
      <c r="M601" s="168"/>
      <c r="N601" s="168">
        <f ca="1">IFERROR(__xludf.DUMMYFUNCTION("IMPORTRANGE(""https://docs.google.com/spreadsheets/d/11923uPwbBZFjjGgGUA6NLw09EwE0CqkOc4q9oUmW1yo/edit?usp=sharing"",""เชียงใหม่!M496"")"),2380)</f>
        <v>2380</v>
      </c>
      <c r="O601" s="168">
        <f t="shared" ca="1" si="126"/>
        <v>21.834862385321102</v>
      </c>
      <c r="P601" s="168"/>
    </row>
    <row r="602" spans="1:16" ht="21.75" customHeight="1" x14ac:dyDescent="0.3">
      <c r="A602" s="373"/>
      <c r="B602" s="374"/>
      <c r="C602" s="157"/>
      <c r="D602" s="375"/>
      <c r="E602" s="159"/>
      <c r="F602" s="159"/>
      <c r="G602" s="376" t="s">
        <v>131</v>
      </c>
      <c r="H602" s="161" t="s">
        <v>12</v>
      </c>
      <c r="I602" s="187"/>
      <c r="J602" s="187"/>
      <c r="K602" s="223"/>
      <c r="L602" s="168"/>
      <c r="M602" s="168"/>
      <c r="N602" s="167">
        <f ca="1">IFERROR(__xludf.DUMMYFUNCTION("IMPORTRANGE(""https://docs.google.com/spreadsheets/d/11923uPwbBZFjjGgGUA6NLw09EwE0CqkOc4q9oUmW1yo/edit?usp=sharing"",""เชียงใหม่!M497"")"),0)</f>
        <v>0</v>
      </c>
      <c r="O602" s="168"/>
      <c r="P602" s="168"/>
    </row>
    <row r="603" spans="1:16" ht="21.75" customHeight="1" x14ac:dyDescent="0.3">
      <c r="A603" s="373"/>
      <c r="B603" s="374"/>
      <c r="C603" s="157"/>
      <c r="D603" s="375"/>
      <c r="E603" s="159"/>
      <c r="F603" s="159"/>
      <c r="G603" s="376" t="s">
        <v>132</v>
      </c>
      <c r="H603" s="161" t="s">
        <v>12</v>
      </c>
      <c r="I603" s="187"/>
      <c r="J603" s="187"/>
      <c r="K603" s="223"/>
      <c r="L603" s="168"/>
      <c r="M603" s="168"/>
      <c r="N603" s="167">
        <f ca="1">IFERROR(__xludf.DUMMYFUNCTION("IMPORTRANGE(""https://docs.google.com/spreadsheets/d/11923uPwbBZFjjGgGUA6NLw09EwE0CqkOc4q9oUmW1yo/edit?usp=sharing"",""เชียงใหม่!M498"")"),0)</f>
        <v>0</v>
      </c>
      <c r="O603" s="168"/>
      <c r="P603" s="168"/>
    </row>
    <row r="604" spans="1:16" ht="21.75" customHeight="1" x14ac:dyDescent="0.3">
      <c r="A604" s="373"/>
      <c r="B604" s="374"/>
      <c r="C604" s="157"/>
      <c r="D604" s="375"/>
      <c r="E604" s="159"/>
      <c r="F604" s="159"/>
      <c r="G604" s="376" t="s">
        <v>133</v>
      </c>
      <c r="H604" s="161" t="s">
        <v>12</v>
      </c>
      <c r="I604" s="187"/>
      <c r="J604" s="187"/>
      <c r="K604" s="223"/>
      <c r="L604" s="168"/>
      <c r="M604" s="168"/>
      <c r="N604" s="377">
        <f ca="1">IFERROR(__xludf.DUMMYFUNCTION("IMPORTRANGE(""https://docs.google.com/spreadsheets/d/11923uPwbBZFjjGgGUA6NLw09EwE0CqkOc4q9oUmW1yo/edit?usp=sharing"",""เชียงใหม่!M499"")"),0)</f>
        <v>0</v>
      </c>
      <c r="O604" s="168"/>
      <c r="P604" s="168"/>
    </row>
    <row r="605" spans="1:16" ht="21.75" customHeight="1" x14ac:dyDescent="0.3">
      <c r="A605" s="373"/>
      <c r="B605" s="374"/>
      <c r="C605" s="157"/>
      <c r="D605" s="375"/>
      <c r="E605" s="159"/>
      <c r="F605" s="159"/>
      <c r="G605" s="376" t="s">
        <v>134</v>
      </c>
      <c r="H605" s="161" t="s">
        <v>12</v>
      </c>
      <c r="I605" s="187"/>
      <c r="J605" s="187"/>
      <c r="K605" s="223"/>
      <c r="L605" s="168"/>
      <c r="M605" s="168"/>
      <c r="N605" s="377">
        <f ca="1">IFERROR(__xludf.DUMMYFUNCTION("IMPORTRANGE(""https://docs.google.com/spreadsheets/d/11923uPwbBZFjjGgGUA6NLw09EwE0CqkOc4q9oUmW1yo/edit?usp=sharing"",""เชียงใหม่!M500"")"),2380)</f>
        <v>2380</v>
      </c>
      <c r="O605" s="168"/>
      <c r="P605" s="168"/>
    </row>
    <row r="606" spans="1:16" ht="21.75" customHeight="1" x14ac:dyDescent="0.3">
      <c r="A606" s="175"/>
      <c r="B606" s="176"/>
      <c r="C606" s="157" t="s">
        <v>16</v>
      </c>
      <c r="D606" s="177" t="s">
        <v>44</v>
      </c>
      <c r="E606" s="178"/>
      <c r="F606" s="178"/>
      <c r="G606" s="179"/>
      <c r="H606" s="180"/>
      <c r="I606" s="162"/>
      <c r="J606" s="162"/>
      <c r="K606" s="163"/>
      <c r="L606" s="181"/>
      <c r="M606" s="181"/>
      <c r="N606" s="181"/>
      <c r="O606" s="181"/>
      <c r="P606" s="181"/>
    </row>
    <row r="607" spans="1:16" ht="21.75" customHeight="1" x14ac:dyDescent="0.3">
      <c r="A607" s="175"/>
      <c r="B607" s="176"/>
      <c r="C607" s="176"/>
      <c r="D607" s="182">
        <v>1</v>
      </c>
      <c r="E607" s="183" t="s">
        <v>45</v>
      </c>
      <c r="F607" s="184"/>
      <c r="G607" s="185"/>
      <c r="H607" s="186"/>
      <c r="I607" s="187"/>
      <c r="J607" s="197">
        <f ca="1">IFERROR(__xludf.DUMMYFUNCTION("IMPORTRANGE(""https://docs.google.com/spreadsheets/d/11923uPwbBZFjjGgGUA6NLw09EwE0CqkOc4q9oUmW1yo/edit?usp=sharing"",""เชียงใหม่!J502"")"),0)</f>
        <v>0</v>
      </c>
      <c r="K607" s="163"/>
      <c r="L607" s="181"/>
      <c r="M607" s="181"/>
      <c r="N607" s="181"/>
      <c r="O607" s="181"/>
      <c r="P607" s="181"/>
    </row>
    <row r="608" spans="1:16" ht="21.75" customHeight="1" x14ac:dyDescent="0.3">
      <c r="A608" s="175"/>
      <c r="B608" s="176"/>
      <c r="C608" s="176"/>
      <c r="D608" s="189">
        <v>2</v>
      </c>
      <c r="E608" s="190" t="s">
        <v>46</v>
      </c>
      <c r="F608" s="191"/>
      <c r="G608" s="192"/>
      <c r="H608" s="186"/>
      <c r="I608" s="187"/>
      <c r="J608" s="197">
        <f ca="1">IFERROR(__xludf.DUMMYFUNCTION("IMPORTRANGE(""https://docs.google.com/spreadsheets/d/11923uPwbBZFjjGgGUA6NLw09EwE0CqkOc4q9oUmW1yo/edit?usp=sharing"",""เชียงใหม่!J503"")"),1)</f>
        <v>1</v>
      </c>
      <c r="K608" s="163"/>
      <c r="L608" s="181" t="s">
        <v>40</v>
      </c>
      <c r="M608" s="181"/>
      <c r="N608" s="181" t="s">
        <v>40</v>
      </c>
      <c r="O608" s="181"/>
      <c r="P608" s="181"/>
    </row>
    <row r="609" spans="1:16" ht="21.75" hidden="1" customHeight="1" x14ac:dyDescent="0.3">
      <c r="A609" s="373"/>
      <c r="B609" s="374"/>
      <c r="C609" s="374"/>
      <c r="D609" s="486"/>
      <c r="E609" s="487" t="s">
        <v>47</v>
      </c>
      <c r="F609" s="488"/>
      <c r="G609" s="379"/>
      <c r="H609" s="186"/>
      <c r="I609" s="187"/>
      <c r="J609" s="187">
        <f ca="1">IFERROR(__xludf.DUMMYFUNCTION("IMPORTRANGE(""https://docs.google.com/spreadsheets/d/11923uPwbBZFjjGgGUA6NLw09EwE0CqkOc4q9oUmW1yo/edit?usp=sharing"",""เชียงใหม่!J166"")"),0)</f>
        <v>0</v>
      </c>
      <c r="K609" s="223"/>
      <c r="L609" s="168"/>
      <c r="M609" s="168"/>
      <c r="N609" s="168"/>
      <c r="O609" s="168"/>
      <c r="P609" s="168"/>
    </row>
    <row r="610" spans="1:16" ht="21.75" hidden="1" customHeight="1" x14ac:dyDescent="0.3">
      <c r="A610" s="373"/>
      <c r="B610" s="374"/>
      <c r="C610" s="374"/>
      <c r="D610" s="486"/>
      <c r="E610" s="487" t="s">
        <v>48</v>
      </c>
      <c r="F610" s="488"/>
      <c r="G610" s="379"/>
      <c r="H610" s="186"/>
      <c r="I610" s="187"/>
      <c r="J610" s="187">
        <f ca="1">IFERROR(__xludf.DUMMYFUNCTION("IMPORTRANGE(""https://docs.google.com/spreadsheets/d/11923uPwbBZFjjGgGUA6NLw09EwE0CqkOc4q9oUmW1yo/edit?usp=sharing"",""เชียงใหม่!J166"")"),0)</f>
        <v>0</v>
      </c>
      <c r="K610" s="223"/>
      <c r="L610" s="168"/>
      <c r="M610" s="168"/>
      <c r="N610" s="168"/>
      <c r="O610" s="168"/>
      <c r="P610" s="168"/>
    </row>
    <row r="611" spans="1:16" ht="21.75" customHeight="1" x14ac:dyDescent="0.3">
      <c r="A611" s="175"/>
      <c r="B611" s="176"/>
      <c r="C611" s="176"/>
      <c r="D611" s="193"/>
      <c r="E611" s="195"/>
      <c r="F611" s="195" t="s">
        <v>219</v>
      </c>
      <c r="G611" s="196"/>
      <c r="H611" s="180" t="s">
        <v>122</v>
      </c>
      <c r="I611" s="187">
        <f ca="1">IFERROR(__xludf.DUMMYFUNCTION("IMPORTRANGE(""https://docs.google.com/spreadsheets/d/11923uPwbBZFjjGgGUA6NLw09EwE0CqkOc4q9oUmW1yo/edit?usp=sharing"",""เชียงใหม่!I506"")"),100)</f>
        <v>100</v>
      </c>
      <c r="J611" s="162">
        <f ca="1">IFERROR(__xludf.DUMMYFUNCTION("IMPORTRANGE(""https://docs.google.com/spreadsheets/d/11923uPwbBZFjjGgGUA6NLw09EwE0CqkOc4q9oUmW1yo/edit?usp=sharing"",""เชียงใหม่!J506"")"),0)</f>
        <v>0</v>
      </c>
      <c r="K611" s="163">
        <f t="shared" ref="K611:K619" ca="1" si="127">IF(I$611&gt;0,J611*100/I$611,0)</f>
        <v>0</v>
      </c>
      <c r="L611" s="181"/>
      <c r="M611" s="181"/>
      <c r="N611" s="181"/>
      <c r="O611" s="181"/>
      <c r="P611" s="181"/>
    </row>
    <row r="612" spans="1:16" ht="21.75" customHeight="1" x14ac:dyDescent="0.3">
      <c r="A612" s="175"/>
      <c r="B612" s="176"/>
      <c r="C612" s="176"/>
      <c r="D612" s="193"/>
      <c r="E612" s="198"/>
      <c r="F612" s="195"/>
      <c r="G612" s="225" t="s">
        <v>220</v>
      </c>
      <c r="H612" s="180" t="s">
        <v>122</v>
      </c>
      <c r="I612" s="203">
        <f ca="1">IFERROR(__xludf.DUMMYFUNCTION("IMPORTRANGE(""https://docs.google.com/spreadsheets/d/11923uPwbBZFjjGgGUA6NLw09EwE0CqkOc4q9oUmW1yo/edit?usp=sharing"",""เชียงใหม่!I507"")"),0)</f>
        <v>0</v>
      </c>
      <c r="J612" s="197">
        <f ca="1">IFERROR(__xludf.DUMMYFUNCTION("IMPORTRANGE(""https://docs.google.com/spreadsheets/d/11923uPwbBZFjjGgGUA6NLw09EwE0CqkOc4q9oUmW1yo/edit?usp=sharing"",""เชียงใหม่!J507"")"),110.75)</f>
        <v>110.75</v>
      </c>
      <c r="K612" s="163">
        <f t="shared" ca="1" si="127"/>
        <v>110.75</v>
      </c>
      <c r="L612" s="181"/>
      <c r="M612" s="181"/>
      <c r="N612" s="181"/>
      <c r="O612" s="181"/>
      <c r="P612" s="181"/>
    </row>
    <row r="613" spans="1:16" ht="21.75" customHeight="1" x14ac:dyDescent="0.3">
      <c r="A613" s="175"/>
      <c r="B613" s="176"/>
      <c r="C613" s="176"/>
      <c r="D613" s="193"/>
      <c r="E613" s="198"/>
      <c r="F613" s="195"/>
      <c r="G613" s="225" t="s">
        <v>221</v>
      </c>
      <c r="H613" s="180" t="s">
        <v>122</v>
      </c>
      <c r="I613" s="203">
        <f ca="1">IFERROR(__xludf.DUMMYFUNCTION("IMPORTRANGE(""https://docs.google.com/spreadsheets/d/11923uPwbBZFjjGgGUA6NLw09EwE0CqkOc4q9oUmW1yo/edit?usp=sharing"",""เชียงใหม่!I508"")"),0)</f>
        <v>0</v>
      </c>
      <c r="J613" s="197">
        <f ca="1">IFERROR(__xludf.DUMMYFUNCTION("IMPORTRANGE(""https://docs.google.com/spreadsheets/d/11923uPwbBZFjjGgGUA6NLw09EwE0CqkOc4q9oUmW1yo/edit?usp=sharing"",""เชียงใหม่!J508"")"),0)</f>
        <v>0</v>
      </c>
      <c r="K613" s="163">
        <f t="shared" ca="1" si="127"/>
        <v>0</v>
      </c>
      <c r="L613" s="181"/>
      <c r="M613" s="181"/>
      <c r="N613" s="181"/>
      <c r="O613" s="181"/>
      <c r="P613" s="181"/>
    </row>
    <row r="614" spans="1:16" ht="21.75" customHeight="1" x14ac:dyDescent="0.3">
      <c r="A614" s="175"/>
      <c r="B614" s="176"/>
      <c r="C614" s="176"/>
      <c r="D614" s="193"/>
      <c r="E614" s="198"/>
      <c r="F614" s="195"/>
      <c r="G614" s="225" t="s">
        <v>222</v>
      </c>
      <c r="H614" s="180" t="s">
        <v>122</v>
      </c>
      <c r="I614" s="203">
        <f ca="1">IFERROR(__xludf.DUMMYFUNCTION("IMPORTRANGE(""https://docs.google.com/spreadsheets/d/11923uPwbBZFjjGgGUA6NLw09EwE0CqkOc4q9oUmW1yo/edit?usp=sharing"",""เชียงใหม่!I509"")"),0)</f>
        <v>0</v>
      </c>
      <c r="J614" s="197">
        <f ca="1">IFERROR(__xludf.DUMMYFUNCTION("IMPORTRANGE(""https://docs.google.com/spreadsheets/d/11923uPwbBZFjjGgGUA6NLw09EwE0CqkOc4q9oUmW1yo/edit?usp=sharing"",""เชียงใหม่!J509"")"),0)</f>
        <v>0</v>
      </c>
      <c r="K614" s="163">
        <f t="shared" ca="1" si="127"/>
        <v>0</v>
      </c>
      <c r="L614" s="181"/>
      <c r="M614" s="181"/>
      <c r="N614" s="181"/>
      <c r="O614" s="181"/>
      <c r="P614" s="181"/>
    </row>
    <row r="615" spans="1:16" ht="21.75" customHeight="1" x14ac:dyDescent="0.3">
      <c r="A615" s="175"/>
      <c r="B615" s="176"/>
      <c r="C615" s="176"/>
      <c r="D615" s="193"/>
      <c r="E615" s="198"/>
      <c r="F615" s="195"/>
      <c r="G615" s="225" t="s">
        <v>223</v>
      </c>
      <c r="H615" s="180" t="s">
        <v>122</v>
      </c>
      <c r="I615" s="203">
        <f ca="1">IFERROR(__xludf.DUMMYFUNCTION("IMPORTRANGE(""https://docs.google.com/spreadsheets/d/11923uPwbBZFjjGgGUA6NLw09EwE0CqkOc4q9oUmW1yo/edit?usp=sharing"",""เชียงใหม่!I510"")"),0)</f>
        <v>0</v>
      </c>
      <c r="J615" s="197">
        <f ca="1">IFERROR(__xludf.DUMMYFUNCTION("IMPORTRANGE(""https://docs.google.com/spreadsheets/d/11923uPwbBZFjjGgGUA6NLw09EwE0CqkOc4q9oUmW1yo/edit?usp=sharing"",""เชียงใหม่!J510"")"),0)</f>
        <v>0</v>
      </c>
      <c r="K615" s="163">
        <f t="shared" ca="1" si="127"/>
        <v>0</v>
      </c>
      <c r="L615" s="181"/>
      <c r="M615" s="181"/>
      <c r="N615" s="181"/>
      <c r="O615" s="181"/>
      <c r="P615" s="181"/>
    </row>
    <row r="616" spans="1:16" ht="21.75" customHeight="1" x14ac:dyDescent="0.3">
      <c r="A616" s="175"/>
      <c r="B616" s="176"/>
      <c r="C616" s="176"/>
      <c r="D616" s="193"/>
      <c r="E616" s="198"/>
      <c r="F616" s="195"/>
      <c r="G616" s="194" t="s">
        <v>224</v>
      </c>
      <c r="H616" s="180" t="s">
        <v>122</v>
      </c>
      <c r="I616" s="203">
        <f ca="1">IFERROR(__xludf.DUMMYFUNCTION("IMPORTRANGE(""https://docs.google.com/spreadsheets/d/11923uPwbBZFjjGgGUA6NLw09EwE0CqkOc4q9oUmW1yo/edit?usp=sharing"",""เชียงใหม่!I511"")"),0)</f>
        <v>0</v>
      </c>
      <c r="J616" s="197">
        <f ca="1">IFERROR(__xludf.DUMMYFUNCTION("IMPORTRANGE(""https://docs.google.com/spreadsheets/d/11923uPwbBZFjjGgGUA6NLw09EwE0CqkOc4q9oUmW1yo/edit?usp=sharing"",""เชียงใหม่!J511"")"),0)</f>
        <v>0</v>
      </c>
      <c r="K616" s="163">
        <f t="shared" ca="1" si="127"/>
        <v>0</v>
      </c>
      <c r="L616" s="181"/>
      <c r="M616" s="181"/>
      <c r="N616" s="181"/>
      <c r="O616" s="181"/>
      <c r="P616" s="181"/>
    </row>
    <row r="617" spans="1:16" ht="21.75" customHeight="1" x14ac:dyDescent="0.3">
      <c r="A617" s="175"/>
      <c r="B617" s="176"/>
      <c r="C617" s="176"/>
      <c r="D617" s="193"/>
      <c r="E617" s="198"/>
      <c r="F617" s="195"/>
      <c r="G617" s="194" t="s">
        <v>225</v>
      </c>
      <c r="H617" s="180" t="s">
        <v>122</v>
      </c>
      <c r="I617" s="187">
        <f ca="1">IFERROR(__xludf.DUMMYFUNCTION("IMPORTRANGE(""https://docs.google.com/spreadsheets/d/11923uPwbBZFjjGgGUA6NLw09EwE0CqkOc4q9oUmW1yo/edit?usp=sharing"",""เชียงใหม่!I512"")"),0)</f>
        <v>0</v>
      </c>
      <c r="J617" s="187">
        <f ca="1">IFERROR(__xludf.DUMMYFUNCTION("IMPORTRANGE(""https://docs.google.com/spreadsheets/d/11923uPwbBZFjjGgGUA6NLw09EwE0CqkOc4q9oUmW1yo/edit?usp=sharing"",""เชียงใหม่!J512"")"),0)</f>
        <v>0</v>
      </c>
      <c r="K617" s="163">
        <f t="shared" ca="1" si="127"/>
        <v>0</v>
      </c>
      <c r="L617" s="181"/>
      <c r="M617" s="181"/>
      <c r="N617" s="181"/>
      <c r="O617" s="181"/>
      <c r="P617" s="181"/>
    </row>
    <row r="618" spans="1:16" ht="21.75" customHeight="1" x14ac:dyDescent="0.3">
      <c r="A618" s="175"/>
      <c r="B618" s="176"/>
      <c r="C618" s="176"/>
      <c r="D618" s="193"/>
      <c r="E618" s="198"/>
      <c r="F618" s="195"/>
      <c r="G618" s="489" t="s">
        <v>226</v>
      </c>
      <c r="H618" s="180" t="s">
        <v>122</v>
      </c>
      <c r="I618" s="203">
        <f ca="1">IFERROR(__xludf.DUMMYFUNCTION("IMPORTRANGE(""https://docs.google.com/spreadsheets/d/11923uPwbBZFjjGgGUA6NLw09EwE0CqkOc4q9oUmW1yo/edit?usp=sharing"",""เชียงใหม่!I513"")"),0)</f>
        <v>0</v>
      </c>
      <c r="J618" s="188">
        <f ca="1">IFERROR(__xludf.DUMMYFUNCTION("IMPORTRANGE(""https://docs.google.com/spreadsheets/d/11923uPwbBZFjjGgGUA6NLw09EwE0CqkOc4q9oUmW1yo/edit?usp=sharing"",""เชียงใหม่!J513"")"),0)</f>
        <v>0</v>
      </c>
      <c r="K618" s="163">
        <f t="shared" ca="1" si="127"/>
        <v>0</v>
      </c>
      <c r="L618" s="181"/>
      <c r="M618" s="181"/>
      <c r="N618" s="181"/>
      <c r="O618" s="181"/>
      <c r="P618" s="181"/>
    </row>
    <row r="619" spans="1:16" ht="21.75" customHeight="1" x14ac:dyDescent="0.3">
      <c r="A619" s="175"/>
      <c r="B619" s="176"/>
      <c r="C619" s="176"/>
      <c r="D619" s="193"/>
      <c r="E619" s="198"/>
      <c r="F619" s="195"/>
      <c r="G619" s="489" t="s">
        <v>227</v>
      </c>
      <c r="H619" s="180" t="s">
        <v>122</v>
      </c>
      <c r="I619" s="203">
        <f ca="1">IFERROR(__xludf.DUMMYFUNCTION("IMPORTRANGE(""https://docs.google.com/spreadsheets/d/11923uPwbBZFjjGgGUA6NLw09EwE0CqkOc4q9oUmW1yo/edit?usp=sharing"",""เชียงใหม่!I514"")"),0)</f>
        <v>0</v>
      </c>
      <c r="J619" s="188">
        <f ca="1">IFERROR(__xludf.DUMMYFUNCTION("IMPORTRANGE(""https://docs.google.com/spreadsheets/d/11923uPwbBZFjjGgGUA6NLw09EwE0CqkOc4q9oUmW1yo/edit?usp=sharing"",""เชียงใหม่!J514"")"),0)</f>
        <v>0</v>
      </c>
      <c r="K619" s="163">
        <f t="shared" ca="1" si="127"/>
        <v>0</v>
      </c>
      <c r="L619" s="181"/>
      <c r="M619" s="181"/>
      <c r="N619" s="181"/>
      <c r="O619" s="181"/>
      <c r="P619" s="181"/>
    </row>
    <row r="620" spans="1:16" ht="21.75" customHeight="1" x14ac:dyDescent="0.3">
      <c r="A620" s="175"/>
      <c r="B620" s="176"/>
      <c r="C620" s="176"/>
      <c r="D620" s="193"/>
      <c r="E620" s="195"/>
      <c r="F620" s="194" t="s">
        <v>228</v>
      </c>
      <c r="G620" s="196"/>
      <c r="H620" s="180" t="s">
        <v>122</v>
      </c>
      <c r="I620" s="187">
        <f ca="1">IFERROR(__xludf.DUMMYFUNCTION("IMPORTRANGE(""https://docs.google.com/spreadsheets/d/11923uPwbBZFjjGgGUA6NLw09EwE0CqkOc4q9oUmW1yo/edit?usp=sharing"",""เชียงใหม่!I515"")"),100)</f>
        <v>100</v>
      </c>
      <c r="J620" s="202">
        <f ca="1">IFERROR(__xludf.DUMMYFUNCTION("IMPORTRANGE(""https://docs.google.com/spreadsheets/d/11923uPwbBZFjjGgGUA6NLw09EwE0CqkOc4q9oUmW1yo/edit?usp=sharing"",""เชียงใหม่!J515"")"),0)</f>
        <v>0</v>
      </c>
      <c r="K620" s="163">
        <f t="shared" ref="K620:K626" ca="1" si="128">IF(I$620&gt;0,J620*100/I$620,0)</f>
        <v>0</v>
      </c>
      <c r="L620" s="181"/>
      <c r="M620" s="181"/>
      <c r="N620" s="181"/>
      <c r="O620" s="181"/>
      <c r="P620" s="181"/>
    </row>
    <row r="621" spans="1:16" ht="21.75" customHeight="1" x14ac:dyDescent="0.3">
      <c r="A621" s="175"/>
      <c r="B621" s="176"/>
      <c r="C621" s="176"/>
      <c r="D621" s="193"/>
      <c r="E621" s="198"/>
      <c r="F621" s="195"/>
      <c r="G621" s="225" t="s">
        <v>225</v>
      </c>
      <c r="H621" s="180" t="s">
        <v>122</v>
      </c>
      <c r="I621" s="202">
        <f ca="1">IFERROR(__xludf.DUMMYFUNCTION("IMPORTRANGE(""https://docs.google.com/spreadsheets/d/11923uPwbBZFjjGgGUA6NLw09EwE0CqkOc4q9oUmW1yo/edit?usp=sharing"",""เชียงใหม่!I516"")"),0)</f>
        <v>0</v>
      </c>
      <c r="J621" s="202">
        <f ca="1">IFERROR(__xludf.DUMMYFUNCTION("IMPORTRANGE(""https://docs.google.com/spreadsheets/d/11923uPwbBZFjjGgGUA6NLw09EwE0CqkOc4q9oUmW1yo/edit?usp=sharing"",""เชียงใหม่!J516"")"),0)</f>
        <v>0</v>
      </c>
      <c r="K621" s="163">
        <f t="shared" ca="1" si="128"/>
        <v>0</v>
      </c>
      <c r="L621" s="181"/>
      <c r="M621" s="181"/>
      <c r="N621" s="181"/>
      <c r="O621" s="181"/>
      <c r="P621" s="181"/>
    </row>
    <row r="622" spans="1:16" ht="21.75" customHeight="1" x14ac:dyDescent="0.3">
      <c r="A622" s="175"/>
      <c r="B622" s="176"/>
      <c r="C622" s="176"/>
      <c r="D622" s="193"/>
      <c r="E622" s="198"/>
      <c r="F622" s="195"/>
      <c r="G622" s="489" t="s">
        <v>226</v>
      </c>
      <c r="H622" s="180" t="s">
        <v>122</v>
      </c>
      <c r="I622" s="203">
        <f ca="1">IFERROR(__xludf.DUMMYFUNCTION("IMPORTRANGE(""https://docs.google.com/spreadsheets/d/11923uPwbBZFjjGgGUA6NLw09EwE0CqkOc4q9oUmW1yo/edit?usp=sharing"",""เชียงใหม่!I517"")"),0)</f>
        <v>0</v>
      </c>
      <c r="J622" s="188">
        <f ca="1">IFERROR(__xludf.DUMMYFUNCTION("IMPORTRANGE(""https://docs.google.com/spreadsheets/d/11923uPwbBZFjjGgGUA6NLw09EwE0CqkOc4q9oUmW1yo/edit?usp=sharing"",""เชียงใหม่!J517"")"),0)</f>
        <v>0</v>
      </c>
      <c r="K622" s="163">
        <f t="shared" ca="1" si="128"/>
        <v>0</v>
      </c>
      <c r="L622" s="181"/>
      <c r="M622" s="181"/>
      <c r="N622" s="181"/>
      <c r="O622" s="181"/>
      <c r="P622" s="181"/>
    </row>
    <row r="623" spans="1:16" ht="21.75" customHeight="1" x14ac:dyDescent="0.3">
      <c r="A623" s="175"/>
      <c r="B623" s="176"/>
      <c r="C623" s="176"/>
      <c r="D623" s="193"/>
      <c r="E623" s="198"/>
      <c r="F623" s="195"/>
      <c r="G623" s="489" t="s">
        <v>227</v>
      </c>
      <c r="H623" s="180" t="s">
        <v>122</v>
      </c>
      <c r="I623" s="203">
        <f ca="1">IFERROR(__xludf.DUMMYFUNCTION("IMPORTRANGE(""https://docs.google.com/spreadsheets/d/11923uPwbBZFjjGgGUA6NLw09EwE0CqkOc4q9oUmW1yo/edit?usp=sharing"",""เชียงใหม่!I518"")"),0)</f>
        <v>0</v>
      </c>
      <c r="J623" s="188">
        <f ca="1">IFERROR(__xludf.DUMMYFUNCTION("IMPORTRANGE(""https://docs.google.com/spreadsheets/d/11923uPwbBZFjjGgGUA6NLw09EwE0CqkOc4q9oUmW1yo/edit?usp=sharing"",""เชียงใหม่!J518"")"),0)</f>
        <v>0</v>
      </c>
      <c r="K623" s="163">
        <f t="shared" ca="1" si="128"/>
        <v>0</v>
      </c>
      <c r="L623" s="181"/>
      <c r="M623" s="181"/>
      <c r="N623" s="181"/>
      <c r="O623" s="181"/>
      <c r="P623" s="181"/>
    </row>
    <row r="624" spans="1:16" ht="21.75" customHeight="1" x14ac:dyDescent="0.3">
      <c r="A624" s="175"/>
      <c r="B624" s="176"/>
      <c r="C624" s="176"/>
      <c r="D624" s="193"/>
      <c r="E624" s="198"/>
      <c r="F624" s="195"/>
      <c r="G624" s="225" t="s">
        <v>229</v>
      </c>
      <c r="H624" s="180" t="s">
        <v>122</v>
      </c>
      <c r="I624" s="187">
        <f ca="1">IFERROR(__xludf.DUMMYFUNCTION("IMPORTRANGE(""https://docs.google.com/spreadsheets/d/11923uPwbBZFjjGgGUA6NLw09EwE0CqkOc4q9oUmW1yo/edit?usp=sharing"",""เชียงใหม่!I519"")"),0)</f>
        <v>0</v>
      </c>
      <c r="J624" s="187">
        <f ca="1">IFERROR(__xludf.DUMMYFUNCTION("IMPORTRANGE(""https://docs.google.com/spreadsheets/d/11923uPwbBZFjjGgGUA6NLw09EwE0CqkOc4q9oUmW1yo/edit?usp=sharing"",""เชียงใหม่!J519"")"),100)</f>
        <v>100</v>
      </c>
      <c r="K624" s="163">
        <f t="shared" ca="1" si="128"/>
        <v>100</v>
      </c>
      <c r="L624" s="181"/>
      <c r="M624" s="181"/>
      <c r="N624" s="181"/>
      <c r="O624" s="181"/>
      <c r="P624" s="181"/>
    </row>
    <row r="625" spans="1:16" ht="21.75" customHeight="1" x14ac:dyDescent="0.3">
      <c r="A625" s="175"/>
      <c r="B625" s="176"/>
      <c r="C625" s="176"/>
      <c r="D625" s="193"/>
      <c r="E625" s="198"/>
      <c r="F625" s="195"/>
      <c r="G625" s="489" t="s">
        <v>230</v>
      </c>
      <c r="H625" s="180" t="s">
        <v>122</v>
      </c>
      <c r="I625" s="203">
        <f ca="1">IFERROR(__xludf.DUMMYFUNCTION("IMPORTRANGE(""https://docs.google.com/spreadsheets/d/11923uPwbBZFjjGgGUA6NLw09EwE0CqkOc4q9oUmW1yo/edit?usp=sharing"",""เชียงใหม่!I520"")"),0)</f>
        <v>0</v>
      </c>
      <c r="J625" s="188">
        <f ca="1">IFERROR(__xludf.DUMMYFUNCTION("IMPORTRANGE(""https://docs.google.com/spreadsheets/d/11923uPwbBZFjjGgGUA6NLw09EwE0CqkOc4q9oUmW1yo/edit?usp=sharing"",""เชียงใหม่!J520"")"),0)</f>
        <v>0</v>
      </c>
      <c r="K625" s="163">
        <f t="shared" ca="1" si="128"/>
        <v>0</v>
      </c>
      <c r="L625" s="181"/>
      <c r="M625" s="181"/>
      <c r="N625" s="181"/>
      <c r="O625" s="181"/>
      <c r="P625" s="181"/>
    </row>
    <row r="626" spans="1:16" ht="21.75" customHeight="1" x14ac:dyDescent="0.3">
      <c r="A626" s="175"/>
      <c r="B626" s="176"/>
      <c r="C626" s="176"/>
      <c r="D626" s="193"/>
      <c r="E626" s="198"/>
      <c r="F626" s="195"/>
      <c r="G626" s="489" t="s">
        <v>231</v>
      </c>
      <c r="H626" s="180" t="s">
        <v>122</v>
      </c>
      <c r="I626" s="203">
        <f ca="1">IFERROR(__xludf.DUMMYFUNCTION("IMPORTRANGE(""https://docs.google.com/spreadsheets/d/11923uPwbBZFjjGgGUA6NLw09EwE0CqkOc4q9oUmW1yo/edit?usp=sharing"",""เชียงใหม่!I521"")"),0)</f>
        <v>0</v>
      </c>
      <c r="J626" s="188">
        <f ca="1">IFERROR(__xludf.DUMMYFUNCTION("IMPORTRANGE(""https://docs.google.com/spreadsheets/d/11923uPwbBZFjjGgGUA6NLw09EwE0CqkOc4q9oUmW1yo/edit?usp=sharing"",""เชียงใหม่!J521"")"),100)</f>
        <v>100</v>
      </c>
      <c r="K626" s="163">
        <f t="shared" ca="1" si="128"/>
        <v>100</v>
      </c>
      <c r="L626" s="181"/>
      <c r="M626" s="181"/>
      <c r="N626" s="181"/>
      <c r="O626" s="181"/>
      <c r="P626" s="181"/>
    </row>
    <row r="627" spans="1:16" ht="21.75" customHeight="1" x14ac:dyDescent="0.3">
      <c r="A627" s="490" t="s">
        <v>232</v>
      </c>
      <c r="B627" s="491"/>
      <c r="C627" s="491"/>
      <c r="D627" s="491"/>
      <c r="E627" s="491"/>
      <c r="F627" s="491"/>
      <c r="G627" s="492"/>
      <c r="H627" s="493"/>
      <c r="I627" s="494"/>
      <c r="J627" s="494"/>
      <c r="K627" s="495"/>
      <c r="L627" s="495"/>
      <c r="M627" s="495"/>
      <c r="N627" s="495"/>
      <c r="O627" s="496"/>
      <c r="P627" s="496"/>
    </row>
    <row r="628" spans="1:16" ht="21.75" customHeight="1" x14ac:dyDescent="0.3">
      <c r="A628" s="476"/>
      <c r="B628" s="497" t="s">
        <v>233</v>
      </c>
      <c r="C628" s="157"/>
      <c r="D628" s="166"/>
      <c r="E628" s="159"/>
      <c r="F628" s="159"/>
      <c r="G628" s="160"/>
      <c r="H628" s="498" t="s">
        <v>12</v>
      </c>
      <c r="I628" s="339">
        <f ca="1">IFERROR(__xludf.DUMMYFUNCTION("IMPORTRANGE(""https://docs.google.com/spreadsheets/d/11923uPwbBZFjjGgGUA6NLw09EwE0CqkOc4q9oUmW1yo/edit?usp=sharing"",""เชียงใหม่!I523"")"),2948302.07)</f>
        <v>2948302.07</v>
      </c>
      <c r="J628" s="339">
        <f ca="1">IFERROR(__xludf.DUMMYFUNCTION("IMPORTRANGE(""https://docs.google.com/spreadsheets/d/11923uPwbBZFjjGgGUA6NLw09EwE0CqkOc4q9oUmW1yo/edit?usp=sharing"",""เชียงใหม่!J523"")"),673804)</f>
        <v>673804</v>
      </c>
      <c r="K628" s="340">
        <f t="shared" ref="K628:K635" ca="1" si="129">IF(I628&gt;0,J628*100/I628,0)</f>
        <v>22.853967605836264</v>
      </c>
      <c r="L628" s="340"/>
      <c r="M628" s="340"/>
      <c r="N628" s="340"/>
      <c r="O628" s="168"/>
      <c r="P628" s="168"/>
    </row>
    <row r="629" spans="1:16" ht="21.75" customHeight="1" x14ac:dyDescent="0.3">
      <c r="A629" s="476"/>
      <c r="B629" s="157"/>
      <c r="C629" s="157"/>
      <c r="D629" s="166"/>
      <c r="E629" s="159"/>
      <c r="F629" s="159"/>
      <c r="G629" s="160"/>
      <c r="H629" s="498" t="s">
        <v>37</v>
      </c>
      <c r="I629" s="339">
        <f ca="1">IFERROR(__xludf.DUMMYFUNCTION("IMPORTRANGE(""https://docs.google.com/spreadsheets/d/11923uPwbBZFjjGgGUA6NLw09EwE0CqkOc4q9oUmW1yo/edit?usp=sharing"",""เชียงใหม่!I524"")"),159)</f>
        <v>159</v>
      </c>
      <c r="J629" s="339">
        <f ca="1">IFERROR(__xludf.DUMMYFUNCTION("IMPORTRANGE(""https://docs.google.com/spreadsheets/d/11923uPwbBZFjjGgGUA6NLw09EwE0CqkOc4q9oUmW1yo/edit?usp=sharing"",""เชียงใหม่!J524"")"),34)</f>
        <v>34</v>
      </c>
      <c r="K629" s="340">
        <f t="shared" ca="1" si="129"/>
        <v>21.383647798742139</v>
      </c>
      <c r="L629" s="340"/>
      <c r="M629" s="340"/>
      <c r="N629" s="340"/>
      <c r="O629" s="168"/>
      <c r="P629" s="168"/>
    </row>
    <row r="630" spans="1:16" ht="21.75" customHeight="1" x14ac:dyDescent="0.3">
      <c r="A630" s="476"/>
      <c r="B630" s="497" t="s">
        <v>234</v>
      </c>
      <c r="C630" s="157"/>
      <c r="D630" s="166"/>
      <c r="E630" s="159"/>
      <c r="F630" s="159"/>
      <c r="G630" s="160"/>
      <c r="H630" s="498" t="s">
        <v>12</v>
      </c>
      <c r="I630" s="339">
        <f ca="1">IFERROR(__xludf.DUMMYFUNCTION("IMPORTRANGE(""https://docs.google.com/spreadsheets/d/11923uPwbBZFjjGgGUA6NLw09EwE0CqkOc4q9oUmW1yo/edit?usp=sharing"",""เชียงใหม่!I525"")"),636812.17)</f>
        <v>636812.17000000004</v>
      </c>
      <c r="J630" s="339">
        <f ca="1">IFERROR(__xludf.DUMMYFUNCTION("IMPORTRANGE(""https://docs.google.com/spreadsheets/d/11923uPwbBZFjjGgGUA6NLw09EwE0CqkOc4q9oUmW1yo/edit?usp=sharing"",""เชียงใหม่!J525"")"),53364.5)</f>
        <v>53364.5</v>
      </c>
      <c r="K630" s="340">
        <f t="shared" ca="1" si="129"/>
        <v>8.3799434926000238</v>
      </c>
      <c r="L630" s="340"/>
      <c r="M630" s="340"/>
      <c r="N630" s="340"/>
      <c r="O630" s="168"/>
      <c r="P630" s="168"/>
    </row>
    <row r="631" spans="1:16" ht="21.75" customHeight="1" x14ac:dyDescent="0.3">
      <c r="A631" s="476"/>
      <c r="B631" s="157"/>
      <c r="C631" s="157"/>
      <c r="D631" s="166"/>
      <c r="E631" s="159"/>
      <c r="F631" s="159"/>
      <c r="G631" s="160"/>
      <c r="H631" s="498" t="s">
        <v>37</v>
      </c>
      <c r="I631" s="339">
        <f ca="1">IFERROR(__xludf.DUMMYFUNCTION("IMPORTRANGE(""https://docs.google.com/spreadsheets/d/11923uPwbBZFjjGgGUA6NLw09EwE0CqkOc4q9oUmW1yo/edit?usp=sharing"",""เชียงใหม่!I526"")"),41)</f>
        <v>41</v>
      </c>
      <c r="J631" s="339">
        <f ca="1">IFERROR(__xludf.DUMMYFUNCTION("IMPORTRANGE(""https://docs.google.com/spreadsheets/d/11923uPwbBZFjjGgGUA6NLw09EwE0CqkOc4q9oUmW1yo/edit?usp=sharing"",""เชียงใหม่!J526"")"),24)</f>
        <v>24</v>
      </c>
      <c r="K631" s="340">
        <f t="shared" ca="1" si="129"/>
        <v>58.536585365853661</v>
      </c>
      <c r="L631" s="340"/>
      <c r="M631" s="340"/>
      <c r="N631" s="340"/>
      <c r="O631" s="168"/>
      <c r="P631" s="168"/>
    </row>
    <row r="632" spans="1:16" ht="21.75" customHeight="1" x14ac:dyDescent="0.3">
      <c r="A632" s="476"/>
      <c r="B632" s="497" t="s">
        <v>235</v>
      </c>
      <c r="C632" s="157"/>
      <c r="D632" s="166"/>
      <c r="E632" s="159"/>
      <c r="F632" s="159"/>
      <c r="G632" s="160"/>
      <c r="H632" s="498" t="s">
        <v>12</v>
      </c>
      <c r="I632" s="339">
        <f ca="1">IFERROR(__xludf.DUMMYFUNCTION("IMPORTRANGE(""https://docs.google.com/spreadsheets/d/11923uPwbBZFjjGgGUA6NLw09EwE0CqkOc4q9oUmW1yo/edit?usp=sharing"",""เชียงใหม่!I527"")"),100859.88)</f>
        <v>100859.88</v>
      </c>
      <c r="J632" s="339">
        <f ca="1">IFERROR(__xludf.DUMMYFUNCTION("IMPORTRANGE(""https://docs.google.com/spreadsheets/d/11923uPwbBZFjjGgGUA6NLw09EwE0CqkOc4q9oUmW1yo/edit?usp=sharing"",""เชียงใหม่!J527"")"),4172.1)</f>
        <v>4172.1000000000004</v>
      </c>
      <c r="K632" s="340">
        <f t="shared" ca="1" si="129"/>
        <v>4.1365307989658531</v>
      </c>
      <c r="L632" s="340"/>
      <c r="M632" s="340"/>
      <c r="N632" s="340"/>
      <c r="O632" s="168"/>
      <c r="P632" s="168"/>
    </row>
    <row r="633" spans="1:16" ht="21.75" customHeight="1" x14ac:dyDescent="0.3">
      <c r="A633" s="476"/>
      <c r="B633" s="497"/>
      <c r="C633" s="157"/>
      <c r="D633" s="166"/>
      <c r="E633" s="159"/>
      <c r="F633" s="159"/>
      <c r="G633" s="160"/>
      <c r="H633" s="498" t="s">
        <v>37</v>
      </c>
      <c r="I633" s="339">
        <f ca="1">IFERROR(__xludf.DUMMYFUNCTION("IMPORTRANGE(""https://docs.google.com/spreadsheets/d/11923uPwbBZFjjGgGUA6NLw09EwE0CqkOc4q9oUmW1yo/edit?usp=sharing"",""เชียงใหม่!I528"")"),23)</f>
        <v>23</v>
      </c>
      <c r="J633" s="339">
        <f ca="1">IFERROR(__xludf.DUMMYFUNCTION("IMPORTRANGE(""https://docs.google.com/spreadsheets/d/11923uPwbBZFjjGgGUA6NLw09EwE0CqkOc4q9oUmW1yo/edit?usp=sharing"",""เชียงใหม่!J528"")"),4)</f>
        <v>4</v>
      </c>
      <c r="K633" s="340">
        <f t="shared" ca="1" si="129"/>
        <v>17.391304347826086</v>
      </c>
      <c r="L633" s="340"/>
      <c r="M633" s="340"/>
      <c r="N633" s="340"/>
      <c r="O633" s="168"/>
      <c r="P633" s="168"/>
    </row>
    <row r="634" spans="1:16" ht="21.75" customHeight="1" x14ac:dyDescent="0.3">
      <c r="A634" s="476"/>
      <c r="B634" s="497" t="s">
        <v>236</v>
      </c>
      <c r="C634" s="157"/>
      <c r="D634" s="166"/>
      <c r="E634" s="159"/>
      <c r="F634" s="159"/>
      <c r="G634" s="160"/>
      <c r="H634" s="498" t="s">
        <v>12</v>
      </c>
      <c r="I634" s="339">
        <f ca="1">IFERROR(__xludf.DUMMYFUNCTION("IMPORTRANGE(""https://docs.google.com/spreadsheets/d/11923uPwbBZFjjGgGUA6NLw09EwE0CqkOc4q9oUmW1yo/edit?usp=sharing"",""เชียงใหม่!I529"")"),1890000)</f>
        <v>1890000</v>
      </c>
      <c r="J634" s="339">
        <f ca="1">IFERROR(__xludf.DUMMYFUNCTION("IMPORTRANGE(""https://docs.google.com/spreadsheets/d/11923uPwbBZFjjGgGUA6NLw09EwE0CqkOc4q9oUmW1yo/edit?usp=sharing"",""เชียงใหม่!J529"")"),570000)</f>
        <v>570000</v>
      </c>
      <c r="K634" s="340">
        <f t="shared" ca="1" si="129"/>
        <v>30.158730158730158</v>
      </c>
      <c r="L634" s="340"/>
      <c r="M634" s="340"/>
      <c r="N634" s="340"/>
      <c r="O634" s="168"/>
      <c r="P634" s="168"/>
    </row>
    <row r="635" spans="1:16" ht="21.75" customHeight="1" x14ac:dyDescent="0.3">
      <c r="A635" s="478"/>
      <c r="B635" s="480"/>
      <c r="C635" s="480"/>
      <c r="D635" s="479"/>
      <c r="E635" s="499"/>
      <c r="F635" s="499"/>
      <c r="G635" s="500"/>
      <c r="H635" s="501" t="s">
        <v>37</v>
      </c>
      <c r="I635" s="502">
        <f ca="1">IFERROR(__xludf.DUMMYFUNCTION("IMPORTRANGE(""https://docs.google.com/spreadsheets/d/11923uPwbBZFjjGgGUA6NLw09EwE0CqkOc4q9oUmW1yo/edit?usp=sharing"",""เชียงใหม่!I530"")"),63)</f>
        <v>63</v>
      </c>
      <c r="J635" s="502">
        <f ca="1">IFERROR(__xludf.DUMMYFUNCTION("IMPORTRANGE(""https://docs.google.com/spreadsheets/d/11923uPwbBZFjjGgGUA6NLw09EwE0CqkOc4q9oUmW1yo/edit?usp=sharing"",""เชียงใหม่!J530"")"),20)</f>
        <v>20</v>
      </c>
      <c r="K635" s="484">
        <f t="shared" ca="1" si="129"/>
        <v>31.746031746031747</v>
      </c>
      <c r="L635" s="484"/>
      <c r="M635" s="484"/>
      <c r="N635" s="484"/>
      <c r="O635" s="503"/>
      <c r="P635" s="503"/>
    </row>
    <row r="636" spans="1:16" ht="21.75" customHeight="1" x14ac:dyDescent="0.3">
      <c r="A636" s="504"/>
      <c r="B636" s="504"/>
      <c r="C636" s="504"/>
      <c r="D636" s="504"/>
      <c r="E636" s="505" t="s">
        <v>237</v>
      </c>
      <c r="F636" s="505"/>
      <c r="G636" s="505"/>
      <c r="H636" s="506"/>
      <c r="I636" s="506"/>
      <c r="J636" s="506"/>
      <c r="K636" s="507"/>
      <c r="L636" s="508"/>
      <c r="M636" s="508"/>
      <c r="N636" s="508"/>
      <c r="O636" s="509"/>
      <c r="P636" s="509"/>
    </row>
    <row r="637" spans="1:16" ht="21.75" customHeight="1" x14ac:dyDescent="0.3">
      <c r="A637" s="504"/>
      <c r="B637" s="504"/>
      <c r="C637" s="504"/>
      <c r="D637" s="504"/>
      <c r="E637" s="506"/>
      <c r="F637" s="506"/>
      <c r="G637" s="506"/>
      <c r="H637" s="506"/>
      <c r="I637" s="506"/>
      <c r="J637" s="506"/>
      <c r="K637" s="507"/>
      <c r="L637" s="508"/>
      <c r="M637" s="508"/>
      <c r="N637" s="508"/>
      <c r="O637" s="509"/>
      <c r="P637" s="509"/>
    </row>
    <row r="638" spans="1:16" ht="21.75" customHeight="1" x14ac:dyDescent="0.3">
      <c r="A638" s="504"/>
      <c r="B638" s="504"/>
      <c r="C638" s="504"/>
      <c r="D638" s="504"/>
      <c r="E638" s="506"/>
      <c r="F638" s="506"/>
      <c r="G638" s="506"/>
      <c r="H638" s="506"/>
      <c r="I638" s="506"/>
      <c r="J638" s="506"/>
      <c r="K638" s="507"/>
      <c r="L638" s="508"/>
      <c r="M638" s="508"/>
      <c r="N638" s="508"/>
      <c r="O638" s="509"/>
      <c r="P638" s="509"/>
    </row>
    <row r="639" spans="1:16" ht="21.75" customHeight="1" x14ac:dyDescent="0.3">
      <c r="A639" s="504"/>
      <c r="B639" s="504"/>
      <c r="C639" s="504"/>
      <c r="D639" s="504"/>
      <c r="E639" s="506"/>
      <c r="F639" s="506"/>
      <c r="G639" s="506"/>
      <c r="H639" s="506"/>
      <c r="I639" s="506"/>
      <c r="J639" s="506"/>
      <c r="K639" s="507"/>
      <c r="L639" s="508"/>
      <c r="M639" s="508"/>
      <c r="N639" s="508"/>
      <c r="O639" s="509"/>
      <c r="P639" s="509"/>
    </row>
    <row r="640" spans="1:16" ht="21.75" customHeight="1" x14ac:dyDescent="0.3">
      <c r="A640" s="504"/>
      <c r="B640" s="504"/>
      <c r="C640" s="504"/>
      <c r="D640" s="504"/>
      <c r="E640" s="506"/>
      <c r="F640" s="506"/>
      <c r="G640" s="506"/>
      <c r="H640" s="506"/>
      <c r="I640" s="506"/>
      <c r="J640" s="506"/>
      <c r="K640" s="507"/>
      <c r="L640" s="508"/>
      <c r="M640" s="508"/>
      <c r="N640" s="508"/>
      <c r="O640" s="509"/>
      <c r="P640" s="509"/>
    </row>
    <row r="641" spans="1:16" ht="21.75" customHeight="1" x14ac:dyDescent="0.3">
      <c r="A641" s="504"/>
      <c r="B641" s="504"/>
      <c r="C641" s="504"/>
      <c r="D641" s="504"/>
      <c r="E641" s="506"/>
      <c r="F641" s="506"/>
      <c r="G641" s="506"/>
      <c r="H641" s="506"/>
      <c r="I641" s="506"/>
      <c r="J641" s="506"/>
      <c r="K641" s="507"/>
      <c r="L641" s="508"/>
      <c r="M641" s="508"/>
      <c r="N641" s="508"/>
      <c r="O641" s="509"/>
      <c r="P641" s="509"/>
    </row>
    <row r="642" spans="1:16" ht="21.75" customHeight="1" x14ac:dyDescent="0.3">
      <c r="A642" s="504"/>
      <c r="B642" s="504"/>
      <c r="C642" s="504"/>
      <c r="D642" s="504"/>
      <c r="E642" s="506"/>
      <c r="F642" s="506"/>
      <c r="G642" s="506"/>
      <c r="H642" s="506"/>
      <c r="I642" s="506"/>
      <c r="J642" s="506"/>
      <c r="K642" s="507"/>
      <c r="L642" s="508"/>
      <c r="M642" s="508"/>
      <c r="N642" s="508"/>
      <c r="O642" s="509"/>
      <c r="P642" s="509"/>
    </row>
    <row r="643" spans="1:16" ht="21.75" customHeight="1" x14ac:dyDescent="0.3">
      <c r="A643" s="504"/>
      <c r="B643" s="504"/>
      <c r="C643" s="504"/>
      <c r="D643" s="504"/>
      <c r="E643" s="506"/>
      <c r="F643" s="506"/>
      <c r="G643" s="506"/>
      <c r="H643" s="506"/>
      <c r="I643" s="506"/>
      <c r="J643" s="506"/>
      <c r="K643" s="507"/>
      <c r="L643" s="508"/>
      <c r="M643" s="508"/>
      <c r="N643" s="508"/>
      <c r="O643" s="509"/>
      <c r="P643" s="509"/>
    </row>
    <row r="644" spans="1:16" ht="21.75" customHeight="1" x14ac:dyDescent="0.3">
      <c r="A644" s="504"/>
      <c r="B644" s="504"/>
      <c r="C644" s="504"/>
      <c r="D644" s="504"/>
      <c r="E644" s="506"/>
      <c r="F644" s="506"/>
      <c r="G644" s="506"/>
      <c r="H644" s="506"/>
      <c r="I644" s="506"/>
      <c r="J644" s="506"/>
      <c r="K644" s="507"/>
      <c r="L644" s="508"/>
      <c r="M644" s="508"/>
      <c r="N644" s="508"/>
      <c r="O644" s="509"/>
      <c r="P644" s="509"/>
    </row>
    <row r="645" spans="1:16" ht="21.75" customHeight="1" x14ac:dyDescent="0.3">
      <c r="A645" s="504"/>
      <c r="B645" s="504"/>
      <c r="C645" s="504"/>
      <c r="D645" s="504"/>
      <c r="E645" s="506"/>
      <c r="F645" s="506"/>
      <c r="G645" s="506"/>
      <c r="H645" s="506"/>
      <c r="I645" s="506"/>
      <c r="J645" s="506"/>
      <c r="K645" s="507"/>
      <c r="L645" s="508"/>
      <c r="M645" s="508"/>
      <c r="N645" s="508"/>
      <c r="O645" s="509"/>
      <c r="P645" s="509"/>
    </row>
    <row r="646" spans="1:16" ht="21.75" customHeight="1" x14ac:dyDescent="0.3">
      <c r="A646" s="504"/>
      <c r="B646" s="504"/>
      <c r="C646" s="504"/>
      <c r="D646" s="504"/>
      <c r="E646" s="506"/>
      <c r="F646" s="506"/>
      <c r="G646" s="506"/>
      <c r="H646" s="506"/>
      <c r="I646" s="506"/>
      <c r="J646" s="506"/>
      <c r="K646" s="507"/>
      <c r="L646" s="508"/>
      <c r="M646" s="508"/>
      <c r="N646" s="508"/>
      <c r="O646" s="509"/>
      <c r="P646" s="509"/>
    </row>
    <row r="647" spans="1:16" ht="21.75" customHeight="1" x14ac:dyDescent="0.3">
      <c r="A647" s="504"/>
      <c r="B647" s="504"/>
      <c r="C647" s="504"/>
      <c r="D647" s="504"/>
      <c r="E647" s="506"/>
      <c r="F647" s="506"/>
      <c r="G647" s="506"/>
      <c r="H647" s="506"/>
      <c r="I647" s="506"/>
      <c r="J647" s="506"/>
      <c r="K647" s="507"/>
      <c r="L647" s="508"/>
      <c r="M647" s="508"/>
      <c r="N647" s="508"/>
      <c r="O647" s="509"/>
      <c r="P647" s="509"/>
    </row>
    <row r="648" spans="1:16" ht="21.75" customHeight="1" x14ac:dyDescent="0.3">
      <c r="A648" s="504"/>
      <c r="B648" s="504"/>
      <c r="C648" s="504"/>
      <c r="D648" s="504"/>
      <c r="E648" s="506"/>
      <c r="F648" s="506"/>
      <c r="G648" s="506"/>
      <c r="H648" s="506"/>
      <c r="I648" s="506"/>
      <c r="J648" s="506"/>
      <c r="K648" s="507"/>
      <c r="L648" s="508"/>
      <c r="M648" s="508"/>
      <c r="N648" s="508"/>
      <c r="O648" s="509"/>
      <c r="P648" s="509"/>
    </row>
    <row r="649" spans="1:16" ht="21.75" customHeight="1" x14ac:dyDescent="0.3">
      <c r="A649" s="504"/>
      <c r="B649" s="504"/>
      <c r="C649" s="504"/>
      <c r="D649" s="504"/>
      <c r="E649" s="506"/>
      <c r="F649" s="506"/>
      <c r="G649" s="506"/>
      <c r="H649" s="506"/>
      <c r="I649" s="506"/>
      <c r="J649" s="506"/>
      <c r="K649" s="507"/>
      <c r="L649" s="508"/>
      <c r="M649" s="508"/>
      <c r="N649" s="508"/>
      <c r="O649" s="509"/>
      <c r="P649" s="509"/>
    </row>
    <row r="650" spans="1:16" ht="21.75" customHeight="1" x14ac:dyDescent="0.3">
      <c r="A650" s="504"/>
      <c r="B650" s="504"/>
      <c r="C650" s="504"/>
      <c r="D650" s="504"/>
      <c r="E650" s="506"/>
      <c r="F650" s="506"/>
      <c r="G650" s="506"/>
      <c r="H650" s="506"/>
      <c r="I650" s="506"/>
      <c r="J650" s="506"/>
      <c r="K650" s="507"/>
      <c r="L650" s="508"/>
      <c r="M650" s="508"/>
      <c r="N650" s="508"/>
      <c r="O650" s="509"/>
      <c r="P650" s="509"/>
    </row>
    <row r="651" spans="1:16" ht="21.75" customHeight="1" x14ac:dyDescent="0.3">
      <c r="A651" s="504"/>
      <c r="B651" s="504"/>
      <c r="C651" s="504"/>
      <c r="D651" s="504"/>
      <c r="E651" s="506"/>
      <c r="F651" s="506"/>
      <c r="G651" s="506"/>
      <c r="H651" s="506"/>
      <c r="I651" s="506"/>
      <c r="J651" s="506"/>
      <c r="K651" s="507"/>
      <c r="L651" s="508"/>
      <c r="M651" s="508"/>
      <c r="N651" s="508"/>
      <c r="O651" s="509"/>
      <c r="P651" s="509"/>
    </row>
    <row r="652" spans="1:16" ht="21.75" customHeight="1" x14ac:dyDescent="0.3">
      <c r="A652" s="504"/>
      <c r="B652" s="504"/>
      <c r="C652" s="504"/>
      <c r="D652" s="504"/>
      <c r="E652" s="506"/>
      <c r="F652" s="506"/>
      <c r="G652" s="506"/>
      <c r="H652" s="506"/>
      <c r="I652" s="506"/>
      <c r="J652" s="506"/>
      <c r="K652" s="507"/>
      <c r="L652" s="508"/>
      <c r="M652" s="508"/>
      <c r="N652" s="508"/>
      <c r="O652" s="509"/>
      <c r="P652" s="509"/>
    </row>
    <row r="653" spans="1:16" ht="21.75" customHeight="1" x14ac:dyDescent="0.3">
      <c r="A653" s="504"/>
      <c r="B653" s="504"/>
      <c r="C653" s="504"/>
      <c r="D653" s="504"/>
      <c r="E653" s="506"/>
      <c r="F653" s="506"/>
      <c r="G653" s="506"/>
      <c r="H653" s="506"/>
      <c r="I653" s="506"/>
      <c r="J653" s="506"/>
      <c r="K653" s="507"/>
      <c r="L653" s="508"/>
      <c r="M653" s="508"/>
      <c r="N653" s="508"/>
      <c r="O653" s="509"/>
      <c r="P653" s="509"/>
    </row>
    <row r="654" spans="1:16" ht="21.75" customHeight="1" x14ac:dyDescent="0.3">
      <c r="A654" s="504"/>
      <c r="B654" s="504"/>
      <c r="C654" s="504"/>
      <c r="D654" s="504"/>
      <c r="E654" s="506"/>
      <c r="F654" s="506"/>
      <c r="G654" s="506"/>
      <c r="H654" s="506"/>
      <c r="I654" s="506"/>
      <c r="J654" s="506"/>
      <c r="K654" s="507"/>
      <c r="L654" s="508"/>
      <c r="M654" s="508"/>
      <c r="N654" s="508"/>
      <c r="O654" s="509"/>
      <c r="P654" s="509"/>
    </row>
    <row r="655" spans="1:16" ht="21.75" customHeight="1" x14ac:dyDescent="0.3">
      <c r="A655" s="504"/>
      <c r="B655" s="504"/>
      <c r="C655" s="504"/>
      <c r="D655" s="504"/>
      <c r="E655" s="506"/>
      <c r="F655" s="506"/>
      <c r="G655" s="506"/>
      <c r="H655" s="506"/>
      <c r="I655" s="506"/>
      <c r="J655" s="506"/>
      <c r="K655" s="507"/>
      <c r="L655" s="508"/>
      <c r="M655" s="508"/>
      <c r="N655" s="508"/>
      <c r="O655" s="509"/>
      <c r="P655" s="509"/>
    </row>
    <row r="656" spans="1:16" ht="21.75" customHeight="1" x14ac:dyDescent="0.3">
      <c r="A656" s="504"/>
      <c r="B656" s="504"/>
      <c r="C656" s="504"/>
      <c r="D656" s="504"/>
      <c r="E656" s="506"/>
      <c r="F656" s="506"/>
      <c r="G656" s="506"/>
      <c r="H656" s="506"/>
      <c r="I656" s="506"/>
      <c r="J656" s="506"/>
      <c r="K656" s="507"/>
      <c r="L656" s="508"/>
      <c r="M656" s="508"/>
      <c r="N656" s="508"/>
      <c r="O656" s="509"/>
      <c r="P656" s="509"/>
    </row>
    <row r="657" spans="1:16" ht="21.75" customHeight="1" x14ac:dyDescent="0.3">
      <c r="A657" s="504"/>
      <c r="B657" s="504"/>
      <c r="C657" s="504"/>
      <c r="D657" s="504"/>
      <c r="E657" s="506"/>
      <c r="F657" s="506"/>
      <c r="G657" s="506"/>
      <c r="H657" s="506"/>
      <c r="I657" s="506"/>
      <c r="J657" s="506"/>
      <c r="K657" s="507"/>
      <c r="L657" s="508"/>
      <c r="M657" s="508"/>
      <c r="N657" s="508"/>
      <c r="O657" s="509"/>
      <c r="P657" s="509"/>
    </row>
    <row r="658" spans="1:16" ht="21.75" customHeight="1" x14ac:dyDescent="0.3">
      <c r="A658" s="504"/>
      <c r="B658" s="504"/>
      <c r="C658" s="504"/>
      <c r="D658" s="504"/>
      <c r="E658" s="506"/>
      <c r="F658" s="506"/>
      <c r="G658" s="506"/>
      <c r="H658" s="506"/>
      <c r="I658" s="506"/>
      <c r="J658" s="506"/>
      <c r="K658" s="507"/>
      <c r="L658" s="508"/>
      <c r="M658" s="508"/>
      <c r="N658" s="508"/>
      <c r="O658" s="509"/>
      <c r="P658" s="509"/>
    </row>
    <row r="659" spans="1:16" ht="21.75" customHeight="1" x14ac:dyDescent="0.3">
      <c r="A659" s="504"/>
      <c r="B659" s="504"/>
      <c r="C659" s="504"/>
      <c r="D659" s="504"/>
      <c r="E659" s="506"/>
      <c r="F659" s="506"/>
      <c r="G659" s="506"/>
      <c r="H659" s="506"/>
      <c r="I659" s="506"/>
      <c r="J659" s="506"/>
      <c r="K659" s="507"/>
      <c r="L659" s="508"/>
      <c r="M659" s="508"/>
      <c r="N659" s="508"/>
      <c r="O659" s="509"/>
      <c r="P659" s="509"/>
    </row>
    <row r="660" spans="1:16" ht="21.75" customHeight="1" x14ac:dyDescent="0.3">
      <c r="A660" s="504"/>
      <c r="B660" s="504"/>
      <c r="C660" s="504"/>
      <c r="D660" s="504"/>
      <c r="E660" s="506"/>
      <c r="F660" s="506"/>
      <c r="G660" s="506"/>
      <c r="H660" s="506"/>
      <c r="I660" s="506"/>
      <c r="J660" s="506"/>
      <c r="K660" s="507"/>
      <c r="L660" s="508"/>
      <c r="M660" s="508"/>
      <c r="N660" s="508"/>
      <c r="O660" s="509"/>
      <c r="P660" s="509"/>
    </row>
    <row r="661" spans="1:16" ht="21.75" customHeight="1" x14ac:dyDescent="0.3">
      <c r="A661" s="504"/>
      <c r="B661" s="504"/>
      <c r="C661" s="504"/>
      <c r="D661" s="504"/>
      <c r="E661" s="506"/>
      <c r="F661" s="506"/>
      <c r="G661" s="506"/>
      <c r="H661" s="506"/>
      <c r="I661" s="506"/>
      <c r="J661" s="506"/>
      <c r="K661" s="507"/>
      <c r="L661" s="508"/>
      <c r="M661" s="508"/>
      <c r="N661" s="508"/>
      <c r="O661" s="509"/>
      <c r="P661" s="509"/>
    </row>
    <row r="662" spans="1:16" ht="21.75" customHeight="1" x14ac:dyDescent="0.3">
      <c r="A662" s="504"/>
      <c r="B662" s="504"/>
      <c r="C662" s="504"/>
      <c r="D662" s="504"/>
      <c r="E662" s="506"/>
      <c r="F662" s="506"/>
      <c r="G662" s="506"/>
      <c r="H662" s="506"/>
      <c r="I662" s="506"/>
      <c r="J662" s="506"/>
      <c r="K662" s="507"/>
      <c r="L662" s="508"/>
      <c r="M662" s="508"/>
      <c r="N662" s="508"/>
      <c r="O662" s="509"/>
      <c r="P662" s="509"/>
    </row>
    <row r="663" spans="1:16" ht="21.75" customHeight="1" x14ac:dyDescent="0.3">
      <c r="A663" s="504"/>
      <c r="B663" s="504"/>
      <c r="C663" s="504"/>
      <c r="D663" s="504"/>
      <c r="E663" s="506"/>
      <c r="F663" s="506"/>
      <c r="G663" s="506"/>
      <c r="H663" s="506"/>
      <c r="I663" s="506"/>
      <c r="J663" s="506"/>
      <c r="K663" s="507"/>
      <c r="L663" s="508"/>
      <c r="M663" s="508"/>
      <c r="N663" s="508"/>
      <c r="O663" s="509"/>
      <c r="P663" s="509"/>
    </row>
    <row r="664" spans="1:16" ht="21.75" customHeight="1" x14ac:dyDescent="0.3">
      <c r="A664" s="504"/>
      <c r="B664" s="504"/>
      <c r="C664" s="504"/>
      <c r="D664" s="504"/>
      <c r="E664" s="506"/>
      <c r="F664" s="506"/>
      <c r="G664" s="506"/>
      <c r="H664" s="506"/>
      <c r="I664" s="506"/>
      <c r="J664" s="506"/>
      <c r="K664" s="507"/>
      <c r="L664" s="508"/>
      <c r="M664" s="508"/>
      <c r="N664" s="508"/>
      <c r="O664" s="509"/>
      <c r="P664" s="509"/>
    </row>
    <row r="665" spans="1:16" ht="21.75" customHeight="1" x14ac:dyDescent="0.3">
      <c r="A665" s="504"/>
      <c r="B665" s="504"/>
      <c r="C665" s="504"/>
      <c r="D665" s="504"/>
      <c r="E665" s="506"/>
      <c r="F665" s="506"/>
      <c r="G665" s="506"/>
      <c r="H665" s="506"/>
      <c r="I665" s="506"/>
      <c r="J665" s="506"/>
      <c r="K665" s="507"/>
      <c r="L665" s="508"/>
      <c r="M665" s="508"/>
      <c r="N665" s="508"/>
      <c r="O665" s="509"/>
      <c r="P665" s="509"/>
    </row>
    <row r="666" spans="1:16" ht="21.75" customHeight="1" x14ac:dyDescent="0.3">
      <c r="A666" s="504"/>
      <c r="B666" s="504"/>
      <c r="C666" s="504"/>
      <c r="D666" s="504"/>
      <c r="E666" s="506"/>
      <c r="F666" s="506"/>
      <c r="G666" s="506"/>
      <c r="H666" s="506"/>
      <c r="I666" s="506"/>
      <c r="J666" s="506"/>
      <c r="K666" s="507"/>
      <c r="L666" s="508"/>
      <c r="M666" s="508"/>
      <c r="N666" s="508"/>
      <c r="O666" s="509"/>
      <c r="P666" s="509"/>
    </row>
    <row r="667" spans="1:16" ht="21.75" customHeight="1" x14ac:dyDescent="0.3">
      <c r="A667" s="504"/>
      <c r="B667" s="504"/>
      <c r="C667" s="504"/>
      <c r="D667" s="504"/>
      <c r="E667" s="506"/>
      <c r="F667" s="506"/>
      <c r="G667" s="506"/>
      <c r="H667" s="506"/>
      <c r="I667" s="506"/>
      <c r="J667" s="506"/>
      <c r="K667" s="507"/>
      <c r="L667" s="508"/>
      <c r="M667" s="508"/>
      <c r="N667" s="508"/>
      <c r="O667" s="509"/>
      <c r="P667" s="509"/>
    </row>
    <row r="668" spans="1:16" ht="21.75" customHeight="1" x14ac:dyDescent="0.3">
      <c r="A668" s="504"/>
      <c r="B668" s="504"/>
      <c r="C668" s="504"/>
      <c r="D668" s="504"/>
      <c r="E668" s="506"/>
      <c r="F668" s="506"/>
      <c r="G668" s="506"/>
      <c r="H668" s="506"/>
      <c r="I668" s="506"/>
      <c r="J668" s="506"/>
      <c r="K668" s="507"/>
      <c r="L668" s="508"/>
      <c r="M668" s="508"/>
      <c r="N668" s="508"/>
      <c r="O668" s="509"/>
      <c r="P668" s="509"/>
    </row>
    <row r="669" spans="1:16" ht="21.75" customHeight="1" x14ac:dyDescent="0.3">
      <c r="A669" s="504"/>
      <c r="B669" s="504"/>
      <c r="C669" s="504"/>
      <c r="D669" s="504"/>
      <c r="E669" s="506"/>
      <c r="F669" s="506"/>
      <c r="G669" s="506"/>
      <c r="H669" s="506"/>
      <c r="I669" s="506"/>
      <c r="J669" s="506"/>
      <c r="K669" s="507"/>
      <c r="L669" s="508"/>
      <c r="M669" s="508"/>
      <c r="N669" s="508"/>
      <c r="O669" s="509"/>
      <c r="P669" s="509"/>
    </row>
    <row r="670" spans="1:16" ht="21.75" customHeight="1" x14ac:dyDescent="0.3">
      <c r="A670" s="504"/>
      <c r="B670" s="504"/>
      <c r="C670" s="504"/>
      <c r="D670" s="504"/>
      <c r="E670" s="506"/>
      <c r="F670" s="506"/>
      <c r="G670" s="506"/>
      <c r="H670" s="506"/>
      <c r="I670" s="506"/>
      <c r="J670" s="506"/>
      <c r="K670" s="507"/>
      <c r="L670" s="508"/>
      <c r="M670" s="508"/>
      <c r="N670" s="508"/>
      <c r="O670" s="509"/>
      <c r="P670" s="509"/>
    </row>
    <row r="671" spans="1:16" ht="21.75" customHeight="1" x14ac:dyDescent="0.3">
      <c r="A671" s="504"/>
      <c r="B671" s="504"/>
      <c r="C671" s="504"/>
      <c r="D671" s="504"/>
      <c r="E671" s="506"/>
      <c r="F671" s="506"/>
      <c r="G671" s="506"/>
      <c r="H671" s="506"/>
      <c r="I671" s="506"/>
      <c r="J671" s="506"/>
      <c r="K671" s="507"/>
      <c r="L671" s="508"/>
      <c r="M671" s="508"/>
      <c r="N671" s="508"/>
      <c r="O671" s="509"/>
      <c r="P671" s="509"/>
    </row>
    <row r="672" spans="1:16" ht="21.75" customHeight="1" x14ac:dyDescent="0.3">
      <c r="A672" s="504"/>
      <c r="B672" s="504"/>
      <c r="C672" s="504"/>
      <c r="D672" s="504"/>
      <c r="E672" s="506"/>
      <c r="F672" s="506"/>
      <c r="G672" s="506"/>
      <c r="H672" s="506"/>
      <c r="I672" s="506"/>
      <c r="J672" s="506"/>
      <c r="K672" s="507"/>
      <c r="L672" s="508"/>
      <c r="M672" s="508"/>
      <c r="N672" s="508"/>
      <c r="O672" s="509"/>
      <c r="P672" s="509"/>
    </row>
    <row r="673" spans="1:16" ht="21.75" customHeight="1" x14ac:dyDescent="0.3">
      <c r="A673" s="504"/>
      <c r="B673" s="504"/>
      <c r="C673" s="504"/>
      <c r="D673" s="504"/>
      <c r="E673" s="506"/>
      <c r="F673" s="506"/>
      <c r="G673" s="506"/>
      <c r="H673" s="506"/>
      <c r="I673" s="506"/>
      <c r="J673" s="506"/>
      <c r="K673" s="507"/>
      <c r="L673" s="508"/>
      <c r="M673" s="508"/>
      <c r="N673" s="508"/>
      <c r="O673" s="509"/>
      <c r="P673" s="509"/>
    </row>
    <row r="674" spans="1:16" ht="21.75" customHeight="1" x14ac:dyDescent="0.3">
      <c r="A674" s="504"/>
      <c r="B674" s="504"/>
      <c r="C674" s="504"/>
      <c r="D674" s="504"/>
      <c r="E674" s="506"/>
      <c r="F674" s="506"/>
      <c r="G674" s="506"/>
      <c r="H674" s="506"/>
      <c r="I674" s="506"/>
      <c r="J674" s="506"/>
      <c r="K674" s="507"/>
      <c r="L674" s="508"/>
      <c r="M674" s="508"/>
      <c r="N674" s="508"/>
      <c r="O674" s="509"/>
      <c r="P674" s="509"/>
    </row>
    <row r="675" spans="1:16" ht="21.75" customHeight="1" x14ac:dyDescent="0.3">
      <c r="A675" s="504"/>
      <c r="B675" s="504"/>
      <c r="C675" s="504"/>
      <c r="D675" s="504"/>
      <c r="E675" s="506"/>
      <c r="F675" s="506"/>
      <c r="G675" s="506"/>
      <c r="H675" s="506"/>
      <c r="I675" s="506"/>
      <c r="J675" s="506"/>
      <c r="K675" s="507"/>
      <c r="L675" s="508"/>
      <c r="M675" s="508"/>
      <c r="N675" s="508"/>
      <c r="O675" s="509"/>
      <c r="P675" s="509"/>
    </row>
    <row r="676" spans="1:16" ht="21.75" customHeight="1" x14ac:dyDescent="0.3">
      <c r="A676" s="504"/>
      <c r="B676" s="504"/>
      <c r="C676" s="504"/>
      <c r="D676" s="504"/>
      <c r="E676" s="506"/>
      <c r="F676" s="506"/>
      <c r="G676" s="506"/>
      <c r="H676" s="506"/>
      <c r="I676" s="506"/>
      <c r="J676" s="506"/>
      <c r="K676" s="507"/>
      <c r="L676" s="508"/>
      <c r="M676" s="508"/>
      <c r="N676" s="508"/>
      <c r="O676" s="509"/>
      <c r="P676" s="509"/>
    </row>
    <row r="677" spans="1:16" ht="21.75" customHeight="1" x14ac:dyDescent="0.3">
      <c r="A677" s="504"/>
      <c r="B677" s="504"/>
      <c r="C677" s="504"/>
      <c r="D677" s="504"/>
      <c r="E677" s="506"/>
      <c r="F677" s="506"/>
      <c r="G677" s="506"/>
      <c r="H677" s="506"/>
      <c r="I677" s="506"/>
      <c r="J677" s="506"/>
      <c r="K677" s="507"/>
      <c r="L677" s="508"/>
      <c r="M677" s="508"/>
      <c r="N677" s="508"/>
      <c r="O677" s="509"/>
      <c r="P677" s="509"/>
    </row>
    <row r="678" spans="1:16" ht="21.75" customHeight="1" x14ac:dyDescent="0.3">
      <c r="A678" s="504"/>
      <c r="B678" s="504"/>
      <c r="C678" s="504"/>
      <c r="D678" s="504"/>
      <c r="E678" s="506"/>
      <c r="F678" s="506"/>
      <c r="G678" s="506"/>
      <c r="H678" s="506"/>
      <c r="I678" s="506"/>
      <c r="J678" s="506"/>
      <c r="K678" s="507"/>
      <c r="L678" s="508"/>
      <c r="M678" s="508"/>
      <c r="N678" s="508"/>
      <c r="O678" s="509"/>
      <c r="P678" s="509"/>
    </row>
    <row r="679" spans="1:16" ht="21.75" customHeight="1" x14ac:dyDescent="0.3">
      <c r="A679" s="504"/>
      <c r="B679" s="504"/>
      <c r="C679" s="504"/>
      <c r="D679" s="504"/>
      <c r="E679" s="506"/>
      <c r="F679" s="506"/>
      <c r="G679" s="506"/>
      <c r="H679" s="506"/>
      <c r="I679" s="506"/>
      <c r="J679" s="506"/>
      <c r="K679" s="507"/>
      <c r="L679" s="508"/>
      <c r="M679" s="508"/>
      <c r="N679" s="508"/>
      <c r="O679" s="509"/>
      <c r="P679" s="509"/>
    </row>
    <row r="680" spans="1:16" ht="21.75" customHeight="1" x14ac:dyDescent="0.3">
      <c r="A680" s="504"/>
      <c r="B680" s="504"/>
      <c r="C680" s="504"/>
      <c r="D680" s="504"/>
      <c r="E680" s="506"/>
      <c r="F680" s="506"/>
      <c r="G680" s="506"/>
      <c r="H680" s="506"/>
      <c r="I680" s="506"/>
      <c r="J680" s="506"/>
      <c r="K680" s="507"/>
      <c r="L680" s="508"/>
      <c r="M680" s="508"/>
      <c r="N680" s="508"/>
      <c r="O680" s="509"/>
      <c r="P680" s="509"/>
    </row>
    <row r="681" spans="1:16" ht="21.75" customHeight="1" x14ac:dyDescent="0.3">
      <c r="A681" s="504"/>
      <c r="B681" s="504"/>
      <c r="C681" s="504"/>
      <c r="D681" s="504"/>
      <c r="E681" s="506"/>
      <c r="F681" s="506"/>
      <c r="G681" s="506"/>
      <c r="H681" s="506"/>
      <c r="I681" s="506"/>
      <c r="J681" s="506"/>
      <c r="K681" s="507"/>
      <c r="L681" s="508"/>
      <c r="M681" s="508"/>
      <c r="N681" s="508"/>
      <c r="O681" s="509"/>
      <c r="P681" s="509"/>
    </row>
    <row r="682" spans="1:16" ht="21.75" customHeight="1" x14ac:dyDescent="0.3">
      <c r="A682" s="504"/>
      <c r="B682" s="504"/>
      <c r="C682" s="504"/>
      <c r="D682" s="504"/>
      <c r="E682" s="506"/>
      <c r="F682" s="506"/>
      <c r="G682" s="506"/>
      <c r="H682" s="506"/>
      <c r="I682" s="506"/>
      <c r="J682" s="506"/>
      <c r="K682" s="507"/>
      <c r="L682" s="508"/>
      <c r="M682" s="508"/>
      <c r="N682" s="508"/>
      <c r="O682" s="509"/>
      <c r="P682" s="509"/>
    </row>
    <row r="683" spans="1:16" ht="21.75" customHeight="1" x14ac:dyDescent="0.3">
      <c r="A683" s="504"/>
      <c r="B683" s="504"/>
      <c r="C683" s="504"/>
      <c r="D683" s="504"/>
      <c r="E683" s="506"/>
      <c r="F683" s="506"/>
      <c r="G683" s="506"/>
      <c r="H683" s="506"/>
      <c r="I683" s="506"/>
      <c r="J683" s="506"/>
      <c r="K683" s="507"/>
      <c r="L683" s="508"/>
      <c r="M683" s="508"/>
      <c r="N683" s="508"/>
      <c r="O683" s="509"/>
      <c r="P683" s="509"/>
    </row>
    <row r="684" spans="1:16" ht="21.75" customHeight="1" x14ac:dyDescent="0.3">
      <c r="A684" s="504"/>
      <c r="B684" s="504"/>
      <c r="C684" s="504"/>
      <c r="D684" s="504"/>
      <c r="E684" s="506"/>
      <c r="F684" s="506"/>
      <c r="G684" s="506"/>
      <c r="H684" s="506"/>
      <c r="I684" s="506"/>
      <c r="J684" s="506"/>
      <c r="K684" s="507"/>
      <c r="L684" s="508"/>
      <c r="M684" s="508"/>
      <c r="N684" s="508"/>
      <c r="O684" s="509"/>
      <c r="P684" s="509"/>
    </row>
    <row r="685" spans="1:16" ht="21.75" customHeight="1" x14ac:dyDescent="0.3">
      <c r="A685" s="504"/>
      <c r="B685" s="504"/>
      <c r="C685" s="504"/>
      <c r="D685" s="504"/>
      <c r="E685" s="506"/>
      <c r="F685" s="506"/>
      <c r="G685" s="506"/>
      <c r="H685" s="506"/>
      <c r="I685" s="506"/>
      <c r="J685" s="506"/>
      <c r="K685" s="507"/>
      <c r="L685" s="508"/>
      <c r="M685" s="508"/>
      <c r="N685" s="508"/>
      <c r="O685" s="509"/>
      <c r="P685" s="509"/>
    </row>
    <row r="686" spans="1:16" ht="21.75" customHeight="1" x14ac:dyDescent="0.3">
      <c r="A686" s="504"/>
      <c r="B686" s="504"/>
      <c r="C686" s="504"/>
      <c r="D686" s="504"/>
      <c r="E686" s="506"/>
      <c r="F686" s="506"/>
      <c r="G686" s="506"/>
      <c r="H686" s="506"/>
      <c r="I686" s="506"/>
      <c r="J686" s="506"/>
      <c r="K686" s="507"/>
      <c r="L686" s="508"/>
      <c r="M686" s="508"/>
      <c r="N686" s="508"/>
      <c r="O686" s="509"/>
      <c r="P686" s="509"/>
    </row>
    <row r="687" spans="1:16" ht="21.75" customHeight="1" x14ac:dyDescent="0.3">
      <c r="A687" s="504"/>
      <c r="B687" s="504"/>
      <c r="C687" s="504"/>
      <c r="D687" s="504"/>
      <c r="E687" s="506"/>
      <c r="F687" s="506"/>
      <c r="G687" s="506"/>
      <c r="H687" s="506"/>
      <c r="I687" s="506"/>
      <c r="J687" s="506"/>
      <c r="K687" s="507"/>
      <c r="L687" s="508"/>
      <c r="M687" s="508"/>
      <c r="N687" s="508"/>
      <c r="O687" s="509"/>
      <c r="P687" s="509"/>
    </row>
    <row r="688" spans="1:16" ht="21.75" customHeight="1" x14ac:dyDescent="0.3">
      <c r="A688" s="504"/>
      <c r="B688" s="504"/>
      <c r="C688" s="504"/>
      <c r="D688" s="504"/>
      <c r="E688" s="506"/>
      <c r="F688" s="506"/>
      <c r="G688" s="506"/>
      <c r="H688" s="506"/>
      <c r="I688" s="506"/>
      <c r="J688" s="506"/>
      <c r="K688" s="507"/>
      <c r="L688" s="508"/>
      <c r="M688" s="508"/>
      <c r="N688" s="508"/>
      <c r="O688" s="509"/>
      <c r="P688" s="509"/>
    </row>
    <row r="689" spans="1:16" ht="21.75" customHeight="1" x14ac:dyDescent="0.3">
      <c r="A689" s="504"/>
      <c r="B689" s="504"/>
      <c r="C689" s="504"/>
      <c r="D689" s="504"/>
      <c r="E689" s="506"/>
      <c r="F689" s="506"/>
      <c r="G689" s="506"/>
      <c r="H689" s="506"/>
      <c r="I689" s="506"/>
      <c r="J689" s="506"/>
      <c r="K689" s="507"/>
      <c r="L689" s="508"/>
      <c r="M689" s="508"/>
      <c r="N689" s="508"/>
      <c r="O689" s="509"/>
      <c r="P689" s="509"/>
    </row>
    <row r="690" spans="1:16" ht="21.75" customHeight="1" x14ac:dyDescent="0.3">
      <c r="A690" s="504"/>
      <c r="B690" s="504"/>
      <c r="C690" s="504"/>
      <c r="D690" s="504"/>
      <c r="E690" s="506"/>
      <c r="F690" s="506"/>
      <c r="G690" s="506"/>
      <c r="H690" s="506"/>
      <c r="I690" s="506"/>
      <c r="J690" s="506"/>
      <c r="K690" s="507"/>
      <c r="L690" s="508"/>
      <c r="M690" s="508"/>
      <c r="N690" s="508"/>
      <c r="O690" s="509"/>
      <c r="P690" s="509"/>
    </row>
    <row r="691" spans="1:16" ht="21.75" customHeight="1" x14ac:dyDescent="0.3">
      <c r="A691" s="504"/>
      <c r="B691" s="504"/>
      <c r="C691" s="504"/>
      <c r="D691" s="504"/>
      <c r="E691" s="506"/>
      <c r="F691" s="506"/>
      <c r="G691" s="506"/>
      <c r="H691" s="506"/>
      <c r="I691" s="506"/>
      <c r="J691" s="506"/>
      <c r="K691" s="507"/>
      <c r="L691" s="508"/>
      <c r="M691" s="508"/>
      <c r="N691" s="508"/>
      <c r="O691" s="509"/>
      <c r="P691" s="509"/>
    </row>
    <row r="692" spans="1:16" ht="21.75" customHeight="1" x14ac:dyDescent="0.3">
      <c r="A692" s="504"/>
      <c r="B692" s="504"/>
      <c r="C692" s="504"/>
      <c r="D692" s="504"/>
      <c r="E692" s="506"/>
      <c r="F692" s="506"/>
      <c r="G692" s="506"/>
      <c r="H692" s="506"/>
      <c r="I692" s="506"/>
      <c r="J692" s="506"/>
      <c r="K692" s="507"/>
      <c r="L692" s="508"/>
      <c r="M692" s="508"/>
      <c r="N692" s="508"/>
      <c r="O692" s="509"/>
      <c r="P692" s="509"/>
    </row>
    <row r="693" spans="1:16" ht="21.75" customHeight="1" x14ac:dyDescent="0.3">
      <c r="A693" s="504"/>
      <c r="B693" s="504"/>
      <c r="C693" s="504"/>
      <c r="D693" s="504"/>
      <c r="E693" s="506"/>
      <c r="F693" s="506"/>
      <c r="G693" s="506"/>
      <c r="H693" s="506"/>
      <c r="I693" s="506"/>
      <c r="J693" s="506"/>
      <c r="K693" s="507"/>
      <c r="L693" s="508"/>
      <c r="M693" s="508"/>
      <c r="N693" s="508"/>
      <c r="O693" s="509"/>
      <c r="P693" s="509"/>
    </row>
    <row r="694" spans="1:16" ht="21.75" customHeight="1" x14ac:dyDescent="0.3">
      <c r="A694" s="504"/>
      <c r="B694" s="504"/>
      <c r="C694" s="504"/>
      <c r="D694" s="504"/>
      <c r="E694" s="506"/>
      <c r="F694" s="506"/>
      <c r="G694" s="506"/>
      <c r="H694" s="506"/>
      <c r="I694" s="506"/>
      <c r="J694" s="506"/>
      <c r="K694" s="507"/>
      <c r="L694" s="508"/>
      <c r="M694" s="508"/>
      <c r="N694" s="508"/>
      <c r="O694" s="509"/>
      <c r="P694" s="509"/>
    </row>
    <row r="695" spans="1:16" ht="21.75" customHeight="1" x14ac:dyDescent="0.3">
      <c r="A695" s="504"/>
      <c r="B695" s="504"/>
      <c r="C695" s="504"/>
      <c r="D695" s="504"/>
      <c r="E695" s="506"/>
      <c r="F695" s="506"/>
      <c r="G695" s="506"/>
      <c r="H695" s="506"/>
      <c r="I695" s="506"/>
      <c r="J695" s="506"/>
      <c r="K695" s="507"/>
      <c r="L695" s="508"/>
      <c r="M695" s="508"/>
      <c r="N695" s="508"/>
      <c r="O695" s="509"/>
      <c r="P695" s="509"/>
    </row>
    <row r="696" spans="1:16" ht="21.75" customHeight="1" x14ac:dyDescent="0.3">
      <c r="A696" s="504"/>
      <c r="B696" s="504"/>
      <c r="C696" s="504"/>
      <c r="D696" s="504"/>
      <c r="E696" s="506"/>
      <c r="F696" s="506"/>
      <c r="G696" s="506"/>
      <c r="H696" s="506"/>
      <c r="I696" s="506"/>
      <c r="J696" s="506"/>
      <c r="K696" s="507"/>
      <c r="L696" s="508"/>
      <c r="M696" s="508"/>
      <c r="N696" s="508"/>
      <c r="O696" s="509"/>
      <c r="P696" s="509"/>
    </row>
    <row r="697" spans="1:16" ht="21.75" customHeight="1" x14ac:dyDescent="0.3">
      <c r="A697" s="504"/>
      <c r="B697" s="504"/>
      <c r="C697" s="504"/>
      <c r="D697" s="504"/>
      <c r="E697" s="506"/>
      <c r="F697" s="506"/>
      <c r="G697" s="506"/>
      <c r="H697" s="506"/>
      <c r="I697" s="506"/>
      <c r="J697" s="506"/>
      <c r="K697" s="507"/>
      <c r="L697" s="508"/>
      <c r="M697" s="508"/>
      <c r="N697" s="508"/>
      <c r="O697" s="509"/>
      <c r="P697" s="509"/>
    </row>
    <row r="698" spans="1:16" ht="21.75" customHeight="1" x14ac:dyDescent="0.3">
      <c r="A698" s="504"/>
      <c r="B698" s="504"/>
      <c r="C698" s="504"/>
      <c r="D698" s="504"/>
      <c r="E698" s="506"/>
      <c r="F698" s="506"/>
      <c r="G698" s="506"/>
      <c r="H698" s="506"/>
      <c r="I698" s="506"/>
      <c r="J698" s="506"/>
      <c r="K698" s="507"/>
      <c r="L698" s="508"/>
      <c r="M698" s="508"/>
      <c r="N698" s="508"/>
      <c r="O698" s="509"/>
      <c r="P698" s="509"/>
    </row>
    <row r="699" spans="1:16" ht="21.75" customHeight="1" x14ac:dyDescent="0.3">
      <c r="A699" s="504"/>
      <c r="B699" s="504"/>
      <c r="C699" s="504"/>
      <c r="D699" s="504"/>
      <c r="E699" s="506"/>
      <c r="F699" s="506"/>
      <c r="G699" s="506"/>
      <c r="H699" s="506"/>
      <c r="I699" s="506"/>
      <c r="J699" s="506"/>
      <c r="K699" s="507"/>
      <c r="L699" s="508"/>
      <c r="M699" s="508"/>
      <c r="N699" s="508"/>
      <c r="O699" s="509"/>
      <c r="P699" s="509"/>
    </row>
    <row r="700" spans="1:16" ht="21.75" customHeight="1" x14ac:dyDescent="0.3">
      <c r="A700" s="504"/>
      <c r="B700" s="504"/>
      <c r="C700" s="504"/>
      <c r="D700" s="504"/>
      <c r="E700" s="506"/>
      <c r="F700" s="506"/>
      <c r="G700" s="506"/>
      <c r="H700" s="506"/>
      <c r="I700" s="506"/>
      <c r="J700" s="506"/>
      <c r="K700" s="507"/>
      <c r="L700" s="508"/>
      <c r="M700" s="508"/>
      <c r="N700" s="508"/>
      <c r="O700" s="509"/>
      <c r="P700" s="509"/>
    </row>
    <row r="701" spans="1:16" ht="21.75" customHeight="1" x14ac:dyDescent="0.3">
      <c r="A701" s="504"/>
      <c r="B701" s="504"/>
      <c r="C701" s="504"/>
      <c r="D701" s="504"/>
      <c r="E701" s="506"/>
      <c r="F701" s="506"/>
      <c r="G701" s="506"/>
      <c r="H701" s="506"/>
      <c r="I701" s="506"/>
      <c r="J701" s="506"/>
      <c r="K701" s="507"/>
      <c r="L701" s="508"/>
      <c r="M701" s="508"/>
      <c r="N701" s="508"/>
      <c r="O701" s="509"/>
      <c r="P701" s="509"/>
    </row>
    <row r="702" spans="1:16" ht="21.75" customHeight="1" x14ac:dyDescent="0.3">
      <c r="A702" s="504"/>
      <c r="B702" s="504"/>
      <c r="C702" s="504"/>
      <c r="D702" s="504"/>
      <c r="E702" s="506"/>
      <c r="F702" s="506"/>
      <c r="G702" s="506"/>
      <c r="H702" s="506"/>
      <c r="I702" s="506"/>
      <c r="J702" s="506"/>
      <c r="K702" s="507"/>
      <c r="L702" s="508"/>
      <c r="M702" s="508"/>
      <c r="N702" s="508"/>
      <c r="O702" s="509"/>
      <c r="P702" s="509"/>
    </row>
    <row r="703" spans="1:16" ht="21.75" customHeight="1" x14ac:dyDescent="0.3">
      <c r="A703" s="504"/>
      <c r="B703" s="504"/>
      <c r="C703" s="504"/>
      <c r="D703" s="504"/>
      <c r="E703" s="506"/>
      <c r="F703" s="506"/>
      <c r="G703" s="506"/>
      <c r="H703" s="506"/>
      <c r="I703" s="506"/>
      <c r="J703" s="506"/>
      <c r="K703" s="507"/>
      <c r="L703" s="508"/>
      <c r="M703" s="508"/>
      <c r="N703" s="508"/>
      <c r="O703" s="509"/>
      <c r="P703" s="509"/>
    </row>
    <row r="704" spans="1:16" ht="21.75" customHeight="1" x14ac:dyDescent="0.3">
      <c r="A704" s="504"/>
      <c r="B704" s="504"/>
      <c r="C704" s="504"/>
      <c r="D704" s="504"/>
      <c r="E704" s="506"/>
      <c r="F704" s="506"/>
      <c r="G704" s="506"/>
      <c r="H704" s="506"/>
      <c r="I704" s="506"/>
      <c r="J704" s="506"/>
      <c r="K704" s="507"/>
      <c r="L704" s="508"/>
      <c r="M704" s="508"/>
      <c r="N704" s="508"/>
      <c r="O704" s="509"/>
      <c r="P704" s="509"/>
    </row>
    <row r="705" spans="1:16" ht="21.75" customHeight="1" x14ac:dyDescent="0.3">
      <c r="A705" s="504"/>
      <c r="B705" s="504"/>
      <c r="C705" s="504"/>
      <c r="D705" s="504"/>
      <c r="E705" s="506"/>
      <c r="F705" s="506"/>
      <c r="G705" s="506"/>
      <c r="H705" s="506"/>
      <c r="I705" s="506"/>
      <c r="J705" s="506"/>
      <c r="K705" s="507"/>
      <c r="L705" s="508"/>
      <c r="M705" s="508"/>
      <c r="N705" s="508"/>
      <c r="O705" s="509"/>
      <c r="P705" s="509"/>
    </row>
    <row r="706" spans="1:16" ht="21.75" customHeight="1" x14ac:dyDescent="0.3">
      <c r="A706" s="504"/>
      <c r="B706" s="504"/>
      <c r="C706" s="504"/>
      <c r="D706" s="504"/>
      <c r="E706" s="506"/>
      <c r="F706" s="506"/>
      <c r="G706" s="506"/>
      <c r="H706" s="506"/>
      <c r="I706" s="506"/>
      <c r="J706" s="506"/>
      <c r="K706" s="507"/>
      <c r="L706" s="508"/>
      <c r="M706" s="508"/>
      <c r="N706" s="508"/>
      <c r="O706" s="509"/>
      <c r="P706" s="509"/>
    </row>
    <row r="707" spans="1:16" ht="21.75" customHeight="1" x14ac:dyDescent="0.3">
      <c r="A707" s="504"/>
      <c r="B707" s="504"/>
      <c r="C707" s="504"/>
      <c r="D707" s="504"/>
      <c r="E707" s="506"/>
      <c r="F707" s="506"/>
      <c r="G707" s="506"/>
      <c r="H707" s="506"/>
      <c r="I707" s="506"/>
      <c r="J707" s="506"/>
      <c r="K707" s="507"/>
      <c r="L707" s="508"/>
      <c r="M707" s="508"/>
      <c r="N707" s="508"/>
      <c r="O707" s="509"/>
      <c r="P707" s="509"/>
    </row>
    <row r="708" spans="1:16" ht="21.75" customHeight="1" x14ac:dyDescent="0.3">
      <c r="A708" s="504"/>
      <c r="B708" s="504"/>
      <c r="C708" s="504"/>
      <c r="D708" s="504"/>
      <c r="E708" s="506"/>
      <c r="F708" s="506"/>
      <c r="G708" s="506"/>
      <c r="H708" s="506"/>
      <c r="I708" s="506"/>
      <c r="J708" s="506"/>
      <c r="K708" s="507"/>
      <c r="L708" s="508"/>
      <c r="M708" s="508"/>
      <c r="N708" s="508"/>
      <c r="O708" s="509"/>
      <c r="P708" s="509"/>
    </row>
    <row r="709" spans="1:16" ht="21.75" customHeight="1" x14ac:dyDescent="0.3">
      <c r="A709" s="504"/>
      <c r="B709" s="504"/>
      <c r="C709" s="504"/>
      <c r="D709" s="504"/>
      <c r="E709" s="506"/>
      <c r="F709" s="506"/>
      <c r="G709" s="506"/>
      <c r="H709" s="506"/>
      <c r="I709" s="506"/>
      <c r="J709" s="506"/>
      <c r="K709" s="507"/>
      <c r="L709" s="508"/>
      <c r="M709" s="508"/>
      <c r="N709" s="508"/>
      <c r="O709" s="509"/>
      <c r="P709" s="509"/>
    </row>
    <row r="710" spans="1:16" ht="21.75" customHeight="1" x14ac:dyDescent="0.3">
      <c r="A710" s="504"/>
      <c r="B710" s="504"/>
      <c r="C710" s="504"/>
      <c r="D710" s="504"/>
      <c r="E710" s="506"/>
      <c r="F710" s="506"/>
      <c r="G710" s="506"/>
      <c r="H710" s="506"/>
      <c r="I710" s="506"/>
      <c r="J710" s="506"/>
      <c r="K710" s="507"/>
      <c r="L710" s="508"/>
      <c r="M710" s="508"/>
      <c r="N710" s="508"/>
      <c r="O710" s="509"/>
      <c r="P710" s="509"/>
    </row>
    <row r="711" spans="1:16" ht="21.75" customHeight="1" x14ac:dyDescent="0.3">
      <c r="A711" s="504"/>
      <c r="B711" s="504"/>
      <c r="C711" s="504"/>
      <c r="D711" s="504"/>
      <c r="E711" s="506"/>
      <c r="F711" s="506"/>
      <c r="G711" s="506"/>
      <c r="H711" s="506"/>
      <c r="I711" s="506"/>
      <c r="J711" s="506"/>
      <c r="K711" s="507"/>
      <c r="L711" s="508"/>
      <c r="M711" s="508"/>
      <c r="N711" s="508"/>
      <c r="O711" s="509"/>
      <c r="P711" s="509"/>
    </row>
    <row r="712" spans="1:16" ht="21.75" customHeight="1" x14ac:dyDescent="0.3">
      <c r="A712" s="504"/>
      <c r="B712" s="504"/>
      <c r="C712" s="504"/>
      <c r="D712" s="504"/>
      <c r="E712" s="506"/>
      <c r="F712" s="506"/>
      <c r="G712" s="506"/>
      <c r="H712" s="506"/>
      <c r="I712" s="506"/>
      <c r="J712" s="506"/>
      <c r="K712" s="507"/>
      <c r="L712" s="508"/>
      <c r="M712" s="508"/>
      <c r="N712" s="508"/>
      <c r="O712" s="509"/>
      <c r="P712" s="509"/>
    </row>
    <row r="713" spans="1:16" ht="21.75" customHeight="1" x14ac:dyDescent="0.3">
      <c r="A713" s="504"/>
      <c r="B713" s="504"/>
      <c r="C713" s="504"/>
      <c r="D713" s="504"/>
      <c r="E713" s="506"/>
      <c r="F713" s="506"/>
      <c r="G713" s="506"/>
      <c r="H713" s="506"/>
      <c r="I713" s="506"/>
      <c r="J713" s="506"/>
      <c r="K713" s="507"/>
      <c r="L713" s="508"/>
      <c r="M713" s="508"/>
      <c r="N713" s="508"/>
      <c r="O713" s="509"/>
      <c r="P713" s="509"/>
    </row>
    <row r="714" spans="1:16" ht="21.75" customHeight="1" x14ac:dyDescent="0.3">
      <c r="A714" s="504"/>
      <c r="B714" s="504"/>
      <c r="C714" s="504"/>
      <c r="D714" s="504"/>
      <c r="E714" s="506"/>
      <c r="F714" s="506"/>
      <c r="G714" s="506"/>
      <c r="H714" s="506"/>
      <c r="I714" s="506"/>
      <c r="J714" s="506"/>
      <c r="K714" s="507"/>
      <c r="L714" s="508"/>
      <c r="M714" s="508"/>
      <c r="N714" s="508"/>
      <c r="O714" s="509"/>
      <c r="P714" s="509"/>
    </row>
    <row r="715" spans="1:16" ht="21.75" customHeight="1" x14ac:dyDescent="0.3">
      <c r="A715" s="504"/>
      <c r="B715" s="504"/>
      <c r="C715" s="504"/>
      <c r="D715" s="504"/>
      <c r="E715" s="506"/>
      <c r="F715" s="506"/>
      <c r="G715" s="506"/>
      <c r="H715" s="506"/>
      <c r="I715" s="506"/>
      <c r="J715" s="506"/>
      <c r="K715" s="507"/>
      <c r="L715" s="508"/>
      <c r="M715" s="508"/>
      <c r="N715" s="508"/>
      <c r="O715" s="509"/>
      <c r="P715" s="509"/>
    </row>
    <row r="716" spans="1:16" ht="21.75" customHeight="1" x14ac:dyDescent="0.3">
      <c r="A716" s="504"/>
      <c r="B716" s="504"/>
      <c r="C716" s="504"/>
      <c r="D716" s="504"/>
      <c r="E716" s="506"/>
      <c r="F716" s="506"/>
      <c r="G716" s="506"/>
      <c r="H716" s="506"/>
      <c r="I716" s="506"/>
      <c r="J716" s="506"/>
      <c r="K716" s="507"/>
      <c r="L716" s="508"/>
      <c r="M716" s="508"/>
      <c r="N716" s="508"/>
      <c r="O716" s="509"/>
      <c r="P716" s="509"/>
    </row>
    <row r="717" spans="1:16" ht="21.75" customHeight="1" x14ac:dyDescent="0.3">
      <c r="A717" s="504"/>
      <c r="B717" s="504"/>
      <c r="C717" s="504"/>
      <c r="D717" s="504"/>
      <c r="E717" s="506"/>
      <c r="F717" s="506"/>
      <c r="G717" s="506"/>
      <c r="H717" s="506"/>
      <c r="I717" s="506"/>
      <c r="J717" s="506"/>
      <c r="K717" s="507"/>
      <c r="L717" s="508"/>
      <c r="M717" s="508"/>
      <c r="N717" s="508"/>
      <c r="O717" s="509"/>
      <c r="P717" s="509"/>
    </row>
    <row r="718" spans="1:16" ht="21.75" customHeight="1" x14ac:dyDescent="0.3">
      <c r="A718" s="504"/>
      <c r="B718" s="504"/>
      <c r="C718" s="504"/>
      <c r="D718" s="504"/>
      <c r="E718" s="506"/>
      <c r="F718" s="506"/>
      <c r="G718" s="506"/>
      <c r="H718" s="506"/>
      <c r="I718" s="506"/>
      <c r="J718" s="506"/>
      <c r="K718" s="507"/>
      <c r="L718" s="508"/>
      <c r="M718" s="508"/>
      <c r="N718" s="508"/>
      <c r="O718" s="509"/>
      <c r="P718" s="509"/>
    </row>
    <row r="719" spans="1:16" ht="21.75" customHeight="1" x14ac:dyDescent="0.3">
      <c r="A719" s="504"/>
      <c r="B719" s="504"/>
      <c r="C719" s="504"/>
      <c r="D719" s="504"/>
      <c r="E719" s="506"/>
      <c r="F719" s="506"/>
      <c r="G719" s="506"/>
      <c r="H719" s="506"/>
      <c r="I719" s="506"/>
      <c r="J719" s="506"/>
      <c r="K719" s="507"/>
      <c r="L719" s="508"/>
      <c r="M719" s="508"/>
      <c r="N719" s="508"/>
      <c r="O719" s="509"/>
      <c r="P719" s="509"/>
    </row>
    <row r="720" spans="1:16" ht="21.75" customHeight="1" x14ac:dyDescent="0.3">
      <c r="A720" s="504"/>
      <c r="B720" s="504"/>
      <c r="C720" s="504"/>
      <c r="D720" s="504"/>
      <c r="E720" s="506"/>
      <c r="F720" s="506"/>
      <c r="G720" s="506"/>
      <c r="H720" s="506"/>
      <c r="I720" s="506"/>
      <c r="J720" s="506"/>
      <c r="K720" s="507"/>
      <c r="L720" s="508"/>
      <c r="M720" s="508"/>
      <c r="N720" s="508"/>
      <c r="O720" s="509"/>
      <c r="P720" s="509"/>
    </row>
    <row r="721" spans="1:16" ht="21.75" customHeight="1" x14ac:dyDescent="0.3">
      <c r="A721" s="504"/>
      <c r="B721" s="504"/>
      <c r="C721" s="504"/>
      <c r="D721" s="504"/>
      <c r="E721" s="506"/>
      <c r="F721" s="506"/>
      <c r="G721" s="506"/>
      <c r="H721" s="506"/>
      <c r="I721" s="506"/>
      <c r="J721" s="506"/>
      <c r="K721" s="507"/>
      <c r="L721" s="508"/>
      <c r="M721" s="508"/>
      <c r="N721" s="508"/>
      <c r="O721" s="509"/>
      <c r="P721" s="509"/>
    </row>
    <row r="722" spans="1:16" ht="21.75" customHeight="1" x14ac:dyDescent="0.3">
      <c r="A722" s="504"/>
      <c r="B722" s="504"/>
      <c r="C722" s="504"/>
      <c r="D722" s="504"/>
      <c r="E722" s="506"/>
      <c r="F722" s="506"/>
      <c r="G722" s="506"/>
      <c r="H722" s="506"/>
      <c r="I722" s="506"/>
      <c r="J722" s="506"/>
      <c r="K722" s="507"/>
      <c r="L722" s="508"/>
      <c r="M722" s="508"/>
      <c r="N722" s="508"/>
      <c r="O722" s="509"/>
      <c r="P722" s="509"/>
    </row>
    <row r="723" spans="1:16" ht="21.75" customHeight="1" x14ac:dyDescent="0.3">
      <c r="A723" s="504"/>
      <c r="B723" s="504"/>
      <c r="C723" s="504"/>
      <c r="D723" s="504"/>
      <c r="E723" s="506"/>
      <c r="F723" s="506"/>
      <c r="G723" s="506"/>
      <c r="H723" s="506"/>
      <c r="I723" s="506"/>
      <c r="J723" s="506"/>
      <c r="K723" s="507"/>
      <c r="L723" s="508"/>
      <c r="M723" s="508"/>
      <c r="N723" s="508"/>
      <c r="O723" s="509"/>
      <c r="P723" s="509"/>
    </row>
    <row r="724" spans="1:16" ht="21.75" customHeight="1" x14ac:dyDescent="0.3">
      <c r="A724" s="504"/>
      <c r="B724" s="504"/>
      <c r="C724" s="504"/>
      <c r="D724" s="504"/>
      <c r="E724" s="506"/>
      <c r="F724" s="506"/>
      <c r="G724" s="506"/>
      <c r="H724" s="506"/>
      <c r="I724" s="506"/>
      <c r="J724" s="506"/>
      <c r="K724" s="507"/>
      <c r="L724" s="508"/>
      <c r="M724" s="508"/>
      <c r="N724" s="508"/>
      <c r="O724" s="509"/>
      <c r="P724" s="509"/>
    </row>
    <row r="725" spans="1:16" ht="21.75" customHeight="1" x14ac:dyDescent="0.3">
      <c r="A725" s="504"/>
      <c r="B725" s="504"/>
      <c r="C725" s="504"/>
      <c r="D725" s="504"/>
      <c r="E725" s="506"/>
      <c r="F725" s="506"/>
      <c r="G725" s="506"/>
      <c r="H725" s="506"/>
      <c r="I725" s="506"/>
      <c r="J725" s="506"/>
      <c r="K725" s="507"/>
      <c r="L725" s="508"/>
      <c r="M725" s="508"/>
      <c r="N725" s="508"/>
      <c r="O725" s="509"/>
      <c r="P725" s="509"/>
    </row>
    <row r="726" spans="1:16" ht="21.75" customHeight="1" x14ac:dyDescent="0.3">
      <c r="A726" s="504"/>
      <c r="B726" s="504"/>
      <c r="C726" s="504"/>
      <c r="D726" s="504"/>
      <c r="E726" s="506"/>
      <c r="F726" s="506"/>
      <c r="G726" s="506"/>
      <c r="H726" s="506"/>
      <c r="I726" s="506"/>
      <c r="J726" s="506"/>
      <c r="K726" s="507"/>
      <c r="L726" s="508"/>
      <c r="M726" s="508"/>
      <c r="N726" s="508"/>
      <c r="O726" s="509"/>
      <c r="P726" s="509"/>
    </row>
    <row r="727" spans="1:16" ht="21.75" customHeight="1" x14ac:dyDescent="0.3">
      <c r="A727" s="504"/>
      <c r="B727" s="504"/>
      <c r="C727" s="504"/>
      <c r="D727" s="504"/>
      <c r="E727" s="506"/>
      <c r="F727" s="506"/>
      <c r="G727" s="506"/>
      <c r="H727" s="506"/>
      <c r="I727" s="506"/>
      <c r="J727" s="506"/>
      <c r="K727" s="507"/>
      <c r="L727" s="508"/>
      <c r="M727" s="508"/>
      <c r="N727" s="508"/>
      <c r="O727" s="509"/>
      <c r="P727" s="509"/>
    </row>
    <row r="728" spans="1:16" ht="21.75" customHeight="1" x14ac:dyDescent="0.3">
      <c r="A728" s="504"/>
      <c r="B728" s="504"/>
      <c r="C728" s="504"/>
      <c r="D728" s="504"/>
      <c r="E728" s="506"/>
      <c r="F728" s="506"/>
      <c r="G728" s="506"/>
      <c r="H728" s="506"/>
      <c r="I728" s="506"/>
      <c r="J728" s="506"/>
      <c r="K728" s="507"/>
      <c r="L728" s="508"/>
      <c r="M728" s="508"/>
      <c r="N728" s="508"/>
      <c r="O728" s="509"/>
      <c r="P728" s="509"/>
    </row>
    <row r="729" spans="1:16" ht="21.75" customHeight="1" x14ac:dyDescent="0.3">
      <c r="A729" s="504"/>
      <c r="B729" s="504"/>
      <c r="C729" s="504"/>
      <c r="D729" s="504"/>
      <c r="E729" s="506"/>
      <c r="F729" s="506"/>
      <c r="G729" s="506"/>
      <c r="H729" s="506"/>
      <c r="I729" s="506"/>
      <c r="J729" s="506"/>
      <c r="K729" s="507"/>
      <c r="L729" s="508"/>
      <c r="M729" s="508"/>
      <c r="N729" s="508"/>
      <c r="O729" s="509"/>
      <c r="P729" s="509"/>
    </row>
    <row r="730" spans="1:16" ht="21.75" customHeight="1" x14ac:dyDescent="0.3">
      <c r="A730" s="504"/>
      <c r="B730" s="504"/>
      <c r="C730" s="504"/>
      <c r="D730" s="504"/>
      <c r="E730" s="506"/>
      <c r="F730" s="506"/>
      <c r="G730" s="506"/>
      <c r="H730" s="506"/>
      <c r="I730" s="506"/>
      <c r="J730" s="506"/>
      <c r="K730" s="507"/>
      <c r="L730" s="508"/>
      <c r="M730" s="508"/>
      <c r="N730" s="508"/>
      <c r="O730" s="509"/>
      <c r="P730" s="509"/>
    </row>
    <row r="731" spans="1:16" ht="21.75" customHeight="1" x14ac:dyDescent="0.3">
      <c r="A731" s="504"/>
      <c r="B731" s="504"/>
      <c r="C731" s="504"/>
      <c r="D731" s="504"/>
      <c r="E731" s="506"/>
      <c r="F731" s="506"/>
      <c r="G731" s="506"/>
      <c r="H731" s="506"/>
      <c r="I731" s="506"/>
      <c r="J731" s="506"/>
      <c r="K731" s="507"/>
      <c r="L731" s="508"/>
      <c r="M731" s="508"/>
      <c r="N731" s="508"/>
      <c r="O731" s="509"/>
      <c r="P731" s="509"/>
    </row>
    <row r="732" spans="1:16" ht="21.75" customHeight="1" x14ac:dyDescent="0.3">
      <c r="A732" s="504"/>
      <c r="B732" s="504"/>
      <c r="C732" s="504"/>
      <c r="D732" s="504"/>
      <c r="E732" s="506"/>
      <c r="F732" s="506"/>
      <c r="G732" s="506"/>
      <c r="H732" s="506"/>
      <c r="I732" s="506"/>
      <c r="J732" s="506"/>
      <c r="K732" s="507"/>
      <c r="L732" s="508"/>
      <c r="M732" s="508"/>
      <c r="N732" s="508"/>
      <c r="O732" s="509"/>
      <c r="P732" s="509"/>
    </row>
    <row r="733" spans="1:16" ht="21.75" customHeight="1" x14ac:dyDescent="0.3">
      <c r="A733" s="504"/>
      <c r="B733" s="504"/>
      <c r="C733" s="504"/>
      <c r="D733" s="504"/>
      <c r="E733" s="506"/>
      <c r="F733" s="506"/>
      <c r="G733" s="506"/>
      <c r="H733" s="506"/>
      <c r="I733" s="506"/>
      <c r="J733" s="506"/>
      <c r="K733" s="507"/>
      <c r="L733" s="508"/>
      <c r="M733" s="508"/>
      <c r="N733" s="508"/>
      <c r="O733" s="509"/>
      <c r="P733" s="509"/>
    </row>
    <row r="734" spans="1:16" ht="21.75" customHeight="1" x14ac:dyDescent="0.3">
      <c r="A734" s="504"/>
      <c r="B734" s="504"/>
      <c r="C734" s="504"/>
      <c r="D734" s="504"/>
      <c r="E734" s="506"/>
      <c r="F734" s="506"/>
      <c r="G734" s="506"/>
      <c r="H734" s="506"/>
      <c r="I734" s="506"/>
      <c r="J734" s="506"/>
      <c r="K734" s="507"/>
      <c r="L734" s="508"/>
      <c r="M734" s="508"/>
      <c r="N734" s="508"/>
      <c r="O734" s="509"/>
      <c r="P734" s="509"/>
    </row>
    <row r="735" spans="1:16" ht="21.75" customHeight="1" x14ac:dyDescent="0.3">
      <c r="A735" s="504"/>
      <c r="B735" s="504"/>
      <c r="C735" s="504"/>
      <c r="D735" s="504"/>
      <c r="E735" s="506"/>
      <c r="F735" s="506"/>
      <c r="G735" s="506"/>
      <c r="H735" s="506"/>
      <c r="I735" s="506"/>
      <c r="J735" s="506"/>
      <c r="K735" s="507"/>
      <c r="L735" s="508"/>
      <c r="M735" s="508"/>
      <c r="N735" s="508"/>
      <c r="O735" s="509"/>
      <c r="P735" s="509"/>
    </row>
    <row r="736" spans="1:16" ht="21.75" customHeight="1" x14ac:dyDescent="0.3">
      <c r="A736" s="504"/>
      <c r="B736" s="504"/>
      <c r="C736" s="504"/>
      <c r="D736" s="504"/>
      <c r="E736" s="506"/>
      <c r="F736" s="506"/>
      <c r="G736" s="506"/>
      <c r="H736" s="506"/>
      <c r="I736" s="506"/>
      <c r="J736" s="506"/>
      <c r="K736" s="507"/>
      <c r="L736" s="508"/>
      <c r="M736" s="508"/>
      <c r="N736" s="508"/>
      <c r="O736" s="509"/>
      <c r="P736" s="509"/>
    </row>
    <row r="737" spans="1:16" ht="21.75" customHeight="1" x14ac:dyDescent="0.3">
      <c r="A737" s="504"/>
      <c r="B737" s="504"/>
      <c r="C737" s="504"/>
      <c r="D737" s="504"/>
      <c r="E737" s="506"/>
      <c r="F737" s="506"/>
      <c r="G737" s="506"/>
      <c r="H737" s="506"/>
      <c r="I737" s="506"/>
      <c r="J737" s="506"/>
      <c r="K737" s="507"/>
      <c r="L737" s="508"/>
      <c r="M737" s="508"/>
      <c r="N737" s="508"/>
      <c r="O737" s="509"/>
      <c r="P737" s="509"/>
    </row>
    <row r="738" spans="1:16" ht="21.75" customHeight="1" x14ac:dyDescent="0.3">
      <c r="A738" s="504"/>
      <c r="B738" s="504"/>
      <c r="C738" s="504"/>
      <c r="D738" s="504"/>
      <c r="E738" s="506"/>
      <c r="F738" s="506"/>
      <c r="G738" s="506"/>
      <c r="H738" s="506"/>
      <c r="I738" s="506"/>
      <c r="J738" s="506"/>
      <c r="K738" s="507"/>
      <c r="L738" s="508"/>
      <c r="M738" s="508"/>
      <c r="N738" s="508"/>
      <c r="O738" s="509"/>
      <c r="P738" s="509"/>
    </row>
    <row r="739" spans="1:16" ht="21.75" customHeight="1" x14ac:dyDescent="0.3">
      <c r="A739" s="504"/>
      <c r="B739" s="504"/>
      <c r="C739" s="504"/>
      <c r="D739" s="504"/>
      <c r="E739" s="506"/>
      <c r="F739" s="506"/>
      <c r="G739" s="506"/>
      <c r="H739" s="506"/>
      <c r="I739" s="506"/>
      <c r="J739" s="506"/>
      <c r="K739" s="507"/>
      <c r="L739" s="508"/>
      <c r="M739" s="508"/>
      <c r="N739" s="508"/>
      <c r="O739" s="509"/>
      <c r="P739" s="509"/>
    </row>
    <row r="740" spans="1:16" ht="21.75" customHeight="1" x14ac:dyDescent="0.3">
      <c r="A740" s="504"/>
      <c r="B740" s="504"/>
      <c r="C740" s="504"/>
      <c r="D740" s="504"/>
      <c r="E740" s="506"/>
      <c r="F740" s="506"/>
      <c r="G740" s="506"/>
      <c r="H740" s="506"/>
      <c r="I740" s="506"/>
      <c r="J740" s="506"/>
      <c r="K740" s="507"/>
      <c r="L740" s="508"/>
      <c r="M740" s="508"/>
      <c r="N740" s="508"/>
      <c r="O740" s="509"/>
      <c r="P740" s="509"/>
    </row>
    <row r="741" spans="1:16" ht="21.75" customHeight="1" x14ac:dyDescent="0.3">
      <c r="A741" s="504"/>
      <c r="B741" s="504"/>
      <c r="C741" s="504"/>
      <c r="D741" s="504"/>
      <c r="E741" s="506"/>
      <c r="F741" s="506"/>
      <c r="G741" s="506"/>
      <c r="H741" s="506"/>
      <c r="I741" s="506"/>
      <c r="J741" s="506"/>
      <c r="K741" s="507"/>
      <c r="L741" s="508"/>
      <c r="M741" s="508"/>
      <c r="N741" s="508"/>
      <c r="O741" s="509"/>
      <c r="P741" s="509"/>
    </row>
    <row r="742" spans="1:16" ht="21.75" customHeight="1" x14ac:dyDescent="0.3">
      <c r="A742" s="504"/>
      <c r="B742" s="504"/>
      <c r="C742" s="504"/>
      <c r="D742" s="504"/>
      <c r="E742" s="506"/>
      <c r="F742" s="506"/>
      <c r="G742" s="506"/>
      <c r="H742" s="506"/>
      <c r="I742" s="506"/>
      <c r="J742" s="506"/>
      <c r="K742" s="507"/>
      <c r="L742" s="508"/>
      <c r="M742" s="508"/>
      <c r="N742" s="508"/>
      <c r="O742" s="509"/>
      <c r="P742" s="509"/>
    </row>
    <row r="743" spans="1:16" ht="21.75" customHeight="1" x14ac:dyDescent="0.3">
      <c r="A743" s="504"/>
      <c r="B743" s="504"/>
      <c r="C743" s="504"/>
      <c r="D743" s="504"/>
      <c r="E743" s="506"/>
      <c r="F743" s="506"/>
      <c r="G743" s="506"/>
      <c r="H743" s="506"/>
      <c r="I743" s="506"/>
      <c r="J743" s="506"/>
      <c r="K743" s="507"/>
      <c r="L743" s="508"/>
      <c r="M743" s="508"/>
      <c r="N743" s="508"/>
      <c r="O743" s="509"/>
      <c r="P743" s="509"/>
    </row>
    <row r="744" spans="1:16" ht="21.75" customHeight="1" x14ac:dyDescent="0.3">
      <c r="A744" s="504"/>
      <c r="B744" s="504"/>
      <c r="C744" s="504"/>
      <c r="D744" s="504"/>
      <c r="E744" s="506"/>
      <c r="F744" s="506"/>
      <c r="G744" s="506"/>
      <c r="H744" s="506"/>
      <c r="I744" s="506"/>
      <c r="J744" s="506"/>
      <c r="K744" s="507"/>
      <c r="L744" s="508"/>
      <c r="M744" s="508"/>
      <c r="N744" s="508"/>
      <c r="O744" s="509"/>
      <c r="P744" s="509"/>
    </row>
    <row r="745" spans="1:16" ht="21.75" customHeight="1" x14ac:dyDescent="0.3">
      <c r="A745" s="504"/>
      <c r="B745" s="504"/>
      <c r="C745" s="504"/>
      <c r="D745" s="504"/>
      <c r="E745" s="506"/>
      <c r="F745" s="506"/>
      <c r="G745" s="506"/>
      <c r="H745" s="506"/>
      <c r="I745" s="506"/>
      <c r="J745" s="506"/>
      <c r="K745" s="507"/>
      <c r="L745" s="508"/>
      <c r="M745" s="508"/>
      <c r="N745" s="508"/>
      <c r="O745" s="509"/>
      <c r="P745" s="509"/>
    </row>
    <row r="746" spans="1:16" ht="21.75" customHeight="1" x14ac:dyDescent="0.3">
      <c r="A746" s="504"/>
      <c r="B746" s="504"/>
      <c r="C746" s="504"/>
      <c r="D746" s="504"/>
      <c r="E746" s="506"/>
      <c r="F746" s="506"/>
      <c r="G746" s="506"/>
      <c r="H746" s="506"/>
      <c r="I746" s="506"/>
      <c r="J746" s="506"/>
      <c r="K746" s="507"/>
      <c r="L746" s="508"/>
      <c r="M746" s="508"/>
      <c r="N746" s="508"/>
      <c r="O746" s="509"/>
      <c r="P746" s="509"/>
    </row>
    <row r="747" spans="1:16" ht="21.75" customHeight="1" x14ac:dyDescent="0.3">
      <c r="A747" s="504"/>
      <c r="B747" s="504"/>
      <c r="C747" s="504"/>
      <c r="D747" s="504"/>
      <c r="E747" s="506"/>
      <c r="F747" s="506"/>
      <c r="G747" s="506"/>
      <c r="H747" s="506"/>
      <c r="I747" s="506"/>
      <c r="J747" s="506"/>
      <c r="K747" s="507"/>
      <c r="L747" s="508"/>
      <c r="M747" s="508"/>
      <c r="N747" s="508"/>
      <c r="O747" s="509"/>
      <c r="P747" s="509"/>
    </row>
    <row r="748" spans="1:16" ht="21.75" customHeight="1" x14ac:dyDescent="0.3">
      <c r="A748" s="504"/>
      <c r="B748" s="504"/>
      <c r="C748" s="504"/>
      <c r="D748" s="504"/>
      <c r="E748" s="506"/>
      <c r="F748" s="506"/>
      <c r="G748" s="506"/>
      <c r="H748" s="506"/>
      <c r="I748" s="506"/>
      <c r="J748" s="506"/>
      <c r="K748" s="507"/>
      <c r="L748" s="508"/>
      <c r="M748" s="508"/>
      <c r="N748" s="508"/>
      <c r="O748" s="509"/>
      <c r="P748" s="509"/>
    </row>
    <row r="749" spans="1:16" ht="21.75" customHeight="1" x14ac:dyDescent="0.3">
      <c r="A749" s="504"/>
      <c r="B749" s="504"/>
      <c r="C749" s="504"/>
      <c r="D749" s="504"/>
      <c r="E749" s="506"/>
      <c r="F749" s="506"/>
      <c r="G749" s="506"/>
      <c r="H749" s="506"/>
      <c r="I749" s="506"/>
      <c r="J749" s="506"/>
      <c r="K749" s="507"/>
      <c r="L749" s="508"/>
      <c r="M749" s="508"/>
      <c r="N749" s="508"/>
      <c r="O749" s="509"/>
      <c r="P749" s="509"/>
    </row>
    <row r="750" spans="1:16" ht="21.75" customHeight="1" x14ac:dyDescent="0.3">
      <c r="A750" s="504"/>
      <c r="B750" s="504"/>
      <c r="C750" s="504"/>
      <c r="D750" s="504"/>
      <c r="E750" s="506"/>
      <c r="F750" s="506"/>
      <c r="G750" s="506"/>
      <c r="H750" s="506"/>
      <c r="I750" s="506"/>
      <c r="J750" s="506"/>
      <c r="K750" s="507"/>
      <c r="L750" s="508"/>
      <c r="M750" s="508"/>
      <c r="N750" s="508"/>
      <c r="O750" s="509"/>
      <c r="P750" s="509"/>
    </row>
    <row r="751" spans="1:16" ht="21.75" customHeight="1" x14ac:dyDescent="0.3">
      <c r="A751" s="504"/>
      <c r="B751" s="504"/>
      <c r="C751" s="504"/>
      <c r="D751" s="504"/>
      <c r="E751" s="506"/>
      <c r="F751" s="506"/>
      <c r="G751" s="506"/>
      <c r="H751" s="506"/>
      <c r="I751" s="506"/>
      <c r="J751" s="506"/>
      <c r="K751" s="507"/>
      <c r="L751" s="508"/>
      <c r="M751" s="508"/>
      <c r="N751" s="508"/>
      <c r="O751" s="509"/>
      <c r="P751" s="509"/>
    </row>
    <row r="752" spans="1:16" ht="21.75" customHeight="1" x14ac:dyDescent="0.3">
      <c r="A752" s="504"/>
      <c r="B752" s="504"/>
      <c r="C752" s="504"/>
      <c r="D752" s="504"/>
      <c r="E752" s="506"/>
      <c r="F752" s="506"/>
      <c r="G752" s="506"/>
      <c r="H752" s="506"/>
      <c r="I752" s="506"/>
      <c r="J752" s="506"/>
      <c r="K752" s="507"/>
      <c r="L752" s="508"/>
      <c r="M752" s="508"/>
      <c r="N752" s="508"/>
      <c r="O752" s="509"/>
      <c r="P752" s="509"/>
    </row>
    <row r="753" spans="1:16" ht="21.75" customHeight="1" x14ac:dyDescent="0.3">
      <c r="A753" s="504"/>
      <c r="B753" s="504"/>
      <c r="C753" s="504"/>
      <c r="D753" s="504"/>
      <c r="E753" s="506"/>
      <c r="F753" s="506"/>
      <c r="G753" s="506"/>
      <c r="H753" s="506"/>
      <c r="I753" s="506"/>
      <c r="J753" s="506"/>
      <c r="K753" s="507"/>
      <c r="L753" s="508"/>
      <c r="M753" s="508"/>
      <c r="N753" s="508"/>
      <c r="O753" s="509"/>
      <c r="P753" s="509"/>
    </row>
    <row r="754" spans="1:16" ht="21.75" customHeight="1" x14ac:dyDescent="0.3">
      <c r="A754" s="504"/>
      <c r="B754" s="504"/>
      <c r="C754" s="504"/>
      <c r="D754" s="504"/>
      <c r="E754" s="506"/>
      <c r="F754" s="506"/>
      <c r="G754" s="506"/>
      <c r="H754" s="506"/>
      <c r="I754" s="506"/>
      <c r="J754" s="506"/>
      <c r="K754" s="507"/>
      <c r="L754" s="508"/>
      <c r="M754" s="508"/>
      <c r="N754" s="508"/>
      <c r="O754" s="509"/>
      <c r="P754" s="509"/>
    </row>
    <row r="755" spans="1:16" ht="21.75" customHeight="1" x14ac:dyDescent="0.3">
      <c r="A755" s="504"/>
      <c r="B755" s="504"/>
      <c r="C755" s="504"/>
      <c r="D755" s="504"/>
      <c r="E755" s="506"/>
      <c r="F755" s="506"/>
      <c r="G755" s="506"/>
      <c r="H755" s="506"/>
      <c r="I755" s="506"/>
      <c r="J755" s="506"/>
      <c r="K755" s="507"/>
      <c r="L755" s="508"/>
      <c r="M755" s="508"/>
      <c r="N755" s="508"/>
      <c r="O755" s="509"/>
      <c r="P755" s="509"/>
    </row>
    <row r="756" spans="1:16" ht="21.75" customHeight="1" x14ac:dyDescent="0.3">
      <c r="A756" s="504"/>
      <c r="B756" s="504"/>
      <c r="C756" s="504"/>
      <c r="D756" s="504"/>
      <c r="E756" s="506"/>
      <c r="F756" s="506"/>
      <c r="G756" s="506"/>
      <c r="H756" s="506"/>
      <c r="I756" s="506"/>
      <c r="J756" s="506"/>
      <c r="K756" s="507"/>
      <c r="L756" s="508"/>
      <c r="M756" s="508"/>
      <c r="N756" s="508"/>
      <c r="O756" s="509"/>
      <c r="P756" s="509"/>
    </row>
    <row r="757" spans="1:16" ht="21.75" customHeight="1" x14ac:dyDescent="0.3">
      <c r="A757" s="504"/>
      <c r="B757" s="504"/>
      <c r="C757" s="504"/>
      <c r="D757" s="504"/>
      <c r="E757" s="506"/>
      <c r="F757" s="506"/>
      <c r="G757" s="506"/>
      <c r="H757" s="506"/>
      <c r="I757" s="506"/>
      <c r="J757" s="506"/>
      <c r="K757" s="507"/>
      <c r="L757" s="508"/>
      <c r="M757" s="508"/>
      <c r="N757" s="508"/>
      <c r="O757" s="509"/>
      <c r="P757" s="509"/>
    </row>
    <row r="758" spans="1:16" ht="21.75" customHeight="1" x14ac:dyDescent="0.3">
      <c r="A758" s="504"/>
      <c r="B758" s="504"/>
      <c r="C758" s="504"/>
      <c r="D758" s="504"/>
      <c r="E758" s="506"/>
      <c r="F758" s="506"/>
      <c r="G758" s="506"/>
      <c r="H758" s="506"/>
      <c r="I758" s="506"/>
      <c r="J758" s="506"/>
      <c r="K758" s="507"/>
      <c r="L758" s="508"/>
      <c r="M758" s="508"/>
      <c r="N758" s="508"/>
      <c r="O758" s="509"/>
      <c r="P758" s="509"/>
    </row>
    <row r="759" spans="1:16" ht="21.75" customHeight="1" x14ac:dyDescent="0.3">
      <c r="A759" s="504"/>
      <c r="B759" s="504"/>
      <c r="C759" s="504"/>
      <c r="D759" s="504"/>
      <c r="E759" s="506"/>
      <c r="F759" s="506"/>
      <c r="G759" s="506"/>
      <c r="H759" s="506"/>
      <c r="I759" s="506"/>
      <c r="J759" s="506"/>
      <c r="K759" s="507"/>
      <c r="L759" s="508"/>
      <c r="M759" s="508"/>
      <c r="N759" s="508"/>
      <c r="O759" s="509"/>
      <c r="P759" s="509"/>
    </row>
    <row r="760" spans="1:16" ht="21.75" customHeight="1" x14ac:dyDescent="0.3">
      <c r="A760" s="504"/>
      <c r="B760" s="504"/>
      <c r="C760" s="504"/>
      <c r="D760" s="504"/>
      <c r="E760" s="506"/>
      <c r="F760" s="506"/>
      <c r="G760" s="506"/>
      <c r="H760" s="506"/>
      <c r="I760" s="506"/>
      <c r="J760" s="506"/>
      <c r="K760" s="507"/>
      <c r="L760" s="508"/>
      <c r="M760" s="508"/>
      <c r="N760" s="508"/>
      <c r="O760" s="509"/>
      <c r="P760" s="509"/>
    </row>
    <row r="761" spans="1:16" ht="21.75" customHeight="1" x14ac:dyDescent="0.3">
      <c r="A761" s="504"/>
      <c r="B761" s="504"/>
      <c r="C761" s="504"/>
      <c r="D761" s="504"/>
      <c r="E761" s="506"/>
      <c r="F761" s="506"/>
      <c r="G761" s="506"/>
      <c r="H761" s="506"/>
      <c r="I761" s="506"/>
      <c r="J761" s="506"/>
      <c r="K761" s="507"/>
      <c r="L761" s="508"/>
      <c r="M761" s="508"/>
      <c r="N761" s="508"/>
      <c r="O761" s="509"/>
      <c r="P761" s="509"/>
    </row>
    <row r="762" spans="1:16" ht="21.75" customHeight="1" x14ac:dyDescent="0.3">
      <c r="A762" s="504"/>
      <c r="B762" s="504"/>
      <c r="C762" s="504"/>
      <c r="D762" s="504"/>
      <c r="E762" s="506"/>
      <c r="F762" s="506"/>
      <c r="G762" s="506"/>
      <c r="H762" s="506"/>
      <c r="I762" s="506"/>
      <c r="J762" s="506"/>
      <c r="K762" s="507"/>
      <c r="L762" s="508"/>
      <c r="M762" s="508"/>
      <c r="N762" s="508"/>
      <c r="O762" s="509"/>
      <c r="P762" s="509"/>
    </row>
    <row r="763" spans="1:16" ht="21.75" customHeight="1" x14ac:dyDescent="0.3">
      <c r="A763" s="504"/>
      <c r="B763" s="504"/>
      <c r="C763" s="504"/>
      <c r="D763" s="504"/>
      <c r="E763" s="506"/>
      <c r="F763" s="506"/>
      <c r="G763" s="506"/>
      <c r="H763" s="506"/>
      <c r="I763" s="506"/>
      <c r="J763" s="506"/>
      <c r="K763" s="507"/>
      <c r="L763" s="508"/>
      <c r="M763" s="508"/>
      <c r="N763" s="508"/>
      <c r="O763" s="509"/>
      <c r="P763" s="509"/>
    </row>
    <row r="764" spans="1:16" ht="21.75" customHeight="1" x14ac:dyDescent="0.3">
      <c r="A764" s="504"/>
      <c r="B764" s="504"/>
      <c r="C764" s="504"/>
      <c r="D764" s="504"/>
      <c r="E764" s="506"/>
      <c r="F764" s="506"/>
      <c r="G764" s="506"/>
      <c r="H764" s="506"/>
      <c r="I764" s="506"/>
      <c r="J764" s="506"/>
      <c r="K764" s="507"/>
      <c r="L764" s="508"/>
      <c r="M764" s="508"/>
      <c r="N764" s="508"/>
      <c r="O764" s="509"/>
      <c r="P764" s="509"/>
    </row>
    <row r="765" spans="1:16" ht="21.75" customHeight="1" x14ac:dyDescent="0.3">
      <c r="A765" s="504"/>
      <c r="B765" s="504"/>
      <c r="C765" s="504"/>
      <c r="D765" s="504"/>
      <c r="E765" s="506"/>
      <c r="F765" s="506"/>
      <c r="G765" s="506"/>
      <c r="H765" s="506"/>
      <c r="I765" s="506"/>
      <c r="J765" s="506"/>
      <c r="K765" s="507"/>
      <c r="L765" s="508"/>
      <c r="M765" s="508"/>
      <c r="N765" s="508"/>
      <c r="O765" s="509"/>
      <c r="P765" s="509"/>
    </row>
    <row r="766" spans="1:16" ht="21.75" customHeight="1" x14ac:dyDescent="0.3">
      <c r="A766" s="504"/>
      <c r="B766" s="504"/>
      <c r="C766" s="504"/>
      <c r="D766" s="504"/>
      <c r="E766" s="506"/>
      <c r="F766" s="506"/>
      <c r="G766" s="506"/>
      <c r="H766" s="506"/>
      <c r="I766" s="506"/>
      <c r="J766" s="506"/>
      <c r="K766" s="507"/>
      <c r="L766" s="508"/>
      <c r="M766" s="508"/>
      <c r="N766" s="508"/>
      <c r="O766" s="509"/>
      <c r="P766" s="509"/>
    </row>
    <row r="767" spans="1:16" ht="21.75" customHeight="1" x14ac:dyDescent="0.3">
      <c r="A767" s="504"/>
      <c r="B767" s="504"/>
      <c r="C767" s="504"/>
      <c r="D767" s="504"/>
      <c r="E767" s="506"/>
      <c r="F767" s="506"/>
      <c r="G767" s="506"/>
      <c r="H767" s="506"/>
      <c r="I767" s="506"/>
      <c r="J767" s="506"/>
      <c r="K767" s="507"/>
      <c r="L767" s="508"/>
      <c r="M767" s="508"/>
      <c r="N767" s="508"/>
      <c r="O767" s="509"/>
      <c r="P767" s="509"/>
    </row>
    <row r="768" spans="1:16" ht="21.75" customHeight="1" x14ac:dyDescent="0.3">
      <c r="A768" s="504"/>
      <c r="B768" s="504"/>
      <c r="C768" s="504"/>
      <c r="D768" s="504"/>
      <c r="E768" s="506"/>
      <c r="F768" s="506"/>
      <c r="G768" s="506"/>
      <c r="H768" s="506"/>
      <c r="I768" s="506"/>
      <c r="J768" s="506"/>
      <c r="K768" s="507"/>
      <c r="L768" s="508"/>
      <c r="M768" s="508"/>
      <c r="N768" s="508"/>
      <c r="O768" s="509"/>
      <c r="P768" s="509"/>
    </row>
    <row r="769" spans="1:16" ht="21.75" customHeight="1" x14ac:dyDescent="0.3">
      <c r="A769" s="504"/>
      <c r="B769" s="504"/>
      <c r="C769" s="504"/>
      <c r="D769" s="504"/>
      <c r="E769" s="506"/>
      <c r="F769" s="506"/>
      <c r="G769" s="506"/>
      <c r="H769" s="506"/>
      <c r="I769" s="506"/>
      <c r="J769" s="506"/>
      <c r="K769" s="507"/>
      <c r="L769" s="508"/>
      <c r="M769" s="508"/>
      <c r="N769" s="508"/>
      <c r="O769" s="509"/>
      <c r="P769" s="509"/>
    </row>
    <row r="770" spans="1:16" ht="21.75" customHeight="1" x14ac:dyDescent="0.3">
      <c r="A770" s="504"/>
      <c r="B770" s="504"/>
      <c r="C770" s="504"/>
      <c r="D770" s="504"/>
      <c r="E770" s="506"/>
      <c r="F770" s="506"/>
      <c r="G770" s="506"/>
      <c r="H770" s="506"/>
      <c r="I770" s="506"/>
      <c r="J770" s="506"/>
      <c r="K770" s="507"/>
      <c r="L770" s="508"/>
      <c r="M770" s="508"/>
      <c r="N770" s="508"/>
      <c r="O770" s="509"/>
      <c r="P770" s="509"/>
    </row>
    <row r="771" spans="1:16" ht="21.75" customHeight="1" x14ac:dyDescent="0.3">
      <c r="A771" s="504"/>
      <c r="B771" s="504"/>
      <c r="C771" s="504"/>
      <c r="D771" s="504"/>
      <c r="E771" s="506"/>
      <c r="F771" s="506"/>
      <c r="G771" s="506"/>
      <c r="H771" s="506"/>
      <c r="I771" s="506"/>
      <c r="J771" s="506"/>
      <c r="K771" s="507"/>
      <c r="L771" s="508"/>
      <c r="M771" s="508"/>
      <c r="N771" s="508"/>
      <c r="O771" s="509"/>
      <c r="P771" s="509"/>
    </row>
    <row r="772" spans="1:16" ht="21.75" customHeight="1" x14ac:dyDescent="0.3">
      <c r="A772" s="504"/>
      <c r="B772" s="504"/>
      <c r="C772" s="504"/>
      <c r="D772" s="504"/>
      <c r="E772" s="506"/>
      <c r="F772" s="506"/>
      <c r="G772" s="506"/>
      <c r="H772" s="506"/>
      <c r="I772" s="506"/>
      <c r="J772" s="506"/>
      <c r="K772" s="507"/>
      <c r="L772" s="508"/>
      <c r="M772" s="508"/>
      <c r="N772" s="508"/>
      <c r="O772" s="509"/>
      <c r="P772" s="509"/>
    </row>
    <row r="773" spans="1:16" ht="21.75" customHeight="1" x14ac:dyDescent="0.3">
      <c r="A773" s="504"/>
      <c r="B773" s="504"/>
      <c r="C773" s="504"/>
      <c r="D773" s="504"/>
      <c r="E773" s="506"/>
      <c r="F773" s="506"/>
      <c r="G773" s="506"/>
      <c r="H773" s="506"/>
      <c r="I773" s="506"/>
      <c r="J773" s="506"/>
      <c r="K773" s="507"/>
      <c r="L773" s="508"/>
      <c r="M773" s="508"/>
      <c r="N773" s="508"/>
      <c r="O773" s="509"/>
      <c r="P773" s="509"/>
    </row>
    <row r="774" spans="1:16" ht="21.75" customHeight="1" x14ac:dyDescent="0.3">
      <c r="A774" s="504"/>
      <c r="B774" s="504"/>
      <c r="C774" s="504"/>
      <c r="D774" s="504"/>
      <c r="E774" s="506"/>
      <c r="F774" s="506"/>
      <c r="G774" s="506"/>
      <c r="H774" s="506"/>
      <c r="I774" s="506"/>
      <c r="J774" s="506"/>
      <c r="K774" s="507"/>
      <c r="L774" s="508"/>
      <c r="M774" s="508"/>
      <c r="N774" s="508"/>
      <c r="O774" s="509"/>
      <c r="P774" s="509"/>
    </row>
    <row r="775" spans="1:16" ht="21.75" customHeight="1" x14ac:dyDescent="0.3">
      <c r="A775" s="504"/>
      <c r="B775" s="504"/>
      <c r="C775" s="504"/>
      <c r="D775" s="504"/>
      <c r="E775" s="506"/>
      <c r="F775" s="506"/>
      <c r="G775" s="506"/>
      <c r="H775" s="506"/>
      <c r="I775" s="506"/>
      <c r="J775" s="506"/>
      <c r="K775" s="507"/>
      <c r="L775" s="508"/>
      <c r="M775" s="508"/>
      <c r="N775" s="508"/>
      <c r="O775" s="509"/>
      <c r="P775" s="509"/>
    </row>
    <row r="776" spans="1:16" ht="21.75" customHeight="1" x14ac:dyDescent="0.3">
      <c r="A776" s="504"/>
      <c r="B776" s="504"/>
      <c r="C776" s="504"/>
      <c r="D776" s="504"/>
      <c r="E776" s="506"/>
      <c r="F776" s="506"/>
      <c r="G776" s="506"/>
      <c r="H776" s="506"/>
      <c r="I776" s="506"/>
      <c r="J776" s="506"/>
      <c r="K776" s="507"/>
      <c r="L776" s="508"/>
      <c r="M776" s="508"/>
      <c r="N776" s="508"/>
      <c r="O776" s="509"/>
      <c r="P776" s="509"/>
    </row>
    <row r="777" spans="1:16" ht="21.75" customHeight="1" x14ac:dyDescent="0.3">
      <c r="A777" s="504"/>
      <c r="B777" s="504"/>
      <c r="C777" s="504"/>
      <c r="D777" s="504"/>
      <c r="E777" s="506"/>
      <c r="F777" s="506"/>
      <c r="G777" s="506"/>
      <c r="H777" s="506"/>
      <c r="I777" s="506"/>
      <c r="J777" s="506"/>
      <c r="K777" s="507"/>
      <c r="L777" s="508"/>
      <c r="M777" s="508"/>
      <c r="N777" s="508"/>
      <c r="O777" s="509"/>
      <c r="P777" s="509"/>
    </row>
    <row r="778" spans="1:16" ht="21.75" customHeight="1" x14ac:dyDescent="0.3">
      <c r="A778" s="504"/>
      <c r="B778" s="504"/>
      <c r="C778" s="504"/>
      <c r="D778" s="504"/>
      <c r="E778" s="506"/>
      <c r="F778" s="506"/>
      <c r="G778" s="506"/>
      <c r="H778" s="506"/>
      <c r="I778" s="506"/>
      <c r="J778" s="506"/>
      <c r="K778" s="507"/>
      <c r="L778" s="508"/>
      <c r="M778" s="508"/>
      <c r="N778" s="508"/>
      <c r="O778" s="509"/>
      <c r="P778" s="509"/>
    </row>
    <row r="779" spans="1:16" ht="21.75" customHeight="1" x14ac:dyDescent="0.3">
      <c r="A779" s="504"/>
      <c r="B779" s="504"/>
      <c r="C779" s="504"/>
      <c r="D779" s="504"/>
      <c r="E779" s="506"/>
      <c r="F779" s="506"/>
      <c r="G779" s="506"/>
      <c r="H779" s="506"/>
      <c r="I779" s="506"/>
      <c r="J779" s="506"/>
      <c r="K779" s="507"/>
      <c r="L779" s="508"/>
      <c r="M779" s="508"/>
      <c r="N779" s="508"/>
      <c r="O779" s="509"/>
      <c r="P779" s="509"/>
    </row>
    <row r="780" spans="1:16" ht="21.75" customHeight="1" x14ac:dyDescent="0.3">
      <c r="A780" s="504"/>
      <c r="B780" s="504"/>
      <c r="C780" s="504"/>
      <c r="D780" s="504"/>
      <c r="E780" s="506"/>
      <c r="F780" s="506"/>
      <c r="G780" s="506"/>
      <c r="H780" s="506"/>
      <c r="I780" s="506"/>
      <c r="J780" s="506"/>
      <c r="K780" s="507"/>
      <c r="L780" s="508"/>
      <c r="M780" s="508"/>
      <c r="N780" s="508"/>
      <c r="O780" s="509"/>
      <c r="P780" s="509"/>
    </row>
    <row r="781" spans="1:16" ht="21.75" customHeight="1" x14ac:dyDescent="0.3">
      <c r="A781" s="504"/>
      <c r="B781" s="504"/>
      <c r="C781" s="504"/>
      <c r="D781" s="504"/>
      <c r="E781" s="506"/>
      <c r="F781" s="506"/>
      <c r="G781" s="506"/>
      <c r="H781" s="506"/>
      <c r="I781" s="506"/>
      <c r="J781" s="506"/>
      <c r="K781" s="507"/>
      <c r="L781" s="508"/>
      <c r="M781" s="508"/>
      <c r="N781" s="508"/>
      <c r="O781" s="509"/>
      <c r="P781" s="509"/>
    </row>
    <row r="782" spans="1:16" ht="21.75" customHeight="1" x14ac:dyDescent="0.3">
      <c r="A782" s="504"/>
      <c r="B782" s="504"/>
      <c r="C782" s="504"/>
      <c r="D782" s="504"/>
      <c r="E782" s="506"/>
      <c r="F782" s="506"/>
      <c r="G782" s="506"/>
      <c r="H782" s="506"/>
      <c r="I782" s="506"/>
      <c r="J782" s="506"/>
      <c r="K782" s="507"/>
      <c r="L782" s="508"/>
      <c r="M782" s="508"/>
      <c r="N782" s="508"/>
      <c r="O782" s="509"/>
      <c r="P782" s="509"/>
    </row>
    <row r="783" spans="1:16" ht="21.75" customHeight="1" x14ac:dyDescent="0.3">
      <c r="A783" s="504"/>
      <c r="B783" s="504"/>
      <c r="C783" s="504"/>
      <c r="D783" s="504"/>
      <c r="E783" s="506"/>
      <c r="F783" s="506"/>
      <c r="G783" s="506"/>
      <c r="H783" s="506"/>
      <c r="I783" s="506"/>
      <c r="J783" s="506"/>
      <c r="K783" s="507"/>
      <c r="L783" s="508"/>
      <c r="M783" s="508"/>
      <c r="N783" s="508"/>
      <c r="O783" s="509"/>
      <c r="P783" s="509"/>
    </row>
    <row r="784" spans="1:16" ht="21.75" customHeight="1" x14ac:dyDescent="0.3">
      <c r="A784" s="504"/>
      <c r="B784" s="504"/>
      <c r="C784" s="504"/>
      <c r="D784" s="504"/>
      <c r="E784" s="506"/>
      <c r="F784" s="506"/>
      <c r="G784" s="506"/>
      <c r="H784" s="506"/>
      <c r="I784" s="506"/>
      <c r="J784" s="506"/>
      <c r="K784" s="507"/>
      <c r="L784" s="508"/>
      <c r="M784" s="508"/>
      <c r="N784" s="508"/>
      <c r="O784" s="509"/>
      <c r="P784" s="509"/>
    </row>
    <row r="785" spans="1:16" ht="21.75" customHeight="1" x14ac:dyDescent="0.3">
      <c r="A785" s="504"/>
      <c r="B785" s="504"/>
      <c r="C785" s="504"/>
      <c r="D785" s="504"/>
      <c r="E785" s="506"/>
      <c r="F785" s="506"/>
      <c r="G785" s="506"/>
      <c r="H785" s="506"/>
      <c r="I785" s="506"/>
      <c r="J785" s="506"/>
      <c r="K785" s="507"/>
      <c r="L785" s="508"/>
      <c r="M785" s="508"/>
      <c r="N785" s="508"/>
      <c r="O785" s="509"/>
      <c r="P785" s="509"/>
    </row>
    <row r="786" spans="1:16" ht="21.75" customHeight="1" x14ac:dyDescent="0.3">
      <c r="A786" s="504"/>
      <c r="B786" s="504"/>
      <c r="C786" s="504"/>
      <c r="D786" s="504"/>
      <c r="E786" s="506"/>
      <c r="F786" s="506"/>
      <c r="G786" s="506"/>
      <c r="H786" s="506"/>
      <c r="I786" s="506"/>
      <c r="J786" s="506"/>
      <c r="K786" s="507"/>
      <c r="L786" s="508"/>
      <c r="M786" s="508"/>
      <c r="N786" s="508"/>
      <c r="O786" s="509"/>
      <c r="P786" s="509"/>
    </row>
    <row r="787" spans="1:16" ht="21.75" customHeight="1" x14ac:dyDescent="0.3">
      <c r="A787" s="504"/>
      <c r="B787" s="504"/>
      <c r="C787" s="504"/>
      <c r="D787" s="504"/>
      <c r="E787" s="506"/>
      <c r="F787" s="506"/>
      <c r="G787" s="506"/>
      <c r="H787" s="506"/>
      <c r="I787" s="506"/>
      <c r="J787" s="506"/>
      <c r="K787" s="507"/>
      <c r="L787" s="508"/>
      <c r="M787" s="508"/>
      <c r="N787" s="508"/>
      <c r="O787" s="509"/>
      <c r="P787" s="509"/>
    </row>
    <row r="788" spans="1:16" ht="21.75" customHeight="1" x14ac:dyDescent="0.3">
      <c r="A788" s="504"/>
      <c r="B788" s="504"/>
      <c r="C788" s="504"/>
      <c r="D788" s="504"/>
      <c r="E788" s="506"/>
      <c r="F788" s="506"/>
      <c r="G788" s="506"/>
      <c r="H788" s="506"/>
      <c r="I788" s="506"/>
      <c r="J788" s="506"/>
      <c r="K788" s="507"/>
      <c r="L788" s="508"/>
      <c r="M788" s="508"/>
      <c r="N788" s="508"/>
      <c r="O788" s="509"/>
      <c r="P788" s="509"/>
    </row>
    <row r="789" spans="1:16" ht="21.75" customHeight="1" x14ac:dyDescent="0.3">
      <c r="A789" s="504"/>
      <c r="B789" s="504"/>
      <c r="C789" s="504"/>
      <c r="D789" s="504"/>
      <c r="E789" s="506"/>
      <c r="F789" s="506"/>
      <c r="G789" s="506"/>
      <c r="H789" s="506"/>
      <c r="I789" s="506"/>
      <c r="J789" s="506"/>
      <c r="K789" s="507"/>
      <c r="L789" s="508"/>
      <c r="M789" s="508"/>
      <c r="N789" s="508"/>
      <c r="O789" s="509"/>
      <c r="P789" s="509"/>
    </row>
    <row r="790" spans="1:16" ht="21.75" customHeight="1" x14ac:dyDescent="0.3">
      <c r="A790" s="504"/>
      <c r="B790" s="504"/>
      <c r="C790" s="504"/>
      <c r="D790" s="504"/>
      <c r="E790" s="506"/>
      <c r="F790" s="506"/>
      <c r="G790" s="506"/>
      <c r="H790" s="506"/>
      <c r="I790" s="506"/>
      <c r="J790" s="506"/>
      <c r="K790" s="507"/>
      <c r="L790" s="508"/>
      <c r="M790" s="508"/>
      <c r="N790" s="508"/>
      <c r="O790" s="509"/>
      <c r="P790" s="509"/>
    </row>
    <row r="791" spans="1:16" ht="21.75" customHeight="1" x14ac:dyDescent="0.3">
      <c r="A791" s="504"/>
      <c r="B791" s="504"/>
      <c r="C791" s="504"/>
      <c r="D791" s="504"/>
      <c r="E791" s="506"/>
      <c r="F791" s="506"/>
      <c r="G791" s="506"/>
      <c r="H791" s="506"/>
      <c r="I791" s="506"/>
      <c r="J791" s="506"/>
      <c r="K791" s="507"/>
      <c r="L791" s="508"/>
      <c r="M791" s="508"/>
      <c r="N791" s="508"/>
      <c r="O791" s="509"/>
      <c r="P791" s="509"/>
    </row>
    <row r="792" spans="1:16" ht="21.75" customHeight="1" x14ac:dyDescent="0.3">
      <c r="A792" s="504"/>
      <c r="B792" s="504"/>
      <c r="C792" s="504"/>
      <c r="D792" s="504"/>
      <c r="E792" s="506"/>
      <c r="F792" s="506"/>
      <c r="G792" s="506"/>
      <c r="H792" s="506"/>
      <c r="I792" s="506"/>
      <c r="J792" s="506"/>
      <c r="K792" s="507"/>
      <c r="L792" s="508"/>
      <c r="M792" s="508"/>
      <c r="N792" s="508"/>
      <c r="O792" s="509"/>
      <c r="P792" s="509"/>
    </row>
    <row r="793" spans="1:16" ht="21.75" customHeight="1" x14ac:dyDescent="0.3">
      <c r="A793" s="504"/>
      <c r="B793" s="504"/>
      <c r="C793" s="504"/>
      <c r="D793" s="504"/>
      <c r="E793" s="506"/>
      <c r="F793" s="506"/>
      <c r="G793" s="506"/>
      <c r="H793" s="506"/>
      <c r="I793" s="506"/>
      <c r="J793" s="506"/>
      <c r="K793" s="507"/>
      <c r="L793" s="508"/>
      <c r="M793" s="508"/>
      <c r="N793" s="508"/>
      <c r="O793" s="509"/>
      <c r="P793" s="509"/>
    </row>
    <row r="794" spans="1:16" ht="21.75" customHeight="1" x14ac:dyDescent="0.3">
      <c r="A794" s="504"/>
      <c r="B794" s="504"/>
      <c r="C794" s="504"/>
      <c r="D794" s="504"/>
      <c r="E794" s="506"/>
      <c r="F794" s="506"/>
      <c r="G794" s="506"/>
      <c r="H794" s="506"/>
      <c r="I794" s="506"/>
      <c r="J794" s="506"/>
      <c r="K794" s="507"/>
      <c r="L794" s="508"/>
      <c r="M794" s="508"/>
      <c r="N794" s="508"/>
      <c r="O794" s="509"/>
      <c r="P794" s="509"/>
    </row>
    <row r="795" spans="1:16" ht="21.75" customHeight="1" x14ac:dyDescent="0.3">
      <c r="A795" s="504"/>
      <c r="B795" s="504"/>
      <c r="C795" s="504"/>
      <c r="D795" s="504"/>
      <c r="E795" s="506"/>
      <c r="F795" s="506"/>
      <c r="G795" s="506"/>
      <c r="H795" s="506"/>
      <c r="I795" s="506"/>
      <c r="J795" s="506"/>
      <c r="K795" s="507"/>
      <c r="L795" s="508"/>
      <c r="M795" s="508"/>
      <c r="N795" s="508"/>
      <c r="O795" s="509"/>
      <c r="P795" s="509"/>
    </row>
    <row r="796" spans="1:16" ht="21.75" customHeight="1" x14ac:dyDescent="0.3">
      <c r="A796" s="504"/>
      <c r="B796" s="504"/>
      <c r="C796" s="504"/>
      <c r="D796" s="504"/>
      <c r="E796" s="506"/>
      <c r="F796" s="506"/>
      <c r="G796" s="506"/>
      <c r="H796" s="506"/>
      <c r="I796" s="506"/>
      <c r="J796" s="506"/>
      <c r="K796" s="507"/>
      <c r="L796" s="508"/>
      <c r="M796" s="508"/>
      <c r="N796" s="508"/>
      <c r="O796" s="509"/>
      <c r="P796" s="509"/>
    </row>
    <row r="797" spans="1:16" ht="21.75" customHeight="1" x14ac:dyDescent="0.3">
      <c r="A797" s="504"/>
      <c r="B797" s="504"/>
      <c r="C797" s="504"/>
      <c r="D797" s="504"/>
      <c r="E797" s="506"/>
      <c r="F797" s="506"/>
      <c r="G797" s="506"/>
      <c r="H797" s="506"/>
      <c r="I797" s="506"/>
      <c r="J797" s="506"/>
      <c r="K797" s="507"/>
      <c r="L797" s="508"/>
      <c r="M797" s="508"/>
      <c r="N797" s="508"/>
      <c r="O797" s="509"/>
      <c r="P797" s="509"/>
    </row>
    <row r="798" spans="1:16" ht="21.75" customHeight="1" x14ac:dyDescent="0.3">
      <c r="A798" s="504"/>
      <c r="B798" s="504"/>
      <c r="C798" s="504"/>
      <c r="D798" s="504"/>
      <c r="E798" s="506"/>
      <c r="F798" s="506"/>
      <c r="G798" s="506"/>
      <c r="H798" s="506"/>
      <c r="I798" s="506"/>
      <c r="J798" s="506"/>
      <c r="K798" s="507"/>
      <c r="L798" s="508"/>
      <c r="M798" s="508"/>
      <c r="N798" s="508"/>
      <c r="O798" s="509"/>
      <c r="P798" s="509"/>
    </row>
    <row r="799" spans="1:16" ht="21.75" customHeight="1" x14ac:dyDescent="0.3">
      <c r="A799" s="504"/>
      <c r="B799" s="504"/>
      <c r="C799" s="504"/>
      <c r="D799" s="504"/>
      <c r="E799" s="506"/>
      <c r="F799" s="506"/>
      <c r="G799" s="506"/>
      <c r="H799" s="506"/>
      <c r="I799" s="506"/>
      <c r="J799" s="506"/>
      <c r="K799" s="507"/>
      <c r="L799" s="508"/>
      <c r="M799" s="508"/>
      <c r="N799" s="508"/>
      <c r="O799" s="509"/>
      <c r="P799" s="509"/>
    </row>
    <row r="800" spans="1:16" ht="21.75" customHeight="1" x14ac:dyDescent="0.3">
      <c r="A800" s="504"/>
      <c r="B800" s="504"/>
      <c r="C800" s="504"/>
      <c r="D800" s="504"/>
      <c r="E800" s="506"/>
      <c r="F800" s="506"/>
      <c r="G800" s="506"/>
      <c r="H800" s="506"/>
      <c r="I800" s="506"/>
      <c r="J800" s="506"/>
      <c r="K800" s="507"/>
      <c r="L800" s="508"/>
      <c r="M800" s="508"/>
      <c r="N800" s="508"/>
      <c r="O800" s="509"/>
      <c r="P800" s="509"/>
    </row>
    <row r="801" spans="1:16" ht="21.75" customHeight="1" x14ac:dyDescent="0.3">
      <c r="A801" s="504"/>
      <c r="B801" s="504"/>
      <c r="C801" s="504"/>
      <c r="D801" s="504"/>
      <c r="E801" s="506"/>
      <c r="F801" s="506"/>
      <c r="G801" s="506"/>
      <c r="H801" s="506"/>
      <c r="I801" s="506"/>
      <c r="J801" s="506"/>
      <c r="K801" s="507"/>
      <c r="L801" s="508"/>
      <c r="M801" s="508"/>
      <c r="N801" s="508"/>
      <c r="O801" s="509"/>
      <c r="P801" s="509"/>
    </row>
    <row r="802" spans="1:16" ht="21.75" customHeight="1" x14ac:dyDescent="0.3">
      <c r="A802" s="504"/>
      <c r="B802" s="504"/>
      <c r="C802" s="504"/>
      <c r="D802" s="504"/>
      <c r="E802" s="506"/>
      <c r="F802" s="506"/>
      <c r="G802" s="506"/>
      <c r="H802" s="506"/>
      <c r="I802" s="506"/>
      <c r="J802" s="506"/>
      <c r="K802" s="507"/>
      <c r="L802" s="508"/>
      <c r="M802" s="508"/>
      <c r="N802" s="508"/>
      <c r="O802" s="509"/>
      <c r="P802" s="509"/>
    </row>
    <row r="803" spans="1:16" ht="21.75" customHeight="1" x14ac:dyDescent="0.3">
      <c r="A803" s="504"/>
      <c r="B803" s="504"/>
      <c r="C803" s="504"/>
      <c r="D803" s="504"/>
      <c r="E803" s="506"/>
      <c r="F803" s="506"/>
      <c r="G803" s="506"/>
      <c r="H803" s="506"/>
      <c r="I803" s="506"/>
      <c r="J803" s="506"/>
      <c r="K803" s="507"/>
      <c r="L803" s="508"/>
      <c r="M803" s="508"/>
      <c r="N803" s="508"/>
      <c r="O803" s="509"/>
      <c r="P803" s="509"/>
    </row>
    <row r="804" spans="1:16" ht="21.75" customHeight="1" x14ac:dyDescent="0.3">
      <c r="A804" s="504"/>
      <c r="B804" s="504"/>
      <c r="C804" s="504"/>
      <c r="D804" s="504"/>
      <c r="E804" s="506"/>
      <c r="F804" s="506"/>
      <c r="G804" s="506"/>
      <c r="H804" s="506"/>
      <c r="I804" s="506"/>
      <c r="J804" s="506"/>
      <c r="K804" s="507"/>
      <c r="L804" s="508"/>
      <c r="M804" s="508"/>
      <c r="N804" s="508"/>
      <c r="O804" s="509"/>
      <c r="P804" s="509"/>
    </row>
    <row r="805" spans="1:16" ht="21.75" customHeight="1" x14ac:dyDescent="0.3">
      <c r="A805" s="504"/>
      <c r="B805" s="504"/>
      <c r="C805" s="504"/>
      <c r="D805" s="504"/>
      <c r="E805" s="506"/>
      <c r="F805" s="506"/>
      <c r="G805" s="506"/>
      <c r="H805" s="506"/>
      <c r="I805" s="506"/>
      <c r="J805" s="506"/>
      <c r="K805" s="507"/>
      <c r="L805" s="508"/>
      <c r="M805" s="508"/>
      <c r="N805" s="508"/>
      <c r="O805" s="509"/>
      <c r="P805" s="509"/>
    </row>
    <row r="806" spans="1:16" ht="21.75" customHeight="1" x14ac:dyDescent="0.3">
      <c r="A806" s="504"/>
      <c r="B806" s="504"/>
      <c r="C806" s="504"/>
      <c r="D806" s="504"/>
      <c r="E806" s="506"/>
      <c r="F806" s="506"/>
      <c r="G806" s="506"/>
      <c r="H806" s="506"/>
      <c r="I806" s="506"/>
      <c r="J806" s="506"/>
      <c r="K806" s="507"/>
      <c r="L806" s="508"/>
      <c r="M806" s="508"/>
      <c r="N806" s="508"/>
      <c r="O806" s="509"/>
      <c r="P806" s="509"/>
    </row>
    <row r="807" spans="1:16" ht="21.75" customHeight="1" x14ac:dyDescent="0.3">
      <c r="A807" s="504"/>
      <c r="B807" s="504"/>
      <c r="C807" s="504"/>
      <c r="D807" s="504"/>
      <c r="E807" s="506"/>
      <c r="F807" s="506"/>
      <c r="G807" s="506"/>
      <c r="H807" s="506"/>
      <c r="I807" s="506"/>
      <c r="J807" s="506"/>
      <c r="K807" s="507"/>
      <c r="L807" s="508"/>
      <c r="M807" s="508"/>
      <c r="N807" s="508"/>
      <c r="O807" s="509"/>
      <c r="P807" s="509"/>
    </row>
    <row r="808" spans="1:16" ht="21.75" customHeight="1" x14ac:dyDescent="0.3">
      <c r="A808" s="504"/>
      <c r="B808" s="504"/>
      <c r="C808" s="504"/>
      <c r="D808" s="504"/>
      <c r="E808" s="506"/>
      <c r="F808" s="506"/>
      <c r="G808" s="506"/>
      <c r="H808" s="506"/>
      <c r="I808" s="506"/>
      <c r="J808" s="506"/>
      <c r="K808" s="507"/>
      <c r="L808" s="508"/>
      <c r="M808" s="508"/>
      <c r="N808" s="508"/>
      <c r="O808" s="509"/>
      <c r="P808" s="509"/>
    </row>
    <row r="809" spans="1:16" ht="21.75" customHeight="1" x14ac:dyDescent="0.3">
      <c r="A809" s="504"/>
      <c r="B809" s="504"/>
      <c r="C809" s="504"/>
      <c r="D809" s="504"/>
      <c r="E809" s="506"/>
      <c r="F809" s="506"/>
      <c r="G809" s="506"/>
      <c r="H809" s="506"/>
      <c r="I809" s="506"/>
      <c r="J809" s="506"/>
      <c r="K809" s="507"/>
      <c r="L809" s="508"/>
      <c r="M809" s="508"/>
      <c r="N809" s="508"/>
      <c r="O809" s="509"/>
      <c r="P809" s="509"/>
    </row>
    <row r="810" spans="1:16" ht="21.75" customHeight="1" x14ac:dyDescent="0.3">
      <c r="A810" s="504"/>
      <c r="B810" s="504"/>
      <c r="C810" s="504"/>
      <c r="D810" s="504"/>
      <c r="E810" s="506"/>
      <c r="F810" s="506"/>
      <c r="G810" s="506"/>
      <c r="H810" s="506"/>
      <c r="I810" s="506"/>
      <c r="J810" s="506"/>
      <c r="K810" s="507"/>
      <c r="L810" s="508"/>
      <c r="M810" s="508"/>
      <c r="N810" s="508"/>
      <c r="O810" s="509"/>
      <c r="P810" s="509"/>
    </row>
    <row r="811" spans="1:16" ht="21.75" customHeight="1" x14ac:dyDescent="0.3">
      <c r="A811" s="504"/>
      <c r="B811" s="504"/>
      <c r="C811" s="504"/>
      <c r="D811" s="504"/>
      <c r="E811" s="506"/>
      <c r="F811" s="506"/>
      <c r="G811" s="506"/>
      <c r="H811" s="506"/>
      <c r="I811" s="506"/>
      <c r="J811" s="506"/>
      <c r="K811" s="507"/>
      <c r="L811" s="508"/>
      <c r="M811" s="508"/>
      <c r="N811" s="508"/>
      <c r="O811" s="509"/>
      <c r="P811" s="509"/>
    </row>
    <row r="812" spans="1:16" ht="21.75" customHeight="1" x14ac:dyDescent="0.3">
      <c r="A812" s="504"/>
      <c r="B812" s="504"/>
      <c r="C812" s="504"/>
      <c r="D812" s="504"/>
      <c r="E812" s="506"/>
      <c r="F812" s="506"/>
      <c r="G812" s="506"/>
      <c r="H812" s="506"/>
      <c r="I812" s="506"/>
      <c r="J812" s="506"/>
      <c r="K812" s="507"/>
      <c r="L812" s="508"/>
      <c r="M812" s="508"/>
      <c r="N812" s="508"/>
      <c r="O812" s="509"/>
      <c r="P812" s="509"/>
    </row>
    <row r="813" spans="1:16" ht="21.75" customHeight="1" x14ac:dyDescent="0.3">
      <c r="A813" s="504"/>
      <c r="B813" s="504"/>
      <c r="C813" s="504"/>
      <c r="D813" s="504"/>
      <c r="E813" s="506"/>
      <c r="F813" s="506"/>
      <c r="G813" s="506"/>
      <c r="H813" s="506"/>
      <c r="I813" s="506"/>
      <c r="J813" s="506"/>
      <c r="K813" s="507"/>
      <c r="L813" s="508"/>
      <c r="M813" s="508"/>
      <c r="N813" s="508"/>
      <c r="O813" s="509"/>
      <c r="P813" s="509"/>
    </row>
    <row r="814" spans="1:16" ht="21.75" customHeight="1" x14ac:dyDescent="0.3">
      <c r="A814" s="504"/>
      <c r="B814" s="504"/>
      <c r="C814" s="504"/>
      <c r="D814" s="504"/>
      <c r="E814" s="506"/>
      <c r="F814" s="506"/>
      <c r="G814" s="506"/>
      <c r="H814" s="506"/>
      <c r="I814" s="506"/>
      <c r="J814" s="506"/>
      <c r="K814" s="507"/>
      <c r="L814" s="508"/>
      <c r="M814" s="508"/>
      <c r="N814" s="508"/>
      <c r="O814" s="509"/>
      <c r="P814" s="509"/>
    </row>
    <row r="815" spans="1:16" ht="21.75" customHeight="1" x14ac:dyDescent="0.3">
      <c r="A815" s="504"/>
      <c r="B815" s="504"/>
      <c r="C815" s="504"/>
      <c r="D815" s="504"/>
      <c r="E815" s="506"/>
      <c r="F815" s="506"/>
      <c r="G815" s="506"/>
      <c r="H815" s="506"/>
      <c r="I815" s="506"/>
      <c r="J815" s="506"/>
      <c r="K815" s="507"/>
      <c r="L815" s="508"/>
      <c r="M815" s="508"/>
      <c r="N815" s="508"/>
      <c r="O815" s="509"/>
      <c r="P815" s="509"/>
    </row>
    <row r="816" spans="1:16" ht="21.75" customHeight="1" x14ac:dyDescent="0.3">
      <c r="A816" s="504"/>
      <c r="B816" s="504"/>
      <c r="C816" s="504"/>
      <c r="D816" s="504"/>
      <c r="E816" s="506"/>
      <c r="F816" s="506"/>
      <c r="G816" s="506"/>
      <c r="H816" s="506"/>
      <c r="I816" s="506"/>
      <c r="J816" s="506"/>
      <c r="K816" s="507"/>
      <c r="L816" s="508"/>
      <c r="M816" s="508"/>
      <c r="N816" s="508"/>
      <c r="O816" s="509"/>
      <c r="P816" s="509"/>
    </row>
    <row r="817" spans="1:16" ht="21.75" customHeight="1" x14ac:dyDescent="0.3">
      <c r="A817" s="504"/>
      <c r="B817" s="504"/>
      <c r="C817" s="504"/>
      <c r="D817" s="504"/>
      <c r="E817" s="506"/>
      <c r="F817" s="506"/>
      <c r="G817" s="506"/>
      <c r="H817" s="506"/>
      <c r="I817" s="506"/>
      <c r="J817" s="506"/>
      <c r="K817" s="507"/>
      <c r="L817" s="508"/>
      <c r="M817" s="508"/>
      <c r="N817" s="508"/>
      <c r="O817" s="509"/>
      <c r="P817" s="509"/>
    </row>
    <row r="818" spans="1:16" ht="21.75" customHeight="1" x14ac:dyDescent="0.3">
      <c r="A818" s="504"/>
      <c r="B818" s="504"/>
      <c r="C818" s="504"/>
      <c r="D818" s="504"/>
      <c r="E818" s="506"/>
      <c r="F818" s="506"/>
      <c r="G818" s="506"/>
      <c r="H818" s="506"/>
      <c r="I818" s="506"/>
      <c r="J818" s="506"/>
      <c r="K818" s="507"/>
      <c r="L818" s="508"/>
      <c r="M818" s="508"/>
      <c r="N818" s="508"/>
      <c r="O818" s="509"/>
      <c r="P818" s="509"/>
    </row>
    <row r="819" spans="1:16" ht="21.75" customHeight="1" x14ac:dyDescent="0.3">
      <c r="A819" s="504"/>
      <c r="B819" s="504"/>
      <c r="C819" s="504"/>
      <c r="D819" s="504"/>
      <c r="E819" s="506"/>
      <c r="F819" s="506"/>
      <c r="G819" s="506"/>
      <c r="H819" s="506"/>
      <c r="I819" s="506"/>
      <c r="J819" s="506"/>
      <c r="K819" s="507"/>
      <c r="L819" s="508"/>
      <c r="M819" s="508"/>
      <c r="N819" s="508"/>
      <c r="O819" s="509"/>
      <c r="P819" s="509"/>
    </row>
    <row r="820" spans="1:16" ht="21.75" customHeight="1" x14ac:dyDescent="0.3">
      <c r="A820" s="504"/>
      <c r="B820" s="504"/>
      <c r="C820" s="504"/>
      <c r="D820" s="504"/>
      <c r="E820" s="506"/>
      <c r="F820" s="506"/>
      <c r="G820" s="506"/>
      <c r="H820" s="506"/>
      <c r="I820" s="506"/>
      <c r="J820" s="506"/>
      <c r="K820" s="507"/>
      <c r="L820" s="508"/>
      <c r="M820" s="508"/>
      <c r="N820" s="508"/>
      <c r="O820" s="509"/>
      <c r="P820" s="509"/>
    </row>
    <row r="821" spans="1:16" ht="21.75" customHeight="1" x14ac:dyDescent="0.3">
      <c r="A821" s="504"/>
      <c r="B821" s="504"/>
      <c r="C821" s="504"/>
      <c r="D821" s="504"/>
      <c r="E821" s="506"/>
      <c r="F821" s="506"/>
      <c r="G821" s="506"/>
      <c r="H821" s="506"/>
      <c r="I821" s="506"/>
      <c r="J821" s="506"/>
      <c r="K821" s="507"/>
      <c r="L821" s="508"/>
      <c r="M821" s="508"/>
      <c r="N821" s="508"/>
      <c r="O821" s="509"/>
      <c r="P821" s="509"/>
    </row>
    <row r="822" spans="1:16" ht="21.75" customHeight="1" x14ac:dyDescent="0.3">
      <c r="A822" s="504"/>
      <c r="B822" s="504"/>
      <c r="C822" s="504"/>
      <c r="D822" s="504"/>
      <c r="E822" s="506"/>
      <c r="F822" s="506"/>
      <c r="G822" s="506"/>
      <c r="H822" s="506"/>
      <c r="I822" s="506"/>
      <c r="J822" s="506"/>
      <c r="K822" s="507"/>
      <c r="L822" s="508"/>
      <c r="M822" s="508"/>
      <c r="N822" s="508"/>
      <c r="O822" s="509"/>
      <c r="P822" s="509"/>
    </row>
    <row r="823" spans="1:16" ht="21.75" customHeight="1" x14ac:dyDescent="0.3">
      <c r="A823" s="504"/>
      <c r="B823" s="504"/>
      <c r="C823" s="504"/>
      <c r="D823" s="504"/>
      <c r="E823" s="506"/>
      <c r="F823" s="506"/>
      <c r="G823" s="506"/>
      <c r="H823" s="506"/>
      <c r="I823" s="506"/>
      <c r="J823" s="506"/>
      <c r="K823" s="507"/>
      <c r="L823" s="508"/>
      <c r="M823" s="508"/>
      <c r="N823" s="508"/>
      <c r="O823" s="509"/>
      <c r="P823" s="509"/>
    </row>
    <row r="824" spans="1:16" ht="21.75" customHeight="1" x14ac:dyDescent="0.3">
      <c r="A824" s="504"/>
      <c r="B824" s="504"/>
      <c r="C824" s="504"/>
      <c r="D824" s="504"/>
      <c r="E824" s="506"/>
      <c r="F824" s="506"/>
      <c r="G824" s="506"/>
      <c r="H824" s="506"/>
      <c r="I824" s="506"/>
      <c r="J824" s="506"/>
      <c r="K824" s="507"/>
      <c r="L824" s="508"/>
      <c r="M824" s="508"/>
      <c r="N824" s="508"/>
      <c r="O824" s="509"/>
      <c r="P824" s="509"/>
    </row>
    <row r="825" spans="1:16" ht="21.75" customHeight="1" x14ac:dyDescent="0.3">
      <c r="A825" s="504"/>
      <c r="B825" s="504"/>
      <c r="C825" s="504"/>
      <c r="D825" s="504"/>
      <c r="E825" s="506"/>
      <c r="F825" s="506"/>
      <c r="G825" s="506"/>
      <c r="H825" s="506"/>
      <c r="I825" s="506"/>
      <c r="J825" s="506"/>
      <c r="K825" s="507"/>
      <c r="L825" s="508"/>
      <c r="M825" s="508"/>
      <c r="N825" s="508"/>
      <c r="O825" s="509"/>
      <c r="P825" s="509"/>
    </row>
    <row r="826" spans="1:16" ht="21.75" customHeight="1" x14ac:dyDescent="0.3">
      <c r="A826" s="504"/>
      <c r="B826" s="504"/>
      <c r="C826" s="504"/>
      <c r="D826" s="504"/>
      <c r="E826" s="506"/>
      <c r="F826" s="506"/>
      <c r="G826" s="506"/>
      <c r="H826" s="506"/>
      <c r="I826" s="506"/>
      <c r="J826" s="506"/>
      <c r="K826" s="507"/>
      <c r="L826" s="508"/>
      <c r="M826" s="508"/>
      <c r="N826" s="508"/>
      <c r="O826" s="509"/>
      <c r="P826" s="509"/>
    </row>
    <row r="827" spans="1:16" ht="21.75" customHeight="1" x14ac:dyDescent="0.3">
      <c r="A827" s="504"/>
      <c r="B827" s="504"/>
      <c r="C827" s="504"/>
      <c r="D827" s="504"/>
      <c r="E827" s="506"/>
      <c r="F827" s="506"/>
      <c r="G827" s="506"/>
      <c r="H827" s="506"/>
      <c r="I827" s="506"/>
      <c r="J827" s="506"/>
      <c r="K827" s="507"/>
      <c r="L827" s="508"/>
      <c r="M827" s="508"/>
      <c r="N827" s="508"/>
      <c r="O827" s="509"/>
      <c r="P827" s="509"/>
    </row>
    <row r="828" spans="1:16" ht="21.75" customHeight="1" x14ac:dyDescent="0.3">
      <c r="A828" s="504"/>
      <c r="B828" s="504"/>
      <c r="C828" s="504"/>
      <c r="D828" s="504"/>
      <c r="E828" s="506"/>
      <c r="F828" s="506"/>
      <c r="G828" s="506"/>
      <c r="H828" s="506"/>
      <c r="I828" s="506"/>
      <c r="J828" s="506"/>
      <c r="K828" s="507"/>
      <c r="L828" s="508"/>
      <c r="M828" s="508"/>
      <c r="N828" s="508"/>
      <c r="O828" s="509"/>
      <c r="P828" s="509"/>
    </row>
    <row r="829" spans="1:16" ht="21.75" customHeight="1" x14ac:dyDescent="0.3">
      <c r="A829" s="504"/>
      <c r="B829" s="504"/>
      <c r="C829" s="504"/>
      <c r="D829" s="504"/>
      <c r="E829" s="506"/>
      <c r="F829" s="506"/>
      <c r="G829" s="506"/>
      <c r="H829" s="506"/>
      <c r="I829" s="506"/>
      <c r="J829" s="506"/>
      <c r="K829" s="507"/>
      <c r="L829" s="508"/>
      <c r="M829" s="508"/>
      <c r="N829" s="508"/>
      <c r="O829" s="509"/>
      <c r="P829" s="509"/>
    </row>
    <row r="830" spans="1:16" ht="21.75" customHeight="1" x14ac:dyDescent="0.3">
      <c r="A830" s="504"/>
      <c r="B830" s="504"/>
      <c r="C830" s="504"/>
      <c r="D830" s="504"/>
      <c r="E830" s="506"/>
      <c r="F830" s="506"/>
      <c r="G830" s="506"/>
      <c r="H830" s="506"/>
      <c r="I830" s="506"/>
      <c r="J830" s="506"/>
      <c r="K830" s="507"/>
      <c r="L830" s="508"/>
      <c r="M830" s="508"/>
      <c r="N830" s="508"/>
      <c r="O830" s="509"/>
      <c r="P830" s="509"/>
    </row>
    <row r="831" spans="1:16" ht="21.75" customHeight="1" x14ac:dyDescent="0.3">
      <c r="A831" s="504"/>
      <c r="B831" s="504"/>
      <c r="C831" s="504"/>
      <c r="D831" s="504"/>
      <c r="E831" s="506"/>
      <c r="F831" s="506"/>
      <c r="G831" s="506"/>
      <c r="H831" s="506"/>
      <c r="I831" s="506"/>
      <c r="J831" s="506"/>
      <c r="K831" s="507"/>
      <c r="L831" s="508"/>
      <c r="M831" s="508"/>
      <c r="N831" s="508"/>
      <c r="O831" s="509"/>
      <c r="P831" s="509"/>
    </row>
    <row r="832" spans="1:16" ht="21.75" customHeight="1" x14ac:dyDescent="0.3">
      <c r="A832" s="504"/>
      <c r="B832" s="504"/>
      <c r="C832" s="504"/>
      <c r="D832" s="504"/>
      <c r="E832" s="506"/>
      <c r="F832" s="506"/>
      <c r="G832" s="506"/>
      <c r="H832" s="506"/>
      <c r="I832" s="506"/>
      <c r="J832" s="506"/>
      <c r="K832" s="507"/>
      <c r="L832" s="508"/>
      <c r="M832" s="508"/>
      <c r="N832" s="508"/>
      <c r="O832" s="509"/>
      <c r="P832" s="509"/>
    </row>
    <row r="833" spans="1:16" ht="21.75" customHeight="1" x14ac:dyDescent="0.3">
      <c r="A833" s="504"/>
      <c r="B833" s="504"/>
      <c r="C833" s="504"/>
      <c r="D833" s="504"/>
      <c r="E833" s="506"/>
      <c r="F833" s="506"/>
      <c r="G833" s="506"/>
      <c r="H833" s="506"/>
      <c r="I833" s="506"/>
      <c r="J833" s="506"/>
      <c r="K833" s="507"/>
      <c r="L833" s="508"/>
      <c r="M833" s="508"/>
      <c r="N833" s="508"/>
      <c r="O833" s="509"/>
      <c r="P833" s="509"/>
    </row>
    <row r="834" spans="1:16" ht="21.75" customHeight="1" x14ac:dyDescent="0.3">
      <c r="A834" s="504"/>
      <c r="B834" s="504"/>
      <c r="C834" s="504"/>
      <c r="D834" s="504"/>
      <c r="E834" s="506"/>
      <c r="F834" s="506"/>
      <c r="G834" s="506"/>
      <c r="H834" s="506"/>
      <c r="I834" s="506"/>
      <c r="J834" s="506"/>
      <c r="K834" s="507"/>
      <c r="L834" s="508"/>
      <c r="M834" s="508"/>
      <c r="N834" s="508"/>
      <c r="O834" s="509"/>
      <c r="P834" s="509"/>
    </row>
    <row r="835" spans="1:16" ht="21.75" customHeight="1" x14ac:dyDescent="0.3">
      <c r="A835" s="504"/>
      <c r="B835" s="504"/>
      <c r="C835" s="504"/>
      <c r="D835" s="504"/>
      <c r="E835" s="506"/>
      <c r="F835" s="506"/>
      <c r="G835" s="506"/>
      <c r="H835" s="506"/>
      <c r="I835" s="506"/>
      <c r="J835" s="506"/>
      <c r="K835" s="507"/>
      <c r="L835" s="508"/>
      <c r="M835" s="508"/>
      <c r="N835" s="508"/>
      <c r="O835" s="509"/>
      <c r="P835" s="509"/>
    </row>
    <row r="836" spans="1:16" ht="21.75" customHeight="1" x14ac:dyDescent="0.3">
      <c r="A836" s="504"/>
      <c r="B836" s="504"/>
      <c r="C836" s="504"/>
      <c r="D836" s="504"/>
      <c r="E836" s="506"/>
      <c r="F836" s="506"/>
      <c r="G836" s="506"/>
      <c r="H836" s="506"/>
      <c r="I836" s="506"/>
      <c r="J836" s="506"/>
      <c r="K836" s="507"/>
      <c r="L836" s="508"/>
      <c r="M836" s="508"/>
      <c r="N836" s="508"/>
      <c r="O836" s="509"/>
      <c r="P836" s="509"/>
    </row>
    <row r="837" spans="1:16" ht="21.75" customHeight="1" x14ac:dyDescent="0.3">
      <c r="A837" s="504"/>
      <c r="B837" s="504"/>
      <c r="C837" s="504"/>
      <c r="D837" s="504"/>
      <c r="E837" s="506"/>
      <c r="F837" s="506"/>
      <c r="G837" s="506"/>
      <c r="H837" s="506"/>
      <c r="I837" s="506"/>
      <c r="J837" s="506"/>
      <c r="K837" s="507"/>
      <c r="L837" s="508"/>
      <c r="M837" s="508"/>
      <c r="N837" s="508"/>
      <c r="O837" s="509"/>
      <c r="P837" s="509"/>
    </row>
    <row r="838" spans="1:16" ht="21.75" customHeight="1" x14ac:dyDescent="0.3">
      <c r="A838" s="504"/>
      <c r="B838" s="504"/>
      <c r="C838" s="504"/>
      <c r="D838" s="504"/>
      <c r="E838" s="506"/>
      <c r="F838" s="506"/>
      <c r="G838" s="506"/>
      <c r="H838" s="506"/>
      <c r="I838" s="506"/>
      <c r="J838" s="506"/>
      <c r="K838" s="507"/>
      <c r="L838" s="508"/>
      <c r="M838" s="508"/>
      <c r="N838" s="508"/>
      <c r="O838" s="509"/>
      <c r="P838" s="509"/>
    </row>
    <row r="839" spans="1:16" ht="21.75" customHeight="1" x14ac:dyDescent="0.3">
      <c r="A839" s="504"/>
      <c r="B839" s="504"/>
      <c r="C839" s="504"/>
      <c r="D839" s="504"/>
      <c r="E839" s="506"/>
      <c r="F839" s="506"/>
      <c r="G839" s="506"/>
      <c r="H839" s="506"/>
      <c r="I839" s="506"/>
      <c r="J839" s="506"/>
      <c r="K839" s="507"/>
      <c r="L839" s="508"/>
      <c r="M839" s="508"/>
      <c r="N839" s="508"/>
      <c r="O839" s="509"/>
      <c r="P839" s="509"/>
    </row>
    <row r="840" spans="1:16" ht="21.75" customHeight="1" x14ac:dyDescent="0.3">
      <c r="A840" s="504"/>
      <c r="B840" s="504"/>
      <c r="C840" s="504"/>
      <c r="D840" s="504"/>
      <c r="E840" s="506"/>
      <c r="F840" s="506"/>
      <c r="G840" s="506"/>
      <c r="H840" s="506"/>
      <c r="I840" s="506"/>
      <c r="J840" s="506"/>
      <c r="K840" s="507"/>
      <c r="L840" s="508"/>
      <c r="M840" s="508"/>
      <c r="N840" s="508"/>
      <c r="O840" s="509"/>
      <c r="P840" s="509"/>
    </row>
    <row r="841" spans="1:16" ht="21.75" customHeight="1" x14ac:dyDescent="0.3">
      <c r="A841" s="504"/>
      <c r="B841" s="504"/>
      <c r="C841" s="504"/>
      <c r="D841" s="504"/>
      <c r="E841" s="506"/>
      <c r="F841" s="506"/>
      <c r="G841" s="506"/>
      <c r="H841" s="506"/>
      <c r="I841" s="506"/>
      <c r="J841" s="506"/>
      <c r="K841" s="507"/>
      <c r="L841" s="508"/>
      <c r="M841" s="508"/>
      <c r="N841" s="508"/>
      <c r="O841" s="509"/>
      <c r="P841" s="509"/>
    </row>
    <row r="842" spans="1:16" ht="21.75" customHeight="1" x14ac:dyDescent="0.3">
      <c r="A842" s="504"/>
      <c r="B842" s="504"/>
      <c r="C842" s="504"/>
      <c r="D842" s="504"/>
      <c r="E842" s="506"/>
      <c r="F842" s="506"/>
      <c r="G842" s="506"/>
      <c r="H842" s="506"/>
      <c r="I842" s="506"/>
      <c r="J842" s="506"/>
      <c r="K842" s="507"/>
      <c r="L842" s="508"/>
      <c r="M842" s="508"/>
      <c r="N842" s="508"/>
      <c r="O842" s="509"/>
      <c r="P842" s="509"/>
    </row>
    <row r="843" spans="1:16" ht="21.75" customHeight="1" x14ac:dyDescent="0.3">
      <c r="A843" s="504"/>
      <c r="B843" s="504"/>
      <c r="C843" s="504"/>
      <c r="D843" s="504"/>
      <c r="E843" s="506"/>
      <c r="F843" s="506"/>
      <c r="G843" s="506"/>
      <c r="H843" s="506"/>
      <c r="I843" s="506"/>
      <c r="J843" s="506"/>
      <c r="K843" s="507"/>
      <c r="L843" s="508"/>
      <c r="M843" s="508"/>
      <c r="N843" s="508"/>
      <c r="O843" s="509"/>
      <c r="P843" s="509"/>
    </row>
    <row r="844" spans="1:16" ht="21.75" customHeight="1" x14ac:dyDescent="0.3">
      <c r="A844" s="504"/>
      <c r="B844" s="504"/>
      <c r="C844" s="504"/>
      <c r="D844" s="504"/>
      <c r="E844" s="506"/>
      <c r="F844" s="506"/>
      <c r="G844" s="506"/>
      <c r="H844" s="506"/>
      <c r="I844" s="506"/>
      <c r="J844" s="506"/>
      <c r="K844" s="507"/>
      <c r="L844" s="508"/>
      <c r="M844" s="508"/>
      <c r="N844" s="508"/>
      <c r="O844" s="509"/>
      <c r="P844" s="509"/>
    </row>
    <row r="845" spans="1:16" ht="21.75" customHeight="1" x14ac:dyDescent="0.3">
      <c r="A845" s="504"/>
      <c r="B845" s="504"/>
      <c r="C845" s="504"/>
      <c r="D845" s="504"/>
      <c r="E845" s="506"/>
      <c r="F845" s="506"/>
      <c r="G845" s="506"/>
      <c r="H845" s="506"/>
      <c r="I845" s="506"/>
      <c r="J845" s="506"/>
      <c r="K845" s="507"/>
      <c r="L845" s="508"/>
      <c r="M845" s="508"/>
      <c r="N845" s="508"/>
      <c r="O845" s="509"/>
      <c r="P845" s="509"/>
    </row>
    <row r="846" spans="1:16" ht="21.75" customHeight="1" x14ac:dyDescent="0.3">
      <c r="A846" s="504"/>
      <c r="B846" s="504"/>
      <c r="C846" s="504"/>
      <c r="D846" s="504"/>
      <c r="E846" s="506"/>
      <c r="F846" s="506"/>
      <c r="G846" s="506"/>
      <c r="H846" s="506"/>
      <c r="I846" s="506"/>
      <c r="J846" s="506"/>
      <c r="K846" s="507"/>
      <c r="L846" s="508"/>
      <c r="M846" s="508"/>
      <c r="N846" s="508"/>
      <c r="O846" s="509"/>
      <c r="P846" s="509"/>
    </row>
    <row r="847" spans="1:16" ht="21.75" customHeight="1" x14ac:dyDescent="0.3">
      <c r="A847" s="504"/>
      <c r="B847" s="504"/>
      <c r="C847" s="504"/>
      <c r="D847" s="504"/>
      <c r="E847" s="506"/>
      <c r="F847" s="506"/>
      <c r="G847" s="506"/>
      <c r="H847" s="506"/>
      <c r="I847" s="506"/>
      <c r="J847" s="506"/>
      <c r="K847" s="507"/>
      <c r="L847" s="508"/>
      <c r="M847" s="508"/>
      <c r="N847" s="508"/>
      <c r="O847" s="509"/>
      <c r="P847" s="509"/>
    </row>
    <row r="848" spans="1:16" ht="21.75" customHeight="1" x14ac:dyDescent="0.3">
      <c r="A848" s="504"/>
      <c r="B848" s="504"/>
      <c r="C848" s="504"/>
      <c r="D848" s="504"/>
      <c r="E848" s="506"/>
      <c r="F848" s="506"/>
      <c r="G848" s="506"/>
      <c r="H848" s="506"/>
      <c r="I848" s="506"/>
      <c r="J848" s="506"/>
      <c r="K848" s="507"/>
      <c r="L848" s="508"/>
      <c r="M848" s="508"/>
      <c r="N848" s="508"/>
      <c r="O848" s="509"/>
      <c r="P848" s="509"/>
    </row>
    <row r="849" spans="1:16" ht="21.75" customHeight="1" x14ac:dyDescent="0.3">
      <c r="A849" s="504"/>
      <c r="B849" s="504"/>
      <c r="C849" s="504"/>
      <c r="D849" s="504"/>
      <c r="E849" s="506"/>
      <c r="F849" s="506"/>
      <c r="G849" s="506"/>
      <c r="H849" s="506"/>
      <c r="I849" s="506"/>
      <c r="J849" s="506"/>
      <c r="K849" s="507"/>
      <c r="L849" s="508"/>
      <c r="M849" s="508"/>
      <c r="N849" s="508"/>
      <c r="O849" s="509"/>
      <c r="P849" s="509"/>
    </row>
    <row r="850" spans="1:16" ht="21.75" customHeight="1" x14ac:dyDescent="0.3">
      <c r="A850" s="504"/>
      <c r="B850" s="504"/>
      <c r="C850" s="504"/>
      <c r="D850" s="504"/>
      <c r="E850" s="506"/>
      <c r="F850" s="506"/>
      <c r="G850" s="506"/>
      <c r="H850" s="506"/>
      <c r="I850" s="506"/>
      <c r="J850" s="506"/>
      <c r="K850" s="507"/>
      <c r="L850" s="508"/>
      <c r="M850" s="508"/>
      <c r="N850" s="508"/>
      <c r="O850" s="509"/>
      <c r="P850" s="509"/>
    </row>
    <row r="851" spans="1:16" ht="21.75" customHeight="1" x14ac:dyDescent="0.3">
      <c r="A851" s="504"/>
      <c r="B851" s="504"/>
      <c r="C851" s="504"/>
      <c r="D851" s="504"/>
      <c r="E851" s="506"/>
      <c r="F851" s="506"/>
      <c r="G851" s="506"/>
      <c r="H851" s="506"/>
      <c r="I851" s="506"/>
      <c r="J851" s="506"/>
      <c r="K851" s="507"/>
      <c r="L851" s="508"/>
      <c r="M851" s="508"/>
      <c r="N851" s="508"/>
      <c r="O851" s="509"/>
      <c r="P851" s="509"/>
    </row>
    <row r="852" spans="1:16" ht="21.75" customHeight="1" x14ac:dyDescent="0.3">
      <c r="A852" s="504"/>
      <c r="B852" s="504"/>
      <c r="C852" s="504"/>
      <c r="D852" s="504"/>
      <c r="E852" s="506"/>
      <c r="F852" s="506"/>
      <c r="G852" s="506"/>
      <c r="H852" s="506"/>
      <c r="I852" s="506"/>
      <c r="J852" s="506"/>
      <c r="K852" s="507"/>
      <c r="L852" s="508"/>
      <c r="M852" s="508"/>
      <c r="N852" s="508"/>
      <c r="O852" s="509"/>
      <c r="P852" s="509"/>
    </row>
    <row r="853" spans="1:16" ht="21.75" customHeight="1" x14ac:dyDescent="0.3">
      <c r="A853" s="504"/>
      <c r="B853" s="504"/>
      <c r="C853" s="504"/>
      <c r="D853" s="504"/>
      <c r="E853" s="506"/>
      <c r="F853" s="506"/>
      <c r="G853" s="506"/>
      <c r="H853" s="506"/>
      <c r="I853" s="506"/>
      <c r="J853" s="506"/>
      <c r="K853" s="507"/>
      <c r="L853" s="508"/>
      <c r="M853" s="508"/>
      <c r="N853" s="508"/>
      <c r="O853" s="509"/>
      <c r="P853" s="509"/>
    </row>
    <row r="854" spans="1:16" ht="21.75" customHeight="1" x14ac:dyDescent="0.3">
      <c r="A854" s="504"/>
      <c r="B854" s="504"/>
      <c r="C854" s="504"/>
      <c r="D854" s="504"/>
      <c r="E854" s="506"/>
      <c r="F854" s="506"/>
      <c r="G854" s="506"/>
      <c r="H854" s="506"/>
      <c r="I854" s="506"/>
      <c r="J854" s="506"/>
      <c r="K854" s="507"/>
      <c r="L854" s="508"/>
      <c r="M854" s="508"/>
      <c r="N854" s="508"/>
      <c r="O854" s="509"/>
      <c r="P854" s="509"/>
    </row>
    <row r="855" spans="1:16" ht="21.75" customHeight="1" x14ac:dyDescent="0.3">
      <c r="A855" s="504"/>
      <c r="B855" s="504"/>
      <c r="C855" s="504"/>
      <c r="D855" s="504"/>
      <c r="E855" s="506"/>
      <c r="F855" s="506"/>
      <c r="G855" s="506"/>
      <c r="H855" s="506"/>
      <c r="I855" s="506"/>
      <c r="J855" s="506"/>
      <c r="K855" s="507"/>
      <c r="L855" s="508"/>
      <c r="M855" s="508"/>
      <c r="N855" s="508"/>
      <c r="O855" s="509"/>
      <c r="P855" s="509"/>
    </row>
    <row r="856" spans="1:16" ht="21.75" customHeight="1" x14ac:dyDescent="0.3">
      <c r="A856" s="504"/>
      <c r="B856" s="504"/>
      <c r="C856" s="504"/>
      <c r="D856" s="504"/>
      <c r="E856" s="506"/>
      <c r="F856" s="506"/>
      <c r="G856" s="506"/>
      <c r="H856" s="506"/>
      <c r="I856" s="506"/>
      <c r="J856" s="506"/>
      <c r="K856" s="507"/>
      <c r="L856" s="508"/>
      <c r="M856" s="508"/>
      <c r="N856" s="508"/>
      <c r="O856" s="509"/>
      <c r="P856" s="509"/>
    </row>
    <row r="857" spans="1:16" ht="21.75" customHeight="1" x14ac:dyDescent="0.3">
      <c r="A857" s="504"/>
      <c r="B857" s="504"/>
      <c r="C857" s="504"/>
      <c r="D857" s="504"/>
      <c r="E857" s="506"/>
      <c r="F857" s="506"/>
      <c r="G857" s="506"/>
      <c r="H857" s="506"/>
      <c r="I857" s="506"/>
      <c r="J857" s="506"/>
      <c r="K857" s="507"/>
      <c r="L857" s="508"/>
      <c r="M857" s="508"/>
      <c r="N857" s="508"/>
      <c r="O857" s="509"/>
      <c r="P857" s="509"/>
    </row>
    <row r="858" spans="1:16" ht="21.75" customHeight="1" x14ac:dyDescent="0.3">
      <c r="A858" s="504"/>
      <c r="B858" s="504"/>
      <c r="C858" s="504"/>
      <c r="D858" s="504"/>
      <c r="E858" s="506"/>
      <c r="F858" s="506"/>
      <c r="G858" s="506"/>
      <c r="H858" s="506"/>
      <c r="I858" s="506"/>
      <c r="J858" s="506"/>
      <c r="K858" s="507"/>
      <c r="L858" s="508"/>
      <c r="M858" s="508"/>
      <c r="N858" s="508"/>
      <c r="O858" s="509"/>
      <c r="P858" s="509"/>
    </row>
    <row r="859" spans="1:16" ht="21.75" customHeight="1" x14ac:dyDescent="0.3">
      <c r="A859" s="504"/>
      <c r="B859" s="504"/>
      <c r="C859" s="504"/>
      <c r="D859" s="504"/>
      <c r="E859" s="506"/>
      <c r="F859" s="506"/>
      <c r="G859" s="506"/>
      <c r="H859" s="506"/>
      <c r="I859" s="506"/>
      <c r="J859" s="506"/>
      <c r="K859" s="507"/>
      <c r="L859" s="508"/>
      <c r="M859" s="508"/>
      <c r="N859" s="508"/>
      <c r="O859" s="509"/>
      <c r="P859" s="509"/>
    </row>
    <row r="860" spans="1:16" ht="21.75" customHeight="1" x14ac:dyDescent="0.3">
      <c r="A860" s="504"/>
      <c r="B860" s="504"/>
      <c r="C860" s="504"/>
      <c r="D860" s="504"/>
      <c r="E860" s="506"/>
      <c r="F860" s="506"/>
      <c r="G860" s="506"/>
      <c r="H860" s="506"/>
      <c r="I860" s="506"/>
      <c r="J860" s="506"/>
      <c r="K860" s="507"/>
      <c r="L860" s="508"/>
      <c r="M860" s="508"/>
      <c r="N860" s="508"/>
      <c r="O860" s="509"/>
      <c r="P860" s="509"/>
    </row>
    <row r="861" spans="1:16" ht="21.75" customHeight="1" x14ac:dyDescent="0.3">
      <c r="A861" s="504"/>
      <c r="B861" s="504"/>
      <c r="C861" s="504"/>
      <c r="D861" s="504"/>
      <c r="E861" s="506"/>
      <c r="F861" s="506"/>
      <c r="G861" s="506"/>
      <c r="H861" s="506"/>
      <c r="I861" s="506"/>
      <c r="J861" s="506"/>
      <c r="K861" s="507"/>
      <c r="L861" s="508"/>
      <c r="M861" s="508"/>
      <c r="N861" s="508"/>
      <c r="O861" s="509"/>
      <c r="P861" s="509"/>
    </row>
    <row r="862" spans="1:16" ht="21.75" customHeight="1" x14ac:dyDescent="0.3">
      <c r="A862" s="504"/>
      <c r="B862" s="504"/>
      <c r="C862" s="504"/>
      <c r="D862" s="504"/>
      <c r="E862" s="506"/>
      <c r="F862" s="506"/>
      <c r="G862" s="506"/>
      <c r="H862" s="506"/>
      <c r="I862" s="506"/>
      <c r="J862" s="506"/>
      <c r="K862" s="507"/>
      <c r="L862" s="508"/>
      <c r="M862" s="508"/>
      <c r="N862" s="508"/>
      <c r="O862" s="509"/>
      <c r="P862" s="509"/>
    </row>
    <row r="863" spans="1:16" ht="21.75" customHeight="1" x14ac:dyDescent="0.3">
      <c r="A863" s="504"/>
      <c r="B863" s="504"/>
      <c r="C863" s="504"/>
      <c r="D863" s="504"/>
      <c r="E863" s="506"/>
      <c r="F863" s="506"/>
      <c r="G863" s="506"/>
      <c r="H863" s="506"/>
      <c r="I863" s="506"/>
      <c r="J863" s="506"/>
      <c r="K863" s="507"/>
      <c r="L863" s="508"/>
      <c r="M863" s="508"/>
      <c r="N863" s="508"/>
      <c r="O863" s="509"/>
      <c r="P863" s="509"/>
    </row>
    <row r="864" spans="1:16" ht="21.75" customHeight="1" x14ac:dyDescent="0.3">
      <c r="A864" s="504"/>
      <c r="B864" s="504"/>
      <c r="C864" s="504"/>
      <c r="D864" s="504"/>
      <c r="E864" s="506"/>
      <c r="F864" s="506"/>
      <c r="G864" s="506"/>
      <c r="H864" s="506"/>
      <c r="I864" s="506"/>
      <c r="J864" s="506"/>
      <c r="K864" s="507"/>
      <c r="L864" s="508"/>
      <c r="M864" s="508"/>
      <c r="N864" s="508"/>
      <c r="O864" s="509"/>
      <c r="P864" s="509"/>
    </row>
    <row r="865" spans="1:16" ht="21.75" customHeight="1" x14ac:dyDescent="0.3">
      <c r="A865" s="504"/>
      <c r="B865" s="504"/>
      <c r="C865" s="504"/>
      <c r="D865" s="504"/>
      <c r="E865" s="506"/>
      <c r="F865" s="506"/>
      <c r="G865" s="506"/>
      <c r="H865" s="506"/>
      <c r="I865" s="506"/>
      <c r="J865" s="506"/>
      <c r="K865" s="507"/>
      <c r="L865" s="508"/>
      <c r="M865" s="508"/>
      <c r="N865" s="508"/>
      <c r="O865" s="509"/>
      <c r="P865" s="509"/>
    </row>
    <row r="866" spans="1:16" ht="21.75" customHeight="1" x14ac:dyDescent="0.3">
      <c r="A866" s="504"/>
      <c r="B866" s="504"/>
      <c r="C866" s="504"/>
      <c r="D866" s="504"/>
      <c r="E866" s="506"/>
      <c r="F866" s="506"/>
      <c r="G866" s="506"/>
      <c r="H866" s="506"/>
      <c r="I866" s="506"/>
      <c r="J866" s="506"/>
      <c r="K866" s="507"/>
      <c r="L866" s="508"/>
      <c r="M866" s="508"/>
      <c r="N866" s="508"/>
      <c r="O866" s="509"/>
      <c r="P866" s="509"/>
    </row>
    <row r="867" spans="1:16" ht="21.75" customHeight="1" x14ac:dyDescent="0.3">
      <c r="A867" s="504"/>
      <c r="B867" s="504"/>
      <c r="C867" s="504"/>
      <c r="D867" s="504"/>
      <c r="E867" s="506"/>
      <c r="F867" s="506"/>
      <c r="G867" s="506"/>
      <c r="H867" s="506"/>
      <c r="I867" s="506"/>
      <c r="J867" s="506"/>
      <c r="K867" s="507"/>
      <c r="L867" s="508"/>
      <c r="M867" s="508"/>
      <c r="N867" s="508"/>
      <c r="O867" s="509"/>
      <c r="P867" s="509"/>
    </row>
    <row r="868" spans="1:16" ht="21.75" customHeight="1" x14ac:dyDescent="0.3">
      <c r="A868" s="504"/>
      <c r="B868" s="504"/>
      <c r="C868" s="504"/>
      <c r="D868" s="504"/>
      <c r="E868" s="506"/>
      <c r="F868" s="506"/>
      <c r="G868" s="506"/>
      <c r="H868" s="506"/>
      <c r="I868" s="506"/>
      <c r="J868" s="506"/>
      <c r="K868" s="507"/>
      <c r="L868" s="508"/>
      <c r="M868" s="508"/>
      <c r="N868" s="508"/>
      <c r="O868" s="509"/>
      <c r="P868" s="509"/>
    </row>
    <row r="869" spans="1:16" ht="21.75" customHeight="1" x14ac:dyDescent="0.3">
      <c r="A869" s="504"/>
      <c r="B869" s="504"/>
      <c r="C869" s="504"/>
      <c r="D869" s="504"/>
      <c r="E869" s="506"/>
      <c r="F869" s="506"/>
      <c r="G869" s="506"/>
      <c r="H869" s="506"/>
      <c r="I869" s="506"/>
      <c r="J869" s="506"/>
      <c r="K869" s="507"/>
      <c r="L869" s="508"/>
      <c r="M869" s="508"/>
      <c r="N869" s="508"/>
      <c r="O869" s="509"/>
      <c r="P869" s="509"/>
    </row>
    <row r="870" spans="1:16" ht="21.75" customHeight="1" x14ac:dyDescent="0.3">
      <c r="A870" s="504"/>
      <c r="B870" s="504"/>
      <c r="C870" s="504"/>
      <c r="D870" s="504"/>
      <c r="E870" s="506"/>
      <c r="F870" s="506"/>
      <c r="G870" s="506"/>
      <c r="H870" s="506"/>
      <c r="I870" s="506"/>
      <c r="J870" s="506"/>
      <c r="K870" s="507"/>
      <c r="L870" s="508"/>
      <c r="M870" s="508"/>
      <c r="N870" s="508"/>
      <c r="O870" s="509"/>
      <c r="P870" s="509"/>
    </row>
    <row r="871" spans="1:16" ht="21.75" customHeight="1" x14ac:dyDescent="0.3">
      <c r="A871" s="504"/>
      <c r="B871" s="504"/>
      <c r="C871" s="504"/>
      <c r="D871" s="504"/>
      <c r="E871" s="506"/>
      <c r="F871" s="506"/>
      <c r="G871" s="506"/>
      <c r="H871" s="506"/>
      <c r="I871" s="506"/>
      <c r="J871" s="506"/>
      <c r="K871" s="507"/>
      <c r="L871" s="508"/>
      <c r="M871" s="508"/>
      <c r="N871" s="508"/>
      <c r="O871" s="509"/>
      <c r="P871" s="509"/>
    </row>
    <row r="872" spans="1:16" ht="21.75" customHeight="1" x14ac:dyDescent="0.3">
      <c r="A872" s="504"/>
      <c r="B872" s="504"/>
      <c r="C872" s="504"/>
      <c r="D872" s="504"/>
      <c r="E872" s="506"/>
      <c r="F872" s="506"/>
      <c r="G872" s="506"/>
      <c r="H872" s="506"/>
      <c r="I872" s="506"/>
      <c r="J872" s="506"/>
      <c r="K872" s="507"/>
      <c r="L872" s="508"/>
      <c r="M872" s="508"/>
      <c r="N872" s="508"/>
      <c r="O872" s="509"/>
      <c r="P872" s="509"/>
    </row>
    <row r="873" spans="1:16" ht="21.75" customHeight="1" x14ac:dyDescent="0.3">
      <c r="A873" s="504"/>
      <c r="B873" s="504"/>
      <c r="C873" s="504"/>
      <c r="D873" s="504"/>
      <c r="E873" s="506"/>
      <c r="F873" s="506"/>
      <c r="G873" s="506"/>
      <c r="H873" s="506"/>
      <c r="I873" s="506"/>
      <c r="J873" s="506"/>
      <c r="K873" s="507"/>
      <c r="L873" s="508"/>
      <c r="M873" s="508"/>
      <c r="N873" s="508"/>
      <c r="O873" s="509"/>
      <c r="P873" s="509"/>
    </row>
    <row r="874" spans="1:16" ht="21.75" customHeight="1" x14ac:dyDescent="0.3">
      <c r="A874" s="504"/>
      <c r="B874" s="504"/>
      <c r="C874" s="504"/>
      <c r="D874" s="504"/>
      <c r="E874" s="506"/>
      <c r="F874" s="506"/>
      <c r="G874" s="506"/>
      <c r="H874" s="506"/>
      <c r="I874" s="506"/>
      <c r="J874" s="506"/>
      <c r="K874" s="507"/>
      <c r="L874" s="508"/>
      <c r="M874" s="508"/>
      <c r="N874" s="508"/>
      <c r="O874" s="509"/>
      <c r="P874" s="509"/>
    </row>
    <row r="875" spans="1:16" ht="21.75" customHeight="1" x14ac:dyDescent="0.3">
      <c r="A875" s="504"/>
      <c r="B875" s="504"/>
      <c r="C875" s="504"/>
      <c r="D875" s="504"/>
      <c r="E875" s="506"/>
      <c r="F875" s="506"/>
      <c r="G875" s="506"/>
      <c r="H875" s="506"/>
      <c r="I875" s="506"/>
      <c r="J875" s="506"/>
      <c r="K875" s="507"/>
      <c r="L875" s="508"/>
      <c r="M875" s="508"/>
      <c r="N875" s="508"/>
      <c r="O875" s="509"/>
      <c r="P875" s="509"/>
    </row>
    <row r="876" spans="1:16" ht="21.75" customHeight="1" x14ac:dyDescent="0.3">
      <c r="A876" s="504"/>
      <c r="B876" s="504"/>
      <c r="C876" s="504"/>
      <c r="D876" s="504"/>
      <c r="E876" s="506"/>
      <c r="F876" s="506"/>
      <c r="G876" s="506"/>
      <c r="H876" s="506"/>
      <c r="I876" s="506"/>
      <c r="J876" s="506"/>
      <c r="K876" s="507"/>
      <c r="L876" s="508"/>
      <c r="M876" s="508"/>
      <c r="N876" s="508"/>
      <c r="O876" s="509"/>
      <c r="P876" s="509"/>
    </row>
    <row r="877" spans="1:16" ht="21.75" customHeight="1" x14ac:dyDescent="0.3">
      <c r="A877" s="504"/>
      <c r="B877" s="504"/>
      <c r="C877" s="504"/>
      <c r="D877" s="504"/>
      <c r="E877" s="506"/>
      <c r="F877" s="506"/>
      <c r="G877" s="506"/>
      <c r="H877" s="506"/>
      <c r="I877" s="506"/>
      <c r="J877" s="506"/>
      <c r="K877" s="507"/>
      <c r="L877" s="508"/>
      <c r="M877" s="508"/>
      <c r="N877" s="508"/>
      <c r="O877" s="509"/>
      <c r="P877" s="509"/>
    </row>
    <row r="878" spans="1:16" ht="21.75" customHeight="1" x14ac:dyDescent="0.3">
      <c r="A878" s="504"/>
      <c r="B878" s="504"/>
      <c r="C878" s="504"/>
      <c r="D878" s="504"/>
      <c r="E878" s="506"/>
      <c r="F878" s="506"/>
      <c r="G878" s="506"/>
      <c r="H878" s="506"/>
      <c r="I878" s="506"/>
      <c r="J878" s="506"/>
      <c r="K878" s="507"/>
      <c r="L878" s="508"/>
      <c r="M878" s="508"/>
      <c r="N878" s="508"/>
      <c r="O878" s="509"/>
      <c r="P878" s="509"/>
    </row>
    <row r="879" spans="1:16" ht="21.75" customHeight="1" x14ac:dyDescent="0.3">
      <c r="A879" s="504"/>
      <c r="B879" s="504"/>
      <c r="C879" s="504"/>
      <c r="D879" s="504"/>
      <c r="E879" s="506"/>
      <c r="F879" s="506"/>
      <c r="G879" s="506"/>
      <c r="H879" s="506"/>
      <c r="I879" s="506"/>
      <c r="J879" s="506"/>
      <c r="K879" s="507"/>
      <c r="L879" s="508"/>
      <c r="M879" s="508"/>
      <c r="N879" s="508"/>
      <c r="O879" s="509"/>
      <c r="P879" s="509"/>
    </row>
    <row r="880" spans="1:16" ht="21.75" customHeight="1" x14ac:dyDescent="0.3">
      <c r="A880" s="504"/>
      <c r="B880" s="504"/>
      <c r="C880" s="504"/>
      <c r="D880" s="504"/>
      <c r="E880" s="506"/>
      <c r="F880" s="506"/>
      <c r="G880" s="506"/>
      <c r="H880" s="506"/>
      <c r="I880" s="506"/>
      <c r="J880" s="506"/>
      <c r="K880" s="507"/>
      <c r="L880" s="508"/>
      <c r="M880" s="508"/>
      <c r="N880" s="508"/>
      <c r="O880" s="509"/>
      <c r="P880" s="509"/>
    </row>
    <row r="881" spans="1:16" ht="21.75" customHeight="1" x14ac:dyDescent="0.3">
      <c r="A881" s="504"/>
      <c r="B881" s="504"/>
      <c r="C881" s="504"/>
      <c r="D881" s="504"/>
      <c r="E881" s="506"/>
      <c r="F881" s="506"/>
      <c r="G881" s="506"/>
      <c r="H881" s="506"/>
      <c r="I881" s="506"/>
      <c r="J881" s="506"/>
      <c r="K881" s="507"/>
      <c r="L881" s="508"/>
      <c r="M881" s="508"/>
      <c r="N881" s="508"/>
      <c r="O881" s="509"/>
      <c r="P881" s="509"/>
    </row>
    <row r="882" spans="1:16" ht="21.75" customHeight="1" x14ac:dyDescent="0.3">
      <c r="A882" s="504"/>
      <c r="B882" s="504"/>
      <c r="C882" s="504"/>
      <c r="D882" s="504"/>
      <c r="E882" s="506"/>
      <c r="F882" s="506"/>
      <c r="G882" s="506"/>
      <c r="H882" s="506"/>
      <c r="I882" s="506"/>
      <c r="J882" s="506"/>
      <c r="K882" s="507"/>
      <c r="L882" s="508"/>
      <c r="M882" s="508"/>
      <c r="N882" s="508"/>
      <c r="O882" s="509"/>
      <c r="P882" s="509"/>
    </row>
    <row r="883" spans="1:16" ht="21.75" customHeight="1" x14ac:dyDescent="0.3">
      <c r="A883" s="504"/>
      <c r="B883" s="504"/>
      <c r="C883" s="504"/>
      <c r="D883" s="504"/>
      <c r="E883" s="506"/>
      <c r="F883" s="506"/>
      <c r="G883" s="506"/>
      <c r="H883" s="506"/>
      <c r="I883" s="506"/>
      <c r="J883" s="506"/>
      <c r="K883" s="507"/>
      <c r="L883" s="508"/>
      <c r="M883" s="508"/>
      <c r="N883" s="508"/>
      <c r="O883" s="509"/>
      <c r="P883" s="509"/>
    </row>
    <row r="884" spans="1:16" ht="21.75" customHeight="1" x14ac:dyDescent="0.3">
      <c r="A884" s="504"/>
      <c r="B884" s="504"/>
      <c r="C884" s="504"/>
      <c r="D884" s="504"/>
      <c r="E884" s="506"/>
      <c r="F884" s="506"/>
      <c r="G884" s="506"/>
      <c r="H884" s="506"/>
      <c r="I884" s="506"/>
      <c r="J884" s="506"/>
      <c r="K884" s="507"/>
      <c r="L884" s="508"/>
      <c r="M884" s="508"/>
      <c r="N884" s="508"/>
      <c r="O884" s="509"/>
      <c r="P884" s="509"/>
    </row>
    <row r="885" spans="1:16" ht="21.75" customHeight="1" x14ac:dyDescent="0.3">
      <c r="A885" s="504"/>
      <c r="B885" s="504"/>
      <c r="C885" s="504"/>
      <c r="D885" s="504"/>
      <c r="E885" s="506"/>
      <c r="F885" s="506"/>
      <c r="G885" s="506"/>
      <c r="H885" s="506"/>
      <c r="I885" s="506"/>
      <c r="J885" s="506"/>
      <c r="K885" s="507"/>
      <c r="L885" s="508"/>
      <c r="M885" s="508"/>
      <c r="N885" s="508"/>
      <c r="O885" s="509"/>
      <c r="P885" s="509"/>
    </row>
    <row r="886" spans="1:16" ht="21.75" customHeight="1" x14ac:dyDescent="0.3">
      <c r="A886" s="504"/>
      <c r="B886" s="504"/>
      <c r="C886" s="504"/>
      <c r="D886" s="504"/>
      <c r="E886" s="506"/>
      <c r="F886" s="506"/>
      <c r="G886" s="506"/>
      <c r="H886" s="506"/>
      <c r="I886" s="506"/>
      <c r="J886" s="506"/>
      <c r="K886" s="507"/>
      <c r="L886" s="508"/>
      <c r="M886" s="508"/>
      <c r="N886" s="508"/>
      <c r="O886" s="509"/>
      <c r="P886" s="509"/>
    </row>
    <row r="887" spans="1:16" ht="21.75" customHeight="1" x14ac:dyDescent="0.3">
      <c r="A887" s="504"/>
      <c r="B887" s="504"/>
      <c r="C887" s="504"/>
      <c r="D887" s="504"/>
      <c r="E887" s="506"/>
      <c r="F887" s="506"/>
      <c r="G887" s="506"/>
      <c r="H887" s="506"/>
      <c r="I887" s="506"/>
      <c r="J887" s="506"/>
      <c r="K887" s="507"/>
      <c r="L887" s="508"/>
      <c r="M887" s="508"/>
      <c r="N887" s="508"/>
      <c r="O887" s="509"/>
      <c r="P887" s="509"/>
    </row>
    <row r="888" spans="1:16" ht="21.75" customHeight="1" x14ac:dyDescent="0.3">
      <c r="A888" s="504"/>
      <c r="B888" s="504"/>
      <c r="C888" s="504"/>
      <c r="D888" s="504"/>
      <c r="E888" s="506"/>
      <c r="F888" s="506"/>
      <c r="G888" s="506"/>
      <c r="H888" s="506"/>
      <c r="I888" s="506"/>
      <c r="J888" s="506"/>
      <c r="K888" s="507"/>
      <c r="L888" s="508"/>
      <c r="M888" s="508"/>
      <c r="N888" s="508"/>
      <c r="O888" s="509"/>
      <c r="P888" s="509"/>
    </row>
    <row r="889" spans="1:16" ht="21.75" customHeight="1" x14ac:dyDescent="0.3">
      <c r="A889" s="504"/>
      <c r="B889" s="504"/>
      <c r="C889" s="504"/>
      <c r="D889" s="504"/>
      <c r="E889" s="506"/>
      <c r="F889" s="506"/>
      <c r="G889" s="506"/>
      <c r="H889" s="506"/>
      <c r="I889" s="506"/>
      <c r="J889" s="506"/>
      <c r="K889" s="507"/>
      <c r="L889" s="508"/>
      <c r="M889" s="508"/>
      <c r="N889" s="508"/>
      <c r="O889" s="509"/>
      <c r="P889" s="509"/>
    </row>
    <row r="890" spans="1:16" ht="21.75" customHeight="1" x14ac:dyDescent="0.3">
      <c r="A890" s="504"/>
      <c r="B890" s="504"/>
      <c r="C890" s="504"/>
      <c r="D890" s="504"/>
      <c r="E890" s="506"/>
      <c r="F890" s="506"/>
      <c r="G890" s="506"/>
      <c r="H890" s="506"/>
      <c r="I890" s="506"/>
      <c r="J890" s="506"/>
      <c r="K890" s="507"/>
      <c r="L890" s="508"/>
      <c r="M890" s="508"/>
      <c r="N890" s="508"/>
      <c r="O890" s="509"/>
      <c r="P890" s="509"/>
    </row>
    <row r="891" spans="1:16" ht="21.75" customHeight="1" x14ac:dyDescent="0.3">
      <c r="A891" s="504"/>
      <c r="B891" s="504"/>
      <c r="C891" s="504"/>
      <c r="D891" s="504"/>
      <c r="E891" s="506"/>
      <c r="F891" s="506"/>
      <c r="G891" s="506"/>
      <c r="H891" s="506"/>
      <c r="I891" s="506"/>
      <c r="J891" s="506"/>
      <c r="K891" s="507"/>
      <c r="L891" s="508"/>
      <c r="M891" s="508"/>
      <c r="N891" s="508"/>
      <c r="O891" s="509"/>
      <c r="P891" s="509"/>
    </row>
    <row r="892" spans="1:16" ht="21.75" customHeight="1" x14ac:dyDescent="0.3">
      <c r="A892" s="504"/>
      <c r="B892" s="504"/>
      <c r="C892" s="504"/>
      <c r="D892" s="504"/>
      <c r="E892" s="506"/>
      <c r="F892" s="506"/>
      <c r="G892" s="506"/>
      <c r="H892" s="506"/>
      <c r="I892" s="506"/>
      <c r="J892" s="506"/>
      <c r="K892" s="507"/>
      <c r="L892" s="508"/>
      <c r="M892" s="508"/>
      <c r="N892" s="508"/>
      <c r="O892" s="509"/>
      <c r="P892" s="509"/>
    </row>
    <row r="893" spans="1:16" ht="21.75" customHeight="1" x14ac:dyDescent="0.3">
      <c r="A893" s="504"/>
      <c r="B893" s="504"/>
      <c r="C893" s="504"/>
      <c r="D893" s="504"/>
      <c r="E893" s="506"/>
      <c r="F893" s="506"/>
      <c r="G893" s="506"/>
      <c r="H893" s="506"/>
      <c r="I893" s="506"/>
      <c r="J893" s="506"/>
      <c r="K893" s="507"/>
      <c r="L893" s="508"/>
      <c r="M893" s="508"/>
      <c r="N893" s="508"/>
      <c r="O893" s="509"/>
      <c r="P893" s="509"/>
    </row>
    <row r="894" spans="1:16" ht="21.75" customHeight="1" x14ac:dyDescent="0.3">
      <c r="A894" s="504"/>
      <c r="B894" s="504"/>
      <c r="C894" s="504"/>
      <c r="D894" s="504"/>
      <c r="E894" s="506"/>
      <c r="F894" s="506"/>
      <c r="G894" s="506"/>
      <c r="H894" s="506"/>
      <c r="I894" s="506"/>
      <c r="J894" s="506"/>
      <c r="K894" s="507"/>
      <c r="L894" s="508"/>
      <c r="M894" s="508"/>
      <c r="N894" s="508"/>
      <c r="O894" s="509"/>
      <c r="P894" s="509"/>
    </row>
    <row r="895" spans="1:16" ht="21.75" customHeight="1" x14ac:dyDescent="0.3">
      <c r="A895" s="504"/>
      <c r="B895" s="504"/>
      <c r="C895" s="504"/>
      <c r="D895" s="504"/>
      <c r="E895" s="506"/>
      <c r="F895" s="506"/>
      <c r="G895" s="506"/>
      <c r="H895" s="506"/>
      <c r="I895" s="506"/>
      <c r="J895" s="506"/>
      <c r="K895" s="507"/>
      <c r="L895" s="508"/>
      <c r="M895" s="508"/>
      <c r="N895" s="508"/>
      <c r="O895" s="509"/>
      <c r="P895" s="509"/>
    </row>
    <row r="896" spans="1:16" ht="21.75" customHeight="1" x14ac:dyDescent="0.3">
      <c r="A896" s="504"/>
      <c r="B896" s="504"/>
      <c r="C896" s="504"/>
      <c r="D896" s="504"/>
      <c r="E896" s="506"/>
      <c r="F896" s="506"/>
      <c r="G896" s="506"/>
      <c r="H896" s="506"/>
      <c r="I896" s="506"/>
      <c r="J896" s="506"/>
      <c r="K896" s="507"/>
      <c r="L896" s="508"/>
      <c r="M896" s="508"/>
      <c r="N896" s="508"/>
      <c r="O896" s="509"/>
      <c r="P896" s="509"/>
    </row>
    <row r="897" spans="1:16" ht="21.75" customHeight="1" x14ac:dyDescent="0.3">
      <c r="A897" s="504"/>
      <c r="B897" s="504"/>
      <c r="C897" s="504"/>
      <c r="D897" s="504"/>
      <c r="E897" s="506"/>
      <c r="F897" s="506"/>
      <c r="G897" s="506"/>
      <c r="H897" s="506"/>
      <c r="I897" s="506"/>
      <c r="J897" s="506"/>
      <c r="K897" s="507"/>
      <c r="L897" s="508"/>
      <c r="M897" s="508"/>
      <c r="N897" s="508"/>
      <c r="O897" s="509"/>
      <c r="P897" s="509"/>
    </row>
    <row r="898" spans="1:16" ht="21.75" customHeight="1" x14ac:dyDescent="0.3">
      <c r="A898" s="504"/>
      <c r="B898" s="504"/>
      <c r="C898" s="504"/>
      <c r="D898" s="504"/>
      <c r="E898" s="506"/>
      <c r="F898" s="506"/>
      <c r="G898" s="506"/>
      <c r="H898" s="506"/>
      <c r="I898" s="506"/>
      <c r="J898" s="506"/>
      <c r="K898" s="507"/>
      <c r="L898" s="508"/>
      <c r="M898" s="508"/>
      <c r="N898" s="508"/>
      <c r="O898" s="509"/>
      <c r="P898" s="509"/>
    </row>
    <row r="899" spans="1:16" ht="21.75" customHeight="1" x14ac:dyDescent="0.3">
      <c r="A899" s="504"/>
      <c r="B899" s="504"/>
      <c r="C899" s="504"/>
      <c r="D899" s="504"/>
      <c r="E899" s="506"/>
      <c r="F899" s="506"/>
      <c r="G899" s="506"/>
      <c r="H899" s="506"/>
      <c r="I899" s="506"/>
      <c r="J899" s="506"/>
      <c r="K899" s="507"/>
      <c r="L899" s="508"/>
      <c r="M899" s="508"/>
      <c r="N899" s="508"/>
      <c r="O899" s="509"/>
      <c r="P899" s="509"/>
    </row>
    <row r="900" spans="1:16" ht="21.75" customHeight="1" x14ac:dyDescent="0.3">
      <c r="A900" s="504"/>
      <c r="B900" s="504"/>
      <c r="C900" s="504"/>
      <c r="D900" s="504"/>
      <c r="E900" s="506"/>
      <c r="F900" s="506"/>
      <c r="G900" s="506"/>
      <c r="H900" s="506"/>
      <c r="I900" s="506"/>
      <c r="J900" s="506"/>
      <c r="K900" s="507"/>
      <c r="L900" s="508"/>
      <c r="M900" s="508"/>
      <c r="N900" s="508"/>
      <c r="O900" s="509"/>
      <c r="P900" s="509"/>
    </row>
    <row r="901" spans="1:16" ht="21.75" customHeight="1" x14ac:dyDescent="0.3">
      <c r="A901" s="504"/>
      <c r="B901" s="504"/>
      <c r="C901" s="504"/>
      <c r="D901" s="504"/>
      <c r="E901" s="506"/>
      <c r="F901" s="506"/>
      <c r="G901" s="506"/>
      <c r="H901" s="506"/>
      <c r="I901" s="506"/>
      <c r="J901" s="506"/>
      <c r="K901" s="507"/>
      <c r="L901" s="508"/>
      <c r="M901" s="508"/>
      <c r="N901" s="508"/>
      <c r="O901" s="509"/>
      <c r="P901" s="509"/>
    </row>
    <row r="902" spans="1:16" ht="21.75" customHeight="1" x14ac:dyDescent="0.3">
      <c r="A902" s="504"/>
      <c r="B902" s="504"/>
      <c r="C902" s="504"/>
      <c r="D902" s="504"/>
      <c r="E902" s="506"/>
      <c r="F902" s="506"/>
      <c r="G902" s="506"/>
      <c r="H902" s="506"/>
      <c r="I902" s="506"/>
      <c r="J902" s="506"/>
      <c r="K902" s="507"/>
      <c r="L902" s="508"/>
      <c r="M902" s="508"/>
      <c r="N902" s="508"/>
      <c r="O902" s="509"/>
      <c r="P902" s="509"/>
    </row>
    <row r="903" spans="1:16" ht="21.75" customHeight="1" x14ac:dyDescent="0.3">
      <c r="A903" s="504"/>
      <c r="B903" s="504"/>
      <c r="C903" s="504"/>
      <c r="D903" s="504"/>
      <c r="E903" s="506"/>
      <c r="F903" s="506"/>
      <c r="G903" s="506"/>
      <c r="H903" s="506"/>
      <c r="I903" s="506"/>
      <c r="J903" s="506"/>
      <c r="K903" s="507"/>
      <c r="L903" s="508"/>
      <c r="M903" s="508"/>
      <c r="N903" s="508"/>
      <c r="O903" s="509"/>
      <c r="P903" s="509"/>
    </row>
    <row r="904" spans="1:16" ht="21.75" customHeight="1" x14ac:dyDescent="0.3">
      <c r="A904" s="504"/>
      <c r="B904" s="504"/>
      <c r="C904" s="504"/>
      <c r="D904" s="504"/>
      <c r="E904" s="506"/>
      <c r="F904" s="506"/>
      <c r="G904" s="506"/>
      <c r="H904" s="506"/>
      <c r="I904" s="506"/>
      <c r="J904" s="506"/>
      <c r="K904" s="507"/>
      <c r="L904" s="508"/>
      <c r="M904" s="508"/>
      <c r="N904" s="508"/>
      <c r="O904" s="509"/>
      <c r="P904" s="509"/>
    </row>
    <row r="905" spans="1:16" ht="21.75" customHeight="1" x14ac:dyDescent="0.3">
      <c r="A905" s="504"/>
      <c r="B905" s="504"/>
      <c r="C905" s="504"/>
      <c r="D905" s="504"/>
      <c r="E905" s="506"/>
      <c r="F905" s="506"/>
      <c r="G905" s="506"/>
      <c r="H905" s="506"/>
      <c r="I905" s="506"/>
      <c r="J905" s="506"/>
      <c r="K905" s="507"/>
      <c r="L905" s="508"/>
      <c r="M905" s="508"/>
      <c r="N905" s="508"/>
      <c r="O905" s="509"/>
      <c r="P905" s="509"/>
    </row>
    <row r="906" spans="1:16" ht="21.75" customHeight="1" x14ac:dyDescent="0.3">
      <c r="A906" s="504"/>
      <c r="B906" s="504"/>
      <c r="C906" s="504"/>
      <c r="D906" s="504"/>
      <c r="E906" s="506"/>
      <c r="F906" s="506"/>
      <c r="G906" s="506"/>
      <c r="H906" s="506"/>
      <c r="I906" s="506"/>
      <c r="J906" s="506"/>
      <c r="K906" s="507"/>
      <c r="L906" s="508"/>
      <c r="M906" s="508"/>
      <c r="N906" s="508"/>
      <c r="O906" s="509"/>
      <c r="P906" s="509"/>
    </row>
    <row r="907" spans="1:16" ht="21.75" customHeight="1" x14ac:dyDescent="0.3">
      <c r="A907" s="504"/>
      <c r="B907" s="504"/>
      <c r="C907" s="504"/>
      <c r="D907" s="504"/>
      <c r="E907" s="506"/>
      <c r="F907" s="506"/>
      <c r="G907" s="506"/>
      <c r="H907" s="506"/>
      <c r="I907" s="506"/>
      <c r="J907" s="506"/>
      <c r="K907" s="507"/>
      <c r="L907" s="508"/>
      <c r="M907" s="508"/>
      <c r="N907" s="508"/>
      <c r="O907" s="509"/>
      <c r="P907" s="509"/>
    </row>
    <row r="908" spans="1:16" ht="21.75" customHeight="1" x14ac:dyDescent="0.3">
      <c r="A908" s="504"/>
      <c r="B908" s="504"/>
      <c r="C908" s="504"/>
      <c r="D908" s="504"/>
      <c r="E908" s="506"/>
      <c r="F908" s="506"/>
      <c r="G908" s="506"/>
      <c r="H908" s="506"/>
      <c r="I908" s="506"/>
      <c r="J908" s="506"/>
      <c r="K908" s="507"/>
      <c r="L908" s="508"/>
      <c r="M908" s="508"/>
      <c r="N908" s="508"/>
      <c r="O908" s="509"/>
      <c r="P908" s="509"/>
    </row>
    <row r="909" spans="1:16" ht="21.75" customHeight="1" x14ac:dyDescent="0.3">
      <c r="A909" s="504"/>
      <c r="B909" s="504"/>
      <c r="C909" s="504"/>
      <c r="D909" s="504"/>
      <c r="E909" s="506"/>
      <c r="F909" s="506"/>
      <c r="G909" s="506"/>
      <c r="H909" s="506"/>
      <c r="I909" s="506"/>
      <c r="J909" s="506"/>
      <c r="K909" s="507"/>
      <c r="L909" s="508"/>
      <c r="M909" s="508"/>
      <c r="N909" s="508"/>
      <c r="O909" s="509"/>
      <c r="P909" s="509"/>
    </row>
    <row r="910" spans="1:16" ht="21.75" customHeight="1" x14ac:dyDescent="0.3">
      <c r="A910" s="504"/>
      <c r="B910" s="504"/>
      <c r="C910" s="504"/>
      <c r="D910" s="504"/>
      <c r="E910" s="506"/>
      <c r="F910" s="506"/>
      <c r="G910" s="506"/>
      <c r="H910" s="506"/>
      <c r="I910" s="506"/>
      <c r="J910" s="506"/>
      <c r="K910" s="507"/>
      <c r="L910" s="508"/>
      <c r="M910" s="508"/>
      <c r="N910" s="508"/>
      <c r="O910" s="509"/>
      <c r="P910" s="509"/>
    </row>
    <row r="911" spans="1:16" ht="21.75" customHeight="1" x14ac:dyDescent="0.3">
      <c r="A911" s="504"/>
      <c r="B911" s="504"/>
      <c r="C911" s="504"/>
      <c r="D911" s="504"/>
      <c r="E911" s="506"/>
      <c r="F911" s="506"/>
      <c r="G911" s="506"/>
      <c r="H911" s="506"/>
      <c r="I911" s="506"/>
      <c r="J911" s="506"/>
      <c r="K911" s="507"/>
      <c r="L911" s="508"/>
      <c r="M911" s="508"/>
      <c r="N911" s="508"/>
      <c r="O911" s="509"/>
      <c r="P911" s="509"/>
    </row>
    <row r="912" spans="1:16" ht="21.75" customHeight="1" x14ac:dyDescent="0.3">
      <c r="A912" s="504"/>
      <c r="B912" s="504"/>
      <c r="C912" s="504"/>
      <c r="D912" s="504"/>
      <c r="E912" s="506"/>
      <c r="F912" s="506"/>
      <c r="G912" s="506"/>
      <c r="H912" s="506"/>
      <c r="I912" s="506"/>
      <c r="J912" s="506"/>
      <c r="K912" s="507"/>
      <c r="L912" s="508"/>
      <c r="M912" s="508"/>
      <c r="N912" s="508"/>
      <c r="O912" s="509"/>
      <c r="P912" s="509"/>
    </row>
    <row r="913" spans="1:16" ht="21.75" customHeight="1" x14ac:dyDescent="0.3">
      <c r="A913" s="504"/>
      <c r="B913" s="504"/>
      <c r="C913" s="504"/>
      <c r="D913" s="504"/>
      <c r="E913" s="506"/>
      <c r="F913" s="506"/>
      <c r="G913" s="506"/>
      <c r="H913" s="506"/>
      <c r="I913" s="506"/>
      <c r="J913" s="506"/>
      <c r="K913" s="507"/>
      <c r="L913" s="508"/>
      <c r="M913" s="508"/>
      <c r="N913" s="508"/>
      <c r="O913" s="509"/>
      <c r="P913" s="509"/>
    </row>
    <row r="914" spans="1:16" ht="21.75" customHeight="1" x14ac:dyDescent="0.3">
      <c r="A914" s="504"/>
      <c r="B914" s="504"/>
      <c r="C914" s="504"/>
      <c r="D914" s="504"/>
      <c r="E914" s="506"/>
      <c r="F914" s="506"/>
      <c r="G914" s="506"/>
      <c r="H914" s="506"/>
      <c r="I914" s="506"/>
      <c r="J914" s="506"/>
      <c r="K914" s="507"/>
      <c r="L914" s="508"/>
      <c r="M914" s="508"/>
      <c r="N914" s="508"/>
      <c r="O914" s="509"/>
      <c r="P914" s="509"/>
    </row>
    <row r="915" spans="1:16" ht="21.75" customHeight="1" x14ac:dyDescent="0.3">
      <c r="A915" s="504"/>
      <c r="B915" s="504"/>
      <c r="C915" s="504"/>
      <c r="D915" s="504"/>
      <c r="E915" s="506"/>
      <c r="F915" s="506"/>
      <c r="G915" s="506"/>
      <c r="H915" s="506"/>
      <c r="I915" s="506"/>
      <c r="J915" s="506"/>
      <c r="K915" s="507"/>
      <c r="L915" s="508"/>
      <c r="M915" s="508"/>
      <c r="N915" s="508"/>
      <c r="O915" s="509"/>
      <c r="P915" s="509"/>
    </row>
    <row r="916" spans="1:16" ht="21.75" customHeight="1" x14ac:dyDescent="0.3">
      <c r="A916" s="504"/>
      <c r="B916" s="504"/>
      <c r="C916" s="504"/>
      <c r="D916" s="504"/>
      <c r="E916" s="506"/>
      <c r="F916" s="506"/>
      <c r="G916" s="506"/>
      <c r="H916" s="506"/>
      <c r="I916" s="506"/>
      <c r="J916" s="506"/>
      <c r="K916" s="507"/>
      <c r="L916" s="508"/>
      <c r="M916" s="508"/>
      <c r="N916" s="508"/>
      <c r="O916" s="509"/>
      <c r="P916" s="509"/>
    </row>
    <row r="917" spans="1:16" ht="21.75" customHeight="1" x14ac:dyDescent="0.3">
      <c r="A917" s="504"/>
      <c r="B917" s="504"/>
      <c r="C917" s="504"/>
      <c r="D917" s="504"/>
      <c r="E917" s="506"/>
      <c r="F917" s="506"/>
      <c r="G917" s="506"/>
      <c r="H917" s="506"/>
      <c r="I917" s="506"/>
      <c r="J917" s="506"/>
      <c r="K917" s="507"/>
      <c r="L917" s="508"/>
      <c r="M917" s="508"/>
      <c r="N917" s="508"/>
      <c r="O917" s="509"/>
      <c r="P917" s="509"/>
    </row>
    <row r="918" spans="1:16" ht="21.75" customHeight="1" x14ac:dyDescent="0.3">
      <c r="A918" s="504"/>
      <c r="B918" s="504"/>
      <c r="C918" s="504"/>
      <c r="D918" s="504"/>
      <c r="E918" s="506"/>
      <c r="F918" s="506"/>
      <c r="G918" s="506"/>
      <c r="H918" s="506"/>
      <c r="I918" s="506"/>
      <c r="J918" s="506"/>
      <c r="K918" s="507"/>
      <c r="L918" s="508"/>
      <c r="M918" s="508"/>
      <c r="N918" s="508"/>
      <c r="O918" s="509"/>
      <c r="P918" s="509"/>
    </row>
    <row r="919" spans="1:16" ht="21.75" customHeight="1" x14ac:dyDescent="0.3">
      <c r="A919" s="504"/>
      <c r="B919" s="504"/>
      <c r="C919" s="504"/>
      <c r="D919" s="504"/>
      <c r="E919" s="506"/>
      <c r="F919" s="506"/>
      <c r="G919" s="506"/>
      <c r="H919" s="506"/>
      <c r="I919" s="506"/>
      <c r="J919" s="506"/>
      <c r="K919" s="507"/>
      <c r="L919" s="508"/>
      <c r="M919" s="508"/>
      <c r="N919" s="508"/>
      <c r="O919" s="509"/>
      <c r="P919" s="509"/>
    </row>
    <row r="920" spans="1:16" ht="21.75" customHeight="1" x14ac:dyDescent="0.3">
      <c r="A920" s="504"/>
      <c r="B920" s="504"/>
      <c r="C920" s="504"/>
      <c r="D920" s="504"/>
      <c r="E920" s="506"/>
      <c r="F920" s="506"/>
      <c r="G920" s="506"/>
      <c r="H920" s="506"/>
      <c r="I920" s="506"/>
      <c r="J920" s="506"/>
      <c r="K920" s="507"/>
      <c r="L920" s="508"/>
      <c r="M920" s="508"/>
      <c r="N920" s="508"/>
      <c r="O920" s="509"/>
      <c r="P920" s="509"/>
    </row>
    <row r="921" spans="1:16" ht="21.75" customHeight="1" x14ac:dyDescent="0.3">
      <c r="A921" s="504"/>
      <c r="B921" s="504"/>
      <c r="C921" s="504"/>
      <c r="D921" s="504"/>
      <c r="E921" s="506"/>
      <c r="F921" s="506"/>
      <c r="G921" s="506"/>
      <c r="H921" s="506"/>
      <c r="I921" s="506"/>
      <c r="J921" s="506"/>
      <c r="K921" s="507"/>
      <c r="L921" s="508"/>
      <c r="M921" s="508"/>
      <c r="N921" s="508"/>
      <c r="O921" s="509"/>
      <c r="P921" s="509"/>
    </row>
    <row r="922" spans="1:16" ht="21.75" customHeight="1" x14ac:dyDescent="0.3">
      <c r="A922" s="504"/>
      <c r="B922" s="504"/>
      <c r="C922" s="504"/>
      <c r="D922" s="504"/>
      <c r="E922" s="506"/>
      <c r="F922" s="506"/>
      <c r="G922" s="506"/>
      <c r="H922" s="506"/>
      <c r="I922" s="506"/>
      <c r="J922" s="506"/>
      <c r="K922" s="507"/>
      <c r="L922" s="508"/>
      <c r="M922" s="508"/>
      <c r="N922" s="508"/>
      <c r="O922" s="509"/>
      <c r="P922" s="509"/>
    </row>
    <row r="923" spans="1:16" ht="21.75" customHeight="1" x14ac:dyDescent="0.3">
      <c r="A923" s="504"/>
      <c r="B923" s="504"/>
      <c r="C923" s="504"/>
      <c r="D923" s="504"/>
      <c r="E923" s="506"/>
      <c r="F923" s="506"/>
      <c r="G923" s="506"/>
      <c r="H923" s="506"/>
      <c r="I923" s="506"/>
      <c r="J923" s="506"/>
      <c r="K923" s="507"/>
      <c r="L923" s="508"/>
      <c r="M923" s="508"/>
      <c r="N923" s="508"/>
      <c r="O923" s="509"/>
      <c r="P923" s="509"/>
    </row>
    <row r="924" spans="1:16" ht="21.75" customHeight="1" x14ac:dyDescent="0.3">
      <c r="A924" s="504"/>
      <c r="B924" s="504"/>
      <c r="C924" s="504"/>
      <c r="D924" s="504"/>
      <c r="E924" s="506"/>
      <c r="F924" s="506"/>
      <c r="G924" s="506"/>
      <c r="H924" s="506"/>
      <c r="I924" s="506"/>
      <c r="J924" s="506"/>
      <c r="K924" s="507"/>
      <c r="L924" s="508"/>
      <c r="M924" s="508"/>
      <c r="N924" s="508"/>
      <c r="O924" s="509"/>
      <c r="P924" s="509"/>
    </row>
    <row r="925" spans="1:16" ht="21.75" customHeight="1" x14ac:dyDescent="0.3">
      <c r="A925" s="504"/>
      <c r="B925" s="504"/>
      <c r="C925" s="504"/>
      <c r="D925" s="504"/>
      <c r="E925" s="506"/>
      <c r="F925" s="506"/>
      <c r="G925" s="506"/>
      <c r="H925" s="506"/>
      <c r="I925" s="506"/>
      <c r="J925" s="506"/>
      <c r="K925" s="507"/>
      <c r="L925" s="508"/>
      <c r="M925" s="508"/>
      <c r="N925" s="508"/>
      <c r="O925" s="509"/>
      <c r="P925" s="509"/>
    </row>
    <row r="926" spans="1:16" ht="21.75" customHeight="1" x14ac:dyDescent="0.3">
      <c r="A926" s="504"/>
      <c r="B926" s="504"/>
      <c r="C926" s="504"/>
      <c r="D926" s="504"/>
      <c r="E926" s="506"/>
      <c r="F926" s="506"/>
      <c r="G926" s="506"/>
      <c r="H926" s="506"/>
      <c r="I926" s="506"/>
      <c r="J926" s="506"/>
      <c r="K926" s="507"/>
      <c r="L926" s="508"/>
      <c r="M926" s="508"/>
      <c r="N926" s="508"/>
      <c r="O926" s="509"/>
      <c r="P926" s="509"/>
    </row>
    <row r="927" spans="1:16" ht="21.75" customHeight="1" x14ac:dyDescent="0.3">
      <c r="A927" s="504"/>
      <c r="B927" s="504"/>
      <c r="C927" s="504"/>
      <c r="D927" s="504"/>
      <c r="E927" s="506"/>
      <c r="F927" s="506"/>
      <c r="G927" s="506"/>
      <c r="H927" s="506"/>
      <c r="I927" s="506"/>
      <c r="J927" s="506"/>
      <c r="K927" s="507"/>
      <c r="L927" s="508"/>
      <c r="M927" s="508"/>
      <c r="N927" s="508"/>
      <c r="O927" s="509"/>
      <c r="P927" s="509"/>
    </row>
    <row r="928" spans="1:16" ht="21.75" customHeight="1" x14ac:dyDescent="0.3">
      <c r="A928" s="504"/>
      <c r="B928" s="504"/>
      <c r="C928" s="504"/>
      <c r="D928" s="504"/>
      <c r="E928" s="506"/>
      <c r="F928" s="506"/>
      <c r="G928" s="506"/>
      <c r="H928" s="506"/>
      <c r="I928" s="506"/>
      <c r="J928" s="506"/>
      <c r="K928" s="507"/>
      <c r="L928" s="508"/>
      <c r="M928" s="508"/>
      <c r="N928" s="508"/>
      <c r="O928" s="509"/>
      <c r="P928" s="509"/>
    </row>
    <row r="929" spans="1:16" ht="21.75" customHeight="1" x14ac:dyDescent="0.3">
      <c r="A929" s="504"/>
      <c r="B929" s="504"/>
      <c r="C929" s="504"/>
      <c r="D929" s="504"/>
      <c r="E929" s="506"/>
      <c r="F929" s="506"/>
      <c r="G929" s="506"/>
      <c r="H929" s="506"/>
      <c r="I929" s="506"/>
      <c r="J929" s="506"/>
      <c r="K929" s="507"/>
      <c r="L929" s="508"/>
      <c r="M929" s="508"/>
      <c r="N929" s="508"/>
      <c r="O929" s="509"/>
      <c r="P929" s="509"/>
    </row>
    <row r="930" spans="1:16" ht="21.75" customHeight="1" x14ac:dyDescent="0.3">
      <c r="A930" s="504"/>
      <c r="B930" s="504"/>
      <c r="C930" s="504"/>
      <c r="D930" s="504"/>
      <c r="E930" s="506"/>
      <c r="F930" s="506"/>
      <c r="G930" s="506"/>
      <c r="H930" s="506"/>
      <c r="I930" s="506"/>
      <c r="J930" s="506"/>
      <c r="K930" s="507"/>
      <c r="L930" s="508"/>
      <c r="M930" s="508"/>
      <c r="N930" s="508"/>
      <c r="O930" s="509"/>
      <c r="P930" s="509"/>
    </row>
    <row r="931" spans="1:16" ht="21.75" customHeight="1" x14ac:dyDescent="0.3">
      <c r="A931" s="504"/>
      <c r="B931" s="504"/>
      <c r="C931" s="504"/>
      <c r="D931" s="504"/>
      <c r="E931" s="506"/>
      <c r="F931" s="506"/>
      <c r="G931" s="506"/>
      <c r="H931" s="506"/>
      <c r="I931" s="506"/>
      <c r="J931" s="506"/>
      <c r="K931" s="507"/>
      <c r="L931" s="508"/>
      <c r="M931" s="508"/>
      <c r="N931" s="508"/>
      <c r="O931" s="509"/>
      <c r="P931" s="509"/>
    </row>
    <row r="932" spans="1:16" ht="21.75" customHeight="1" x14ac:dyDescent="0.3">
      <c r="A932" s="504"/>
      <c r="B932" s="504"/>
      <c r="C932" s="504"/>
      <c r="D932" s="504"/>
      <c r="E932" s="506"/>
      <c r="F932" s="506"/>
      <c r="G932" s="506"/>
      <c r="H932" s="506"/>
      <c r="I932" s="506"/>
      <c r="J932" s="506"/>
      <c r="K932" s="507"/>
      <c r="L932" s="508"/>
      <c r="M932" s="508"/>
      <c r="N932" s="508"/>
      <c r="O932" s="509"/>
      <c r="P932" s="509"/>
    </row>
    <row r="933" spans="1:16" ht="21.75" customHeight="1" x14ac:dyDescent="0.3">
      <c r="A933" s="504"/>
      <c r="B933" s="504"/>
      <c r="C933" s="504"/>
      <c r="D933" s="504"/>
      <c r="E933" s="506"/>
      <c r="F933" s="506"/>
      <c r="G933" s="506"/>
      <c r="H933" s="506"/>
      <c r="I933" s="506"/>
      <c r="J933" s="506"/>
      <c r="K933" s="507"/>
      <c r="L933" s="508"/>
      <c r="M933" s="508"/>
      <c r="N933" s="508"/>
      <c r="O933" s="509"/>
      <c r="P933" s="509"/>
    </row>
    <row r="934" spans="1:16" ht="21.75" customHeight="1" x14ac:dyDescent="0.3">
      <c r="A934" s="504"/>
      <c r="B934" s="504"/>
      <c r="C934" s="504"/>
      <c r="D934" s="504"/>
      <c r="E934" s="506"/>
      <c r="F934" s="506"/>
      <c r="G934" s="506"/>
      <c r="H934" s="506"/>
      <c r="I934" s="506"/>
      <c r="J934" s="506"/>
      <c r="K934" s="507"/>
      <c r="L934" s="508"/>
      <c r="M934" s="508"/>
      <c r="N934" s="508"/>
      <c r="O934" s="509"/>
      <c r="P934" s="509"/>
    </row>
    <row r="935" spans="1:16" ht="21.75" customHeight="1" x14ac:dyDescent="0.3">
      <c r="A935" s="504"/>
      <c r="B935" s="504"/>
      <c r="C935" s="504"/>
      <c r="D935" s="504"/>
      <c r="E935" s="506"/>
      <c r="F935" s="506"/>
      <c r="G935" s="506"/>
      <c r="H935" s="506"/>
      <c r="I935" s="506"/>
      <c r="J935" s="506"/>
      <c r="K935" s="507"/>
      <c r="L935" s="508"/>
      <c r="M935" s="508"/>
      <c r="N935" s="508"/>
      <c r="O935" s="509"/>
      <c r="P935" s="509"/>
    </row>
    <row r="936" spans="1:16" ht="21.75" customHeight="1" x14ac:dyDescent="0.3">
      <c r="A936" s="504"/>
      <c r="B936" s="504"/>
      <c r="C936" s="504"/>
      <c r="D936" s="504"/>
      <c r="E936" s="506"/>
      <c r="F936" s="506"/>
      <c r="G936" s="506"/>
      <c r="H936" s="506"/>
      <c r="I936" s="506"/>
      <c r="J936" s="506"/>
      <c r="K936" s="507"/>
      <c r="L936" s="508"/>
      <c r="M936" s="508"/>
      <c r="N936" s="508"/>
      <c r="O936" s="509"/>
      <c r="P936" s="509"/>
    </row>
    <row r="937" spans="1:16" ht="21.75" customHeight="1" x14ac:dyDescent="0.3">
      <c r="A937" s="504"/>
      <c r="B937" s="504"/>
      <c r="C937" s="504"/>
      <c r="D937" s="504"/>
      <c r="E937" s="506"/>
      <c r="F937" s="506"/>
      <c r="G937" s="506"/>
      <c r="H937" s="506"/>
      <c r="I937" s="506"/>
      <c r="J937" s="506"/>
      <c r="K937" s="507"/>
      <c r="L937" s="508"/>
      <c r="M937" s="508"/>
      <c r="N937" s="508"/>
      <c r="O937" s="509"/>
      <c r="P937" s="509"/>
    </row>
    <row r="938" spans="1:16" ht="21.75" customHeight="1" x14ac:dyDescent="0.3">
      <c r="A938" s="504"/>
      <c r="B938" s="504"/>
      <c r="C938" s="504"/>
      <c r="D938" s="504"/>
      <c r="E938" s="506"/>
      <c r="F938" s="506"/>
      <c r="G938" s="506"/>
      <c r="H938" s="506"/>
      <c r="I938" s="506"/>
      <c r="J938" s="506"/>
      <c r="K938" s="507"/>
      <c r="L938" s="508"/>
      <c r="M938" s="508"/>
      <c r="N938" s="508"/>
      <c r="O938" s="509"/>
      <c r="P938" s="509"/>
    </row>
    <row r="939" spans="1:16" ht="21.75" customHeight="1" x14ac:dyDescent="0.3">
      <c r="A939" s="504"/>
      <c r="B939" s="504"/>
      <c r="C939" s="504"/>
      <c r="D939" s="504"/>
      <c r="E939" s="506"/>
      <c r="F939" s="506"/>
      <c r="G939" s="506"/>
      <c r="H939" s="506"/>
      <c r="I939" s="506"/>
      <c r="J939" s="506"/>
      <c r="K939" s="507"/>
      <c r="L939" s="508"/>
      <c r="M939" s="508"/>
      <c r="N939" s="508"/>
      <c r="O939" s="509"/>
      <c r="P939" s="509"/>
    </row>
    <row r="940" spans="1:16" ht="21.75" customHeight="1" x14ac:dyDescent="0.3">
      <c r="A940" s="504"/>
      <c r="B940" s="504"/>
      <c r="C940" s="504"/>
      <c r="D940" s="504"/>
      <c r="E940" s="506"/>
      <c r="F940" s="506"/>
      <c r="G940" s="506"/>
      <c r="H940" s="506"/>
      <c r="I940" s="506"/>
      <c r="J940" s="506"/>
      <c r="K940" s="507"/>
      <c r="L940" s="508"/>
      <c r="M940" s="508"/>
      <c r="N940" s="508"/>
      <c r="O940" s="509"/>
      <c r="P940" s="509"/>
    </row>
    <row r="941" spans="1:16" ht="21.75" customHeight="1" x14ac:dyDescent="0.3">
      <c r="A941" s="504"/>
      <c r="B941" s="504"/>
      <c r="C941" s="504"/>
      <c r="D941" s="504"/>
      <c r="E941" s="506"/>
      <c r="F941" s="506"/>
      <c r="G941" s="506"/>
      <c r="H941" s="506"/>
      <c r="I941" s="506"/>
      <c r="J941" s="506"/>
      <c r="K941" s="507"/>
      <c r="L941" s="508"/>
      <c r="M941" s="508"/>
      <c r="N941" s="508"/>
      <c r="O941" s="509"/>
      <c r="P941" s="509"/>
    </row>
    <row r="942" spans="1:16" ht="21.75" customHeight="1" x14ac:dyDescent="0.3">
      <c r="A942" s="504"/>
      <c r="B942" s="504"/>
      <c r="C942" s="504"/>
      <c r="D942" s="504"/>
      <c r="E942" s="506"/>
      <c r="F942" s="506"/>
      <c r="G942" s="506"/>
      <c r="H942" s="506"/>
      <c r="I942" s="506"/>
      <c r="J942" s="506"/>
      <c r="K942" s="507"/>
      <c r="L942" s="508"/>
      <c r="M942" s="508"/>
      <c r="N942" s="508"/>
      <c r="O942" s="509"/>
      <c r="P942" s="509"/>
    </row>
    <row r="943" spans="1:16" ht="21.75" customHeight="1" x14ac:dyDescent="0.3">
      <c r="A943" s="504"/>
      <c r="B943" s="504"/>
      <c r="C943" s="504"/>
      <c r="D943" s="504"/>
      <c r="E943" s="506"/>
      <c r="F943" s="506"/>
      <c r="G943" s="506"/>
      <c r="H943" s="506"/>
      <c r="I943" s="506"/>
      <c r="J943" s="506"/>
      <c r="K943" s="507"/>
      <c r="L943" s="508"/>
      <c r="M943" s="508"/>
      <c r="N943" s="508"/>
      <c r="O943" s="509"/>
      <c r="P943" s="509"/>
    </row>
    <row r="944" spans="1:16" ht="21.75" customHeight="1" x14ac:dyDescent="0.3">
      <c r="A944" s="504"/>
      <c r="B944" s="504"/>
      <c r="C944" s="504"/>
      <c r="D944" s="504"/>
      <c r="E944" s="506"/>
      <c r="F944" s="506"/>
      <c r="G944" s="506"/>
      <c r="H944" s="506"/>
      <c r="I944" s="506"/>
      <c r="J944" s="506"/>
      <c r="K944" s="507"/>
      <c r="L944" s="508"/>
      <c r="M944" s="508"/>
      <c r="N944" s="508"/>
      <c r="O944" s="509"/>
      <c r="P944" s="509"/>
    </row>
    <row r="945" spans="1:16" ht="21.75" customHeight="1" x14ac:dyDescent="0.3">
      <c r="A945" s="504"/>
      <c r="B945" s="504"/>
      <c r="C945" s="504"/>
      <c r="D945" s="504"/>
      <c r="E945" s="506"/>
      <c r="F945" s="506"/>
      <c r="G945" s="506"/>
      <c r="H945" s="506"/>
      <c r="I945" s="506"/>
      <c r="J945" s="506"/>
      <c r="K945" s="507"/>
      <c r="L945" s="508"/>
      <c r="M945" s="508"/>
      <c r="N945" s="508"/>
      <c r="O945" s="509"/>
      <c r="P945" s="509"/>
    </row>
    <row r="946" spans="1:16" ht="21.75" customHeight="1" x14ac:dyDescent="0.3">
      <c r="A946" s="504"/>
      <c r="B946" s="504"/>
      <c r="C946" s="504"/>
      <c r="D946" s="504"/>
      <c r="E946" s="506"/>
      <c r="F946" s="506"/>
      <c r="G946" s="506"/>
      <c r="H946" s="506"/>
      <c r="I946" s="506"/>
      <c r="J946" s="506"/>
      <c r="K946" s="507"/>
      <c r="L946" s="508"/>
      <c r="M946" s="508"/>
      <c r="N946" s="508"/>
      <c r="O946" s="509"/>
      <c r="P946" s="509"/>
    </row>
    <row r="947" spans="1:16" ht="21.75" customHeight="1" x14ac:dyDescent="0.3">
      <c r="A947" s="504"/>
      <c r="B947" s="504"/>
      <c r="C947" s="504"/>
      <c r="D947" s="504"/>
      <c r="E947" s="506"/>
      <c r="F947" s="506"/>
      <c r="G947" s="506"/>
      <c r="H947" s="506"/>
      <c r="I947" s="506"/>
      <c r="J947" s="506"/>
      <c r="K947" s="507"/>
      <c r="L947" s="508"/>
      <c r="M947" s="508"/>
      <c r="N947" s="508"/>
      <c r="O947" s="509"/>
      <c r="P947" s="509"/>
    </row>
    <row r="948" spans="1:16" ht="21.75" customHeight="1" x14ac:dyDescent="0.3">
      <c r="A948" s="504"/>
      <c r="B948" s="504"/>
      <c r="C948" s="504"/>
      <c r="D948" s="504"/>
      <c r="E948" s="506"/>
      <c r="F948" s="506"/>
      <c r="G948" s="506"/>
      <c r="H948" s="506"/>
      <c r="I948" s="506"/>
      <c r="J948" s="506"/>
      <c r="K948" s="507"/>
      <c r="L948" s="508"/>
      <c r="M948" s="508"/>
      <c r="N948" s="508"/>
      <c r="O948" s="509"/>
      <c r="P948" s="509"/>
    </row>
    <row r="949" spans="1:16" ht="21.75" customHeight="1" x14ac:dyDescent="0.3">
      <c r="A949" s="504"/>
      <c r="B949" s="504"/>
      <c r="C949" s="504"/>
      <c r="D949" s="504"/>
      <c r="E949" s="506"/>
      <c r="F949" s="506"/>
      <c r="G949" s="506"/>
      <c r="H949" s="506"/>
      <c r="I949" s="506"/>
      <c r="J949" s="506"/>
      <c r="K949" s="507"/>
      <c r="L949" s="508"/>
      <c r="M949" s="508"/>
      <c r="N949" s="508"/>
      <c r="O949" s="509"/>
      <c r="P949" s="509"/>
    </row>
    <row r="950" spans="1:16" ht="21.75" customHeight="1" x14ac:dyDescent="0.3">
      <c r="A950" s="504"/>
      <c r="B950" s="504"/>
      <c r="C950" s="504"/>
      <c r="D950" s="504"/>
      <c r="E950" s="506"/>
      <c r="F950" s="506"/>
      <c r="G950" s="506"/>
      <c r="H950" s="506"/>
      <c r="I950" s="506"/>
      <c r="J950" s="506"/>
      <c r="K950" s="507"/>
      <c r="L950" s="508"/>
      <c r="M950" s="508"/>
      <c r="N950" s="508"/>
      <c r="O950" s="509"/>
      <c r="P950" s="509"/>
    </row>
    <row r="951" spans="1:16" ht="21.75" customHeight="1" x14ac:dyDescent="0.3">
      <c r="A951" s="504"/>
      <c r="B951" s="504"/>
      <c r="C951" s="504"/>
      <c r="D951" s="504"/>
      <c r="E951" s="506"/>
      <c r="F951" s="506"/>
      <c r="G951" s="506"/>
      <c r="H951" s="506"/>
      <c r="I951" s="506"/>
      <c r="J951" s="506"/>
      <c r="K951" s="507"/>
      <c r="L951" s="508"/>
      <c r="M951" s="508"/>
      <c r="N951" s="508"/>
      <c r="O951" s="509"/>
      <c r="P951" s="509"/>
    </row>
    <row r="952" spans="1:16" ht="21.75" customHeight="1" x14ac:dyDescent="0.3">
      <c r="A952" s="504"/>
      <c r="B952" s="504"/>
      <c r="C952" s="504"/>
      <c r="D952" s="504"/>
      <c r="E952" s="506"/>
      <c r="F952" s="506"/>
      <c r="G952" s="506"/>
      <c r="H952" s="506"/>
      <c r="I952" s="506"/>
      <c r="J952" s="506"/>
      <c r="K952" s="507"/>
      <c r="L952" s="508"/>
      <c r="M952" s="508"/>
      <c r="N952" s="508"/>
      <c r="O952" s="509"/>
      <c r="P952" s="509"/>
    </row>
    <row r="953" spans="1:16" ht="21.75" customHeight="1" x14ac:dyDescent="0.3">
      <c r="A953" s="504"/>
      <c r="B953" s="504"/>
      <c r="C953" s="504"/>
      <c r="D953" s="504"/>
      <c r="E953" s="506"/>
      <c r="F953" s="506"/>
      <c r="G953" s="506"/>
      <c r="H953" s="506"/>
      <c r="I953" s="506"/>
      <c r="J953" s="506"/>
      <c r="K953" s="507"/>
      <c r="L953" s="508"/>
      <c r="M953" s="508"/>
      <c r="N953" s="508"/>
      <c r="O953" s="509"/>
      <c r="P953" s="509"/>
    </row>
    <row r="954" spans="1:16" ht="21.75" customHeight="1" x14ac:dyDescent="0.3">
      <c r="A954" s="504"/>
      <c r="B954" s="504"/>
      <c r="C954" s="504"/>
      <c r="D954" s="504"/>
      <c r="E954" s="506"/>
      <c r="F954" s="506"/>
      <c r="G954" s="506"/>
      <c r="H954" s="506"/>
      <c r="I954" s="506"/>
      <c r="J954" s="506"/>
      <c r="K954" s="507"/>
      <c r="L954" s="508"/>
      <c r="M954" s="508"/>
      <c r="N954" s="508"/>
      <c r="O954" s="509"/>
      <c r="P954" s="509"/>
    </row>
    <row r="955" spans="1:16" ht="21.75" customHeight="1" x14ac:dyDescent="0.3">
      <c r="A955" s="504"/>
      <c r="B955" s="504"/>
      <c r="C955" s="504"/>
      <c r="D955" s="504"/>
      <c r="E955" s="506"/>
      <c r="F955" s="506"/>
      <c r="G955" s="506"/>
      <c r="H955" s="506"/>
      <c r="I955" s="506"/>
      <c r="J955" s="506"/>
      <c r="K955" s="507"/>
      <c r="L955" s="508"/>
      <c r="M955" s="508"/>
      <c r="N955" s="508"/>
      <c r="O955" s="509"/>
      <c r="P955" s="509"/>
    </row>
    <row r="956" spans="1:16" ht="21.75" customHeight="1" x14ac:dyDescent="0.3">
      <c r="A956" s="504"/>
      <c r="B956" s="504"/>
      <c r="C956" s="504"/>
      <c r="D956" s="504"/>
      <c r="E956" s="506"/>
      <c r="F956" s="506"/>
      <c r="G956" s="506"/>
      <c r="H956" s="506"/>
      <c r="I956" s="506"/>
      <c r="J956" s="506"/>
      <c r="K956" s="507"/>
      <c r="L956" s="508"/>
      <c r="M956" s="508"/>
      <c r="N956" s="508"/>
      <c r="O956" s="509"/>
      <c r="P956" s="509"/>
    </row>
    <row r="957" spans="1:16" ht="21.75" customHeight="1" x14ac:dyDescent="0.3">
      <c r="A957" s="504"/>
      <c r="B957" s="504"/>
      <c r="C957" s="504"/>
      <c r="D957" s="504"/>
      <c r="E957" s="506"/>
      <c r="F957" s="506"/>
      <c r="G957" s="506"/>
      <c r="H957" s="506"/>
      <c r="I957" s="506"/>
      <c r="J957" s="506"/>
      <c r="K957" s="507"/>
      <c r="L957" s="508"/>
      <c r="M957" s="508"/>
      <c r="N957" s="508"/>
      <c r="O957" s="509"/>
      <c r="P957" s="509"/>
    </row>
    <row r="958" spans="1:16" ht="21.75" customHeight="1" x14ac:dyDescent="0.3">
      <c r="A958" s="504"/>
      <c r="B958" s="504"/>
      <c r="C958" s="504"/>
      <c r="D958" s="504"/>
      <c r="E958" s="506"/>
      <c r="F958" s="506"/>
      <c r="G958" s="506"/>
      <c r="H958" s="506"/>
      <c r="I958" s="506"/>
      <c r="J958" s="506"/>
      <c r="K958" s="507"/>
      <c r="L958" s="508"/>
      <c r="M958" s="508"/>
      <c r="N958" s="508"/>
      <c r="O958" s="509"/>
      <c r="P958" s="509"/>
    </row>
    <row r="959" spans="1:16" ht="21.75" customHeight="1" x14ac:dyDescent="0.3">
      <c r="A959" s="504"/>
      <c r="B959" s="504"/>
      <c r="C959" s="504"/>
      <c r="D959" s="504"/>
      <c r="E959" s="506"/>
      <c r="F959" s="506"/>
      <c r="G959" s="506"/>
      <c r="H959" s="506"/>
      <c r="I959" s="506"/>
      <c r="J959" s="506"/>
      <c r="K959" s="507"/>
      <c r="L959" s="508"/>
      <c r="M959" s="508"/>
      <c r="N959" s="508"/>
      <c r="O959" s="509"/>
      <c r="P959" s="509"/>
    </row>
    <row r="960" spans="1:16" ht="21.75" customHeight="1" x14ac:dyDescent="0.3">
      <c r="A960" s="504"/>
      <c r="B960" s="504"/>
      <c r="C960" s="504"/>
      <c r="D960" s="504"/>
      <c r="E960" s="506"/>
      <c r="F960" s="506"/>
      <c r="G960" s="506"/>
      <c r="H960" s="506"/>
      <c r="I960" s="506"/>
      <c r="J960" s="506"/>
      <c r="K960" s="507"/>
      <c r="L960" s="508"/>
      <c r="M960" s="508"/>
      <c r="N960" s="508"/>
      <c r="O960" s="509"/>
      <c r="P960" s="509"/>
    </row>
    <row r="961" spans="1:16" ht="21.75" customHeight="1" x14ac:dyDescent="0.3">
      <c r="A961" s="504"/>
      <c r="B961" s="504"/>
      <c r="C961" s="504"/>
      <c r="D961" s="504"/>
      <c r="E961" s="506"/>
      <c r="F961" s="506"/>
      <c r="G961" s="506"/>
      <c r="H961" s="506"/>
      <c r="I961" s="506"/>
      <c r="J961" s="506"/>
      <c r="K961" s="507"/>
      <c r="L961" s="508"/>
      <c r="M961" s="508"/>
      <c r="N961" s="508"/>
      <c r="O961" s="509"/>
      <c r="P961" s="509"/>
    </row>
    <row r="962" spans="1:16" ht="21.75" customHeight="1" x14ac:dyDescent="0.3">
      <c r="A962" s="504"/>
      <c r="B962" s="504"/>
      <c r="C962" s="504"/>
      <c r="D962" s="504"/>
      <c r="E962" s="506"/>
      <c r="F962" s="506"/>
      <c r="G962" s="506"/>
      <c r="H962" s="506"/>
      <c r="I962" s="506"/>
      <c r="J962" s="506"/>
      <c r="K962" s="507"/>
      <c r="L962" s="508"/>
      <c r="M962" s="508"/>
      <c r="N962" s="508"/>
      <c r="O962" s="509"/>
      <c r="P962" s="509"/>
    </row>
    <row r="963" spans="1:16" ht="21.75" customHeight="1" x14ac:dyDescent="0.3">
      <c r="A963" s="504"/>
      <c r="B963" s="504"/>
      <c r="C963" s="504"/>
      <c r="D963" s="504"/>
      <c r="E963" s="506"/>
      <c r="F963" s="506"/>
      <c r="G963" s="506"/>
      <c r="H963" s="506"/>
      <c r="I963" s="506"/>
      <c r="J963" s="506"/>
      <c r="K963" s="507"/>
      <c r="L963" s="508"/>
      <c r="M963" s="508"/>
      <c r="N963" s="508"/>
      <c r="O963" s="509"/>
      <c r="P963" s="509"/>
    </row>
    <row r="964" spans="1:16" ht="21.75" customHeight="1" x14ac:dyDescent="0.3">
      <c r="A964" s="504"/>
      <c r="B964" s="504"/>
      <c r="C964" s="504"/>
      <c r="D964" s="504"/>
      <c r="E964" s="506"/>
      <c r="F964" s="506"/>
      <c r="G964" s="506"/>
      <c r="H964" s="506"/>
      <c r="I964" s="506"/>
      <c r="J964" s="506"/>
      <c r="K964" s="507"/>
      <c r="L964" s="508"/>
      <c r="M964" s="508"/>
      <c r="N964" s="508"/>
      <c r="O964" s="509"/>
      <c r="P964" s="509"/>
    </row>
    <row r="965" spans="1:16" ht="21.75" customHeight="1" x14ac:dyDescent="0.3">
      <c r="A965" s="504"/>
      <c r="B965" s="504"/>
      <c r="C965" s="504"/>
      <c r="D965" s="504"/>
      <c r="E965" s="506"/>
      <c r="F965" s="506"/>
      <c r="G965" s="506"/>
      <c r="H965" s="506"/>
      <c r="I965" s="506"/>
      <c r="J965" s="506"/>
      <c r="K965" s="507"/>
      <c r="L965" s="508"/>
      <c r="M965" s="508"/>
      <c r="N965" s="508"/>
      <c r="O965" s="509"/>
      <c r="P965" s="509"/>
    </row>
    <row r="966" spans="1:16" ht="21.75" customHeight="1" x14ac:dyDescent="0.3">
      <c r="A966" s="504"/>
      <c r="B966" s="504"/>
      <c r="C966" s="504"/>
      <c r="D966" s="504"/>
      <c r="E966" s="506"/>
      <c r="F966" s="506"/>
      <c r="G966" s="506"/>
      <c r="H966" s="506"/>
      <c r="I966" s="506"/>
      <c r="J966" s="506"/>
      <c r="K966" s="507"/>
      <c r="L966" s="508"/>
      <c r="M966" s="508"/>
      <c r="N966" s="508"/>
      <c r="O966" s="509"/>
      <c r="P966" s="509"/>
    </row>
    <row r="967" spans="1:16" ht="21.75" customHeight="1" x14ac:dyDescent="0.3">
      <c r="A967" s="504"/>
      <c r="B967" s="504"/>
      <c r="C967" s="504"/>
      <c r="D967" s="504"/>
      <c r="E967" s="506"/>
      <c r="F967" s="506"/>
      <c r="G967" s="506"/>
      <c r="H967" s="506"/>
      <c r="I967" s="506"/>
      <c r="J967" s="506"/>
      <c r="K967" s="507"/>
      <c r="L967" s="508"/>
      <c r="M967" s="508"/>
      <c r="N967" s="508"/>
      <c r="O967" s="509"/>
      <c r="P967" s="509"/>
    </row>
    <row r="968" spans="1:16" ht="21.75" customHeight="1" x14ac:dyDescent="0.3">
      <c r="A968" s="504"/>
      <c r="B968" s="504"/>
      <c r="C968" s="504"/>
      <c r="D968" s="504"/>
      <c r="E968" s="506"/>
      <c r="F968" s="506"/>
      <c r="G968" s="506"/>
      <c r="H968" s="506"/>
      <c r="I968" s="506"/>
      <c r="J968" s="506"/>
      <c r="K968" s="507"/>
      <c r="L968" s="508"/>
      <c r="M968" s="508"/>
      <c r="N968" s="508"/>
      <c r="O968" s="509"/>
      <c r="P968" s="509"/>
    </row>
    <row r="969" spans="1:16" ht="21.75" customHeight="1" x14ac:dyDescent="0.3">
      <c r="A969" s="504"/>
      <c r="B969" s="504"/>
      <c r="C969" s="504"/>
      <c r="D969" s="504"/>
      <c r="E969" s="506"/>
      <c r="F969" s="506"/>
      <c r="G969" s="506"/>
      <c r="H969" s="506"/>
      <c r="I969" s="506"/>
      <c r="J969" s="506"/>
      <c r="K969" s="507"/>
      <c r="L969" s="508"/>
      <c r="M969" s="508"/>
      <c r="N969" s="508"/>
      <c r="O969" s="509"/>
      <c r="P969" s="509"/>
    </row>
    <row r="970" spans="1:16" ht="21.75" customHeight="1" x14ac:dyDescent="0.3">
      <c r="A970" s="504"/>
      <c r="B970" s="504"/>
      <c r="C970" s="504"/>
      <c r="D970" s="504"/>
      <c r="E970" s="506"/>
      <c r="F970" s="506"/>
      <c r="G970" s="506"/>
      <c r="H970" s="506"/>
      <c r="I970" s="506"/>
      <c r="J970" s="506"/>
      <c r="K970" s="507"/>
      <c r="L970" s="508"/>
      <c r="M970" s="508"/>
      <c r="N970" s="508"/>
      <c r="O970" s="509"/>
      <c r="P970" s="509"/>
    </row>
    <row r="971" spans="1:16" ht="21.75" customHeight="1" x14ac:dyDescent="0.3">
      <c r="A971" s="504"/>
      <c r="B971" s="504"/>
      <c r="C971" s="504"/>
      <c r="D971" s="504"/>
      <c r="E971" s="506"/>
      <c r="F971" s="506"/>
      <c r="G971" s="506"/>
      <c r="H971" s="506"/>
      <c r="I971" s="506"/>
      <c r="J971" s="506"/>
      <c r="K971" s="507"/>
      <c r="L971" s="508"/>
      <c r="M971" s="508"/>
      <c r="N971" s="508"/>
      <c r="O971" s="509"/>
      <c r="P971" s="509"/>
    </row>
    <row r="972" spans="1:16" ht="21.75" customHeight="1" x14ac:dyDescent="0.3">
      <c r="A972" s="504"/>
      <c r="B972" s="504"/>
      <c r="C972" s="504"/>
      <c r="D972" s="504"/>
      <c r="E972" s="506"/>
      <c r="F972" s="506"/>
      <c r="G972" s="506"/>
      <c r="H972" s="506"/>
      <c r="I972" s="506"/>
      <c r="J972" s="506"/>
      <c r="K972" s="507"/>
      <c r="L972" s="508"/>
      <c r="M972" s="508"/>
      <c r="N972" s="508"/>
      <c r="O972" s="509"/>
      <c r="P972" s="509"/>
    </row>
    <row r="973" spans="1:16" ht="21.75" customHeight="1" x14ac:dyDescent="0.3">
      <c r="A973" s="504"/>
      <c r="B973" s="504"/>
      <c r="C973" s="504"/>
      <c r="D973" s="504"/>
      <c r="E973" s="506"/>
      <c r="F973" s="506"/>
      <c r="G973" s="506"/>
      <c r="H973" s="506"/>
      <c r="I973" s="506"/>
      <c r="J973" s="506"/>
      <c r="K973" s="507"/>
      <c r="L973" s="508"/>
      <c r="M973" s="508"/>
      <c r="N973" s="508"/>
      <c r="O973" s="509"/>
      <c r="P973" s="509"/>
    </row>
    <row r="974" spans="1:16" ht="21.75" customHeight="1" x14ac:dyDescent="0.3">
      <c r="A974" s="504"/>
      <c r="B974" s="504"/>
      <c r="C974" s="504"/>
      <c r="D974" s="504"/>
      <c r="E974" s="506"/>
      <c r="F974" s="506"/>
      <c r="G974" s="506"/>
      <c r="H974" s="506"/>
      <c r="I974" s="506"/>
      <c r="J974" s="506"/>
      <c r="K974" s="507"/>
      <c r="L974" s="508"/>
      <c r="M974" s="508"/>
      <c r="N974" s="508"/>
      <c r="O974" s="509"/>
      <c r="P974" s="509"/>
    </row>
    <row r="975" spans="1:16" ht="21.75" customHeight="1" x14ac:dyDescent="0.3">
      <c r="A975" s="504"/>
      <c r="B975" s="504"/>
      <c r="C975" s="504"/>
      <c r="D975" s="504"/>
      <c r="E975" s="506"/>
      <c r="F975" s="506"/>
      <c r="G975" s="506"/>
      <c r="H975" s="506"/>
      <c r="I975" s="506"/>
      <c r="J975" s="506"/>
      <c r="K975" s="507"/>
      <c r="L975" s="508"/>
      <c r="M975" s="508"/>
      <c r="N975" s="508"/>
      <c r="O975" s="509"/>
      <c r="P975" s="509"/>
    </row>
    <row r="976" spans="1:16" ht="21.75" customHeight="1" x14ac:dyDescent="0.3">
      <c r="A976" s="504"/>
      <c r="B976" s="504"/>
      <c r="C976" s="504"/>
      <c r="D976" s="504"/>
      <c r="E976" s="506"/>
      <c r="F976" s="506"/>
      <c r="G976" s="506"/>
      <c r="H976" s="506"/>
      <c r="I976" s="506"/>
      <c r="J976" s="506"/>
      <c r="K976" s="507"/>
      <c r="L976" s="508"/>
      <c r="M976" s="508"/>
      <c r="N976" s="508"/>
      <c r="O976" s="509"/>
      <c r="P976" s="509"/>
    </row>
    <row r="977" spans="1:16" ht="21.75" customHeight="1" x14ac:dyDescent="0.3">
      <c r="A977" s="504"/>
      <c r="B977" s="504"/>
      <c r="C977" s="504"/>
      <c r="D977" s="504"/>
      <c r="E977" s="506"/>
      <c r="F977" s="506"/>
      <c r="G977" s="506"/>
      <c r="H977" s="506"/>
      <c r="I977" s="506"/>
      <c r="J977" s="506"/>
      <c r="K977" s="507"/>
      <c r="L977" s="508"/>
      <c r="M977" s="508"/>
      <c r="N977" s="508"/>
      <c r="O977" s="509"/>
      <c r="P977" s="509"/>
    </row>
    <row r="978" spans="1:16" ht="21.75" customHeight="1" x14ac:dyDescent="0.3">
      <c r="A978" s="504"/>
      <c r="B978" s="504"/>
      <c r="C978" s="504"/>
      <c r="D978" s="504"/>
      <c r="E978" s="506"/>
      <c r="F978" s="506"/>
      <c r="G978" s="506"/>
      <c r="H978" s="506"/>
      <c r="I978" s="506"/>
      <c r="J978" s="506"/>
      <c r="K978" s="507"/>
      <c r="L978" s="508"/>
      <c r="M978" s="508"/>
      <c r="N978" s="508"/>
      <c r="O978" s="509"/>
      <c r="P978" s="509"/>
    </row>
    <row r="979" spans="1:16" ht="21.75" customHeight="1" x14ac:dyDescent="0.3">
      <c r="A979" s="504"/>
      <c r="B979" s="504"/>
      <c r="C979" s="504"/>
      <c r="D979" s="504"/>
      <c r="E979" s="506"/>
      <c r="F979" s="506"/>
      <c r="G979" s="506"/>
      <c r="H979" s="506"/>
      <c r="I979" s="506"/>
      <c r="J979" s="506"/>
      <c r="K979" s="507"/>
      <c r="L979" s="508"/>
      <c r="M979" s="508"/>
      <c r="N979" s="508"/>
      <c r="O979" s="509"/>
      <c r="P979" s="509"/>
    </row>
    <row r="980" spans="1:16" ht="21.75" customHeight="1" x14ac:dyDescent="0.3">
      <c r="A980" s="504"/>
      <c r="B980" s="504"/>
      <c r="C980" s="504"/>
      <c r="D980" s="504"/>
      <c r="E980" s="506"/>
      <c r="F980" s="506"/>
      <c r="G980" s="506"/>
      <c r="H980" s="506"/>
      <c r="I980" s="506"/>
      <c r="J980" s="506"/>
      <c r="K980" s="507"/>
      <c r="L980" s="508"/>
      <c r="M980" s="508"/>
      <c r="N980" s="508"/>
      <c r="O980" s="509"/>
      <c r="P980" s="509"/>
    </row>
    <row r="981" spans="1:16" ht="21.75" customHeight="1" x14ac:dyDescent="0.3">
      <c r="A981" s="504"/>
      <c r="B981" s="504"/>
      <c r="C981" s="504"/>
      <c r="D981" s="504"/>
      <c r="E981" s="506"/>
      <c r="F981" s="506"/>
      <c r="G981" s="506"/>
      <c r="H981" s="506"/>
      <c r="I981" s="506"/>
      <c r="J981" s="506"/>
      <c r="K981" s="507"/>
      <c r="L981" s="508"/>
      <c r="M981" s="508"/>
      <c r="N981" s="508"/>
      <c r="O981" s="509"/>
      <c r="P981" s="509"/>
    </row>
    <row r="982" spans="1:16" ht="21.75" customHeight="1" x14ac:dyDescent="0.3">
      <c r="A982" s="504"/>
      <c r="B982" s="504"/>
      <c r="C982" s="504"/>
      <c r="D982" s="504"/>
      <c r="E982" s="506"/>
      <c r="F982" s="506"/>
      <c r="G982" s="506"/>
      <c r="H982" s="506"/>
      <c r="I982" s="506"/>
      <c r="J982" s="506"/>
      <c r="K982" s="507"/>
      <c r="L982" s="508"/>
      <c r="M982" s="508"/>
      <c r="N982" s="508"/>
      <c r="O982" s="509"/>
      <c r="P982" s="509"/>
    </row>
    <row r="983" spans="1:16" ht="21.75" customHeight="1" x14ac:dyDescent="0.3">
      <c r="A983" s="504"/>
      <c r="B983" s="504"/>
      <c r="C983" s="504"/>
      <c r="D983" s="504"/>
      <c r="E983" s="506"/>
      <c r="F983" s="506"/>
      <c r="G983" s="506"/>
      <c r="H983" s="506"/>
      <c r="I983" s="506"/>
      <c r="J983" s="506"/>
      <c r="K983" s="507"/>
      <c r="L983" s="508"/>
      <c r="M983" s="508"/>
      <c r="N983" s="508"/>
      <c r="O983" s="509"/>
      <c r="P983" s="509"/>
    </row>
    <row r="984" spans="1:16" ht="21.75" customHeight="1" x14ac:dyDescent="0.3">
      <c r="A984" s="504"/>
      <c r="B984" s="504"/>
      <c r="C984" s="504"/>
      <c r="D984" s="504"/>
      <c r="E984" s="506"/>
      <c r="F984" s="506"/>
      <c r="G984" s="506"/>
      <c r="H984" s="506"/>
      <c r="I984" s="506"/>
      <c r="J984" s="506"/>
      <c r="K984" s="507"/>
      <c r="L984" s="508"/>
      <c r="M984" s="508"/>
      <c r="N984" s="508"/>
      <c r="O984" s="509"/>
      <c r="P984" s="509"/>
    </row>
    <row r="985" spans="1:16" ht="21.75" customHeight="1" x14ac:dyDescent="0.3">
      <c r="A985" s="504"/>
      <c r="B985" s="504"/>
      <c r="C985" s="504"/>
      <c r="D985" s="504"/>
      <c r="E985" s="506"/>
      <c r="F985" s="506"/>
      <c r="G985" s="506"/>
      <c r="H985" s="506"/>
      <c r="I985" s="506"/>
      <c r="J985" s="506"/>
      <c r="K985" s="507"/>
      <c r="L985" s="508"/>
      <c r="M985" s="508"/>
      <c r="N985" s="508"/>
      <c r="O985" s="509"/>
      <c r="P985" s="509"/>
    </row>
    <row r="986" spans="1:16" ht="21.75" customHeight="1" x14ac:dyDescent="0.3">
      <c r="A986" s="504"/>
      <c r="B986" s="504"/>
      <c r="C986" s="504"/>
      <c r="D986" s="504"/>
      <c r="E986" s="506"/>
      <c r="F986" s="506"/>
      <c r="G986" s="506"/>
      <c r="H986" s="506"/>
      <c r="I986" s="506"/>
      <c r="J986" s="506"/>
      <c r="K986" s="507"/>
      <c r="L986" s="508"/>
      <c r="M986" s="508"/>
      <c r="N986" s="508"/>
      <c r="O986" s="509"/>
      <c r="P986" s="509"/>
    </row>
    <row r="987" spans="1:16" ht="21.75" customHeight="1" x14ac:dyDescent="0.3">
      <c r="A987" s="504"/>
      <c r="B987" s="504"/>
      <c r="C987" s="504"/>
      <c r="D987" s="504"/>
      <c r="E987" s="506"/>
      <c r="F987" s="506"/>
      <c r="G987" s="506"/>
      <c r="H987" s="506"/>
      <c r="I987" s="506"/>
      <c r="J987" s="506"/>
      <c r="K987" s="507"/>
      <c r="L987" s="508"/>
      <c r="M987" s="508"/>
      <c r="N987" s="508"/>
      <c r="O987" s="509"/>
      <c r="P987" s="509"/>
    </row>
    <row r="988" spans="1:16" ht="21.75" customHeight="1" x14ac:dyDescent="0.3">
      <c r="A988" s="504"/>
      <c r="B988" s="504"/>
      <c r="C988" s="504"/>
      <c r="D988" s="504"/>
      <c r="E988" s="506"/>
      <c r="F988" s="506"/>
      <c r="G988" s="506"/>
      <c r="H988" s="506"/>
      <c r="I988" s="506"/>
      <c r="J988" s="506"/>
      <c r="K988" s="507"/>
      <c r="L988" s="508"/>
      <c r="M988" s="508"/>
      <c r="N988" s="508"/>
      <c r="O988" s="509"/>
      <c r="P988" s="509"/>
    </row>
    <row r="989" spans="1:16" ht="21.75" customHeight="1" x14ac:dyDescent="0.3">
      <c r="A989" s="504"/>
      <c r="B989" s="504"/>
      <c r="C989" s="504"/>
      <c r="D989" s="504"/>
      <c r="E989" s="506"/>
      <c r="F989" s="506"/>
      <c r="G989" s="506"/>
      <c r="H989" s="506"/>
      <c r="I989" s="506"/>
      <c r="J989" s="506"/>
      <c r="K989" s="507"/>
      <c r="L989" s="508"/>
      <c r="M989" s="508"/>
      <c r="N989" s="508"/>
      <c r="O989" s="509"/>
      <c r="P989" s="509"/>
    </row>
    <row r="990" spans="1:16" ht="21.75" customHeight="1" x14ac:dyDescent="0.3">
      <c r="A990" s="504"/>
      <c r="B990" s="504"/>
      <c r="C990" s="504"/>
      <c r="D990" s="504"/>
      <c r="E990" s="506"/>
      <c r="F990" s="506"/>
      <c r="G990" s="506"/>
      <c r="H990" s="506"/>
      <c r="I990" s="506"/>
      <c r="J990" s="506"/>
      <c r="K990" s="507"/>
      <c r="L990" s="508"/>
      <c r="M990" s="508"/>
      <c r="N990" s="508"/>
      <c r="O990" s="509"/>
      <c r="P990" s="509"/>
    </row>
    <row r="991" spans="1:16" ht="21.75" customHeight="1" x14ac:dyDescent="0.3">
      <c r="A991" s="504"/>
      <c r="B991" s="504"/>
      <c r="C991" s="504"/>
      <c r="D991" s="504"/>
      <c r="E991" s="506"/>
      <c r="F991" s="506"/>
      <c r="G991" s="506"/>
      <c r="H991" s="506"/>
      <c r="I991" s="506"/>
      <c r="J991" s="506"/>
      <c r="K991" s="507"/>
      <c r="L991" s="508"/>
      <c r="M991" s="508"/>
      <c r="N991" s="508"/>
      <c r="O991" s="509"/>
      <c r="P991" s="509"/>
    </row>
    <row r="992" spans="1:16" ht="21.75" customHeight="1" x14ac:dyDescent="0.3">
      <c r="A992" s="504"/>
      <c r="B992" s="504"/>
      <c r="C992" s="504"/>
      <c r="D992" s="504"/>
      <c r="E992" s="506"/>
      <c r="F992" s="506"/>
      <c r="G992" s="506"/>
      <c r="H992" s="506"/>
      <c r="I992" s="506"/>
      <c r="J992" s="506"/>
      <c r="K992" s="507"/>
      <c r="L992" s="508"/>
      <c r="M992" s="508"/>
      <c r="N992" s="508"/>
      <c r="O992" s="509"/>
      <c r="P992" s="509"/>
    </row>
    <row r="993" spans="1:16" ht="21.75" customHeight="1" x14ac:dyDescent="0.3">
      <c r="A993" s="504"/>
      <c r="B993" s="504"/>
      <c r="C993" s="504"/>
      <c r="D993" s="504"/>
      <c r="E993" s="506"/>
      <c r="F993" s="506"/>
      <c r="G993" s="506"/>
      <c r="H993" s="506"/>
      <c r="I993" s="506"/>
      <c r="J993" s="506"/>
      <c r="K993" s="507"/>
      <c r="L993" s="508"/>
      <c r="M993" s="508"/>
      <c r="N993" s="508"/>
      <c r="O993" s="509"/>
      <c r="P993" s="509"/>
    </row>
    <row r="994" spans="1:16" ht="21.75" customHeight="1" x14ac:dyDescent="0.3">
      <c r="A994" s="504"/>
      <c r="B994" s="504"/>
      <c r="C994" s="504"/>
      <c r="D994" s="504"/>
      <c r="E994" s="506"/>
      <c r="F994" s="506"/>
      <c r="G994" s="506"/>
      <c r="H994" s="506"/>
      <c r="I994" s="506"/>
      <c r="J994" s="506"/>
      <c r="K994" s="507"/>
      <c r="L994" s="508"/>
      <c r="M994" s="508"/>
      <c r="N994" s="508"/>
      <c r="O994" s="509"/>
      <c r="P994" s="509"/>
    </row>
    <row r="995" spans="1:16" ht="21.75" customHeight="1" x14ac:dyDescent="0.3">
      <c r="A995" s="504"/>
      <c r="B995" s="504"/>
      <c r="C995" s="504"/>
      <c r="D995" s="504"/>
      <c r="E995" s="506"/>
      <c r="F995" s="506"/>
      <c r="G995" s="506"/>
      <c r="H995" s="506"/>
      <c r="I995" s="506"/>
      <c r="J995" s="506"/>
      <c r="K995" s="507"/>
      <c r="L995" s="508"/>
      <c r="M995" s="508"/>
      <c r="N995" s="508"/>
      <c r="O995" s="509"/>
      <c r="P995" s="509"/>
    </row>
    <row r="996" spans="1:16" ht="21.75" customHeight="1" x14ac:dyDescent="0.3">
      <c r="A996" s="504"/>
      <c r="B996" s="504"/>
      <c r="C996" s="504"/>
      <c r="D996" s="504"/>
      <c r="E996" s="506"/>
      <c r="F996" s="506"/>
      <c r="G996" s="506"/>
      <c r="H996" s="506"/>
      <c r="I996" s="506"/>
      <c r="J996" s="506"/>
      <c r="K996" s="507"/>
      <c r="L996" s="508"/>
      <c r="M996" s="508"/>
      <c r="N996" s="508"/>
      <c r="O996" s="509"/>
      <c r="P996" s="509"/>
    </row>
    <row r="997" spans="1:16" ht="21.75" customHeight="1" x14ac:dyDescent="0.3">
      <c r="A997" s="504"/>
      <c r="B997" s="504"/>
      <c r="C997" s="504"/>
      <c r="D997" s="504"/>
      <c r="E997" s="506"/>
      <c r="F997" s="506"/>
      <c r="G997" s="506"/>
      <c r="H997" s="506"/>
      <c r="I997" s="506"/>
      <c r="J997" s="506"/>
      <c r="K997" s="507"/>
      <c r="L997" s="508"/>
      <c r="M997" s="508"/>
      <c r="N997" s="508"/>
      <c r="O997" s="509"/>
      <c r="P997" s="509"/>
    </row>
    <row r="998" spans="1:16" ht="21.75" customHeight="1" x14ac:dyDescent="0.3">
      <c r="A998" s="504"/>
      <c r="B998" s="504"/>
      <c r="C998" s="504"/>
      <c r="D998" s="504"/>
      <c r="E998" s="506"/>
      <c r="F998" s="506"/>
      <c r="G998" s="506"/>
      <c r="H998" s="506"/>
      <c r="I998" s="506"/>
      <c r="J998" s="506"/>
      <c r="K998" s="507"/>
      <c r="L998" s="508"/>
      <c r="M998" s="508"/>
      <c r="N998" s="508"/>
      <c r="O998" s="509"/>
      <c r="P998" s="509"/>
    </row>
    <row r="999" spans="1:16" ht="21.75" customHeight="1" x14ac:dyDescent="0.3">
      <c r="A999" s="504"/>
      <c r="B999" s="504"/>
      <c r="C999" s="504"/>
      <c r="D999" s="504"/>
      <c r="E999" s="506"/>
      <c r="F999" s="506"/>
      <c r="G999" s="506"/>
      <c r="H999" s="506"/>
      <c r="I999" s="506"/>
      <c r="J999" s="506"/>
      <c r="K999" s="507"/>
      <c r="L999" s="508"/>
      <c r="M999" s="508"/>
      <c r="N999" s="508"/>
      <c r="O999" s="509"/>
      <c r="P999" s="509"/>
    </row>
    <row r="1000" spans="1:16" ht="21.75" customHeight="1" x14ac:dyDescent="0.3">
      <c r="A1000" s="504"/>
      <c r="B1000" s="504"/>
      <c r="C1000" s="504"/>
      <c r="D1000" s="504"/>
      <c r="E1000" s="506"/>
      <c r="F1000" s="506"/>
      <c r="G1000" s="506"/>
      <c r="H1000" s="506"/>
      <c r="I1000" s="506"/>
      <c r="J1000" s="506"/>
      <c r="K1000" s="507"/>
      <c r="L1000" s="508"/>
      <c r="M1000" s="508"/>
      <c r="N1000" s="508"/>
      <c r="O1000" s="509"/>
      <c r="P1000" s="509"/>
    </row>
    <row r="1001" spans="1:16" ht="21.75" customHeight="1" x14ac:dyDescent="0.3">
      <c r="A1001" s="504"/>
      <c r="B1001" s="504"/>
      <c r="C1001" s="504"/>
      <c r="D1001" s="504"/>
      <c r="E1001" s="506"/>
      <c r="F1001" s="506"/>
      <c r="G1001" s="506"/>
      <c r="H1001" s="506"/>
      <c r="I1001" s="506"/>
      <c r="J1001" s="506"/>
      <c r="K1001" s="507"/>
      <c r="L1001" s="508"/>
      <c r="M1001" s="508"/>
      <c r="N1001" s="508"/>
      <c r="O1001" s="509"/>
      <c r="P1001" s="509"/>
    </row>
    <row r="1002" spans="1:16" ht="21.75" customHeight="1" x14ac:dyDescent="0.3">
      <c r="A1002" s="504"/>
      <c r="B1002" s="504"/>
      <c r="C1002" s="504"/>
      <c r="D1002" s="504"/>
      <c r="E1002" s="506"/>
      <c r="F1002" s="506"/>
      <c r="G1002" s="506"/>
      <c r="H1002" s="506"/>
      <c r="I1002" s="506"/>
      <c r="J1002" s="506"/>
      <c r="K1002" s="507"/>
      <c r="L1002" s="508"/>
      <c r="M1002" s="508"/>
      <c r="N1002" s="508"/>
      <c r="O1002" s="509"/>
      <c r="P1002" s="509"/>
    </row>
    <row r="1003" spans="1:16" ht="21.75" customHeight="1" x14ac:dyDescent="0.3">
      <c r="A1003" s="504"/>
      <c r="B1003" s="504"/>
      <c r="C1003" s="504"/>
      <c r="D1003" s="504"/>
      <c r="E1003" s="506"/>
      <c r="F1003" s="506"/>
      <c r="G1003" s="506"/>
      <c r="H1003" s="506"/>
      <c r="I1003" s="506"/>
      <c r="J1003" s="506"/>
      <c r="K1003" s="507"/>
      <c r="L1003" s="508"/>
      <c r="M1003" s="508"/>
      <c r="N1003" s="508"/>
      <c r="O1003" s="509"/>
      <c r="P1003" s="509"/>
    </row>
    <row r="1004" spans="1:16" ht="21.75" customHeight="1" x14ac:dyDescent="0.3">
      <c r="A1004" s="504"/>
      <c r="B1004" s="504"/>
      <c r="C1004" s="504"/>
      <c r="D1004" s="504"/>
      <c r="E1004" s="506"/>
      <c r="F1004" s="506"/>
      <c r="G1004" s="506"/>
      <c r="H1004" s="506"/>
      <c r="I1004" s="506"/>
      <c r="J1004" s="506"/>
      <c r="K1004" s="507"/>
      <c r="L1004" s="508"/>
      <c r="M1004" s="508"/>
      <c r="N1004" s="508"/>
      <c r="O1004" s="509"/>
      <c r="P1004" s="509"/>
    </row>
    <row r="1005" spans="1:16" ht="21.75" customHeight="1" x14ac:dyDescent="0.3">
      <c r="A1005" s="504"/>
      <c r="B1005" s="504"/>
      <c r="C1005" s="504"/>
      <c r="D1005" s="504"/>
      <c r="E1005" s="506"/>
      <c r="F1005" s="506"/>
      <c r="G1005" s="506"/>
      <c r="H1005" s="506"/>
      <c r="I1005" s="506"/>
      <c r="J1005" s="506"/>
      <c r="K1005" s="507"/>
      <c r="L1005" s="508"/>
      <c r="M1005" s="508"/>
      <c r="N1005" s="508"/>
      <c r="O1005" s="509"/>
      <c r="P1005" s="509"/>
    </row>
    <row r="1006" spans="1:16" ht="21.75" customHeight="1" x14ac:dyDescent="0.3">
      <c r="A1006" s="504"/>
      <c r="B1006" s="504"/>
      <c r="C1006" s="504"/>
      <c r="D1006" s="504"/>
      <c r="E1006" s="506"/>
      <c r="F1006" s="506"/>
      <c r="G1006" s="506"/>
      <c r="H1006" s="506"/>
      <c r="I1006" s="506"/>
      <c r="J1006" s="506"/>
      <c r="K1006" s="507"/>
      <c r="L1006" s="508"/>
      <c r="M1006" s="508"/>
      <c r="N1006" s="508"/>
      <c r="O1006" s="509"/>
      <c r="P1006" s="509"/>
    </row>
    <row r="1007" spans="1:16" ht="21.75" customHeight="1" x14ac:dyDescent="0.3">
      <c r="A1007" s="504"/>
      <c r="B1007" s="504"/>
      <c r="C1007" s="504"/>
      <c r="D1007" s="504"/>
      <c r="E1007" s="506"/>
      <c r="F1007" s="506"/>
      <c r="G1007" s="506"/>
      <c r="H1007" s="506"/>
      <c r="I1007" s="506"/>
      <c r="J1007" s="506"/>
      <c r="K1007" s="507"/>
      <c r="L1007" s="508"/>
      <c r="M1007" s="508"/>
      <c r="N1007" s="508"/>
      <c r="O1007" s="509"/>
      <c r="P1007" s="509"/>
    </row>
    <row r="1008" spans="1:16" ht="21.75" customHeight="1" x14ac:dyDescent="0.3">
      <c r="A1008" s="504"/>
      <c r="B1008" s="504"/>
      <c r="C1008" s="504"/>
      <c r="D1008" s="504"/>
      <c r="E1008" s="506"/>
      <c r="F1008" s="506"/>
      <c r="G1008" s="506"/>
      <c r="H1008" s="506"/>
      <c r="I1008" s="506"/>
      <c r="J1008" s="506"/>
      <c r="K1008" s="507"/>
      <c r="L1008" s="508"/>
      <c r="M1008" s="508"/>
      <c r="N1008" s="508"/>
      <c r="O1008" s="509"/>
      <c r="P1008" s="509"/>
    </row>
    <row r="1009" spans="1:16" ht="21.75" customHeight="1" x14ac:dyDescent="0.3">
      <c r="A1009" s="504"/>
      <c r="B1009" s="504"/>
      <c r="C1009" s="504"/>
      <c r="D1009" s="504"/>
      <c r="E1009" s="506"/>
      <c r="F1009" s="506"/>
      <c r="G1009" s="506"/>
      <c r="H1009" s="506"/>
      <c r="I1009" s="506"/>
      <c r="J1009" s="506"/>
      <c r="K1009" s="507"/>
      <c r="L1009" s="508"/>
      <c r="M1009" s="508"/>
      <c r="N1009" s="508"/>
      <c r="O1009" s="509"/>
      <c r="P1009" s="509"/>
    </row>
    <row r="1010" spans="1:16" ht="21.75" customHeight="1" x14ac:dyDescent="0.3">
      <c r="A1010" s="504"/>
      <c r="B1010" s="504"/>
      <c r="C1010" s="504"/>
      <c r="D1010" s="504"/>
      <c r="E1010" s="506"/>
      <c r="F1010" s="506"/>
      <c r="G1010" s="506"/>
      <c r="H1010" s="506"/>
      <c r="I1010" s="506"/>
      <c r="J1010" s="506"/>
      <c r="K1010" s="507"/>
      <c r="L1010" s="508"/>
      <c r="M1010" s="508"/>
      <c r="N1010" s="508"/>
      <c r="O1010" s="509"/>
      <c r="P1010" s="509"/>
    </row>
    <row r="1011" spans="1:16" ht="21.75" customHeight="1" x14ac:dyDescent="0.3">
      <c r="A1011" s="504"/>
      <c r="B1011" s="504"/>
      <c r="C1011" s="504"/>
      <c r="D1011" s="504"/>
      <c r="E1011" s="506"/>
      <c r="F1011" s="506"/>
      <c r="G1011" s="506"/>
      <c r="H1011" s="506"/>
      <c r="I1011" s="506"/>
      <c r="J1011" s="506"/>
      <c r="K1011" s="507"/>
      <c r="L1011" s="508"/>
      <c r="M1011" s="508"/>
      <c r="N1011" s="508"/>
      <c r="O1011" s="509"/>
      <c r="P1011" s="509"/>
    </row>
    <row r="1012" spans="1:16" ht="21.75" customHeight="1" x14ac:dyDescent="0.3">
      <c r="A1012" s="504"/>
      <c r="B1012" s="504"/>
      <c r="C1012" s="504"/>
      <c r="D1012" s="504"/>
      <c r="E1012" s="506"/>
      <c r="F1012" s="506"/>
      <c r="G1012" s="506"/>
      <c r="H1012" s="506"/>
      <c r="I1012" s="506"/>
      <c r="J1012" s="506"/>
      <c r="K1012" s="507"/>
      <c r="L1012" s="508"/>
      <c r="M1012" s="508"/>
      <c r="N1012" s="508"/>
      <c r="O1012" s="509"/>
      <c r="P1012" s="509"/>
    </row>
    <row r="1013" spans="1:16" ht="21.75" customHeight="1" x14ac:dyDescent="0.3">
      <c r="A1013" s="504"/>
      <c r="B1013" s="504"/>
      <c r="C1013" s="504"/>
      <c r="D1013" s="504"/>
      <c r="E1013" s="506"/>
      <c r="F1013" s="506"/>
      <c r="G1013" s="506"/>
      <c r="H1013" s="506"/>
      <c r="I1013" s="506"/>
      <c r="J1013" s="506"/>
      <c r="K1013" s="507"/>
      <c r="L1013" s="508"/>
      <c r="M1013" s="508"/>
      <c r="N1013" s="508"/>
      <c r="O1013" s="509"/>
      <c r="P1013" s="509"/>
    </row>
    <row r="1014" spans="1:16" ht="21.75" customHeight="1" x14ac:dyDescent="0.3">
      <c r="A1014" s="504"/>
      <c r="B1014" s="504"/>
      <c r="C1014" s="504"/>
      <c r="D1014" s="504"/>
      <c r="E1014" s="506"/>
      <c r="F1014" s="506"/>
      <c r="G1014" s="506"/>
      <c r="H1014" s="506"/>
      <c r="I1014" s="506"/>
      <c r="J1014" s="506"/>
      <c r="K1014" s="507"/>
      <c r="L1014" s="508"/>
      <c r="M1014" s="508"/>
      <c r="N1014" s="508"/>
      <c r="O1014" s="509"/>
      <c r="P1014" s="509"/>
    </row>
    <row r="1015" spans="1:16" ht="21.75" customHeight="1" x14ac:dyDescent="0.3">
      <c r="A1015" s="504"/>
      <c r="B1015" s="504"/>
      <c r="C1015" s="504"/>
      <c r="D1015" s="504"/>
      <c r="E1015" s="506"/>
      <c r="F1015" s="506"/>
      <c r="G1015" s="506"/>
      <c r="H1015" s="506"/>
      <c r="I1015" s="506"/>
      <c r="J1015" s="506"/>
      <c r="K1015" s="507"/>
      <c r="L1015" s="508"/>
      <c r="M1015" s="508"/>
      <c r="N1015" s="508"/>
      <c r="O1015" s="509"/>
      <c r="P1015" s="509"/>
    </row>
    <row r="1016" spans="1:16" ht="21.75" customHeight="1" x14ac:dyDescent="0.3">
      <c r="A1016" s="504"/>
      <c r="B1016" s="504"/>
      <c r="C1016" s="504"/>
      <c r="D1016" s="504"/>
      <c r="E1016" s="506"/>
      <c r="F1016" s="506"/>
      <c r="G1016" s="506"/>
      <c r="H1016" s="506"/>
      <c r="I1016" s="506"/>
      <c r="J1016" s="506"/>
      <c r="K1016" s="507"/>
      <c r="L1016" s="508"/>
      <c r="M1016" s="508"/>
      <c r="N1016" s="508"/>
      <c r="O1016" s="509"/>
      <c r="P1016" s="509"/>
    </row>
    <row r="1017" spans="1:16" ht="21.75" customHeight="1" x14ac:dyDescent="0.3">
      <c r="A1017" s="504"/>
      <c r="B1017" s="504"/>
      <c r="C1017" s="504"/>
      <c r="D1017" s="504"/>
      <c r="E1017" s="506"/>
      <c r="F1017" s="506"/>
      <c r="G1017" s="506"/>
      <c r="H1017" s="506"/>
      <c r="I1017" s="506"/>
      <c r="J1017" s="506"/>
      <c r="K1017" s="507"/>
      <c r="L1017" s="508"/>
      <c r="M1017" s="508"/>
      <c r="N1017" s="508"/>
      <c r="O1017" s="509"/>
      <c r="P1017" s="509"/>
    </row>
    <row r="1018" spans="1:16" ht="21.75" customHeight="1" x14ac:dyDescent="0.3">
      <c r="A1018" s="504"/>
      <c r="B1018" s="504"/>
      <c r="C1018" s="504"/>
      <c r="D1018" s="504"/>
      <c r="E1018" s="506"/>
      <c r="F1018" s="506"/>
      <c r="G1018" s="506"/>
      <c r="H1018" s="506"/>
      <c r="I1018" s="506"/>
      <c r="J1018" s="506"/>
      <c r="K1018" s="507"/>
      <c r="L1018" s="508"/>
      <c r="M1018" s="508"/>
      <c r="N1018" s="508"/>
      <c r="O1018" s="509"/>
      <c r="P1018" s="509"/>
    </row>
    <row r="1019" spans="1:16" ht="21.75" customHeight="1" x14ac:dyDescent="0.3">
      <c r="A1019" s="504"/>
      <c r="B1019" s="504"/>
      <c r="C1019" s="504"/>
      <c r="D1019" s="504"/>
      <c r="E1019" s="506"/>
      <c r="F1019" s="506"/>
      <c r="G1019" s="506"/>
      <c r="H1019" s="506"/>
      <c r="I1019" s="506"/>
      <c r="J1019" s="506"/>
      <c r="K1019" s="507"/>
      <c r="L1019" s="508"/>
      <c r="M1019" s="508"/>
      <c r="N1019" s="508"/>
      <c r="O1019" s="509"/>
      <c r="P1019" s="509"/>
    </row>
    <row r="1020" spans="1:16" ht="21.75" customHeight="1" x14ac:dyDescent="0.3">
      <c r="A1020" s="504"/>
      <c r="B1020" s="504"/>
      <c r="C1020" s="504"/>
      <c r="D1020" s="504"/>
      <c r="E1020" s="506"/>
      <c r="F1020" s="506"/>
      <c r="G1020" s="506"/>
      <c r="H1020" s="506"/>
      <c r="I1020" s="506"/>
      <c r="J1020" s="506"/>
      <c r="K1020" s="507"/>
      <c r="L1020" s="508"/>
      <c r="M1020" s="508"/>
      <c r="N1020" s="508"/>
      <c r="O1020" s="509"/>
      <c r="P1020" s="509"/>
    </row>
    <row r="1021" spans="1:16" ht="21.75" customHeight="1" x14ac:dyDescent="0.3">
      <c r="A1021" s="504"/>
      <c r="B1021" s="504"/>
      <c r="C1021" s="504"/>
      <c r="D1021" s="504"/>
      <c r="E1021" s="506"/>
      <c r="F1021" s="506"/>
      <c r="G1021" s="506"/>
      <c r="H1021" s="506"/>
      <c r="I1021" s="506"/>
      <c r="J1021" s="506"/>
      <c r="K1021" s="507"/>
      <c r="L1021" s="508"/>
      <c r="M1021" s="508"/>
      <c r="N1021" s="508"/>
      <c r="O1021" s="509"/>
      <c r="P1021" s="509"/>
    </row>
    <row r="1022" spans="1:16" ht="21.75" customHeight="1" x14ac:dyDescent="0.3">
      <c r="A1022" s="504"/>
      <c r="B1022" s="504"/>
      <c r="C1022" s="504"/>
      <c r="D1022" s="504"/>
      <c r="E1022" s="506"/>
      <c r="F1022" s="506"/>
      <c r="G1022" s="506"/>
      <c r="H1022" s="506"/>
      <c r="I1022" s="506"/>
      <c r="J1022" s="506"/>
      <c r="K1022" s="507"/>
      <c r="L1022" s="508"/>
      <c r="M1022" s="508"/>
      <c r="N1022" s="508"/>
      <c r="O1022" s="509"/>
      <c r="P1022" s="509"/>
    </row>
    <row r="1023" spans="1:16" ht="21.75" customHeight="1" x14ac:dyDescent="0.3">
      <c r="A1023" s="504"/>
      <c r="B1023" s="504"/>
      <c r="C1023" s="504"/>
      <c r="D1023" s="504"/>
      <c r="E1023" s="506"/>
      <c r="F1023" s="506"/>
      <c r="G1023" s="506"/>
      <c r="H1023" s="506"/>
      <c r="I1023" s="506"/>
      <c r="J1023" s="506"/>
      <c r="K1023" s="507"/>
      <c r="L1023" s="508"/>
      <c r="M1023" s="508"/>
      <c r="N1023" s="508"/>
      <c r="O1023" s="509"/>
      <c r="P1023" s="509"/>
    </row>
    <row r="1024" spans="1:16" ht="21.75" customHeight="1" x14ac:dyDescent="0.3">
      <c r="A1024" s="504"/>
      <c r="B1024" s="504"/>
      <c r="C1024" s="504"/>
      <c r="D1024" s="504"/>
      <c r="E1024" s="506"/>
      <c r="F1024" s="506"/>
      <c r="G1024" s="506"/>
      <c r="H1024" s="506"/>
      <c r="I1024" s="506"/>
      <c r="J1024" s="506"/>
      <c r="K1024" s="507"/>
      <c r="L1024" s="508"/>
      <c r="M1024" s="508"/>
      <c r="N1024" s="508"/>
      <c r="O1024" s="509"/>
      <c r="P1024" s="509"/>
    </row>
    <row r="1025" spans="1:16" ht="21.75" customHeight="1" x14ac:dyDescent="0.3">
      <c r="A1025" s="504"/>
      <c r="B1025" s="504"/>
      <c r="C1025" s="504"/>
      <c r="D1025" s="504"/>
      <c r="E1025" s="506"/>
      <c r="F1025" s="506"/>
      <c r="G1025" s="506"/>
      <c r="H1025" s="506"/>
      <c r="I1025" s="506"/>
      <c r="J1025" s="506"/>
      <c r="K1025" s="507"/>
      <c r="L1025" s="508"/>
      <c r="M1025" s="508"/>
      <c r="N1025" s="508"/>
      <c r="O1025" s="509"/>
      <c r="P1025" s="509"/>
    </row>
    <row r="1026" spans="1:16" ht="21.75" customHeight="1" x14ac:dyDescent="0.3">
      <c r="A1026" s="504"/>
      <c r="B1026" s="504"/>
      <c r="C1026" s="504"/>
      <c r="D1026" s="504"/>
      <c r="E1026" s="506"/>
      <c r="F1026" s="506"/>
      <c r="G1026" s="506"/>
      <c r="H1026" s="506"/>
      <c r="I1026" s="506"/>
      <c r="J1026" s="506"/>
      <c r="K1026" s="507"/>
      <c r="L1026" s="508"/>
      <c r="M1026" s="508"/>
      <c r="N1026" s="508"/>
      <c r="O1026" s="509"/>
      <c r="P1026" s="509"/>
    </row>
    <row r="1027" spans="1:16" ht="21.75" customHeight="1" x14ac:dyDescent="0.3">
      <c r="A1027" s="504"/>
      <c r="B1027" s="504"/>
      <c r="C1027" s="504"/>
      <c r="D1027" s="504"/>
      <c r="E1027" s="506"/>
      <c r="F1027" s="506"/>
      <c r="G1027" s="506"/>
      <c r="H1027" s="506"/>
      <c r="I1027" s="506"/>
      <c r="J1027" s="506"/>
      <c r="K1027" s="507"/>
      <c r="L1027" s="508"/>
      <c r="M1027" s="508"/>
      <c r="N1027" s="508"/>
      <c r="O1027" s="509"/>
      <c r="P1027" s="509"/>
    </row>
    <row r="1028" spans="1:16" ht="21.75" customHeight="1" x14ac:dyDescent="0.3">
      <c r="A1028" s="504"/>
      <c r="B1028" s="504"/>
      <c r="C1028" s="504"/>
      <c r="D1028" s="504"/>
      <c r="E1028" s="506"/>
      <c r="F1028" s="506"/>
      <c r="G1028" s="506"/>
      <c r="H1028" s="506"/>
      <c r="I1028" s="506"/>
      <c r="J1028" s="506"/>
      <c r="K1028" s="507"/>
      <c r="L1028" s="508"/>
      <c r="M1028" s="508"/>
      <c r="N1028" s="508"/>
      <c r="O1028" s="509"/>
      <c r="P1028" s="509"/>
    </row>
    <row r="1029" spans="1:16" ht="21.75" customHeight="1" x14ac:dyDescent="0.3">
      <c r="A1029" s="504"/>
      <c r="B1029" s="504"/>
      <c r="C1029" s="504"/>
      <c r="D1029" s="504"/>
      <c r="E1029" s="506"/>
      <c r="F1029" s="506"/>
      <c r="G1029" s="506"/>
      <c r="H1029" s="506"/>
      <c r="I1029" s="506"/>
      <c r="J1029" s="506"/>
      <c r="K1029" s="507"/>
      <c r="L1029" s="508"/>
      <c r="M1029" s="508"/>
      <c r="N1029" s="508"/>
      <c r="O1029" s="509"/>
      <c r="P1029" s="509"/>
    </row>
    <row r="1030" spans="1:16" ht="21.75" customHeight="1" x14ac:dyDescent="0.3">
      <c r="A1030" s="504"/>
      <c r="B1030" s="504"/>
      <c r="C1030" s="504"/>
      <c r="D1030" s="504"/>
      <c r="E1030" s="506"/>
      <c r="F1030" s="506"/>
      <c r="G1030" s="506"/>
      <c r="H1030" s="506"/>
      <c r="I1030" s="506"/>
      <c r="J1030" s="506"/>
      <c r="K1030" s="507"/>
      <c r="L1030" s="508"/>
      <c r="M1030" s="508"/>
      <c r="N1030" s="508"/>
      <c r="O1030" s="509"/>
      <c r="P1030" s="509"/>
    </row>
    <row r="1031" spans="1:16" ht="21.75" customHeight="1" x14ac:dyDescent="0.3">
      <c r="A1031" s="504"/>
      <c r="B1031" s="504"/>
      <c r="C1031" s="504"/>
      <c r="D1031" s="504"/>
      <c r="E1031" s="506"/>
      <c r="F1031" s="506"/>
      <c r="G1031" s="506"/>
      <c r="H1031" s="506"/>
      <c r="I1031" s="506"/>
      <c r="J1031" s="506"/>
      <c r="K1031" s="507"/>
      <c r="L1031" s="508"/>
      <c r="M1031" s="508"/>
      <c r="N1031" s="508"/>
      <c r="O1031" s="509"/>
      <c r="P1031" s="509"/>
    </row>
    <row r="1032" spans="1:16" ht="21.75" customHeight="1" x14ac:dyDescent="0.3">
      <c r="A1032" s="504"/>
      <c r="B1032" s="504"/>
      <c r="C1032" s="504"/>
      <c r="D1032" s="504"/>
      <c r="E1032" s="506"/>
      <c r="F1032" s="506"/>
      <c r="G1032" s="506"/>
      <c r="H1032" s="506"/>
      <c r="I1032" s="506"/>
      <c r="J1032" s="506"/>
      <c r="K1032" s="507"/>
      <c r="L1032" s="508"/>
      <c r="M1032" s="508"/>
      <c r="N1032" s="508"/>
      <c r="O1032" s="509"/>
      <c r="P1032" s="509"/>
    </row>
    <row r="1033" spans="1:16" ht="21.75" customHeight="1" x14ac:dyDescent="0.3">
      <c r="A1033" s="504"/>
      <c r="B1033" s="504"/>
      <c r="C1033" s="504"/>
      <c r="D1033" s="504"/>
      <c r="E1033" s="506"/>
      <c r="F1033" s="506"/>
      <c r="G1033" s="506"/>
      <c r="H1033" s="506"/>
      <c r="I1033" s="506"/>
      <c r="J1033" s="506"/>
      <c r="K1033" s="507"/>
      <c r="L1033" s="508"/>
      <c r="M1033" s="508"/>
      <c r="N1033" s="508"/>
      <c r="O1033" s="509"/>
      <c r="P1033" s="509"/>
    </row>
    <row r="1034" spans="1:16" ht="21.75" customHeight="1" x14ac:dyDescent="0.3">
      <c r="A1034" s="504"/>
      <c r="B1034" s="504"/>
      <c r="C1034" s="504"/>
      <c r="D1034" s="504"/>
      <c r="E1034" s="506"/>
      <c r="F1034" s="506"/>
      <c r="G1034" s="506"/>
      <c r="H1034" s="506"/>
      <c r="I1034" s="506"/>
      <c r="J1034" s="506"/>
      <c r="K1034" s="507"/>
      <c r="L1034" s="508"/>
      <c r="M1034" s="508"/>
      <c r="N1034" s="508"/>
      <c r="O1034" s="509"/>
      <c r="P1034" s="509"/>
    </row>
    <row r="1035" spans="1:16" ht="21.75" customHeight="1" x14ac:dyDescent="0.3">
      <c r="A1035" s="504"/>
      <c r="B1035" s="504"/>
      <c r="C1035" s="504"/>
      <c r="D1035" s="504"/>
      <c r="E1035" s="506"/>
      <c r="F1035" s="506"/>
      <c r="G1035" s="506"/>
      <c r="H1035" s="506"/>
      <c r="I1035" s="506"/>
      <c r="J1035" s="506"/>
      <c r="K1035" s="507"/>
      <c r="L1035" s="508"/>
      <c r="M1035" s="508"/>
      <c r="N1035" s="508"/>
      <c r="O1035" s="509"/>
      <c r="P1035" s="509"/>
    </row>
    <row r="1036" spans="1:16" ht="21.75" customHeight="1" x14ac:dyDescent="0.3">
      <c r="A1036" s="504"/>
      <c r="B1036" s="504"/>
      <c r="C1036" s="504"/>
      <c r="D1036" s="504"/>
      <c r="E1036" s="506"/>
      <c r="F1036" s="506"/>
      <c r="G1036" s="506"/>
      <c r="H1036" s="506"/>
      <c r="I1036" s="506"/>
      <c r="J1036" s="506"/>
      <c r="K1036" s="507"/>
      <c r="L1036" s="508"/>
      <c r="M1036" s="508"/>
      <c r="N1036" s="508"/>
      <c r="O1036" s="509"/>
      <c r="P1036" s="509"/>
    </row>
    <row r="1037" spans="1:16" ht="21.75" customHeight="1" x14ac:dyDescent="0.3">
      <c r="A1037" s="504"/>
      <c r="B1037" s="504"/>
      <c r="C1037" s="504"/>
      <c r="D1037" s="504"/>
      <c r="E1037" s="506"/>
      <c r="F1037" s="506"/>
      <c r="G1037" s="506"/>
      <c r="H1037" s="506"/>
      <c r="I1037" s="506"/>
      <c r="J1037" s="506"/>
      <c r="K1037" s="507"/>
      <c r="L1037" s="508"/>
      <c r="M1037" s="508"/>
      <c r="N1037" s="508"/>
      <c r="O1037" s="509"/>
      <c r="P1037" s="509"/>
    </row>
    <row r="1038" spans="1:16" ht="21.75" customHeight="1" x14ac:dyDescent="0.3">
      <c r="A1038" s="504"/>
      <c r="B1038" s="504"/>
      <c r="C1038" s="504"/>
      <c r="D1038" s="504"/>
      <c r="E1038" s="506"/>
      <c r="F1038" s="506"/>
      <c r="G1038" s="506"/>
      <c r="H1038" s="506"/>
      <c r="I1038" s="506"/>
      <c r="J1038" s="506"/>
      <c r="K1038" s="507"/>
      <c r="L1038" s="508"/>
      <c r="M1038" s="508"/>
      <c r="N1038" s="508"/>
      <c r="O1038" s="509"/>
      <c r="P1038" s="509"/>
    </row>
    <row r="1039" spans="1:16" ht="21.75" customHeight="1" x14ac:dyDescent="0.3">
      <c r="A1039" s="504"/>
      <c r="B1039" s="504"/>
      <c r="C1039" s="504"/>
      <c r="D1039" s="504"/>
      <c r="E1039" s="506"/>
      <c r="F1039" s="506"/>
      <c r="G1039" s="506"/>
      <c r="H1039" s="506"/>
      <c r="I1039" s="506"/>
      <c r="J1039" s="506"/>
      <c r="K1039" s="507"/>
      <c r="L1039" s="508"/>
      <c r="M1039" s="508"/>
      <c r="N1039" s="508"/>
      <c r="O1039" s="509"/>
      <c r="P1039" s="509"/>
    </row>
    <row r="1040" spans="1:16" ht="21.75" customHeight="1" x14ac:dyDescent="0.3">
      <c r="A1040" s="504"/>
      <c r="B1040" s="504"/>
      <c r="C1040" s="504"/>
      <c r="D1040" s="504"/>
      <c r="E1040" s="506"/>
      <c r="F1040" s="506"/>
      <c r="G1040" s="506"/>
      <c r="H1040" s="506"/>
      <c r="I1040" s="506"/>
      <c r="J1040" s="506"/>
      <c r="K1040" s="507"/>
      <c r="L1040" s="508"/>
      <c r="M1040" s="508"/>
      <c r="N1040" s="508"/>
      <c r="O1040" s="509"/>
      <c r="P1040" s="509"/>
    </row>
    <row r="1041" spans="1:16" ht="21.75" customHeight="1" x14ac:dyDescent="0.3">
      <c r="A1041" s="504"/>
      <c r="B1041" s="504"/>
      <c r="C1041" s="504"/>
      <c r="D1041" s="504"/>
      <c r="E1041" s="506"/>
      <c r="F1041" s="506"/>
      <c r="G1041" s="506"/>
      <c r="H1041" s="506"/>
      <c r="I1041" s="506"/>
      <c r="J1041" s="506"/>
      <c r="K1041" s="507"/>
      <c r="L1041" s="508"/>
      <c r="M1041" s="508"/>
      <c r="N1041" s="508"/>
      <c r="O1041" s="509"/>
      <c r="P1041" s="509"/>
    </row>
    <row r="1042" spans="1:16" ht="21.75" customHeight="1" x14ac:dyDescent="0.3">
      <c r="A1042" s="504"/>
      <c r="B1042" s="504"/>
      <c r="C1042" s="504"/>
      <c r="D1042" s="504"/>
      <c r="E1042" s="506"/>
      <c r="F1042" s="506"/>
      <c r="G1042" s="506"/>
      <c r="H1042" s="506"/>
      <c r="I1042" s="506"/>
      <c r="J1042" s="506"/>
      <c r="K1042" s="507"/>
      <c r="L1042" s="508"/>
      <c r="M1042" s="508"/>
      <c r="N1042" s="508"/>
      <c r="O1042" s="509"/>
      <c r="P1042" s="509"/>
    </row>
    <row r="1043" spans="1:16" ht="21.75" customHeight="1" x14ac:dyDescent="0.3">
      <c r="A1043" s="504"/>
      <c r="B1043" s="504"/>
      <c r="C1043" s="504"/>
      <c r="D1043" s="504"/>
      <c r="E1043" s="506"/>
      <c r="F1043" s="506"/>
      <c r="G1043" s="506"/>
      <c r="H1043" s="506"/>
      <c r="I1043" s="506"/>
      <c r="J1043" s="506"/>
      <c r="K1043" s="507"/>
      <c r="L1043" s="508"/>
      <c r="M1043" s="508"/>
      <c r="N1043" s="508"/>
      <c r="O1043" s="509"/>
      <c r="P1043" s="509"/>
    </row>
    <row r="1044" spans="1:16" ht="21.75" customHeight="1" x14ac:dyDescent="0.3">
      <c r="A1044" s="504"/>
      <c r="B1044" s="504"/>
      <c r="C1044" s="504"/>
      <c r="D1044" s="504"/>
      <c r="E1044" s="506"/>
      <c r="F1044" s="506"/>
      <c r="G1044" s="506"/>
      <c r="H1044" s="506"/>
      <c r="I1044" s="506"/>
      <c r="J1044" s="506"/>
      <c r="K1044" s="507"/>
      <c r="L1044" s="508"/>
      <c r="M1044" s="508"/>
      <c r="N1044" s="508"/>
      <c r="O1044" s="509"/>
      <c r="P1044" s="509"/>
    </row>
    <row r="1045" spans="1:16" ht="21.75" customHeight="1" x14ac:dyDescent="0.3">
      <c r="A1045" s="504"/>
      <c r="B1045" s="504"/>
      <c r="C1045" s="504"/>
      <c r="D1045" s="504"/>
      <c r="E1045" s="506"/>
      <c r="F1045" s="506"/>
      <c r="G1045" s="506"/>
      <c r="H1045" s="506"/>
      <c r="I1045" s="506"/>
      <c r="J1045" s="506"/>
      <c r="K1045" s="507"/>
      <c r="L1045" s="508"/>
      <c r="M1045" s="508"/>
      <c r="N1045" s="508"/>
      <c r="O1045" s="509"/>
      <c r="P1045" s="509"/>
    </row>
    <row r="1046" spans="1:16" ht="21.75" customHeight="1" x14ac:dyDescent="0.3">
      <c r="A1046" s="504"/>
      <c r="B1046" s="504"/>
      <c r="C1046" s="504"/>
      <c r="D1046" s="504"/>
      <c r="E1046" s="506"/>
      <c r="F1046" s="506"/>
      <c r="G1046" s="506"/>
      <c r="H1046" s="506"/>
      <c r="I1046" s="506"/>
      <c r="J1046" s="506"/>
      <c r="K1046" s="507"/>
      <c r="L1046" s="508"/>
      <c r="M1046" s="508"/>
      <c r="N1046" s="508"/>
      <c r="O1046" s="509"/>
      <c r="P1046" s="509"/>
    </row>
    <row r="1047" spans="1:16" ht="21.75" customHeight="1" x14ac:dyDescent="0.3">
      <c r="A1047" s="504"/>
      <c r="B1047" s="504"/>
      <c r="C1047" s="504"/>
      <c r="D1047" s="504"/>
      <c r="E1047" s="506"/>
      <c r="F1047" s="506"/>
      <c r="G1047" s="506"/>
      <c r="H1047" s="506"/>
      <c r="I1047" s="506"/>
      <c r="J1047" s="506"/>
      <c r="K1047" s="507"/>
      <c r="L1047" s="508"/>
      <c r="M1047" s="508"/>
      <c r="N1047" s="508"/>
      <c r="O1047" s="509"/>
      <c r="P1047" s="509"/>
    </row>
    <row r="1048" spans="1:16" ht="21.75" customHeight="1" x14ac:dyDescent="0.3">
      <c r="A1048" s="504"/>
      <c r="B1048" s="504"/>
      <c r="C1048" s="504"/>
      <c r="D1048" s="504"/>
      <c r="E1048" s="506"/>
      <c r="F1048" s="506"/>
      <c r="G1048" s="506"/>
      <c r="H1048" s="506"/>
      <c r="I1048" s="506"/>
      <c r="J1048" s="506"/>
      <c r="K1048" s="507"/>
      <c r="L1048" s="508"/>
      <c r="M1048" s="508"/>
      <c r="N1048" s="508"/>
      <c r="O1048" s="509"/>
      <c r="P1048" s="509"/>
    </row>
    <row r="1049" spans="1:16" ht="21.75" customHeight="1" x14ac:dyDescent="0.3">
      <c r="A1049" s="504"/>
      <c r="B1049" s="504"/>
      <c r="C1049" s="504"/>
      <c r="D1049" s="504"/>
      <c r="E1049" s="506"/>
      <c r="F1049" s="506"/>
      <c r="G1049" s="506"/>
      <c r="H1049" s="506"/>
      <c r="I1049" s="506"/>
      <c r="J1049" s="506"/>
      <c r="K1049" s="507"/>
      <c r="L1049" s="508"/>
      <c r="M1049" s="508"/>
      <c r="N1049" s="508"/>
      <c r="O1049" s="509"/>
      <c r="P1049" s="509"/>
    </row>
    <row r="1050" spans="1:16" ht="21.75" customHeight="1" x14ac:dyDescent="0.3">
      <c r="A1050" s="504"/>
      <c r="B1050" s="504"/>
      <c r="C1050" s="504"/>
      <c r="D1050" s="504"/>
      <c r="E1050" s="506"/>
      <c r="F1050" s="506"/>
      <c r="G1050" s="506"/>
      <c r="H1050" s="506"/>
      <c r="I1050" s="506"/>
      <c r="J1050" s="506"/>
      <c r="K1050" s="507"/>
      <c r="L1050" s="508"/>
      <c r="M1050" s="508"/>
      <c r="N1050" s="508"/>
      <c r="O1050" s="509"/>
      <c r="P1050" s="509"/>
    </row>
    <row r="1051" spans="1:16" ht="21.75" customHeight="1" x14ac:dyDescent="0.3">
      <c r="A1051" s="504"/>
      <c r="B1051" s="504"/>
      <c r="C1051" s="504"/>
      <c r="D1051" s="504"/>
      <c r="E1051" s="506"/>
      <c r="F1051" s="506"/>
      <c r="G1051" s="506"/>
      <c r="H1051" s="506"/>
      <c r="I1051" s="506"/>
      <c r="J1051" s="506"/>
      <c r="K1051" s="507"/>
      <c r="L1051" s="508"/>
      <c r="M1051" s="508"/>
      <c r="N1051" s="508"/>
      <c r="O1051" s="509"/>
      <c r="P1051" s="509"/>
    </row>
    <row r="1052" spans="1:16" ht="21.75" customHeight="1" x14ac:dyDescent="0.3">
      <c r="A1052" s="504"/>
      <c r="B1052" s="504"/>
      <c r="C1052" s="504"/>
      <c r="D1052" s="504"/>
      <c r="E1052" s="506"/>
      <c r="F1052" s="506"/>
      <c r="G1052" s="506"/>
      <c r="H1052" s="506"/>
      <c r="I1052" s="506"/>
      <c r="J1052" s="506"/>
      <c r="K1052" s="507"/>
      <c r="L1052" s="508"/>
      <c r="M1052" s="508"/>
      <c r="N1052" s="508"/>
      <c r="O1052" s="509"/>
      <c r="P1052" s="509"/>
    </row>
    <row r="1053" spans="1:16" ht="21.75" customHeight="1" x14ac:dyDescent="0.3">
      <c r="A1053" s="504"/>
      <c r="B1053" s="504"/>
      <c r="C1053" s="504"/>
      <c r="D1053" s="504"/>
      <c r="E1053" s="506"/>
      <c r="F1053" s="506"/>
      <c r="G1053" s="506"/>
      <c r="H1053" s="506"/>
      <c r="I1053" s="506"/>
      <c r="J1053" s="506"/>
      <c r="K1053" s="507"/>
      <c r="L1053" s="508"/>
      <c r="M1053" s="508"/>
      <c r="N1053" s="508"/>
      <c r="O1053" s="509"/>
      <c r="P1053" s="509"/>
    </row>
    <row r="1054" spans="1:16" ht="21.75" customHeight="1" x14ac:dyDescent="0.3">
      <c r="A1054" s="504"/>
      <c r="B1054" s="504"/>
      <c r="C1054" s="504"/>
      <c r="D1054" s="504"/>
      <c r="E1054" s="506"/>
      <c r="F1054" s="506"/>
      <c r="G1054" s="506"/>
      <c r="H1054" s="506"/>
      <c r="I1054" s="506"/>
      <c r="J1054" s="506"/>
      <c r="K1054" s="507"/>
      <c r="L1054" s="508"/>
      <c r="M1054" s="508"/>
      <c r="N1054" s="508"/>
      <c r="O1054" s="509"/>
      <c r="P1054" s="509"/>
    </row>
    <row r="1055" spans="1:16" ht="21.75" customHeight="1" x14ac:dyDescent="0.3">
      <c r="A1055" s="504"/>
      <c r="B1055" s="504"/>
      <c r="C1055" s="504"/>
      <c r="D1055" s="504"/>
      <c r="E1055" s="506"/>
      <c r="F1055" s="506"/>
      <c r="G1055" s="506"/>
      <c r="H1055" s="506"/>
      <c r="I1055" s="506"/>
      <c r="J1055" s="506"/>
      <c r="K1055" s="507"/>
      <c r="L1055" s="508"/>
      <c r="M1055" s="508"/>
      <c r="N1055" s="508"/>
      <c r="O1055" s="509"/>
      <c r="P1055" s="509"/>
    </row>
    <row r="1056" spans="1:16" ht="21.75" customHeight="1" x14ac:dyDescent="0.3">
      <c r="A1056" s="504"/>
      <c r="B1056" s="504"/>
      <c r="C1056" s="504"/>
      <c r="D1056" s="504"/>
      <c r="E1056" s="506"/>
      <c r="F1056" s="506"/>
      <c r="G1056" s="506"/>
      <c r="H1056" s="506"/>
      <c r="I1056" s="506"/>
      <c r="J1056" s="506"/>
      <c r="K1056" s="507"/>
      <c r="L1056" s="508"/>
      <c r="M1056" s="508"/>
      <c r="N1056" s="508"/>
      <c r="O1056" s="509"/>
      <c r="P1056" s="509"/>
    </row>
    <row r="1057" spans="1:16" ht="21.75" customHeight="1" x14ac:dyDescent="0.3">
      <c r="A1057" s="504"/>
      <c r="B1057" s="504"/>
      <c r="C1057" s="504"/>
      <c r="D1057" s="504"/>
      <c r="E1057" s="506"/>
      <c r="F1057" s="506"/>
      <c r="G1057" s="506"/>
      <c r="H1057" s="506"/>
      <c r="I1057" s="506"/>
      <c r="J1057" s="506"/>
      <c r="K1057" s="507"/>
      <c r="L1057" s="508"/>
      <c r="M1057" s="508"/>
      <c r="N1057" s="508"/>
      <c r="O1057" s="509"/>
      <c r="P1057" s="509"/>
    </row>
    <row r="1058" spans="1:16" ht="21.75" customHeight="1" x14ac:dyDescent="0.3">
      <c r="A1058" s="504"/>
      <c r="B1058" s="504"/>
      <c r="C1058" s="504"/>
      <c r="D1058" s="504"/>
      <c r="E1058" s="506"/>
      <c r="F1058" s="506"/>
      <c r="G1058" s="506"/>
      <c r="H1058" s="506"/>
      <c r="I1058" s="506"/>
      <c r="J1058" s="506"/>
      <c r="K1058" s="507"/>
      <c r="L1058" s="508"/>
      <c r="M1058" s="508"/>
      <c r="N1058" s="508"/>
      <c r="O1058" s="509"/>
      <c r="P1058" s="509"/>
    </row>
    <row r="1059" spans="1:16" ht="21.75" customHeight="1" x14ac:dyDescent="0.3">
      <c r="A1059" s="504"/>
      <c r="B1059" s="504"/>
      <c r="C1059" s="504"/>
      <c r="D1059" s="504"/>
      <c r="E1059" s="506"/>
      <c r="F1059" s="506"/>
      <c r="G1059" s="506"/>
      <c r="H1059" s="506"/>
      <c r="I1059" s="506"/>
      <c r="J1059" s="506"/>
      <c r="K1059" s="507"/>
      <c r="L1059" s="508"/>
      <c r="M1059" s="508"/>
      <c r="N1059" s="508"/>
      <c r="O1059" s="509"/>
      <c r="P1059" s="509"/>
    </row>
    <row r="1060" spans="1:16" ht="21.75" customHeight="1" x14ac:dyDescent="0.3">
      <c r="A1060" s="504"/>
      <c r="B1060" s="504"/>
      <c r="C1060" s="504"/>
      <c r="D1060" s="504"/>
      <c r="E1060" s="506"/>
      <c r="F1060" s="506"/>
      <c r="G1060" s="506"/>
      <c r="H1060" s="506"/>
      <c r="I1060" s="506"/>
      <c r="J1060" s="506"/>
      <c r="K1060" s="507"/>
      <c r="L1060" s="508"/>
      <c r="M1060" s="508"/>
      <c r="N1060" s="508"/>
      <c r="O1060" s="509"/>
      <c r="P1060" s="509"/>
    </row>
    <row r="1061" spans="1:16" ht="21.75" customHeight="1" x14ac:dyDescent="0.3">
      <c r="A1061" s="504"/>
      <c r="B1061" s="504"/>
      <c r="C1061" s="504"/>
      <c r="D1061" s="504"/>
      <c r="E1061" s="506"/>
      <c r="F1061" s="506"/>
      <c r="G1061" s="506"/>
      <c r="H1061" s="506"/>
      <c r="I1061" s="506"/>
      <c r="J1061" s="506"/>
      <c r="K1061" s="507"/>
      <c r="L1061" s="508"/>
      <c r="M1061" s="508"/>
      <c r="N1061" s="508"/>
      <c r="O1061" s="509"/>
      <c r="P1061" s="509"/>
    </row>
    <row r="1062" spans="1:16" ht="21.75" customHeight="1" x14ac:dyDescent="0.3">
      <c r="A1062" s="504"/>
      <c r="B1062" s="504"/>
      <c r="C1062" s="504"/>
      <c r="D1062" s="504"/>
      <c r="E1062" s="506"/>
      <c r="F1062" s="506"/>
      <c r="G1062" s="506"/>
      <c r="H1062" s="506"/>
      <c r="I1062" s="506"/>
      <c r="J1062" s="506"/>
      <c r="K1062" s="507"/>
      <c r="L1062" s="508"/>
      <c r="M1062" s="508"/>
      <c r="N1062" s="508"/>
      <c r="O1062" s="509"/>
      <c r="P1062" s="509"/>
    </row>
    <row r="1063" spans="1:16" ht="21.75" customHeight="1" x14ac:dyDescent="0.3">
      <c r="A1063" s="504"/>
      <c r="B1063" s="504"/>
      <c r="C1063" s="504"/>
      <c r="D1063" s="504"/>
      <c r="E1063" s="506"/>
      <c r="F1063" s="506"/>
      <c r="G1063" s="506"/>
      <c r="H1063" s="506"/>
      <c r="I1063" s="506"/>
      <c r="J1063" s="506"/>
      <c r="K1063" s="507"/>
      <c r="L1063" s="508"/>
      <c r="M1063" s="508"/>
      <c r="N1063" s="508"/>
      <c r="O1063" s="509"/>
      <c r="P1063" s="509"/>
    </row>
    <row r="1064" spans="1:16" ht="21.75" customHeight="1" x14ac:dyDescent="0.3">
      <c r="A1064" s="504"/>
      <c r="B1064" s="504"/>
      <c r="C1064" s="504"/>
      <c r="D1064" s="504"/>
      <c r="E1064" s="506"/>
      <c r="F1064" s="506"/>
      <c r="G1064" s="506"/>
      <c r="H1064" s="506"/>
      <c r="I1064" s="506"/>
      <c r="J1064" s="506"/>
      <c r="K1064" s="507"/>
      <c r="L1064" s="508"/>
      <c r="M1064" s="508"/>
      <c r="N1064" s="508"/>
      <c r="O1064" s="509"/>
      <c r="P1064" s="509"/>
    </row>
    <row r="1065" spans="1:16" ht="21.75" customHeight="1" x14ac:dyDescent="0.3">
      <c r="A1065" s="504"/>
      <c r="B1065" s="504"/>
      <c r="C1065" s="504"/>
      <c r="D1065" s="504"/>
      <c r="E1065" s="506"/>
      <c r="F1065" s="506"/>
      <c r="G1065" s="506"/>
      <c r="H1065" s="506"/>
      <c r="I1065" s="506"/>
      <c r="J1065" s="506"/>
      <c r="K1065" s="507"/>
      <c r="L1065" s="508"/>
      <c r="M1065" s="508"/>
      <c r="N1065" s="508"/>
      <c r="O1065" s="509"/>
      <c r="P1065" s="509"/>
    </row>
    <row r="1066" spans="1:16" ht="21.75" customHeight="1" x14ac:dyDescent="0.3">
      <c r="A1066" s="504"/>
      <c r="B1066" s="504"/>
      <c r="C1066" s="504"/>
      <c r="D1066" s="504"/>
      <c r="E1066" s="506"/>
      <c r="F1066" s="506"/>
      <c r="G1066" s="506"/>
      <c r="H1066" s="506"/>
      <c r="I1066" s="506"/>
      <c r="J1066" s="506"/>
      <c r="K1066" s="507"/>
      <c r="L1066" s="508"/>
      <c r="M1066" s="508"/>
      <c r="N1066" s="508"/>
      <c r="O1066" s="509"/>
      <c r="P1066" s="509"/>
    </row>
    <row r="1067" spans="1:16" ht="21.75" customHeight="1" x14ac:dyDescent="0.3">
      <c r="A1067" s="504"/>
      <c r="B1067" s="504"/>
      <c r="C1067" s="504"/>
      <c r="D1067" s="504"/>
      <c r="E1067" s="506"/>
      <c r="F1067" s="506"/>
      <c r="G1067" s="506"/>
      <c r="H1067" s="506"/>
      <c r="I1067" s="506"/>
      <c r="J1067" s="506"/>
      <c r="K1067" s="507"/>
      <c r="L1067" s="508"/>
      <c r="M1067" s="508"/>
      <c r="N1067" s="508"/>
      <c r="O1067" s="509"/>
      <c r="P1067" s="509"/>
    </row>
    <row r="1068" spans="1:16" ht="21.75" customHeight="1" x14ac:dyDescent="0.3">
      <c r="A1068" s="504"/>
      <c r="B1068" s="504"/>
      <c r="C1068" s="504"/>
      <c r="D1068" s="504"/>
      <c r="E1068" s="506"/>
      <c r="F1068" s="506"/>
      <c r="G1068" s="506"/>
      <c r="H1068" s="506"/>
      <c r="I1068" s="506"/>
      <c r="J1068" s="506"/>
      <c r="K1068" s="507"/>
      <c r="L1068" s="508"/>
      <c r="M1068" s="508"/>
      <c r="N1068" s="508"/>
      <c r="O1068" s="509"/>
      <c r="P1068" s="509"/>
    </row>
    <row r="1069" spans="1:16" ht="21.75" customHeight="1" x14ac:dyDescent="0.3">
      <c r="A1069" s="504"/>
      <c r="B1069" s="504"/>
      <c r="C1069" s="504"/>
      <c r="D1069" s="504"/>
      <c r="E1069" s="506"/>
      <c r="F1069" s="506"/>
      <c r="G1069" s="506"/>
      <c r="H1069" s="506"/>
      <c r="I1069" s="506"/>
      <c r="J1069" s="506"/>
      <c r="K1069" s="507"/>
      <c r="L1069" s="508"/>
      <c r="M1069" s="508"/>
      <c r="N1069" s="508"/>
      <c r="O1069" s="509"/>
      <c r="P1069" s="509"/>
    </row>
    <row r="1070" spans="1:16" ht="21.75" customHeight="1" x14ac:dyDescent="0.3">
      <c r="A1070" s="504"/>
      <c r="B1070" s="504"/>
      <c r="C1070" s="504"/>
      <c r="D1070" s="504"/>
      <c r="E1070" s="506"/>
      <c r="F1070" s="506"/>
      <c r="G1070" s="506"/>
      <c r="H1070" s="506"/>
      <c r="I1070" s="506"/>
      <c r="J1070" s="506"/>
      <c r="K1070" s="507"/>
      <c r="L1070" s="508"/>
      <c r="M1070" s="508"/>
      <c r="N1070" s="508"/>
      <c r="O1070" s="509"/>
      <c r="P1070" s="509"/>
    </row>
    <row r="1071" spans="1:16" ht="21.75" customHeight="1" x14ac:dyDescent="0.3">
      <c r="A1071" s="504"/>
      <c r="B1071" s="504"/>
      <c r="C1071" s="504"/>
      <c r="D1071" s="504"/>
      <c r="E1071" s="506"/>
      <c r="F1071" s="506"/>
      <c r="G1071" s="506"/>
      <c r="H1071" s="506"/>
      <c r="I1071" s="506"/>
      <c r="J1071" s="506"/>
      <c r="K1071" s="507"/>
      <c r="L1071" s="508"/>
      <c r="M1071" s="508"/>
      <c r="N1071" s="508"/>
      <c r="O1071" s="509"/>
      <c r="P1071" s="509"/>
    </row>
    <row r="1072" spans="1:16" ht="21.75" customHeight="1" x14ac:dyDescent="0.3">
      <c r="A1072" s="504"/>
      <c r="B1072" s="504"/>
      <c r="C1072" s="504"/>
      <c r="D1072" s="504"/>
      <c r="E1072" s="506"/>
      <c r="F1072" s="506"/>
      <c r="G1072" s="506"/>
      <c r="H1072" s="506"/>
      <c r="I1072" s="506"/>
      <c r="J1072" s="506"/>
      <c r="K1072" s="507"/>
      <c r="L1072" s="508"/>
      <c r="M1072" s="508"/>
      <c r="N1072" s="508"/>
      <c r="O1072" s="509"/>
      <c r="P1072" s="509"/>
    </row>
    <row r="1073" spans="1:16" ht="21.75" customHeight="1" x14ac:dyDescent="0.3">
      <c r="A1073" s="504"/>
      <c r="B1073" s="504"/>
      <c r="C1073" s="504"/>
      <c r="D1073" s="504"/>
      <c r="E1073" s="506"/>
      <c r="F1073" s="506"/>
      <c r="G1073" s="506"/>
      <c r="H1073" s="506"/>
      <c r="I1073" s="506"/>
      <c r="J1073" s="506"/>
      <c r="K1073" s="507"/>
      <c r="L1073" s="508"/>
      <c r="M1073" s="508"/>
      <c r="N1073" s="508"/>
      <c r="O1073" s="509"/>
      <c r="P1073" s="509"/>
    </row>
    <row r="1074" spans="1:16" ht="21.75" customHeight="1" x14ac:dyDescent="0.3">
      <c r="A1074" s="504"/>
      <c r="B1074" s="504"/>
      <c r="C1074" s="504"/>
      <c r="D1074" s="504"/>
      <c r="E1074" s="506"/>
      <c r="F1074" s="506"/>
      <c r="G1074" s="506"/>
      <c r="H1074" s="506"/>
      <c r="I1074" s="506"/>
      <c r="J1074" s="506"/>
      <c r="K1074" s="507"/>
      <c r="L1074" s="508"/>
      <c r="M1074" s="508"/>
      <c r="N1074" s="508"/>
      <c r="O1074" s="509"/>
      <c r="P1074" s="509"/>
    </row>
    <row r="1075" spans="1:16" ht="21.75" customHeight="1" x14ac:dyDescent="0.3">
      <c r="A1075" s="504"/>
      <c r="B1075" s="504"/>
      <c r="C1075" s="504"/>
      <c r="D1075" s="504"/>
      <c r="E1075" s="506"/>
      <c r="F1075" s="506"/>
      <c r="G1075" s="506"/>
      <c r="H1075" s="506"/>
      <c r="I1075" s="506"/>
      <c r="J1075" s="506"/>
      <c r="K1075" s="507"/>
      <c r="L1075" s="508"/>
      <c r="M1075" s="508"/>
      <c r="N1075" s="508"/>
      <c r="O1075" s="509"/>
      <c r="P1075" s="509"/>
    </row>
    <row r="1076" spans="1:16" ht="21.75" customHeight="1" x14ac:dyDescent="0.3">
      <c r="A1076" s="504"/>
      <c r="B1076" s="504"/>
      <c r="C1076" s="504"/>
      <c r="D1076" s="504"/>
      <c r="E1076" s="506"/>
      <c r="F1076" s="506"/>
      <c r="G1076" s="506"/>
      <c r="H1076" s="506"/>
      <c r="I1076" s="506"/>
      <c r="J1076" s="506"/>
      <c r="K1076" s="507"/>
      <c r="L1076" s="508"/>
      <c r="M1076" s="508"/>
      <c r="N1076" s="508"/>
      <c r="O1076" s="509"/>
      <c r="P1076" s="509"/>
    </row>
    <row r="1077" spans="1:16" ht="21.75" customHeight="1" x14ac:dyDescent="0.3">
      <c r="A1077" s="504"/>
      <c r="B1077" s="504"/>
      <c r="C1077" s="504"/>
      <c r="D1077" s="504"/>
      <c r="E1077" s="506"/>
      <c r="F1077" s="506"/>
      <c r="G1077" s="506"/>
      <c r="H1077" s="506"/>
      <c r="I1077" s="506"/>
      <c r="J1077" s="506"/>
      <c r="K1077" s="507"/>
      <c r="L1077" s="508"/>
      <c r="M1077" s="508"/>
      <c r="N1077" s="508"/>
      <c r="O1077" s="509"/>
      <c r="P1077" s="509"/>
    </row>
    <row r="1078" spans="1:16" ht="21.75" customHeight="1" x14ac:dyDescent="0.3">
      <c r="A1078" s="504"/>
      <c r="B1078" s="504"/>
      <c r="C1078" s="504"/>
      <c r="D1078" s="504"/>
      <c r="E1078" s="506"/>
      <c r="F1078" s="506"/>
      <c r="G1078" s="506"/>
      <c r="H1078" s="506"/>
      <c r="I1078" s="506"/>
      <c r="J1078" s="506"/>
      <c r="K1078" s="507"/>
      <c r="L1078" s="508"/>
      <c r="M1078" s="508"/>
      <c r="N1078" s="508"/>
      <c r="O1078" s="509"/>
      <c r="P1078" s="509"/>
    </row>
    <row r="1079" spans="1:16" ht="21.75" customHeight="1" x14ac:dyDescent="0.3">
      <c r="A1079" s="504"/>
      <c r="B1079" s="504"/>
      <c r="C1079" s="504"/>
      <c r="D1079" s="504"/>
      <c r="E1079" s="506"/>
      <c r="F1079" s="506"/>
      <c r="G1079" s="506"/>
      <c r="H1079" s="506"/>
      <c r="I1079" s="506"/>
      <c r="J1079" s="506"/>
      <c r="K1079" s="507"/>
      <c r="L1079" s="508"/>
      <c r="M1079" s="508"/>
      <c r="N1079" s="508"/>
      <c r="O1079" s="509"/>
      <c r="P1079" s="509"/>
    </row>
    <row r="1080" spans="1:16" ht="21.75" customHeight="1" x14ac:dyDescent="0.3">
      <c r="A1080" s="504"/>
      <c r="B1080" s="504"/>
      <c r="C1080" s="504"/>
      <c r="D1080" s="504"/>
      <c r="E1080" s="506"/>
      <c r="F1080" s="506"/>
      <c r="G1080" s="506"/>
      <c r="H1080" s="506"/>
      <c r="I1080" s="506"/>
      <c r="J1080" s="506"/>
      <c r="K1080" s="507"/>
      <c r="L1080" s="508"/>
      <c r="M1080" s="508"/>
      <c r="N1080" s="508"/>
      <c r="O1080" s="509"/>
      <c r="P1080" s="509"/>
    </row>
    <row r="1081" spans="1:16" ht="21.75" customHeight="1" x14ac:dyDescent="0.3">
      <c r="A1081" s="504"/>
      <c r="B1081" s="504"/>
      <c r="C1081" s="504"/>
      <c r="D1081" s="504"/>
      <c r="E1081" s="506"/>
      <c r="F1081" s="506"/>
      <c r="G1081" s="506"/>
      <c r="H1081" s="506"/>
      <c r="I1081" s="506"/>
      <c r="J1081" s="506"/>
      <c r="K1081" s="507"/>
      <c r="L1081" s="508"/>
      <c r="M1081" s="508"/>
      <c r="N1081" s="508"/>
      <c r="O1081" s="509"/>
      <c r="P1081" s="509"/>
    </row>
    <row r="1082" spans="1:16" ht="21.75" customHeight="1" x14ac:dyDescent="0.3">
      <c r="A1082" s="504"/>
      <c r="B1082" s="504"/>
      <c r="C1082" s="504"/>
      <c r="D1082" s="504"/>
      <c r="E1082" s="506"/>
      <c r="F1082" s="506"/>
      <c r="G1082" s="506"/>
      <c r="H1082" s="506"/>
      <c r="I1082" s="506"/>
      <c r="J1082" s="506"/>
      <c r="K1082" s="507"/>
      <c r="L1082" s="508"/>
      <c r="M1082" s="508"/>
      <c r="N1082" s="508"/>
      <c r="O1082" s="509"/>
      <c r="P1082" s="509"/>
    </row>
    <row r="1083" spans="1:16" ht="21.75" customHeight="1" x14ac:dyDescent="0.3">
      <c r="A1083" s="504"/>
      <c r="B1083" s="504"/>
      <c r="C1083" s="504"/>
      <c r="D1083" s="504"/>
      <c r="E1083" s="506"/>
      <c r="F1083" s="506"/>
      <c r="G1083" s="506"/>
      <c r="H1083" s="506"/>
      <c r="I1083" s="506"/>
      <c r="J1083" s="506"/>
      <c r="K1083" s="507"/>
      <c r="L1083" s="508"/>
      <c r="M1083" s="508"/>
      <c r="N1083" s="508"/>
      <c r="O1083" s="509"/>
      <c r="P1083" s="509"/>
    </row>
    <row r="1084" spans="1:16" ht="21.75" customHeight="1" x14ac:dyDescent="0.3">
      <c r="A1084" s="504"/>
      <c r="B1084" s="504"/>
      <c r="C1084" s="504"/>
      <c r="D1084" s="504"/>
      <c r="E1084" s="506"/>
      <c r="F1084" s="506"/>
      <c r="G1084" s="506"/>
      <c r="H1084" s="506"/>
      <c r="I1084" s="506"/>
      <c r="J1084" s="506"/>
      <c r="K1084" s="507"/>
      <c r="L1084" s="508"/>
      <c r="M1084" s="508"/>
      <c r="N1084" s="508"/>
      <c r="O1084" s="509"/>
      <c r="P1084" s="509"/>
    </row>
    <row r="1085" spans="1:16" ht="21.75" customHeight="1" x14ac:dyDescent="0.3">
      <c r="A1085" s="504"/>
      <c r="B1085" s="504"/>
      <c r="C1085" s="504"/>
      <c r="D1085" s="504"/>
      <c r="E1085" s="506"/>
      <c r="F1085" s="506"/>
      <c r="G1085" s="506"/>
      <c r="H1085" s="506"/>
      <c r="I1085" s="506"/>
      <c r="J1085" s="506"/>
      <c r="K1085" s="507"/>
      <c r="L1085" s="508"/>
      <c r="M1085" s="508"/>
      <c r="N1085" s="508"/>
      <c r="O1085" s="509"/>
      <c r="P1085" s="509"/>
    </row>
    <row r="1086" spans="1:16" ht="21.75" customHeight="1" x14ac:dyDescent="0.3">
      <c r="A1086" s="504"/>
      <c r="B1086" s="504"/>
      <c r="C1086" s="504"/>
      <c r="D1086" s="504"/>
      <c r="E1086" s="506"/>
      <c r="F1086" s="506"/>
      <c r="G1086" s="506"/>
      <c r="H1086" s="506"/>
      <c r="I1086" s="506"/>
      <c r="J1086" s="506"/>
      <c r="K1086" s="507"/>
      <c r="L1086" s="508"/>
      <c r="M1086" s="508"/>
      <c r="N1086" s="508"/>
      <c r="O1086" s="509"/>
      <c r="P1086" s="509"/>
    </row>
    <row r="1087" spans="1:16" ht="21.75" customHeight="1" x14ac:dyDescent="0.3">
      <c r="A1087" s="504"/>
      <c r="B1087" s="504"/>
      <c r="C1087" s="504"/>
      <c r="D1087" s="504"/>
      <c r="E1087" s="506"/>
      <c r="F1087" s="506"/>
      <c r="G1087" s="506"/>
      <c r="H1087" s="506"/>
      <c r="I1087" s="506"/>
      <c r="J1087" s="506"/>
      <c r="K1087" s="507"/>
      <c r="L1087" s="508"/>
      <c r="M1087" s="508"/>
      <c r="N1087" s="508"/>
      <c r="O1087" s="509"/>
      <c r="P1087" s="509"/>
    </row>
    <row r="1088" spans="1:16" ht="21.75" customHeight="1" x14ac:dyDescent="0.3">
      <c r="A1088" s="504"/>
      <c r="B1088" s="504"/>
      <c r="C1088" s="504"/>
      <c r="D1088" s="504"/>
      <c r="E1088" s="506"/>
      <c r="F1088" s="506"/>
      <c r="G1088" s="506"/>
      <c r="H1088" s="506"/>
      <c r="I1088" s="506"/>
      <c r="J1088" s="506"/>
      <c r="K1088" s="507"/>
      <c r="L1088" s="508"/>
      <c r="M1088" s="508"/>
      <c r="N1088" s="508"/>
      <c r="O1088" s="509"/>
      <c r="P1088" s="509"/>
    </row>
    <row r="1089" spans="1:16" ht="21.75" customHeight="1" x14ac:dyDescent="0.3">
      <c r="A1089" s="504"/>
      <c r="B1089" s="504"/>
      <c r="C1089" s="504"/>
      <c r="D1089" s="504"/>
      <c r="E1089" s="506"/>
      <c r="F1089" s="506"/>
      <c r="G1089" s="506"/>
      <c r="H1089" s="506"/>
      <c r="I1089" s="506"/>
      <c r="J1089" s="506"/>
      <c r="K1089" s="507"/>
      <c r="L1089" s="508"/>
      <c r="M1089" s="508"/>
      <c r="N1089" s="508"/>
      <c r="O1089" s="509"/>
      <c r="P1089" s="509"/>
    </row>
    <row r="1090" spans="1:16" ht="21.75" customHeight="1" x14ac:dyDescent="0.3">
      <c r="A1090" s="504"/>
      <c r="B1090" s="504"/>
      <c r="C1090" s="504"/>
      <c r="D1090" s="504"/>
      <c r="E1090" s="506"/>
      <c r="F1090" s="506"/>
      <c r="G1090" s="506"/>
      <c r="H1090" s="506"/>
      <c r="I1090" s="506"/>
      <c r="J1090" s="506"/>
      <c r="K1090" s="507"/>
      <c r="L1090" s="508"/>
      <c r="M1090" s="508"/>
      <c r="N1090" s="508"/>
      <c r="O1090" s="509"/>
      <c r="P1090" s="509"/>
    </row>
    <row r="1091" spans="1:16" ht="21.75" customHeight="1" x14ac:dyDescent="0.3">
      <c r="A1091" s="504"/>
      <c r="B1091" s="504"/>
      <c r="C1091" s="504"/>
      <c r="D1091" s="504"/>
      <c r="E1091" s="506"/>
      <c r="F1091" s="506"/>
      <c r="G1091" s="506"/>
      <c r="H1091" s="506"/>
      <c r="I1091" s="506"/>
      <c r="J1091" s="506"/>
      <c r="K1091" s="507"/>
      <c r="L1091" s="508"/>
      <c r="M1091" s="508"/>
      <c r="N1091" s="508"/>
      <c r="O1091" s="509"/>
      <c r="P1091" s="509"/>
    </row>
    <row r="1092" spans="1:16" ht="21.75" customHeight="1" x14ac:dyDescent="0.3">
      <c r="A1092" s="504"/>
      <c r="B1092" s="504"/>
      <c r="C1092" s="504"/>
      <c r="D1092" s="504"/>
      <c r="E1092" s="506"/>
      <c r="F1092" s="506"/>
      <c r="G1092" s="506"/>
      <c r="H1092" s="506"/>
      <c r="I1092" s="506"/>
      <c r="J1092" s="506"/>
      <c r="K1092" s="507"/>
      <c r="L1092" s="508"/>
      <c r="M1092" s="508"/>
      <c r="N1092" s="508"/>
      <c r="O1092" s="509"/>
      <c r="P1092" s="509"/>
    </row>
    <row r="1093" spans="1:16" ht="21.75" customHeight="1" x14ac:dyDescent="0.3">
      <c r="A1093" s="504"/>
      <c r="B1093" s="504"/>
      <c r="C1093" s="504"/>
      <c r="D1093" s="504"/>
      <c r="E1093" s="506"/>
      <c r="F1093" s="506"/>
      <c r="G1093" s="506"/>
      <c r="H1093" s="506"/>
      <c r="I1093" s="506"/>
      <c r="J1093" s="506"/>
      <c r="K1093" s="507"/>
      <c r="L1093" s="508"/>
      <c r="M1093" s="508"/>
      <c r="N1093" s="508"/>
      <c r="O1093" s="509"/>
      <c r="P1093" s="509"/>
    </row>
    <row r="1094" spans="1:16" ht="21.75" customHeight="1" x14ac:dyDescent="0.3">
      <c r="A1094" s="504"/>
      <c r="B1094" s="504"/>
      <c r="C1094" s="504"/>
      <c r="D1094" s="504"/>
      <c r="E1094" s="506"/>
      <c r="F1094" s="506"/>
      <c r="G1094" s="506"/>
      <c r="H1094" s="506"/>
      <c r="I1094" s="506"/>
      <c r="J1094" s="506"/>
      <c r="K1094" s="507"/>
      <c r="L1094" s="508"/>
      <c r="M1094" s="508"/>
      <c r="N1094" s="508"/>
      <c r="O1094" s="509"/>
      <c r="P1094" s="509"/>
    </row>
    <row r="1095" spans="1:16" ht="21.75" customHeight="1" x14ac:dyDescent="0.3">
      <c r="A1095" s="504"/>
      <c r="B1095" s="504"/>
      <c r="C1095" s="504"/>
      <c r="D1095" s="504"/>
      <c r="E1095" s="506"/>
      <c r="F1095" s="506"/>
      <c r="G1095" s="506"/>
      <c r="H1095" s="506"/>
      <c r="I1095" s="506"/>
      <c r="J1095" s="506"/>
      <c r="K1095" s="507"/>
      <c r="L1095" s="508"/>
      <c r="M1095" s="508"/>
      <c r="N1095" s="508"/>
      <c r="O1095" s="509"/>
      <c r="P1095" s="509"/>
    </row>
    <row r="1096" spans="1:16" ht="21.75" customHeight="1" x14ac:dyDescent="0.3">
      <c r="A1096" s="504"/>
      <c r="B1096" s="504"/>
      <c r="C1096" s="504"/>
      <c r="D1096" s="504"/>
      <c r="E1096" s="506"/>
      <c r="F1096" s="506"/>
      <c r="G1096" s="506"/>
      <c r="H1096" s="506"/>
      <c r="I1096" s="506"/>
      <c r="J1096" s="506"/>
      <c r="K1096" s="507"/>
      <c r="L1096" s="508"/>
      <c r="M1096" s="508"/>
      <c r="N1096" s="508"/>
      <c r="O1096" s="509"/>
      <c r="P1096" s="509"/>
    </row>
    <row r="1097" spans="1:16" ht="21.75" customHeight="1" x14ac:dyDescent="0.3">
      <c r="A1097" s="504"/>
      <c r="B1097" s="504"/>
      <c r="C1097" s="504"/>
      <c r="D1097" s="504"/>
      <c r="E1097" s="506"/>
      <c r="F1097" s="506"/>
      <c r="G1097" s="506"/>
      <c r="H1097" s="506"/>
      <c r="I1097" s="506"/>
      <c r="J1097" s="506"/>
      <c r="K1097" s="507"/>
      <c r="L1097" s="508"/>
      <c r="M1097" s="508"/>
      <c r="N1097" s="508"/>
      <c r="O1097" s="509"/>
      <c r="P1097" s="509"/>
    </row>
    <row r="1098" spans="1:16" ht="21.75" customHeight="1" x14ac:dyDescent="0.3">
      <c r="A1098" s="504"/>
      <c r="B1098" s="504"/>
      <c r="C1098" s="504"/>
      <c r="D1098" s="504"/>
      <c r="E1098" s="506"/>
      <c r="F1098" s="506"/>
      <c r="G1098" s="506"/>
      <c r="H1098" s="506"/>
      <c r="I1098" s="506"/>
      <c r="J1098" s="506"/>
      <c r="K1098" s="507"/>
      <c r="L1098" s="508"/>
      <c r="M1098" s="508"/>
      <c r="N1098" s="508"/>
      <c r="O1098" s="509"/>
      <c r="P1098" s="509"/>
    </row>
    <row r="1099" spans="1:16" ht="21.75" customHeight="1" x14ac:dyDescent="0.3">
      <c r="A1099" s="504"/>
      <c r="B1099" s="504"/>
      <c r="C1099" s="504"/>
      <c r="D1099" s="504"/>
      <c r="E1099" s="506"/>
      <c r="F1099" s="506"/>
      <c r="G1099" s="506"/>
      <c r="H1099" s="506"/>
      <c r="I1099" s="506"/>
      <c r="J1099" s="506"/>
      <c r="K1099" s="507"/>
      <c r="L1099" s="508"/>
      <c r="M1099" s="508"/>
      <c r="N1099" s="508"/>
      <c r="O1099" s="509"/>
      <c r="P1099" s="509"/>
    </row>
    <row r="1100" spans="1:16" ht="21.75" customHeight="1" x14ac:dyDescent="0.3">
      <c r="A1100" s="504"/>
      <c r="B1100" s="504"/>
      <c r="C1100" s="504"/>
      <c r="D1100" s="504"/>
      <c r="E1100" s="506"/>
      <c r="F1100" s="506"/>
      <c r="G1100" s="506"/>
      <c r="H1100" s="506"/>
      <c r="I1100" s="506"/>
      <c r="J1100" s="506"/>
      <c r="K1100" s="507"/>
      <c r="L1100" s="508"/>
      <c r="M1100" s="508"/>
      <c r="N1100" s="508"/>
      <c r="O1100" s="509"/>
      <c r="P1100" s="509"/>
    </row>
    <row r="1101" spans="1:16" ht="21.75" customHeight="1" x14ac:dyDescent="0.3">
      <c r="A1101" s="504"/>
      <c r="B1101" s="504"/>
      <c r="C1101" s="504"/>
      <c r="D1101" s="504"/>
      <c r="E1101" s="506"/>
      <c r="F1101" s="506"/>
      <c r="G1101" s="506"/>
      <c r="H1101" s="506"/>
      <c r="I1101" s="506"/>
      <c r="J1101" s="506"/>
      <c r="K1101" s="507"/>
      <c r="L1101" s="508"/>
      <c r="M1101" s="508"/>
      <c r="N1101" s="508"/>
      <c r="O1101" s="509"/>
      <c r="P1101" s="509"/>
    </row>
    <row r="1102" spans="1:16" ht="21.75" customHeight="1" x14ac:dyDescent="0.3">
      <c r="A1102" s="504"/>
      <c r="B1102" s="504"/>
      <c r="C1102" s="504"/>
      <c r="D1102" s="504"/>
      <c r="E1102" s="506"/>
      <c r="F1102" s="506"/>
      <c r="G1102" s="506"/>
      <c r="H1102" s="506"/>
      <c r="I1102" s="506"/>
      <c r="J1102" s="506"/>
      <c r="K1102" s="507"/>
      <c r="L1102" s="508"/>
      <c r="M1102" s="508"/>
      <c r="N1102" s="508"/>
      <c r="O1102" s="509"/>
      <c r="P1102" s="509"/>
    </row>
    <row r="1103" spans="1:16" ht="21.75" customHeight="1" x14ac:dyDescent="0.3">
      <c r="A1103" s="504"/>
      <c r="B1103" s="504"/>
      <c r="C1103" s="504"/>
      <c r="D1103" s="504"/>
      <c r="E1103" s="506"/>
      <c r="F1103" s="506"/>
      <c r="G1103" s="506"/>
      <c r="H1103" s="506"/>
      <c r="I1103" s="506"/>
      <c r="J1103" s="506"/>
      <c r="K1103" s="507"/>
      <c r="L1103" s="508"/>
      <c r="M1103" s="508"/>
      <c r="N1103" s="508"/>
      <c r="O1103" s="509"/>
      <c r="P1103" s="509"/>
    </row>
    <row r="1104" spans="1:16" ht="21.75" customHeight="1" x14ac:dyDescent="0.3">
      <c r="A1104" s="504"/>
      <c r="B1104" s="504"/>
      <c r="C1104" s="504"/>
      <c r="D1104" s="504"/>
      <c r="E1104" s="506"/>
      <c r="F1104" s="506"/>
      <c r="G1104" s="506"/>
      <c r="H1104" s="506"/>
      <c r="I1104" s="506"/>
      <c r="J1104" s="506"/>
      <c r="K1104" s="507"/>
      <c r="L1104" s="508"/>
      <c r="M1104" s="508"/>
      <c r="N1104" s="508"/>
      <c r="O1104" s="509"/>
      <c r="P1104" s="509"/>
    </row>
    <row r="1105" spans="1:16" ht="21.75" customHeight="1" x14ac:dyDescent="0.3">
      <c r="A1105" s="504"/>
      <c r="B1105" s="504"/>
      <c r="C1105" s="504"/>
      <c r="D1105" s="504"/>
      <c r="E1105" s="506"/>
      <c r="F1105" s="506"/>
      <c r="G1105" s="506"/>
      <c r="H1105" s="506"/>
      <c r="I1105" s="506"/>
      <c r="J1105" s="506"/>
      <c r="K1105" s="507"/>
      <c r="L1105" s="508"/>
      <c r="M1105" s="508"/>
      <c r="N1105" s="508"/>
      <c r="O1105" s="509"/>
      <c r="P1105" s="509"/>
    </row>
    <row r="1106" spans="1:16" ht="21.75" customHeight="1" x14ac:dyDescent="0.3">
      <c r="A1106" s="504"/>
      <c r="B1106" s="504"/>
      <c r="C1106" s="504"/>
      <c r="D1106" s="504"/>
      <c r="E1106" s="506"/>
      <c r="F1106" s="506"/>
      <c r="G1106" s="506"/>
      <c r="H1106" s="506"/>
      <c r="I1106" s="506"/>
      <c r="J1106" s="506"/>
      <c r="K1106" s="507"/>
      <c r="L1106" s="508"/>
      <c r="M1106" s="508"/>
      <c r="N1106" s="508"/>
      <c r="O1106" s="509"/>
      <c r="P1106" s="509"/>
    </row>
    <row r="1107" spans="1:16" ht="21.75" customHeight="1" x14ac:dyDescent="0.3">
      <c r="A1107" s="504"/>
      <c r="B1107" s="504"/>
      <c r="C1107" s="504"/>
      <c r="D1107" s="504"/>
      <c r="E1107" s="506"/>
      <c r="F1107" s="506"/>
      <c r="G1107" s="506"/>
      <c r="H1107" s="506"/>
      <c r="I1107" s="506"/>
      <c r="J1107" s="506"/>
      <c r="K1107" s="507"/>
      <c r="L1107" s="508"/>
      <c r="M1107" s="508"/>
      <c r="N1107" s="508"/>
      <c r="O1107" s="509"/>
      <c r="P1107" s="509"/>
    </row>
    <row r="1108" spans="1:16" ht="21.75" customHeight="1" x14ac:dyDescent="0.3">
      <c r="A1108" s="504"/>
      <c r="B1108" s="504"/>
      <c r="C1108" s="504"/>
      <c r="D1108" s="504"/>
      <c r="E1108" s="506"/>
      <c r="F1108" s="506"/>
      <c r="G1108" s="506"/>
      <c r="H1108" s="506"/>
      <c r="I1108" s="506"/>
      <c r="J1108" s="506"/>
      <c r="K1108" s="507"/>
      <c r="L1108" s="508"/>
      <c r="M1108" s="508"/>
      <c r="N1108" s="508"/>
      <c r="O1108" s="509"/>
      <c r="P1108" s="509"/>
    </row>
    <row r="1109" spans="1:16" ht="21.75" customHeight="1" x14ac:dyDescent="0.3">
      <c r="A1109" s="504"/>
      <c r="B1109" s="504"/>
      <c r="C1109" s="504"/>
      <c r="D1109" s="504"/>
      <c r="E1109" s="506"/>
      <c r="F1109" s="506"/>
      <c r="G1109" s="506"/>
      <c r="H1109" s="506"/>
      <c r="I1109" s="506"/>
      <c r="J1109" s="506"/>
      <c r="K1109" s="507"/>
      <c r="L1109" s="508"/>
      <c r="M1109" s="508"/>
      <c r="N1109" s="508"/>
      <c r="O1109" s="509"/>
      <c r="P1109" s="509"/>
    </row>
    <row r="1110" spans="1:16" ht="21.75" customHeight="1" x14ac:dyDescent="0.3">
      <c r="A1110" s="504"/>
      <c r="B1110" s="504"/>
      <c r="C1110" s="504"/>
      <c r="D1110" s="504"/>
      <c r="E1110" s="506"/>
      <c r="F1110" s="506"/>
      <c r="G1110" s="506"/>
      <c r="H1110" s="506"/>
      <c r="I1110" s="506"/>
      <c r="J1110" s="506"/>
      <c r="K1110" s="507"/>
      <c r="L1110" s="508"/>
      <c r="M1110" s="508"/>
      <c r="N1110" s="508"/>
      <c r="O1110" s="509"/>
      <c r="P1110" s="509"/>
    </row>
    <row r="1111" spans="1:16" ht="21.75" customHeight="1" x14ac:dyDescent="0.3">
      <c r="A1111" s="504"/>
      <c r="B1111" s="504"/>
      <c r="C1111" s="504"/>
      <c r="D1111" s="504"/>
      <c r="E1111" s="506"/>
      <c r="F1111" s="506"/>
      <c r="G1111" s="506"/>
      <c r="H1111" s="506"/>
      <c r="I1111" s="506"/>
      <c r="J1111" s="506"/>
      <c r="K1111" s="507"/>
      <c r="L1111" s="508"/>
      <c r="M1111" s="508"/>
      <c r="N1111" s="508"/>
      <c r="O1111" s="509"/>
      <c r="P1111" s="509"/>
    </row>
    <row r="1112" spans="1:16" ht="21.75" customHeight="1" x14ac:dyDescent="0.3">
      <c r="A1112" s="504"/>
      <c r="B1112" s="504"/>
      <c r="C1112" s="504"/>
      <c r="D1112" s="504"/>
      <c r="E1112" s="506"/>
      <c r="F1112" s="506"/>
      <c r="G1112" s="506"/>
      <c r="H1112" s="506"/>
      <c r="I1112" s="506"/>
      <c r="J1112" s="506"/>
      <c r="K1112" s="507"/>
      <c r="L1112" s="508"/>
      <c r="M1112" s="508"/>
      <c r="N1112" s="508"/>
      <c r="O1112" s="509"/>
      <c r="P1112" s="509"/>
    </row>
    <row r="1113" spans="1:16" ht="21.75" customHeight="1" x14ac:dyDescent="0.3">
      <c r="A1113" s="504"/>
      <c r="B1113" s="504"/>
      <c r="C1113" s="504"/>
      <c r="D1113" s="504"/>
      <c r="E1113" s="506"/>
      <c r="F1113" s="506"/>
      <c r="G1113" s="506"/>
      <c r="H1113" s="506"/>
      <c r="I1113" s="506"/>
      <c r="J1113" s="506"/>
      <c r="K1113" s="507"/>
      <c r="L1113" s="508"/>
      <c r="M1113" s="508"/>
      <c r="N1113" s="508"/>
      <c r="O1113" s="509"/>
      <c r="P1113" s="509"/>
    </row>
    <row r="1114" spans="1:16" ht="21.75" customHeight="1" x14ac:dyDescent="0.3">
      <c r="A1114" s="504"/>
      <c r="B1114" s="504"/>
      <c r="C1114" s="504"/>
      <c r="D1114" s="504"/>
      <c r="E1114" s="506"/>
      <c r="F1114" s="506"/>
      <c r="G1114" s="506"/>
      <c r="H1114" s="506"/>
      <c r="I1114" s="506"/>
      <c r="J1114" s="506"/>
      <c r="K1114" s="507"/>
      <c r="L1114" s="508"/>
      <c r="M1114" s="508"/>
      <c r="N1114" s="508"/>
      <c r="O1114" s="509"/>
      <c r="P1114" s="509"/>
    </row>
    <row r="1115" spans="1:16" ht="21.75" customHeight="1" x14ac:dyDescent="0.3">
      <c r="A1115" s="504"/>
      <c r="B1115" s="504"/>
      <c r="C1115" s="504"/>
      <c r="D1115" s="504"/>
      <c r="E1115" s="506"/>
      <c r="F1115" s="506"/>
      <c r="G1115" s="506"/>
      <c r="H1115" s="506"/>
      <c r="I1115" s="506"/>
      <c r="J1115" s="506"/>
      <c r="K1115" s="507"/>
      <c r="L1115" s="508"/>
      <c r="M1115" s="508"/>
      <c r="N1115" s="508"/>
      <c r="O1115" s="509"/>
      <c r="P1115" s="509"/>
    </row>
    <row r="1116" spans="1:16" ht="21.75" customHeight="1" x14ac:dyDescent="0.3">
      <c r="A1116" s="504"/>
      <c r="B1116" s="504"/>
      <c r="C1116" s="504"/>
      <c r="D1116" s="504"/>
      <c r="E1116" s="506"/>
      <c r="F1116" s="506"/>
      <c r="G1116" s="506"/>
      <c r="H1116" s="506"/>
      <c r="I1116" s="506"/>
      <c r="J1116" s="506"/>
      <c r="K1116" s="507"/>
      <c r="L1116" s="508"/>
      <c r="M1116" s="508"/>
      <c r="N1116" s="508"/>
      <c r="O1116" s="509"/>
      <c r="P1116" s="509"/>
    </row>
    <row r="1117" spans="1:16" ht="21.75" customHeight="1" x14ac:dyDescent="0.3">
      <c r="A1117" s="504"/>
      <c r="B1117" s="504"/>
      <c r="C1117" s="504"/>
      <c r="D1117" s="504"/>
      <c r="E1117" s="506"/>
      <c r="F1117" s="506"/>
      <c r="G1117" s="506"/>
      <c r="H1117" s="506"/>
      <c r="I1117" s="506"/>
      <c r="J1117" s="506"/>
      <c r="K1117" s="507"/>
      <c r="L1117" s="508"/>
      <c r="M1117" s="508"/>
      <c r="N1117" s="508"/>
      <c r="O1117" s="509"/>
      <c r="P1117" s="509"/>
    </row>
    <row r="1118" spans="1:16" ht="21.75" customHeight="1" x14ac:dyDescent="0.3">
      <c r="A1118" s="504"/>
      <c r="B1118" s="504"/>
      <c r="C1118" s="504"/>
      <c r="D1118" s="504"/>
      <c r="E1118" s="506"/>
      <c r="F1118" s="506"/>
      <c r="G1118" s="506"/>
      <c r="H1118" s="506"/>
      <c r="I1118" s="506"/>
      <c r="J1118" s="506"/>
      <c r="K1118" s="507"/>
      <c r="L1118" s="508"/>
      <c r="M1118" s="508"/>
      <c r="N1118" s="508"/>
      <c r="O1118" s="509"/>
      <c r="P1118" s="509"/>
    </row>
    <row r="1119" spans="1:16" ht="21.75" customHeight="1" x14ac:dyDescent="0.3">
      <c r="A1119" s="504"/>
      <c r="B1119" s="504"/>
      <c r="C1119" s="504"/>
      <c r="D1119" s="504"/>
      <c r="E1119" s="506"/>
      <c r="F1119" s="506"/>
      <c r="G1119" s="506"/>
      <c r="H1119" s="506"/>
      <c r="I1119" s="506"/>
      <c r="J1119" s="506"/>
      <c r="K1119" s="507"/>
      <c r="L1119" s="508"/>
      <c r="M1119" s="508"/>
      <c r="N1119" s="508"/>
      <c r="O1119" s="509"/>
      <c r="P1119" s="509"/>
    </row>
    <row r="1120" spans="1:16" ht="21.75" customHeight="1" x14ac:dyDescent="0.3">
      <c r="A1120" s="504"/>
      <c r="B1120" s="504"/>
      <c r="C1120" s="504"/>
      <c r="D1120" s="504"/>
      <c r="E1120" s="506"/>
      <c r="F1120" s="506"/>
      <c r="G1120" s="506"/>
      <c r="H1120" s="506"/>
      <c r="I1120" s="506"/>
      <c r="J1120" s="506"/>
      <c r="K1120" s="507"/>
      <c r="L1120" s="508"/>
      <c r="M1120" s="508"/>
      <c r="N1120" s="508"/>
      <c r="O1120" s="509"/>
      <c r="P1120" s="509"/>
    </row>
    <row r="1121" spans="1:16" ht="21.75" customHeight="1" x14ac:dyDescent="0.3">
      <c r="A1121" s="504"/>
      <c r="B1121" s="504"/>
      <c r="C1121" s="504"/>
      <c r="D1121" s="504"/>
      <c r="E1121" s="506"/>
      <c r="F1121" s="506"/>
      <c r="G1121" s="506"/>
      <c r="H1121" s="506"/>
      <c r="I1121" s="506"/>
      <c r="J1121" s="506"/>
      <c r="K1121" s="507"/>
      <c r="L1121" s="508"/>
      <c r="M1121" s="508"/>
      <c r="N1121" s="508"/>
      <c r="O1121" s="509"/>
      <c r="P1121" s="509"/>
    </row>
    <row r="1122" spans="1:16" ht="21.75" customHeight="1" x14ac:dyDescent="0.3">
      <c r="A1122" s="504"/>
      <c r="B1122" s="504"/>
      <c r="C1122" s="504"/>
      <c r="D1122" s="504"/>
      <c r="E1122" s="506"/>
      <c r="F1122" s="506"/>
      <c r="G1122" s="506"/>
      <c r="H1122" s="506"/>
      <c r="I1122" s="506"/>
      <c r="J1122" s="506"/>
      <c r="K1122" s="507"/>
      <c r="L1122" s="508"/>
      <c r="M1122" s="508"/>
      <c r="N1122" s="508"/>
      <c r="O1122" s="509"/>
      <c r="P1122" s="509"/>
    </row>
    <row r="1123" spans="1:16" ht="21.75" customHeight="1" x14ac:dyDescent="0.3">
      <c r="A1123" s="504"/>
      <c r="B1123" s="504"/>
      <c r="C1123" s="504"/>
      <c r="D1123" s="504"/>
      <c r="E1123" s="506"/>
      <c r="F1123" s="506"/>
      <c r="G1123" s="506"/>
      <c r="H1123" s="506"/>
      <c r="I1123" s="506"/>
      <c r="J1123" s="506"/>
      <c r="K1123" s="507"/>
      <c r="L1123" s="508"/>
      <c r="M1123" s="508"/>
      <c r="N1123" s="508"/>
      <c r="O1123" s="509"/>
      <c r="P1123" s="509"/>
    </row>
    <row r="1124" spans="1:16" ht="21.75" customHeight="1" x14ac:dyDescent="0.3">
      <c r="A1124" s="504"/>
      <c r="B1124" s="504"/>
      <c r="C1124" s="504"/>
      <c r="D1124" s="504"/>
      <c r="E1124" s="506"/>
      <c r="F1124" s="506"/>
      <c r="G1124" s="506"/>
      <c r="H1124" s="506"/>
      <c r="I1124" s="506"/>
      <c r="J1124" s="506"/>
      <c r="K1124" s="507"/>
      <c r="L1124" s="508"/>
      <c r="M1124" s="508"/>
      <c r="N1124" s="508"/>
      <c r="O1124" s="509"/>
      <c r="P1124" s="509"/>
    </row>
    <row r="1125" spans="1:16" ht="21.75" customHeight="1" x14ac:dyDescent="0.3">
      <c r="A1125" s="504"/>
      <c r="B1125" s="504"/>
      <c r="C1125" s="504"/>
      <c r="D1125" s="504"/>
      <c r="E1125" s="506"/>
      <c r="F1125" s="506"/>
      <c r="G1125" s="506"/>
      <c r="H1125" s="506"/>
      <c r="I1125" s="506"/>
      <c r="J1125" s="506"/>
      <c r="K1125" s="507"/>
      <c r="L1125" s="508"/>
      <c r="M1125" s="508"/>
      <c r="N1125" s="508"/>
      <c r="O1125" s="509"/>
      <c r="P1125" s="509"/>
    </row>
    <row r="1126" spans="1:16" ht="21.75" customHeight="1" x14ac:dyDescent="0.3">
      <c r="A1126" s="504"/>
      <c r="B1126" s="504"/>
      <c r="C1126" s="504"/>
      <c r="D1126" s="504"/>
      <c r="E1126" s="506"/>
      <c r="F1126" s="506"/>
      <c r="G1126" s="506"/>
      <c r="H1126" s="506"/>
      <c r="I1126" s="506"/>
      <c r="J1126" s="506"/>
      <c r="K1126" s="507"/>
      <c r="L1126" s="508"/>
      <c r="M1126" s="508"/>
      <c r="N1126" s="508"/>
      <c r="O1126" s="509"/>
      <c r="P1126" s="509"/>
    </row>
    <row r="1127" spans="1:16" ht="21.75" customHeight="1" x14ac:dyDescent="0.3">
      <c r="A1127" s="504"/>
      <c r="B1127" s="504"/>
      <c r="C1127" s="504"/>
      <c r="D1127" s="504"/>
      <c r="E1127" s="506"/>
      <c r="F1127" s="506"/>
      <c r="G1127" s="506"/>
      <c r="H1127" s="506"/>
      <c r="I1127" s="506"/>
      <c r="J1127" s="506"/>
      <c r="K1127" s="507"/>
      <c r="L1127" s="508"/>
      <c r="M1127" s="508"/>
      <c r="N1127" s="508"/>
      <c r="O1127" s="509"/>
      <c r="P1127" s="509"/>
    </row>
    <row r="1128" spans="1:16" ht="21.75" customHeight="1" x14ac:dyDescent="0.3">
      <c r="A1128" s="504"/>
      <c r="B1128" s="504"/>
      <c r="C1128" s="504"/>
      <c r="D1128" s="504"/>
      <c r="E1128" s="506"/>
      <c r="F1128" s="506"/>
      <c r="G1128" s="506"/>
      <c r="H1128" s="506"/>
      <c r="I1128" s="506"/>
      <c r="J1128" s="506"/>
      <c r="K1128" s="507"/>
      <c r="L1128" s="508"/>
      <c r="M1128" s="508"/>
      <c r="N1128" s="508"/>
      <c r="O1128" s="509"/>
      <c r="P1128" s="509"/>
    </row>
    <row r="1129" spans="1:16" ht="21.75" customHeight="1" x14ac:dyDescent="0.3">
      <c r="A1129" s="504"/>
      <c r="B1129" s="504"/>
      <c r="C1129" s="504"/>
      <c r="D1129" s="504"/>
      <c r="E1129" s="506"/>
      <c r="F1129" s="506"/>
      <c r="G1129" s="506"/>
      <c r="H1129" s="506"/>
      <c r="I1129" s="506"/>
      <c r="J1129" s="506"/>
      <c r="K1129" s="507"/>
      <c r="L1129" s="508"/>
      <c r="M1129" s="508"/>
      <c r="N1129" s="508"/>
      <c r="O1129" s="509"/>
      <c r="P1129" s="509"/>
    </row>
    <row r="1130" spans="1:16" ht="21.75" customHeight="1" x14ac:dyDescent="0.3">
      <c r="A1130" s="504"/>
      <c r="B1130" s="504"/>
      <c r="C1130" s="504"/>
      <c r="D1130" s="504"/>
      <c r="E1130" s="506"/>
      <c r="F1130" s="506"/>
      <c r="G1130" s="506"/>
      <c r="H1130" s="506"/>
      <c r="I1130" s="506"/>
      <c r="J1130" s="506"/>
      <c r="K1130" s="507"/>
      <c r="L1130" s="508"/>
      <c r="M1130" s="508"/>
      <c r="N1130" s="508"/>
      <c r="O1130" s="509"/>
      <c r="P1130" s="509"/>
    </row>
    <row r="1131" spans="1:16" ht="21.75" customHeight="1" x14ac:dyDescent="0.3">
      <c r="A1131" s="504"/>
      <c r="B1131" s="504"/>
      <c r="C1131" s="504"/>
      <c r="D1131" s="504"/>
      <c r="E1131" s="506"/>
      <c r="F1131" s="506"/>
      <c r="G1131" s="506"/>
      <c r="H1131" s="506"/>
      <c r="I1131" s="506"/>
      <c r="J1131" s="506"/>
      <c r="K1131" s="507"/>
      <c r="L1131" s="508"/>
      <c r="M1131" s="508"/>
      <c r="N1131" s="508"/>
      <c r="O1131" s="509"/>
      <c r="P1131" s="509"/>
    </row>
    <row r="1132" spans="1:16" ht="21.75" customHeight="1" x14ac:dyDescent="0.3">
      <c r="A1132" s="504"/>
      <c r="B1132" s="504"/>
      <c r="C1132" s="504"/>
      <c r="D1132" s="504"/>
      <c r="E1132" s="506"/>
      <c r="F1132" s="506"/>
      <c r="G1132" s="506"/>
      <c r="H1132" s="506"/>
      <c r="I1132" s="506"/>
      <c r="J1132" s="506"/>
      <c r="K1132" s="507"/>
      <c r="L1132" s="508"/>
      <c r="M1132" s="508"/>
      <c r="N1132" s="508"/>
      <c r="O1132" s="509"/>
      <c r="P1132" s="509"/>
    </row>
    <row r="1133" spans="1:16" ht="21.75" customHeight="1" x14ac:dyDescent="0.3">
      <c r="A1133" s="504"/>
      <c r="B1133" s="504"/>
      <c r="C1133" s="504"/>
      <c r="D1133" s="504"/>
      <c r="E1133" s="506"/>
      <c r="F1133" s="506"/>
      <c r="G1133" s="506"/>
      <c r="H1133" s="506"/>
      <c r="I1133" s="506"/>
      <c r="J1133" s="506"/>
      <c r="K1133" s="507"/>
      <c r="L1133" s="508"/>
      <c r="M1133" s="508"/>
      <c r="N1133" s="508"/>
      <c r="O1133" s="509"/>
      <c r="P1133" s="509"/>
    </row>
    <row r="1134" spans="1:16" ht="21.75" customHeight="1" x14ac:dyDescent="0.3">
      <c r="A1134" s="504"/>
      <c r="B1134" s="504"/>
      <c r="C1134" s="504"/>
      <c r="D1134" s="504"/>
      <c r="E1134" s="506"/>
      <c r="F1134" s="506"/>
      <c r="G1134" s="506"/>
      <c r="H1134" s="506"/>
      <c r="I1134" s="506"/>
      <c r="J1134" s="506"/>
      <c r="K1134" s="507"/>
      <c r="L1134" s="508"/>
      <c r="M1134" s="508"/>
      <c r="N1134" s="508"/>
      <c r="O1134" s="509"/>
      <c r="P1134" s="509"/>
    </row>
    <row r="1135" spans="1:16" ht="21.75" customHeight="1" x14ac:dyDescent="0.3">
      <c r="A1135" s="504"/>
      <c r="B1135" s="504"/>
      <c r="C1135" s="504"/>
      <c r="D1135" s="504"/>
      <c r="E1135" s="506"/>
      <c r="F1135" s="506"/>
      <c r="G1135" s="506"/>
      <c r="H1135" s="506"/>
      <c r="I1135" s="506"/>
      <c r="J1135" s="506"/>
      <c r="K1135" s="507"/>
      <c r="L1135" s="508"/>
      <c r="M1135" s="508"/>
      <c r="N1135" s="508"/>
      <c r="O1135" s="509"/>
      <c r="P1135" s="509"/>
    </row>
    <row r="1136" spans="1:16" ht="21.75" customHeight="1" x14ac:dyDescent="0.3">
      <c r="A1136" s="504"/>
      <c r="B1136" s="504"/>
      <c r="C1136" s="504"/>
      <c r="D1136" s="504"/>
      <c r="E1136" s="506"/>
      <c r="F1136" s="506"/>
      <c r="G1136" s="506"/>
      <c r="H1136" s="506"/>
      <c r="I1136" s="506"/>
      <c r="J1136" s="506"/>
      <c r="K1136" s="507"/>
      <c r="L1136" s="508"/>
      <c r="M1136" s="508"/>
      <c r="N1136" s="508"/>
      <c r="O1136" s="509"/>
      <c r="P1136" s="509"/>
    </row>
    <row r="1137" spans="1:16" ht="21.75" customHeight="1" x14ac:dyDescent="0.3">
      <c r="A1137" s="504"/>
      <c r="B1137" s="504"/>
      <c r="C1137" s="504"/>
      <c r="D1137" s="504"/>
      <c r="E1137" s="506"/>
      <c r="F1137" s="506"/>
      <c r="G1137" s="506"/>
      <c r="H1137" s="506"/>
      <c r="I1137" s="506"/>
      <c r="J1137" s="506"/>
      <c r="K1137" s="507"/>
      <c r="L1137" s="508"/>
      <c r="M1137" s="508"/>
      <c r="N1137" s="508"/>
      <c r="O1137" s="509"/>
      <c r="P1137" s="509"/>
    </row>
    <row r="1138" spans="1:16" ht="21.75" customHeight="1" x14ac:dyDescent="0.3">
      <c r="A1138" s="504"/>
      <c r="B1138" s="504"/>
      <c r="C1138" s="504"/>
      <c r="D1138" s="504"/>
      <c r="E1138" s="506"/>
      <c r="F1138" s="506"/>
      <c r="G1138" s="506"/>
      <c r="H1138" s="506"/>
      <c r="I1138" s="506"/>
      <c r="J1138" s="506"/>
      <c r="K1138" s="507"/>
      <c r="L1138" s="508"/>
      <c r="M1138" s="508"/>
      <c r="N1138" s="508"/>
      <c r="O1138" s="509"/>
      <c r="P1138" s="509"/>
    </row>
    <row r="1139" spans="1:16" ht="21.75" customHeight="1" x14ac:dyDescent="0.3">
      <c r="A1139" s="504"/>
      <c r="B1139" s="504"/>
      <c r="C1139" s="504"/>
      <c r="D1139" s="504"/>
      <c r="E1139" s="506"/>
      <c r="F1139" s="506"/>
      <c r="G1139" s="506"/>
      <c r="H1139" s="506"/>
      <c r="I1139" s="506"/>
      <c r="J1139" s="506"/>
      <c r="K1139" s="507"/>
      <c r="L1139" s="508"/>
      <c r="M1139" s="508"/>
      <c r="N1139" s="508"/>
      <c r="O1139" s="509"/>
      <c r="P1139" s="509"/>
    </row>
    <row r="1140" spans="1:16" ht="21.75" customHeight="1" x14ac:dyDescent="0.3">
      <c r="A1140" s="504"/>
      <c r="B1140" s="504"/>
      <c r="C1140" s="504"/>
      <c r="D1140" s="504"/>
      <c r="E1140" s="506"/>
      <c r="F1140" s="506"/>
      <c r="G1140" s="506"/>
      <c r="H1140" s="506"/>
      <c r="I1140" s="506"/>
      <c r="J1140" s="506"/>
      <c r="K1140" s="507"/>
      <c r="L1140" s="508"/>
      <c r="M1140" s="508"/>
      <c r="N1140" s="508"/>
      <c r="O1140" s="509"/>
      <c r="P1140" s="509"/>
    </row>
    <row r="1141" spans="1:16" ht="21.75" customHeight="1" x14ac:dyDescent="0.3">
      <c r="A1141" s="504"/>
      <c r="B1141" s="504"/>
      <c r="C1141" s="504"/>
      <c r="D1141" s="504"/>
      <c r="E1141" s="506"/>
      <c r="F1141" s="506"/>
      <c r="G1141" s="506"/>
      <c r="H1141" s="506"/>
      <c r="I1141" s="506"/>
      <c r="J1141" s="506"/>
      <c r="K1141" s="507"/>
      <c r="L1141" s="508"/>
      <c r="M1141" s="508"/>
      <c r="N1141" s="508"/>
      <c r="O1141" s="509"/>
      <c r="P1141" s="509"/>
    </row>
    <row r="1142" spans="1:16" ht="21.75" customHeight="1" x14ac:dyDescent="0.3">
      <c r="A1142" s="504"/>
      <c r="B1142" s="504"/>
      <c r="C1142" s="504"/>
      <c r="D1142" s="504"/>
      <c r="E1142" s="506"/>
      <c r="F1142" s="506"/>
      <c r="G1142" s="506"/>
      <c r="H1142" s="506"/>
      <c r="I1142" s="506"/>
      <c r="J1142" s="506"/>
      <c r="K1142" s="507"/>
      <c r="L1142" s="508"/>
      <c r="M1142" s="508"/>
      <c r="N1142" s="508"/>
      <c r="O1142" s="509"/>
      <c r="P1142" s="509"/>
    </row>
    <row r="1143" spans="1:16" ht="21.75" customHeight="1" x14ac:dyDescent="0.3">
      <c r="A1143" s="504"/>
      <c r="B1143" s="504"/>
      <c r="C1143" s="504"/>
      <c r="D1143" s="504"/>
      <c r="E1143" s="506"/>
      <c r="F1143" s="506"/>
      <c r="G1143" s="506"/>
      <c r="H1143" s="506"/>
      <c r="I1143" s="506"/>
      <c r="J1143" s="506"/>
      <c r="K1143" s="507"/>
      <c r="L1143" s="508"/>
      <c r="M1143" s="508"/>
      <c r="N1143" s="508"/>
      <c r="O1143" s="509"/>
      <c r="P1143" s="509"/>
    </row>
  </sheetData>
  <mergeCells count="49">
    <mergeCell ref="D310:G310"/>
    <mergeCell ref="D317:E317"/>
    <mergeCell ref="D329:G329"/>
    <mergeCell ref="D336:E336"/>
    <mergeCell ref="D140:G140"/>
    <mergeCell ref="D147:E147"/>
    <mergeCell ref="D220:G220"/>
    <mergeCell ref="D227:E227"/>
    <mergeCell ref="D250:G250"/>
    <mergeCell ref="D257:E257"/>
    <mergeCell ref="D271:G271"/>
    <mergeCell ref="D118:G118"/>
    <mergeCell ref="D125:E125"/>
    <mergeCell ref="D278:E278"/>
    <mergeCell ref="D290:G290"/>
    <mergeCell ref="D297:E297"/>
    <mergeCell ref="D60:E60"/>
    <mergeCell ref="D66:G66"/>
    <mergeCell ref="D73:E73"/>
    <mergeCell ref="D94:G94"/>
    <mergeCell ref="D101:E101"/>
    <mergeCell ref="D44:F44"/>
    <mergeCell ref="D48:E48"/>
    <mergeCell ref="B52:G52"/>
    <mergeCell ref="D53:G53"/>
    <mergeCell ref="D56:F56"/>
    <mergeCell ref="D31:F31"/>
    <mergeCell ref="D35:E35"/>
    <mergeCell ref="A38:G38"/>
    <mergeCell ref="B39:G39"/>
    <mergeCell ref="D41:G41"/>
    <mergeCell ref="D18:G18"/>
    <mergeCell ref="D21:F21"/>
    <mergeCell ref="D25:E25"/>
    <mergeCell ref="A27:G27"/>
    <mergeCell ref="D28:G28"/>
    <mergeCell ref="A7:G7"/>
    <mergeCell ref="D8:G8"/>
    <mergeCell ref="D11:F11"/>
    <mergeCell ref="D15:E15"/>
    <mergeCell ref="A17:G17"/>
    <mergeCell ref="H5:H6"/>
    <mergeCell ref="I5:K5"/>
    <mergeCell ref="L5:M5"/>
    <mergeCell ref="N5:P5"/>
    <mergeCell ref="A5:G6"/>
    <mergeCell ref="A1:P1"/>
    <mergeCell ref="A2:P2"/>
    <mergeCell ref="A3:P3"/>
  </mergeCells>
  <printOptions horizontalCentered="1"/>
  <pageMargins left="0.23622047244094491" right="0.27559055118110237" top="0.31496062992125984" bottom="0.39370078740157483" header="0" footer="0"/>
  <pageSetup paperSize="9" scale="39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46" max="16383" man="1"/>
    <brk id="326" max="16383" man="1"/>
    <brk id="400" max="16383" man="1"/>
    <brk id="486" max="16383" man="1"/>
    <brk id="563" max="16383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J7" sqref="J7"/>
      <selection pane="bottomLeft" activeCell="K568" sqref="K568"/>
    </sheetView>
  </sheetViews>
  <sheetFormatPr defaultColWidth="12.6640625" defaultRowHeight="15" customHeight="1" x14ac:dyDescent="0.3"/>
  <cols>
    <col min="1" max="3" width="2.75" customWidth="1"/>
    <col min="4" max="6" width="5" customWidth="1"/>
    <col min="7" max="7" width="70.9140625" customWidth="1"/>
    <col min="8" max="8" width="9.5" customWidth="1"/>
    <col min="9" max="10" width="13.9140625" customWidth="1"/>
    <col min="11" max="11" width="10.08203125" bestFit="1" customWidth="1"/>
    <col min="12" max="12" width="16.33203125" bestFit="1" customWidth="1"/>
    <col min="13" max="13" width="17.6640625" customWidth="1"/>
    <col min="14" max="14" width="19.5" customWidth="1"/>
    <col min="15" max="15" width="16.5" customWidth="1"/>
    <col min="16" max="16" width="18" customWidth="1"/>
  </cols>
  <sheetData>
    <row r="1" spans="1:16" ht="18" customHeight="1" x14ac:dyDescent="0.3">
      <c r="A1" s="512" t="s">
        <v>0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</row>
    <row r="2" spans="1:16" ht="18" customHeight="1" x14ac:dyDescent="0.3">
      <c r="A2" s="512" t="s">
        <v>244</v>
      </c>
      <c r="B2" s="512"/>
      <c r="C2" s="512"/>
      <c r="D2" s="512"/>
      <c r="E2" s="512"/>
      <c r="F2" s="512"/>
      <c r="G2" s="512"/>
      <c r="H2" s="512"/>
      <c r="I2" s="512"/>
      <c r="J2" s="512"/>
      <c r="K2" s="512"/>
      <c r="L2" s="512"/>
      <c r="M2" s="512"/>
      <c r="N2" s="512"/>
      <c r="O2" s="512"/>
      <c r="P2" s="512"/>
    </row>
    <row r="3" spans="1:16" ht="18" customHeight="1" x14ac:dyDescent="0.3">
      <c r="A3" s="512" t="s">
        <v>272</v>
      </c>
      <c r="B3" s="512"/>
      <c r="C3" s="512"/>
      <c r="D3" s="512"/>
      <c r="E3" s="512"/>
      <c r="F3" s="512"/>
      <c r="G3" s="512"/>
      <c r="H3" s="512"/>
      <c r="I3" s="512"/>
      <c r="J3" s="512"/>
      <c r="K3" s="512"/>
      <c r="L3" s="512"/>
      <c r="M3" s="512"/>
      <c r="N3" s="512"/>
      <c r="O3" s="512"/>
      <c r="P3" s="512"/>
    </row>
    <row r="4" spans="1:16" ht="33.75" customHeight="1" x14ac:dyDescent="0.3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3">
      <c r="A5" s="520" t="s">
        <v>2</v>
      </c>
      <c r="B5" s="521"/>
      <c r="C5" s="521"/>
      <c r="D5" s="521"/>
      <c r="E5" s="521"/>
      <c r="F5" s="521"/>
      <c r="G5" s="522"/>
      <c r="H5" s="513" t="s">
        <v>3</v>
      </c>
      <c r="I5" s="515" t="s">
        <v>4</v>
      </c>
      <c r="J5" s="516"/>
      <c r="K5" s="517"/>
      <c r="L5" s="518" t="s">
        <v>5</v>
      </c>
      <c r="M5" s="517"/>
      <c r="N5" s="519" t="s">
        <v>6</v>
      </c>
      <c r="O5" s="516"/>
      <c r="P5" s="517"/>
    </row>
    <row r="6" spans="1:16" ht="21.75" customHeight="1" x14ac:dyDescent="0.3">
      <c r="A6" s="523"/>
      <c r="B6" s="524"/>
      <c r="C6" s="524"/>
      <c r="D6" s="524"/>
      <c r="E6" s="524"/>
      <c r="F6" s="524"/>
      <c r="G6" s="525"/>
      <c r="H6" s="514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45">
      <c r="A7" s="526" t="s">
        <v>15</v>
      </c>
      <c r="B7" s="516"/>
      <c r="C7" s="516"/>
      <c r="D7" s="516"/>
      <c r="E7" s="516"/>
      <c r="F7" s="516"/>
      <c r="G7" s="517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45">
      <c r="A8" s="17"/>
      <c r="B8" s="18"/>
      <c r="C8" s="19" t="s">
        <v>16</v>
      </c>
      <c r="D8" s="527" t="s">
        <v>17</v>
      </c>
      <c r="E8" s="528"/>
      <c r="F8" s="528"/>
      <c r="G8" s="528"/>
      <c r="H8" s="20" t="s">
        <v>12</v>
      </c>
      <c r="I8" s="21"/>
      <c r="J8" s="21"/>
      <c r="K8" s="22"/>
      <c r="L8" s="23">
        <f t="shared" ref="L8:N8" ca="1" si="0">L9+L10</f>
        <v>4683948</v>
      </c>
      <c r="M8" s="23">
        <f t="shared" ca="1" si="0"/>
        <v>1690980</v>
      </c>
      <c r="N8" s="23">
        <f t="shared" ca="1" si="0"/>
        <v>1994330</v>
      </c>
      <c r="O8" s="22">
        <f t="shared" ref="O8:O16" ca="1" si="1">IF(L8&gt;0,N8*100/L8,0)</f>
        <v>42.577970549630358</v>
      </c>
      <c r="P8" s="22">
        <f t="shared" ref="P8:P16" ca="1" si="2">IF(M8&gt;0,N8*100/M8,0)</f>
        <v>117.9393014701534</v>
      </c>
    </row>
    <row r="9" spans="1:16" ht="21.75" customHeight="1" x14ac:dyDescent="0.45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45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4683948</v>
      </c>
      <c r="M10" s="30">
        <f t="shared" ca="1" si="4"/>
        <v>1690980</v>
      </c>
      <c r="N10" s="30">
        <f t="shared" ca="1" si="4"/>
        <v>1994330</v>
      </c>
      <c r="O10" s="29">
        <f t="shared" ca="1" si="1"/>
        <v>42.577970549630358</v>
      </c>
      <c r="P10" s="29">
        <f t="shared" ca="1" si="2"/>
        <v>117.9393014701534</v>
      </c>
    </row>
    <row r="11" spans="1:16" ht="21.75" customHeight="1" x14ac:dyDescent="0.45">
      <c r="A11" s="31"/>
      <c r="B11" s="32"/>
      <c r="C11" s="33" t="s">
        <v>16</v>
      </c>
      <c r="D11" s="529" t="s">
        <v>20</v>
      </c>
      <c r="E11" s="530"/>
      <c r="F11" s="530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45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4453328</v>
      </c>
      <c r="M12" s="38">
        <f t="shared" ca="1" si="6"/>
        <v>1460360</v>
      </c>
      <c r="N12" s="38">
        <f t="shared" ca="1" si="6"/>
        <v>1763710</v>
      </c>
      <c r="O12" s="38">
        <f t="shared" ca="1" si="1"/>
        <v>39.604313897381914</v>
      </c>
      <c r="P12" s="38">
        <f t="shared" ca="1" si="2"/>
        <v>120.77227532937084</v>
      </c>
    </row>
    <row r="13" spans="1:16" ht="21.75" customHeight="1" x14ac:dyDescent="0.45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1854900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45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2598428</v>
      </c>
      <c r="M14" s="38">
        <f t="shared" si="8"/>
        <v>0</v>
      </c>
      <c r="N14" s="38">
        <f t="shared" ca="1" si="8"/>
        <v>736968</v>
      </c>
      <c r="O14" s="38">
        <f t="shared" ca="1" si="1"/>
        <v>28.362071221523166</v>
      </c>
      <c r="P14" s="38">
        <f t="shared" si="2"/>
        <v>0</v>
      </c>
    </row>
    <row r="15" spans="1:16" ht="21.75" customHeight="1" x14ac:dyDescent="0.45">
      <c r="A15" s="31"/>
      <c r="B15" s="32"/>
      <c r="C15" s="33" t="s">
        <v>16</v>
      </c>
      <c r="D15" s="529" t="s">
        <v>23</v>
      </c>
      <c r="E15" s="530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45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230620</v>
      </c>
      <c r="M16" s="38">
        <f t="shared" ca="1" si="10"/>
        <v>230620</v>
      </c>
      <c r="N16" s="38">
        <f t="shared" ca="1" si="10"/>
        <v>230620</v>
      </c>
      <c r="O16" s="49">
        <f t="shared" ca="1" si="1"/>
        <v>100</v>
      </c>
      <c r="P16" s="49">
        <f t="shared" ca="1" si="2"/>
        <v>100</v>
      </c>
    </row>
    <row r="17" spans="1:16" ht="21.75" customHeight="1" x14ac:dyDescent="0.45">
      <c r="A17" s="526" t="s">
        <v>24</v>
      </c>
      <c r="B17" s="516"/>
      <c r="C17" s="516"/>
      <c r="D17" s="516"/>
      <c r="E17" s="516"/>
      <c r="F17" s="516"/>
      <c r="G17" s="517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45">
      <c r="A18" s="17"/>
      <c r="B18" s="18"/>
      <c r="C18" s="19" t="s">
        <v>16</v>
      </c>
      <c r="D18" s="527" t="s">
        <v>17</v>
      </c>
      <c r="E18" s="528"/>
      <c r="F18" s="528"/>
      <c r="G18" s="528"/>
      <c r="H18" s="20" t="s">
        <v>12</v>
      </c>
      <c r="I18" s="21"/>
      <c r="J18" s="21"/>
      <c r="K18" s="22"/>
      <c r="L18" s="23">
        <f t="shared" ref="L18:N18" ca="1" si="11">L19+L20</f>
        <v>2895720</v>
      </c>
      <c r="M18" s="23">
        <f t="shared" ca="1" si="11"/>
        <v>1690980</v>
      </c>
      <c r="N18" s="23">
        <f t="shared" ca="1" si="11"/>
        <v>1257362</v>
      </c>
      <c r="O18" s="22">
        <f t="shared" ref="O18:O20" ca="1" si="12">IF(L18&gt;0,N18*100/L18,0)</f>
        <v>43.421394333706296</v>
      </c>
      <c r="P18" s="22">
        <f t="shared" ref="P18:P26" ca="1" si="13">IF(M18&gt;0,N18*100/M18,0)</f>
        <v>74.357000082792226</v>
      </c>
    </row>
    <row r="19" spans="1:16" ht="21.75" customHeight="1" x14ac:dyDescent="0.45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45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2895720</v>
      </c>
      <c r="M20" s="30">
        <f t="shared" ca="1" si="15"/>
        <v>1690980</v>
      </c>
      <c r="N20" s="30">
        <f t="shared" ca="1" si="15"/>
        <v>1257362</v>
      </c>
      <c r="O20" s="29">
        <f t="shared" ca="1" si="12"/>
        <v>43.421394333706296</v>
      </c>
      <c r="P20" s="29">
        <f t="shared" ca="1" si="13"/>
        <v>74.357000082792226</v>
      </c>
    </row>
    <row r="21" spans="1:16" ht="21.75" customHeight="1" x14ac:dyDescent="0.45">
      <c r="A21" s="31"/>
      <c r="B21" s="32"/>
      <c r="C21" s="33" t="s">
        <v>16</v>
      </c>
      <c r="D21" s="529" t="s">
        <v>20</v>
      </c>
      <c r="E21" s="530"/>
      <c r="F21" s="530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45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2665100</v>
      </c>
      <c r="M22" s="41">
        <f t="shared" ca="1" si="18"/>
        <v>1460360</v>
      </c>
      <c r="N22" s="38">
        <f t="shared" ca="1" si="18"/>
        <v>1026742</v>
      </c>
      <c r="O22" s="38">
        <f t="shared" ca="1" si="17"/>
        <v>38.525458706990356</v>
      </c>
      <c r="P22" s="38">
        <f t="shared" ca="1" si="13"/>
        <v>70.307458434906465</v>
      </c>
    </row>
    <row r="23" spans="1:16" ht="21.75" customHeight="1" x14ac:dyDescent="0.45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1854900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45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810200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45">
      <c r="A25" s="31"/>
      <c r="B25" s="32"/>
      <c r="C25" s="33" t="s">
        <v>16</v>
      </c>
      <c r="D25" s="529" t="s">
        <v>23</v>
      </c>
      <c r="E25" s="530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45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230620</v>
      </c>
      <c r="M26" s="49">
        <f t="shared" ca="1" si="22"/>
        <v>230620</v>
      </c>
      <c r="N26" s="49">
        <f t="shared" ca="1" si="22"/>
        <v>230620</v>
      </c>
      <c r="O26" s="49">
        <f t="shared" ca="1" si="17"/>
        <v>100</v>
      </c>
      <c r="P26" s="49">
        <f t="shared" ca="1" si="13"/>
        <v>100</v>
      </c>
    </row>
    <row r="27" spans="1:16" ht="21.75" customHeight="1" x14ac:dyDescent="0.45">
      <c r="A27" s="526" t="s">
        <v>25</v>
      </c>
      <c r="B27" s="516"/>
      <c r="C27" s="516"/>
      <c r="D27" s="516"/>
      <c r="E27" s="516"/>
      <c r="F27" s="516"/>
      <c r="G27" s="517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45">
      <c r="A28" s="17"/>
      <c r="B28" s="18"/>
      <c r="C28" s="19" t="s">
        <v>16</v>
      </c>
      <c r="D28" s="527" t="s">
        <v>17</v>
      </c>
      <c r="E28" s="528"/>
      <c r="F28" s="528"/>
      <c r="G28" s="528"/>
      <c r="H28" s="20" t="s">
        <v>12</v>
      </c>
      <c r="I28" s="21"/>
      <c r="J28" s="21"/>
      <c r="K28" s="22"/>
      <c r="L28" s="23">
        <f t="shared" ref="L28:N28" ca="1" si="23">L29+L30</f>
        <v>1788228</v>
      </c>
      <c r="M28" s="23">
        <f t="shared" si="23"/>
        <v>0</v>
      </c>
      <c r="N28" s="23">
        <f t="shared" ca="1" si="23"/>
        <v>736968</v>
      </c>
      <c r="O28" s="22">
        <f t="shared" ref="O28:O30" ca="1" si="24">IF(L28&gt;0,N28*100/L28,0)</f>
        <v>41.212194418161445</v>
      </c>
      <c r="P28" s="22">
        <f t="shared" ref="P28:P37" si="25">IF(M28&gt;0,N28*100/M28,0)</f>
        <v>0</v>
      </c>
    </row>
    <row r="29" spans="1:16" ht="21.75" customHeight="1" x14ac:dyDescent="0.45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45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1788228</v>
      </c>
      <c r="M30" s="30">
        <f t="shared" si="27"/>
        <v>0</v>
      </c>
      <c r="N30" s="30">
        <f t="shared" ca="1" si="27"/>
        <v>736968</v>
      </c>
      <c r="O30" s="29">
        <f t="shared" ca="1" si="24"/>
        <v>41.212194418161445</v>
      </c>
      <c r="P30" s="29">
        <f t="shared" si="25"/>
        <v>0</v>
      </c>
    </row>
    <row r="31" spans="1:16" ht="21.75" customHeight="1" x14ac:dyDescent="0.45">
      <c r="A31" s="31"/>
      <c r="B31" s="32"/>
      <c r="C31" s="33" t="s">
        <v>16</v>
      </c>
      <c r="D31" s="529" t="s">
        <v>20</v>
      </c>
      <c r="E31" s="530"/>
      <c r="F31" s="530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45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1788228</v>
      </c>
      <c r="M32" s="38">
        <f t="shared" si="30"/>
        <v>0</v>
      </c>
      <c r="N32" s="38">
        <f t="shared" ca="1" si="30"/>
        <v>736968</v>
      </c>
      <c r="O32" s="38">
        <f t="shared" ca="1" si="29"/>
        <v>41.212194418161445</v>
      </c>
      <c r="P32" s="38">
        <f t="shared" si="25"/>
        <v>0</v>
      </c>
    </row>
    <row r="33" spans="1:16" ht="21.75" customHeight="1" x14ac:dyDescent="0.45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45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1788228</v>
      </c>
      <c r="M34" s="38">
        <f t="shared" si="32"/>
        <v>0</v>
      </c>
      <c r="N34" s="38">
        <f t="shared" ca="1" si="32"/>
        <v>736968</v>
      </c>
      <c r="O34" s="38">
        <f t="shared" ca="1" si="29"/>
        <v>41.212194418161445</v>
      </c>
      <c r="P34" s="38">
        <f t="shared" si="25"/>
        <v>0</v>
      </c>
    </row>
    <row r="35" spans="1:16" ht="21.75" customHeight="1" x14ac:dyDescent="0.45">
      <c r="A35" s="31"/>
      <c r="B35" s="32"/>
      <c r="C35" s="33" t="s">
        <v>16</v>
      </c>
      <c r="D35" s="529" t="s">
        <v>23</v>
      </c>
      <c r="E35" s="530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45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3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2895720</v>
      </c>
      <c r="M37" s="54">
        <f t="shared" ca="1" si="33"/>
        <v>1690980</v>
      </c>
      <c r="N37" s="54">
        <f t="shared" ca="1" si="33"/>
        <v>1257362</v>
      </c>
      <c r="O37" s="55">
        <f t="shared" ca="1" si="29"/>
        <v>43.421394333706296</v>
      </c>
      <c r="P37" s="55">
        <f t="shared" ca="1" si="25"/>
        <v>74.357000082792226</v>
      </c>
    </row>
    <row r="38" spans="1:16" ht="21.75" customHeight="1" x14ac:dyDescent="0.45">
      <c r="A38" s="531" t="s">
        <v>27</v>
      </c>
      <c r="B38" s="516"/>
      <c r="C38" s="516"/>
      <c r="D38" s="516"/>
      <c r="E38" s="516"/>
      <c r="F38" s="516"/>
      <c r="G38" s="517"/>
      <c r="H38" s="56"/>
      <c r="I38" s="57"/>
      <c r="J38" s="57"/>
      <c r="K38" s="58"/>
      <c r="L38" s="59"/>
      <c r="M38" s="59"/>
      <c r="N38" s="59"/>
      <c r="O38" s="59"/>
      <c r="P38" s="59"/>
    </row>
    <row r="39" spans="1:16" ht="21.75" customHeight="1" x14ac:dyDescent="0.45">
      <c r="A39" s="60"/>
      <c r="B39" s="532" t="s">
        <v>28</v>
      </c>
      <c r="C39" s="528"/>
      <c r="D39" s="528"/>
      <c r="E39" s="528"/>
      <c r="F39" s="528"/>
      <c r="G39" s="528"/>
      <c r="H39" s="61"/>
      <c r="I39" s="62"/>
      <c r="J39" s="62"/>
      <c r="K39" s="63"/>
      <c r="L39" s="64"/>
      <c r="M39" s="64"/>
      <c r="N39" s="64"/>
      <c r="O39" s="63"/>
      <c r="P39" s="63"/>
    </row>
    <row r="40" spans="1:16" ht="21.75" customHeight="1" x14ac:dyDescent="0.45">
      <c r="A40" s="65"/>
      <c r="B40" s="66" t="s">
        <v>29</v>
      </c>
      <c r="C40" s="67"/>
      <c r="D40" s="67"/>
      <c r="E40" s="67"/>
      <c r="F40" s="67"/>
      <c r="G40" s="67"/>
      <c r="H40" s="68"/>
      <c r="I40" s="69"/>
      <c r="J40" s="69"/>
      <c r="K40" s="70"/>
      <c r="L40" s="71"/>
      <c r="M40" s="71"/>
      <c r="N40" s="71"/>
      <c r="O40" s="70"/>
      <c r="P40" s="70"/>
    </row>
    <row r="41" spans="1:16" ht="21.75" customHeight="1" x14ac:dyDescent="0.45">
      <c r="A41" s="72"/>
      <c r="B41" s="73"/>
      <c r="C41" s="74" t="s">
        <v>16</v>
      </c>
      <c r="D41" s="533" t="s">
        <v>17</v>
      </c>
      <c r="E41" s="530"/>
      <c r="F41" s="530"/>
      <c r="G41" s="530"/>
      <c r="H41" s="75" t="s">
        <v>12</v>
      </c>
      <c r="I41" s="76"/>
      <c r="J41" s="76"/>
      <c r="K41" s="77"/>
      <c r="L41" s="78">
        <f t="shared" ref="L41:N41" ca="1" si="34">L42+L43</f>
        <v>694100</v>
      </c>
      <c r="M41" s="78">
        <f t="shared" ca="1" si="34"/>
        <v>347100</v>
      </c>
      <c r="N41" s="78">
        <f t="shared" ca="1" si="34"/>
        <v>225114</v>
      </c>
      <c r="O41" s="77">
        <f t="shared" ref="O41:O43" ca="1" si="35">IF(L41&gt;0,N41*100/L41,0)</f>
        <v>32.432502521250541</v>
      </c>
      <c r="P41" s="77">
        <f t="shared" ref="P41:P43" ca="1" si="36">IF(M41&gt;0,N41*100/M41,0)</f>
        <v>64.855661192739845</v>
      </c>
    </row>
    <row r="42" spans="1:16" ht="21.75" customHeight="1" x14ac:dyDescent="0.45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45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694100</v>
      </c>
      <c r="M43" s="78">
        <f t="shared" ca="1" si="38"/>
        <v>347100</v>
      </c>
      <c r="N43" s="78">
        <f t="shared" ca="1" si="38"/>
        <v>225114</v>
      </c>
      <c r="O43" s="77">
        <f t="shared" ca="1" si="35"/>
        <v>32.432502521250541</v>
      </c>
      <c r="P43" s="77">
        <f t="shared" ca="1" si="36"/>
        <v>64.855661192739845</v>
      </c>
    </row>
    <row r="44" spans="1:16" ht="21.75" customHeight="1" x14ac:dyDescent="0.45">
      <c r="A44" s="79"/>
      <c r="B44" s="80"/>
      <c r="C44" s="81" t="s">
        <v>16</v>
      </c>
      <c r="D44" s="534" t="s">
        <v>20</v>
      </c>
      <c r="E44" s="530"/>
      <c r="F44" s="530"/>
      <c r="G44" s="82" t="s">
        <v>18</v>
      </c>
      <c r="H44" s="83" t="s">
        <v>12</v>
      </c>
      <c r="I44" s="84"/>
      <c r="J44" s="84"/>
      <c r="K44" s="85"/>
      <c r="L44" s="86">
        <v>0</v>
      </c>
      <c r="M44" s="510"/>
      <c r="N44" s="511"/>
      <c r="O44" s="511"/>
      <c r="P44" s="511"/>
    </row>
    <row r="45" spans="1:16" ht="21.75" customHeight="1" x14ac:dyDescent="0.45">
      <c r="A45" s="79"/>
      <c r="B45" s="80"/>
      <c r="C45" s="80"/>
      <c r="D45" s="80"/>
      <c r="E45" s="88"/>
      <c r="F45" s="89"/>
      <c r="G45" s="82" t="s">
        <v>19</v>
      </c>
      <c r="H45" s="83" t="s">
        <v>12</v>
      </c>
      <c r="I45" s="84"/>
      <c r="J45" s="84"/>
      <c r="K45" s="85"/>
      <c r="L45" s="38">
        <f ca="1">L46+L47</f>
        <v>694100</v>
      </c>
      <c r="M45" s="49">
        <f ca="1">IFERROR(__xludf.DUMMYFUNCTION("IMPORTRANGE(""https://docs.google.com/spreadsheets/d/1Yj_ptqi66GCucihVvJfMjLAmec39IyEx_6qawtMGysU/edit?usp=sharing"",""สบก!Q23"")"),347100)</f>
        <v>347100</v>
      </c>
      <c r="N45" s="49">
        <f ca="1">IFERROR(__xludf.DUMMYFUNCTION("IMPORTRANGE(""https://docs.google.com/spreadsheets/d/1Yj_ptqi66GCucihVvJfMjLAmec39IyEx_6qawtMGysU/edit?usp=sharing"",""สบก!R23"")"),225114)</f>
        <v>225114</v>
      </c>
      <c r="O45" s="38">
        <f ca="1">IF(L45&gt;0,N45*100/L45,0)</f>
        <v>32.432502521250541</v>
      </c>
      <c r="P45" s="38">
        <f ca="1">IF(M45&gt;0,N45*100/M45,0)</f>
        <v>64.855661192739845</v>
      </c>
    </row>
    <row r="46" spans="1:16" ht="21.75" customHeight="1" x14ac:dyDescent="0.45">
      <c r="A46" s="79"/>
      <c r="B46" s="80"/>
      <c r="C46" s="80"/>
      <c r="D46" s="80"/>
      <c r="E46" s="88"/>
      <c r="F46" s="88"/>
      <c r="G46" s="82" t="s">
        <v>21</v>
      </c>
      <c r="H46" s="83" t="s">
        <v>12</v>
      </c>
      <c r="I46" s="84"/>
      <c r="J46" s="84"/>
      <c r="K46" s="85"/>
      <c r="L46" s="49">
        <f ca="1">IFERROR(__xludf.DUMMYFUNCTION("IMPORTRANGE(""https://docs.google.com/spreadsheets/d/1Yj_ptqi66GCucihVvJfMjLAmec39IyEx_6qawtMGysU/edit?usp=sharing"",""สบก!M23"")"),694100)</f>
        <v>694100</v>
      </c>
      <c r="M46" s="41"/>
      <c r="N46" s="38"/>
      <c r="O46" s="38"/>
      <c r="P46" s="38"/>
    </row>
    <row r="47" spans="1:16" ht="21.75" customHeight="1" x14ac:dyDescent="0.45">
      <c r="A47" s="79"/>
      <c r="B47" s="80"/>
      <c r="C47" s="80"/>
      <c r="D47" s="80"/>
      <c r="E47" s="88"/>
      <c r="F47" s="88"/>
      <c r="G47" s="82" t="s">
        <v>22</v>
      </c>
      <c r="H47" s="83" t="s">
        <v>12</v>
      </c>
      <c r="I47" s="84"/>
      <c r="J47" s="84"/>
      <c r="K47" s="85"/>
      <c r="L47" s="49">
        <f ca="1">IFERROR(__xludf.DUMMYFUNCTION("IMPORTRANGE(""https://docs.google.com/spreadsheets/d/1Yj_ptqi66GCucihVvJfMjLAmec39IyEx_6qawtMGysU/edit?usp=sharing"",""สบก!N23"")"),0)</f>
        <v>0</v>
      </c>
      <c r="M47" s="41"/>
      <c r="N47" s="38"/>
      <c r="O47" s="38"/>
      <c r="P47" s="38"/>
    </row>
    <row r="48" spans="1:16" ht="21.75" customHeight="1" x14ac:dyDescent="0.45">
      <c r="A48" s="79"/>
      <c r="B48" s="80"/>
      <c r="C48" s="81" t="s">
        <v>16</v>
      </c>
      <c r="D48" s="534" t="s">
        <v>23</v>
      </c>
      <c r="E48" s="530"/>
      <c r="F48" s="88"/>
      <c r="G48" s="82" t="s">
        <v>18</v>
      </c>
      <c r="H48" s="83" t="s">
        <v>12</v>
      </c>
      <c r="I48" s="84"/>
      <c r="J48" s="84"/>
      <c r="K48" s="85"/>
      <c r="L48" s="50">
        <v>0</v>
      </c>
      <c r="M48" s="41"/>
      <c r="N48" s="41"/>
      <c r="O48" s="41"/>
      <c r="P48" s="41"/>
    </row>
    <row r="49" spans="1:16" ht="21.75" customHeight="1" x14ac:dyDescent="0.45">
      <c r="A49" s="90"/>
      <c r="B49" s="91"/>
      <c r="C49" s="91"/>
      <c r="D49" s="91"/>
      <c r="E49" s="92"/>
      <c r="F49" s="92"/>
      <c r="G49" s="93" t="s">
        <v>19</v>
      </c>
      <c r="H49" s="94" t="s">
        <v>12</v>
      </c>
      <c r="I49" s="95"/>
      <c r="J49" s="95"/>
      <c r="K49" s="96"/>
      <c r="L49" s="49">
        <f ca="1">IFERROR(__xludf.DUMMYFUNCTION("IMPORTRANGE(""https://docs.google.com/spreadsheets/d/1Yj_ptqi66GCucihVvJfMjLAmec39IyEx_6qawtMGysU/edit?usp=sharing"",""สบก!O23"")"),0)</f>
        <v>0</v>
      </c>
      <c r="M49" s="49"/>
      <c r="N49" s="49">
        <f ca="1">IFERROR(__xludf.DUMMYFUNCTION("IMPORTRANGE(""https://docs.google.com/spreadsheets/d/1Yj_ptqi66GCucihVvJfMjLAmec39IyEx_6qawtMGysU/edit?usp=sharing"",""สบก!S23"")"),0)</f>
        <v>0</v>
      </c>
      <c r="O49" s="49">
        <f ca="1">IF(L49&gt;0,N49*100/L49,0)</f>
        <v>0</v>
      </c>
      <c r="P49" s="49"/>
    </row>
    <row r="50" spans="1:16" ht="21.75" customHeight="1" x14ac:dyDescent="0.45">
      <c r="A50" s="97" t="s">
        <v>30</v>
      </c>
      <c r="B50" s="98"/>
      <c r="C50" s="98"/>
      <c r="D50" s="98"/>
      <c r="E50" s="98"/>
      <c r="F50" s="98"/>
      <c r="G50" s="98"/>
      <c r="H50" s="99"/>
      <c r="I50" s="100"/>
      <c r="J50" s="100"/>
      <c r="K50" s="101"/>
      <c r="L50" s="102"/>
      <c r="M50" s="102"/>
      <c r="N50" s="102"/>
      <c r="O50" s="101"/>
      <c r="P50" s="101"/>
    </row>
    <row r="51" spans="1:16" ht="21.75" customHeight="1" x14ac:dyDescent="0.45">
      <c r="A51" s="103"/>
      <c r="B51" s="104" t="s">
        <v>31</v>
      </c>
      <c r="C51" s="104"/>
      <c r="D51" s="104"/>
      <c r="E51" s="104"/>
      <c r="F51" s="104"/>
      <c r="G51" s="104"/>
      <c r="H51" s="105"/>
      <c r="I51" s="106"/>
      <c r="J51" s="106"/>
      <c r="K51" s="107"/>
      <c r="L51" s="108"/>
      <c r="M51" s="108"/>
      <c r="N51" s="108"/>
      <c r="O51" s="107"/>
      <c r="P51" s="107"/>
    </row>
    <row r="52" spans="1:16" ht="21.75" customHeight="1" x14ac:dyDescent="0.45">
      <c r="A52" s="109"/>
      <c r="B52" s="535" t="s">
        <v>32</v>
      </c>
      <c r="C52" s="530"/>
      <c r="D52" s="530"/>
      <c r="E52" s="530"/>
      <c r="F52" s="530"/>
      <c r="G52" s="530"/>
      <c r="H52" s="110"/>
      <c r="I52" s="111"/>
      <c r="J52" s="111"/>
      <c r="K52" s="112"/>
      <c r="L52" s="113"/>
      <c r="M52" s="113"/>
      <c r="N52" s="113"/>
      <c r="O52" s="112"/>
      <c r="P52" s="112"/>
    </row>
    <row r="53" spans="1:16" ht="21.75" customHeight="1" x14ac:dyDescent="0.45">
      <c r="A53" s="114"/>
      <c r="B53" s="115"/>
      <c r="C53" s="116" t="s">
        <v>16</v>
      </c>
      <c r="D53" s="536" t="s">
        <v>17</v>
      </c>
      <c r="E53" s="530"/>
      <c r="F53" s="530"/>
      <c r="G53" s="530"/>
      <c r="H53" s="117" t="s">
        <v>12</v>
      </c>
      <c r="I53" s="118"/>
      <c r="J53" s="118"/>
      <c r="K53" s="119"/>
      <c r="L53" s="120">
        <f t="shared" ref="L53:N53" ca="1" si="39">L54+L55</f>
        <v>400000</v>
      </c>
      <c r="M53" s="120">
        <f t="shared" ca="1" si="39"/>
        <v>218000</v>
      </c>
      <c r="N53" s="120">
        <f t="shared" ca="1" si="39"/>
        <v>179010</v>
      </c>
      <c r="O53" s="119">
        <f t="shared" ref="O53:O55" ca="1" si="40">IF(L53&gt;0,N53*100/L53,0)</f>
        <v>44.752499999999998</v>
      </c>
      <c r="P53" s="119">
        <f t="shared" ref="P53:P55" ca="1" si="41">IF(M53&gt;0,N53*100/M53,0)</f>
        <v>82.114678899082563</v>
      </c>
    </row>
    <row r="54" spans="1:16" ht="21.75" customHeight="1" x14ac:dyDescent="0.45">
      <c r="A54" s="114"/>
      <c r="B54" s="115"/>
      <c r="C54" s="115"/>
      <c r="D54" s="115"/>
      <c r="E54" s="115"/>
      <c r="F54" s="115"/>
      <c r="G54" s="116" t="s">
        <v>18</v>
      </c>
      <c r="H54" s="117" t="s">
        <v>12</v>
      </c>
      <c r="I54" s="118"/>
      <c r="J54" s="118"/>
      <c r="K54" s="119"/>
      <c r="L54" s="120">
        <f t="shared" ref="L54:N54" si="42">L56+L60</f>
        <v>0</v>
      </c>
      <c r="M54" s="120">
        <f t="shared" si="42"/>
        <v>0</v>
      </c>
      <c r="N54" s="120">
        <f t="shared" si="42"/>
        <v>0</v>
      </c>
      <c r="O54" s="119">
        <f t="shared" si="40"/>
        <v>0</v>
      </c>
      <c r="P54" s="119">
        <f t="shared" si="41"/>
        <v>0</v>
      </c>
    </row>
    <row r="55" spans="1:16" ht="21.75" customHeight="1" x14ac:dyDescent="0.45">
      <c r="A55" s="114"/>
      <c r="B55" s="115"/>
      <c r="C55" s="115"/>
      <c r="D55" s="115"/>
      <c r="E55" s="115"/>
      <c r="F55" s="115"/>
      <c r="G55" s="116" t="s">
        <v>19</v>
      </c>
      <c r="H55" s="117" t="s">
        <v>12</v>
      </c>
      <c r="I55" s="118"/>
      <c r="J55" s="118"/>
      <c r="K55" s="119"/>
      <c r="L55" s="120">
        <f t="shared" ref="L55:N55" ca="1" si="43">L57+L61</f>
        <v>400000</v>
      </c>
      <c r="M55" s="120">
        <f t="shared" ca="1" si="43"/>
        <v>218000</v>
      </c>
      <c r="N55" s="120">
        <f t="shared" ca="1" si="43"/>
        <v>179010</v>
      </c>
      <c r="O55" s="119">
        <f t="shared" ca="1" si="40"/>
        <v>44.752499999999998</v>
      </c>
      <c r="P55" s="119">
        <f t="shared" ca="1" si="41"/>
        <v>82.114678899082563</v>
      </c>
    </row>
    <row r="56" spans="1:16" ht="21.75" customHeight="1" x14ac:dyDescent="0.45">
      <c r="A56" s="79"/>
      <c r="B56" s="80"/>
      <c r="C56" s="81" t="s">
        <v>16</v>
      </c>
      <c r="D56" s="534" t="s">
        <v>20</v>
      </c>
      <c r="E56" s="530"/>
      <c r="F56" s="530"/>
      <c r="G56" s="82" t="s">
        <v>18</v>
      </c>
      <c r="H56" s="83" t="s">
        <v>12</v>
      </c>
      <c r="I56" s="84"/>
      <c r="J56" s="84"/>
      <c r="K56" s="85"/>
      <c r="L56" s="511">
        <v>0</v>
      </c>
      <c r="M56" s="510"/>
      <c r="N56" s="511"/>
      <c r="O56" s="511"/>
      <c r="P56" s="511"/>
    </row>
    <row r="57" spans="1:16" ht="21.75" customHeight="1" x14ac:dyDescent="0.45">
      <c r="A57" s="79"/>
      <c r="B57" s="80"/>
      <c r="C57" s="80"/>
      <c r="D57" s="80"/>
      <c r="E57" s="88"/>
      <c r="F57" s="89"/>
      <c r="G57" s="82" t="s">
        <v>19</v>
      </c>
      <c r="H57" s="83" t="s">
        <v>12</v>
      </c>
      <c r="I57" s="84"/>
      <c r="J57" s="84"/>
      <c r="K57" s="85"/>
      <c r="L57" s="38">
        <f ca="1">L58+L59</f>
        <v>400000</v>
      </c>
      <c r="M57" s="49">
        <f ca="1">IFERROR(__xludf.DUMMYFUNCTION("IMPORTRANGE(""https://docs.google.com/spreadsheets/d/1Yj_ptqi66GCucihVvJfMjLAmec39IyEx_6qawtMGysU/edit?usp=sharing"",""สบก!Z23"")"),218000)</f>
        <v>218000</v>
      </c>
      <c r="N57" s="49">
        <f ca="1">IFERROR(__xludf.DUMMYFUNCTION("IMPORTRANGE(""https://docs.google.com/spreadsheets/d/1Yj_ptqi66GCucihVvJfMjLAmec39IyEx_6qawtMGysU/edit?usp=sharing"",""สบก!AA23"")"),179010)</f>
        <v>179010</v>
      </c>
      <c r="O57" s="38">
        <f ca="1">IF(L57&gt;0,N57*100/L57,0)</f>
        <v>44.752499999999998</v>
      </c>
      <c r="P57" s="38">
        <f ca="1">IF(M57&gt;0,N57*100/M57,0)</f>
        <v>82.114678899082563</v>
      </c>
    </row>
    <row r="58" spans="1:16" ht="21.75" customHeight="1" x14ac:dyDescent="0.45">
      <c r="A58" s="79"/>
      <c r="B58" s="80"/>
      <c r="C58" s="80"/>
      <c r="D58" s="80"/>
      <c r="E58" s="88"/>
      <c r="F58" s="88"/>
      <c r="G58" s="82" t="s">
        <v>21</v>
      </c>
      <c r="H58" s="83" t="s">
        <v>12</v>
      </c>
      <c r="I58" s="84"/>
      <c r="J58" s="84"/>
      <c r="K58" s="85"/>
      <c r="L58" s="49">
        <f ca="1">IFERROR(__xludf.DUMMYFUNCTION("IMPORTRANGE(""https://docs.google.com/spreadsheets/d/1Yj_ptqi66GCucihVvJfMjLAmec39IyEx_6qawtMGysU/edit?usp=sharing"",""สบก!V23"")"),400000)</f>
        <v>400000</v>
      </c>
      <c r="M58" s="41"/>
      <c r="N58" s="38"/>
      <c r="O58" s="38"/>
      <c r="P58" s="38"/>
    </row>
    <row r="59" spans="1:16" ht="21.75" customHeight="1" x14ac:dyDescent="0.45">
      <c r="A59" s="79"/>
      <c r="B59" s="80"/>
      <c r="C59" s="80"/>
      <c r="D59" s="80"/>
      <c r="E59" s="88"/>
      <c r="F59" s="88"/>
      <c r="G59" s="82" t="s">
        <v>22</v>
      </c>
      <c r="H59" s="83" t="s">
        <v>12</v>
      </c>
      <c r="I59" s="84"/>
      <c r="J59" s="84"/>
      <c r="K59" s="85"/>
      <c r="L59" s="49">
        <f ca="1">IFERROR(__xludf.DUMMYFUNCTION("IMPORTRANGE(""https://docs.google.com/spreadsheets/d/1Yj_ptqi66GCucihVvJfMjLAmec39IyEx_6qawtMGysU/edit?usp=sharing"",""สบก!W23"")"),0)</f>
        <v>0</v>
      </c>
      <c r="M59" s="41"/>
      <c r="N59" s="38"/>
      <c r="O59" s="38"/>
      <c r="P59" s="38"/>
    </row>
    <row r="60" spans="1:16" ht="21.75" customHeight="1" x14ac:dyDescent="0.45">
      <c r="A60" s="79"/>
      <c r="B60" s="80"/>
      <c r="C60" s="81" t="s">
        <v>16</v>
      </c>
      <c r="D60" s="534" t="s">
        <v>23</v>
      </c>
      <c r="E60" s="530"/>
      <c r="F60" s="88"/>
      <c r="G60" s="82" t="s">
        <v>18</v>
      </c>
      <c r="H60" s="83" t="s">
        <v>12</v>
      </c>
      <c r="I60" s="84"/>
      <c r="J60" s="84"/>
      <c r="K60" s="85"/>
      <c r="L60" s="50">
        <v>0</v>
      </c>
      <c r="M60" s="41"/>
      <c r="N60" s="41"/>
      <c r="O60" s="41"/>
      <c r="P60" s="41"/>
    </row>
    <row r="61" spans="1:16" ht="21.75" customHeight="1" x14ac:dyDescent="0.45">
      <c r="A61" s="90"/>
      <c r="B61" s="91"/>
      <c r="C61" s="91"/>
      <c r="D61" s="91"/>
      <c r="E61" s="92"/>
      <c r="F61" s="92"/>
      <c r="G61" s="93" t="s">
        <v>19</v>
      </c>
      <c r="H61" s="94" t="s">
        <v>12</v>
      </c>
      <c r="I61" s="95"/>
      <c r="J61" s="95"/>
      <c r="K61" s="96"/>
      <c r="L61" s="49">
        <f ca="1">IFERROR(__xludf.DUMMYFUNCTION("IMPORTRANGE(""https://docs.google.com/spreadsheets/d/1Yj_ptqi66GCucihVvJfMjLAmec39IyEx_6qawtMGysU/edit?usp=sharing"",""สบก!X23"")"),0)</f>
        <v>0</v>
      </c>
      <c r="M61" s="49"/>
      <c r="N61" s="49">
        <f ca="1">IFERROR(__xludf.DUMMYFUNCTION("IMPORTRANGE(""https://docs.google.com/spreadsheets/d/1Yj_ptqi66GCucihVvJfMjLAmec39IyEx_6qawtMGysU/edit?usp=sharing"",""สบก!AB23"")"),0)</f>
        <v>0</v>
      </c>
      <c r="O61" s="49">
        <f ca="1">IF(L61&gt;0,N61*100/L61,0)</f>
        <v>0</v>
      </c>
      <c r="P61" s="49"/>
    </row>
    <row r="62" spans="1:16" ht="21.75" customHeight="1" x14ac:dyDescent="0.3">
      <c r="A62" s="121" t="s">
        <v>33</v>
      </c>
      <c r="B62" s="122"/>
      <c r="C62" s="122"/>
      <c r="D62" s="122"/>
      <c r="E62" s="123"/>
      <c r="F62" s="123"/>
      <c r="G62" s="123"/>
      <c r="H62" s="124"/>
      <c r="I62" s="125"/>
      <c r="J62" s="125"/>
      <c r="K62" s="126"/>
      <c r="L62" s="127"/>
      <c r="M62" s="127"/>
      <c r="N62" s="127"/>
      <c r="O62" s="127"/>
      <c r="P62" s="127"/>
    </row>
    <row r="63" spans="1:16" ht="21.75" customHeight="1" x14ac:dyDescent="0.3">
      <c r="A63" s="128" t="s">
        <v>34</v>
      </c>
      <c r="B63" s="129"/>
      <c r="C63" s="130"/>
      <c r="D63" s="129"/>
      <c r="E63" s="131"/>
      <c r="F63" s="131"/>
      <c r="G63" s="131"/>
      <c r="H63" s="132"/>
      <c r="I63" s="133"/>
      <c r="J63" s="133"/>
      <c r="K63" s="134"/>
      <c r="L63" s="135"/>
      <c r="M63" s="135"/>
      <c r="N63" s="135"/>
      <c r="O63" s="136"/>
      <c r="P63" s="136"/>
    </row>
    <row r="64" spans="1:16" ht="21.75" customHeight="1" x14ac:dyDescent="0.3">
      <c r="A64" s="137"/>
      <c r="B64" s="138" t="s">
        <v>35</v>
      </c>
      <c r="C64" s="138"/>
      <c r="D64" s="139"/>
      <c r="E64" s="138"/>
      <c r="F64" s="138"/>
      <c r="G64" s="138"/>
      <c r="H64" s="140" t="s">
        <v>36</v>
      </c>
      <c r="I64" s="141">
        <f ca="1">IFERROR(__xludf.DUMMYFUNCTION("IMPORTRANGE(""https://docs.google.com/spreadsheets/d/11923uPwbBZFjjGgGUA6NLw09EwE0CqkOc4q9oUmW1yo/edit?usp=sharing"",""ตาก!I9"")"),0)</f>
        <v>0</v>
      </c>
      <c r="J64" s="141">
        <f ca="1">IFERROR(__xludf.DUMMYFUNCTION("IMPORTRANGE(""https://docs.google.com/spreadsheets/d/11923uPwbBZFjjGgGUA6NLw09EwE0CqkOc4q9oUmW1yo/edit?usp=sharing"",""ตาก!J9"")"),0)</f>
        <v>0</v>
      </c>
      <c r="K64" s="142">
        <f t="shared" ref="K64:K65" ca="1" si="44">IF(I64&gt;0,J64*100/I64,0)</f>
        <v>0</v>
      </c>
      <c r="L64" s="143"/>
      <c r="M64" s="143"/>
      <c r="N64" s="144"/>
      <c r="O64" s="142"/>
      <c r="P64" s="142"/>
    </row>
    <row r="65" spans="1:16" ht="21.75" customHeight="1" x14ac:dyDescent="0.3">
      <c r="A65" s="137"/>
      <c r="B65" s="138"/>
      <c r="C65" s="138"/>
      <c r="D65" s="139"/>
      <c r="E65" s="138"/>
      <c r="F65" s="138"/>
      <c r="G65" s="138"/>
      <c r="H65" s="140" t="s">
        <v>37</v>
      </c>
      <c r="I65" s="141">
        <f ca="1">IFERROR(__xludf.DUMMYFUNCTION("IMPORTRANGE(""https://docs.google.com/spreadsheets/d/11923uPwbBZFjjGgGUA6NLw09EwE0CqkOc4q9oUmW1yo/edit?usp=sharing"",""ตาก!I10"")"),0)</f>
        <v>0</v>
      </c>
      <c r="J65" s="141">
        <f ca="1">IFERROR(__xludf.DUMMYFUNCTION("IMPORTRANGE(""https://docs.google.com/spreadsheets/d/11923uPwbBZFjjGgGUA6NLw09EwE0CqkOc4q9oUmW1yo/edit?usp=sharing"",""ตาก!J10"")"),0)</f>
        <v>0</v>
      </c>
      <c r="K65" s="142">
        <f t="shared" ca="1" si="44"/>
        <v>0</v>
      </c>
      <c r="L65" s="144"/>
      <c r="M65" s="144"/>
      <c r="N65" s="144"/>
      <c r="O65" s="142"/>
      <c r="P65" s="142"/>
    </row>
    <row r="66" spans="1:16" ht="21.75" customHeight="1" x14ac:dyDescent="0.45">
      <c r="A66" s="145"/>
      <c r="B66" s="146"/>
      <c r="C66" s="147" t="s">
        <v>16</v>
      </c>
      <c r="D66" s="537" t="s">
        <v>17</v>
      </c>
      <c r="E66" s="528"/>
      <c r="F66" s="528"/>
      <c r="G66" s="528"/>
      <c r="H66" s="148" t="s">
        <v>12</v>
      </c>
      <c r="I66" s="149"/>
      <c r="J66" s="149"/>
      <c r="K66" s="150"/>
      <c r="L66" s="151">
        <f t="shared" ref="L66:N66" ca="1" si="45">L67+L68</f>
        <v>0</v>
      </c>
      <c r="M66" s="151">
        <f t="shared" ca="1" si="45"/>
        <v>0</v>
      </c>
      <c r="N66" s="151">
        <f t="shared" ca="1" si="45"/>
        <v>0</v>
      </c>
      <c r="O66" s="150">
        <f t="shared" ref="O66:O68" ca="1" si="46">IF(L66&gt;0,N66*100/L66,0)</f>
        <v>0</v>
      </c>
      <c r="P66" s="150">
        <f t="shared" ref="P66:P68" ca="1" si="47">IF(M66&gt;0,N66*100/M66,0)</f>
        <v>0</v>
      </c>
    </row>
    <row r="67" spans="1:16" ht="21.75" customHeight="1" x14ac:dyDescent="0.45">
      <c r="A67" s="152"/>
      <c r="B67" s="32"/>
      <c r="C67" s="32"/>
      <c r="D67" s="32"/>
      <c r="E67" s="32"/>
      <c r="F67" s="32"/>
      <c r="G67" s="33" t="s">
        <v>18</v>
      </c>
      <c r="H67" s="153" t="s">
        <v>12</v>
      </c>
      <c r="I67" s="154"/>
      <c r="J67" s="154"/>
      <c r="K67" s="155"/>
      <c r="L67" s="87">
        <f t="shared" ref="L67:N67" si="48">L69+L73</f>
        <v>0</v>
      </c>
      <c r="M67" s="87">
        <f t="shared" si="48"/>
        <v>0</v>
      </c>
      <c r="N67" s="87">
        <f t="shared" si="48"/>
        <v>0</v>
      </c>
      <c r="O67" s="155">
        <f t="shared" si="46"/>
        <v>0</v>
      </c>
      <c r="P67" s="155">
        <f t="shared" si="47"/>
        <v>0</v>
      </c>
    </row>
    <row r="68" spans="1:16" ht="21.75" customHeight="1" x14ac:dyDescent="0.45">
      <c r="A68" s="152"/>
      <c r="B68" s="32"/>
      <c r="C68" s="32"/>
      <c r="D68" s="32"/>
      <c r="E68" s="32"/>
      <c r="F68" s="32"/>
      <c r="G68" s="33" t="s">
        <v>19</v>
      </c>
      <c r="H68" s="153" t="s">
        <v>12</v>
      </c>
      <c r="I68" s="154"/>
      <c r="J68" s="154"/>
      <c r="K68" s="155"/>
      <c r="L68" s="87">
        <f t="shared" ref="L68:N68" ca="1" si="49">L70+L74</f>
        <v>0</v>
      </c>
      <c r="M68" s="87">
        <f t="shared" ca="1" si="49"/>
        <v>0</v>
      </c>
      <c r="N68" s="87">
        <f t="shared" ca="1" si="49"/>
        <v>0</v>
      </c>
      <c r="O68" s="155">
        <f t="shared" ca="1" si="46"/>
        <v>0</v>
      </c>
      <c r="P68" s="155">
        <f t="shared" ca="1" si="47"/>
        <v>0</v>
      </c>
    </row>
    <row r="69" spans="1:16" ht="21.75" customHeight="1" x14ac:dyDescent="0.3">
      <c r="A69" s="156"/>
      <c r="B69" s="157"/>
      <c r="C69" s="157" t="s">
        <v>16</v>
      </c>
      <c r="D69" s="158" t="s">
        <v>38</v>
      </c>
      <c r="E69" s="159"/>
      <c r="F69" s="159"/>
      <c r="G69" s="160" t="s">
        <v>39</v>
      </c>
      <c r="H69" s="161" t="s">
        <v>12</v>
      </c>
      <c r="I69" s="162" t="s">
        <v>40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3">
      <c r="A70" s="156"/>
      <c r="B70" s="157"/>
      <c r="C70" s="157"/>
      <c r="D70" s="166"/>
      <c r="E70" s="159"/>
      <c r="F70" s="159" t="s">
        <v>40</v>
      </c>
      <c r="G70" s="160" t="s">
        <v>41</v>
      </c>
      <c r="H70" s="161" t="s">
        <v>12</v>
      </c>
      <c r="I70" s="162"/>
      <c r="J70" s="162"/>
      <c r="K70" s="163"/>
      <c r="L70" s="167">
        <f ca="1">L71+L72</f>
        <v>0</v>
      </c>
      <c r="M70" s="167">
        <f ca="1">IFERROR(__xludf.DUMMYFUNCTION("IMPORTRANGE(""https://docs.google.com/spreadsheets/d/1Yj_ptqi66GCucihVvJfMjLAmec39IyEx_6qawtMGysU/edit?usp=sharing"",""สบก!AI23"")"),0)</f>
        <v>0</v>
      </c>
      <c r="N70" s="168">
        <f ca="1">IFERROR(__xludf.DUMMYFUNCTION("IMPORTRANGE(""https://docs.google.com/spreadsheets/d/1Yj_ptqi66GCucihVvJfMjLAmec39IyEx_6qawtMGysU/edit?usp=sharing"",""สบก!AJ23"")"),0)</f>
        <v>0</v>
      </c>
      <c r="O70" s="168">
        <f ca="1">IF(L70&gt;0,N70*100/L70,0)</f>
        <v>0</v>
      </c>
      <c r="P70" s="168">
        <f ca="1">IF(M70&gt;0,N70*100/M70,0)</f>
        <v>0</v>
      </c>
    </row>
    <row r="71" spans="1:16" ht="21.75" customHeight="1" x14ac:dyDescent="0.3">
      <c r="A71" s="156"/>
      <c r="B71" s="157"/>
      <c r="C71" s="157"/>
      <c r="D71" s="166"/>
      <c r="E71" s="159"/>
      <c r="F71" s="159"/>
      <c r="G71" s="169" t="s">
        <v>42</v>
      </c>
      <c r="H71" s="161" t="s">
        <v>12</v>
      </c>
      <c r="I71" s="162"/>
      <c r="J71" s="162"/>
      <c r="K71" s="163"/>
      <c r="L71" s="167">
        <f ca="1">IFERROR(__xludf.DUMMYFUNCTION("IMPORTRANGE(""https://docs.google.com/spreadsheets/d/1Yj_ptqi66GCucihVvJfMjLAmec39IyEx_6qawtMGysU/edit?usp=sharing"",""สบก!AE23"")"),0)</f>
        <v>0</v>
      </c>
      <c r="M71" s="167"/>
      <c r="N71" s="167"/>
      <c r="O71" s="168"/>
      <c r="P71" s="168"/>
    </row>
    <row r="72" spans="1:16" ht="21.75" customHeight="1" x14ac:dyDescent="0.3">
      <c r="A72" s="156"/>
      <c r="B72" s="157"/>
      <c r="C72" s="157"/>
      <c r="D72" s="166"/>
      <c r="E72" s="159"/>
      <c r="F72" s="159"/>
      <c r="G72" s="169" t="s">
        <v>43</v>
      </c>
      <c r="H72" s="161" t="s">
        <v>12</v>
      </c>
      <c r="I72" s="162"/>
      <c r="J72" s="162"/>
      <c r="K72" s="163"/>
      <c r="L72" s="167">
        <f ca="1">IFERROR(__xludf.DUMMYFUNCTION("IMPORTRANGE(""https://docs.google.com/spreadsheets/d/1Yj_ptqi66GCucihVvJfMjLAmec39IyEx_6qawtMGysU/edit?usp=sharing"",""สบก!AF23"")"),0)</f>
        <v>0</v>
      </c>
      <c r="M72" s="167"/>
      <c r="N72" s="167"/>
      <c r="O72" s="168"/>
      <c r="P72" s="168"/>
    </row>
    <row r="73" spans="1:16" ht="21.75" customHeight="1" x14ac:dyDescent="0.45">
      <c r="A73" s="170"/>
      <c r="B73" s="80"/>
      <c r="C73" s="81" t="s">
        <v>16</v>
      </c>
      <c r="D73" s="534" t="s">
        <v>23</v>
      </c>
      <c r="E73" s="530"/>
      <c r="F73" s="88"/>
      <c r="G73" s="82" t="s">
        <v>18</v>
      </c>
      <c r="H73" s="171" t="s">
        <v>12</v>
      </c>
      <c r="I73" s="84"/>
      <c r="J73" s="84"/>
      <c r="K73" s="85"/>
      <c r="L73" s="41">
        <v>0</v>
      </c>
      <c r="M73" s="41"/>
      <c r="N73" s="41"/>
      <c r="O73" s="41"/>
      <c r="P73" s="41"/>
    </row>
    <row r="74" spans="1:16" ht="21.75" customHeight="1" x14ac:dyDescent="0.45">
      <c r="A74" s="172"/>
      <c r="B74" s="91"/>
      <c r="C74" s="91"/>
      <c r="D74" s="173"/>
      <c r="E74" s="92"/>
      <c r="F74" s="92"/>
      <c r="G74" s="93" t="s">
        <v>19</v>
      </c>
      <c r="H74" s="174" t="s">
        <v>12</v>
      </c>
      <c r="I74" s="95"/>
      <c r="J74" s="95"/>
      <c r="K74" s="96"/>
      <c r="L74" s="49">
        <f ca="1">IFERROR(__xludf.DUMMYFUNCTION("IMPORTRANGE(""https://docs.google.com/spreadsheets/d/1Yj_ptqi66GCucihVvJfMjLAmec39IyEx_6qawtMGysU/edit?usp=sharing"",""สบก!AG23"")"),0)</f>
        <v>0</v>
      </c>
      <c r="M74" s="49"/>
      <c r="N74" s="49">
        <f ca="1">IFERROR(__xludf.DUMMYFUNCTION("IMPORTRANGE(""https://docs.google.com/spreadsheets/d/1Yj_ptqi66GCucihVvJfMjLAmec39IyEx_6qawtMGysU/edit?usp=sharing"",""สบก!AK23"")"),0)</f>
        <v>0</v>
      </c>
      <c r="O74" s="49">
        <f ca="1">IF(L74&gt;0,N74*100/L74,0)</f>
        <v>0</v>
      </c>
      <c r="P74" s="49"/>
    </row>
    <row r="75" spans="1:16" ht="21.75" customHeight="1" x14ac:dyDescent="0.3">
      <c r="A75" s="175"/>
      <c r="B75" s="176"/>
      <c r="C75" s="157" t="s">
        <v>16</v>
      </c>
      <c r="D75" s="177" t="s">
        <v>44</v>
      </c>
      <c r="E75" s="178"/>
      <c r="F75" s="178"/>
      <c r="G75" s="179"/>
      <c r="H75" s="180"/>
      <c r="I75" s="162"/>
      <c r="J75" s="162"/>
      <c r="K75" s="163"/>
      <c r="L75" s="181"/>
      <c r="M75" s="181"/>
      <c r="N75" s="181"/>
      <c r="O75" s="181"/>
      <c r="P75" s="181"/>
    </row>
    <row r="76" spans="1:16" ht="21.75" customHeight="1" x14ac:dyDescent="0.3">
      <c r="A76" s="175"/>
      <c r="B76" s="176"/>
      <c r="C76" s="176"/>
      <c r="D76" s="182">
        <v>1</v>
      </c>
      <c r="E76" s="183" t="s">
        <v>45</v>
      </c>
      <c r="F76" s="184"/>
      <c r="G76" s="185"/>
      <c r="H76" s="186"/>
      <c r="I76" s="187"/>
      <c r="J76" s="188">
        <f ca="1">IFERROR(__xludf.DUMMYFUNCTION("IMPORTRANGE(""https://docs.google.com/spreadsheets/d/11923uPwbBZFjjGgGUA6NLw09EwE0CqkOc4q9oUmW1yo/edit?usp=sharing"",""ตาก!J16"")"),0)</f>
        <v>0</v>
      </c>
      <c r="K76" s="163"/>
      <c r="L76" s="181"/>
      <c r="M76" s="181"/>
      <c r="N76" s="181"/>
      <c r="O76" s="181"/>
      <c r="P76" s="181"/>
    </row>
    <row r="77" spans="1:16" ht="21.75" customHeight="1" x14ac:dyDescent="0.3">
      <c r="A77" s="175"/>
      <c r="B77" s="176"/>
      <c r="C77" s="176"/>
      <c r="D77" s="189">
        <v>2</v>
      </c>
      <c r="E77" s="190" t="s">
        <v>46</v>
      </c>
      <c r="F77" s="191"/>
      <c r="G77" s="192"/>
      <c r="H77" s="186"/>
      <c r="I77" s="187"/>
      <c r="J77" s="188">
        <f ca="1">IFERROR(__xludf.DUMMYFUNCTION("IMPORTRANGE(""https://docs.google.com/spreadsheets/d/11923uPwbBZFjjGgGUA6NLw09EwE0CqkOc4q9oUmW1yo/edit?usp=sharing"",""ตาก!J17"")"),0)</f>
        <v>0</v>
      </c>
      <c r="K77" s="163"/>
      <c r="L77" s="181" t="s">
        <v>40</v>
      </c>
      <c r="M77" s="181"/>
      <c r="N77" s="181" t="s">
        <v>40</v>
      </c>
      <c r="O77" s="181"/>
      <c r="P77" s="181"/>
    </row>
    <row r="78" spans="1:16" ht="21.75" customHeight="1" x14ac:dyDescent="0.3">
      <c r="A78" s="175"/>
      <c r="B78" s="176"/>
      <c r="C78" s="176"/>
      <c r="D78" s="193"/>
      <c r="E78" s="194" t="s">
        <v>47</v>
      </c>
      <c r="F78" s="195"/>
      <c r="G78" s="196"/>
      <c r="H78" s="186"/>
      <c r="I78" s="187"/>
      <c r="J78" s="188">
        <f ca="1">IFERROR(__xludf.DUMMYFUNCTION("IMPORTRANGE(""https://docs.google.com/spreadsheets/d/11923uPwbBZFjjGgGUA6NLw09EwE0CqkOc4q9oUmW1yo/edit?usp=sharing"",""ตาก!J18"")"),0)</f>
        <v>0</v>
      </c>
      <c r="K78" s="163"/>
      <c r="L78" s="181"/>
      <c r="M78" s="181"/>
      <c r="N78" s="181"/>
      <c r="O78" s="181"/>
      <c r="P78" s="181"/>
    </row>
    <row r="79" spans="1:16" ht="21.75" customHeight="1" x14ac:dyDescent="0.3">
      <c r="A79" s="175"/>
      <c r="B79" s="176"/>
      <c r="C79" s="176"/>
      <c r="D79" s="193"/>
      <c r="E79" s="194" t="s">
        <v>48</v>
      </c>
      <c r="F79" s="195"/>
      <c r="G79" s="196"/>
      <c r="H79" s="186"/>
      <c r="I79" s="187"/>
      <c r="J79" s="197">
        <f ca="1">IFERROR(__xludf.DUMMYFUNCTION("IMPORTRANGE(""https://docs.google.com/spreadsheets/d/11923uPwbBZFjjGgGUA6NLw09EwE0CqkOc4q9oUmW1yo/edit?usp=sharing"",""ตาก!J19"")"),0)</f>
        <v>0</v>
      </c>
      <c r="K79" s="163"/>
      <c r="L79" s="181"/>
      <c r="M79" s="181"/>
      <c r="N79" s="181"/>
      <c r="O79" s="181"/>
      <c r="P79" s="181"/>
    </row>
    <row r="80" spans="1:16" ht="21.75" customHeight="1" x14ac:dyDescent="0.3">
      <c r="A80" s="175"/>
      <c r="B80" s="176"/>
      <c r="C80" s="176"/>
      <c r="D80" s="193"/>
      <c r="E80" s="198"/>
      <c r="F80" s="194" t="s">
        <v>49</v>
      </c>
      <c r="G80" s="195"/>
      <c r="H80" s="199" t="s">
        <v>36</v>
      </c>
      <c r="I80" s="200">
        <f ca="1">IFERROR(__xludf.DUMMYFUNCTION("IMPORTRANGE(""https://docs.google.com/spreadsheets/d/11923uPwbBZFjjGgGUA6NLw09EwE0CqkOc4q9oUmW1yo/edit?usp=sharing"",""ตาก!I20"")"),0)</f>
        <v>0</v>
      </c>
      <c r="J80" s="200">
        <f ca="1">IFERROR(__xludf.DUMMYFUNCTION("IMPORTRANGE(""https://docs.google.com/spreadsheets/d/11923uPwbBZFjjGgGUA6NLw09EwE0CqkOc4q9oUmW1yo/edit?usp=sharing"",""ตาก!J20"")"),0)</f>
        <v>0</v>
      </c>
      <c r="K80" s="201">
        <f t="shared" ref="K80:K88" ca="1" si="50">IF(I80&gt;0,J80*100/I80,0)</f>
        <v>0</v>
      </c>
      <c r="L80" s="181"/>
      <c r="M80" s="181"/>
      <c r="N80" s="181"/>
      <c r="O80" s="181"/>
      <c r="P80" s="181"/>
    </row>
    <row r="81" spans="1:16" ht="21.75" customHeight="1" x14ac:dyDescent="0.3">
      <c r="A81" s="175"/>
      <c r="B81" s="176"/>
      <c r="C81" s="176"/>
      <c r="D81" s="193"/>
      <c r="E81" s="198"/>
      <c r="F81" s="195"/>
      <c r="G81" s="196"/>
      <c r="H81" s="199" t="s">
        <v>37</v>
      </c>
      <c r="I81" s="200">
        <f ca="1">IFERROR(__xludf.DUMMYFUNCTION("IMPORTRANGE(""https://docs.google.com/spreadsheets/d/11923uPwbBZFjjGgGUA6NLw09EwE0CqkOc4q9oUmW1yo/edit?usp=sharing"",""ตาก!I21"")"),0)</f>
        <v>0</v>
      </c>
      <c r="J81" s="200">
        <f ca="1">IFERROR(__xludf.DUMMYFUNCTION("IMPORTRANGE(""https://docs.google.com/spreadsheets/d/11923uPwbBZFjjGgGUA6NLw09EwE0CqkOc4q9oUmW1yo/edit?usp=sharing"",""ตาก!J21"")"),0)</f>
        <v>0</v>
      </c>
      <c r="K81" s="201">
        <f t="shared" ca="1" si="50"/>
        <v>0</v>
      </c>
      <c r="L81" s="181"/>
      <c r="M81" s="181"/>
      <c r="N81" s="181"/>
      <c r="O81" s="181"/>
      <c r="P81" s="181"/>
    </row>
    <row r="82" spans="1:16" ht="21.75" customHeight="1" x14ac:dyDescent="0.3">
      <c r="A82" s="175"/>
      <c r="B82" s="176"/>
      <c r="C82" s="176"/>
      <c r="D82" s="193"/>
      <c r="E82" s="198"/>
      <c r="F82" s="195"/>
      <c r="G82" s="195" t="s">
        <v>50</v>
      </c>
      <c r="H82" s="180" t="s">
        <v>36</v>
      </c>
      <c r="I82" s="202">
        <f ca="1">IFERROR(__xludf.DUMMYFUNCTION("IMPORTRANGE(""https://docs.google.com/spreadsheets/d/11923uPwbBZFjjGgGUA6NLw09EwE0CqkOc4q9oUmW1yo/edit?usp=sharing"",""ตาก!I22"")"),0)</f>
        <v>0</v>
      </c>
      <c r="J82" s="203">
        <f ca="1">IFERROR(__xludf.DUMMYFUNCTION("IMPORTRANGE(""https://docs.google.com/spreadsheets/d/11923uPwbBZFjjGgGUA6NLw09EwE0CqkOc4q9oUmW1yo/edit?usp=sharing"",""ตาก!J22"")"),0)</f>
        <v>0</v>
      </c>
      <c r="K82" s="163">
        <f t="shared" ca="1" si="50"/>
        <v>0</v>
      </c>
      <c r="L82" s="181"/>
      <c r="M82" s="181"/>
      <c r="N82" s="181"/>
      <c r="O82" s="181"/>
      <c r="P82" s="181"/>
    </row>
    <row r="83" spans="1:16" ht="21.75" customHeight="1" x14ac:dyDescent="0.3">
      <c r="A83" s="175"/>
      <c r="B83" s="176"/>
      <c r="C83" s="176"/>
      <c r="D83" s="193"/>
      <c r="E83" s="198"/>
      <c r="F83" s="195"/>
      <c r="G83" s="196"/>
      <c r="H83" s="180" t="s">
        <v>37</v>
      </c>
      <c r="I83" s="202">
        <f ca="1">IFERROR(__xludf.DUMMYFUNCTION("IMPORTRANGE(""https://docs.google.com/spreadsheets/d/11923uPwbBZFjjGgGUA6NLw09EwE0CqkOc4q9oUmW1yo/edit?usp=sharing"",""ตาก!I23"")"),0)</f>
        <v>0</v>
      </c>
      <c r="J83" s="203">
        <f ca="1">IFERROR(__xludf.DUMMYFUNCTION("IMPORTRANGE(""https://docs.google.com/spreadsheets/d/11923uPwbBZFjjGgGUA6NLw09EwE0CqkOc4q9oUmW1yo/edit?usp=sharing"",""ตาก!J23"")"),0)</f>
        <v>0</v>
      </c>
      <c r="K83" s="163">
        <f t="shared" ca="1" si="50"/>
        <v>0</v>
      </c>
      <c r="L83" s="181"/>
      <c r="M83" s="181"/>
      <c r="N83" s="181"/>
      <c r="O83" s="181"/>
      <c r="P83" s="181"/>
    </row>
    <row r="84" spans="1:16" ht="21.75" customHeight="1" x14ac:dyDescent="0.3">
      <c r="A84" s="175"/>
      <c r="B84" s="176"/>
      <c r="C84" s="176"/>
      <c r="D84" s="193"/>
      <c r="E84" s="198"/>
      <c r="F84" s="195"/>
      <c r="G84" s="195" t="s">
        <v>51</v>
      </c>
      <c r="H84" s="180" t="s">
        <v>36</v>
      </c>
      <c r="I84" s="202">
        <f ca="1">IFERROR(__xludf.DUMMYFUNCTION("IMPORTRANGE(""https://docs.google.com/spreadsheets/d/11923uPwbBZFjjGgGUA6NLw09EwE0CqkOc4q9oUmW1yo/edit?usp=sharing"",""ตาก!I24"")"),0)</f>
        <v>0</v>
      </c>
      <c r="J84" s="188">
        <f ca="1">IFERROR(__xludf.DUMMYFUNCTION("IMPORTRANGE(""https://docs.google.com/spreadsheets/d/11923uPwbBZFjjGgGUA6NLw09EwE0CqkOc4q9oUmW1yo/edit?usp=sharing"",""ตาก!J24"")"),0)</f>
        <v>0</v>
      </c>
      <c r="K84" s="163">
        <f t="shared" ca="1" si="50"/>
        <v>0</v>
      </c>
      <c r="L84" s="181"/>
      <c r="M84" s="181"/>
      <c r="N84" s="181"/>
      <c r="O84" s="181"/>
      <c r="P84" s="181"/>
    </row>
    <row r="85" spans="1:16" ht="21.75" customHeight="1" x14ac:dyDescent="0.3">
      <c r="A85" s="175"/>
      <c r="B85" s="176"/>
      <c r="C85" s="176"/>
      <c r="D85" s="193"/>
      <c r="E85" s="198"/>
      <c r="F85" s="195"/>
      <c r="G85" s="196"/>
      <c r="H85" s="180" t="s">
        <v>37</v>
      </c>
      <c r="I85" s="202">
        <f ca="1">IFERROR(__xludf.DUMMYFUNCTION("IMPORTRANGE(""https://docs.google.com/spreadsheets/d/11923uPwbBZFjjGgGUA6NLw09EwE0CqkOc4q9oUmW1yo/edit?usp=sharing"",""ตาก!I25"")"),0)</f>
        <v>0</v>
      </c>
      <c r="J85" s="188">
        <f ca="1">IFERROR(__xludf.DUMMYFUNCTION("IMPORTRANGE(""https://docs.google.com/spreadsheets/d/11923uPwbBZFjjGgGUA6NLw09EwE0CqkOc4q9oUmW1yo/edit?usp=sharing"",""ตาก!J25"")"),0)</f>
        <v>0</v>
      </c>
      <c r="K85" s="163">
        <f t="shared" ca="1" si="50"/>
        <v>0</v>
      </c>
      <c r="L85" s="181"/>
      <c r="M85" s="181"/>
      <c r="N85" s="181"/>
      <c r="O85" s="181"/>
      <c r="P85" s="181"/>
    </row>
    <row r="86" spans="1:16" ht="21.75" customHeight="1" x14ac:dyDescent="0.3">
      <c r="A86" s="175"/>
      <c r="B86" s="176"/>
      <c r="C86" s="176"/>
      <c r="D86" s="193"/>
      <c r="E86" s="198"/>
      <c r="F86" s="195"/>
      <c r="G86" s="195" t="s">
        <v>52</v>
      </c>
      <c r="H86" s="180" t="s">
        <v>36</v>
      </c>
      <c r="I86" s="202">
        <f ca="1">IFERROR(__xludf.DUMMYFUNCTION("IMPORTRANGE(""https://docs.google.com/spreadsheets/d/11923uPwbBZFjjGgGUA6NLw09EwE0CqkOc4q9oUmW1yo/edit?usp=sharing"",""ตาก!I26"")"),0)</f>
        <v>0</v>
      </c>
      <c r="J86" s="203">
        <f ca="1">IFERROR(__xludf.DUMMYFUNCTION("IMPORTRANGE(""https://docs.google.com/spreadsheets/d/11923uPwbBZFjjGgGUA6NLw09EwE0CqkOc4q9oUmW1yo/edit?usp=sharing"",""ตาก!J26"")"),0)</f>
        <v>0</v>
      </c>
      <c r="K86" s="163">
        <f t="shared" ca="1" si="50"/>
        <v>0</v>
      </c>
      <c r="L86" s="181"/>
      <c r="M86" s="181"/>
      <c r="N86" s="181"/>
      <c r="O86" s="181"/>
      <c r="P86" s="181"/>
    </row>
    <row r="87" spans="1:16" ht="21.75" customHeight="1" x14ac:dyDescent="0.3">
      <c r="A87" s="175"/>
      <c r="B87" s="176"/>
      <c r="C87" s="176"/>
      <c r="D87" s="193"/>
      <c r="E87" s="198"/>
      <c r="F87" s="195"/>
      <c r="G87" s="196"/>
      <c r="H87" s="180" t="s">
        <v>37</v>
      </c>
      <c r="I87" s="202">
        <f ca="1">IFERROR(__xludf.DUMMYFUNCTION("IMPORTRANGE(""https://docs.google.com/spreadsheets/d/11923uPwbBZFjjGgGUA6NLw09EwE0CqkOc4q9oUmW1yo/edit?usp=sharing"",""ตาก!I27"")"),0)</f>
        <v>0</v>
      </c>
      <c r="J87" s="203">
        <f ca="1">IFERROR(__xludf.DUMMYFUNCTION("IMPORTRANGE(""https://docs.google.com/spreadsheets/d/11923uPwbBZFjjGgGUA6NLw09EwE0CqkOc4q9oUmW1yo/edit?usp=sharing"",""ตาก!J27"")"),0)</f>
        <v>0</v>
      </c>
      <c r="K87" s="163">
        <f t="shared" ca="1" si="50"/>
        <v>0</v>
      </c>
      <c r="L87" s="181"/>
      <c r="M87" s="181"/>
      <c r="N87" s="181"/>
      <c r="O87" s="181"/>
      <c r="P87" s="181"/>
    </row>
    <row r="88" spans="1:16" ht="21.75" customHeight="1" x14ac:dyDescent="0.3">
      <c r="A88" s="175"/>
      <c r="B88" s="176"/>
      <c r="C88" s="176"/>
      <c r="D88" s="193"/>
      <c r="E88" s="198"/>
      <c r="F88" s="204" t="s">
        <v>53</v>
      </c>
      <c r="G88" s="195"/>
      <c r="H88" s="180" t="s">
        <v>37</v>
      </c>
      <c r="I88" s="202">
        <f ca="1">IFERROR(__xludf.DUMMYFUNCTION("IMPORTRANGE(""https://docs.google.com/spreadsheets/d/11923uPwbBZFjjGgGUA6NLw09EwE0CqkOc4q9oUmW1yo/edit?usp=sharing"",""ตาก!I28"")"),0)</f>
        <v>0</v>
      </c>
      <c r="J88" s="203">
        <f ca="1">IFERROR(__xludf.DUMMYFUNCTION("IMPORTRANGE(""https://docs.google.com/spreadsheets/d/11923uPwbBZFjjGgGUA6NLw09EwE0CqkOc4q9oUmW1yo/edit?usp=sharing"",""ตาก!J28"")"),0)</f>
        <v>0</v>
      </c>
      <c r="K88" s="163">
        <f t="shared" ca="1" si="50"/>
        <v>0</v>
      </c>
      <c r="L88" s="181"/>
      <c r="M88" s="181"/>
      <c r="N88" s="181"/>
      <c r="O88" s="181"/>
      <c r="P88" s="181"/>
    </row>
    <row r="89" spans="1:16" ht="21.75" customHeight="1" x14ac:dyDescent="0.3">
      <c r="A89" s="175"/>
      <c r="B89" s="176"/>
      <c r="C89" s="176"/>
      <c r="D89" s="193"/>
      <c r="E89" s="194" t="s">
        <v>54</v>
      </c>
      <c r="F89" s="195"/>
      <c r="G89" s="196"/>
      <c r="H89" s="186"/>
      <c r="I89" s="187"/>
      <c r="J89" s="197">
        <f ca="1">IFERROR(__xludf.DUMMYFUNCTION("IMPORTRANGE(""https://docs.google.com/spreadsheets/d/11923uPwbBZFjjGgGUA6NLw09EwE0CqkOc4q9oUmW1yo/edit?usp=sharing"",""ตาก!J29"")"),0)</f>
        <v>0</v>
      </c>
      <c r="K89" s="163"/>
      <c r="L89" s="181"/>
      <c r="M89" s="181"/>
      <c r="N89" s="181"/>
      <c r="O89" s="181"/>
      <c r="P89" s="181"/>
    </row>
    <row r="90" spans="1:16" ht="21.75" customHeight="1" x14ac:dyDescent="0.3">
      <c r="A90" s="175"/>
      <c r="B90" s="176"/>
      <c r="C90" s="176"/>
      <c r="D90" s="205">
        <v>3</v>
      </c>
      <c r="E90" s="206" t="s">
        <v>55</v>
      </c>
      <c r="F90" s="207"/>
      <c r="G90" s="208"/>
      <c r="H90" s="186"/>
      <c r="I90" s="187"/>
      <c r="J90" s="209">
        <f ca="1">IFERROR(__xludf.DUMMYFUNCTION("IMPORTRANGE(""https://docs.google.com/spreadsheets/d/11923uPwbBZFjjGgGUA6NLw09EwE0CqkOc4q9oUmW1yo/edit?usp=sharing"",""ตาก!J30"")"),0)</f>
        <v>0</v>
      </c>
      <c r="K90" s="163"/>
      <c r="L90" s="181"/>
      <c r="M90" s="181"/>
      <c r="N90" s="181"/>
      <c r="O90" s="181"/>
      <c r="P90" s="181"/>
    </row>
    <row r="91" spans="1:16" ht="21.75" customHeight="1" x14ac:dyDescent="0.3">
      <c r="A91" s="210" t="s">
        <v>56</v>
      </c>
      <c r="B91" s="211"/>
      <c r="C91" s="212"/>
      <c r="D91" s="211"/>
      <c r="E91" s="213"/>
      <c r="F91" s="213"/>
      <c r="G91" s="214"/>
      <c r="H91" s="215"/>
      <c r="I91" s="216"/>
      <c r="J91" s="216"/>
      <c r="K91" s="217"/>
      <c r="L91" s="218"/>
      <c r="M91" s="218"/>
      <c r="N91" s="218"/>
      <c r="O91" s="219"/>
      <c r="P91" s="219"/>
    </row>
    <row r="92" spans="1:16" ht="21.75" customHeight="1" x14ac:dyDescent="0.3">
      <c r="A92" s="137"/>
      <c r="B92" s="138" t="s">
        <v>57</v>
      </c>
      <c r="C92" s="138"/>
      <c r="D92" s="139"/>
      <c r="E92" s="138"/>
      <c r="F92" s="138"/>
      <c r="G92" s="220"/>
      <c r="H92" s="140" t="s">
        <v>37</v>
      </c>
      <c r="I92" s="141">
        <f ca="1">IFERROR(__xludf.DUMMYFUNCTION("IMPORTRANGE(""https://docs.google.com/spreadsheets/d/11923uPwbBZFjjGgGUA6NLw09EwE0CqkOc4q9oUmW1yo/edit?usp=sharing"",""ตาก!I32"")"),4)</f>
        <v>4</v>
      </c>
      <c r="J92" s="141">
        <f ca="1">IFERROR(__xludf.DUMMYFUNCTION("IMPORTRANGE(""https://docs.google.com/spreadsheets/d/11923uPwbBZFjjGgGUA6NLw09EwE0CqkOc4q9oUmW1yo/edit?usp=sharing"",""ตาก!J32"")"),4)</f>
        <v>4</v>
      </c>
      <c r="K92" s="142">
        <f t="shared" ref="K92:K93" ca="1" si="51">IF(I92&gt;0,J92*100/I92,0)</f>
        <v>100</v>
      </c>
      <c r="L92" s="221"/>
      <c r="M92" s="221"/>
      <c r="N92" s="222"/>
      <c r="O92" s="142"/>
      <c r="P92" s="142"/>
    </row>
    <row r="93" spans="1:16" ht="21.75" customHeight="1" x14ac:dyDescent="0.3">
      <c r="A93" s="137"/>
      <c r="B93" s="138"/>
      <c r="C93" s="138"/>
      <c r="D93" s="139" t="s">
        <v>58</v>
      </c>
      <c r="E93" s="138"/>
      <c r="F93" s="138"/>
      <c r="G93" s="220"/>
      <c r="H93" s="140" t="s">
        <v>59</v>
      </c>
      <c r="I93" s="141">
        <f ca="1">IFERROR(__xludf.DUMMYFUNCTION("IMPORTRANGE(""https://docs.google.com/spreadsheets/d/11923uPwbBZFjjGgGUA6NLw09EwE0CqkOc4q9oUmW1yo/edit?usp=sharing"",""ตาก!I33"")"),1)</f>
        <v>1</v>
      </c>
      <c r="J93" s="141">
        <f ca="1">IFERROR(__xludf.DUMMYFUNCTION("IMPORTRANGE(""https://docs.google.com/spreadsheets/d/11923uPwbBZFjjGgGUA6NLw09EwE0CqkOc4q9oUmW1yo/edit?usp=sharing"",""ตาก!J33"")"),0)</f>
        <v>0</v>
      </c>
      <c r="K93" s="142">
        <f t="shared" ca="1" si="51"/>
        <v>0</v>
      </c>
      <c r="L93" s="222"/>
      <c r="M93" s="222"/>
      <c r="N93" s="222"/>
      <c r="O93" s="142"/>
      <c r="P93" s="142"/>
    </row>
    <row r="94" spans="1:16" ht="21.75" customHeight="1" x14ac:dyDescent="0.45">
      <c r="A94" s="145"/>
      <c r="B94" s="146"/>
      <c r="C94" s="147" t="s">
        <v>16</v>
      </c>
      <c r="D94" s="537" t="s">
        <v>17</v>
      </c>
      <c r="E94" s="528"/>
      <c r="F94" s="528"/>
      <c r="G94" s="528"/>
      <c r="H94" s="148" t="s">
        <v>12</v>
      </c>
      <c r="I94" s="162"/>
      <c r="J94" s="162"/>
      <c r="K94" s="163"/>
      <c r="L94" s="151">
        <f t="shared" ref="L94:N94" ca="1" si="52">L95+L96</f>
        <v>214500</v>
      </c>
      <c r="M94" s="151">
        <f t="shared" ca="1" si="52"/>
        <v>161130</v>
      </c>
      <c r="N94" s="151">
        <f t="shared" ca="1" si="52"/>
        <v>120040</v>
      </c>
      <c r="O94" s="150">
        <f t="shared" ref="O94:O96" ca="1" si="53">IF(L94&gt;0,N94*100/L94,0)</f>
        <v>55.962703962703962</v>
      </c>
      <c r="P94" s="150">
        <f t="shared" ref="P94:P96" ca="1" si="54">IF(M94&gt;0,N94*100/M94,0)</f>
        <v>74.498851858747599</v>
      </c>
    </row>
    <row r="95" spans="1:16" ht="21.75" customHeight="1" x14ac:dyDescent="0.45">
      <c r="A95" s="152"/>
      <c r="B95" s="32"/>
      <c r="C95" s="32"/>
      <c r="D95" s="32"/>
      <c r="E95" s="32"/>
      <c r="F95" s="32"/>
      <c r="G95" s="33" t="s">
        <v>18</v>
      </c>
      <c r="H95" s="153" t="s">
        <v>12</v>
      </c>
      <c r="I95" s="162"/>
      <c r="J95" s="162"/>
      <c r="K95" s="163"/>
      <c r="L95" s="87">
        <f t="shared" ref="L95:N95" si="55">L97+L101</f>
        <v>0</v>
      </c>
      <c r="M95" s="87">
        <f t="shared" si="55"/>
        <v>0</v>
      </c>
      <c r="N95" s="87">
        <f t="shared" si="55"/>
        <v>0</v>
      </c>
      <c r="O95" s="155">
        <f t="shared" si="53"/>
        <v>0</v>
      </c>
      <c r="P95" s="155">
        <f t="shared" si="54"/>
        <v>0</v>
      </c>
    </row>
    <row r="96" spans="1:16" ht="21.75" customHeight="1" x14ac:dyDescent="0.45">
      <c r="A96" s="152"/>
      <c r="B96" s="32"/>
      <c r="C96" s="32"/>
      <c r="D96" s="32"/>
      <c r="E96" s="32"/>
      <c r="F96" s="32"/>
      <c r="G96" s="33" t="s">
        <v>19</v>
      </c>
      <c r="H96" s="153" t="s">
        <v>12</v>
      </c>
      <c r="I96" s="162"/>
      <c r="J96" s="162"/>
      <c r="K96" s="163"/>
      <c r="L96" s="87">
        <f t="shared" ref="L96:N96" ca="1" si="56">L98+L102</f>
        <v>214500</v>
      </c>
      <c r="M96" s="87">
        <f t="shared" ca="1" si="56"/>
        <v>161130</v>
      </c>
      <c r="N96" s="87">
        <f t="shared" ca="1" si="56"/>
        <v>120040</v>
      </c>
      <c r="O96" s="155">
        <f t="shared" ca="1" si="53"/>
        <v>55.962703962703962</v>
      </c>
      <c r="P96" s="155">
        <f t="shared" ca="1" si="54"/>
        <v>74.498851858747599</v>
      </c>
    </row>
    <row r="97" spans="1:16" ht="21.75" customHeight="1" x14ac:dyDescent="0.3">
      <c r="A97" s="156"/>
      <c r="B97" s="157"/>
      <c r="C97" s="157" t="s">
        <v>16</v>
      </c>
      <c r="D97" s="158" t="s">
        <v>38</v>
      </c>
      <c r="E97" s="159"/>
      <c r="F97" s="159"/>
      <c r="G97" s="160" t="s">
        <v>39</v>
      </c>
      <c r="H97" s="161" t="s">
        <v>12</v>
      </c>
      <c r="I97" s="162" t="s">
        <v>40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3">
      <c r="A98" s="156"/>
      <c r="B98" s="157"/>
      <c r="C98" s="157"/>
      <c r="D98" s="166"/>
      <c r="E98" s="159"/>
      <c r="F98" s="159" t="s">
        <v>40</v>
      </c>
      <c r="G98" s="160" t="s">
        <v>41</v>
      </c>
      <c r="H98" s="161" t="s">
        <v>12</v>
      </c>
      <c r="I98" s="162"/>
      <c r="J98" s="162"/>
      <c r="K98" s="163"/>
      <c r="L98" s="167">
        <f ca="1">L99+L100</f>
        <v>122100</v>
      </c>
      <c r="M98" s="167">
        <f ca="1">IFERROR(__xludf.DUMMYFUNCTION("IMPORTRANGE(""https://docs.google.com/spreadsheets/d/1Yj_ptqi66GCucihVvJfMjLAmec39IyEx_6qawtMGysU/edit?usp=sharing"",""สบก!AR23"")"),68730)</f>
        <v>68730</v>
      </c>
      <c r="N98" s="168">
        <f ca="1">IFERROR(__xludf.DUMMYFUNCTION("IMPORTRANGE(""https://docs.google.com/spreadsheets/d/1Yj_ptqi66GCucihVvJfMjLAmec39IyEx_6qawtMGysU/edit?usp=sharing"",""สบก!AS23"")"),27640)</f>
        <v>27640</v>
      </c>
      <c r="O98" s="168">
        <f ca="1">IF(L98&gt;0,N98*100/L98,0)</f>
        <v>22.637182637182637</v>
      </c>
      <c r="P98" s="168">
        <f ca="1">IF(M98&gt;0,N98*100/M98,0)</f>
        <v>40.215335370289537</v>
      </c>
    </row>
    <row r="99" spans="1:16" ht="21.75" customHeight="1" x14ac:dyDescent="0.3">
      <c r="A99" s="156"/>
      <c r="B99" s="157"/>
      <c r="C99" s="157"/>
      <c r="D99" s="166"/>
      <c r="E99" s="159"/>
      <c r="F99" s="159"/>
      <c r="G99" s="169" t="s">
        <v>42</v>
      </c>
      <c r="H99" s="161" t="s">
        <v>12</v>
      </c>
      <c r="I99" s="162"/>
      <c r="J99" s="162"/>
      <c r="K99" s="163"/>
      <c r="L99" s="167">
        <f ca="1">IFERROR(__xludf.DUMMYFUNCTION("IMPORTRANGE(""https://docs.google.com/spreadsheets/d/1Yj_ptqi66GCucihVvJfMjLAmec39IyEx_6qawtMGysU/edit?usp=sharing"",""สบก!AN23"")"),0)</f>
        <v>0</v>
      </c>
      <c r="M99" s="167"/>
      <c r="N99" s="167"/>
      <c r="O99" s="168"/>
      <c r="P99" s="168"/>
    </row>
    <row r="100" spans="1:16" ht="21.75" customHeight="1" x14ac:dyDescent="0.3">
      <c r="A100" s="156"/>
      <c r="B100" s="157"/>
      <c r="C100" s="157"/>
      <c r="D100" s="166"/>
      <c r="E100" s="159"/>
      <c r="F100" s="159"/>
      <c r="G100" s="169" t="s">
        <v>43</v>
      </c>
      <c r="H100" s="161" t="s">
        <v>12</v>
      </c>
      <c r="I100" s="162"/>
      <c r="J100" s="187"/>
      <c r="K100" s="223"/>
      <c r="L100" s="167">
        <f ca="1">IFERROR(__xludf.DUMMYFUNCTION("IMPORTRANGE(""https://docs.google.com/spreadsheets/d/1Yj_ptqi66GCucihVvJfMjLAmec39IyEx_6qawtMGysU/edit?usp=sharing"",""สบก!AO23"")"),122100)</f>
        <v>122100</v>
      </c>
      <c r="M100" s="167"/>
      <c r="N100" s="167"/>
      <c r="O100" s="168"/>
      <c r="P100" s="168"/>
    </row>
    <row r="101" spans="1:16" ht="21.75" customHeight="1" x14ac:dyDescent="0.45">
      <c r="A101" s="170"/>
      <c r="B101" s="80"/>
      <c r="C101" s="81" t="s">
        <v>16</v>
      </c>
      <c r="D101" s="534" t="s">
        <v>23</v>
      </c>
      <c r="E101" s="530"/>
      <c r="F101" s="88"/>
      <c r="G101" s="82" t="s">
        <v>18</v>
      </c>
      <c r="H101" s="171" t="s">
        <v>12</v>
      </c>
      <c r="I101" s="187"/>
      <c r="J101" s="187"/>
      <c r="K101" s="223"/>
      <c r="L101" s="41">
        <v>0</v>
      </c>
      <c r="M101" s="41"/>
      <c r="N101" s="41"/>
      <c r="O101" s="41"/>
      <c r="P101" s="41"/>
    </row>
    <row r="102" spans="1:16" ht="21.75" customHeight="1" x14ac:dyDescent="0.45">
      <c r="A102" s="172"/>
      <c r="B102" s="91"/>
      <c r="C102" s="91"/>
      <c r="D102" s="173"/>
      <c r="E102" s="92"/>
      <c r="F102" s="92"/>
      <c r="G102" s="93" t="s">
        <v>19</v>
      </c>
      <c r="H102" s="174" t="s">
        <v>12</v>
      </c>
      <c r="I102" s="187"/>
      <c r="J102" s="187"/>
      <c r="K102" s="223"/>
      <c r="L102" s="49">
        <f ca="1">IFERROR(__xludf.DUMMYFUNCTION("IMPORTRANGE(""https://docs.google.com/spreadsheets/d/1Yj_ptqi66GCucihVvJfMjLAmec39IyEx_6qawtMGysU/edit?usp=sharing"",""สบก!AP23"")"),92400)</f>
        <v>92400</v>
      </c>
      <c r="M102" s="49">
        <f ca="1">L102</f>
        <v>92400</v>
      </c>
      <c r="N102" s="49">
        <f ca="1">IFERROR(__xludf.DUMMYFUNCTION("IMPORTRANGE(""https://docs.google.com/spreadsheets/d/1Yj_ptqi66GCucihVvJfMjLAmec39IyEx_6qawtMGysU/edit?usp=sharing"",""สบก!AT23"")"),92400)</f>
        <v>92400</v>
      </c>
      <c r="O102" s="49">
        <f ca="1">IF(L102&gt;0,N102*100/L102,0)</f>
        <v>100</v>
      </c>
      <c r="P102" s="49">
        <f ca="1">IF(M102&gt;0,N102*100/M102,0)</f>
        <v>100</v>
      </c>
    </row>
    <row r="103" spans="1:16" ht="21.75" customHeight="1" x14ac:dyDescent="0.3">
      <c r="A103" s="175"/>
      <c r="B103" s="176"/>
      <c r="C103" s="157" t="s">
        <v>16</v>
      </c>
      <c r="D103" s="177" t="s">
        <v>44</v>
      </c>
      <c r="E103" s="178"/>
      <c r="F103" s="178"/>
      <c r="G103" s="179"/>
      <c r="H103" s="180"/>
      <c r="I103" s="162"/>
      <c r="J103" s="187"/>
      <c r="K103" s="223"/>
      <c r="L103" s="168"/>
      <c r="M103" s="168"/>
      <c r="N103" s="168"/>
      <c r="O103" s="181"/>
      <c r="P103" s="181"/>
    </row>
    <row r="104" spans="1:16" ht="21.75" customHeight="1" x14ac:dyDescent="0.3">
      <c r="A104" s="175"/>
      <c r="B104" s="176"/>
      <c r="C104" s="176"/>
      <c r="D104" s="182">
        <v>1</v>
      </c>
      <c r="E104" s="183" t="s">
        <v>45</v>
      </c>
      <c r="F104" s="184"/>
      <c r="G104" s="185"/>
      <c r="H104" s="186"/>
      <c r="I104" s="187"/>
      <c r="J104" s="187">
        <f ca="1">IFERROR(__xludf.DUMMYFUNCTION("IMPORTRANGE(""https://docs.google.com/spreadsheets/d/11923uPwbBZFjjGgGUA6NLw09EwE0CqkOc4q9oUmW1yo/edit?usp=sharing"",""ตาก!J39"")"),0)</f>
        <v>0</v>
      </c>
      <c r="K104" s="223"/>
      <c r="L104" s="168"/>
      <c r="M104" s="168"/>
      <c r="N104" s="168"/>
      <c r="O104" s="181"/>
      <c r="P104" s="181"/>
    </row>
    <row r="105" spans="1:16" ht="21.75" customHeight="1" x14ac:dyDescent="0.3">
      <c r="A105" s="175"/>
      <c r="B105" s="176"/>
      <c r="C105" s="176"/>
      <c r="D105" s="189">
        <v>2</v>
      </c>
      <c r="E105" s="190" t="s">
        <v>46</v>
      </c>
      <c r="F105" s="191"/>
      <c r="G105" s="192"/>
      <c r="H105" s="186"/>
      <c r="I105" s="187"/>
      <c r="J105" s="187">
        <f ca="1">IFERROR(__xludf.DUMMYFUNCTION("IMPORTRANGE(""https://docs.google.com/spreadsheets/d/11923uPwbBZFjjGgGUA6NLw09EwE0CqkOc4q9oUmW1yo/edit?usp=sharing"",""ตาก!J40"")"),1)</f>
        <v>1</v>
      </c>
      <c r="K105" s="223"/>
      <c r="L105" s="168" t="s">
        <v>40</v>
      </c>
      <c r="M105" s="168"/>
      <c r="N105" s="168" t="s">
        <v>40</v>
      </c>
      <c r="O105" s="181"/>
      <c r="P105" s="181"/>
    </row>
    <row r="106" spans="1:16" ht="21.75" customHeight="1" x14ac:dyDescent="0.3">
      <c r="A106" s="175"/>
      <c r="B106" s="176"/>
      <c r="C106" s="176"/>
      <c r="D106" s="193"/>
      <c r="E106" s="194" t="s">
        <v>47</v>
      </c>
      <c r="F106" s="195"/>
      <c r="G106" s="196"/>
      <c r="H106" s="186"/>
      <c r="I106" s="187"/>
      <c r="J106" s="187">
        <f ca="1">IFERROR(__xludf.DUMMYFUNCTION("IMPORTRANGE(""https://docs.google.com/spreadsheets/d/11923uPwbBZFjjGgGUA6NLw09EwE0CqkOc4q9oUmW1yo/edit?usp=sharing"",""ตาก!J41"")"),1)</f>
        <v>1</v>
      </c>
      <c r="K106" s="223"/>
      <c r="L106" s="168"/>
      <c r="M106" s="168"/>
      <c r="N106" s="168"/>
      <c r="O106" s="181"/>
      <c r="P106" s="181"/>
    </row>
    <row r="107" spans="1:16" ht="21.75" customHeight="1" x14ac:dyDescent="0.3">
      <c r="A107" s="175"/>
      <c r="B107" s="176"/>
      <c r="C107" s="176"/>
      <c r="D107" s="193"/>
      <c r="E107" s="194" t="s">
        <v>48</v>
      </c>
      <c r="F107" s="195"/>
      <c r="G107" s="196"/>
      <c r="H107" s="186"/>
      <c r="I107" s="187"/>
      <c r="J107" s="187">
        <f ca="1">IFERROR(__xludf.DUMMYFUNCTION("IMPORTRANGE(""https://docs.google.com/spreadsheets/d/11923uPwbBZFjjGgGUA6NLw09EwE0CqkOc4q9oUmW1yo/edit?usp=sharing"",""ตาก!J42"")"),1)</f>
        <v>1</v>
      </c>
      <c r="K107" s="223"/>
      <c r="L107" s="168"/>
      <c r="M107" s="168"/>
      <c r="N107" s="168"/>
      <c r="O107" s="181"/>
      <c r="P107" s="181"/>
    </row>
    <row r="108" spans="1:16" ht="21.75" customHeight="1" x14ac:dyDescent="0.3">
      <c r="A108" s="175"/>
      <c r="B108" s="176"/>
      <c r="C108" s="176"/>
      <c r="D108" s="193"/>
      <c r="E108" s="195"/>
      <c r="F108" s="195" t="s">
        <v>60</v>
      </c>
      <c r="G108" s="195"/>
      <c r="H108" s="180" t="s">
        <v>61</v>
      </c>
      <c r="I108" s="202">
        <f ca="1">IFERROR(__xludf.DUMMYFUNCTION("IMPORTRANGE(""https://docs.google.com/spreadsheets/d/11923uPwbBZFjjGgGUA6NLw09EwE0CqkOc4q9oUmW1yo/edit?usp=sharing"",""ตาก!I43"")"),1)</f>
        <v>1</v>
      </c>
      <c r="J108" s="203">
        <f ca="1">IFERROR(__xludf.DUMMYFUNCTION("IMPORTRANGE(""https://docs.google.com/spreadsheets/d/11923uPwbBZFjjGgGUA6NLw09EwE0CqkOc4q9oUmW1yo/edit?usp=sharing"",""ตาก!J43"")"),0)</f>
        <v>0</v>
      </c>
      <c r="K108" s="223">
        <f t="shared" ref="K108:K113" ca="1" si="57">IF(I108&gt;0,J108*100/I108,0)</f>
        <v>0</v>
      </c>
      <c r="L108" s="168"/>
      <c r="M108" s="168"/>
      <c r="N108" s="168"/>
      <c r="O108" s="181"/>
      <c r="P108" s="181"/>
    </row>
    <row r="109" spans="1:16" ht="21.75" customHeight="1" x14ac:dyDescent="0.3">
      <c r="A109" s="175"/>
      <c r="B109" s="176"/>
      <c r="C109" s="176"/>
      <c r="D109" s="193"/>
      <c r="E109" s="198"/>
      <c r="F109" s="194" t="s">
        <v>62</v>
      </c>
      <c r="G109" s="195"/>
      <c r="H109" s="180" t="s">
        <v>37</v>
      </c>
      <c r="I109" s="202">
        <f ca="1">IFERROR(__xludf.DUMMYFUNCTION("IMPORTRANGE(""https://docs.google.com/spreadsheets/d/11923uPwbBZFjjGgGUA6NLw09EwE0CqkOc4q9oUmW1yo/edit?usp=sharing"",""ตาก!I44"")"),4)</f>
        <v>4</v>
      </c>
      <c r="J109" s="203">
        <f ca="1">IFERROR(__xludf.DUMMYFUNCTION("IMPORTRANGE(""https://docs.google.com/spreadsheets/d/11923uPwbBZFjjGgGUA6NLw09EwE0CqkOc4q9oUmW1yo/edit?usp=sharing"",""ตาก!J44"")"),4)</f>
        <v>4</v>
      </c>
      <c r="K109" s="223">
        <f t="shared" ca="1" si="57"/>
        <v>100</v>
      </c>
      <c r="L109" s="168"/>
      <c r="M109" s="168"/>
      <c r="N109" s="168"/>
      <c r="O109" s="181"/>
      <c r="P109" s="181"/>
    </row>
    <row r="110" spans="1:16" ht="21.75" customHeight="1" x14ac:dyDescent="0.3">
      <c r="A110" s="175"/>
      <c r="B110" s="176"/>
      <c r="C110" s="176"/>
      <c r="D110" s="193"/>
      <c r="E110" s="198"/>
      <c r="F110" s="195"/>
      <c r="G110" s="224" t="s">
        <v>63</v>
      </c>
      <c r="H110" s="180" t="s">
        <v>37</v>
      </c>
      <c r="I110" s="202">
        <f ca="1">IFERROR(__xludf.DUMMYFUNCTION("IMPORTRANGE(""https://docs.google.com/spreadsheets/d/11923uPwbBZFjjGgGUA6NLw09EwE0CqkOc4q9oUmW1yo/edit?usp=sharing"",""ตาก!I45"")"),4)</f>
        <v>4</v>
      </c>
      <c r="J110" s="203">
        <f ca="1">IFERROR(__xludf.DUMMYFUNCTION("IMPORTRANGE(""https://docs.google.com/spreadsheets/d/11923uPwbBZFjjGgGUA6NLw09EwE0CqkOc4q9oUmW1yo/edit?usp=sharing"",""ตาก!J45"")"),4)</f>
        <v>4</v>
      </c>
      <c r="K110" s="223">
        <f t="shared" ca="1" si="57"/>
        <v>100</v>
      </c>
      <c r="L110" s="168"/>
      <c r="M110" s="168"/>
      <c r="N110" s="168"/>
      <c r="O110" s="181"/>
      <c r="P110" s="181"/>
    </row>
    <row r="111" spans="1:16" ht="21.75" customHeight="1" x14ac:dyDescent="0.3">
      <c r="A111" s="175"/>
      <c r="B111" s="176"/>
      <c r="C111" s="176"/>
      <c r="D111" s="193"/>
      <c r="E111" s="198"/>
      <c r="F111" s="195"/>
      <c r="G111" s="224" t="s">
        <v>64</v>
      </c>
      <c r="H111" s="180" t="s">
        <v>37</v>
      </c>
      <c r="I111" s="202">
        <f ca="1">IFERROR(__xludf.DUMMYFUNCTION("IMPORTRANGE(""https://docs.google.com/spreadsheets/d/11923uPwbBZFjjGgGUA6NLw09EwE0CqkOc4q9oUmW1yo/edit?usp=sharing"",""ตาก!I46"")"),4)</f>
        <v>4</v>
      </c>
      <c r="J111" s="203">
        <f ca="1">IFERROR(__xludf.DUMMYFUNCTION("IMPORTRANGE(""https://docs.google.com/spreadsheets/d/11923uPwbBZFjjGgGUA6NLw09EwE0CqkOc4q9oUmW1yo/edit?usp=sharing"",""ตาก!J46"")"),4)</f>
        <v>4</v>
      </c>
      <c r="K111" s="223">
        <f t="shared" ca="1" si="57"/>
        <v>100</v>
      </c>
      <c r="L111" s="168"/>
      <c r="M111" s="168"/>
      <c r="N111" s="168"/>
      <c r="O111" s="181"/>
      <c r="P111" s="181"/>
    </row>
    <row r="112" spans="1:16" ht="21.75" customHeight="1" x14ac:dyDescent="0.3">
      <c r="A112" s="175"/>
      <c r="B112" s="176"/>
      <c r="C112" s="176"/>
      <c r="D112" s="193"/>
      <c r="E112" s="198"/>
      <c r="F112" s="195"/>
      <c r="G112" s="225" t="s">
        <v>65</v>
      </c>
      <c r="H112" s="180" t="s">
        <v>37</v>
      </c>
      <c r="I112" s="202">
        <f ca="1">IFERROR(__xludf.DUMMYFUNCTION("IMPORTRANGE(""https://docs.google.com/spreadsheets/d/11923uPwbBZFjjGgGUA6NLw09EwE0CqkOc4q9oUmW1yo/edit?usp=sharing"",""ตาก!I47"")"),4)</f>
        <v>4</v>
      </c>
      <c r="J112" s="203">
        <f ca="1">IFERROR(__xludf.DUMMYFUNCTION("IMPORTRANGE(""https://docs.google.com/spreadsheets/d/11923uPwbBZFjjGgGUA6NLw09EwE0CqkOc4q9oUmW1yo/edit?usp=sharing"",""ตาก!J47"")"),0)</f>
        <v>0</v>
      </c>
      <c r="K112" s="223">
        <f t="shared" ca="1" si="57"/>
        <v>0</v>
      </c>
      <c r="L112" s="168"/>
      <c r="M112" s="168"/>
      <c r="N112" s="168"/>
      <c r="O112" s="181"/>
      <c r="P112" s="181"/>
    </row>
    <row r="113" spans="1:16" ht="21.75" customHeight="1" x14ac:dyDescent="0.3">
      <c r="A113" s="175"/>
      <c r="B113" s="176"/>
      <c r="C113" s="176"/>
      <c r="D113" s="193"/>
      <c r="E113" s="198"/>
      <c r="F113" s="195" t="s">
        <v>66</v>
      </c>
      <c r="G113" s="195"/>
      <c r="H113" s="180" t="s">
        <v>59</v>
      </c>
      <c r="I113" s="202">
        <f ca="1">IFERROR(__xludf.DUMMYFUNCTION("IMPORTRANGE(""https://docs.google.com/spreadsheets/d/11923uPwbBZFjjGgGUA6NLw09EwE0CqkOc4q9oUmW1yo/edit?usp=sharing"",""ตาก!I48"")"),1)</f>
        <v>1</v>
      </c>
      <c r="J113" s="203">
        <f ca="1">IFERROR(__xludf.DUMMYFUNCTION("IMPORTRANGE(""https://docs.google.com/spreadsheets/d/11923uPwbBZFjjGgGUA6NLw09EwE0CqkOc4q9oUmW1yo/edit?usp=sharing"",""ตาก!J48"")"),0)</f>
        <v>0</v>
      </c>
      <c r="K113" s="223">
        <f t="shared" ca="1" si="57"/>
        <v>0</v>
      </c>
      <c r="L113" s="168"/>
      <c r="M113" s="168"/>
      <c r="N113" s="168"/>
      <c r="O113" s="181"/>
      <c r="P113" s="181"/>
    </row>
    <row r="114" spans="1:16" ht="21.75" customHeight="1" x14ac:dyDescent="0.3">
      <c r="A114" s="175"/>
      <c r="B114" s="176"/>
      <c r="C114" s="176"/>
      <c r="D114" s="193"/>
      <c r="E114" s="194" t="s">
        <v>54</v>
      </c>
      <c r="F114" s="195"/>
      <c r="G114" s="196"/>
      <c r="H114" s="186"/>
      <c r="I114" s="187"/>
      <c r="J114" s="187">
        <f ca="1">IFERROR(__xludf.DUMMYFUNCTION("IMPORTRANGE(""https://docs.google.com/spreadsheets/d/11923uPwbBZFjjGgGUA6NLw09EwE0CqkOc4q9oUmW1yo/edit?usp=sharing"",""ตาก!J49"")"),0)</f>
        <v>0</v>
      </c>
      <c r="K114" s="223"/>
      <c r="L114" s="168"/>
      <c r="M114" s="168"/>
      <c r="N114" s="168"/>
      <c r="O114" s="181"/>
      <c r="P114" s="181"/>
    </row>
    <row r="115" spans="1:16" ht="21.75" customHeight="1" x14ac:dyDescent="0.3">
      <c r="A115" s="175"/>
      <c r="B115" s="176"/>
      <c r="C115" s="176"/>
      <c r="D115" s="205">
        <v>3</v>
      </c>
      <c r="E115" s="206" t="s">
        <v>55</v>
      </c>
      <c r="F115" s="207"/>
      <c r="G115" s="208"/>
      <c r="H115" s="186"/>
      <c r="I115" s="187"/>
      <c r="J115" s="226">
        <f ca="1">IFERROR(__xludf.DUMMYFUNCTION("IMPORTRANGE(""https://docs.google.com/spreadsheets/d/11923uPwbBZFjjGgGUA6NLw09EwE0CqkOc4q9oUmW1yo/edit?usp=sharing"",""ตาก!J50"")"),0)</f>
        <v>0</v>
      </c>
      <c r="K115" s="223"/>
      <c r="L115" s="168"/>
      <c r="M115" s="168"/>
      <c r="N115" s="168"/>
      <c r="O115" s="181"/>
      <c r="P115" s="181"/>
    </row>
    <row r="116" spans="1:16" ht="21.75" customHeight="1" x14ac:dyDescent="0.3">
      <c r="A116" s="210" t="s">
        <v>67</v>
      </c>
      <c r="B116" s="227"/>
      <c r="C116" s="228"/>
      <c r="D116" s="227"/>
      <c r="E116" s="229"/>
      <c r="F116" s="229"/>
      <c r="G116" s="230"/>
      <c r="H116" s="215"/>
      <c r="I116" s="216"/>
      <c r="J116" s="216"/>
      <c r="K116" s="217"/>
      <c r="L116" s="218"/>
      <c r="M116" s="218"/>
      <c r="N116" s="218"/>
      <c r="O116" s="219"/>
      <c r="P116" s="219"/>
    </row>
    <row r="117" spans="1:16" ht="21.75" customHeight="1" x14ac:dyDescent="0.3">
      <c r="A117" s="137"/>
      <c r="B117" s="138" t="s">
        <v>68</v>
      </c>
      <c r="C117" s="231"/>
      <c r="D117" s="139"/>
      <c r="E117" s="138"/>
      <c r="F117" s="138"/>
      <c r="G117" s="220"/>
      <c r="H117" s="140" t="s">
        <v>37</v>
      </c>
      <c r="I117" s="141">
        <f ca="1">IFERROR(__xludf.DUMMYFUNCTION("IMPORTRANGE(""https://docs.google.com/spreadsheets/d/11923uPwbBZFjjGgGUA6NLw09EwE0CqkOc4q9oUmW1yo/edit?usp=sharing"",""ตาก!I52"")"),20)</f>
        <v>20</v>
      </c>
      <c r="J117" s="141">
        <f ca="1">IFERROR(__xludf.DUMMYFUNCTION("IMPORTRANGE(""https://docs.google.com/spreadsheets/d/11923uPwbBZFjjGgGUA6NLw09EwE0CqkOc4q9oUmW1yo/edit?usp=sharing"",""ตาก!J52"")"),20)</f>
        <v>20</v>
      </c>
      <c r="K117" s="142">
        <f ca="1">IF(I117&gt;0,J117*100/I117,0)</f>
        <v>100</v>
      </c>
      <c r="L117" s="143"/>
      <c r="M117" s="143"/>
      <c r="N117" s="144"/>
      <c r="O117" s="142"/>
      <c r="P117" s="142"/>
    </row>
    <row r="118" spans="1:16" ht="21.75" customHeight="1" x14ac:dyDescent="0.45">
      <c r="A118" s="145"/>
      <c r="B118" s="146"/>
      <c r="C118" s="147" t="s">
        <v>16</v>
      </c>
      <c r="D118" s="537" t="s">
        <v>17</v>
      </c>
      <c r="E118" s="528"/>
      <c r="F118" s="528"/>
      <c r="G118" s="528"/>
      <c r="H118" s="148" t="s">
        <v>12</v>
      </c>
      <c r="I118" s="162"/>
      <c r="J118" s="162"/>
      <c r="K118" s="163"/>
      <c r="L118" s="151">
        <f t="shared" ref="L118:N118" ca="1" si="58">L119+L120</f>
        <v>82440</v>
      </c>
      <c r="M118" s="151">
        <f t="shared" ca="1" si="58"/>
        <v>66440</v>
      </c>
      <c r="N118" s="151">
        <f t="shared" ca="1" si="58"/>
        <v>42730</v>
      </c>
      <c r="O118" s="150">
        <f t="shared" ref="O118:O120" ca="1" si="59">IF(L118&gt;0,N118*100/L118,0)</f>
        <v>51.831635128578363</v>
      </c>
      <c r="P118" s="150">
        <f t="shared" ref="P118:P120" ca="1" si="60">IF(M118&gt;0,N118*100/M118,0)</f>
        <v>64.31366646598434</v>
      </c>
    </row>
    <row r="119" spans="1:16" ht="21.75" customHeight="1" x14ac:dyDescent="0.45">
      <c r="A119" s="152"/>
      <c r="B119" s="32"/>
      <c r="C119" s="32"/>
      <c r="D119" s="32"/>
      <c r="E119" s="32"/>
      <c r="F119" s="32"/>
      <c r="G119" s="33" t="s">
        <v>18</v>
      </c>
      <c r="H119" s="153" t="s">
        <v>12</v>
      </c>
      <c r="I119" s="162"/>
      <c r="J119" s="162"/>
      <c r="K119" s="163"/>
      <c r="L119" s="87">
        <f t="shared" ref="L119:N119" si="61">L121+L125</f>
        <v>0</v>
      </c>
      <c r="M119" s="87">
        <f t="shared" si="61"/>
        <v>0</v>
      </c>
      <c r="N119" s="87">
        <f t="shared" si="61"/>
        <v>0</v>
      </c>
      <c r="O119" s="155">
        <f t="shared" si="59"/>
        <v>0</v>
      </c>
      <c r="P119" s="155">
        <f t="shared" si="60"/>
        <v>0</v>
      </c>
    </row>
    <row r="120" spans="1:16" ht="21.75" customHeight="1" x14ac:dyDescent="0.45">
      <c r="A120" s="152"/>
      <c r="B120" s="32"/>
      <c r="C120" s="32"/>
      <c r="D120" s="32"/>
      <c r="E120" s="32"/>
      <c r="F120" s="32"/>
      <c r="G120" s="33" t="s">
        <v>19</v>
      </c>
      <c r="H120" s="153" t="s">
        <v>12</v>
      </c>
      <c r="I120" s="162"/>
      <c r="J120" s="162"/>
      <c r="K120" s="163"/>
      <c r="L120" s="87">
        <f t="shared" ref="L120:N120" ca="1" si="62">L122+L126</f>
        <v>82440</v>
      </c>
      <c r="M120" s="87">
        <f t="shared" ca="1" si="62"/>
        <v>66440</v>
      </c>
      <c r="N120" s="87">
        <f t="shared" ca="1" si="62"/>
        <v>42730</v>
      </c>
      <c r="O120" s="155">
        <f t="shared" ca="1" si="59"/>
        <v>51.831635128578363</v>
      </c>
      <c r="P120" s="155">
        <f t="shared" ca="1" si="60"/>
        <v>64.31366646598434</v>
      </c>
    </row>
    <row r="121" spans="1:16" ht="21.75" customHeight="1" x14ac:dyDescent="0.3">
      <c r="A121" s="156"/>
      <c r="B121" s="157"/>
      <c r="C121" s="157" t="s">
        <v>16</v>
      </c>
      <c r="D121" s="158" t="s">
        <v>38</v>
      </c>
      <c r="E121" s="159"/>
      <c r="F121" s="159"/>
      <c r="G121" s="160" t="s">
        <v>39</v>
      </c>
      <c r="H121" s="161" t="s">
        <v>12</v>
      </c>
      <c r="I121" s="162" t="s">
        <v>40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3">
      <c r="A122" s="156"/>
      <c r="B122" s="157"/>
      <c r="C122" s="157"/>
      <c r="D122" s="166"/>
      <c r="E122" s="159"/>
      <c r="F122" s="159" t="s">
        <v>40</v>
      </c>
      <c r="G122" s="160" t="s">
        <v>41</v>
      </c>
      <c r="H122" s="161" t="s">
        <v>12</v>
      </c>
      <c r="I122" s="162"/>
      <c r="J122" s="162"/>
      <c r="K122" s="163"/>
      <c r="L122" s="167">
        <f ca="1">L123+L124</f>
        <v>82440</v>
      </c>
      <c r="M122" s="167">
        <f ca="1">IFERROR(__xludf.DUMMYFUNCTION("IMPORTRANGE(""https://docs.google.com/spreadsheets/d/1Yj_ptqi66GCucihVvJfMjLAmec39IyEx_6qawtMGysU/edit?usp=sharing"",""สบก!BA23"")"),66440)</f>
        <v>66440</v>
      </c>
      <c r="N122" s="168">
        <f ca="1">IFERROR(__xludf.DUMMYFUNCTION("IMPORTRANGE(""https://docs.google.com/spreadsheets/d/1Yj_ptqi66GCucihVvJfMjLAmec39IyEx_6qawtMGysU/edit?usp=sharing"",""สบก!BB23"")"),42730)</f>
        <v>42730</v>
      </c>
      <c r="O122" s="168">
        <f ca="1">IF(L122&gt;0,N122*100/L122,0)</f>
        <v>51.831635128578363</v>
      </c>
      <c r="P122" s="168">
        <f ca="1">IF(M122&gt;0,N122*100/M122,0)</f>
        <v>64.31366646598434</v>
      </c>
    </row>
    <row r="123" spans="1:16" ht="21.75" customHeight="1" x14ac:dyDescent="0.3">
      <c r="A123" s="156"/>
      <c r="B123" s="157"/>
      <c r="C123" s="157"/>
      <c r="D123" s="166"/>
      <c r="E123" s="159"/>
      <c r="F123" s="159"/>
      <c r="G123" s="169" t="s">
        <v>42</v>
      </c>
      <c r="H123" s="161" t="s">
        <v>12</v>
      </c>
      <c r="I123" s="162"/>
      <c r="J123" s="162"/>
      <c r="K123" s="163"/>
      <c r="L123" s="167">
        <f ca="1">IFERROR(__xludf.DUMMYFUNCTION("IMPORTRANGE(""https://docs.google.com/spreadsheets/d/1Yj_ptqi66GCucihVvJfMjLAmec39IyEx_6qawtMGysU/edit?usp=sharing"",""สบก!AW23"")"),0)</f>
        <v>0</v>
      </c>
      <c r="M123" s="167"/>
      <c r="N123" s="167"/>
      <c r="O123" s="168"/>
      <c r="P123" s="168"/>
    </row>
    <row r="124" spans="1:16" ht="21.75" customHeight="1" x14ac:dyDescent="0.3">
      <c r="A124" s="156"/>
      <c r="B124" s="157"/>
      <c r="C124" s="157"/>
      <c r="D124" s="166"/>
      <c r="E124" s="159"/>
      <c r="F124" s="159"/>
      <c r="G124" s="169" t="s">
        <v>43</v>
      </c>
      <c r="H124" s="161" t="s">
        <v>12</v>
      </c>
      <c r="I124" s="162"/>
      <c r="J124" s="187"/>
      <c r="K124" s="223"/>
      <c r="L124" s="167">
        <f ca="1">IFERROR(__xludf.DUMMYFUNCTION("IMPORTRANGE(""https://docs.google.com/spreadsheets/d/1Yj_ptqi66GCucihVvJfMjLAmec39IyEx_6qawtMGysU/edit?usp=sharing"",""สบก!AX23"")"),82440)</f>
        <v>82440</v>
      </c>
      <c r="M124" s="167"/>
      <c r="N124" s="167"/>
      <c r="O124" s="168"/>
      <c r="P124" s="168"/>
    </row>
    <row r="125" spans="1:16" ht="21.75" customHeight="1" x14ac:dyDescent="0.45">
      <c r="A125" s="170"/>
      <c r="B125" s="80"/>
      <c r="C125" s="81" t="s">
        <v>16</v>
      </c>
      <c r="D125" s="534" t="s">
        <v>23</v>
      </c>
      <c r="E125" s="530"/>
      <c r="F125" s="88"/>
      <c r="G125" s="82" t="s">
        <v>18</v>
      </c>
      <c r="H125" s="171" t="s">
        <v>12</v>
      </c>
      <c r="I125" s="187"/>
      <c r="J125" s="187"/>
      <c r="K125" s="223"/>
      <c r="L125" s="41">
        <v>0</v>
      </c>
      <c r="M125" s="41"/>
      <c r="N125" s="41"/>
      <c r="O125" s="41"/>
      <c r="P125" s="41"/>
    </row>
    <row r="126" spans="1:16" ht="21.75" customHeight="1" x14ac:dyDescent="0.45">
      <c r="A126" s="172"/>
      <c r="B126" s="91"/>
      <c r="C126" s="91"/>
      <c r="D126" s="173"/>
      <c r="E126" s="92"/>
      <c r="F126" s="92"/>
      <c r="G126" s="93" t="s">
        <v>19</v>
      </c>
      <c r="H126" s="174" t="s">
        <v>12</v>
      </c>
      <c r="I126" s="187"/>
      <c r="J126" s="187"/>
      <c r="K126" s="223"/>
      <c r="L126" s="49">
        <f ca="1">IFERROR(__xludf.DUMMYFUNCTION("IMPORTRANGE(""https://docs.google.com/spreadsheets/d/1Yj_ptqi66GCucihVvJfMjLAmec39IyEx_6qawtMGysU/edit?usp=sharing"",""สบก!AY23"")"),0)</f>
        <v>0</v>
      </c>
      <c r="M126" s="49"/>
      <c r="N126" s="49">
        <f ca="1">IFERROR(__xludf.DUMMYFUNCTION("IMPORTRANGE(""https://docs.google.com/spreadsheets/d/1Yj_ptqi66GCucihVvJfMjLAmec39IyEx_6qawtMGysU/edit?usp=sharing"",""สบก!BC23"")"),0)</f>
        <v>0</v>
      </c>
      <c r="O126" s="49">
        <f ca="1">IF(L126&gt;0,N126*100/L126,0)</f>
        <v>0</v>
      </c>
      <c r="P126" s="49"/>
    </row>
    <row r="127" spans="1:16" ht="21.75" customHeight="1" x14ac:dyDescent="0.3">
      <c r="A127" s="175"/>
      <c r="B127" s="176"/>
      <c r="C127" s="157" t="s">
        <v>16</v>
      </c>
      <c r="D127" s="232" t="s">
        <v>245</v>
      </c>
      <c r="E127" s="178"/>
      <c r="F127" s="178"/>
      <c r="G127" s="179"/>
      <c r="H127" s="180"/>
      <c r="I127" s="162"/>
      <c r="J127" s="187"/>
      <c r="K127" s="223"/>
      <c r="L127" s="168"/>
      <c r="M127" s="168"/>
      <c r="N127" s="168"/>
      <c r="O127" s="181"/>
      <c r="P127" s="181"/>
    </row>
    <row r="128" spans="1:16" ht="21.75" customHeight="1" x14ac:dyDescent="0.3">
      <c r="A128" s="175"/>
      <c r="B128" s="176"/>
      <c r="C128" s="176"/>
      <c r="D128" s="182">
        <v>1</v>
      </c>
      <c r="E128" s="183" t="s">
        <v>45</v>
      </c>
      <c r="F128" s="184"/>
      <c r="G128" s="185"/>
      <c r="H128" s="186"/>
      <c r="I128" s="187"/>
      <c r="J128" s="203">
        <f ca="1">IFERROR(__xludf.DUMMYFUNCTION("IMPORTRANGE(""https://docs.google.com/spreadsheets/d/11923uPwbBZFjjGgGUA6NLw09EwE0CqkOc4q9oUmW1yo/edit?usp=sharing"",""ตาก!J58"")"),0)</f>
        <v>0</v>
      </c>
      <c r="K128" s="223"/>
      <c r="L128" s="168"/>
      <c r="M128" s="168"/>
      <c r="N128" s="168"/>
      <c r="O128" s="181"/>
      <c r="P128" s="181"/>
    </row>
    <row r="129" spans="1:16" ht="21.75" customHeight="1" x14ac:dyDescent="0.3">
      <c r="A129" s="175"/>
      <c r="B129" s="176"/>
      <c r="C129" s="176"/>
      <c r="D129" s="189">
        <v>2</v>
      </c>
      <c r="E129" s="190" t="s">
        <v>46</v>
      </c>
      <c r="F129" s="191"/>
      <c r="G129" s="192"/>
      <c r="H129" s="186"/>
      <c r="I129" s="187"/>
      <c r="J129" s="187">
        <f ca="1">IFERROR(__xludf.DUMMYFUNCTION("IMPORTRANGE(""https://docs.google.com/spreadsheets/d/11923uPwbBZFjjGgGUA6NLw09EwE0CqkOc4q9oUmW1yo/edit?usp=sharing"",""ตาก!J59"")"),1)</f>
        <v>1</v>
      </c>
      <c r="K129" s="223"/>
      <c r="L129" s="168" t="s">
        <v>40</v>
      </c>
      <c r="M129" s="168"/>
      <c r="N129" s="168" t="s">
        <v>40</v>
      </c>
      <c r="O129" s="181"/>
      <c r="P129" s="181"/>
    </row>
    <row r="130" spans="1:16" ht="21.75" customHeight="1" x14ac:dyDescent="0.3">
      <c r="A130" s="175"/>
      <c r="B130" s="176"/>
      <c r="C130" s="176"/>
      <c r="D130" s="193"/>
      <c r="E130" s="194" t="s">
        <v>47</v>
      </c>
      <c r="F130" s="195"/>
      <c r="G130" s="196"/>
      <c r="H130" s="186"/>
      <c r="I130" s="187"/>
      <c r="J130" s="187">
        <f ca="1">IFERROR(__xludf.DUMMYFUNCTION("IMPORTRANGE(""https://docs.google.com/spreadsheets/d/11923uPwbBZFjjGgGUA6NLw09EwE0CqkOc4q9oUmW1yo/edit?usp=sharing"",""ตาก!J60"")"),1)</f>
        <v>1</v>
      </c>
      <c r="K130" s="223"/>
      <c r="L130" s="168"/>
      <c r="M130" s="168"/>
      <c r="N130" s="168"/>
      <c r="O130" s="181"/>
      <c r="P130" s="181"/>
    </row>
    <row r="131" spans="1:16" ht="21.75" customHeight="1" x14ac:dyDescent="0.3">
      <c r="A131" s="175"/>
      <c r="B131" s="176"/>
      <c r="C131" s="176"/>
      <c r="D131" s="193"/>
      <c r="E131" s="194" t="s">
        <v>48</v>
      </c>
      <c r="F131" s="195"/>
      <c r="G131" s="196"/>
      <c r="H131" s="186"/>
      <c r="I131" s="187"/>
      <c r="J131" s="187">
        <f ca="1">IFERROR(__xludf.DUMMYFUNCTION("IMPORTRANGE(""https://docs.google.com/spreadsheets/d/11923uPwbBZFjjGgGUA6NLw09EwE0CqkOc4q9oUmW1yo/edit?usp=sharing"",""ตาก!J61"")"),1)</f>
        <v>1</v>
      </c>
      <c r="K131" s="223"/>
      <c r="L131" s="168"/>
      <c r="M131" s="168"/>
      <c r="N131" s="168"/>
      <c r="O131" s="181"/>
      <c r="P131" s="181"/>
    </row>
    <row r="132" spans="1:16" ht="21.75" customHeight="1" x14ac:dyDescent="0.3">
      <c r="A132" s="175"/>
      <c r="B132" s="176"/>
      <c r="C132" s="176"/>
      <c r="D132" s="193"/>
      <c r="E132" s="198"/>
      <c r="F132" s="194" t="s">
        <v>70</v>
      </c>
      <c r="G132" s="196"/>
      <c r="H132" s="180" t="s">
        <v>37</v>
      </c>
      <c r="I132" s="187">
        <f ca="1">IFERROR(__xludf.DUMMYFUNCTION("IMPORTRANGE(""https://docs.google.com/spreadsheets/d/11923uPwbBZFjjGgGUA6NLw09EwE0CqkOc4q9oUmW1yo/edit?usp=sharing"",""ตาก!I62"")"),20)</f>
        <v>20</v>
      </c>
      <c r="J132" s="203">
        <f ca="1">IFERROR(__xludf.DUMMYFUNCTION("IMPORTRANGE(""https://docs.google.com/spreadsheets/d/11923uPwbBZFjjGgGUA6NLw09EwE0CqkOc4q9oUmW1yo/edit?usp=sharing"",""ตาก!J62"")"),20)</f>
        <v>20</v>
      </c>
      <c r="K132" s="223">
        <f t="shared" ref="K132:K133" ca="1" si="63">IF(I132&gt;0,J132*100/I132,0)</f>
        <v>100</v>
      </c>
      <c r="L132" s="168"/>
      <c r="M132" s="168"/>
      <c r="N132" s="168"/>
      <c r="O132" s="181"/>
      <c r="P132" s="181"/>
    </row>
    <row r="133" spans="1:16" ht="21.75" customHeight="1" x14ac:dyDescent="0.3">
      <c r="A133" s="175"/>
      <c r="B133" s="176"/>
      <c r="C133" s="176"/>
      <c r="D133" s="193"/>
      <c r="E133" s="198"/>
      <c r="F133" s="194" t="s">
        <v>71</v>
      </c>
      <c r="G133" s="196"/>
      <c r="H133" s="180" t="s">
        <v>37</v>
      </c>
      <c r="I133" s="187">
        <f ca="1">IFERROR(__xludf.DUMMYFUNCTION("IMPORTRANGE(""https://docs.google.com/spreadsheets/d/11923uPwbBZFjjGgGUA6NLw09EwE0CqkOc4q9oUmW1yo/edit?usp=sharing"",""ตาก!I63"")"),20)</f>
        <v>20</v>
      </c>
      <c r="J133" s="203">
        <f ca="1">IFERROR(__xludf.DUMMYFUNCTION("IMPORTRANGE(""https://docs.google.com/spreadsheets/d/11923uPwbBZFjjGgGUA6NLw09EwE0CqkOc4q9oUmW1yo/edit?usp=sharing"",""ตาก!J63"")"),0)</f>
        <v>0</v>
      </c>
      <c r="K133" s="223">
        <f t="shared" ca="1" si="63"/>
        <v>0</v>
      </c>
      <c r="L133" s="168"/>
      <c r="M133" s="168"/>
      <c r="N133" s="168"/>
      <c r="O133" s="181"/>
      <c r="P133" s="181"/>
    </row>
    <row r="134" spans="1:16" ht="21.75" customHeight="1" x14ac:dyDescent="0.3">
      <c r="A134" s="175"/>
      <c r="B134" s="176"/>
      <c r="C134" s="176"/>
      <c r="D134" s="193"/>
      <c r="E134" s="194" t="s">
        <v>54</v>
      </c>
      <c r="F134" s="195"/>
      <c r="G134" s="196"/>
      <c r="H134" s="186"/>
      <c r="I134" s="187"/>
      <c r="J134" s="187">
        <f ca="1">IFERROR(__xludf.DUMMYFUNCTION("IMPORTRANGE(""https://docs.google.com/spreadsheets/d/11923uPwbBZFjjGgGUA6NLw09EwE0CqkOc4q9oUmW1yo/edit?usp=sharing"",""ตาก!J64"")"),0)</f>
        <v>0</v>
      </c>
      <c r="K134" s="223"/>
      <c r="L134" s="168"/>
      <c r="M134" s="168"/>
      <c r="N134" s="168"/>
      <c r="O134" s="181"/>
      <c r="P134" s="181"/>
    </row>
    <row r="135" spans="1:16" ht="21.75" customHeight="1" x14ac:dyDescent="0.3">
      <c r="A135" s="233"/>
      <c r="B135" s="234"/>
      <c r="C135" s="234"/>
      <c r="D135" s="235">
        <v>3</v>
      </c>
      <c r="E135" s="236" t="s">
        <v>55</v>
      </c>
      <c r="F135" s="237"/>
      <c r="G135" s="238"/>
      <c r="H135" s="239"/>
      <c r="I135" s="240"/>
      <c r="J135" s="241">
        <f ca="1">IFERROR(__xludf.DUMMYFUNCTION("IMPORTRANGE(""https://docs.google.com/spreadsheets/d/11923uPwbBZFjjGgGUA6NLw09EwE0CqkOc4q9oUmW1yo/edit?usp=sharing"",""ตาก!J65"")"),0)</f>
        <v>0</v>
      </c>
      <c r="K135" s="242"/>
      <c r="L135" s="243"/>
      <c r="M135" s="243"/>
      <c r="N135" s="243"/>
      <c r="O135" s="244"/>
      <c r="P135" s="244"/>
    </row>
    <row r="136" spans="1:16" ht="21.75" customHeight="1" x14ac:dyDescent="0.3">
      <c r="A136" s="245" t="s">
        <v>72</v>
      </c>
      <c r="B136" s="246"/>
      <c r="C136" s="246"/>
      <c r="D136" s="246"/>
      <c r="E136" s="247"/>
      <c r="F136" s="247"/>
      <c r="G136" s="248"/>
      <c r="H136" s="249"/>
      <c r="I136" s="250"/>
      <c r="J136" s="250"/>
      <c r="K136" s="251"/>
      <c r="L136" s="252"/>
      <c r="M136" s="252"/>
      <c r="N136" s="252"/>
      <c r="O136" s="252"/>
      <c r="P136" s="252"/>
    </row>
    <row r="137" spans="1:16" ht="21.75" customHeight="1" x14ac:dyDescent="0.3">
      <c r="A137" s="253" t="s">
        <v>73</v>
      </c>
      <c r="B137" s="254"/>
      <c r="C137" s="254"/>
      <c r="D137" s="255"/>
      <c r="E137" s="255"/>
      <c r="F137" s="255"/>
      <c r="G137" s="256"/>
      <c r="H137" s="257"/>
      <c r="I137" s="258"/>
      <c r="J137" s="258"/>
      <c r="K137" s="259"/>
      <c r="L137" s="259"/>
      <c r="M137" s="259"/>
      <c r="N137" s="259"/>
      <c r="O137" s="260"/>
      <c r="P137" s="260"/>
    </row>
    <row r="138" spans="1:16" ht="21.75" customHeight="1" x14ac:dyDescent="0.3">
      <c r="A138" s="261"/>
      <c r="B138" s="262" t="s">
        <v>74</v>
      </c>
      <c r="C138" s="263"/>
      <c r="D138" s="262"/>
      <c r="E138" s="262"/>
      <c r="F138" s="262"/>
      <c r="G138" s="264"/>
      <c r="H138" s="265" t="s">
        <v>37</v>
      </c>
      <c r="I138" s="266">
        <f ca="1">IFERROR(__xludf.DUMMYFUNCTION("IMPORTRANGE(""https://docs.google.com/spreadsheets/d/11923uPwbBZFjjGgGUA6NLw09EwE0CqkOc4q9oUmW1yo/edit?usp=sharing"",""ตาก!I68"")"),0)</f>
        <v>0</v>
      </c>
      <c r="J138" s="266">
        <f ca="1">IFERROR(__xludf.DUMMYFUNCTION("IMPORTRANGE(""https://docs.google.com/spreadsheets/d/11923uPwbBZFjjGgGUA6NLw09EwE0CqkOc4q9oUmW1yo/edit?usp=sharing"",""ตาก!J68"")"),0)</f>
        <v>0</v>
      </c>
      <c r="K138" s="267">
        <f ca="1">IF(I138&gt;0,J138*100/I138,0)</f>
        <v>0</v>
      </c>
      <c r="L138" s="268"/>
      <c r="M138" s="268"/>
      <c r="N138" s="268"/>
      <c r="O138" s="267"/>
      <c r="P138" s="267"/>
    </row>
    <row r="139" spans="1:16" ht="21.75" customHeight="1" x14ac:dyDescent="0.3">
      <c r="A139" s="261"/>
      <c r="B139" s="262" t="s">
        <v>75</v>
      </c>
      <c r="C139" s="263"/>
      <c r="D139" s="262"/>
      <c r="E139" s="262"/>
      <c r="F139" s="262"/>
      <c r="G139" s="264"/>
      <c r="H139" s="265"/>
      <c r="I139" s="266"/>
      <c r="J139" s="266"/>
      <c r="K139" s="267"/>
      <c r="L139" s="268"/>
      <c r="M139" s="268"/>
      <c r="N139" s="268"/>
      <c r="O139" s="267"/>
      <c r="P139" s="267"/>
    </row>
    <row r="140" spans="1:16" ht="21.75" customHeight="1" x14ac:dyDescent="0.45">
      <c r="A140" s="145"/>
      <c r="B140" s="146"/>
      <c r="C140" s="147" t="s">
        <v>16</v>
      </c>
      <c r="D140" s="537" t="s">
        <v>17</v>
      </c>
      <c r="E140" s="528"/>
      <c r="F140" s="528"/>
      <c r="G140" s="528"/>
      <c r="H140" s="148" t="s">
        <v>12</v>
      </c>
      <c r="I140" s="162"/>
      <c r="J140" s="162"/>
      <c r="K140" s="163"/>
      <c r="L140" s="151">
        <f t="shared" ref="L140:N140" ca="1" si="64">L141+L142</f>
        <v>69000</v>
      </c>
      <c r="M140" s="151">
        <f t="shared" ca="1" si="64"/>
        <v>53750</v>
      </c>
      <c r="N140" s="151">
        <f t="shared" ca="1" si="64"/>
        <v>17905</v>
      </c>
      <c r="O140" s="150">
        <f t="shared" ref="O140:O142" ca="1" si="65">IF(L140&gt;0,N140*100/L140,0)</f>
        <v>25.94927536231884</v>
      </c>
      <c r="P140" s="150">
        <f t="shared" ref="P140:P142" ca="1" si="66">IF(M140&gt;0,N140*100/M140,0)</f>
        <v>33.311627906976746</v>
      </c>
    </row>
    <row r="141" spans="1:16" ht="21.75" customHeight="1" x14ac:dyDescent="0.45">
      <c r="A141" s="152"/>
      <c r="B141" s="32"/>
      <c r="C141" s="32"/>
      <c r="D141" s="32"/>
      <c r="E141" s="32"/>
      <c r="F141" s="32"/>
      <c r="G141" s="33" t="s">
        <v>18</v>
      </c>
      <c r="H141" s="153" t="s">
        <v>12</v>
      </c>
      <c r="I141" s="162"/>
      <c r="J141" s="162"/>
      <c r="K141" s="163"/>
      <c r="L141" s="87">
        <f t="shared" ref="L141:N141" si="67">L143+L147</f>
        <v>0</v>
      </c>
      <c r="M141" s="87">
        <f t="shared" si="67"/>
        <v>0</v>
      </c>
      <c r="N141" s="87">
        <f t="shared" si="67"/>
        <v>0</v>
      </c>
      <c r="O141" s="155">
        <f t="shared" si="65"/>
        <v>0</v>
      </c>
      <c r="P141" s="155">
        <f t="shared" si="66"/>
        <v>0</v>
      </c>
    </row>
    <row r="142" spans="1:16" ht="21.75" customHeight="1" x14ac:dyDescent="0.45">
      <c r="A142" s="152"/>
      <c r="B142" s="32"/>
      <c r="C142" s="32"/>
      <c r="D142" s="32"/>
      <c r="E142" s="32"/>
      <c r="F142" s="32"/>
      <c r="G142" s="33" t="s">
        <v>19</v>
      </c>
      <c r="H142" s="153" t="s">
        <v>12</v>
      </c>
      <c r="I142" s="162"/>
      <c r="J142" s="162"/>
      <c r="K142" s="163"/>
      <c r="L142" s="87">
        <f t="shared" ref="L142:N142" ca="1" si="68">L144+L148</f>
        <v>69000</v>
      </c>
      <c r="M142" s="87">
        <f t="shared" ca="1" si="68"/>
        <v>53750</v>
      </c>
      <c r="N142" s="87">
        <f t="shared" ca="1" si="68"/>
        <v>17905</v>
      </c>
      <c r="O142" s="155">
        <f t="shared" ca="1" si="65"/>
        <v>25.94927536231884</v>
      </c>
      <c r="P142" s="155">
        <f t="shared" ca="1" si="66"/>
        <v>33.311627906976746</v>
      </c>
    </row>
    <row r="143" spans="1:16" ht="21.75" customHeight="1" x14ac:dyDescent="0.3">
      <c r="A143" s="156"/>
      <c r="B143" s="157"/>
      <c r="C143" s="157" t="s">
        <v>16</v>
      </c>
      <c r="D143" s="158" t="s">
        <v>38</v>
      </c>
      <c r="E143" s="159"/>
      <c r="F143" s="159"/>
      <c r="G143" s="160" t="s">
        <v>39</v>
      </c>
      <c r="H143" s="161" t="s">
        <v>12</v>
      </c>
      <c r="I143" s="162" t="s">
        <v>40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3">
      <c r="A144" s="156"/>
      <c r="B144" s="157"/>
      <c r="C144" s="157"/>
      <c r="D144" s="166"/>
      <c r="E144" s="159"/>
      <c r="F144" s="159" t="s">
        <v>40</v>
      </c>
      <c r="G144" s="160" t="s">
        <v>41</v>
      </c>
      <c r="H144" s="161" t="s">
        <v>12</v>
      </c>
      <c r="I144" s="162"/>
      <c r="J144" s="162"/>
      <c r="K144" s="163"/>
      <c r="L144" s="167">
        <f ca="1">L145+L146</f>
        <v>69000</v>
      </c>
      <c r="M144" s="167">
        <f ca="1">IFERROR(__xludf.DUMMYFUNCTION("IMPORTRANGE(""https://docs.google.com/spreadsheets/d/1Yj_ptqi66GCucihVvJfMjLAmec39IyEx_6qawtMGysU/edit?usp=sharing"",""สบก!BJ23"")"),53750)</f>
        <v>53750</v>
      </c>
      <c r="N144" s="168">
        <f ca="1">IFERROR(__xludf.DUMMYFUNCTION("IMPORTRANGE(""https://docs.google.com/spreadsheets/d/1Yj_ptqi66GCucihVvJfMjLAmec39IyEx_6qawtMGysU/edit?usp=sharing"",""สบก!BK23"")"),17905)</f>
        <v>17905</v>
      </c>
      <c r="O144" s="168">
        <f ca="1">IF(L144&gt;0,N144*100/L144,0)</f>
        <v>25.94927536231884</v>
      </c>
      <c r="P144" s="168">
        <f ca="1">IF(M144&gt;0,N144*100/M144,0)</f>
        <v>33.311627906976746</v>
      </c>
    </row>
    <row r="145" spans="1:16" ht="21.75" customHeight="1" x14ac:dyDescent="0.3">
      <c r="A145" s="156"/>
      <c r="B145" s="157"/>
      <c r="C145" s="157"/>
      <c r="D145" s="166"/>
      <c r="E145" s="159"/>
      <c r="F145" s="159"/>
      <c r="G145" s="169" t="s">
        <v>42</v>
      </c>
      <c r="H145" s="161" t="s">
        <v>12</v>
      </c>
      <c r="I145" s="162"/>
      <c r="J145" s="162"/>
      <c r="K145" s="163"/>
      <c r="L145" s="167">
        <f ca="1">IFERROR(__xludf.DUMMYFUNCTION("IMPORTRANGE(""https://docs.google.com/spreadsheets/d/1Yj_ptqi66GCucihVvJfMjLAmec39IyEx_6qawtMGysU/edit?usp=sharing"",""สบก!BF23"")"),0)</f>
        <v>0</v>
      </c>
      <c r="M145" s="167"/>
      <c r="N145" s="167"/>
      <c r="O145" s="168"/>
      <c r="P145" s="168"/>
    </row>
    <row r="146" spans="1:16" ht="21.75" customHeight="1" x14ac:dyDescent="0.3">
      <c r="A146" s="156"/>
      <c r="B146" s="157"/>
      <c r="C146" s="157"/>
      <c r="D146" s="166"/>
      <c r="E146" s="159"/>
      <c r="F146" s="159"/>
      <c r="G146" s="169" t="s">
        <v>43</v>
      </c>
      <c r="H146" s="161" t="s">
        <v>12</v>
      </c>
      <c r="I146" s="162"/>
      <c r="J146" s="162"/>
      <c r="K146" s="163"/>
      <c r="L146" s="167">
        <f ca="1">IFERROR(__xludf.DUMMYFUNCTION("IMPORTRANGE(""https://docs.google.com/spreadsheets/d/1Yj_ptqi66GCucihVvJfMjLAmec39IyEx_6qawtMGysU/edit?usp=sharing"",""สบก!BG23"")"),69000)</f>
        <v>69000</v>
      </c>
      <c r="M146" s="167"/>
      <c r="N146" s="167"/>
      <c r="O146" s="168"/>
      <c r="P146" s="168"/>
    </row>
    <row r="147" spans="1:16" ht="21.75" customHeight="1" x14ac:dyDescent="0.45">
      <c r="A147" s="170"/>
      <c r="B147" s="80"/>
      <c r="C147" s="81" t="s">
        <v>16</v>
      </c>
      <c r="D147" s="534" t="s">
        <v>23</v>
      </c>
      <c r="E147" s="530"/>
      <c r="F147" s="88"/>
      <c r="G147" s="82" t="s">
        <v>18</v>
      </c>
      <c r="H147" s="171" t="s">
        <v>12</v>
      </c>
      <c r="I147" s="187"/>
      <c r="J147" s="187"/>
      <c r="K147" s="223"/>
      <c r="L147" s="41">
        <v>0</v>
      </c>
      <c r="M147" s="41"/>
      <c r="N147" s="41"/>
      <c r="O147" s="41"/>
      <c r="P147" s="41"/>
    </row>
    <row r="148" spans="1:16" ht="21.75" customHeight="1" x14ac:dyDescent="0.45">
      <c r="A148" s="172"/>
      <c r="B148" s="91"/>
      <c r="C148" s="91"/>
      <c r="D148" s="173"/>
      <c r="E148" s="92"/>
      <c r="F148" s="92"/>
      <c r="G148" s="93" t="s">
        <v>19</v>
      </c>
      <c r="H148" s="174" t="s">
        <v>12</v>
      </c>
      <c r="I148" s="187"/>
      <c r="J148" s="187"/>
      <c r="K148" s="223"/>
      <c r="L148" s="49">
        <f ca="1">IFERROR(__xludf.DUMMYFUNCTION("IMPORTRANGE(""https://docs.google.com/spreadsheets/d/1Yj_ptqi66GCucihVvJfMjLAmec39IyEx_6qawtMGysU/edit?usp=sharing"",""สบก!BH23"")"),0)</f>
        <v>0</v>
      </c>
      <c r="M148" s="49"/>
      <c r="N148" s="49">
        <f ca="1">IFERROR(__xludf.DUMMYFUNCTION("IMPORTRANGE(""https://docs.google.com/spreadsheets/d/1Yj_ptqi66GCucihVvJfMjLAmec39IyEx_6qawtMGysU/edit?usp=sharing"",""สบก!BL23"")"),0)</f>
        <v>0</v>
      </c>
      <c r="O148" s="49">
        <f ca="1">IF(L148&gt;0,N148*100/L148,0)</f>
        <v>0</v>
      </c>
      <c r="P148" s="49"/>
    </row>
    <row r="149" spans="1:16" ht="21.75" customHeight="1" x14ac:dyDescent="0.3">
      <c r="A149" s="269"/>
      <c r="B149" s="270"/>
      <c r="C149" s="271" t="s">
        <v>76</v>
      </c>
      <c r="D149" s="271"/>
      <c r="E149" s="271"/>
      <c r="F149" s="271"/>
      <c r="G149" s="272"/>
      <c r="H149" s="273" t="s">
        <v>77</v>
      </c>
      <c r="I149" s="274">
        <f ca="1">IFERROR(__xludf.DUMMYFUNCTION("IMPORTRANGE(""https://docs.google.com/spreadsheets/d/11923uPwbBZFjjGgGUA6NLw09EwE0CqkOc4q9oUmW1yo/edit?usp=sharing"",""ตาก!I74"")"),4)</f>
        <v>4</v>
      </c>
      <c r="J149" s="274">
        <f ca="1">IFERROR(__xludf.DUMMYFUNCTION("IMPORTRANGE(""https://docs.google.com/spreadsheets/d/11923uPwbBZFjjGgGUA6NLw09EwE0CqkOc4q9oUmW1yo/edit?usp=sharing"",""ตาก!J74"")"),1)</f>
        <v>1</v>
      </c>
      <c r="K149" s="275">
        <f ca="1">IF(I149&gt;0,J149*100/I149,0)</f>
        <v>25</v>
      </c>
      <c r="L149" s="276"/>
      <c r="M149" s="276"/>
      <c r="N149" s="276"/>
      <c r="O149" s="276"/>
      <c r="P149" s="276"/>
    </row>
    <row r="150" spans="1:16" ht="21.75" customHeight="1" x14ac:dyDescent="0.3">
      <c r="A150" s="156"/>
      <c r="B150" s="157"/>
      <c r="C150" s="157" t="s">
        <v>16</v>
      </c>
      <c r="D150" s="158" t="s">
        <v>38</v>
      </c>
      <c r="E150" s="159"/>
      <c r="F150" s="159"/>
      <c r="G150" s="160" t="s">
        <v>39</v>
      </c>
      <c r="H150" s="161" t="s">
        <v>12</v>
      </c>
      <c r="I150" s="162" t="s">
        <v>40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3">
      <c r="A151" s="156"/>
      <c r="B151" s="157"/>
      <c r="C151" s="157"/>
      <c r="D151" s="166"/>
      <c r="E151" s="159"/>
      <c r="F151" s="159" t="s">
        <v>40</v>
      </c>
      <c r="G151" s="160" t="s">
        <v>41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3">
      <c r="A152" s="156"/>
      <c r="B152" s="157"/>
      <c r="C152" s="157"/>
      <c r="D152" s="166"/>
      <c r="E152" s="159"/>
      <c r="F152" s="159"/>
      <c r="G152" s="169" t="s">
        <v>43</v>
      </c>
      <c r="H152" s="161" t="s">
        <v>12</v>
      </c>
      <c r="I152" s="162"/>
      <c r="J152" s="162"/>
      <c r="K152" s="163"/>
      <c r="L152" s="168"/>
      <c r="M152" s="168"/>
      <c r="N152" s="167"/>
      <c r="O152" s="168"/>
      <c r="P152" s="168"/>
    </row>
    <row r="153" spans="1:16" ht="21.75" customHeight="1" x14ac:dyDescent="0.3">
      <c r="A153" s="175"/>
      <c r="B153" s="176"/>
      <c r="C153" s="157" t="s">
        <v>16</v>
      </c>
      <c r="D153" s="177" t="s">
        <v>44</v>
      </c>
      <c r="E153" s="178"/>
      <c r="F153" s="178"/>
      <c r="G153" s="179"/>
      <c r="H153" s="180"/>
      <c r="I153" s="162"/>
      <c r="J153" s="162"/>
      <c r="K153" s="163"/>
      <c r="L153" s="181"/>
      <c r="M153" s="181"/>
      <c r="N153" s="181"/>
      <c r="O153" s="181"/>
      <c r="P153" s="181"/>
    </row>
    <row r="154" spans="1:16" ht="21.75" customHeight="1" x14ac:dyDescent="0.3">
      <c r="A154" s="175"/>
      <c r="B154" s="176"/>
      <c r="C154" s="176"/>
      <c r="D154" s="182">
        <v>1</v>
      </c>
      <c r="E154" s="183" t="s">
        <v>45</v>
      </c>
      <c r="F154" s="184"/>
      <c r="G154" s="185"/>
      <c r="H154" s="186"/>
      <c r="I154" s="187"/>
      <c r="J154" s="188">
        <f ca="1">IFERROR(__xludf.DUMMYFUNCTION("IMPORTRANGE(""https://docs.google.com/spreadsheets/d/11923uPwbBZFjjGgGUA6NLw09EwE0CqkOc4q9oUmW1yo/edit?usp=sharing"",""ตาก!J79"")"),0)</f>
        <v>0</v>
      </c>
      <c r="K154" s="163"/>
      <c r="L154" s="181"/>
      <c r="M154" s="181"/>
      <c r="N154" s="181"/>
      <c r="O154" s="181"/>
      <c r="P154" s="181"/>
    </row>
    <row r="155" spans="1:16" ht="21.75" customHeight="1" x14ac:dyDescent="0.3">
      <c r="A155" s="175"/>
      <c r="B155" s="176"/>
      <c r="C155" s="176"/>
      <c r="D155" s="189">
        <v>2</v>
      </c>
      <c r="E155" s="190" t="s">
        <v>46</v>
      </c>
      <c r="F155" s="191"/>
      <c r="G155" s="192"/>
      <c r="H155" s="186"/>
      <c r="I155" s="187"/>
      <c r="J155" s="197">
        <f ca="1">IFERROR(__xludf.DUMMYFUNCTION("IMPORTRANGE(""https://docs.google.com/spreadsheets/d/11923uPwbBZFjjGgGUA6NLw09EwE0CqkOc4q9oUmW1yo/edit?usp=sharing"",""ตาก!J80"")"),1)</f>
        <v>1</v>
      </c>
      <c r="K155" s="163"/>
      <c r="L155" s="181"/>
      <c r="M155" s="181"/>
      <c r="N155" s="181"/>
      <c r="O155" s="181"/>
      <c r="P155" s="181"/>
    </row>
    <row r="156" spans="1:16" ht="21.75" customHeight="1" x14ac:dyDescent="0.3">
      <c r="A156" s="175"/>
      <c r="B156" s="176"/>
      <c r="C156" s="176"/>
      <c r="D156" s="193"/>
      <c r="E156" s="194" t="s">
        <v>47</v>
      </c>
      <c r="F156" s="195"/>
      <c r="G156" s="196"/>
      <c r="H156" s="186"/>
      <c r="I156" s="187"/>
      <c r="J156" s="197">
        <f ca="1">IFERROR(__xludf.DUMMYFUNCTION("IMPORTRANGE(""https://docs.google.com/spreadsheets/d/11923uPwbBZFjjGgGUA6NLw09EwE0CqkOc4q9oUmW1yo/edit?usp=sharing"",""ตาก!J81"")"),1)</f>
        <v>1</v>
      </c>
      <c r="K156" s="163"/>
      <c r="L156" s="181"/>
      <c r="M156" s="181"/>
      <c r="N156" s="181"/>
      <c r="O156" s="181"/>
      <c r="P156" s="181"/>
    </row>
    <row r="157" spans="1:16" ht="21.75" customHeight="1" x14ac:dyDescent="0.3">
      <c r="A157" s="175"/>
      <c r="B157" s="176"/>
      <c r="C157" s="176"/>
      <c r="D157" s="193"/>
      <c r="E157" s="194" t="s">
        <v>48</v>
      </c>
      <c r="F157" s="195"/>
      <c r="G157" s="196"/>
      <c r="H157" s="186"/>
      <c r="I157" s="187"/>
      <c r="J157" s="197">
        <f ca="1">IFERROR(__xludf.DUMMYFUNCTION("IMPORTRANGE(""https://docs.google.com/spreadsheets/d/11923uPwbBZFjjGgGUA6NLw09EwE0CqkOc4q9oUmW1yo/edit?usp=sharing"",""ตาก!J82"")"),1)</f>
        <v>1</v>
      </c>
      <c r="K157" s="163"/>
      <c r="L157" s="181"/>
      <c r="M157" s="181"/>
      <c r="N157" s="181"/>
      <c r="O157" s="181"/>
      <c r="P157" s="181"/>
    </row>
    <row r="158" spans="1:16" ht="21.75" customHeight="1" x14ac:dyDescent="0.3">
      <c r="A158" s="175"/>
      <c r="B158" s="176"/>
      <c r="C158" s="176"/>
      <c r="D158" s="193"/>
      <c r="E158" s="198"/>
      <c r="F158" s="194" t="s">
        <v>78</v>
      </c>
      <c r="G158" s="196"/>
      <c r="H158" s="180" t="s">
        <v>77</v>
      </c>
      <c r="I158" s="187">
        <f ca="1">IFERROR(__xludf.DUMMYFUNCTION("IMPORTRANGE(""https://docs.google.com/spreadsheets/d/11923uPwbBZFjjGgGUA6NLw09EwE0CqkOc4q9oUmW1yo/edit?usp=sharing"",""ตาก!I83"")"),4)</f>
        <v>4</v>
      </c>
      <c r="J158" s="188">
        <f ca="1">IFERROR(__xludf.DUMMYFUNCTION("IMPORTRANGE(""https://docs.google.com/spreadsheets/d/11923uPwbBZFjjGgGUA6NLw09EwE0CqkOc4q9oUmW1yo/edit?usp=sharing"",""ตาก!J83"")"),1)</f>
        <v>1</v>
      </c>
      <c r="K158" s="163">
        <f ca="1">IF(I158&gt;0,J158*100/I158,0)</f>
        <v>25</v>
      </c>
      <c r="L158" s="181"/>
      <c r="M158" s="181"/>
      <c r="N158" s="181"/>
      <c r="O158" s="181"/>
      <c r="P158" s="181"/>
    </row>
    <row r="159" spans="1:16" ht="21.75" customHeight="1" x14ac:dyDescent="0.3">
      <c r="A159" s="175"/>
      <c r="B159" s="176"/>
      <c r="C159" s="176"/>
      <c r="D159" s="193"/>
      <c r="E159" s="195"/>
      <c r="F159" s="277" t="s">
        <v>79</v>
      </c>
      <c r="G159" s="196"/>
      <c r="H159" s="278" t="s">
        <v>37</v>
      </c>
      <c r="I159" s="187"/>
      <c r="J159" s="203">
        <f ca="1">IFERROR(__xludf.DUMMYFUNCTION("IMPORTRANGE(""https://docs.google.com/spreadsheets/d/11923uPwbBZFjjGgGUA6NLw09EwE0CqkOc4q9oUmW1yo/edit?usp=sharing"",""ตาก!J84"")"),24)</f>
        <v>24</v>
      </c>
      <c r="K159" s="163"/>
      <c r="L159" s="181"/>
      <c r="M159" s="181"/>
      <c r="N159" s="181"/>
      <c r="O159" s="181"/>
      <c r="P159" s="181"/>
    </row>
    <row r="160" spans="1:16" ht="21.75" customHeight="1" x14ac:dyDescent="0.45">
      <c r="A160" s="175"/>
      <c r="B160" s="176"/>
      <c r="C160" s="176"/>
      <c r="D160" s="193"/>
      <c r="E160" s="195"/>
      <c r="F160" s="195"/>
      <c r="G160" s="279" t="s">
        <v>80</v>
      </c>
      <c r="H160" s="278" t="s">
        <v>37</v>
      </c>
      <c r="I160" s="187"/>
      <c r="J160" s="280">
        <f ca="1">IFERROR(__xludf.DUMMYFUNCTION("IMPORTRANGE(""https://docs.google.com/spreadsheets/d/11923uPwbBZFjjGgGUA6NLw09EwE0CqkOc4q9oUmW1yo/edit?usp=sharing"",""ตาก!J85"")"),24)</f>
        <v>24</v>
      </c>
      <c r="K160" s="163"/>
      <c r="L160" s="181"/>
      <c r="M160" s="181"/>
      <c r="N160" s="181"/>
      <c r="O160" s="181"/>
      <c r="P160" s="181"/>
    </row>
    <row r="161" spans="1:16" ht="21.75" customHeight="1" x14ac:dyDescent="0.45">
      <c r="A161" s="175"/>
      <c r="B161" s="176"/>
      <c r="C161" s="176"/>
      <c r="D161" s="193"/>
      <c r="E161" s="195"/>
      <c r="F161" s="195"/>
      <c r="G161" s="279" t="s">
        <v>81</v>
      </c>
      <c r="H161" s="278" t="s">
        <v>37</v>
      </c>
      <c r="I161" s="187"/>
      <c r="J161" s="280">
        <f ca="1">IFERROR(__xludf.DUMMYFUNCTION("IMPORTRANGE(""https://docs.google.com/spreadsheets/d/11923uPwbBZFjjGgGUA6NLw09EwE0CqkOc4q9oUmW1yo/edit?usp=sharing"",""ตาก!J86"")"),0)</f>
        <v>0</v>
      </c>
      <c r="K161" s="163"/>
      <c r="L161" s="181"/>
      <c r="M161" s="181"/>
      <c r="N161" s="181"/>
      <c r="O161" s="181"/>
      <c r="P161" s="181"/>
    </row>
    <row r="162" spans="1:16" ht="21.75" customHeight="1" x14ac:dyDescent="0.3">
      <c r="A162" s="175"/>
      <c r="B162" s="176"/>
      <c r="C162" s="176"/>
      <c r="D162" s="193"/>
      <c r="E162" s="194" t="s">
        <v>54</v>
      </c>
      <c r="F162" s="195"/>
      <c r="G162" s="196"/>
      <c r="H162" s="186"/>
      <c r="I162" s="187"/>
      <c r="J162" s="197">
        <f ca="1">IFERROR(__xludf.DUMMYFUNCTION("IMPORTRANGE(""https://docs.google.com/spreadsheets/d/11923uPwbBZFjjGgGUA6NLw09EwE0CqkOc4q9oUmW1yo/edit?usp=sharing"",""ตาก!J87"")"),0)</f>
        <v>0</v>
      </c>
      <c r="K162" s="163"/>
      <c r="L162" s="181"/>
      <c r="M162" s="181"/>
      <c r="N162" s="181"/>
      <c r="O162" s="181"/>
      <c r="P162" s="181"/>
    </row>
    <row r="163" spans="1:16" ht="21.75" customHeight="1" x14ac:dyDescent="0.3">
      <c r="A163" s="175"/>
      <c r="B163" s="176"/>
      <c r="C163" s="176"/>
      <c r="D163" s="205">
        <v>3</v>
      </c>
      <c r="E163" s="206" t="s">
        <v>55</v>
      </c>
      <c r="F163" s="207"/>
      <c r="G163" s="208"/>
      <c r="H163" s="186"/>
      <c r="I163" s="187"/>
      <c r="J163" s="209">
        <f ca="1">IFERROR(__xludf.DUMMYFUNCTION("IMPORTRANGE(""https://docs.google.com/spreadsheets/d/11923uPwbBZFjjGgGUA6NLw09EwE0CqkOc4q9oUmW1yo/edit?usp=sharing"",""ตาก!J88"")"),0)</f>
        <v>0</v>
      </c>
      <c r="K163" s="163"/>
      <c r="L163" s="181"/>
      <c r="M163" s="181"/>
      <c r="N163" s="181"/>
      <c r="O163" s="181"/>
      <c r="P163" s="181"/>
    </row>
    <row r="164" spans="1:16" ht="21.75" customHeight="1" x14ac:dyDescent="0.3">
      <c r="A164" s="269"/>
      <c r="B164" s="270"/>
      <c r="C164" s="271" t="s">
        <v>82</v>
      </c>
      <c r="D164" s="271"/>
      <c r="E164" s="271"/>
      <c r="F164" s="271"/>
      <c r="G164" s="272"/>
      <c r="H164" s="281" t="s">
        <v>83</v>
      </c>
      <c r="I164" s="282">
        <f ca="1">IFERROR(__xludf.DUMMYFUNCTION("IMPORTRANGE(""https://docs.google.com/spreadsheets/d/11923uPwbBZFjjGgGUA6NLw09EwE0CqkOc4q9oUmW1yo/edit?usp=sharing"",""ตาก!I89"")"),3)</f>
        <v>3</v>
      </c>
      <c r="J164" s="282">
        <f ca="1">IFERROR(__xludf.DUMMYFUNCTION("IMPORTRANGE(""https://docs.google.com/spreadsheets/d/11923uPwbBZFjjGgGUA6NLw09EwE0CqkOc4q9oUmW1yo/edit?usp=sharing"",""ตาก!J89"")"),3)</f>
        <v>3</v>
      </c>
      <c r="K164" s="283">
        <f ca="1">IF(I164&gt;0,J164*100/I164,0)</f>
        <v>100</v>
      </c>
      <c r="L164" s="276"/>
      <c r="M164" s="276"/>
      <c r="N164" s="276"/>
      <c r="O164" s="276"/>
      <c r="P164" s="276"/>
    </row>
    <row r="165" spans="1:16" ht="21.75" customHeight="1" x14ac:dyDescent="0.3">
      <c r="A165" s="156"/>
      <c r="B165" s="157"/>
      <c r="C165" s="157" t="s">
        <v>16</v>
      </c>
      <c r="D165" s="158" t="s">
        <v>38</v>
      </c>
      <c r="E165" s="159"/>
      <c r="F165" s="159"/>
      <c r="G165" s="160" t="s">
        <v>39</v>
      </c>
      <c r="H165" s="161" t="s">
        <v>12</v>
      </c>
      <c r="I165" s="162" t="s">
        <v>40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3">
      <c r="A166" s="156"/>
      <c r="B166" s="157"/>
      <c r="C166" s="157"/>
      <c r="D166" s="166"/>
      <c r="E166" s="159"/>
      <c r="F166" s="159" t="s">
        <v>40</v>
      </c>
      <c r="G166" s="160" t="s">
        <v>41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3">
      <c r="A167" s="156"/>
      <c r="B167" s="157"/>
      <c r="C167" s="157"/>
      <c r="D167" s="166"/>
      <c r="E167" s="159"/>
      <c r="F167" s="159"/>
      <c r="G167" s="169" t="s">
        <v>43</v>
      </c>
      <c r="H167" s="161" t="s">
        <v>12</v>
      </c>
      <c r="I167" s="162"/>
      <c r="J167" s="162"/>
      <c r="K167" s="163"/>
      <c r="L167" s="168"/>
      <c r="M167" s="168"/>
      <c r="N167" s="167"/>
      <c r="O167" s="168"/>
      <c r="P167" s="168"/>
    </row>
    <row r="168" spans="1:16" ht="21.75" customHeight="1" x14ac:dyDescent="0.3">
      <c r="A168" s="175"/>
      <c r="B168" s="176"/>
      <c r="C168" s="157" t="s">
        <v>16</v>
      </c>
      <c r="D168" s="177" t="s">
        <v>44</v>
      </c>
      <c r="E168" s="178"/>
      <c r="F168" s="178"/>
      <c r="G168" s="179"/>
      <c r="H168" s="180"/>
      <c r="I168" s="162"/>
      <c r="J168" s="162"/>
      <c r="K168" s="163"/>
      <c r="L168" s="181"/>
      <c r="M168" s="181"/>
      <c r="N168" s="181"/>
      <c r="O168" s="181"/>
      <c r="P168" s="181"/>
    </row>
    <row r="169" spans="1:16" ht="21.75" customHeight="1" x14ac:dyDescent="0.3">
      <c r="A169" s="175"/>
      <c r="B169" s="176"/>
      <c r="C169" s="176"/>
      <c r="D169" s="182">
        <v>1</v>
      </c>
      <c r="E169" s="183" t="s">
        <v>45</v>
      </c>
      <c r="F169" s="184"/>
      <c r="G169" s="185"/>
      <c r="H169" s="186"/>
      <c r="I169" s="187"/>
      <c r="J169" s="188">
        <f ca="1">IFERROR(__xludf.DUMMYFUNCTION("IMPORTRANGE(""https://docs.google.com/spreadsheets/d/11923uPwbBZFjjGgGUA6NLw09EwE0CqkOc4q9oUmW1yo/edit?usp=sharing"",""ตาก!J94"")"),0)</f>
        <v>0</v>
      </c>
      <c r="K169" s="163"/>
      <c r="L169" s="181"/>
      <c r="M169" s="181"/>
      <c r="N169" s="181"/>
      <c r="O169" s="181"/>
      <c r="P169" s="181"/>
    </row>
    <row r="170" spans="1:16" ht="21.75" customHeight="1" x14ac:dyDescent="0.3">
      <c r="A170" s="175"/>
      <c r="B170" s="176"/>
      <c r="C170" s="176"/>
      <c r="D170" s="189">
        <v>2</v>
      </c>
      <c r="E170" s="190" t="s">
        <v>46</v>
      </c>
      <c r="F170" s="191"/>
      <c r="G170" s="192"/>
      <c r="H170" s="186"/>
      <c r="I170" s="187"/>
      <c r="J170" s="197">
        <f ca="1">IFERROR(__xludf.DUMMYFUNCTION("IMPORTRANGE(""https://docs.google.com/spreadsheets/d/11923uPwbBZFjjGgGUA6NLw09EwE0CqkOc4q9oUmW1yo/edit?usp=sharing"",""ตาก!J95"")"),1)</f>
        <v>1</v>
      </c>
      <c r="K170" s="163"/>
      <c r="L170" s="181"/>
      <c r="M170" s="181"/>
      <c r="N170" s="181"/>
      <c r="O170" s="181"/>
      <c r="P170" s="181"/>
    </row>
    <row r="171" spans="1:16" ht="21.75" customHeight="1" x14ac:dyDescent="0.3">
      <c r="A171" s="175"/>
      <c r="B171" s="176"/>
      <c r="C171" s="176"/>
      <c r="D171" s="193"/>
      <c r="E171" s="194" t="s">
        <v>47</v>
      </c>
      <c r="F171" s="195"/>
      <c r="G171" s="196"/>
      <c r="H171" s="186"/>
      <c r="I171" s="187"/>
      <c r="J171" s="197">
        <f ca="1">IFERROR(__xludf.DUMMYFUNCTION("IMPORTRANGE(""https://docs.google.com/spreadsheets/d/11923uPwbBZFjjGgGUA6NLw09EwE0CqkOc4q9oUmW1yo/edit?usp=sharing"",""ตาก!J96"")"),1)</f>
        <v>1</v>
      </c>
      <c r="K171" s="163"/>
      <c r="L171" s="181"/>
      <c r="M171" s="181"/>
      <c r="N171" s="181"/>
      <c r="O171" s="181"/>
      <c r="P171" s="181"/>
    </row>
    <row r="172" spans="1:16" ht="21.75" customHeight="1" x14ac:dyDescent="0.3">
      <c r="A172" s="175"/>
      <c r="B172" s="176"/>
      <c r="C172" s="176"/>
      <c r="D172" s="193"/>
      <c r="E172" s="194" t="s">
        <v>48</v>
      </c>
      <c r="F172" s="195"/>
      <c r="G172" s="196"/>
      <c r="H172" s="186"/>
      <c r="I172" s="187"/>
      <c r="J172" s="197">
        <f ca="1">IFERROR(__xludf.DUMMYFUNCTION("IMPORTRANGE(""https://docs.google.com/spreadsheets/d/11923uPwbBZFjjGgGUA6NLw09EwE0CqkOc4q9oUmW1yo/edit?usp=sharing"",""ตาก!J97"")"),1)</f>
        <v>1</v>
      </c>
      <c r="K172" s="163"/>
      <c r="L172" s="181"/>
      <c r="M172" s="181"/>
      <c r="N172" s="181"/>
      <c r="O172" s="181"/>
      <c r="P172" s="181"/>
    </row>
    <row r="173" spans="1:16" ht="21.75" customHeight="1" x14ac:dyDescent="0.3">
      <c r="A173" s="175"/>
      <c r="B173" s="176"/>
      <c r="C173" s="176"/>
      <c r="D173" s="193"/>
      <c r="E173" s="198"/>
      <c r="F173" s="204" t="s">
        <v>84</v>
      </c>
      <c r="G173" s="196"/>
      <c r="H173" s="180" t="s">
        <v>83</v>
      </c>
      <c r="I173" s="187">
        <f ca="1">IFERROR(__xludf.DUMMYFUNCTION("IMPORTRANGE(""https://docs.google.com/spreadsheets/d/11923uPwbBZFjjGgGUA6NLw09EwE0CqkOc4q9oUmW1yo/edit?usp=sharing"",""ตาก!I98"")"),3)</f>
        <v>3</v>
      </c>
      <c r="J173" s="188">
        <f ca="1">IFERROR(__xludf.DUMMYFUNCTION("IMPORTRANGE(""https://docs.google.com/spreadsheets/d/11923uPwbBZFjjGgGUA6NLw09EwE0CqkOc4q9oUmW1yo/edit?usp=sharing"",""ตาก!J98"")"),3)</f>
        <v>3</v>
      </c>
      <c r="K173" s="163">
        <f ca="1">IF(I173&gt;0,J173*100/I173,0)</f>
        <v>100</v>
      </c>
      <c r="L173" s="168"/>
      <c r="M173" s="168"/>
      <c r="N173" s="167"/>
      <c r="O173" s="168"/>
      <c r="P173" s="168"/>
    </row>
    <row r="174" spans="1:16" ht="21.75" customHeight="1" x14ac:dyDescent="0.3">
      <c r="A174" s="175"/>
      <c r="B174" s="176"/>
      <c r="C174" s="176"/>
      <c r="D174" s="193"/>
      <c r="E174" s="194" t="s">
        <v>54</v>
      </c>
      <c r="F174" s="195"/>
      <c r="G174" s="196"/>
      <c r="H174" s="186"/>
      <c r="I174" s="187"/>
      <c r="J174" s="197">
        <f ca="1">IFERROR(__xludf.DUMMYFUNCTION("IMPORTRANGE(""https://docs.google.com/spreadsheets/d/11923uPwbBZFjjGgGUA6NLw09EwE0CqkOc4q9oUmW1yo/edit?usp=sharing"",""ตาก!J99"")"),0)</f>
        <v>0</v>
      </c>
      <c r="K174" s="163"/>
      <c r="L174" s="181"/>
      <c r="M174" s="181"/>
      <c r="N174" s="181"/>
      <c r="O174" s="181"/>
      <c r="P174" s="181"/>
    </row>
    <row r="175" spans="1:16" ht="21.75" customHeight="1" x14ac:dyDescent="0.3">
      <c r="A175" s="175"/>
      <c r="B175" s="176"/>
      <c r="C175" s="176"/>
      <c r="D175" s="205">
        <v>3</v>
      </c>
      <c r="E175" s="206" t="s">
        <v>55</v>
      </c>
      <c r="F175" s="207"/>
      <c r="G175" s="208"/>
      <c r="H175" s="186"/>
      <c r="I175" s="187"/>
      <c r="J175" s="209">
        <f ca="1">IFERROR(__xludf.DUMMYFUNCTION("IMPORTRANGE(""https://docs.google.com/spreadsheets/d/11923uPwbBZFjjGgGUA6NLw09EwE0CqkOc4q9oUmW1yo/edit?usp=sharing"",""ตาก!J100"")"),0)</f>
        <v>0</v>
      </c>
      <c r="K175" s="163"/>
      <c r="L175" s="181"/>
      <c r="M175" s="181"/>
      <c r="N175" s="181"/>
      <c r="O175" s="181"/>
      <c r="P175" s="181"/>
    </row>
    <row r="176" spans="1:16" ht="21.75" customHeight="1" x14ac:dyDescent="0.3">
      <c r="A176" s="269"/>
      <c r="B176" s="270"/>
      <c r="C176" s="271" t="s">
        <v>85</v>
      </c>
      <c r="D176" s="271"/>
      <c r="E176" s="271"/>
      <c r="F176" s="271"/>
      <c r="G176" s="272"/>
      <c r="H176" s="281" t="s">
        <v>83</v>
      </c>
      <c r="I176" s="282">
        <f ca="1">IFERROR(__xludf.DUMMYFUNCTION("IMPORTRANGE(""https://docs.google.com/spreadsheets/d/11923uPwbBZFjjGgGUA6NLw09EwE0CqkOc4q9oUmW1yo/edit?usp=sharing"",""ตาก!I101"")"),0)</f>
        <v>0</v>
      </c>
      <c r="J176" s="282">
        <f ca="1">IFERROR(__xludf.DUMMYFUNCTION("IMPORTRANGE(""https://docs.google.com/spreadsheets/d/11923uPwbBZFjjGgGUA6NLw09EwE0CqkOc4q9oUmW1yo/edit?usp=sharing"",""ตาก!J101"")"),0)</f>
        <v>0</v>
      </c>
      <c r="K176" s="283">
        <f ca="1">IF(I176&gt;0,J176*100/I176,0)</f>
        <v>0</v>
      </c>
      <c r="L176" s="276"/>
      <c r="M176" s="276"/>
      <c r="N176" s="276"/>
      <c r="O176" s="276"/>
      <c r="P176" s="276"/>
    </row>
    <row r="177" spans="1:16" ht="21.75" customHeight="1" x14ac:dyDescent="0.3">
      <c r="A177" s="156"/>
      <c r="B177" s="157"/>
      <c r="C177" s="157" t="s">
        <v>16</v>
      </c>
      <c r="D177" s="158" t="s">
        <v>38</v>
      </c>
      <c r="E177" s="159"/>
      <c r="F177" s="159"/>
      <c r="G177" s="160" t="s">
        <v>39</v>
      </c>
      <c r="H177" s="161" t="s">
        <v>12</v>
      </c>
      <c r="I177" s="162" t="s">
        <v>40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3">
      <c r="A178" s="156"/>
      <c r="B178" s="157"/>
      <c r="C178" s="157"/>
      <c r="D178" s="166"/>
      <c r="E178" s="159"/>
      <c r="F178" s="159" t="s">
        <v>40</v>
      </c>
      <c r="G178" s="160" t="s">
        <v>41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3">
      <c r="A179" s="156"/>
      <c r="B179" s="157"/>
      <c r="C179" s="157"/>
      <c r="D179" s="166"/>
      <c r="E179" s="159"/>
      <c r="F179" s="159"/>
      <c r="G179" s="169" t="s">
        <v>43</v>
      </c>
      <c r="H179" s="161" t="s">
        <v>12</v>
      </c>
      <c r="I179" s="162"/>
      <c r="J179" s="187"/>
      <c r="K179" s="223"/>
      <c r="L179" s="168"/>
      <c r="M179" s="168"/>
      <c r="N179" s="167"/>
      <c r="O179" s="168"/>
      <c r="P179" s="168"/>
    </row>
    <row r="180" spans="1:16" ht="21.75" customHeight="1" x14ac:dyDescent="0.3">
      <c r="A180" s="175"/>
      <c r="B180" s="176"/>
      <c r="C180" s="157" t="s">
        <v>16</v>
      </c>
      <c r="D180" s="177" t="s">
        <v>44</v>
      </c>
      <c r="E180" s="178"/>
      <c r="F180" s="178"/>
      <c r="G180" s="179"/>
      <c r="H180" s="180"/>
      <c r="I180" s="162"/>
      <c r="J180" s="187"/>
      <c r="K180" s="223"/>
      <c r="L180" s="168"/>
      <c r="M180" s="168"/>
      <c r="N180" s="168"/>
      <c r="O180" s="181"/>
      <c r="P180" s="181"/>
    </row>
    <row r="181" spans="1:16" ht="21.75" customHeight="1" x14ac:dyDescent="0.3">
      <c r="A181" s="175"/>
      <c r="B181" s="176"/>
      <c r="C181" s="176"/>
      <c r="D181" s="182">
        <v>1</v>
      </c>
      <c r="E181" s="183" t="s">
        <v>45</v>
      </c>
      <c r="F181" s="184"/>
      <c r="G181" s="185"/>
      <c r="H181" s="186"/>
      <c r="I181" s="187"/>
      <c r="J181" s="187">
        <f ca="1">IFERROR(__xludf.DUMMYFUNCTION("IMPORTRANGE(""https://docs.google.com/spreadsheets/d/11923uPwbBZFjjGgGUA6NLw09EwE0CqkOc4q9oUmW1yo/edit?usp=sharing"",""ตาก!J106"")"),0)</f>
        <v>0</v>
      </c>
      <c r="K181" s="223"/>
      <c r="L181" s="168"/>
      <c r="M181" s="168"/>
      <c r="N181" s="168"/>
      <c r="O181" s="181"/>
      <c r="P181" s="181"/>
    </row>
    <row r="182" spans="1:16" ht="21.75" customHeight="1" x14ac:dyDescent="0.3">
      <c r="A182" s="175"/>
      <c r="B182" s="176"/>
      <c r="C182" s="176"/>
      <c r="D182" s="189">
        <v>2</v>
      </c>
      <c r="E182" s="190" t="s">
        <v>46</v>
      </c>
      <c r="F182" s="191"/>
      <c r="G182" s="192"/>
      <c r="H182" s="186"/>
      <c r="I182" s="187"/>
      <c r="J182" s="187">
        <f ca="1">IFERROR(__xludf.DUMMYFUNCTION("IMPORTRANGE(""https://docs.google.com/spreadsheets/d/11923uPwbBZFjjGgGUA6NLw09EwE0CqkOc4q9oUmW1yo/edit?usp=sharing"",""ตาก!J107"")"),0)</f>
        <v>0</v>
      </c>
      <c r="K182" s="223"/>
      <c r="L182" s="168"/>
      <c r="M182" s="168"/>
      <c r="N182" s="168"/>
      <c r="O182" s="181"/>
      <c r="P182" s="181"/>
    </row>
    <row r="183" spans="1:16" ht="21.75" customHeight="1" x14ac:dyDescent="0.3">
      <c r="A183" s="175"/>
      <c r="B183" s="176"/>
      <c r="C183" s="176"/>
      <c r="D183" s="193"/>
      <c r="E183" s="194" t="s">
        <v>47</v>
      </c>
      <c r="F183" s="195"/>
      <c r="G183" s="196"/>
      <c r="H183" s="186"/>
      <c r="I183" s="187"/>
      <c r="J183" s="187">
        <f ca="1">IFERROR(__xludf.DUMMYFUNCTION("IMPORTRANGE(""https://docs.google.com/spreadsheets/d/11923uPwbBZFjjGgGUA6NLw09EwE0CqkOc4q9oUmW1yo/edit?usp=sharing"",""ตาก!J108"")"),0)</f>
        <v>0</v>
      </c>
      <c r="K183" s="223"/>
      <c r="L183" s="168"/>
      <c r="M183" s="168"/>
      <c r="N183" s="168"/>
      <c r="O183" s="181"/>
      <c r="P183" s="181"/>
    </row>
    <row r="184" spans="1:16" ht="21.75" customHeight="1" x14ac:dyDescent="0.3">
      <c r="A184" s="175"/>
      <c r="B184" s="176"/>
      <c r="C184" s="176"/>
      <c r="D184" s="193"/>
      <c r="E184" s="194" t="s">
        <v>48</v>
      </c>
      <c r="F184" s="195"/>
      <c r="G184" s="196"/>
      <c r="H184" s="186"/>
      <c r="I184" s="187"/>
      <c r="J184" s="187">
        <f ca="1">IFERROR(__xludf.DUMMYFUNCTION("IMPORTRANGE(""https://docs.google.com/spreadsheets/d/11923uPwbBZFjjGgGUA6NLw09EwE0CqkOc4q9oUmW1yo/edit?usp=sharing"",""ตาก!J109"")"),0)</f>
        <v>0</v>
      </c>
      <c r="K184" s="223"/>
      <c r="L184" s="168"/>
      <c r="M184" s="168"/>
      <c r="N184" s="168"/>
      <c r="O184" s="181"/>
      <c r="P184" s="181"/>
    </row>
    <row r="185" spans="1:16" ht="21.75" customHeight="1" x14ac:dyDescent="0.3">
      <c r="A185" s="175"/>
      <c r="B185" s="176"/>
      <c r="C185" s="176"/>
      <c r="D185" s="193"/>
      <c r="E185" s="198"/>
      <c r="F185" s="194" t="s">
        <v>86</v>
      </c>
      <c r="G185" s="196"/>
      <c r="H185" s="180" t="s">
        <v>83</v>
      </c>
      <c r="I185" s="187">
        <f ca="1">IFERROR(__xludf.DUMMYFUNCTION("IMPORTRANGE(""https://docs.google.com/spreadsheets/d/11923uPwbBZFjjGgGUA6NLw09EwE0CqkOc4q9oUmW1yo/edit?usp=sharing"",""ตาก!I110"")"),0)</f>
        <v>0</v>
      </c>
      <c r="J185" s="203">
        <f ca="1">IFERROR(__xludf.DUMMYFUNCTION("IMPORTRANGE(""https://docs.google.com/spreadsheets/d/11923uPwbBZFjjGgGUA6NLw09EwE0CqkOc4q9oUmW1yo/edit?usp=sharing"",""ตาก!J110"")"),0)</f>
        <v>0</v>
      </c>
      <c r="K185" s="223">
        <f t="shared" ref="K185:K186" ca="1" si="69">IF(I185&gt;0,J185*100/I185,0)</f>
        <v>0</v>
      </c>
      <c r="L185" s="168"/>
      <c r="M185" s="168"/>
      <c r="N185" s="167"/>
      <c r="O185" s="168"/>
      <c r="P185" s="168"/>
    </row>
    <row r="186" spans="1:16" ht="21.75" customHeight="1" x14ac:dyDescent="0.3">
      <c r="A186" s="175"/>
      <c r="B186" s="176"/>
      <c r="C186" s="176"/>
      <c r="D186" s="193"/>
      <c r="E186" s="198"/>
      <c r="F186" s="194" t="s">
        <v>87</v>
      </c>
      <c r="G186" s="196"/>
      <c r="H186" s="180" t="s">
        <v>83</v>
      </c>
      <c r="I186" s="187">
        <f ca="1">IFERROR(__xludf.DUMMYFUNCTION("IMPORTRANGE(""https://docs.google.com/spreadsheets/d/11923uPwbBZFjjGgGUA6NLw09EwE0CqkOc4q9oUmW1yo/edit?usp=sharing"",""ตาก!I111"")"),0)</f>
        <v>0</v>
      </c>
      <c r="J186" s="203">
        <f ca="1">IFERROR(__xludf.DUMMYFUNCTION("IMPORTRANGE(""https://docs.google.com/spreadsheets/d/11923uPwbBZFjjGgGUA6NLw09EwE0CqkOc4q9oUmW1yo/edit?usp=sharing"",""ตาก!J111"")"),0)</f>
        <v>0</v>
      </c>
      <c r="K186" s="223">
        <f t="shared" ca="1" si="69"/>
        <v>0</v>
      </c>
      <c r="L186" s="168"/>
      <c r="M186" s="168"/>
      <c r="N186" s="167"/>
      <c r="O186" s="168"/>
      <c r="P186" s="168"/>
    </row>
    <row r="187" spans="1:16" ht="21.75" customHeight="1" x14ac:dyDescent="0.3">
      <c r="A187" s="175"/>
      <c r="B187" s="176"/>
      <c r="C187" s="176"/>
      <c r="D187" s="193"/>
      <c r="E187" s="194" t="s">
        <v>54</v>
      </c>
      <c r="F187" s="195"/>
      <c r="G187" s="196"/>
      <c r="H187" s="186"/>
      <c r="I187" s="187"/>
      <c r="J187" s="187">
        <f ca="1">IFERROR(__xludf.DUMMYFUNCTION("IMPORTRANGE(""https://docs.google.com/spreadsheets/d/11923uPwbBZFjjGgGUA6NLw09EwE0CqkOc4q9oUmW1yo/edit?usp=sharing"",""ตาก!J112"")"),0)</f>
        <v>0</v>
      </c>
      <c r="K187" s="223"/>
      <c r="L187" s="168"/>
      <c r="M187" s="168"/>
      <c r="N187" s="168"/>
      <c r="O187" s="181"/>
      <c r="P187" s="181"/>
    </row>
    <row r="188" spans="1:16" ht="21.75" customHeight="1" x14ac:dyDescent="0.3">
      <c r="A188" s="175"/>
      <c r="B188" s="176"/>
      <c r="C188" s="176"/>
      <c r="D188" s="205">
        <v>3</v>
      </c>
      <c r="E188" s="206" t="s">
        <v>55</v>
      </c>
      <c r="F188" s="207"/>
      <c r="G188" s="208"/>
      <c r="H188" s="186"/>
      <c r="I188" s="187"/>
      <c r="J188" s="226">
        <f ca="1">IFERROR(__xludf.DUMMYFUNCTION("IMPORTRANGE(""https://docs.google.com/spreadsheets/d/11923uPwbBZFjjGgGUA6NLw09EwE0CqkOc4q9oUmW1yo/edit?usp=sharing"",""ตาก!J113"")"),0)</f>
        <v>0</v>
      </c>
      <c r="K188" s="223"/>
      <c r="L188" s="168"/>
      <c r="M188" s="168"/>
      <c r="N188" s="168"/>
      <c r="O188" s="181"/>
      <c r="P188" s="181"/>
    </row>
    <row r="189" spans="1:16" ht="21.75" customHeight="1" x14ac:dyDescent="0.3">
      <c r="A189" s="269"/>
      <c r="B189" s="270"/>
      <c r="C189" s="271" t="s">
        <v>88</v>
      </c>
      <c r="D189" s="271"/>
      <c r="E189" s="271"/>
      <c r="F189" s="271"/>
      <c r="G189" s="272"/>
      <c r="H189" s="284" t="s">
        <v>89</v>
      </c>
      <c r="I189" s="282">
        <f ca="1">IFERROR(__xludf.DUMMYFUNCTION("IMPORTRANGE(""https://docs.google.com/spreadsheets/d/11923uPwbBZFjjGgGUA6NLw09EwE0CqkOc4q9oUmW1yo/edit?usp=sharing"",""ตาก!I114"")"),50000)</f>
        <v>50000</v>
      </c>
      <c r="J189" s="282">
        <f ca="1">IFERROR(__xludf.DUMMYFUNCTION("IMPORTRANGE(""https://docs.google.com/spreadsheets/d/11923uPwbBZFjjGgGUA6NLw09EwE0CqkOc4q9oUmW1yo/edit?usp=sharing"",""ตาก!J114"")"),0)</f>
        <v>0</v>
      </c>
      <c r="K189" s="283">
        <f ca="1">IF(I189&gt;0,J189*100/I189,0)</f>
        <v>0</v>
      </c>
      <c r="L189" s="276"/>
      <c r="M189" s="276"/>
      <c r="N189" s="276"/>
      <c r="O189" s="276"/>
      <c r="P189" s="276"/>
    </row>
    <row r="190" spans="1:16" ht="21.75" customHeight="1" x14ac:dyDescent="0.3">
      <c r="A190" s="156"/>
      <c r="B190" s="157"/>
      <c r="C190" s="157" t="s">
        <v>16</v>
      </c>
      <c r="D190" s="158" t="s">
        <v>38</v>
      </c>
      <c r="E190" s="159"/>
      <c r="F190" s="159"/>
      <c r="G190" s="160" t="s">
        <v>39</v>
      </c>
      <c r="H190" s="161" t="s">
        <v>12</v>
      </c>
      <c r="I190" s="162" t="s">
        <v>40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3">
      <c r="A191" s="156"/>
      <c r="B191" s="157"/>
      <c r="C191" s="157"/>
      <c r="D191" s="166"/>
      <c r="E191" s="159"/>
      <c r="F191" s="159" t="s">
        <v>40</v>
      </c>
      <c r="G191" s="160" t="s">
        <v>41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3">
      <c r="A192" s="156"/>
      <c r="B192" s="157"/>
      <c r="C192" s="157"/>
      <c r="D192" s="166"/>
      <c r="E192" s="159"/>
      <c r="F192" s="159"/>
      <c r="G192" s="169" t="s">
        <v>43</v>
      </c>
      <c r="H192" s="161" t="s">
        <v>12</v>
      </c>
      <c r="I192" s="162"/>
      <c r="J192" s="162"/>
      <c r="K192" s="163"/>
      <c r="L192" s="168"/>
      <c r="M192" s="168"/>
      <c r="N192" s="167"/>
      <c r="O192" s="168"/>
      <c r="P192" s="168"/>
    </row>
    <row r="193" spans="1:16" ht="21.75" customHeight="1" x14ac:dyDescent="0.3">
      <c r="A193" s="175"/>
      <c r="B193" s="176"/>
      <c r="C193" s="157" t="s">
        <v>16</v>
      </c>
      <c r="D193" s="177" t="s">
        <v>44</v>
      </c>
      <c r="E193" s="178"/>
      <c r="F193" s="178"/>
      <c r="G193" s="179"/>
      <c r="H193" s="180"/>
      <c r="I193" s="162"/>
      <c r="J193" s="162"/>
      <c r="K193" s="163"/>
      <c r="L193" s="181"/>
      <c r="M193" s="181"/>
      <c r="N193" s="181"/>
      <c r="O193" s="181"/>
      <c r="P193" s="181"/>
    </row>
    <row r="194" spans="1:16" ht="21.75" customHeight="1" x14ac:dyDescent="0.3">
      <c r="A194" s="175"/>
      <c r="B194" s="176"/>
      <c r="C194" s="176"/>
      <c r="D194" s="182">
        <v>1</v>
      </c>
      <c r="E194" s="183" t="s">
        <v>45</v>
      </c>
      <c r="F194" s="184"/>
      <c r="G194" s="185"/>
      <c r="H194" s="186"/>
      <c r="I194" s="187"/>
      <c r="J194" s="197">
        <f ca="1">IFERROR(__xludf.DUMMYFUNCTION("IMPORTRANGE(""https://docs.google.com/spreadsheets/d/11923uPwbBZFjjGgGUA6NLw09EwE0CqkOc4q9oUmW1yo/edit?usp=sharing"",""ตาก!J119"")"),0)</f>
        <v>0</v>
      </c>
      <c r="K194" s="163"/>
      <c r="L194" s="181"/>
      <c r="M194" s="181"/>
      <c r="N194" s="181"/>
      <c r="O194" s="181"/>
      <c r="P194" s="181"/>
    </row>
    <row r="195" spans="1:16" ht="21.75" customHeight="1" x14ac:dyDescent="0.3">
      <c r="A195" s="175"/>
      <c r="B195" s="176"/>
      <c r="C195" s="176"/>
      <c r="D195" s="189">
        <v>2</v>
      </c>
      <c r="E195" s="190" t="s">
        <v>46</v>
      </c>
      <c r="F195" s="191"/>
      <c r="G195" s="192"/>
      <c r="H195" s="186"/>
      <c r="I195" s="187"/>
      <c r="J195" s="188">
        <f ca="1">IFERROR(__xludf.DUMMYFUNCTION("IMPORTRANGE(""https://docs.google.com/spreadsheets/d/11923uPwbBZFjjGgGUA6NLw09EwE0CqkOc4q9oUmW1yo/edit?usp=sharing"",""ตาก!J120"")"),1)</f>
        <v>1</v>
      </c>
      <c r="K195" s="163"/>
      <c r="L195" s="181"/>
      <c r="M195" s="181"/>
      <c r="N195" s="181"/>
      <c r="O195" s="181"/>
      <c r="P195" s="181"/>
    </row>
    <row r="196" spans="1:16" ht="21.75" customHeight="1" x14ac:dyDescent="0.3">
      <c r="A196" s="175"/>
      <c r="B196" s="176"/>
      <c r="C196" s="176"/>
      <c r="D196" s="193"/>
      <c r="E196" s="194" t="s">
        <v>47</v>
      </c>
      <c r="F196" s="195"/>
      <c r="G196" s="196"/>
      <c r="H196" s="186"/>
      <c r="I196" s="187"/>
      <c r="J196" s="188">
        <f ca="1">IFERROR(__xludf.DUMMYFUNCTION("IMPORTRANGE(""https://docs.google.com/spreadsheets/d/11923uPwbBZFjjGgGUA6NLw09EwE0CqkOc4q9oUmW1yo/edit?usp=sharing"",""ตาก!J121"")"),1)</f>
        <v>1</v>
      </c>
      <c r="K196" s="163"/>
      <c r="L196" s="181"/>
      <c r="M196" s="181"/>
      <c r="N196" s="181"/>
      <c r="O196" s="181"/>
      <c r="P196" s="181"/>
    </row>
    <row r="197" spans="1:16" ht="21.75" customHeight="1" x14ac:dyDescent="0.3">
      <c r="A197" s="175"/>
      <c r="B197" s="176"/>
      <c r="C197" s="176"/>
      <c r="D197" s="193"/>
      <c r="E197" s="194" t="s">
        <v>48</v>
      </c>
      <c r="F197" s="195"/>
      <c r="G197" s="196"/>
      <c r="H197" s="186"/>
      <c r="I197" s="187"/>
      <c r="J197" s="197">
        <f ca="1">IFERROR(__xludf.DUMMYFUNCTION("IMPORTRANGE(""https://docs.google.com/spreadsheets/d/11923uPwbBZFjjGgGUA6NLw09EwE0CqkOc4q9oUmW1yo/edit?usp=sharing"",""ตาก!J122"")"),1)</f>
        <v>1</v>
      </c>
      <c r="K197" s="163"/>
      <c r="L197" s="181"/>
      <c r="M197" s="181"/>
      <c r="N197" s="181"/>
      <c r="O197" s="181"/>
      <c r="P197" s="181"/>
    </row>
    <row r="198" spans="1:16" ht="21.75" customHeight="1" x14ac:dyDescent="0.3">
      <c r="A198" s="175"/>
      <c r="B198" s="176"/>
      <c r="C198" s="176"/>
      <c r="D198" s="193"/>
      <c r="E198" s="195"/>
      <c r="F198" s="195" t="s">
        <v>90</v>
      </c>
      <c r="G198" s="196"/>
      <c r="H198" s="180"/>
      <c r="I198" s="187"/>
      <c r="J198" s="187"/>
      <c r="K198" s="163"/>
      <c r="L198" s="181"/>
      <c r="M198" s="181"/>
      <c r="N198" s="181"/>
      <c r="O198" s="181"/>
      <c r="P198" s="181"/>
    </row>
    <row r="199" spans="1:16" ht="21.75" customHeight="1" x14ac:dyDescent="0.3">
      <c r="A199" s="175"/>
      <c r="B199" s="176"/>
      <c r="C199" s="176"/>
      <c r="D199" s="193"/>
      <c r="E199" s="198"/>
      <c r="F199" s="195"/>
      <c r="G199" s="194" t="s">
        <v>91</v>
      </c>
      <c r="H199" s="180" t="s">
        <v>89</v>
      </c>
      <c r="I199" s="187">
        <f ca="1">IFERROR(__xludf.DUMMYFUNCTION("IMPORTRANGE(""https://docs.google.com/spreadsheets/d/11923uPwbBZFjjGgGUA6NLw09EwE0CqkOc4q9oUmW1yo/edit?usp=sharing"",""ตาก!I124"")"),50000)</f>
        <v>50000</v>
      </c>
      <c r="J199" s="188">
        <f ca="1">IFERROR(__xludf.DUMMYFUNCTION("IMPORTRANGE(""https://docs.google.com/spreadsheets/d/11923uPwbBZFjjGgGUA6NLw09EwE0CqkOc4q9oUmW1yo/edit?usp=sharing"",""ตาก!J124"")"),50000)</f>
        <v>50000</v>
      </c>
      <c r="K199" s="163">
        <f t="shared" ref="K199:K201" ca="1" si="70">IF(I199&gt;0,J199*100/I199,0)</f>
        <v>100</v>
      </c>
      <c r="L199" s="181"/>
      <c r="M199" s="181"/>
      <c r="N199" s="181"/>
      <c r="O199" s="181"/>
      <c r="P199" s="181"/>
    </row>
    <row r="200" spans="1:16" ht="21.75" customHeight="1" x14ac:dyDescent="0.3">
      <c r="A200" s="175"/>
      <c r="B200" s="176"/>
      <c r="C200" s="176"/>
      <c r="D200" s="193"/>
      <c r="E200" s="198"/>
      <c r="F200" s="195"/>
      <c r="G200" s="194" t="s">
        <v>92</v>
      </c>
      <c r="H200" s="180" t="s">
        <v>89</v>
      </c>
      <c r="I200" s="187">
        <f ca="1">IFERROR(__xludf.DUMMYFUNCTION("IMPORTRANGE(""https://docs.google.com/spreadsheets/d/11923uPwbBZFjjGgGUA6NLw09EwE0CqkOc4q9oUmW1yo/edit?usp=sharing"",""ตาก!I125"")"),50000)</f>
        <v>50000</v>
      </c>
      <c r="J200" s="188">
        <f ca="1">IFERROR(__xludf.DUMMYFUNCTION("IMPORTRANGE(""https://docs.google.com/spreadsheets/d/11923uPwbBZFjjGgGUA6NLw09EwE0CqkOc4q9oUmW1yo/edit?usp=sharing"",""ตาก!J125"")"),0)</f>
        <v>0</v>
      </c>
      <c r="K200" s="163">
        <f t="shared" ca="1" si="70"/>
        <v>0</v>
      </c>
      <c r="L200" s="168"/>
      <c r="M200" s="168"/>
      <c r="N200" s="167"/>
      <c r="O200" s="168"/>
      <c r="P200" s="168"/>
    </row>
    <row r="201" spans="1:16" ht="21.75" customHeight="1" x14ac:dyDescent="0.3">
      <c r="A201" s="175"/>
      <c r="B201" s="176"/>
      <c r="C201" s="176"/>
      <c r="D201" s="193"/>
      <c r="E201" s="198"/>
      <c r="F201" s="195" t="s">
        <v>93</v>
      </c>
      <c r="G201" s="196"/>
      <c r="H201" s="180" t="s">
        <v>37</v>
      </c>
      <c r="I201" s="187">
        <f ca="1">IFERROR(__xludf.DUMMYFUNCTION("IMPORTRANGE(""https://docs.google.com/spreadsheets/d/11923uPwbBZFjjGgGUA6NLw09EwE0CqkOc4q9oUmW1yo/edit?usp=sharing"",""ตาก!I126"")"),0)</f>
        <v>0</v>
      </c>
      <c r="J201" s="188">
        <f ca="1">IFERROR(__xludf.DUMMYFUNCTION("IMPORTRANGE(""https://docs.google.com/spreadsheets/d/11923uPwbBZFjjGgGUA6NLw09EwE0CqkOc4q9oUmW1yo/edit?usp=sharing"",""ตาก!J126"")"),0)</f>
        <v>0</v>
      </c>
      <c r="K201" s="163">
        <f t="shared" ca="1" si="70"/>
        <v>0</v>
      </c>
      <c r="L201" s="168"/>
      <c r="M201" s="168"/>
      <c r="N201" s="167"/>
      <c r="O201" s="168"/>
      <c r="P201" s="168"/>
    </row>
    <row r="202" spans="1:16" ht="21.75" customHeight="1" x14ac:dyDescent="0.3">
      <c r="A202" s="175"/>
      <c r="B202" s="176"/>
      <c r="C202" s="176"/>
      <c r="D202" s="193"/>
      <c r="E202" s="194" t="s">
        <v>54</v>
      </c>
      <c r="F202" s="195"/>
      <c r="G202" s="196"/>
      <c r="H202" s="186"/>
      <c r="I202" s="187"/>
      <c r="J202" s="197">
        <f ca="1">IFERROR(__xludf.DUMMYFUNCTION("IMPORTRANGE(""https://docs.google.com/spreadsheets/d/11923uPwbBZFjjGgGUA6NLw09EwE0CqkOc4q9oUmW1yo/edit?usp=sharing"",""ตาก!J127"")"),0)</f>
        <v>0</v>
      </c>
      <c r="K202" s="163"/>
      <c r="L202" s="181"/>
      <c r="M202" s="181"/>
      <c r="N202" s="181"/>
      <c r="O202" s="181"/>
      <c r="P202" s="181"/>
    </row>
    <row r="203" spans="1:16" ht="21.75" customHeight="1" x14ac:dyDescent="0.3">
      <c r="A203" s="233"/>
      <c r="B203" s="234"/>
      <c r="C203" s="234"/>
      <c r="D203" s="235">
        <v>3</v>
      </c>
      <c r="E203" s="236" t="s">
        <v>55</v>
      </c>
      <c r="F203" s="237"/>
      <c r="G203" s="238"/>
      <c r="H203" s="239"/>
      <c r="I203" s="240"/>
      <c r="J203" s="285">
        <f ca="1">IFERROR(__xludf.DUMMYFUNCTION("IMPORTRANGE(""https://docs.google.com/spreadsheets/d/11923uPwbBZFjjGgGUA6NLw09EwE0CqkOc4q9oUmW1yo/edit?usp=sharing"",""ตาก!J128"")"),0)</f>
        <v>0</v>
      </c>
      <c r="K203" s="286"/>
      <c r="L203" s="244"/>
      <c r="M203" s="244"/>
      <c r="N203" s="244"/>
      <c r="O203" s="244"/>
      <c r="P203" s="244"/>
    </row>
    <row r="204" spans="1:16" ht="21.75" customHeight="1" x14ac:dyDescent="0.3">
      <c r="A204" s="269"/>
      <c r="B204" s="270"/>
      <c r="C204" s="287" t="s">
        <v>94</v>
      </c>
      <c r="D204" s="271"/>
      <c r="E204" s="271"/>
      <c r="F204" s="271"/>
      <c r="G204" s="272"/>
      <c r="H204" s="284" t="s">
        <v>37</v>
      </c>
      <c r="I204" s="282">
        <f ca="1">IFERROR(__xludf.DUMMYFUNCTION("IMPORTRANGE(""https://docs.google.com/spreadsheets/d/11923uPwbBZFjjGgGUA6NLw09EwE0CqkOc4q9oUmW1yo/edit?usp=sharing"",""ตาก!I129"")"),0)</f>
        <v>0</v>
      </c>
      <c r="J204" s="282">
        <f ca="1">IFERROR(__xludf.DUMMYFUNCTION("IMPORTRANGE(""https://docs.google.com/spreadsheets/d/11923uPwbBZFjjGgGUA6NLw09EwE0CqkOc4q9oUmW1yo/edit?usp=sharing"",""ตาก!J129"")"),0)</f>
        <v>0</v>
      </c>
      <c r="K204" s="283">
        <f ca="1">IF(I204&gt;0,J204*100/I204,0)</f>
        <v>0</v>
      </c>
      <c r="L204" s="276"/>
      <c r="M204" s="276"/>
      <c r="N204" s="276"/>
      <c r="O204" s="276"/>
      <c r="P204" s="276"/>
    </row>
    <row r="205" spans="1:16" ht="21.75" customHeight="1" x14ac:dyDescent="0.3">
      <c r="A205" s="156"/>
      <c r="B205" s="157"/>
      <c r="C205" s="157" t="s">
        <v>16</v>
      </c>
      <c r="D205" s="158" t="s">
        <v>38</v>
      </c>
      <c r="E205" s="159"/>
      <c r="F205" s="159"/>
      <c r="G205" s="160" t="s">
        <v>39</v>
      </c>
      <c r="H205" s="161" t="s">
        <v>12</v>
      </c>
      <c r="I205" s="162" t="s">
        <v>40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3">
      <c r="A206" s="156"/>
      <c r="B206" s="157"/>
      <c r="C206" s="157"/>
      <c r="D206" s="166"/>
      <c r="E206" s="159"/>
      <c r="F206" s="159" t="s">
        <v>40</v>
      </c>
      <c r="G206" s="160" t="s">
        <v>41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3">
      <c r="A207" s="156"/>
      <c r="B207" s="157"/>
      <c r="C207" s="157"/>
      <c r="D207" s="166"/>
      <c r="E207" s="159"/>
      <c r="F207" s="159"/>
      <c r="G207" s="169" t="s">
        <v>43</v>
      </c>
      <c r="H207" s="161" t="s">
        <v>12</v>
      </c>
      <c r="I207" s="162"/>
      <c r="J207" s="187"/>
      <c r="K207" s="223"/>
      <c r="L207" s="168"/>
      <c r="M207" s="168"/>
      <c r="N207" s="167"/>
      <c r="O207" s="168"/>
      <c r="P207" s="168"/>
    </row>
    <row r="208" spans="1:16" ht="21.75" customHeight="1" x14ac:dyDescent="0.3">
      <c r="A208" s="175"/>
      <c r="B208" s="176"/>
      <c r="C208" s="157" t="s">
        <v>16</v>
      </c>
      <c r="D208" s="177" t="s">
        <v>44</v>
      </c>
      <c r="E208" s="178"/>
      <c r="F208" s="178"/>
      <c r="G208" s="179"/>
      <c r="H208" s="180"/>
      <c r="I208" s="162"/>
      <c r="J208" s="187"/>
      <c r="K208" s="223"/>
      <c r="L208" s="168"/>
      <c r="M208" s="168"/>
      <c r="N208" s="168"/>
      <c r="O208" s="181"/>
      <c r="P208" s="181"/>
    </row>
    <row r="209" spans="1:16" ht="21.75" customHeight="1" x14ac:dyDescent="0.3">
      <c r="A209" s="175"/>
      <c r="B209" s="176"/>
      <c r="C209" s="176"/>
      <c r="D209" s="182">
        <v>1</v>
      </c>
      <c r="E209" s="183" t="s">
        <v>45</v>
      </c>
      <c r="F209" s="184"/>
      <c r="G209" s="185"/>
      <c r="H209" s="186"/>
      <c r="I209" s="187"/>
      <c r="J209" s="187">
        <f ca="1">IFERROR(__xludf.DUMMYFUNCTION("IMPORTRANGE(""https://docs.google.com/spreadsheets/d/11923uPwbBZFjjGgGUA6NLw09EwE0CqkOc4q9oUmW1yo/edit?usp=sharing"",""ตาก!J134"")"),0)</f>
        <v>0</v>
      </c>
      <c r="K209" s="223"/>
      <c r="L209" s="168"/>
      <c r="M209" s="168"/>
      <c r="N209" s="168"/>
      <c r="O209" s="181"/>
      <c r="P209" s="181"/>
    </row>
    <row r="210" spans="1:16" ht="21.75" customHeight="1" x14ac:dyDescent="0.3">
      <c r="A210" s="175"/>
      <c r="B210" s="176"/>
      <c r="C210" s="176"/>
      <c r="D210" s="189">
        <v>2</v>
      </c>
      <c r="E210" s="190" t="s">
        <v>46</v>
      </c>
      <c r="F210" s="191"/>
      <c r="G210" s="192"/>
      <c r="H210" s="186"/>
      <c r="I210" s="187"/>
      <c r="J210" s="187">
        <f ca="1">IFERROR(__xludf.DUMMYFUNCTION("IMPORTRANGE(""https://docs.google.com/spreadsheets/d/11923uPwbBZFjjGgGUA6NLw09EwE0CqkOc4q9oUmW1yo/edit?usp=sharing"",""ตาก!J135"")"),0)</f>
        <v>0</v>
      </c>
      <c r="K210" s="223"/>
      <c r="L210" s="168"/>
      <c r="M210" s="168"/>
      <c r="N210" s="168"/>
      <c r="O210" s="181"/>
      <c r="P210" s="181"/>
    </row>
    <row r="211" spans="1:16" ht="21.75" customHeight="1" x14ac:dyDescent="0.3">
      <c r="A211" s="175"/>
      <c r="B211" s="176"/>
      <c r="C211" s="176"/>
      <c r="D211" s="193"/>
      <c r="E211" s="194" t="s">
        <v>47</v>
      </c>
      <c r="F211" s="195"/>
      <c r="G211" s="196"/>
      <c r="H211" s="186"/>
      <c r="I211" s="187"/>
      <c r="J211" s="187">
        <f ca="1">IFERROR(__xludf.DUMMYFUNCTION("IMPORTRANGE(""https://docs.google.com/spreadsheets/d/11923uPwbBZFjjGgGUA6NLw09EwE0CqkOc4q9oUmW1yo/edit?usp=sharing"",""ตาก!J136"")"),0)</f>
        <v>0</v>
      </c>
      <c r="K211" s="223"/>
      <c r="L211" s="168"/>
      <c r="M211" s="168"/>
      <c r="N211" s="168"/>
      <c r="O211" s="181"/>
      <c r="P211" s="181"/>
    </row>
    <row r="212" spans="1:16" ht="21.75" customHeight="1" x14ac:dyDescent="0.3">
      <c r="A212" s="175"/>
      <c r="B212" s="176"/>
      <c r="C212" s="176"/>
      <c r="D212" s="193"/>
      <c r="E212" s="194" t="s">
        <v>48</v>
      </c>
      <c r="F212" s="195"/>
      <c r="G212" s="196"/>
      <c r="H212" s="186"/>
      <c r="I212" s="187"/>
      <c r="J212" s="187">
        <f ca="1">IFERROR(__xludf.DUMMYFUNCTION("IMPORTRANGE(""https://docs.google.com/spreadsheets/d/11923uPwbBZFjjGgGUA6NLw09EwE0CqkOc4q9oUmW1yo/edit?usp=sharing"",""ตาก!J137"")"),0)</f>
        <v>0</v>
      </c>
      <c r="K212" s="223"/>
      <c r="L212" s="168"/>
      <c r="M212" s="168"/>
      <c r="N212" s="168"/>
      <c r="O212" s="181"/>
      <c r="P212" s="181"/>
    </row>
    <row r="213" spans="1:16" ht="21.75" customHeight="1" x14ac:dyDescent="0.3">
      <c r="A213" s="175"/>
      <c r="B213" s="176"/>
      <c r="C213" s="176"/>
      <c r="D213" s="193"/>
      <c r="E213" s="198"/>
      <c r="F213" s="195" t="s">
        <v>95</v>
      </c>
      <c r="G213" s="196"/>
      <c r="H213" s="180" t="s">
        <v>37</v>
      </c>
      <c r="I213" s="187">
        <f ca="1">IFERROR(__xludf.DUMMYFUNCTION("IMPORTRANGE(""https://docs.google.com/spreadsheets/d/11923uPwbBZFjjGgGUA6NLw09EwE0CqkOc4q9oUmW1yo/edit?usp=sharing"",""ตาก!I138"")"),0)</f>
        <v>0</v>
      </c>
      <c r="J213" s="203">
        <f ca="1">IFERROR(__xludf.DUMMYFUNCTION("IMPORTRANGE(""https://docs.google.com/spreadsheets/d/11923uPwbBZFjjGgGUA6NLw09EwE0CqkOc4q9oUmW1yo/edit?usp=sharing"",""ตาก!J138"")"),0)</f>
        <v>0</v>
      </c>
      <c r="K213" s="223">
        <f ca="1">IF(I213&gt;0,J213*100/I213,0)</f>
        <v>0</v>
      </c>
      <c r="L213" s="168"/>
      <c r="M213" s="168"/>
      <c r="N213" s="167"/>
      <c r="O213" s="168"/>
      <c r="P213" s="168"/>
    </row>
    <row r="214" spans="1:16" ht="21.75" customHeight="1" x14ac:dyDescent="0.3">
      <c r="A214" s="175"/>
      <c r="B214" s="176"/>
      <c r="C214" s="176"/>
      <c r="D214" s="193"/>
      <c r="E214" s="198"/>
      <c r="F214" s="194" t="s">
        <v>53</v>
      </c>
      <c r="G214" s="196"/>
      <c r="H214" s="180"/>
      <c r="I214" s="187"/>
      <c r="J214" s="187"/>
      <c r="K214" s="223"/>
      <c r="L214" s="168"/>
      <c r="M214" s="168"/>
      <c r="N214" s="168"/>
      <c r="O214" s="181"/>
      <c r="P214" s="181"/>
    </row>
    <row r="215" spans="1:16" ht="21.75" customHeight="1" x14ac:dyDescent="0.3">
      <c r="A215" s="175"/>
      <c r="B215" s="176"/>
      <c r="C215" s="176"/>
      <c r="D215" s="193"/>
      <c r="E215" s="198"/>
      <c r="F215" s="195"/>
      <c r="G215" s="225" t="s">
        <v>96</v>
      </c>
      <c r="H215" s="180" t="s">
        <v>37</v>
      </c>
      <c r="I215" s="187">
        <f ca="1">IFERROR(__xludf.DUMMYFUNCTION("IMPORTRANGE(""https://docs.google.com/spreadsheets/d/11923uPwbBZFjjGgGUA6NLw09EwE0CqkOc4q9oUmW1yo/edit?usp=sharing"",""ตาก!I140"")"),0)</f>
        <v>0</v>
      </c>
      <c r="J215" s="203">
        <f ca="1">IFERROR(__xludf.DUMMYFUNCTION("IMPORTRANGE(""https://docs.google.com/spreadsheets/d/11923uPwbBZFjjGgGUA6NLw09EwE0CqkOc4q9oUmW1yo/edit?usp=sharing"",""ตาก!J140"")"),0)</f>
        <v>0</v>
      </c>
      <c r="K215" s="223">
        <f t="shared" ref="K215:K216" ca="1" si="71">IF(I215&gt;0,J215*100/I215,0)</f>
        <v>0</v>
      </c>
      <c r="L215" s="168"/>
      <c r="M215" s="168"/>
      <c r="N215" s="167"/>
      <c r="O215" s="168"/>
      <c r="P215" s="168"/>
    </row>
    <row r="216" spans="1:16" ht="21.75" customHeight="1" x14ac:dyDescent="0.3">
      <c r="A216" s="175"/>
      <c r="B216" s="176"/>
      <c r="C216" s="176"/>
      <c r="D216" s="193"/>
      <c r="E216" s="198"/>
      <c r="F216" s="195"/>
      <c r="G216" s="225" t="s">
        <v>97</v>
      </c>
      <c r="H216" s="180" t="s">
        <v>59</v>
      </c>
      <c r="I216" s="187">
        <f ca="1">IFERROR(__xludf.DUMMYFUNCTION("IMPORTRANGE(""https://docs.google.com/spreadsheets/d/11923uPwbBZFjjGgGUA6NLw09EwE0CqkOc4q9oUmW1yo/edit?usp=sharing"",""ตาก!I141"")"),0)</f>
        <v>0</v>
      </c>
      <c r="J216" s="203">
        <f ca="1">IFERROR(__xludf.DUMMYFUNCTION("IMPORTRANGE(""https://docs.google.com/spreadsheets/d/11923uPwbBZFjjGgGUA6NLw09EwE0CqkOc4q9oUmW1yo/edit?usp=sharing"",""ตาก!J141"")"),0)</f>
        <v>0</v>
      </c>
      <c r="K216" s="223">
        <f t="shared" ca="1" si="71"/>
        <v>0</v>
      </c>
      <c r="L216" s="168"/>
      <c r="M216" s="168"/>
      <c r="N216" s="167"/>
      <c r="O216" s="168"/>
      <c r="P216" s="168"/>
    </row>
    <row r="217" spans="1:16" ht="21.75" customHeight="1" x14ac:dyDescent="0.3">
      <c r="A217" s="175"/>
      <c r="B217" s="176"/>
      <c r="C217" s="176"/>
      <c r="D217" s="193"/>
      <c r="E217" s="194" t="s">
        <v>54</v>
      </c>
      <c r="F217" s="195"/>
      <c r="G217" s="196"/>
      <c r="H217" s="186"/>
      <c r="I217" s="187"/>
      <c r="J217" s="187">
        <f ca="1">IFERROR(__xludf.DUMMYFUNCTION("IMPORTRANGE(""https://docs.google.com/spreadsheets/d/11923uPwbBZFjjGgGUA6NLw09EwE0CqkOc4q9oUmW1yo/edit?usp=sharing"",""ตาก!J142"")"),0)</f>
        <v>0</v>
      </c>
      <c r="K217" s="223"/>
      <c r="L217" s="168"/>
      <c r="M217" s="168"/>
      <c r="N217" s="168"/>
      <c r="O217" s="181"/>
      <c r="P217" s="181"/>
    </row>
    <row r="218" spans="1:16" ht="21.75" customHeight="1" x14ac:dyDescent="0.3">
      <c r="A218" s="233"/>
      <c r="B218" s="234"/>
      <c r="C218" s="234"/>
      <c r="D218" s="235">
        <v>3</v>
      </c>
      <c r="E218" s="236" t="s">
        <v>55</v>
      </c>
      <c r="F218" s="237"/>
      <c r="G218" s="238"/>
      <c r="H218" s="239"/>
      <c r="I218" s="240"/>
      <c r="J218" s="241">
        <f ca="1">IFERROR(__xludf.DUMMYFUNCTION("IMPORTRANGE(""https://docs.google.com/spreadsheets/d/11923uPwbBZFjjGgGUA6NLw09EwE0CqkOc4q9oUmW1yo/edit?usp=sharing"",""ตาก!J143"")"),0)</f>
        <v>0</v>
      </c>
      <c r="K218" s="242"/>
      <c r="L218" s="243"/>
      <c r="M218" s="243"/>
      <c r="N218" s="243"/>
      <c r="O218" s="244"/>
      <c r="P218" s="244"/>
    </row>
    <row r="219" spans="1:16" ht="21.75" customHeight="1" x14ac:dyDescent="0.3">
      <c r="A219" s="261"/>
      <c r="B219" s="262" t="s">
        <v>98</v>
      </c>
      <c r="C219" s="263"/>
      <c r="D219" s="262"/>
      <c r="E219" s="262"/>
      <c r="F219" s="262"/>
      <c r="G219" s="264"/>
      <c r="H219" s="265" t="s">
        <v>37</v>
      </c>
      <c r="I219" s="266">
        <f ca="1">IFERROR(__xludf.DUMMYFUNCTION("IMPORTRANGE(""https://docs.google.com/spreadsheets/d/11923uPwbBZFjjGgGUA6NLw09EwE0CqkOc4q9oUmW1yo/edit?usp=sharing"",""ตาก!I144"")"),14)</f>
        <v>14</v>
      </c>
      <c r="J219" s="266">
        <f ca="1">IFERROR(__xludf.DUMMYFUNCTION("IMPORTRANGE(""https://docs.google.com/spreadsheets/d/11923uPwbBZFjjGgGUA6NLw09EwE0CqkOc4q9oUmW1yo/edit?usp=sharing"",""ตาก!J144"")"),14)</f>
        <v>14</v>
      </c>
      <c r="K219" s="267">
        <f ca="1">IF(I219&gt;0,J219*100/I219,0)</f>
        <v>100</v>
      </c>
      <c r="L219" s="268"/>
      <c r="M219" s="268"/>
      <c r="N219" s="268"/>
      <c r="O219" s="267"/>
      <c r="P219" s="267"/>
    </row>
    <row r="220" spans="1:16" ht="21.75" customHeight="1" x14ac:dyDescent="0.45">
      <c r="A220" s="145"/>
      <c r="B220" s="146"/>
      <c r="C220" s="147" t="s">
        <v>16</v>
      </c>
      <c r="D220" s="537" t="s">
        <v>17</v>
      </c>
      <c r="E220" s="528"/>
      <c r="F220" s="528"/>
      <c r="G220" s="528"/>
      <c r="H220" s="148" t="s">
        <v>12</v>
      </c>
      <c r="I220" s="162"/>
      <c r="J220" s="162"/>
      <c r="K220" s="163"/>
      <c r="L220" s="151">
        <f t="shared" ref="L220:N220" ca="1" si="72">L221+L222</f>
        <v>20210</v>
      </c>
      <c r="M220" s="151">
        <f t="shared" ca="1" si="72"/>
        <v>20210</v>
      </c>
      <c r="N220" s="151">
        <f t="shared" ca="1" si="72"/>
        <v>20210</v>
      </c>
      <c r="O220" s="150">
        <f t="shared" ref="O220:O222" ca="1" si="73">IF(L220&gt;0,N220*100/L220,0)</f>
        <v>100</v>
      </c>
      <c r="P220" s="150">
        <f t="shared" ref="P220:P222" ca="1" si="74">IF(M220&gt;0,N220*100/M220,0)</f>
        <v>100</v>
      </c>
    </row>
    <row r="221" spans="1:16" ht="21.75" customHeight="1" x14ac:dyDescent="0.45">
      <c r="A221" s="152"/>
      <c r="B221" s="32"/>
      <c r="C221" s="32"/>
      <c r="D221" s="32"/>
      <c r="E221" s="32"/>
      <c r="F221" s="32"/>
      <c r="G221" s="33" t="s">
        <v>18</v>
      </c>
      <c r="H221" s="153" t="s">
        <v>12</v>
      </c>
      <c r="I221" s="162"/>
      <c r="J221" s="162"/>
      <c r="K221" s="163"/>
      <c r="L221" s="87">
        <f t="shared" ref="L221:N221" si="75">L223+L227</f>
        <v>0</v>
      </c>
      <c r="M221" s="87">
        <f t="shared" si="75"/>
        <v>0</v>
      </c>
      <c r="N221" s="87">
        <f t="shared" si="75"/>
        <v>0</v>
      </c>
      <c r="O221" s="155">
        <f t="shared" si="73"/>
        <v>0</v>
      </c>
      <c r="P221" s="155">
        <f t="shared" si="74"/>
        <v>0</v>
      </c>
    </row>
    <row r="222" spans="1:16" ht="21.75" customHeight="1" x14ac:dyDescent="0.45">
      <c r="A222" s="152"/>
      <c r="B222" s="32"/>
      <c r="C222" s="32"/>
      <c r="D222" s="32"/>
      <c r="E222" s="32"/>
      <c r="F222" s="32"/>
      <c r="G222" s="33" t="s">
        <v>19</v>
      </c>
      <c r="H222" s="153" t="s">
        <v>12</v>
      </c>
      <c r="I222" s="162"/>
      <c r="J222" s="162"/>
      <c r="K222" s="163"/>
      <c r="L222" s="87">
        <f t="shared" ref="L222:N222" ca="1" si="76">L224+L228</f>
        <v>20210</v>
      </c>
      <c r="M222" s="87">
        <f t="shared" ca="1" si="76"/>
        <v>20210</v>
      </c>
      <c r="N222" s="87">
        <f t="shared" ca="1" si="76"/>
        <v>20210</v>
      </c>
      <c r="O222" s="155">
        <f t="shared" ca="1" si="73"/>
        <v>100</v>
      </c>
      <c r="P222" s="155">
        <f t="shared" ca="1" si="74"/>
        <v>100</v>
      </c>
    </row>
    <row r="223" spans="1:16" ht="21.75" customHeight="1" x14ac:dyDescent="0.3">
      <c r="A223" s="156"/>
      <c r="B223" s="157"/>
      <c r="C223" s="157" t="s">
        <v>16</v>
      </c>
      <c r="D223" s="158" t="s">
        <v>38</v>
      </c>
      <c r="E223" s="159"/>
      <c r="F223" s="159"/>
      <c r="G223" s="160" t="s">
        <v>39</v>
      </c>
      <c r="H223" s="161" t="s">
        <v>12</v>
      </c>
      <c r="I223" s="162" t="s">
        <v>40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3">
      <c r="A224" s="156"/>
      <c r="B224" s="157"/>
      <c r="C224" s="157"/>
      <c r="D224" s="166"/>
      <c r="E224" s="159"/>
      <c r="F224" s="159" t="s">
        <v>40</v>
      </c>
      <c r="G224" s="160" t="s">
        <v>41</v>
      </c>
      <c r="H224" s="161" t="s">
        <v>12</v>
      </c>
      <c r="I224" s="162"/>
      <c r="J224" s="162"/>
      <c r="K224" s="163"/>
      <c r="L224" s="167">
        <f ca="1">L225+L226</f>
        <v>20210</v>
      </c>
      <c r="M224" s="167">
        <f ca="1">IFERROR(__xludf.DUMMYFUNCTION("IMPORTRANGE(""https://docs.google.com/spreadsheets/d/1Yj_ptqi66GCucihVvJfMjLAmec39IyEx_6qawtMGysU/edit?usp=sharing"",""สบก!BS23"")"),20210)</f>
        <v>20210</v>
      </c>
      <c r="N224" s="168">
        <f ca="1">IFERROR(__xludf.DUMMYFUNCTION("IMPORTRANGE(""https://docs.google.com/spreadsheets/d/1Yj_ptqi66GCucihVvJfMjLAmec39IyEx_6qawtMGysU/edit?usp=sharing"",""สบก!BT23"")"),20210)</f>
        <v>20210</v>
      </c>
      <c r="O224" s="168">
        <f ca="1">IF(L224&gt;0,N224*100/L224,0)</f>
        <v>100</v>
      </c>
      <c r="P224" s="168">
        <f ca="1">IF(M224&gt;0,N224*100/M224,0)</f>
        <v>100</v>
      </c>
    </row>
    <row r="225" spans="1:16" ht="21.75" customHeight="1" x14ac:dyDescent="0.3">
      <c r="A225" s="156"/>
      <c r="B225" s="157"/>
      <c r="C225" s="157"/>
      <c r="D225" s="166"/>
      <c r="E225" s="159"/>
      <c r="F225" s="159"/>
      <c r="G225" s="169" t="s">
        <v>42</v>
      </c>
      <c r="H225" s="161" t="s">
        <v>12</v>
      </c>
      <c r="I225" s="162"/>
      <c r="J225" s="162"/>
      <c r="K225" s="163"/>
      <c r="L225" s="167">
        <f ca="1">IFERROR(__xludf.DUMMYFUNCTION("IMPORTRANGE(""https://docs.google.com/spreadsheets/d/1Yj_ptqi66GCucihVvJfMjLAmec39IyEx_6qawtMGysU/edit?usp=sharing"",""สบก!BO23"")"),0)</f>
        <v>0</v>
      </c>
      <c r="M225" s="167"/>
      <c r="N225" s="167"/>
      <c r="O225" s="168"/>
      <c r="P225" s="168"/>
    </row>
    <row r="226" spans="1:16" ht="21.75" customHeight="1" x14ac:dyDescent="0.3">
      <c r="A226" s="156"/>
      <c r="B226" s="157"/>
      <c r="C226" s="157"/>
      <c r="D226" s="166"/>
      <c r="E226" s="159"/>
      <c r="F226" s="159"/>
      <c r="G226" s="169" t="s">
        <v>43</v>
      </c>
      <c r="H226" s="161" t="s">
        <v>12</v>
      </c>
      <c r="I226" s="162"/>
      <c r="J226" s="162"/>
      <c r="K226" s="163"/>
      <c r="L226" s="167">
        <f ca="1">IFERROR(__xludf.DUMMYFUNCTION("IMPORTRANGE(""https://docs.google.com/spreadsheets/d/1Yj_ptqi66GCucihVvJfMjLAmec39IyEx_6qawtMGysU/edit?usp=sharing"",""สบก!BP23"")"),20210)</f>
        <v>20210</v>
      </c>
      <c r="M226" s="167"/>
      <c r="N226" s="167"/>
      <c r="O226" s="168"/>
      <c r="P226" s="168"/>
    </row>
    <row r="227" spans="1:16" ht="21.75" customHeight="1" x14ac:dyDescent="0.45">
      <c r="A227" s="170"/>
      <c r="B227" s="80"/>
      <c r="C227" s="81" t="s">
        <v>16</v>
      </c>
      <c r="D227" s="534" t="s">
        <v>23</v>
      </c>
      <c r="E227" s="530"/>
      <c r="F227" s="88"/>
      <c r="G227" s="82" t="s">
        <v>18</v>
      </c>
      <c r="H227" s="171" t="s">
        <v>12</v>
      </c>
      <c r="I227" s="200"/>
      <c r="J227" s="200"/>
      <c r="K227" s="288"/>
      <c r="L227" s="41">
        <v>0</v>
      </c>
      <c r="M227" s="41"/>
      <c r="N227" s="41"/>
      <c r="O227" s="41"/>
      <c r="P227" s="41"/>
    </row>
    <row r="228" spans="1:16" ht="21.75" customHeight="1" x14ac:dyDescent="0.45">
      <c r="A228" s="172"/>
      <c r="B228" s="91"/>
      <c r="C228" s="91"/>
      <c r="D228" s="173"/>
      <c r="E228" s="92"/>
      <c r="F228" s="92"/>
      <c r="G228" s="93" t="s">
        <v>19</v>
      </c>
      <c r="H228" s="174" t="s">
        <v>12</v>
      </c>
      <c r="I228" s="200"/>
      <c r="J228" s="200"/>
      <c r="K228" s="288"/>
      <c r="L228" s="49">
        <f ca="1">IFERROR(__xludf.DUMMYFUNCTION("IMPORTRANGE(""https://docs.google.com/spreadsheets/d/1Yj_ptqi66GCucihVvJfMjLAmec39IyEx_6qawtMGysU/edit?usp=sharing"",""สบก!BQ23"")"),0)</f>
        <v>0</v>
      </c>
      <c r="M228" s="49"/>
      <c r="N228" s="49">
        <f ca="1">IFERROR(__xludf.DUMMYFUNCTION("IMPORTRANGE(""https://docs.google.com/spreadsheets/d/1Yj_ptqi66GCucihVvJfMjLAmec39IyEx_6qawtMGysU/edit?usp=sharing"",""สบก!BU23"")"),0)</f>
        <v>0</v>
      </c>
      <c r="O228" s="49">
        <f ca="1">IF(L228&gt;0,N228*100/L228,0)</f>
        <v>0</v>
      </c>
      <c r="P228" s="49"/>
    </row>
    <row r="229" spans="1:16" ht="21.75" customHeight="1" x14ac:dyDescent="0.3">
      <c r="A229" s="175"/>
      <c r="B229" s="289"/>
      <c r="C229" s="263" t="s">
        <v>99</v>
      </c>
      <c r="D229" s="262"/>
      <c r="E229" s="262"/>
      <c r="F229" s="262"/>
      <c r="G229" s="264"/>
      <c r="H229" s="265" t="s">
        <v>37</v>
      </c>
      <c r="I229" s="266">
        <f ca="1">IFERROR(__xludf.DUMMYFUNCTION("IMPORTRANGE(""https://docs.google.com/spreadsheets/d/11923uPwbBZFjjGgGUA6NLw09EwE0CqkOc4q9oUmW1yo/edit?usp=sharing"",""ตาก!I149"")"),14)</f>
        <v>14</v>
      </c>
      <c r="J229" s="266">
        <f ca="1">IFERROR(__xludf.DUMMYFUNCTION("IMPORTRANGE(""https://docs.google.com/spreadsheets/d/11923uPwbBZFjjGgGUA6NLw09EwE0CqkOc4q9oUmW1yo/edit?usp=sharing"",""ตาก!J149"")"),14)</f>
        <v>14</v>
      </c>
      <c r="K229" s="267">
        <f ca="1">IF(I229&gt;0,J229*100/I229,0)</f>
        <v>100</v>
      </c>
      <c r="L229" s="290"/>
      <c r="M229" s="290"/>
      <c r="N229" s="290"/>
      <c r="O229" s="290"/>
      <c r="P229" s="290"/>
    </row>
    <row r="230" spans="1:16" ht="21.75" customHeight="1" x14ac:dyDescent="0.3">
      <c r="A230" s="175"/>
      <c r="B230" s="176"/>
      <c r="C230" s="157" t="s">
        <v>16</v>
      </c>
      <c r="D230" s="177" t="s">
        <v>44</v>
      </c>
      <c r="E230" s="178"/>
      <c r="F230" s="178"/>
      <c r="G230" s="179"/>
      <c r="H230" s="180"/>
      <c r="I230" s="162"/>
      <c r="J230" s="162"/>
      <c r="K230" s="163"/>
      <c r="L230" s="181"/>
      <c r="M230" s="181"/>
      <c r="N230" s="181"/>
      <c r="O230" s="181"/>
      <c r="P230" s="181"/>
    </row>
    <row r="231" spans="1:16" ht="21.75" customHeight="1" x14ac:dyDescent="0.3">
      <c r="A231" s="175"/>
      <c r="B231" s="176"/>
      <c r="C231" s="176"/>
      <c r="D231" s="182">
        <v>1</v>
      </c>
      <c r="E231" s="183" t="s">
        <v>45</v>
      </c>
      <c r="F231" s="184"/>
      <c r="G231" s="185"/>
      <c r="H231" s="186"/>
      <c r="I231" s="187"/>
      <c r="J231" s="197">
        <f ca="1">IFERROR(__xludf.DUMMYFUNCTION("IMPORTRANGE(""https://docs.google.com/spreadsheets/d/11923uPwbBZFjjGgGUA6NLw09EwE0CqkOc4q9oUmW1yo/edit?usp=sharing"",""ตาก!J151"")"),0)</f>
        <v>0</v>
      </c>
      <c r="K231" s="163"/>
      <c r="L231" s="181"/>
      <c r="M231" s="181"/>
      <c r="N231" s="181"/>
      <c r="O231" s="181"/>
      <c r="P231" s="181"/>
    </row>
    <row r="232" spans="1:16" ht="21.75" customHeight="1" x14ac:dyDescent="0.3">
      <c r="A232" s="175"/>
      <c r="B232" s="176"/>
      <c r="C232" s="176"/>
      <c r="D232" s="189">
        <v>2</v>
      </c>
      <c r="E232" s="190" t="s">
        <v>46</v>
      </c>
      <c r="F232" s="191"/>
      <c r="G232" s="192"/>
      <c r="H232" s="186"/>
      <c r="I232" s="187"/>
      <c r="J232" s="188">
        <f ca="1">IFERROR(__xludf.DUMMYFUNCTION("IMPORTRANGE(""https://docs.google.com/spreadsheets/d/11923uPwbBZFjjGgGUA6NLw09EwE0CqkOc4q9oUmW1yo/edit?usp=sharing"",""ตาก!J152"")"),1)</f>
        <v>1</v>
      </c>
      <c r="K232" s="163"/>
      <c r="L232" s="181" t="s">
        <v>40</v>
      </c>
      <c r="M232" s="181"/>
      <c r="N232" s="181" t="s">
        <v>40</v>
      </c>
      <c r="O232" s="181"/>
      <c r="P232" s="181"/>
    </row>
    <row r="233" spans="1:16" ht="21.75" customHeight="1" x14ac:dyDescent="0.3">
      <c r="A233" s="175"/>
      <c r="B233" s="176"/>
      <c r="C233" s="176"/>
      <c r="D233" s="193"/>
      <c r="E233" s="194" t="s">
        <v>47</v>
      </c>
      <c r="F233" s="195"/>
      <c r="G233" s="196"/>
      <c r="H233" s="186"/>
      <c r="I233" s="187"/>
      <c r="J233" s="188">
        <f ca="1">IFERROR(__xludf.DUMMYFUNCTION("IMPORTRANGE(""https://docs.google.com/spreadsheets/d/11923uPwbBZFjjGgGUA6NLw09EwE0CqkOc4q9oUmW1yo/edit?usp=sharing"",""ตาก!J153"")"),1)</f>
        <v>1</v>
      </c>
      <c r="K233" s="163"/>
      <c r="L233" s="181"/>
      <c r="M233" s="181"/>
      <c r="N233" s="181"/>
      <c r="O233" s="181"/>
      <c r="P233" s="181"/>
    </row>
    <row r="234" spans="1:16" ht="21.75" customHeight="1" x14ac:dyDescent="0.3">
      <c r="A234" s="175"/>
      <c r="B234" s="176"/>
      <c r="C234" s="176"/>
      <c r="D234" s="193"/>
      <c r="E234" s="194" t="s">
        <v>48</v>
      </c>
      <c r="F234" s="195"/>
      <c r="G234" s="196"/>
      <c r="H234" s="186"/>
      <c r="I234" s="187"/>
      <c r="J234" s="197">
        <f ca="1">IFERROR(__xludf.DUMMYFUNCTION("IMPORTRANGE(""https://docs.google.com/spreadsheets/d/11923uPwbBZFjjGgGUA6NLw09EwE0CqkOc4q9oUmW1yo/edit?usp=sharing"",""ตาก!J154"")"),1)</f>
        <v>1</v>
      </c>
      <c r="K234" s="163"/>
      <c r="L234" s="181"/>
      <c r="M234" s="181"/>
      <c r="N234" s="181"/>
      <c r="O234" s="181"/>
      <c r="P234" s="181"/>
    </row>
    <row r="235" spans="1:16" ht="21.75" customHeight="1" x14ac:dyDescent="0.3">
      <c r="A235" s="175"/>
      <c r="B235" s="176"/>
      <c r="C235" s="176"/>
      <c r="D235" s="193"/>
      <c r="E235" s="198"/>
      <c r="F235" s="195"/>
      <c r="G235" s="291" t="s">
        <v>70</v>
      </c>
      <c r="H235" s="186" t="s">
        <v>37</v>
      </c>
      <c r="I235" s="187">
        <f ca="1">IFERROR(__xludf.DUMMYFUNCTION("IMPORTRANGE(""https://docs.google.com/spreadsheets/d/11923uPwbBZFjjGgGUA6NLw09EwE0CqkOc4q9oUmW1yo/edit?usp=sharing"",""ตาก!I155"")"),14)</f>
        <v>14</v>
      </c>
      <c r="J235" s="188">
        <f ca="1">IFERROR(__xludf.DUMMYFUNCTION("IMPORTRANGE(""https://docs.google.com/spreadsheets/d/11923uPwbBZFjjGgGUA6NLw09EwE0CqkOc4q9oUmW1yo/edit?usp=sharing"",""ตาก!J155"")"),14)</f>
        <v>14</v>
      </c>
      <c r="K235" s="163">
        <f ca="1">IF(I235&gt;0,J235*100/I235,0)</f>
        <v>100</v>
      </c>
      <c r="L235" s="181"/>
      <c r="M235" s="181"/>
      <c r="N235" s="181"/>
      <c r="O235" s="181"/>
      <c r="P235" s="181"/>
    </row>
    <row r="236" spans="1:16" ht="21.75" customHeight="1" x14ac:dyDescent="0.3">
      <c r="A236" s="175"/>
      <c r="B236" s="176"/>
      <c r="C236" s="176"/>
      <c r="D236" s="193"/>
      <c r="E236" s="194" t="s">
        <v>54</v>
      </c>
      <c r="F236" s="195"/>
      <c r="G236" s="196"/>
      <c r="H236" s="186"/>
      <c r="I236" s="187"/>
      <c r="J236" s="197">
        <f ca="1">IFERROR(__xludf.DUMMYFUNCTION("IMPORTRANGE(""https://docs.google.com/spreadsheets/d/11923uPwbBZFjjGgGUA6NLw09EwE0CqkOc4q9oUmW1yo/edit?usp=sharing"",""ตาก!J156"")"),0)</f>
        <v>0</v>
      </c>
      <c r="K236" s="163"/>
      <c r="L236" s="181"/>
      <c r="M236" s="181"/>
      <c r="N236" s="181"/>
      <c r="O236" s="181"/>
      <c r="P236" s="181"/>
    </row>
    <row r="237" spans="1:16" ht="21.75" customHeight="1" x14ac:dyDescent="0.3">
      <c r="A237" s="175"/>
      <c r="B237" s="176"/>
      <c r="C237" s="176"/>
      <c r="D237" s="205">
        <v>3</v>
      </c>
      <c r="E237" s="206" t="s">
        <v>55</v>
      </c>
      <c r="F237" s="207"/>
      <c r="G237" s="208"/>
      <c r="H237" s="186"/>
      <c r="I237" s="187"/>
      <c r="J237" s="209">
        <f ca="1">IFERROR(__xludf.DUMMYFUNCTION("IMPORTRANGE(""https://docs.google.com/spreadsheets/d/11923uPwbBZFjjGgGUA6NLw09EwE0CqkOc4q9oUmW1yo/edit?usp=sharing"",""ตาก!J157"")"),0)</f>
        <v>0</v>
      </c>
      <c r="K237" s="163"/>
      <c r="L237" s="181"/>
      <c r="M237" s="181"/>
      <c r="N237" s="181"/>
      <c r="O237" s="181"/>
      <c r="P237" s="181"/>
    </row>
    <row r="238" spans="1:16" ht="21.75" customHeight="1" x14ac:dyDescent="0.3">
      <c r="A238" s="175"/>
      <c r="B238" s="176"/>
      <c r="C238" s="263" t="s">
        <v>100</v>
      </c>
      <c r="D238" s="292"/>
      <c r="E238" s="262"/>
      <c r="F238" s="262"/>
      <c r="G238" s="264"/>
      <c r="H238" s="265" t="s">
        <v>37</v>
      </c>
      <c r="I238" s="266">
        <f ca="1">IFERROR(__xludf.DUMMYFUNCTION("IMPORTRANGE(""https://docs.google.com/spreadsheets/d/11923uPwbBZFjjGgGUA6NLw09EwE0CqkOc4q9oUmW1yo/edit?usp=sharing"",""ตาก!I158"")"),0)</f>
        <v>0</v>
      </c>
      <c r="J238" s="266">
        <f ca="1">IFERROR(__xludf.DUMMYFUNCTION("IMPORTRANGE(""https://docs.google.com/spreadsheets/d/11923uPwbBZFjjGgGUA6NLw09EwE0CqkOc4q9oUmW1yo/edit?usp=sharing"",""ตาก!J158"")"),0)</f>
        <v>0</v>
      </c>
      <c r="K238" s="267">
        <f ca="1">IF(I238&gt;0,J238*100/I238,0)</f>
        <v>0</v>
      </c>
      <c r="L238" s="181"/>
      <c r="M238" s="181"/>
      <c r="N238" s="181"/>
      <c r="O238" s="181"/>
      <c r="P238" s="181"/>
    </row>
    <row r="239" spans="1:16" ht="21.75" customHeight="1" x14ac:dyDescent="0.3">
      <c r="A239" s="175"/>
      <c r="B239" s="176"/>
      <c r="C239" s="157" t="s">
        <v>16</v>
      </c>
      <c r="D239" s="177" t="s">
        <v>44</v>
      </c>
      <c r="E239" s="178"/>
      <c r="F239" s="178"/>
      <c r="G239" s="179"/>
      <c r="H239" s="180"/>
      <c r="I239" s="162"/>
      <c r="J239" s="162"/>
      <c r="K239" s="163"/>
      <c r="L239" s="181"/>
      <c r="M239" s="181"/>
      <c r="N239" s="181"/>
      <c r="O239" s="181"/>
      <c r="P239" s="181"/>
    </row>
    <row r="240" spans="1:16" ht="21.75" customHeight="1" x14ac:dyDescent="0.3">
      <c r="A240" s="175"/>
      <c r="B240" s="176"/>
      <c r="C240" s="176"/>
      <c r="D240" s="182">
        <v>1</v>
      </c>
      <c r="E240" s="183" t="s">
        <v>45</v>
      </c>
      <c r="F240" s="184"/>
      <c r="G240" s="185"/>
      <c r="H240" s="186"/>
      <c r="I240" s="187"/>
      <c r="J240" s="187" t="str">
        <f ca="1">IFERROR(__xludf.DUMMYFUNCTION("IMPORTRANGE(""https://docs.google.com/spreadsheets/d/11923uPwbBZFjjGgGUA6NLw09EwE0CqkOc4q9oUmW1yo/edit?usp=sharing"",""ตาก!J159"")"),"")</f>
        <v/>
      </c>
      <c r="K240" s="163"/>
      <c r="L240" s="181"/>
      <c r="M240" s="181"/>
      <c r="N240" s="181"/>
      <c r="O240" s="181"/>
      <c r="P240" s="181"/>
    </row>
    <row r="241" spans="1:16" ht="21.75" customHeight="1" x14ac:dyDescent="0.3">
      <c r="A241" s="175"/>
      <c r="B241" s="176"/>
      <c r="C241" s="176"/>
      <c r="D241" s="189">
        <v>2</v>
      </c>
      <c r="E241" s="190" t="s">
        <v>46</v>
      </c>
      <c r="F241" s="191"/>
      <c r="G241" s="192"/>
      <c r="H241" s="186"/>
      <c r="I241" s="187"/>
      <c r="J241" s="187">
        <f ca="1">IFERROR(__xludf.DUMMYFUNCTION("IMPORTRANGE(""https://docs.google.com/spreadsheets/d/11923uPwbBZFjjGgGUA6NLw09EwE0CqkOc4q9oUmW1yo/edit?usp=sharing"",""ตาก!J161"")"),0)</f>
        <v>0</v>
      </c>
      <c r="K241" s="163"/>
      <c r="L241" s="181" t="s">
        <v>40</v>
      </c>
      <c r="M241" s="181"/>
      <c r="N241" s="181" t="s">
        <v>40</v>
      </c>
      <c r="O241" s="181"/>
      <c r="P241" s="181"/>
    </row>
    <row r="242" spans="1:16" ht="21.75" customHeight="1" x14ac:dyDescent="0.3">
      <c r="A242" s="175"/>
      <c r="B242" s="176"/>
      <c r="C242" s="176"/>
      <c r="D242" s="193"/>
      <c r="E242" s="194" t="s">
        <v>47</v>
      </c>
      <c r="F242" s="195"/>
      <c r="G242" s="196"/>
      <c r="H242" s="186"/>
      <c r="I242" s="187"/>
      <c r="J242" s="187">
        <f ca="1">IFERROR(__xludf.DUMMYFUNCTION("IMPORTRANGE(""https://docs.google.com/spreadsheets/d/11923uPwbBZFjjGgGUA6NLw09EwE0CqkOc4q9oUmW1yo/edit?usp=sharing"",""ตาก!J162"")"),0)</f>
        <v>0</v>
      </c>
      <c r="K242" s="163"/>
      <c r="L242" s="181"/>
      <c r="M242" s="181"/>
      <c r="N242" s="181"/>
      <c r="O242" s="181"/>
      <c r="P242" s="181"/>
    </row>
    <row r="243" spans="1:16" ht="21.75" customHeight="1" x14ac:dyDescent="0.3">
      <c r="A243" s="175"/>
      <c r="B243" s="176"/>
      <c r="C243" s="176"/>
      <c r="D243" s="193"/>
      <c r="E243" s="194" t="s">
        <v>48</v>
      </c>
      <c r="F243" s="195"/>
      <c r="G243" s="196"/>
      <c r="H243" s="186"/>
      <c r="I243" s="187"/>
      <c r="J243" s="187">
        <f ca="1">IFERROR(__xludf.DUMMYFUNCTION("IMPORTRANGE(""https://docs.google.com/spreadsheets/d/11923uPwbBZFjjGgGUA6NLw09EwE0CqkOc4q9oUmW1yo/edit?usp=sharing"",""ตาก!J163"")"),0)</f>
        <v>0</v>
      </c>
      <c r="K243" s="163"/>
      <c r="L243" s="181"/>
      <c r="M243" s="181"/>
      <c r="N243" s="181"/>
      <c r="O243" s="181"/>
      <c r="P243" s="181"/>
    </row>
    <row r="244" spans="1:16" ht="21.75" customHeight="1" x14ac:dyDescent="0.3">
      <c r="A244" s="175"/>
      <c r="B244" s="176"/>
      <c r="C244" s="176"/>
      <c r="D244" s="193"/>
      <c r="E244" s="195"/>
      <c r="F244" s="194" t="s">
        <v>101</v>
      </c>
      <c r="G244" s="195"/>
      <c r="H244" s="186" t="s">
        <v>37</v>
      </c>
      <c r="I244" s="203">
        <f ca="1">IFERROR(__xludf.DUMMYFUNCTION("IMPORTRANGE(""https://docs.google.com/spreadsheets/d/11923uPwbBZFjjGgGUA6NLw09EwE0CqkOc4q9oUmW1yo/edit?usp=sharing"",""ตาก!I164"")"),0)</f>
        <v>0</v>
      </c>
      <c r="J244" s="187">
        <f ca="1">IFERROR(__xludf.DUMMYFUNCTION("IMPORTRANGE(""https://docs.google.com/spreadsheets/d/11923uPwbBZFjjGgGUA6NLw09EwE0CqkOc4q9oUmW1yo/edit?usp=sharing"",""ตาก!J164"")"),0)</f>
        <v>0</v>
      </c>
      <c r="K244" s="163">
        <f ca="1">IF(I244&gt;0,J244*100/I244,0)</f>
        <v>0</v>
      </c>
      <c r="L244" s="181"/>
      <c r="M244" s="181"/>
      <c r="N244" s="181"/>
      <c r="O244" s="181"/>
      <c r="P244" s="181"/>
    </row>
    <row r="245" spans="1:16" ht="21.75" customHeight="1" x14ac:dyDescent="0.3">
      <c r="A245" s="175"/>
      <c r="B245" s="176"/>
      <c r="C245" s="176"/>
      <c r="D245" s="193"/>
      <c r="E245" s="194" t="s">
        <v>54</v>
      </c>
      <c r="F245" s="195"/>
      <c r="G245" s="196"/>
      <c r="H245" s="186"/>
      <c r="I245" s="187"/>
      <c r="J245" s="187">
        <f ca="1">IFERROR(__xludf.DUMMYFUNCTION("IMPORTRANGE(""https://docs.google.com/spreadsheets/d/11923uPwbBZFjjGgGUA6NLw09EwE0CqkOc4q9oUmW1yo/edit?usp=sharing"",""ตาก!J165"")"),0)</f>
        <v>0</v>
      </c>
      <c r="K245" s="163"/>
      <c r="L245" s="181"/>
      <c r="M245" s="181"/>
      <c r="N245" s="181"/>
      <c r="O245" s="181"/>
      <c r="P245" s="181"/>
    </row>
    <row r="246" spans="1:16" ht="21.75" customHeight="1" x14ac:dyDescent="0.3">
      <c r="A246" s="233"/>
      <c r="B246" s="234"/>
      <c r="C246" s="234"/>
      <c r="D246" s="235">
        <v>3</v>
      </c>
      <c r="E246" s="236" t="s">
        <v>55</v>
      </c>
      <c r="F246" s="237"/>
      <c r="G246" s="238"/>
      <c r="H246" s="239"/>
      <c r="I246" s="240"/>
      <c r="J246" s="241">
        <f ca="1">IFERROR(__xludf.DUMMYFUNCTION("IMPORTRANGE(""https://docs.google.com/spreadsheets/d/11923uPwbBZFjjGgGUA6NLw09EwE0CqkOc4q9oUmW1yo/edit?usp=sharing"",""ตาก!J166"")"),0)</f>
        <v>0</v>
      </c>
      <c r="K246" s="286"/>
      <c r="L246" s="244"/>
      <c r="M246" s="244"/>
      <c r="N246" s="244"/>
      <c r="O246" s="244"/>
      <c r="P246" s="244"/>
    </row>
    <row r="247" spans="1:16" ht="21.75" customHeight="1" x14ac:dyDescent="0.3">
      <c r="A247" s="293" t="s">
        <v>102</v>
      </c>
      <c r="B247" s="294"/>
      <c r="C247" s="294"/>
      <c r="D247" s="294"/>
      <c r="E247" s="295"/>
      <c r="F247" s="295"/>
      <c r="G247" s="296"/>
      <c r="H247" s="297"/>
      <c r="I247" s="298"/>
      <c r="J247" s="298"/>
      <c r="K247" s="299"/>
      <c r="L247" s="300"/>
      <c r="M247" s="300"/>
      <c r="N247" s="300"/>
      <c r="O247" s="301"/>
      <c r="P247" s="301"/>
    </row>
    <row r="248" spans="1:16" ht="21.75" customHeight="1" x14ac:dyDescent="0.3">
      <c r="A248" s="302" t="s">
        <v>103</v>
      </c>
      <c r="B248" s="303"/>
      <c r="C248" s="303"/>
      <c r="D248" s="304"/>
      <c r="E248" s="304"/>
      <c r="F248" s="304"/>
      <c r="G248" s="305"/>
      <c r="H248" s="306"/>
      <c r="I248" s="307"/>
      <c r="J248" s="307"/>
      <c r="K248" s="308"/>
      <c r="L248" s="308"/>
      <c r="M248" s="308"/>
      <c r="N248" s="308"/>
      <c r="O248" s="309"/>
      <c r="P248" s="309"/>
    </row>
    <row r="249" spans="1:16" ht="21.75" customHeight="1" x14ac:dyDescent="0.3">
      <c r="A249" s="310"/>
      <c r="B249" s="311" t="s">
        <v>104</v>
      </c>
      <c r="C249" s="311"/>
      <c r="D249" s="311"/>
      <c r="E249" s="311"/>
      <c r="F249" s="311"/>
      <c r="G249" s="312"/>
      <c r="H249" s="313" t="s">
        <v>37</v>
      </c>
      <c r="I249" s="314">
        <f ca="1">IFERROR(__xludf.DUMMYFUNCTION("IMPORTRANGE(""https://docs.google.com/spreadsheets/d/11923uPwbBZFjjGgGUA6NLw09EwE0CqkOc4q9oUmW1yo/edit?usp=sharing"",""ตาก!I169"")"),0)</f>
        <v>0</v>
      </c>
      <c r="J249" s="314">
        <f ca="1">IFERROR(__xludf.DUMMYFUNCTION("IMPORTRANGE(""https://docs.google.com/spreadsheets/d/11923uPwbBZFjjGgGUA6NLw09EwE0CqkOc4q9oUmW1yo/edit?usp=sharing"",""ตาก!J169"")"),0)</f>
        <v>0</v>
      </c>
      <c r="K249" s="315">
        <f ca="1">IF(I249&gt;0,J249*100/I249,0)</f>
        <v>0</v>
      </c>
      <c r="L249" s="316"/>
      <c r="M249" s="316"/>
      <c r="N249" s="316"/>
      <c r="O249" s="315"/>
      <c r="P249" s="315"/>
    </row>
    <row r="250" spans="1:16" ht="21.75" customHeight="1" x14ac:dyDescent="0.45">
      <c r="A250" s="145"/>
      <c r="B250" s="146"/>
      <c r="C250" s="147" t="s">
        <v>16</v>
      </c>
      <c r="D250" s="537" t="s">
        <v>17</v>
      </c>
      <c r="E250" s="528"/>
      <c r="F250" s="528"/>
      <c r="G250" s="528"/>
      <c r="H250" s="148" t="s">
        <v>12</v>
      </c>
      <c r="I250" s="162"/>
      <c r="J250" s="162"/>
      <c r="K250" s="163"/>
      <c r="L250" s="151">
        <f t="shared" ref="L250:N250" ca="1" si="77">L251+L252</f>
        <v>0</v>
      </c>
      <c r="M250" s="151">
        <f t="shared" ca="1" si="77"/>
        <v>0</v>
      </c>
      <c r="N250" s="151">
        <f t="shared" ca="1" si="77"/>
        <v>0</v>
      </c>
      <c r="O250" s="150">
        <f t="shared" ref="O250:O252" ca="1" si="78">IF(L250&gt;0,N250*100/L250,0)</f>
        <v>0</v>
      </c>
      <c r="P250" s="150">
        <f t="shared" ref="P250:P252" ca="1" si="79">IF(M250&gt;0,N250*100/M250,0)</f>
        <v>0</v>
      </c>
    </row>
    <row r="251" spans="1:16" ht="21.75" customHeight="1" x14ac:dyDescent="0.45">
      <c r="A251" s="152"/>
      <c r="B251" s="32"/>
      <c r="C251" s="32"/>
      <c r="D251" s="32"/>
      <c r="E251" s="32"/>
      <c r="F251" s="32"/>
      <c r="G251" s="33" t="s">
        <v>18</v>
      </c>
      <c r="H251" s="153" t="s">
        <v>12</v>
      </c>
      <c r="I251" s="162"/>
      <c r="J251" s="162"/>
      <c r="K251" s="163"/>
      <c r="L251" s="87">
        <f t="shared" ref="L251:N251" si="80">L253+L257</f>
        <v>0</v>
      </c>
      <c r="M251" s="87">
        <f t="shared" si="80"/>
        <v>0</v>
      </c>
      <c r="N251" s="87">
        <f t="shared" si="80"/>
        <v>0</v>
      </c>
      <c r="O251" s="155">
        <f t="shared" si="78"/>
        <v>0</v>
      </c>
      <c r="P251" s="155">
        <f t="shared" si="79"/>
        <v>0</v>
      </c>
    </row>
    <row r="252" spans="1:16" ht="21.75" customHeight="1" x14ac:dyDescent="0.45">
      <c r="A252" s="152"/>
      <c r="B252" s="32"/>
      <c r="C252" s="32"/>
      <c r="D252" s="32"/>
      <c r="E252" s="32"/>
      <c r="F252" s="32"/>
      <c r="G252" s="33" t="s">
        <v>19</v>
      </c>
      <c r="H252" s="153" t="s">
        <v>12</v>
      </c>
      <c r="I252" s="162"/>
      <c r="J252" s="162"/>
      <c r="K252" s="163"/>
      <c r="L252" s="87">
        <f t="shared" ref="L252:N252" ca="1" si="81">L254+L258</f>
        <v>0</v>
      </c>
      <c r="M252" s="87">
        <f t="shared" ca="1" si="81"/>
        <v>0</v>
      </c>
      <c r="N252" s="87">
        <f t="shared" ca="1" si="81"/>
        <v>0</v>
      </c>
      <c r="O252" s="155">
        <f t="shared" ca="1" si="78"/>
        <v>0</v>
      </c>
      <c r="P252" s="155">
        <f t="shared" ca="1" si="79"/>
        <v>0</v>
      </c>
    </row>
    <row r="253" spans="1:16" ht="21.75" customHeight="1" x14ac:dyDescent="0.3">
      <c r="A253" s="156"/>
      <c r="B253" s="157"/>
      <c r="C253" s="157" t="s">
        <v>16</v>
      </c>
      <c r="D253" s="158" t="s">
        <v>38</v>
      </c>
      <c r="E253" s="159"/>
      <c r="F253" s="159"/>
      <c r="G253" s="160" t="s">
        <v>39</v>
      </c>
      <c r="H253" s="161" t="s">
        <v>12</v>
      </c>
      <c r="I253" s="162" t="s">
        <v>40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3">
      <c r="A254" s="156"/>
      <c r="B254" s="157"/>
      <c r="C254" s="157"/>
      <c r="D254" s="166"/>
      <c r="E254" s="159"/>
      <c r="F254" s="159" t="s">
        <v>40</v>
      </c>
      <c r="G254" s="160" t="s">
        <v>41</v>
      </c>
      <c r="H254" s="161" t="s">
        <v>12</v>
      </c>
      <c r="I254" s="162"/>
      <c r="J254" s="162"/>
      <c r="K254" s="163"/>
      <c r="L254" s="167">
        <f ca="1">L255+L256</f>
        <v>0</v>
      </c>
      <c r="M254" s="167">
        <f ca="1">IFERROR(__xludf.DUMMYFUNCTION("IMPORTRANGE(""https://docs.google.com/spreadsheets/d/1Yj_ptqi66GCucihVvJfMjLAmec39IyEx_6qawtMGysU/edit?usp=sharing"",""สบก!CB23"")"),0)</f>
        <v>0</v>
      </c>
      <c r="N254" s="168">
        <f ca="1">IFERROR(__xludf.DUMMYFUNCTION("IMPORTRANGE(""https://docs.google.com/spreadsheets/d/1Yj_ptqi66GCucihVvJfMjLAmec39IyEx_6qawtMGysU/edit?usp=sharing"",""สบก!CC23"")"),0)</f>
        <v>0</v>
      </c>
      <c r="O254" s="168">
        <f ca="1">IF(L254&gt;0,N254*100/L254,0)</f>
        <v>0</v>
      </c>
      <c r="P254" s="168">
        <f ca="1">IF(M254&gt;0,N254*100/M254,0)</f>
        <v>0</v>
      </c>
    </row>
    <row r="255" spans="1:16" ht="21.75" customHeight="1" x14ac:dyDescent="0.3">
      <c r="A255" s="156"/>
      <c r="B255" s="157"/>
      <c r="C255" s="157"/>
      <c r="D255" s="166"/>
      <c r="E255" s="159"/>
      <c r="F255" s="159"/>
      <c r="G255" s="169" t="s">
        <v>42</v>
      </c>
      <c r="H255" s="161" t="s">
        <v>12</v>
      </c>
      <c r="I255" s="162"/>
      <c r="J255" s="162"/>
      <c r="K255" s="163"/>
      <c r="L255" s="167">
        <f ca="1">IFERROR(__xludf.DUMMYFUNCTION("IMPORTRANGE(""https://docs.google.com/spreadsheets/d/1Yj_ptqi66GCucihVvJfMjLAmec39IyEx_6qawtMGysU/edit?usp=sharing"",""สบก!BX23"")"),0)</f>
        <v>0</v>
      </c>
      <c r="M255" s="167"/>
      <c r="N255" s="167"/>
      <c r="O255" s="168"/>
      <c r="P255" s="168"/>
    </row>
    <row r="256" spans="1:16" ht="21.75" customHeight="1" x14ac:dyDescent="0.3">
      <c r="A256" s="156"/>
      <c r="B256" s="157"/>
      <c r="C256" s="157"/>
      <c r="D256" s="166"/>
      <c r="E256" s="159"/>
      <c r="F256" s="159"/>
      <c r="G256" s="169" t="s">
        <v>43</v>
      </c>
      <c r="H256" s="161" t="s">
        <v>12</v>
      </c>
      <c r="I256" s="162"/>
      <c r="J256" s="162"/>
      <c r="K256" s="163"/>
      <c r="L256" s="167">
        <f ca="1">IFERROR(__xludf.DUMMYFUNCTION("IMPORTRANGE(""https://docs.google.com/spreadsheets/d/1Yj_ptqi66GCucihVvJfMjLAmec39IyEx_6qawtMGysU/edit?usp=sharing"",""สบก!BY23"")"),0)</f>
        <v>0</v>
      </c>
      <c r="M256" s="167"/>
      <c r="N256" s="167"/>
      <c r="O256" s="168"/>
      <c r="P256" s="168"/>
    </row>
    <row r="257" spans="1:16" ht="21.75" customHeight="1" x14ac:dyDescent="0.45">
      <c r="A257" s="170"/>
      <c r="B257" s="80"/>
      <c r="C257" s="81" t="s">
        <v>16</v>
      </c>
      <c r="D257" s="534" t="s">
        <v>23</v>
      </c>
      <c r="E257" s="530"/>
      <c r="F257" s="88"/>
      <c r="G257" s="82" t="s">
        <v>18</v>
      </c>
      <c r="H257" s="171" t="s">
        <v>12</v>
      </c>
      <c r="I257" s="162"/>
      <c r="J257" s="162"/>
      <c r="K257" s="163"/>
      <c r="L257" s="41">
        <v>0</v>
      </c>
      <c r="M257" s="41"/>
      <c r="N257" s="41"/>
      <c r="O257" s="41"/>
      <c r="P257" s="41"/>
    </row>
    <row r="258" spans="1:16" ht="21.75" customHeight="1" x14ac:dyDescent="0.45">
      <c r="A258" s="172"/>
      <c r="B258" s="91"/>
      <c r="C258" s="91"/>
      <c r="D258" s="173"/>
      <c r="E258" s="92"/>
      <c r="F258" s="92"/>
      <c r="G258" s="93" t="s">
        <v>19</v>
      </c>
      <c r="H258" s="174" t="s">
        <v>12</v>
      </c>
      <c r="I258" s="162"/>
      <c r="J258" s="162"/>
      <c r="K258" s="163"/>
      <c r="L258" s="49">
        <f ca="1">IFERROR(__xludf.DUMMYFUNCTION("IMPORTRANGE(""https://docs.google.com/spreadsheets/d/1Yj_ptqi66GCucihVvJfMjLAmec39IyEx_6qawtMGysU/edit?usp=sharing"",""สบก!BZ23"")"),0)</f>
        <v>0</v>
      </c>
      <c r="M258" s="49"/>
      <c r="N258" s="49">
        <f ca="1">IFERROR(__xludf.DUMMYFUNCTION("IMPORTRANGE(""https://docs.google.com/spreadsheets/d/1Yj_ptqi66GCucihVvJfMjLAmec39IyEx_6qawtMGysU/edit?usp=sharing"",""สบก!CD23"")"),0)</f>
        <v>0</v>
      </c>
      <c r="O258" s="49">
        <f ca="1">IF(L258&gt;0,N258*100/L258,0)</f>
        <v>0</v>
      </c>
      <c r="P258" s="49"/>
    </row>
    <row r="259" spans="1:16" ht="21.75" customHeight="1" x14ac:dyDescent="0.3">
      <c r="A259" s="175"/>
      <c r="B259" s="176"/>
      <c r="C259" s="157" t="s">
        <v>16</v>
      </c>
      <c r="D259" s="177" t="s">
        <v>44</v>
      </c>
      <c r="E259" s="178"/>
      <c r="F259" s="178"/>
      <c r="G259" s="179"/>
      <c r="H259" s="180"/>
      <c r="I259" s="162"/>
      <c r="J259" s="162"/>
      <c r="K259" s="163"/>
      <c r="L259" s="181"/>
      <c r="M259" s="181"/>
      <c r="N259" s="181"/>
      <c r="O259" s="181"/>
      <c r="P259" s="181"/>
    </row>
    <row r="260" spans="1:16" ht="21.75" customHeight="1" x14ac:dyDescent="0.3">
      <c r="A260" s="175"/>
      <c r="B260" s="176"/>
      <c r="C260" s="176"/>
      <c r="D260" s="182">
        <v>1</v>
      </c>
      <c r="E260" s="183" t="s">
        <v>45</v>
      </c>
      <c r="F260" s="184"/>
      <c r="G260" s="185"/>
      <c r="H260" s="186"/>
      <c r="I260" s="187"/>
      <c r="J260" s="188">
        <f ca="1">IFERROR(__xludf.DUMMYFUNCTION("IMPORTRANGE(""https://docs.google.com/spreadsheets/d/11923uPwbBZFjjGgGUA6NLw09EwE0CqkOc4q9oUmW1yo/edit?usp=sharing"",""ตาก!J175"")"),0)</f>
        <v>0</v>
      </c>
      <c r="K260" s="163"/>
      <c r="L260" s="181"/>
      <c r="M260" s="181"/>
      <c r="N260" s="181"/>
      <c r="O260" s="181"/>
      <c r="P260" s="181"/>
    </row>
    <row r="261" spans="1:16" ht="21.75" customHeight="1" x14ac:dyDescent="0.3">
      <c r="A261" s="175"/>
      <c r="B261" s="176"/>
      <c r="C261" s="176"/>
      <c r="D261" s="189">
        <v>2</v>
      </c>
      <c r="E261" s="190" t="s">
        <v>46</v>
      </c>
      <c r="F261" s="191"/>
      <c r="G261" s="192"/>
      <c r="H261" s="186"/>
      <c r="I261" s="187"/>
      <c r="J261" s="197">
        <f ca="1">IFERROR(__xludf.DUMMYFUNCTION("IMPORTRANGE(""https://docs.google.com/spreadsheets/d/11923uPwbBZFjjGgGUA6NLw09EwE0CqkOc4q9oUmW1yo/edit?usp=sharing"",""ตาก!J176"")"),0)</f>
        <v>0</v>
      </c>
      <c r="K261" s="163"/>
      <c r="L261" s="181" t="s">
        <v>40</v>
      </c>
      <c r="M261" s="181"/>
      <c r="N261" s="181" t="s">
        <v>40</v>
      </c>
      <c r="O261" s="181"/>
      <c r="P261" s="181"/>
    </row>
    <row r="262" spans="1:16" ht="21.75" customHeight="1" x14ac:dyDescent="0.3">
      <c r="A262" s="175"/>
      <c r="B262" s="176"/>
      <c r="C262" s="176"/>
      <c r="D262" s="193"/>
      <c r="E262" s="194" t="s">
        <v>47</v>
      </c>
      <c r="F262" s="195"/>
      <c r="G262" s="196"/>
      <c r="H262" s="186"/>
      <c r="I262" s="187"/>
      <c r="J262" s="197">
        <f ca="1">IFERROR(__xludf.DUMMYFUNCTION("IMPORTRANGE(""https://docs.google.com/spreadsheets/d/11923uPwbBZFjjGgGUA6NLw09EwE0CqkOc4q9oUmW1yo/edit?usp=sharing"",""ตาก!J177"")"),0)</f>
        <v>0</v>
      </c>
      <c r="K262" s="163"/>
      <c r="L262" s="181"/>
      <c r="M262" s="181"/>
      <c r="N262" s="181"/>
      <c r="O262" s="181"/>
      <c r="P262" s="181"/>
    </row>
    <row r="263" spans="1:16" ht="21.75" customHeight="1" x14ac:dyDescent="0.3">
      <c r="A263" s="175"/>
      <c r="B263" s="176"/>
      <c r="C263" s="176"/>
      <c r="D263" s="193"/>
      <c r="E263" s="194" t="s">
        <v>48</v>
      </c>
      <c r="F263" s="195"/>
      <c r="G263" s="196"/>
      <c r="H263" s="186"/>
      <c r="I263" s="187"/>
      <c r="J263" s="197">
        <f ca="1">IFERROR(__xludf.DUMMYFUNCTION("IMPORTRANGE(""https://docs.google.com/spreadsheets/d/11923uPwbBZFjjGgGUA6NLw09EwE0CqkOc4q9oUmW1yo/edit?usp=sharing"",""ตาก!J178"")"),0)</f>
        <v>0</v>
      </c>
      <c r="K263" s="163"/>
      <c r="L263" s="181"/>
      <c r="M263" s="181"/>
      <c r="N263" s="181"/>
      <c r="O263" s="181"/>
      <c r="P263" s="181"/>
    </row>
    <row r="264" spans="1:16" ht="21.75" customHeight="1" x14ac:dyDescent="0.3">
      <c r="A264" s="175"/>
      <c r="B264" s="176"/>
      <c r="C264" s="176"/>
      <c r="D264" s="193"/>
      <c r="E264" s="198"/>
      <c r="F264" s="194" t="s">
        <v>105</v>
      </c>
      <c r="G264" s="196"/>
      <c r="H264" s="180" t="s">
        <v>59</v>
      </c>
      <c r="I264" s="187">
        <f ca="1">IFERROR(__xludf.DUMMYFUNCTION("IMPORTRANGE(""https://docs.google.com/spreadsheets/d/11923uPwbBZFjjGgGUA6NLw09EwE0CqkOc4q9oUmW1yo/edit?usp=sharing"",""ตาก!I179"")"),0)</f>
        <v>0</v>
      </c>
      <c r="J264" s="188">
        <f ca="1">IFERROR(__xludf.DUMMYFUNCTION("IMPORTRANGE(""https://docs.google.com/spreadsheets/d/11923uPwbBZFjjGgGUA6NLw09EwE0CqkOc4q9oUmW1yo/edit?usp=sharing"",""ตาก!J179"")"),0)</f>
        <v>0</v>
      </c>
      <c r="K264" s="163">
        <f t="shared" ref="K264:K267" ca="1" si="82">IF(I264&gt;0,J264*100/I264,0)</f>
        <v>0</v>
      </c>
      <c r="L264" s="181"/>
      <c r="M264" s="181"/>
      <c r="N264" s="181"/>
      <c r="O264" s="181"/>
      <c r="P264" s="181"/>
    </row>
    <row r="265" spans="1:16" ht="21.75" customHeight="1" x14ac:dyDescent="0.3">
      <c r="A265" s="175"/>
      <c r="B265" s="176"/>
      <c r="C265" s="176"/>
      <c r="D265" s="193"/>
      <c r="E265" s="198"/>
      <c r="F265" s="194" t="s">
        <v>106</v>
      </c>
      <c r="G265" s="196"/>
      <c r="H265" s="180" t="s">
        <v>37</v>
      </c>
      <c r="I265" s="187">
        <f ca="1">IFERROR(__xludf.DUMMYFUNCTION("IMPORTRANGE(""https://docs.google.com/spreadsheets/d/11923uPwbBZFjjGgGUA6NLw09EwE0CqkOc4q9oUmW1yo/edit?usp=sharing"",""ตาก!I180"")"),0)</f>
        <v>0</v>
      </c>
      <c r="J265" s="188">
        <f ca="1">IFERROR(__xludf.DUMMYFUNCTION("IMPORTRANGE(""https://docs.google.com/spreadsheets/d/11923uPwbBZFjjGgGUA6NLw09EwE0CqkOc4q9oUmW1yo/edit?usp=sharing"",""ตาก!J180"")"),0)</f>
        <v>0</v>
      </c>
      <c r="K265" s="163">
        <f t="shared" ca="1" si="82"/>
        <v>0</v>
      </c>
      <c r="L265" s="181"/>
      <c r="M265" s="181"/>
      <c r="N265" s="181"/>
      <c r="O265" s="181"/>
      <c r="P265" s="181"/>
    </row>
    <row r="266" spans="1:16" ht="21.75" customHeight="1" x14ac:dyDescent="0.3">
      <c r="A266" s="175"/>
      <c r="B266" s="176"/>
      <c r="C266" s="176"/>
      <c r="D266" s="193"/>
      <c r="E266" s="198"/>
      <c r="F266" s="194" t="s">
        <v>107</v>
      </c>
      <c r="G266" s="196"/>
      <c r="H266" s="180" t="s">
        <v>37</v>
      </c>
      <c r="I266" s="187">
        <f ca="1">IFERROR(__xludf.DUMMYFUNCTION("IMPORTRANGE(""https://docs.google.com/spreadsheets/d/11923uPwbBZFjjGgGUA6NLw09EwE0CqkOc4q9oUmW1yo/edit?usp=sharing"",""ตาก!I181"")"),0)</f>
        <v>0</v>
      </c>
      <c r="J266" s="188">
        <f ca="1">IFERROR(__xludf.DUMMYFUNCTION("IMPORTRANGE(""https://docs.google.com/spreadsheets/d/11923uPwbBZFjjGgGUA6NLw09EwE0CqkOc4q9oUmW1yo/edit?usp=sharing"",""ตาก!J181"")"),0)</f>
        <v>0</v>
      </c>
      <c r="K266" s="163">
        <f t="shared" ca="1" si="82"/>
        <v>0</v>
      </c>
      <c r="L266" s="181"/>
      <c r="M266" s="181"/>
      <c r="N266" s="181"/>
      <c r="O266" s="181"/>
      <c r="P266" s="181"/>
    </row>
    <row r="267" spans="1:16" ht="21.75" customHeight="1" x14ac:dyDescent="0.3">
      <c r="A267" s="175"/>
      <c r="B267" s="176"/>
      <c r="C267" s="176"/>
      <c r="D267" s="193"/>
      <c r="E267" s="198"/>
      <c r="F267" s="194" t="s">
        <v>108</v>
      </c>
      <c r="G267" s="196"/>
      <c r="H267" s="180" t="s">
        <v>37</v>
      </c>
      <c r="I267" s="187">
        <f ca="1">IFERROR(__xludf.DUMMYFUNCTION("IMPORTRANGE(""https://docs.google.com/spreadsheets/d/11923uPwbBZFjjGgGUA6NLw09EwE0CqkOc4q9oUmW1yo/edit?usp=sharing"",""ตาก!I182"")"),0)</f>
        <v>0</v>
      </c>
      <c r="J267" s="188">
        <f ca="1">IFERROR(__xludf.DUMMYFUNCTION("IMPORTRANGE(""https://docs.google.com/spreadsheets/d/11923uPwbBZFjjGgGUA6NLw09EwE0CqkOc4q9oUmW1yo/edit?usp=sharing"",""ตาก!J182"")"),0)</f>
        <v>0</v>
      </c>
      <c r="K267" s="163">
        <f t="shared" ca="1" si="82"/>
        <v>0</v>
      </c>
      <c r="L267" s="181"/>
      <c r="M267" s="181"/>
      <c r="N267" s="181"/>
      <c r="O267" s="181"/>
      <c r="P267" s="181"/>
    </row>
    <row r="268" spans="1:16" ht="21.75" customHeight="1" x14ac:dyDescent="0.3">
      <c r="A268" s="175"/>
      <c r="B268" s="176"/>
      <c r="C268" s="176"/>
      <c r="D268" s="193"/>
      <c r="E268" s="194" t="s">
        <v>54</v>
      </c>
      <c r="F268" s="195"/>
      <c r="G268" s="196"/>
      <c r="H268" s="186"/>
      <c r="I268" s="187"/>
      <c r="J268" s="197">
        <f ca="1">IFERROR(__xludf.DUMMYFUNCTION("IMPORTRANGE(""https://docs.google.com/spreadsheets/d/11923uPwbBZFjjGgGUA6NLw09EwE0CqkOc4q9oUmW1yo/edit?usp=sharing"",""ตาก!J183"")"),0)</f>
        <v>0</v>
      </c>
      <c r="K268" s="163"/>
      <c r="L268" s="181"/>
      <c r="M268" s="181"/>
      <c r="N268" s="181"/>
      <c r="O268" s="181"/>
      <c r="P268" s="181"/>
    </row>
    <row r="269" spans="1:16" ht="21.75" customHeight="1" x14ac:dyDescent="0.3">
      <c r="A269" s="233"/>
      <c r="B269" s="234"/>
      <c r="C269" s="234"/>
      <c r="D269" s="235">
        <v>3</v>
      </c>
      <c r="E269" s="236" t="s">
        <v>55</v>
      </c>
      <c r="F269" s="237"/>
      <c r="G269" s="238"/>
      <c r="H269" s="239"/>
      <c r="I269" s="240"/>
      <c r="J269" s="285">
        <f ca="1">IFERROR(__xludf.DUMMYFUNCTION("IMPORTRANGE(""https://docs.google.com/spreadsheets/d/11923uPwbBZFjjGgGUA6NLw09EwE0CqkOc4q9oUmW1yo/edit?usp=sharing"",""ตาก!J184"")"),0)</f>
        <v>0</v>
      </c>
      <c r="K269" s="286"/>
      <c r="L269" s="244"/>
      <c r="M269" s="244"/>
      <c r="N269" s="244"/>
      <c r="O269" s="244"/>
      <c r="P269" s="244"/>
    </row>
    <row r="270" spans="1:16" ht="21.75" customHeight="1" x14ac:dyDescent="0.3">
      <c r="A270" s="310"/>
      <c r="B270" s="311" t="s">
        <v>109</v>
      </c>
      <c r="C270" s="311"/>
      <c r="D270" s="311"/>
      <c r="E270" s="311"/>
      <c r="F270" s="311"/>
      <c r="G270" s="312"/>
      <c r="H270" s="313" t="s">
        <v>37</v>
      </c>
      <c r="I270" s="314">
        <f ca="1">IFERROR(__xludf.DUMMYFUNCTION("IMPORTRANGE(""https://docs.google.com/spreadsheets/d/11923uPwbBZFjjGgGUA6NLw09EwE0CqkOc4q9oUmW1yo/edit?usp=sharing"",""ตาก!I185"")"),20)</f>
        <v>20</v>
      </c>
      <c r="J270" s="314">
        <f ca="1">IFERROR(__xludf.DUMMYFUNCTION("IMPORTRANGE(""https://docs.google.com/spreadsheets/d/11923uPwbBZFjjGgGUA6NLw09EwE0CqkOc4q9oUmW1yo/edit?usp=sharing"",""ตาก!J185"")"),20)</f>
        <v>20</v>
      </c>
      <c r="K270" s="315">
        <f ca="1">IF(I270&gt;0,J270*100/I270,0)</f>
        <v>100</v>
      </c>
      <c r="L270" s="316"/>
      <c r="M270" s="316"/>
      <c r="N270" s="316"/>
      <c r="O270" s="315"/>
      <c r="P270" s="315"/>
    </row>
    <row r="271" spans="1:16" ht="21.75" customHeight="1" x14ac:dyDescent="0.45">
      <c r="A271" s="145"/>
      <c r="B271" s="146"/>
      <c r="C271" s="147" t="s">
        <v>16</v>
      </c>
      <c r="D271" s="537" t="s">
        <v>17</v>
      </c>
      <c r="E271" s="528"/>
      <c r="F271" s="528"/>
      <c r="G271" s="528"/>
      <c r="H271" s="148" t="s">
        <v>12</v>
      </c>
      <c r="I271" s="162"/>
      <c r="J271" s="162"/>
      <c r="K271" s="163"/>
      <c r="L271" s="151">
        <f t="shared" ref="L271:N271" ca="1" si="83">L272+L273</f>
        <v>337600</v>
      </c>
      <c r="M271" s="151">
        <f t="shared" ca="1" si="83"/>
        <v>170000</v>
      </c>
      <c r="N271" s="151">
        <f t="shared" ca="1" si="83"/>
        <v>109429</v>
      </c>
      <c r="O271" s="150">
        <f t="shared" ref="O271:O273" ca="1" si="84">IF(L271&gt;0,N271*100/L271,0)</f>
        <v>32.413803317535546</v>
      </c>
      <c r="P271" s="150">
        <f t="shared" ref="P271:P273" ca="1" si="85">IF(M271&gt;0,N271*100/M271,0)</f>
        <v>64.37</v>
      </c>
    </row>
    <row r="272" spans="1:16" ht="21.75" customHeight="1" x14ac:dyDescent="0.45">
      <c r="A272" s="152"/>
      <c r="B272" s="32"/>
      <c r="C272" s="32"/>
      <c r="D272" s="32"/>
      <c r="E272" s="32"/>
      <c r="F272" s="32"/>
      <c r="G272" s="33" t="s">
        <v>18</v>
      </c>
      <c r="H272" s="153" t="s">
        <v>12</v>
      </c>
      <c r="I272" s="162"/>
      <c r="J272" s="162"/>
      <c r="K272" s="163"/>
      <c r="L272" s="87">
        <f t="shared" ref="L272:N272" si="86">L274+L278</f>
        <v>0</v>
      </c>
      <c r="M272" s="87">
        <f t="shared" si="86"/>
        <v>0</v>
      </c>
      <c r="N272" s="87">
        <f t="shared" si="86"/>
        <v>0</v>
      </c>
      <c r="O272" s="155">
        <f t="shared" si="84"/>
        <v>0</v>
      </c>
      <c r="P272" s="155">
        <f t="shared" si="85"/>
        <v>0</v>
      </c>
    </row>
    <row r="273" spans="1:16" ht="21.75" customHeight="1" x14ac:dyDescent="0.45">
      <c r="A273" s="152"/>
      <c r="B273" s="32"/>
      <c r="C273" s="32"/>
      <c r="D273" s="32"/>
      <c r="E273" s="32"/>
      <c r="F273" s="32"/>
      <c r="G273" s="33" t="s">
        <v>19</v>
      </c>
      <c r="H273" s="153" t="s">
        <v>12</v>
      </c>
      <c r="I273" s="162"/>
      <c r="J273" s="162"/>
      <c r="K273" s="163"/>
      <c r="L273" s="87">
        <f t="shared" ref="L273:N273" ca="1" si="87">L275+L279</f>
        <v>337600</v>
      </c>
      <c r="M273" s="87">
        <f t="shared" ca="1" si="87"/>
        <v>170000</v>
      </c>
      <c r="N273" s="87">
        <f t="shared" ca="1" si="87"/>
        <v>109429</v>
      </c>
      <c r="O273" s="155">
        <f t="shared" ca="1" si="84"/>
        <v>32.413803317535546</v>
      </c>
      <c r="P273" s="155">
        <f t="shared" ca="1" si="85"/>
        <v>64.37</v>
      </c>
    </row>
    <row r="274" spans="1:16" ht="21.75" customHeight="1" x14ac:dyDescent="0.3">
      <c r="A274" s="156"/>
      <c r="B274" s="157"/>
      <c r="C274" s="157" t="s">
        <v>16</v>
      </c>
      <c r="D274" s="158" t="s">
        <v>38</v>
      </c>
      <c r="E274" s="159"/>
      <c r="F274" s="159"/>
      <c r="G274" s="160" t="s">
        <v>39</v>
      </c>
      <c r="H274" s="161" t="s">
        <v>12</v>
      </c>
      <c r="I274" s="162" t="s">
        <v>40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3">
      <c r="A275" s="156"/>
      <c r="B275" s="157"/>
      <c r="C275" s="157"/>
      <c r="D275" s="166"/>
      <c r="E275" s="159"/>
      <c r="F275" s="159" t="s">
        <v>40</v>
      </c>
      <c r="G275" s="160" t="s">
        <v>41</v>
      </c>
      <c r="H275" s="161" t="s">
        <v>12</v>
      </c>
      <c r="I275" s="162"/>
      <c r="J275" s="162"/>
      <c r="K275" s="163"/>
      <c r="L275" s="167">
        <f ca="1">L276+L277</f>
        <v>337600</v>
      </c>
      <c r="M275" s="167">
        <f ca="1">IFERROR(__xludf.DUMMYFUNCTION("IMPORTRANGE(""https://docs.google.com/spreadsheets/d/1Yj_ptqi66GCucihVvJfMjLAmec39IyEx_6qawtMGysU/edit?usp=sharing"",""สบก!CK23"")"),170000)</f>
        <v>170000</v>
      </c>
      <c r="N275" s="168">
        <f ca="1">IFERROR(__xludf.DUMMYFUNCTION("IMPORTRANGE(""https://docs.google.com/spreadsheets/d/1Yj_ptqi66GCucihVvJfMjLAmec39IyEx_6qawtMGysU/edit?usp=sharing"",""สบก!CL23"")"),109429)</f>
        <v>109429</v>
      </c>
      <c r="O275" s="168">
        <f ca="1">IF(L275&gt;0,N275*100/L275,0)</f>
        <v>32.413803317535546</v>
      </c>
      <c r="P275" s="168">
        <f ca="1">IF(M275&gt;0,N275*100/M275,0)</f>
        <v>64.37</v>
      </c>
    </row>
    <row r="276" spans="1:16" ht="21.75" customHeight="1" x14ac:dyDescent="0.3">
      <c r="A276" s="156"/>
      <c r="B276" s="157"/>
      <c r="C276" s="157"/>
      <c r="D276" s="166"/>
      <c r="E276" s="159"/>
      <c r="F276" s="159"/>
      <c r="G276" s="169" t="s">
        <v>42</v>
      </c>
      <c r="H276" s="161" t="s">
        <v>12</v>
      </c>
      <c r="I276" s="162"/>
      <c r="J276" s="162"/>
      <c r="K276" s="163"/>
      <c r="L276" s="167">
        <f ca="1">IFERROR(__xludf.DUMMYFUNCTION("IMPORTRANGE(""https://docs.google.com/spreadsheets/d/1Yj_ptqi66GCucihVvJfMjLAmec39IyEx_6qawtMGysU/edit?usp=sharing"",""สบก!CG23"")"),264000)</f>
        <v>264000</v>
      </c>
      <c r="M276" s="167"/>
      <c r="N276" s="167"/>
      <c r="O276" s="168"/>
      <c r="P276" s="168"/>
    </row>
    <row r="277" spans="1:16" ht="21.75" customHeight="1" x14ac:dyDescent="0.3">
      <c r="A277" s="156"/>
      <c r="B277" s="157"/>
      <c r="C277" s="157"/>
      <c r="D277" s="166"/>
      <c r="E277" s="159"/>
      <c r="F277" s="159"/>
      <c r="G277" s="169" t="s">
        <v>43</v>
      </c>
      <c r="H277" s="161" t="s">
        <v>12</v>
      </c>
      <c r="I277" s="162"/>
      <c r="J277" s="162"/>
      <c r="K277" s="163"/>
      <c r="L277" s="167">
        <f ca="1">IFERROR(__xludf.DUMMYFUNCTION("IMPORTRANGE(""https://docs.google.com/spreadsheets/d/1Yj_ptqi66GCucihVvJfMjLAmec39IyEx_6qawtMGysU/edit?usp=sharing"",""สบก!CH23"")"),73600)</f>
        <v>73600</v>
      </c>
      <c r="M277" s="167"/>
      <c r="N277" s="167"/>
      <c r="O277" s="168"/>
      <c r="P277" s="168"/>
    </row>
    <row r="278" spans="1:16" ht="21.75" customHeight="1" x14ac:dyDescent="0.45">
      <c r="A278" s="170"/>
      <c r="B278" s="80"/>
      <c r="C278" s="81" t="s">
        <v>16</v>
      </c>
      <c r="D278" s="534" t="s">
        <v>23</v>
      </c>
      <c r="E278" s="530"/>
      <c r="F278" s="88"/>
      <c r="G278" s="82" t="s">
        <v>18</v>
      </c>
      <c r="H278" s="171" t="s">
        <v>12</v>
      </c>
      <c r="I278" s="162"/>
      <c r="J278" s="162"/>
      <c r="K278" s="163"/>
      <c r="L278" s="41">
        <v>0</v>
      </c>
      <c r="M278" s="41"/>
      <c r="N278" s="41"/>
      <c r="O278" s="41"/>
      <c r="P278" s="41"/>
    </row>
    <row r="279" spans="1:16" ht="21.75" customHeight="1" x14ac:dyDescent="0.45">
      <c r="A279" s="172"/>
      <c r="B279" s="91"/>
      <c r="C279" s="91"/>
      <c r="D279" s="173"/>
      <c r="E279" s="92"/>
      <c r="F279" s="92"/>
      <c r="G279" s="93" t="s">
        <v>19</v>
      </c>
      <c r="H279" s="174" t="s">
        <v>12</v>
      </c>
      <c r="I279" s="162"/>
      <c r="J279" s="162"/>
      <c r="K279" s="163"/>
      <c r="L279" s="49">
        <f ca="1">IFERROR(__xludf.DUMMYFUNCTION("IMPORTRANGE(""https://docs.google.com/spreadsheets/d/1Yj_ptqi66GCucihVvJfMjLAmec39IyEx_6qawtMGysU/edit?usp=sharing"",""สบก!CI23"")"),0)</f>
        <v>0</v>
      </c>
      <c r="M279" s="49"/>
      <c r="N279" s="49">
        <f ca="1">IFERROR(__xludf.DUMMYFUNCTION("IMPORTRANGE(""https://docs.google.com/spreadsheets/d/1Yj_ptqi66GCucihVvJfMjLAmec39IyEx_6qawtMGysU/edit?usp=sharing"",""สบก!CM23"")"),0)</f>
        <v>0</v>
      </c>
      <c r="O279" s="49">
        <f ca="1">IF(L279&gt;0,N279*100/L279,0)</f>
        <v>0</v>
      </c>
      <c r="P279" s="49"/>
    </row>
    <row r="280" spans="1:16" ht="21.75" customHeight="1" x14ac:dyDescent="0.3">
      <c r="A280" s="175"/>
      <c r="B280" s="176"/>
      <c r="C280" s="157" t="s">
        <v>16</v>
      </c>
      <c r="D280" s="177" t="s">
        <v>44</v>
      </c>
      <c r="E280" s="178"/>
      <c r="F280" s="178"/>
      <c r="G280" s="179"/>
      <c r="H280" s="180"/>
      <c r="I280" s="162"/>
      <c r="J280" s="162"/>
      <c r="K280" s="163"/>
      <c r="L280" s="181"/>
      <c r="M280" s="181"/>
      <c r="N280" s="181"/>
      <c r="O280" s="181"/>
      <c r="P280" s="181"/>
    </row>
    <row r="281" spans="1:16" ht="21.75" customHeight="1" x14ac:dyDescent="0.3">
      <c r="A281" s="175"/>
      <c r="B281" s="176"/>
      <c r="C281" s="176"/>
      <c r="D281" s="182">
        <v>1</v>
      </c>
      <c r="E281" s="183" t="s">
        <v>45</v>
      </c>
      <c r="F281" s="184"/>
      <c r="G281" s="185"/>
      <c r="H281" s="186"/>
      <c r="I281" s="187"/>
      <c r="J281" s="188">
        <f ca="1">IFERROR(__xludf.DUMMYFUNCTION("IMPORTRANGE(""https://docs.google.com/spreadsheets/d/11923uPwbBZFjjGgGUA6NLw09EwE0CqkOc4q9oUmW1yo/edit?usp=sharing"",""ตาก!J191"")"),0)</f>
        <v>0</v>
      </c>
      <c r="K281" s="163"/>
      <c r="L281" s="181"/>
      <c r="M281" s="181"/>
      <c r="N281" s="181"/>
      <c r="O281" s="181"/>
      <c r="P281" s="181"/>
    </row>
    <row r="282" spans="1:16" ht="21.75" customHeight="1" x14ac:dyDescent="0.3">
      <c r="A282" s="175"/>
      <c r="B282" s="176"/>
      <c r="C282" s="176"/>
      <c r="D282" s="189">
        <v>2</v>
      </c>
      <c r="E282" s="190" t="s">
        <v>46</v>
      </c>
      <c r="F282" s="191"/>
      <c r="G282" s="192"/>
      <c r="H282" s="186"/>
      <c r="I282" s="187"/>
      <c r="J282" s="197">
        <f ca="1">IFERROR(__xludf.DUMMYFUNCTION("IMPORTRANGE(""https://docs.google.com/spreadsheets/d/11923uPwbBZFjjGgGUA6NLw09EwE0CqkOc4q9oUmW1yo/edit?usp=sharing"",""ตาก!J192"")"),1)</f>
        <v>1</v>
      </c>
      <c r="K282" s="163"/>
      <c r="L282" s="181"/>
      <c r="M282" s="181"/>
      <c r="N282" s="181"/>
      <c r="O282" s="181"/>
      <c r="P282" s="181"/>
    </row>
    <row r="283" spans="1:16" ht="21.75" customHeight="1" x14ac:dyDescent="0.3">
      <c r="A283" s="175"/>
      <c r="B283" s="176"/>
      <c r="C283" s="176"/>
      <c r="D283" s="193"/>
      <c r="E283" s="194" t="s">
        <v>47</v>
      </c>
      <c r="F283" s="195"/>
      <c r="G283" s="196"/>
      <c r="H283" s="186"/>
      <c r="I283" s="187"/>
      <c r="J283" s="197">
        <f ca="1">IFERROR(__xludf.DUMMYFUNCTION("IMPORTRANGE(""https://docs.google.com/spreadsheets/d/11923uPwbBZFjjGgGUA6NLw09EwE0CqkOc4q9oUmW1yo/edit?usp=sharing"",""ตาก!J193"")"),1)</f>
        <v>1</v>
      </c>
      <c r="K283" s="163"/>
      <c r="L283" s="181"/>
      <c r="M283" s="181"/>
      <c r="N283" s="181"/>
      <c r="O283" s="181"/>
      <c r="P283" s="181"/>
    </row>
    <row r="284" spans="1:16" ht="21.75" customHeight="1" x14ac:dyDescent="0.3">
      <c r="A284" s="175"/>
      <c r="B284" s="176"/>
      <c r="C284" s="176"/>
      <c r="D284" s="193"/>
      <c r="E284" s="194" t="s">
        <v>48</v>
      </c>
      <c r="F284" s="195"/>
      <c r="G284" s="196"/>
      <c r="H284" s="186"/>
      <c r="I284" s="187"/>
      <c r="J284" s="197">
        <f ca="1">IFERROR(__xludf.DUMMYFUNCTION("IMPORTRANGE(""https://docs.google.com/spreadsheets/d/11923uPwbBZFjjGgGUA6NLw09EwE0CqkOc4q9oUmW1yo/edit?usp=sharing"",""ตาก!J194"")"),1)</f>
        <v>1</v>
      </c>
      <c r="K284" s="163"/>
      <c r="L284" s="181"/>
      <c r="M284" s="181"/>
      <c r="N284" s="181"/>
      <c r="O284" s="181"/>
      <c r="P284" s="181"/>
    </row>
    <row r="285" spans="1:16" ht="21.75" customHeight="1" x14ac:dyDescent="0.3">
      <c r="A285" s="175"/>
      <c r="B285" s="176"/>
      <c r="C285" s="176"/>
      <c r="D285" s="193"/>
      <c r="E285" s="195"/>
      <c r="F285" s="194" t="s">
        <v>110</v>
      </c>
      <c r="G285" s="196"/>
      <c r="H285" s="186" t="s">
        <v>37</v>
      </c>
      <c r="I285" s="187">
        <f ca="1">IFERROR(__xludf.DUMMYFUNCTION("IMPORTRANGE(""https://docs.google.com/spreadsheets/d/11923uPwbBZFjjGgGUA6NLw09EwE0CqkOc4q9oUmW1yo/edit?usp=sharing"",""ตาก!I195"")"),20)</f>
        <v>20</v>
      </c>
      <c r="J285" s="188">
        <f ca="1">IFERROR(__xludf.DUMMYFUNCTION("IMPORTRANGE(""https://docs.google.com/spreadsheets/d/11923uPwbBZFjjGgGUA6NLw09EwE0CqkOc4q9oUmW1yo/edit?usp=sharing"",""ตาก!J195"")"),20)</f>
        <v>20</v>
      </c>
      <c r="K285" s="163">
        <f ca="1">IF(I285&gt;0,J285*100/I285,0)</f>
        <v>100</v>
      </c>
      <c r="L285" s="181"/>
      <c r="M285" s="181"/>
      <c r="N285" s="181"/>
      <c r="O285" s="181"/>
      <c r="P285" s="181"/>
    </row>
    <row r="286" spans="1:16" ht="21.75" customHeight="1" x14ac:dyDescent="0.3">
      <c r="A286" s="175"/>
      <c r="B286" s="176"/>
      <c r="C286" s="176"/>
      <c r="D286" s="193"/>
      <c r="E286" s="194" t="s">
        <v>54</v>
      </c>
      <c r="F286" s="195"/>
      <c r="G286" s="196"/>
      <c r="H286" s="186"/>
      <c r="I286" s="187"/>
      <c r="J286" s="197">
        <f ca="1">IFERROR(__xludf.DUMMYFUNCTION("IMPORTRANGE(""https://docs.google.com/spreadsheets/d/11923uPwbBZFjjGgGUA6NLw09EwE0CqkOc4q9oUmW1yo/edit?usp=sharing"",""ตาก!J196"")"),0)</f>
        <v>0</v>
      </c>
      <c r="K286" s="163"/>
      <c r="L286" s="181"/>
      <c r="M286" s="181"/>
      <c r="N286" s="181"/>
      <c r="O286" s="181"/>
      <c r="P286" s="181"/>
    </row>
    <row r="287" spans="1:16" ht="21.75" customHeight="1" x14ac:dyDescent="0.3">
      <c r="A287" s="175"/>
      <c r="B287" s="176"/>
      <c r="C287" s="176"/>
      <c r="D287" s="205">
        <v>3</v>
      </c>
      <c r="E287" s="206" t="s">
        <v>55</v>
      </c>
      <c r="F287" s="207"/>
      <c r="G287" s="208"/>
      <c r="H287" s="186"/>
      <c r="I287" s="187"/>
      <c r="J287" s="209">
        <f ca="1">IFERROR(__xludf.DUMMYFUNCTION("IMPORTRANGE(""https://docs.google.com/spreadsheets/d/11923uPwbBZFjjGgGUA6NLw09EwE0CqkOc4q9oUmW1yo/edit?usp=sharing"",""ตาก!J197"")"),0)</f>
        <v>0</v>
      </c>
      <c r="K287" s="163"/>
      <c r="L287" s="181"/>
      <c r="M287" s="181"/>
      <c r="N287" s="181"/>
      <c r="O287" s="181"/>
      <c r="P287" s="181"/>
    </row>
    <row r="288" spans="1:16" ht="21.75" customHeight="1" x14ac:dyDescent="0.3">
      <c r="A288" s="302" t="s">
        <v>111</v>
      </c>
      <c r="B288" s="303"/>
      <c r="C288" s="303"/>
      <c r="D288" s="304"/>
      <c r="E288" s="303"/>
      <c r="F288" s="303"/>
      <c r="G288" s="317"/>
      <c r="H288" s="318"/>
      <c r="I288" s="319"/>
      <c r="J288" s="319"/>
      <c r="K288" s="320"/>
      <c r="L288" s="320"/>
      <c r="M288" s="320"/>
      <c r="N288" s="320"/>
      <c r="O288" s="309"/>
      <c r="P288" s="309"/>
    </row>
    <row r="289" spans="1:16" ht="21.75" customHeight="1" x14ac:dyDescent="0.3">
      <c r="A289" s="321"/>
      <c r="B289" s="311" t="s">
        <v>112</v>
      </c>
      <c r="C289" s="322"/>
      <c r="D289" s="323"/>
      <c r="E289" s="311"/>
      <c r="F289" s="311"/>
      <c r="G289" s="312"/>
      <c r="H289" s="313" t="s">
        <v>37</v>
      </c>
      <c r="I289" s="314">
        <f ca="1">IFERROR(__xludf.DUMMYFUNCTION("IMPORTRANGE(""https://docs.google.com/spreadsheets/d/11923uPwbBZFjjGgGUA6NLw09EwE0CqkOc4q9oUmW1yo/edit?usp=sharing"",""ตาก!I199"")"),0)</f>
        <v>0</v>
      </c>
      <c r="J289" s="314">
        <f ca="1">IFERROR(__xludf.DUMMYFUNCTION("IMPORTRANGE(""https://docs.google.com/spreadsheets/d/11923uPwbBZFjjGgGUA6NLw09EwE0CqkOc4q9oUmW1yo/edit?usp=sharing"",""ตาก!J199"")"),0)</f>
        <v>0</v>
      </c>
      <c r="K289" s="315">
        <f ca="1">IF(I289&gt;0,J289*100/I289,0)</f>
        <v>0</v>
      </c>
      <c r="L289" s="316"/>
      <c r="M289" s="316"/>
      <c r="N289" s="316"/>
      <c r="O289" s="315"/>
      <c r="P289" s="315"/>
    </row>
    <row r="290" spans="1:16" ht="21.75" customHeight="1" x14ac:dyDescent="0.45">
      <c r="A290" s="145"/>
      <c r="B290" s="146"/>
      <c r="C290" s="147" t="s">
        <v>16</v>
      </c>
      <c r="D290" s="537" t="s">
        <v>17</v>
      </c>
      <c r="E290" s="528"/>
      <c r="F290" s="528"/>
      <c r="G290" s="528"/>
      <c r="H290" s="148" t="s">
        <v>12</v>
      </c>
      <c r="I290" s="187"/>
      <c r="J290" s="187"/>
      <c r="K290" s="223"/>
      <c r="L290" s="151">
        <f t="shared" ref="L290:N290" ca="1" si="88">L291+L292</f>
        <v>0</v>
      </c>
      <c r="M290" s="151">
        <f t="shared" ca="1" si="88"/>
        <v>0</v>
      </c>
      <c r="N290" s="151">
        <f t="shared" ca="1" si="88"/>
        <v>0</v>
      </c>
      <c r="O290" s="150">
        <f t="shared" ref="O290:O292" ca="1" si="89">IF(L290&gt;0,N290*100/L290,0)</f>
        <v>0</v>
      </c>
      <c r="P290" s="150">
        <f t="shared" ref="P290:P292" ca="1" si="90">IF(M290&gt;0,N290*100/M290,0)</f>
        <v>0</v>
      </c>
    </row>
    <row r="291" spans="1:16" ht="21.75" customHeight="1" x14ac:dyDescent="0.45">
      <c r="A291" s="152"/>
      <c r="B291" s="32"/>
      <c r="C291" s="32"/>
      <c r="D291" s="32"/>
      <c r="E291" s="32"/>
      <c r="F291" s="32"/>
      <c r="G291" s="33" t="s">
        <v>18</v>
      </c>
      <c r="H291" s="153" t="s">
        <v>12</v>
      </c>
      <c r="I291" s="187"/>
      <c r="J291" s="187"/>
      <c r="K291" s="223"/>
      <c r="L291" s="87">
        <f t="shared" ref="L291:N291" si="91">L293+L297</f>
        <v>0</v>
      </c>
      <c r="M291" s="87">
        <f t="shared" si="91"/>
        <v>0</v>
      </c>
      <c r="N291" s="87">
        <f t="shared" si="91"/>
        <v>0</v>
      </c>
      <c r="O291" s="155">
        <f t="shared" si="89"/>
        <v>0</v>
      </c>
      <c r="P291" s="155">
        <f t="shared" si="90"/>
        <v>0</v>
      </c>
    </row>
    <row r="292" spans="1:16" ht="21.75" customHeight="1" x14ac:dyDescent="0.45">
      <c r="A292" s="152"/>
      <c r="B292" s="32"/>
      <c r="C292" s="32"/>
      <c r="D292" s="32"/>
      <c r="E292" s="32"/>
      <c r="F292" s="32"/>
      <c r="G292" s="33" t="s">
        <v>19</v>
      </c>
      <c r="H292" s="153" t="s">
        <v>12</v>
      </c>
      <c r="I292" s="187"/>
      <c r="J292" s="187"/>
      <c r="K292" s="223"/>
      <c r="L292" s="87">
        <f t="shared" ref="L292:N292" ca="1" si="92">L294+L298</f>
        <v>0</v>
      </c>
      <c r="M292" s="87">
        <f t="shared" ca="1" si="92"/>
        <v>0</v>
      </c>
      <c r="N292" s="87">
        <f t="shared" ca="1" si="92"/>
        <v>0</v>
      </c>
      <c r="O292" s="155">
        <f t="shared" ca="1" si="89"/>
        <v>0</v>
      </c>
      <c r="P292" s="155">
        <f t="shared" ca="1" si="90"/>
        <v>0</v>
      </c>
    </row>
    <row r="293" spans="1:16" ht="21.75" customHeight="1" x14ac:dyDescent="0.3">
      <c r="A293" s="156"/>
      <c r="B293" s="157"/>
      <c r="C293" s="157" t="s">
        <v>16</v>
      </c>
      <c r="D293" s="158" t="s">
        <v>38</v>
      </c>
      <c r="E293" s="159"/>
      <c r="F293" s="159"/>
      <c r="G293" s="160" t="s">
        <v>39</v>
      </c>
      <c r="H293" s="161" t="s">
        <v>12</v>
      </c>
      <c r="I293" s="187" t="s">
        <v>40</v>
      </c>
      <c r="J293" s="187"/>
      <c r="K293" s="223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3">
      <c r="A294" s="156"/>
      <c r="B294" s="157"/>
      <c r="C294" s="157"/>
      <c r="D294" s="166"/>
      <c r="E294" s="159"/>
      <c r="F294" s="159" t="s">
        <v>40</v>
      </c>
      <c r="G294" s="160" t="s">
        <v>41</v>
      </c>
      <c r="H294" s="161" t="s">
        <v>12</v>
      </c>
      <c r="I294" s="187"/>
      <c r="J294" s="187"/>
      <c r="K294" s="223"/>
      <c r="L294" s="167">
        <f ca="1">L295+L296</f>
        <v>0</v>
      </c>
      <c r="M294" s="167">
        <f ca="1">IFERROR(__xludf.DUMMYFUNCTION("IMPORTRANGE(""https://docs.google.com/spreadsheets/d/1Yj_ptqi66GCucihVvJfMjLAmec39IyEx_6qawtMGysU/edit?usp=sharing"",""สบก!CT23"")"),0)</f>
        <v>0</v>
      </c>
      <c r="N294" s="168">
        <f ca="1">IFERROR(__xludf.DUMMYFUNCTION("IMPORTRANGE(""https://docs.google.com/spreadsheets/d/1Yj_ptqi66GCucihVvJfMjLAmec39IyEx_6qawtMGysU/edit?usp=sharing"",""สบก!CU23"")"),0)</f>
        <v>0</v>
      </c>
      <c r="O294" s="168">
        <f ca="1">IF(L294&gt;0,N294*100/L294,0)</f>
        <v>0</v>
      </c>
      <c r="P294" s="168">
        <f ca="1">IF(M294&gt;0,N294*100/M294,0)</f>
        <v>0</v>
      </c>
    </row>
    <row r="295" spans="1:16" ht="21.75" customHeight="1" x14ac:dyDescent="0.3">
      <c r="A295" s="156"/>
      <c r="B295" s="157"/>
      <c r="C295" s="157"/>
      <c r="D295" s="166"/>
      <c r="E295" s="159"/>
      <c r="F295" s="159"/>
      <c r="G295" s="169" t="s">
        <v>42</v>
      </c>
      <c r="H295" s="161" t="s">
        <v>12</v>
      </c>
      <c r="I295" s="187"/>
      <c r="J295" s="187"/>
      <c r="K295" s="223"/>
      <c r="L295" s="167">
        <f ca="1">IFERROR(__xludf.DUMMYFUNCTION("IMPORTRANGE(""https://docs.google.com/spreadsheets/d/1Yj_ptqi66GCucihVvJfMjLAmec39IyEx_6qawtMGysU/edit?usp=sharing"",""สบก!CP23"")"),0)</f>
        <v>0</v>
      </c>
      <c r="M295" s="167"/>
      <c r="N295" s="167"/>
      <c r="O295" s="168"/>
      <c r="P295" s="168"/>
    </row>
    <row r="296" spans="1:16" ht="21.75" customHeight="1" x14ac:dyDescent="0.3">
      <c r="A296" s="156"/>
      <c r="B296" s="157"/>
      <c r="C296" s="157"/>
      <c r="D296" s="166"/>
      <c r="E296" s="159"/>
      <c r="F296" s="159"/>
      <c r="G296" s="169" t="s">
        <v>43</v>
      </c>
      <c r="H296" s="161" t="s">
        <v>12</v>
      </c>
      <c r="I296" s="187"/>
      <c r="J296" s="187"/>
      <c r="K296" s="223"/>
      <c r="L296" s="167">
        <f ca="1">IFERROR(__xludf.DUMMYFUNCTION("IMPORTRANGE(""https://docs.google.com/spreadsheets/d/1Yj_ptqi66GCucihVvJfMjLAmec39IyEx_6qawtMGysU/edit?usp=sharing"",""สบก!CQ23"")"),0)</f>
        <v>0</v>
      </c>
      <c r="M296" s="167"/>
      <c r="N296" s="167"/>
      <c r="O296" s="168"/>
      <c r="P296" s="168"/>
    </row>
    <row r="297" spans="1:16" ht="21.75" customHeight="1" x14ac:dyDescent="0.45">
      <c r="A297" s="170"/>
      <c r="B297" s="80"/>
      <c r="C297" s="81" t="s">
        <v>16</v>
      </c>
      <c r="D297" s="534" t="s">
        <v>23</v>
      </c>
      <c r="E297" s="530"/>
      <c r="F297" s="88"/>
      <c r="G297" s="82" t="s">
        <v>18</v>
      </c>
      <c r="H297" s="171" t="s">
        <v>12</v>
      </c>
      <c r="I297" s="187"/>
      <c r="J297" s="187"/>
      <c r="K297" s="223"/>
      <c r="L297" s="41">
        <v>0</v>
      </c>
      <c r="M297" s="41"/>
      <c r="N297" s="41"/>
      <c r="O297" s="41"/>
      <c r="P297" s="41"/>
    </row>
    <row r="298" spans="1:16" ht="21.75" customHeight="1" x14ac:dyDescent="0.45">
      <c r="A298" s="172"/>
      <c r="B298" s="91"/>
      <c r="C298" s="91"/>
      <c r="D298" s="173"/>
      <c r="E298" s="92"/>
      <c r="F298" s="92"/>
      <c r="G298" s="93" t="s">
        <v>19</v>
      </c>
      <c r="H298" s="174" t="s">
        <v>12</v>
      </c>
      <c r="I298" s="187"/>
      <c r="J298" s="187"/>
      <c r="K298" s="223"/>
      <c r="L298" s="49">
        <f ca="1">IFERROR(__xludf.DUMMYFUNCTION("IMPORTRANGE(""https://docs.google.com/spreadsheets/d/1Yj_ptqi66GCucihVvJfMjLAmec39IyEx_6qawtMGysU/edit?usp=sharing"",""สบก!CR23"")"),0)</f>
        <v>0</v>
      </c>
      <c r="M298" s="49"/>
      <c r="N298" s="49">
        <f ca="1">IFERROR(__xludf.DUMMYFUNCTION("IMPORTRANGE(""https://docs.google.com/spreadsheets/d/1Yj_ptqi66GCucihVvJfMjLAmec39IyEx_6qawtMGysU/edit?usp=sharing"",""สบก!CV23"")"),0)</f>
        <v>0</v>
      </c>
      <c r="O298" s="49">
        <f ca="1">IF(L298&gt;0,N298*100/L298,0)</f>
        <v>0</v>
      </c>
      <c r="P298" s="49"/>
    </row>
    <row r="299" spans="1:16" ht="21.75" customHeight="1" x14ac:dyDescent="0.3">
      <c r="A299" s="175"/>
      <c r="B299" s="176"/>
      <c r="C299" s="157" t="s">
        <v>16</v>
      </c>
      <c r="D299" s="177" t="s">
        <v>44</v>
      </c>
      <c r="E299" s="178"/>
      <c r="F299" s="178"/>
      <c r="G299" s="179"/>
      <c r="H299" s="180"/>
      <c r="I299" s="187"/>
      <c r="J299" s="187"/>
      <c r="K299" s="223"/>
      <c r="L299" s="168"/>
      <c r="M299" s="168"/>
      <c r="N299" s="168"/>
      <c r="O299" s="181"/>
      <c r="P299" s="181"/>
    </row>
    <row r="300" spans="1:16" ht="21.75" customHeight="1" x14ac:dyDescent="0.3">
      <c r="A300" s="175"/>
      <c r="B300" s="176"/>
      <c r="C300" s="176"/>
      <c r="D300" s="182">
        <v>1</v>
      </c>
      <c r="E300" s="183" t="s">
        <v>45</v>
      </c>
      <c r="F300" s="184"/>
      <c r="G300" s="185"/>
      <c r="H300" s="186"/>
      <c r="I300" s="187"/>
      <c r="J300" s="187">
        <f ca="1">IFERROR(__xludf.DUMMYFUNCTION("IMPORTRANGE(""https://docs.google.com/spreadsheets/d/11923uPwbBZFjjGgGUA6NLw09EwE0CqkOc4q9oUmW1yo/edit?usp=sharing"",""ตาก!J205"")"),0)</f>
        <v>0</v>
      </c>
      <c r="K300" s="223"/>
      <c r="L300" s="168"/>
      <c r="M300" s="168"/>
      <c r="N300" s="168"/>
      <c r="O300" s="181"/>
      <c r="P300" s="181"/>
    </row>
    <row r="301" spans="1:16" ht="21.75" customHeight="1" x14ac:dyDescent="0.3">
      <c r="A301" s="175"/>
      <c r="B301" s="176"/>
      <c r="C301" s="176"/>
      <c r="D301" s="189">
        <v>2</v>
      </c>
      <c r="E301" s="190" t="s">
        <v>46</v>
      </c>
      <c r="F301" s="191"/>
      <c r="G301" s="192"/>
      <c r="H301" s="186"/>
      <c r="I301" s="187"/>
      <c r="J301" s="187">
        <f ca="1">IFERROR(__xludf.DUMMYFUNCTION("IMPORTRANGE(""https://docs.google.com/spreadsheets/d/11923uPwbBZFjjGgGUA6NLw09EwE0CqkOc4q9oUmW1yo/edit?usp=sharing"",""ตาก!J206"")"),0)</f>
        <v>0</v>
      </c>
      <c r="K301" s="223"/>
      <c r="L301" s="168" t="s">
        <v>40</v>
      </c>
      <c r="M301" s="168"/>
      <c r="N301" s="168" t="s">
        <v>40</v>
      </c>
      <c r="O301" s="181"/>
      <c r="P301" s="181"/>
    </row>
    <row r="302" spans="1:16" ht="21.75" customHeight="1" x14ac:dyDescent="0.3">
      <c r="A302" s="175"/>
      <c r="B302" s="176"/>
      <c r="C302" s="176"/>
      <c r="D302" s="193"/>
      <c r="E302" s="194" t="s">
        <v>47</v>
      </c>
      <c r="F302" s="195"/>
      <c r="G302" s="196"/>
      <c r="H302" s="186"/>
      <c r="I302" s="187"/>
      <c r="J302" s="187">
        <f ca="1">IFERROR(__xludf.DUMMYFUNCTION("IMPORTRANGE(""https://docs.google.com/spreadsheets/d/11923uPwbBZFjjGgGUA6NLw09EwE0CqkOc4q9oUmW1yo/edit?usp=sharing"",""ตาก!J207"")"),0)</f>
        <v>0</v>
      </c>
      <c r="K302" s="223"/>
      <c r="L302" s="168"/>
      <c r="M302" s="168"/>
      <c r="N302" s="168"/>
      <c r="O302" s="181"/>
      <c r="P302" s="181"/>
    </row>
    <row r="303" spans="1:16" ht="21.75" customHeight="1" x14ac:dyDescent="0.3">
      <c r="A303" s="175"/>
      <c r="B303" s="176"/>
      <c r="C303" s="176"/>
      <c r="D303" s="193"/>
      <c r="E303" s="194" t="s">
        <v>48</v>
      </c>
      <c r="F303" s="195"/>
      <c r="G303" s="196"/>
      <c r="H303" s="186"/>
      <c r="I303" s="187"/>
      <c r="J303" s="187">
        <f ca="1">IFERROR(__xludf.DUMMYFUNCTION("IMPORTRANGE(""https://docs.google.com/spreadsheets/d/11923uPwbBZFjjGgGUA6NLw09EwE0CqkOc4q9oUmW1yo/edit?usp=sharing"",""ตาก!J208"")"),0)</f>
        <v>0</v>
      </c>
      <c r="K303" s="223"/>
      <c r="L303" s="168"/>
      <c r="M303" s="168"/>
      <c r="N303" s="168"/>
      <c r="O303" s="181"/>
      <c r="P303" s="181"/>
    </row>
    <row r="304" spans="1:16" ht="21.75" customHeight="1" x14ac:dyDescent="0.3">
      <c r="A304" s="175"/>
      <c r="B304" s="176"/>
      <c r="C304" s="176"/>
      <c r="D304" s="193"/>
      <c r="E304" s="198"/>
      <c r="F304" s="194" t="s">
        <v>113</v>
      </c>
      <c r="G304" s="196"/>
      <c r="H304" s="180" t="s">
        <v>37</v>
      </c>
      <c r="I304" s="187">
        <f ca="1">IFERROR(__xludf.DUMMYFUNCTION("IMPORTRANGE(""https://docs.google.com/spreadsheets/d/11923uPwbBZFjjGgGUA6NLw09EwE0CqkOc4q9oUmW1yo/edit?usp=sharing"",""ตาก!I209"")"),0)</f>
        <v>0</v>
      </c>
      <c r="J304" s="203">
        <f ca="1">IFERROR(__xludf.DUMMYFUNCTION("IMPORTRANGE(""https://docs.google.com/spreadsheets/d/11923uPwbBZFjjGgGUA6NLw09EwE0CqkOc4q9oUmW1yo/edit?usp=sharing"",""ตาก!J209"")"),0)</f>
        <v>0</v>
      </c>
      <c r="K304" s="223">
        <f ca="1">IF(I304&gt;0,J304*100/I304,0)</f>
        <v>0</v>
      </c>
      <c r="L304" s="168"/>
      <c r="M304" s="168"/>
      <c r="N304" s="168"/>
      <c r="O304" s="181"/>
      <c r="P304" s="181"/>
    </row>
    <row r="305" spans="1:16" ht="21.75" customHeight="1" x14ac:dyDescent="0.3">
      <c r="A305" s="175"/>
      <c r="B305" s="176"/>
      <c r="C305" s="176"/>
      <c r="D305" s="193"/>
      <c r="E305" s="198"/>
      <c r="F305" s="194" t="s">
        <v>114</v>
      </c>
      <c r="G305" s="196"/>
      <c r="H305" s="180"/>
      <c r="I305" s="187"/>
      <c r="J305" s="187"/>
      <c r="K305" s="223"/>
      <c r="L305" s="168"/>
      <c r="M305" s="168"/>
      <c r="N305" s="168"/>
      <c r="O305" s="181"/>
      <c r="P305" s="181"/>
    </row>
    <row r="306" spans="1:16" ht="21.75" customHeight="1" x14ac:dyDescent="0.3">
      <c r="A306" s="175"/>
      <c r="B306" s="176"/>
      <c r="C306" s="176"/>
      <c r="D306" s="193"/>
      <c r="E306" s="198"/>
      <c r="F306" s="195" t="s">
        <v>53</v>
      </c>
      <c r="G306" s="196"/>
      <c r="H306" s="180" t="s">
        <v>37</v>
      </c>
      <c r="I306" s="187">
        <f ca="1">IFERROR(__xludf.DUMMYFUNCTION("IMPORTRANGE(""https://docs.google.com/spreadsheets/d/11923uPwbBZFjjGgGUA6NLw09EwE0CqkOc4q9oUmW1yo/edit?usp=sharing"",""ตาก!I211"")"),0)</f>
        <v>0</v>
      </c>
      <c r="J306" s="203">
        <f ca="1">IFERROR(__xludf.DUMMYFUNCTION("IMPORTRANGE(""https://docs.google.com/spreadsheets/d/11923uPwbBZFjjGgGUA6NLw09EwE0CqkOc4q9oUmW1yo/edit?usp=sharing"",""ตาก!J211"")"),0)</f>
        <v>0</v>
      </c>
      <c r="K306" s="223">
        <f ca="1">IF(I306&gt;0,J306*100/I306,0)</f>
        <v>0</v>
      </c>
      <c r="L306" s="168"/>
      <c r="M306" s="168"/>
      <c r="N306" s="168"/>
      <c r="O306" s="181"/>
      <c r="P306" s="181"/>
    </row>
    <row r="307" spans="1:16" ht="21.75" customHeight="1" x14ac:dyDescent="0.3">
      <c r="A307" s="175"/>
      <c r="B307" s="176"/>
      <c r="C307" s="176"/>
      <c r="D307" s="193"/>
      <c r="E307" s="194" t="s">
        <v>54</v>
      </c>
      <c r="F307" s="195"/>
      <c r="G307" s="196"/>
      <c r="H307" s="186"/>
      <c r="I307" s="187"/>
      <c r="J307" s="187">
        <f ca="1">IFERROR(__xludf.DUMMYFUNCTION("IMPORTRANGE(""https://docs.google.com/spreadsheets/d/11923uPwbBZFjjGgGUA6NLw09EwE0CqkOc4q9oUmW1yo/edit?usp=sharing"",""ตาก!J212"")"),0)</f>
        <v>0</v>
      </c>
      <c r="K307" s="223"/>
      <c r="L307" s="168"/>
      <c r="M307" s="168"/>
      <c r="N307" s="168"/>
      <c r="O307" s="181"/>
      <c r="P307" s="181"/>
    </row>
    <row r="308" spans="1:16" ht="21.75" customHeight="1" x14ac:dyDescent="0.3">
      <c r="A308" s="175"/>
      <c r="B308" s="176"/>
      <c r="C308" s="176"/>
      <c r="D308" s="205">
        <v>3</v>
      </c>
      <c r="E308" s="206" t="s">
        <v>55</v>
      </c>
      <c r="F308" s="207"/>
      <c r="G308" s="208"/>
      <c r="H308" s="186"/>
      <c r="I308" s="187"/>
      <c r="J308" s="324">
        <f ca="1">IFERROR(__xludf.DUMMYFUNCTION("IMPORTRANGE(""https://docs.google.com/spreadsheets/d/11923uPwbBZFjjGgGUA6NLw09EwE0CqkOc4q9oUmW1yo/edit?usp=sharing"",""ตาก!J213"")"),0)</f>
        <v>0</v>
      </c>
      <c r="K308" s="223"/>
      <c r="L308" s="168"/>
      <c r="M308" s="168"/>
      <c r="N308" s="168"/>
      <c r="O308" s="181"/>
      <c r="P308" s="181"/>
    </row>
    <row r="309" spans="1:16" ht="21.75" customHeight="1" x14ac:dyDescent="0.3">
      <c r="A309" s="325"/>
      <c r="B309" s="326" t="s">
        <v>115</v>
      </c>
      <c r="C309" s="327"/>
      <c r="D309" s="328"/>
      <c r="E309" s="326"/>
      <c r="F309" s="326"/>
      <c r="G309" s="329"/>
      <c r="H309" s="330" t="s">
        <v>116</v>
      </c>
      <c r="I309" s="331">
        <f ca="1">IFERROR(__xludf.DUMMYFUNCTION("IMPORTRANGE(""https://docs.google.com/spreadsheets/d/11923uPwbBZFjjGgGUA6NLw09EwE0CqkOc4q9oUmW1yo/edit?usp=sharing"",""ตาก!I214"")"),0)</f>
        <v>0</v>
      </c>
      <c r="J309" s="331">
        <f ca="1">IFERROR(__xludf.DUMMYFUNCTION("IMPORTRANGE(""https://docs.google.com/spreadsheets/d/11923uPwbBZFjjGgGUA6NLw09EwE0CqkOc4q9oUmW1yo/edit?usp=sharing"",""ตาก!J214"")"),0)</f>
        <v>0</v>
      </c>
      <c r="K309" s="332">
        <f ca="1">IF(I309&gt;0,J309*100/I309,0)</f>
        <v>0</v>
      </c>
      <c r="L309" s="333"/>
      <c r="M309" s="333"/>
      <c r="N309" s="333"/>
      <c r="O309" s="332"/>
      <c r="P309" s="332"/>
    </row>
    <row r="310" spans="1:16" ht="21.75" customHeight="1" x14ac:dyDescent="0.45">
      <c r="A310" s="145"/>
      <c r="B310" s="146"/>
      <c r="C310" s="147" t="s">
        <v>16</v>
      </c>
      <c r="D310" s="537" t="s">
        <v>17</v>
      </c>
      <c r="E310" s="528"/>
      <c r="F310" s="528"/>
      <c r="G310" s="528"/>
      <c r="H310" s="148" t="s">
        <v>12</v>
      </c>
      <c r="I310" s="334"/>
      <c r="J310" s="334"/>
      <c r="K310" s="335"/>
      <c r="L310" s="151">
        <f t="shared" ref="L310:N310" ca="1" si="93">L311+L312</f>
        <v>0</v>
      </c>
      <c r="M310" s="151">
        <f t="shared" ca="1" si="93"/>
        <v>0</v>
      </c>
      <c r="N310" s="151">
        <f t="shared" ca="1" si="93"/>
        <v>0</v>
      </c>
      <c r="O310" s="150">
        <f t="shared" ref="O310:O312" ca="1" si="94">IF(L310&gt;0,N310*100/L310,0)</f>
        <v>0</v>
      </c>
      <c r="P310" s="150">
        <f t="shared" ref="P310:P312" ca="1" si="95">IF(M310&gt;0,N310*100/M310,0)</f>
        <v>0</v>
      </c>
    </row>
    <row r="311" spans="1:16" ht="21.75" customHeight="1" x14ac:dyDescent="0.45">
      <c r="A311" s="152"/>
      <c r="B311" s="32"/>
      <c r="C311" s="32"/>
      <c r="D311" s="32"/>
      <c r="E311" s="32"/>
      <c r="F311" s="32"/>
      <c r="G311" s="33" t="s">
        <v>18</v>
      </c>
      <c r="H311" s="153" t="s">
        <v>12</v>
      </c>
      <c r="I311" s="334"/>
      <c r="J311" s="334"/>
      <c r="K311" s="335"/>
      <c r="L311" s="87">
        <f t="shared" ref="L311:N311" si="96">L313+L317</f>
        <v>0</v>
      </c>
      <c r="M311" s="87">
        <f t="shared" si="96"/>
        <v>0</v>
      </c>
      <c r="N311" s="87">
        <f t="shared" si="96"/>
        <v>0</v>
      </c>
      <c r="O311" s="155">
        <f t="shared" si="94"/>
        <v>0</v>
      </c>
      <c r="P311" s="155">
        <f t="shared" si="95"/>
        <v>0</v>
      </c>
    </row>
    <row r="312" spans="1:16" ht="21.75" customHeight="1" x14ac:dyDescent="0.45">
      <c r="A312" s="152"/>
      <c r="B312" s="32"/>
      <c r="C312" s="32"/>
      <c r="D312" s="32"/>
      <c r="E312" s="32"/>
      <c r="F312" s="32"/>
      <c r="G312" s="33" t="s">
        <v>19</v>
      </c>
      <c r="H312" s="153" t="s">
        <v>12</v>
      </c>
      <c r="I312" s="334"/>
      <c r="J312" s="334"/>
      <c r="K312" s="335"/>
      <c r="L312" s="87">
        <f t="shared" ref="L312:N312" ca="1" si="97">L314+L318</f>
        <v>0</v>
      </c>
      <c r="M312" s="87">
        <f t="shared" ca="1" si="97"/>
        <v>0</v>
      </c>
      <c r="N312" s="87">
        <f t="shared" ca="1" si="97"/>
        <v>0</v>
      </c>
      <c r="O312" s="155">
        <f t="shared" ca="1" si="94"/>
        <v>0</v>
      </c>
      <c r="P312" s="155">
        <f t="shared" ca="1" si="95"/>
        <v>0</v>
      </c>
    </row>
    <row r="313" spans="1:16" ht="21.75" customHeight="1" x14ac:dyDescent="0.3">
      <c r="A313" s="156"/>
      <c r="B313" s="157"/>
      <c r="C313" s="157" t="s">
        <v>16</v>
      </c>
      <c r="D313" s="158" t="s">
        <v>38</v>
      </c>
      <c r="E313" s="159"/>
      <c r="F313" s="159"/>
      <c r="G313" s="160" t="s">
        <v>39</v>
      </c>
      <c r="H313" s="161" t="s">
        <v>12</v>
      </c>
      <c r="I313" s="162" t="s">
        <v>40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3">
      <c r="A314" s="156"/>
      <c r="B314" s="157"/>
      <c r="C314" s="157"/>
      <c r="D314" s="166"/>
      <c r="E314" s="159"/>
      <c r="F314" s="159" t="s">
        <v>40</v>
      </c>
      <c r="G314" s="160" t="s">
        <v>41</v>
      </c>
      <c r="H314" s="161" t="s">
        <v>12</v>
      </c>
      <c r="I314" s="162"/>
      <c r="J314" s="162"/>
      <c r="K314" s="163"/>
      <c r="L314" s="167">
        <f ca="1">L315+L316</f>
        <v>0</v>
      </c>
      <c r="M314" s="167">
        <f ca="1">IFERROR(__xludf.DUMMYFUNCTION("IMPORTRANGE(""https://docs.google.com/spreadsheets/d/1Yj_ptqi66GCucihVvJfMjLAmec39IyEx_6qawtMGysU/edit?usp=sharing"",""สบก!DC23"")"),0)</f>
        <v>0</v>
      </c>
      <c r="N314" s="168">
        <f ca="1">IFERROR(__xludf.DUMMYFUNCTION("IMPORTRANGE(""https://docs.google.com/spreadsheets/d/1Yj_ptqi66GCucihVvJfMjLAmec39IyEx_6qawtMGysU/edit?usp=sharing"",""สบก!DD23"")"),0)</f>
        <v>0</v>
      </c>
      <c r="O314" s="168">
        <f ca="1">IF(L314&gt;0,N314*100/L314,0)</f>
        <v>0</v>
      </c>
      <c r="P314" s="168">
        <f ca="1">IF(M314&gt;0,N314*100/M314,0)</f>
        <v>0</v>
      </c>
    </row>
    <row r="315" spans="1:16" ht="21.75" customHeight="1" x14ac:dyDescent="0.3">
      <c r="A315" s="156"/>
      <c r="B315" s="157"/>
      <c r="C315" s="157"/>
      <c r="D315" s="166"/>
      <c r="E315" s="159"/>
      <c r="F315" s="159"/>
      <c r="G315" s="169" t="s">
        <v>42</v>
      </c>
      <c r="H315" s="161" t="s">
        <v>12</v>
      </c>
      <c r="I315" s="162"/>
      <c r="J315" s="162"/>
      <c r="K315" s="163"/>
      <c r="L315" s="167">
        <f ca="1">IFERROR(__xludf.DUMMYFUNCTION("IMPORTRANGE(""https://docs.google.com/spreadsheets/d/1Yj_ptqi66GCucihVvJfMjLAmec39IyEx_6qawtMGysU/edit?usp=sharing"",""สบก!CY23"")"),0)</f>
        <v>0</v>
      </c>
      <c r="M315" s="167"/>
      <c r="N315" s="167"/>
      <c r="O315" s="168"/>
      <c r="P315" s="168"/>
    </row>
    <row r="316" spans="1:16" ht="21.75" customHeight="1" x14ac:dyDescent="0.3">
      <c r="A316" s="156"/>
      <c r="B316" s="157"/>
      <c r="C316" s="157"/>
      <c r="D316" s="166"/>
      <c r="E316" s="159"/>
      <c r="F316" s="159"/>
      <c r="G316" s="169" t="s">
        <v>43</v>
      </c>
      <c r="H316" s="161" t="s">
        <v>12</v>
      </c>
      <c r="I316" s="162"/>
      <c r="J316" s="187"/>
      <c r="K316" s="223"/>
      <c r="L316" s="167">
        <f ca="1">IFERROR(__xludf.DUMMYFUNCTION("IMPORTRANGE(""https://docs.google.com/spreadsheets/d/1Yj_ptqi66GCucihVvJfMjLAmec39IyEx_6qawtMGysU/edit?usp=sharing"",""สบก!CZ23"")"),0)</f>
        <v>0</v>
      </c>
      <c r="M316" s="167"/>
      <c r="N316" s="167"/>
      <c r="O316" s="168"/>
      <c r="P316" s="168"/>
    </row>
    <row r="317" spans="1:16" ht="21.75" customHeight="1" x14ac:dyDescent="0.45">
      <c r="A317" s="170"/>
      <c r="B317" s="80"/>
      <c r="C317" s="81" t="s">
        <v>16</v>
      </c>
      <c r="D317" s="534" t="s">
        <v>23</v>
      </c>
      <c r="E317" s="530"/>
      <c r="F317" s="88"/>
      <c r="G317" s="82" t="s">
        <v>18</v>
      </c>
      <c r="H317" s="171" t="s">
        <v>12</v>
      </c>
      <c r="I317" s="162"/>
      <c r="J317" s="187"/>
      <c r="K317" s="223"/>
      <c r="L317" s="41">
        <v>0</v>
      </c>
      <c r="M317" s="41"/>
      <c r="N317" s="41"/>
      <c r="O317" s="41"/>
      <c r="P317" s="41"/>
    </row>
    <row r="318" spans="1:16" ht="21.75" customHeight="1" x14ac:dyDescent="0.45">
      <c r="A318" s="172"/>
      <c r="B318" s="91"/>
      <c r="C318" s="91"/>
      <c r="D318" s="173"/>
      <c r="E318" s="92"/>
      <c r="F318" s="92"/>
      <c r="G318" s="93" t="s">
        <v>19</v>
      </c>
      <c r="H318" s="174" t="s">
        <v>12</v>
      </c>
      <c r="I318" s="162"/>
      <c r="J318" s="187"/>
      <c r="K318" s="223"/>
      <c r="L318" s="49">
        <f ca="1">IFERROR(__xludf.DUMMYFUNCTION("IMPORTRANGE(""https://docs.google.com/spreadsheets/d/1Yj_ptqi66GCucihVvJfMjLAmec39IyEx_6qawtMGysU/edit?usp=sharing"",""สบก!DA23"")"),0)</f>
        <v>0</v>
      </c>
      <c r="M318" s="49"/>
      <c r="N318" s="49">
        <f ca="1">IFERROR(__xludf.DUMMYFUNCTION("IMPORTRANGE(""https://docs.google.com/spreadsheets/d/1Yj_ptqi66GCucihVvJfMjLAmec39IyEx_6qawtMGysU/edit?usp=sharing"",""สบก!DE23"")"),0)</f>
        <v>0</v>
      </c>
      <c r="O318" s="49">
        <f ca="1">IF(L318&gt;0,N318*100/L318,0)</f>
        <v>0</v>
      </c>
      <c r="P318" s="49"/>
    </row>
    <row r="319" spans="1:16" ht="21.75" customHeight="1" x14ac:dyDescent="0.3">
      <c r="A319" s="175"/>
      <c r="B319" s="176"/>
      <c r="C319" s="157" t="s">
        <v>16</v>
      </c>
      <c r="D319" s="177" t="s">
        <v>44</v>
      </c>
      <c r="E319" s="178"/>
      <c r="F319" s="178"/>
      <c r="G319" s="179"/>
      <c r="H319" s="180"/>
      <c r="I319" s="162"/>
      <c r="J319" s="187"/>
      <c r="K319" s="223"/>
      <c r="L319" s="168"/>
      <c r="M319" s="168"/>
      <c r="N319" s="168"/>
      <c r="O319" s="181"/>
      <c r="P319" s="181"/>
    </row>
    <row r="320" spans="1:16" ht="21.75" customHeight="1" x14ac:dyDescent="0.3">
      <c r="A320" s="175"/>
      <c r="B320" s="176"/>
      <c r="C320" s="176"/>
      <c r="D320" s="182">
        <v>1</v>
      </c>
      <c r="E320" s="183" t="s">
        <v>45</v>
      </c>
      <c r="F320" s="184"/>
      <c r="G320" s="185"/>
      <c r="H320" s="186"/>
      <c r="I320" s="187"/>
      <c r="J320" s="187">
        <f ca="1">IFERROR(__xludf.DUMMYFUNCTION("IMPORTRANGE(""https://docs.google.com/spreadsheets/d/11923uPwbBZFjjGgGUA6NLw09EwE0CqkOc4q9oUmW1yo/edit?usp=sharing"",""ตาก!J220"")"),0)</f>
        <v>0</v>
      </c>
      <c r="K320" s="223"/>
      <c r="L320" s="168"/>
      <c r="M320" s="168"/>
      <c r="N320" s="168"/>
      <c r="O320" s="181"/>
      <c r="P320" s="181"/>
    </row>
    <row r="321" spans="1:16" ht="21.75" customHeight="1" x14ac:dyDescent="0.3">
      <c r="A321" s="175"/>
      <c r="B321" s="176"/>
      <c r="C321" s="176"/>
      <c r="D321" s="189">
        <v>2</v>
      </c>
      <c r="E321" s="190" t="s">
        <v>46</v>
      </c>
      <c r="F321" s="191"/>
      <c r="G321" s="192"/>
      <c r="H321" s="186"/>
      <c r="I321" s="187"/>
      <c r="J321" s="187">
        <f ca="1">IFERROR(__xludf.DUMMYFUNCTION("IMPORTRANGE(""https://docs.google.com/spreadsheets/d/11923uPwbBZFjjGgGUA6NLw09EwE0CqkOc4q9oUmW1yo/edit?usp=sharing"",""ตาก!J221"")"),0)</f>
        <v>0</v>
      </c>
      <c r="K321" s="223"/>
      <c r="L321" s="168" t="s">
        <v>40</v>
      </c>
      <c r="M321" s="168"/>
      <c r="N321" s="168" t="s">
        <v>40</v>
      </c>
      <c r="O321" s="181"/>
      <c r="P321" s="181"/>
    </row>
    <row r="322" spans="1:16" ht="21.75" customHeight="1" x14ac:dyDescent="0.3">
      <c r="A322" s="175"/>
      <c r="B322" s="176"/>
      <c r="C322" s="176"/>
      <c r="D322" s="193"/>
      <c r="E322" s="194" t="s">
        <v>47</v>
      </c>
      <c r="F322" s="195"/>
      <c r="G322" s="196"/>
      <c r="H322" s="186"/>
      <c r="I322" s="187"/>
      <c r="J322" s="187">
        <f ca="1">IFERROR(__xludf.DUMMYFUNCTION("IMPORTRANGE(""https://docs.google.com/spreadsheets/d/11923uPwbBZFjjGgGUA6NLw09EwE0CqkOc4q9oUmW1yo/edit?usp=sharing"",""ตาก!J222"")"),0)</f>
        <v>0</v>
      </c>
      <c r="K322" s="223"/>
      <c r="L322" s="168"/>
      <c r="M322" s="168"/>
      <c r="N322" s="168"/>
      <c r="O322" s="181"/>
      <c r="P322" s="181"/>
    </row>
    <row r="323" spans="1:16" ht="21.75" customHeight="1" x14ac:dyDescent="0.3">
      <c r="A323" s="175"/>
      <c r="B323" s="176"/>
      <c r="C323" s="176"/>
      <c r="D323" s="193"/>
      <c r="E323" s="194" t="s">
        <v>48</v>
      </c>
      <c r="F323" s="195"/>
      <c r="G323" s="196"/>
      <c r="H323" s="186"/>
      <c r="I323" s="187"/>
      <c r="J323" s="187">
        <f ca="1">IFERROR(__xludf.DUMMYFUNCTION("IMPORTRANGE(""https://docs.google.com/spreadsheets/d/11923uPwbBZFjjGgGUA6NLw09EwE0CqkOc4q9oUmW1yo/edit?usp=sharing"",""ตาก!J223"")"),0)</f>
        <v>0</v>
      </c>
      <c r="K323" s="223"/>
      <c r="L323" s="168"/>
      <c r="M323" s="168"/>
      <c r="N323" s="168"/>
      <c r="O323" s="181"/>
      <c r="P323" s="181"/>
    </row>
    <row r="324" spans="1:16" ht="21.75" customHeight="1" x14ac:dyDescent="0.3">
      <c r="A324" s="175"/>
      <c r="B324" s="176"/>
      <c r="C324" s="176"/>
      <c r="D324" s="193"/>
      <c r="E324" s="198"/>
      <c r="F324" s="194" t="s">
        <v>117</v>
      </c>
      <c r="G324" s="196"/>
      <c r="H324" s="186" t="s">
        <v>116</v>
      </c>
      <c r="I324" s="187">
        <f ca="1">IFERROR(__xludf.DUMMYFUNCTION("IMPORTRANGE(""https://docs.google.com/spreadsheets/d/11923uPwbBZFjjGgGUA6NLw09EwE0CqkOc4q9oUmW1yo/edit?usp=sharing"",""ตาก!I224"")"),0)</f>
        <v>0</v>
      </c>
      <c r="J324" s="203">
        <f ca="1">IFERROR(__xludf.DUMMYFUNCTION("IMPORTRANGE(""https://docs.google.com/spreadsheets/d/11923uPwbBZFjjGgGUA6NLw09EwE0CqkOc4q9oUmW1yo/edit?usp=sharing"",""ตาก!J224"")"),0)</f>
        <v>0</v>
      </c>
      <c r="K324" s="223">
        <f ca="1">IF(I324&gt;0,J324*100/I324,0)</f>
        <v>0</v>
      </c>
      <c r="L324" s="168"/>
      <c r="M324" s="168"/>
      <c r="N324" s="168"/>
      <c r="O324" s="181"/>
      <c r="P324" s="181"/>
    </row>
    <row r="325" spans="1:16" ht="21.75" customHeight="1" x14ac:dyDescent="0.3">
      <c r="A325" s="175"/>
      <c r="B325" s="176"/>
      <c r="C325" s="176"/>
      <c r="D325" s="193"/>
      <c r="E325" s="194" t="s">
        <v>54</v>
      </c>
      <c r="F325" s="195"/>
      <c r="G325" s="196"/>
      <c r="H325" s="186"/>
      <c r="I325" s="187"/>
      <c r="J325" s="187">
        <f ca="1">IFERROR(__xludf.DUMMYFUNCTION("IMPORTRANGE(""https://docs.google.com/spreadsheets/d/11923uPwbBZFjjGgGUA6NLw09EwE0CqkOc4q9oUmW1yo/edit?usp=sharing"",""ตาก!J225"")"),0)</f>
        <v>0</v>
      </c>
      <c r="K325" s="223"/>
      <c r="L325" s="168"/>
      <c r="M325" s="168"/>
      <c r="N325" s="168"/>
      <c r="O325" s="181"/>
      <c r="P325" s="181"/>
    </row>
    <row r="326" spans="1:16" ht="21.75" customHeight="1" x14ac:dyDescent="0.3">
      <c r="A326" s="175"/>
      <c r="B326" s="176"/>
      <c r="C326" s="176"/>
      <c r="D326" s="205">
        <v>3</v>
      </c>
      <c r="E326" s="206" t="s">
        <v>55</v>
      </c>
      <c r="F326" s="207"/>
      <c r="G326" s="208"/>
      <c r="H326" s="186"/>
      <c r="I326" s="187"/>
      <c r="J326" s="226">
        <f ca="1">IFERROR(__xludf.DUMMYFUNCTION("IMPORTRANGE(""https://docs.google.com/spreadsheets/d/11923uPwbBZFjjGgGUA6NLw09EwE0CqkOc4q9oUmW1yo/edit?usp=sharing"",""ตาก!J226"")"),0)</f>
        <v>0</v>
      </c>
      <c r="K326" s="223"/>
      <c r="L326" s="168"/>
      <c r="M326" s="168"/>
      <c r="N326" s="168"/>
      <c r="O326" s="181"/>
      <c r="P326" s="181"/>
    </row>
    <row r="327" spans="1:16" ht="21.75" customHeight="1" x14ac:dyDescent="0.3">
      <c r="A327" s="302" t="s">
        <v>118</v>
      </c>
      <c r="B327" s="303"/>
      <c r="C327" s="303"/>
      <c r="D327" s="304"/>
      <c r="E327" s="303"/>
      <c r="F327" s="303"/>
      <c r="G327" s="317"/>
      <c r="H327" s="306"/>
      <c r="I327" s="307"/>
      <c r="J327" s="307"/>
      <c r="K327" s="308"/>
      <c r="L327" s="308"/>
      <c r="M327" s="308"/>
      <c r="N327" s="308"/>
      <c r="O327" s="309"/>
      <c r="P327" s="309"/>
    </row>
    <row r="328" spans="1:16" ht="21.75" customHeight="1" x14ac:dyDescent="0.3">
      <c r="A328" s="310"/>
      <c r="B328" s="336" t="s">
        <v>119</v>
      </c>
      <c r="C328" s="323"/>
      <c r="D328" s="311"/>
      <c r="E328" s="311"/>
      <c r="F328" s="311"/>
      <c r="G328" s="312"/>
      <c r="H328" s="313" t="s">
        <v>37</v>
      </c>
      <c r="I328" s="337">
        <f ca="1">IFERROR(__xludf.DUMMYFUNCTION("IMPORTRANGE(""https://docs.google.com/spreadsheets/d/11923uPwbBZFjjGgGUA6NLw09EwE0CqkOc4q9oUmW1yo/edit?usp=sharing"",""ตาก!I228"")"),215)</f>
        <v>215</v>
      </c>
      <c r="J328" s="337">
        <f ca="1">IFERROR(__xludf.DUMMYFUNCTION("IMPORTRANGE(""https://docs.google.com/spreadsheets/d/11923uPwbBZFjjGgGUA6NLw09EwE0CqkOc4q9oUmW1yo/edit?usp=sharing"",""ตาก!J228"")"),0)</f>
        <v>0</v>
      </c>
      <c r="K328" s="315">
        <f ca="1">IF(I328&gt;0,J328*100/I328,0)</f>
        <v>0</v>
      </c>
      <c r="L328" s="316"/>
      <c r="M328" s="316"/>
      <c r="N328" s="316"/>
      <c r="O328" s="315"/>
      <c r="P328" s="315"/>
    </row>
    <row r="329" spans="1:16" ht="21.75" customHeight="1" x14ac:dyDescent="0.45">
      <c r="A329" s="145"/>
      <c r="B329" s="146"/>
      <c r="C329" s="147" t="s">
        <v>16</v>
      </c>
      <c r="D329" s="537" t="s">
        <v>17</v>
      </c>
      <c r="E329" s="528"/>
      <c r="F329" s="528"/>
      <c r="G329" s="528"/>
      <c r="H329" s="148" t="s">
        <v>12</v>
      </c>
      <c r="I329" s="162"/>
      <c r="J329" s="162"/>
      <c r="K329" s="163"/>
      <c r="L329" s="151">
        <f t="shared" ref="L329:N329" ca="1" si="98">L330+L331</f>
        <v>1077870</v>
      </c>
      <c r="M329" s="151">
        <f t="shared" ca="1" si="98"/>
        <v>654350</v>
      </c>
      <c r="N329" s="151">
        <f t="shared" ca="1" si="98"/>
        <v>542924</v>
      </c>
      <c r="O329" s="150">
        <f t="shared" ref="O329:O331" ca="1" si="99">IF(L329&gt;0,N329*100/L329,0)</f>
        <v>50.370081735274198</v>
      </c>
      <c r="P329" s="150">
        <f t="shared" ref="P329:P331" ca="1" si="100">IF(M329&gt;0,N329*100/M329,0)</f>
        <v>82.971498433560015</v>
      </c>
    </row>
    <row r="330" spans="1:16" ht="21.75" customHeight="1" x14ac:dyDescent="0.45">
      <c r="A330" s="152"/>
      <c r="B330" s="32"/>
      <c r="C330" s="32"/>
      <c r="D330" s="32"/>
      <c r="E330" s="32"/>
      <c r="F330" s="32"/>
      <c r="G330" s="33" t="s">
        <v>18</v>
      </c>
      <c r="H330" s="153" t="s">
        <v>12</v>
      </c>
      <c r="I330" s="162"/>
      <c r="J330" s="162"/>
      <c r="K330" s="163"/>
      <c r="L330" s="87">
        <f t="shared" ref="L330:N330" si="101">L332+L336</f>
        <v>0</v>
      </c>
      <c r="M330" s="87">
        <f t="shared" si="101"/>
        <v>0</v>
      </c>
      <c r="N330" s="87">
        <f t="shared" si="101"/>
        <v>0</v>
      </c>
      <c r="O330" s="155">
        <f t="shared" si="99"/>
        <v>0</v>
      </c>
      <c r="P330" s="155">
        <f t="shared" si="100"/>
        <v>0</v>
      </c>
    </row>
    <row r="331" spans="1:16" ht="21.75" customHeight="1" x14ac:dyDescent="0.45">
      <c r="A331" s="152"/>
      <c r="B331" s="32"/>
      <c r="C331" s="32"/>
      <c r="D331" s="32"/>
      <c r="E331" s="32"/>
      <c r="F331" s="32"/>
      <c r="G331" s="33" t="s">
        <v>19</v>
      </c>
      <c r="H331" s="153" t="s">
        <v>12</v>
      </c>
      <c r="I331" s="162"/>
      <c r="J331" s="162"/>
      <c r="K331" s="163"/>
      <c r="L331" s="87">
        <f t="shared" ref="L331:N331" ca="1" si="102">L333+L337</f>
        <v>1077870</v>
      </c>
      <c r="M331" s="87">
        <f t="shared" ca="1" si="102"/>
        <v>654350</v>
      </c>
      <c r="N331" s="87">
        <f t="shared" ca="1" si="102"/>
        <v>542924</v>
      </c>
      <c r="O331" s="155">
        <f t="shared" ca="1" si="99"/>
        <v>50.370081735274198</v>
      </c>
      <c r="P331" s="155">
        <f t="shared" ca="1" si="100"/>
        <v>82.971498433560015</v>
      </c>
    </row>
    <row r="332" spans="1:16" ht="21.75" customHeight="1" x14ac:dyDescent="0.3">
      <c r="A332" s="156"/>
      <c r="B332" s="157"/>
      <c r="C332" s="157" t="s">
        <v>16</v>
      </c>
      <c r="D332" s="158" t="s">
        <v>38</v>
      </c>
      <c r="E332" s="159"/>
      <c r="F332" s="159"/>
      <c r="G332" s="160" t="s">
        <v>39</v>
      </c>
      <c r="H332" s="161" t="s">
        <v>12</v>
      </c>
      <c r="I332" s="162" t="s">
        <v>40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3">
      <c r="A333" s="156"/>
      <c r="B333" s="157"/>
      <c r="C333" s="157"/>
      <c r="D333" s="166"/>
      <c r="E333" s="159"/>
      <c r="F333" s="159" t="s">
        <v>40</v>
      </c>
      <c r="G333" s="160" t="s">
        <v>41</v>
      </c>
      <c r="H333" s="161" t="s">
        <v>12</v>
      </c>
      <c r="I333" s="162"/>
      <c r="J333" s="162"/>
      <c r="K333" s="163"/>
      <c r="L333" s="167">
        <f ca="1">L334+L335</f>
        <v>939650</v>
      </c>
      <c r="M333" s="167">
        <f ca="1">IFERROR(__xludf.DUMMYFUNCTION("IMPORTRANGE(""https://docs.google.com/spreadsheets/d/1Yj_ptqi66GCucihVvJfMjLAmec39IyEx_6qawtMGysU/edit?usp=sharing"",""สบก!DL23"")"),516130)</f>
        <v>516130</v>
      </c>
      <c r="N333" s="168">
        <f ca="1">IFERROR(__xludf.DUMMYFUNCTION("IMPORTRANGE(""https://docs.google.com/spreadsheets/d/1Yj_ptqi66GCucihVvJfMjLAmec39IyEx_6qawtMGysU/edit?usp=sharing"",""สบก!DM23"")"),404704)</f>
        <v>404704</v>
      </c>
      <c r="O333" s="168">
        <f ca="1">IF(L333&gt;0,N333*100/L333,0)</f>
        <v>43.069653594423457</v>
      </c>
      <c r="P333" s="168">
        <f ca="1">IF(M333&gt;0,N333*100/M333,0)</f>
        <v>78.411252978900663</v>
      </c>
    </row>
    <row r="334" spans="1:16" ht="21.75" customHeight="1" x14ac:dyDescent="0.3">
      <c r="A334" s="156"/>
      <c r="B334" s="157"/>
      <c r="C334" s="157"/>
      <c r="D334" s="166"/>
      <c r="E334" s="159"/>
      <c r="F334" s="159"/>
      <c r="G334" s="169" t="s">
        <v>42</v>
      </c>
      <c r="H334" s="161" t="s">
        <v>12</v>
      </c>
      <c r="I334" s="162"/>
      <c r="J334" s="162"/>
      <c r="K334" s="163"/>
      <c r="L334" s="167">
        <f ca="1">IFERROR(__xludf.DUMMYFUNCTION("IMPORTRANGE(""https://docs.google.com/spreadsheets/d/1Yj_ptqi66GCucihVvJfMjLAmec39IyEx_6qawtMGysU/edit?usp=sharing"",""สบก!DH23"")"),496800)</f>
        <v>496800</v>
      </c>
      <c r="M334" s="167"/>
      <c r="N334" s="167"/>
      <c r="O334" s="168"/>
      <c r="P334" s="168"/>
    </row>
    <row r="335" spans="1:16" ht="21.75" customHeight="1" x14ac:dyDescent="0.3">
      <c r="A335" s="156"/>
      <c r="B335" s="157"/>
      <c r="C335" s="157"/>
      <c r="D335" s="166"/>
      <c r="E335" s="159"/>
      <c r="F335" s="159"/>
      <c r="G335" s="169" t="s">
        <v>43</v>
      </c>
      <c r="H335" s="161" t="s">
        <v>12</v>
      </c>
      <c r="I335" s="162"/>
      <c r="J335" s="162"/>
      <c r="K335" s="163"/>
      <c r="L335" s="167">
        <f ca="1">IFERROR(__xludf.DUMMYFUNCTION("IMPORTRANGE(""https://docs.google.com/spreadsheets/d/1Yj_ptqi66GCucihVvJfMjLAmec39IyEx_6qawtMGysU/edit?usp=sharing"",""สบก!DI23"")"),442850)</f>
        <v>442850</v>
      </c>
      <c r="M335" s="167"/>
      <c r="N335" s="167"/>
      <c r="O335" s="168"/>
      <c r="P335" s="168"/>
    </row>
    <row r="336" spans="1:16" ht="21.75" customHeight="1" x14ac:dyDescent="0.45">
      <c r="A336" s="170"/>
      <c r="B336" s="80"/>
      <c r="C336" s="81" t="s">
        <v>16</v>
      </c>
      <c r="D336" s="534" t="s">
        <v>23</v>
      </c>
      <c r="E336" s="530"/>
      <c r="F336" s="88"/>
      <c r="G336" s="82" t="s">
        <v>18</v>
      </c>
      <c r="H336" s="171" t="s">
        <v>12</v>
      </c>
      <c r="I336" s="162"/>
      <c r="J336" s="162"/>
      <c r="K336" s="163"/>
      <c r="L336" s="41">
        <v>0</v>
      </c>
      <c r="M336" s="41"/>
      <c r="N336" s="41"/>
      <c r="O336" s="41"/>
      <c r="P336" s="41"/>
    </row>
    <row r="337" spans="1:16" ht="21.75" customHeight="1" x14ac:dyDescent="0.45">
      <c r="A337" s="172"/>
      <c r="B337" s="91"/>
      <c r="C337" s="91"/>
      <c r="D337" s="173"/>
      <c r="E337" s="92"/>
      <c r="F337" s="92"/>
      <c r="G337" s="93" t="s">
        <v>19</v>
      </c>
      <c r="H337" s="174" t="s">
        <v>12</v>
      </c>
      <c r="I337" s="162"/>
      <c r="J337" s="162"/>
      <c r="K337" s="163"/>
      <c r="L337" s="49">
        <f ca="1">IFERROR(__xludf.DUMMYFUNCTION("IMPORTRANGE(""https://docs.google.com/spreadsheets/d/1Yj_ptqi66GCucihVvJfMjLAmec39IyEx_6qawtMGysU/edit?usp=sharing"",""สบก!DJ23"")"),138220)</f>
        <v>138220</v>
      </c>
      <c r="M337" s="49">
        <f ca="1">L337</f>
        <v>138220</v>
      </c>
      <c r="N337" s="49">
        <f ca="1">IFERROR(__xludf.DUMMYFUNCTION("IMPORTRANGE(""https://docs.google.com/spreadsheets/d/1Yj_ptqi66GCucihVvJfMjLAmec39IyEx_6qawtMGysU/edit?usp=sharing"",""สบก!DN23"")"),138220)</f>
        <v>138220</v>
      </c>
      <c r="O337" s="49">
        <f ca="1">IF(L337&gt;0,N337*100/L337,0)</f>
        <v>100</v>
      </c>
      <c r="P337" s="49">
        <f ca="1">IF(M337&gt;0,N337*100/M337,0)</f>
        <v>100</v>
      </c>
    </row>
    <row r="338" spans="1:16" ht="21.75" customHeight="1" x14ac:dyDescent="0.3">
      <c r="A338" s="175"/>
      <c r="B338" s="289"/>
      <c r="C338" s="338" t="s">
        <v>120</v>
      </c>
      <c r="D338" s="195"/>
      <c r="E338" s="195"/>
      <c r="F338" s="195"/>
      <c r="G338" s="196"/>
      <c r="H338" s="180"/>
      <c r="I338" s="339"/>
      <c r="J338" s="339"/>
      <c r="K338" s="340"/>
      <c r="L338" s="181"/>
      <c r="M338" s="181"/>
      <c r="N338" s="181"/>
      <c r="O338" s="341"/>
      <c r="P338" s="341"/>
    </row>
    <row r="339" spans="1:16" ht="21.75" customHeight="1" x14ac:dyDescent="0.3">
      <c r="A339" s="175"/>
      <c r="B339" s="289"/>
      <c r="C339" s="176"/>
      <c r="D339" s="195"/>
      <c r="E339" s="194" t="s">
        <v>121</v>
      </c>
      <c r="F339" s="195"/>
      <c r="G339" s="196"/>
      <c r="H339" s="342" t="s">
        <v>37</v>
      </c>
      <c r="I339" s="203">
        <f ca="1">IFERROR(__xludf.DUMMYFUNCTION("IMPORTRANGE(""https://docs.google.com/spreadsheets/d/11923uPwbBZFjjGgGUA6NLw09EwE0CqkOc4q9oUmW1yo/edit?usp=sharing"",""ตาก!I234"")"),0)</f>
        <v>0</v>
      </c>
      <c r="J339" s="187">
        <f ca="1">IFERROR(__xludf.DUMMYFUNCTION("IMPORTRANGE(""https://docs.google.com/spreadsheets/d/11923uPwbBZFjjGgGUA6NLw09EwE0CqkOc4q9oUmW1yo/edit?usp=sharing"",""ตาก!J234"")"),72)</f>
        <v>72</v>
      </c>
      <c r="K339" s="340">
        <f t="shared" ref="K339:K346" ca="1" si="103">IF(I339&gt;0,J339*100/I339,0)</f>
        <v>0</v>
      </c>
      <c r="L339" s="181"/>
      <c r="M339" s="181"/>
      <c r="N339" s="181"/>
      <c r="O339" s="341"/>
      <c r="P339" s="341"/>
    </row>
    <row r="340" spans="1:16" ht="21.75" customHeight="1" x14ac:dyDescent="0.3">
      <c r="A340" s="175"/>
      <c r="B340" s="289"/>
      <c r="C340" s="176"/>
      <c r="D340" s="195"/>
      <c r="E340" s="195"/>
      <c r="F340" s="195"/>
      <c r="G340" s="196"/>
      <c r="H340" s="342" t="s">
        <v>122</v>
      </c>
      <c r="I340" s="187">
        <f ca="1">IFERROR(__xludf.DUMMYFUNCTION("IMPORTRANGE(""https://docs.google.com/spreadsheets/d/11923uPwbBZFjjGgGUA6NLw09EwE0CqkOc4q9oUmW1yo/edit?usp=sharing"",""ตาก!I235"")"),3000)</f>
        <v>3000</v>
      </c>
      <c r="J340" s="187">
        <f ca="1">IFERROR(__xludf.DUMMYFUNCTION("IMPORTRANGE(""https://docs.google.com/spreadsheets/d/11923uPwbBZFjjGgGUA6NLw09EwE0CqkOc4q9oUmW1yo/edit?usp=sharing"",""ตาก!J235"")"),614.39)</f>
        <v>614.39</v>
      </c>
      <c r="K340" s="340">
        <f t="shared" ca="1" si="103"/>
        <v>20.479666666666667</v>
      </c>
      <c r="L340" s="181"/>
      <c r="M340" s="181"/>
      <c r="N340" s="181"/>
      <c r="O340" s="341"/>
      <c r="P340" s="341"/>
    </row>
    <row r="341" spans="1:16" ht="21.75" customHeight="1" x14ac:dyDescent="0.3">
      <c r="A341" s="175"/>
      <c r="B341" s="289"/>
      <c r="C341" s="176"/>
      <c r="D341" s="195"/>
      <c r="E341" s="194" t="s">
        <v>123</v>
      </c>
      <c r="F341" s="195"/>
      <c r="G341" s="196"/>
      <c r="H341" s="180" t="s">
        <v>37</v>
      </c>
      <c r="I341" s="187">
        <f ca="1">IFERROR(__xludf.DUMMYFUNCTION("IMPORTRANGE(""https://docs.google.com/spreadsheets/d/11923uPwbBZFjjGgGUA6NLw09EwE0CqkOc4q9oUmW1yo/edit?usp=sharing"",""ตาก!I236"")"),215)</f>
        <v>215</v>
      </c>
      <c r="J341" s="187">
        <f ca="1">IFERROR(__xludf.DUMMYFUNCTION("IMPORTRANGE(""https://docs.google.com/spreadsheets/d/11923uPwbBZFjjGgGUA6NLw09EwE0CqkOc4q9oUmW1yo/edit?usp=sharing"",""ตาก!J236"")"),137)</f>
        <v>137</v>
      </c>
      <c r="K341" s="340">
        <f t="shared" ca="1" si="103"/>
        <v>63.720930232558139</v>
      </c>
      <c r="L341" s="181"/>
      <c r="M341" s="181"/>
      <c r="N341" s="181"/>
      <c r="O341" s="341"/>
      <c r="P341" s="341"/>
    </row>
    <row r="342" spans="1:16" ht="21.75" customHeight="1" x14ac:dyDescent="0.3">
      <c r="A342" s="175"/>
      <c r="B342" s="289"/>
      <c r="C342" s="176"/>
      <c r="D342" s="195"/>
      <c r="E342" s="195"/>
      <c r="F342" s="195"/>
      <c r="G342" s="196"/>
      <c r="H342" s="180" t="s">
        <v>122</v>
      </c>
      <c r="I342" s="343">
        <f ca="1">IFERROR(__xludf.DUMMYFUNCTION("IMPORTRANGE(""https://docs.google.com/spreadsheets/d/11923uPwbBZFjjGgGUA6NLw09EwE0CqkOc4q9oUmW1yo/edit?usp=sharing"",""ตาก!I237"")"),0)</f>
        <v>0</v>
      </c>
      <c r="J342" s="187">
        <f ca="1">IFERROR(__xludf.DUMMYFUNCTION("IMPORTRANGE(""https://docs.google.com/spreadsheets/d/11923uPwbBZFjjGgGUA6NLw09EwE0CqkOc4q9oUmW1yo/edit?usp=sharing"",""ตาก!J237"")"),1378.48)</f>
        <v>1378.48</v>
      </c>
      <c r="K342" s="340">
        <f t="shared" ca="1" si="103"/>
        <v>0</v>
      </c>
      <c r="L342" s="181"/>
      <c r="M342" s="181"/>
      <c r="N342" s="181"/>
      <c r="O342" s="341"/>
      <c r="P342" s="341"/>
    </row>
    <row r="343" spans="1:16" ht="21.75" customHeight="1" x14ac:dyDescent="0.3">
      <c r="A343" s="175"/>
      <c r="B343" s="289"/>
      <c r="C343" s="176"/>
      <c r="D343" s="195"/>
      <c r="E343" s="194" t="s">
        <v>124</v>
      </c>
      <c r="F343" s="195"/>
      <c r="G343" s="196"/>
      <c r="H343" s="180" t="s">
        <v>37</v>
      </c>
      <c r="I343" s="187">
        <f ca="1">IFERROR(__xludf.DUMMYFUNCTION("IMPORTRANGE(""https://docs.google.com/spreadsheets/d/11923uPwbBZFjjGgGUA6NLw09EwE0CqkOc4q9oUmW1yo/edit?usp=sharing"",""ตาก!I238"")"),215)</f>
        <v>215</v>
      </c>
      <c r="J343" s="187">
        <f ca="1">IFERROR(__xludf.DUMMYFUNCTION("IMPORTRANGE(""https://docs.google.com/spreadsheets/d/11923uPwbBZFjjGgGUA6NLw09EwE0CqkOc4q9oUmW1yo/edit?usp=sharing"",""ตาก!J238"")"),0)</f>
        <v>0</v>
      </c>
      <c r="K343" s="340">
        <f t="shared" ca="1" si="103"/>
        <v>0</v>
      </c>
      <c r="L343" s="181"/>
      <c r="M343" s="181"/>
      <c r="N343" s="181"/>
      <c r="O343" s="341"/>
      <c r="P343" s="341"/>
    </row>
    <row r="344" spans="1:16" ht="21.75" customHeight="1" x14ac:dyDescent="0.3">
      <c r="A344" s="175"/>
      <c r="B344" s="289"/>
      <c r="C344" s="176"/>
      <c r="D344" s="195"/>
      <c r="E344" s="195"/>
      <c r="F344" s="195"/>
      <c r="G344" s="196"/>
      <c r="H344" s="180" t="s">
        <v>122</v>
      </c>
      <c r="I344" s="343">
        <f ca="1">IFERROR(__xludf.DUMMYFUNCTION("IMPORTRANGE(""https://docs.google.com/spreadsheets/d/11923uPwbBZFjjGgGUA6NLw09EwE0CqkOc4q9oUmW1yo/edit?usp=sharing"",""ตาก!I239"")"),0)</f>
        <v>0</v>
      </c>
      <c r="J344" s="187">
        <f ca="1">IFERROR(__xludf.DUMMYFUNCTION("IMPORTRANGE(""https://docs.google.com/spreadsheets/d/11923uPwbBZFjjGgGUA6NLw09EwE0CqkOc4q9oUmW1yo/edit?usp=sharing"",""ตาก!J239"")"),0)</f>
        <v>0</v>
      </c>
      <c r="K344" s="340">
        <f t="shared" ca="1" si="103"/>
        <v>0</v>
      </c>
      <c r="L344" s="181"/>
      <c r="M344" s="181"/>
      <c r="N344" s="181"/>
      <c r="O344" s="341"/>
      <c r="P344" s="341"/>
    </row>
    <row r="345" spans="1:16" ht="21.75" customHeight="1" x14ac:dyDescent="0.3">
      <c r="A345" s="175"/>
      <c r="B345" s="289"/>
      <c r="C345" s="176"/>
      <c r="D345" s="195"/>
      <c r="E345" s="194" t="s">
        <v>125</v>
      </c>
      <c r="F345" s="195"/>
      <c r="G345" s="196"/>
      <c r="H345" s="180" t="s">
        <v>37</v>
      </c>
      <c r="I345" s="187">
        <f ca="1">IFERROR(__xludf.DUMMYFUNCTION("IMPORTRANGE(""https://docs.google.com/spreadsheets/d/11923uPwbBZFjjGgGUA6NLw09EwE0CqkOc4q9oUmW1yo/edit?usp=sharing"",""ตาก!I240"")"),215)</f>
        <v>215</v>
      </c>
      <c r="J345" s="187">
        <f ca="1">IFERROR(__xludf.DUMMYFUNCTION("IMPORTRANGE(""https://docs.google.com/spreadsheets/d/11923uPwbBZFjjGgGUA6NLw09EwE0CqkOc4q9oUmW1yo/edit?usp=sharing"",""ตาก!J240"")"),0)</f>
        <v>0</v>
      </c>
      <c r="K345" s="340">
        <f t="shared" ca="1" si="103"/>
        <v>0</v>
      </c>
      <c r="L345" s="181"/>
      <c r="M345" s="181"/>
      <c r="N345" s="181"/>
      <c r="O345" s="341"/>
      <c r="P345" s="341"/>
    </row>
    <row r="346" spans="1:16" ht="21.75" customHeight="1" x14ac:dyDescent="0.3">
      <c r="A346" s="233"/>
      <c r="B346" s="344"/>
      <c r="C346" s="234"/>
      <c r="D346" s="344"/>
      <c r="E346" s="345"/>
      <c r="F346" s="345"/>
      <c r="G346" s="346"/>
      <c r="H346" s="347" t="s">
        <v>122</v>
      </c>
      <c r="I346" s="348">
        <f ca="1">IFERROR(__xludf.DUMMYFUNCTION("IMPORTRANGE(""https://docs.google.com/spreadsheets/d/11923uPwbBZFjjGgGUA6NLw09EwE0CqkOc4q9oUmW1yo/edit?usp=sharing"",""ตาก!I241"")"),0)</f>
        <v>0</v>
      </c>
      <c r="J346" s="187">
        <f ca="1">IFERROR(__xludf.DUMMYFUNCTION("IMPORTRANGE(""https://docs.google.com/spreadsheets/d/11923uPwbBZFjjGgGUA6NLw09EwE0CqkOc4q9oUmW1yo/edit?usp=sharing"",""ตาก!J241"")"),0)</f>
        <v>0</v>
      </c>
      <c r="K346" s="349">
        <f t="shared" ca="1" si="103"/>
        <v>0</v>
      </c>
      <c r="L346" s="244"/>
      <c r="M346" s="244"/>
      <c r="N346" s="244"/>
      <c r="O346" s="350"/>
      <c r="P346" s="350"/>
    </row>
    <row r="347" spans="1:16" ht="21.75" customHeight="1" x14ac:dyDescent="0.3">
      <c r="A347" s="351" t="s">
        <v>126</v>
      </c>
      <c r="B347" s="352"/>
      <c r="C347" s="352"/>
      <c r="D347" s="352"/>
      <c r="E347" s="352"/>
      <c r="F347" s="352"/>
      <c r="G347" s="353"/>
      <c r="H347" s="354"/>
      <c r="I347" s="355"/>
      <c r="J347" s="355"/>
      <c r="K347" s="356"/>
      <c r="L347" s="356">
        <f ca="1">IFERROR(__xludf.DUMMYFUNCTION("IMPORTRANGE(""https://docs.google.com/spreadsheets/d/11923uPwbBZFjjGgGUA6NLw09EwE0CqkOc4q9oUmW1yo/edit?usp=sharing"",""ตาก!L242"")"),1788228)</f>
        <v>1788228</v>
      </c>
      <c r="M347" s="356"/>
      <c r="N347" s="356">
        <f ca="1">IFERROR(__xludf.DUMMYFUNCTION("IMPORTRANGE(""https://docs.google.com/spreadsheets/d/11923uPwbBZFjjGgGUA6NLw09EwE0CqkOc4q9oUmW1yo/edit?usp=sharing"",""ตาก!M242"")"),736968)</f>
        <v>736968</v>
      </c>
      <c r="O347" s="356">
        <f ca="1">+IF(L347&gt;0,N347*100/L347,0)</f>
        <v>41.212194418161445</v>
      </c>
      <c r="P347" s="356"/>
    </row>
    <row r="348" spans="1:16" ht="21.75" customHeight="1" x14ac:dyDescent="0.3">
      <c r="A348" s="357" t="s">
        <v>127</v>
      </c>
      <c r="B348" s="358"/>
      <c r="C348" s="358"/>
      <c r="D348" s="358"/>
      <c r="E348" s="358"/>
      <c r="F348" s="358"/>
      <c r="G348" s="359"/>
      <c r="H348" s="360"/>
      <c r="I348" s="361"/>
      <c r="J348" s="361"/>
      <c r="K348" s="362"/>
      <c r="L348" s="362"/>
      <c r="M348" s="362"/>
      <c r="N348" s="362"/>
      <c r="O348" s="363"/>
      <c r="P348" s="363"/>
    </row>
    <row r="349" spans="1:16" ht="21.75" customHeight="1" x14ac:dyDescent="0.3">
      <c r="A349" s="364"/>
      <c r="B349" s="365">
        <v>1</v>
      </c>
      <c r="C349" s="366" t="s">
        <v>128</v>
      </c>
      <c r="D349" s="366"/>
      <c r="E349" s="366"/>
      <c r="F349" s="366"/>
      <c r="G349" s="367"/>
      <c r="H349" s="368" t="s">
        <v>122</v>
      </c>
      <c r="I349" s="369">
        <f ca="1">IFERROR(__xludf.DUMMYFUNCTION("IMPORTRANGE(""https://docs.google.com/spreadsheets/d/11923uPwbBZFjjGgGUA6NLw09EwE0CqkOc4q9oUmW1yo/edit?usp=sharing"",""ตาก!I244"")"),0)</f>
        <v>0</v>
      </c>
      <c r="J349" s="369">
        <f ca="1">IFERROR(__xludf.DUMMYFUNCTION("IMPORTRANGE(""https://docs.google.com/spreadsheets/d/11923uPwbBZFjjGgGUA6NLw09EwE0CqkOc4q9oUmW1yo/edit?usp=sharing"",""ตาก!J244"")"),0)</f>
        <v>0</v>
      </c>
      <c r="K349" s="370">
        <f t="shared" ref="K349:K350" ca="1" si="104">IF(I349&gt;0,J349*100/I349,0)</f>
        <v>0</v>
      </c>
      <c r="L349" s="371">
        <f ca="1">IFERROR(__xludf.DUMMYFUNCTION("IMPORTRANGE(""https://docs.google.com/spreadsheets/d/11923uPwbBZFjjGgGUA6NLw09EwE0CqkOc4q9oUmW1yo/edit?usp=sharing"",""ตาก!L244"")"),0)</f>
        <v>0</v>
      </c>
      <c r="M349" s="371"/>
      <c r="N349" s="371">
        <f ca="1">IFERROR(__xludf.DUMMYFUNCTION("IMPORTRANGE(""https://docs.google.com/spreadsheets/d/11923uPwbBZFjjGgGUA6NLw09EwE0CqkOc4q9oUmW1yo/edit?usp=sharing"",""ตาก!M244"")"),0)</f>
        <v>0</v>
      </c>
      <c r="O349" s="371">
        <f ca="1">+IF(L349&gt;0,N349*100/L349,0)</f>
        <v>0</v>
      </c>
      <c r="P349" s="371"/>
    </row>
    <row r="350" spans="1:16" ht="21.75" customHeight="1" x14ac:dyDescent="0.3">
      <c r="A350" s="364"/>
      <c r="B350" s="365"/>
      <c r="C350" s="366"/>
      <c r="D350" s="366"/>
      <c r="E350" s="366"/>
      <c r="F350" s="366"/>
      <c r="G350" s="367"/>
      <c r="H350" s="368" t="s">
        <v>37</v>
      </c>
      <c r="I350" s="369">
        <f ca="1">IFERROR(__xludf.DUMMYFUNCTION("IMPORTRANGE(""https://docs.google.com/spreadsheets/d/11923uPwbBZFjjGgGUA6NLw09EwE0CqkOc4q9oUmW1yo/edit?usp=sharing"",""ตาก!I245"")"),0)</f>
        <v>0</v>
      </c>
      <c r="J350" s="369">
        <f ca="1">IFERROR(__xludf.DUMMYFUNCTION("IMPORTRANGE(""https://docs.google.com/spreadsheets/d/11923uPwbBZFjjGgGUA6NLw09EwE0CqkOc4q9oUmW1yo/edit?usp=sharing"",""ตาก!J245"")"),0)</f>
        <v>0</v>
      </c>
      <c r="K350" s="370">
        <f t="shared" ca="1" si="104"/>
        <v>0</v>
      </c>
      <c r="L350" s="371"/>
      <c r="M350" s="371"/>
      <c r="N350" s="371"/>
      <c r="O350" s="371"/>
      <c r="P350" s="371"/>
    </row>
    <row r="351" spans="1:16" ht="21.75" customHeight="1" x14ac:dyDescent="0.3">
      <c r="A351" s="156"/>
      <c r="B351" s="157"/>
      <c r="C351" s="157" t="s">
        <v>16</v>
      </c>
      <c r="D351" s="158" t="s">
        <v>38</v>
      </c>
      <c r="E351" s="159"/>
      <c r="F351" s="159"/>
      <c r="G351" s="160" t="s">
        <v>39</v>
      </c>
      <c r="H351" s="161" t="s">
        <v>12</v>
      </c>
      <c r="I351" s="162" t="s">
        <v>40</v>
      </c>
      <c r="J351" s="162"/>
      <c r="K351" s="163"/>
      <c r="L351" s="164">
        <f ca="1">IFERROR(__xludf.DUMMYFUNCTION("IMPORTRANGE(""https://docs.google.com/spreadsheets/d/11923uPwbBZFjjGgGUA6NLw09EwE0CqkOc4q9oUmW1yo/edit?usp=sharing"",""ตาก!L246"")"),0)</f>
        <v>0</v>
      </c>
      <c r="M351" s="164"/>
      <c r="N351" s="164">
        <f ca="1">IFERROR(__xludf.DUMMYFUNCTION("IMPORTRANGE(""https://docs.google.com/spreadsheets/d/11923uPwbBZFjjGgGUA6NLw09EwE0CqkOc4q9oUmW1yo/edit?usp=sharing"",""ตาก!M246"")"),0)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3">
      <c r="A352" s="156"/>
      <c r="B352" s="157"/>
      <c r="C352" s="157"/>
      <c r="D352" s="166"/>
      <c r="E352" s="159"/>
      <c r="F352" s="159" t="s">
        <v>40</v>
      </c>
      <c r="G352" s="160" t="s">
        <v>41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IFERROR(__xludf.DUMMYFUNCTION("IMPORTRANGE(""https://docs.google.com/spreadsheets/d/11923uPwbBZFjjGgGUA6NLw09EwE0CqkOc4q9oUmW1yo/edit?usp=sharing"",""ตาก!L247"")"),0)</f>
        <v>0</v>
      </c>
      <c r="M352" s="165"/>
      <c r="N352" s="164">
        <f ca="1">IFERROR(__xludf.DUMMYFUNCTION("IMPORTRANGE(""https://docs.google.com/spreadsheets/d/11923uPwbBZFjjGgGUA6NLw09EwE0CqkOc4q9oUmW1yo/edit?usp=sharing"",""ตาก!M247"")"),0)</f>
        <v>0</v>
      </c>
      <c r="O352" s="165">
        <f t="shared" ca="1" si="105"/>
        <v>0</v>
      </c>
      <c r="P352" s="165"/>
    </row>
    <row r="353" spans="1:16" ht="21.75" customHeight="1" x14ac:dyDescent="0.3">
      <c r="A353" s="156"/>
      <c r="B353" s="157"/>
      <c r="C353" s="157"/>
      <c r="D353" s="166"/>
      <c r="E353" s="159"/>
      <c r="F353" s="159"/>
      <c r="G353" s="372" t="s">
        <v>129</v>
      </c>
      <c r="H353" s="161" t="s">
        <v>12</v>
      </c>
      <c r="I353" s="162"/>
      <c r="J353" s="162"/>
      <c r="K353" s="163"/>
      <c r="L353" s="168">
        <f ca="1">IFERROR(__xludf.DUMMYFUNCTION("IMPORTRANGE(""https://docs.google.com/spreadsheets/d/11923uPwbBZFjjGgGUA6NLw09EwE0CqkOc4q9oUmW1yo/edit?usp=sharing"",""ตาก!L248"")"),0)</f>
        <v>0</v>
      </c>
      <c r="M353" s="168"/>
      <c r="N353" s="168">
        <f ca="1">IFERROR(__xludf.DUMMYFUNCTION("IMPORTRANGE(""https://docs.google.com/spreadsheets/d/11923uPwbBZFjjGgGUA6NLw09EwE0CqkOc4q9oUmW1yo/edit?usp=sharing"",""ตาก!M248"")"),0)</f>
        <v>0</v>
      </c>
      <c r="O353" s="168">
        <f t="shared" ca="1" si="105"/>
        <v>0</v>
      </c>
      <c r="P353" s="168"/>
    </row>
    <row r="354" spans="1:16" ht="21.75" customHeight="1" x14ac:dyDescent="0.3">
      <c r="A354" s="156"/>
      <c r="B354" s="157"/>
      <c r="C354" s="157"/>
      <c r="D354" s="166"/>
      <c r="E354" s="159"/>
      <c r="F354" s="159"/>
      <c r="G354" s="372" t="s">
        <v>130</v>
      </c>
      <c r="H354" s="161" t="s">
        <v>12</v>
      </c>
      <c r="I354" s="162"/>
      <c r="J354" s="162"/>
      <c r="K354" s="163"/>
      <c r="L354" s="168">
        <f ca="1">IFERROR(__xludf.DUMMYFUNCTION("IMPORTRANGE(""https://docs.google.com/spreadsheets/d/11923uPwbBZFjjGgGUA6NLw09EwE0CqkOc4q9oUmW1yo/edit?usp=sharing"",""ตาก!L249"")"),0)</f>
        <v>0</v>
      </c>
      <c r="M354" s="168"/>
      <c r="N354" s="167">
        <f ca="1">IFERROR(__xludf.DUMMYFUNCTION("IMPORTRANGE(""https://docs.google.com/spreadsheets/d/11923uPwbBZFjjGgGUA6NLw09EwE0CqkOc4q9oUmW1yo/edit?usp=sharing"",""ตาก!M249"")"),0)</f>
        <v>0</v>
      </c>
      <c r="O354" s="168">
        <f t="shared" ca="1" si="105"/>
        <v>0</v>
      </c>
      <c r="P354" s="168"/>
    </row>
    <row r="355" spans="1:16" ht="21.75" customHeight="1" x14ac:dyDescent="0.3">
      <c r="A355" s="373"/>
      <c r="B355" s="374"/>
      <c r="C355" s="157"/>
      <c r="D355" s="375"/>
      <c r="E355" s="159"/>
      <c r="F355" s="159"/>
      <c r="G355" s="376" t="s">
        <v>131</v>
      </c>
      <c r="H355" s="161" t="s">
        <v>12</v>
      </c>
      <c r="I355" s="187"/>
      <c r="J355" s="187"/>
      <c r="K355" s="223"/>
      <c r="L355" s="168"/>
      <c r="M355" s="168"/>
      <c r="N355" s="377">
        <f ca="1">IFERROR(__xludf.DUMMYFUNCTION("IMPORTRANGE(""https://docs.google.com/spreadsheets/d/11923uPwbBZFjjGgGUA6NLw09EwE0CqkOc4q9oUmW1yo/edit?usp=sharing"",""ตาก!M250"")"),0)</f>
        <v>0</v>
      </c>
      <c r="O355" s="168"/>
      <c r="P355" s="168"/>
    </row>
    <row r="356" spans="1:16" ht="21.75" customHeight="1" x14ac:dyDescent="0.3">
      <c r="A356" s="373"/>
      <c r="B356" s="374"/>
      <c r="C356" s="157"/>
      <c r="D356" s="375"/>
      <c r="E356" s="159"/>
      <c r="F356" s="159"/>
      <c r="G356" s="376" t="s">
        <v>132</v>
      </c>
      <c r="H356" s="161" t="s">
        <v>12</v>
      </c>
      <c r="I356" s="187"/>
      <c r="J356" s="187"/>
      <c r="K356" s="223"/>
      <c r="L356" s="168"/>
      <c r="M356" s="168"/>
      <c r="N356" s="377">
        <f ca="1">IFERROR(__xludf.DUMMYFUNCTION("IMPORTRANGE(""https://docs.google.com/spreadsheets/d/11923uPwbBZFjjGgGUA6NLw09EwE0CqkOc4q9oUmW1yo/edit?usp=sharing"",""ตาก!M251"")"),0)</f>
        <v>0</v>
      </c>
      <c r="O356" s="168"/>
      <c r="P356" s="168"/>
    </row>
    <row r="357" spans="1:16" ht="21.75" customHeight="1" x14ac:dyDescent="0.3">
      <c r="A357" s="373"/>
      <c r="B357" s="374"/>
      <c r="C357" s="157"/>
      <c r="D357" s="375"/>
      <c r="E357" s="159"/>
      <c r="F357" s="159"/>
      <c r="G357" s="376" t="s">
        <v>133</v>
      </c>
      <c r="H357" s="161" t="s">
        <v>12</v>
      </c>
      <c r="I357" s="187"/>
      <c r="J357" s="187"/>
      <c r="K357" s="223"/>
      <c r="L357" s="168"/>
      <c r="M357" s="168"/>
      <c r="N357" s="377">
        <f ca="1">IFERROR(__xludf.DUMMYFUNCTION("IMPORTRANGE(""https://docs.google.com/spreadsheets/d/11923uPwbBZFjjGgGUA6NLw09EwE0CqkOc4q9oUmW1yo/edit?usp=sharing"",""ตาก!M252"")"),0)</f>
        <v>0</v>
      </c>
      <c r="O357" s="168"/>
      <c r="P357" s="168"/>
    </row>
    <row r="358" spans="1:16" ht="21.75" customHeight="1" x14ac:dyDescent="0.3">
      <c r="A358" s="373"/>
      <c r="B358" s="374"/>
      <c r="C358" s="157"/>
      <c r="D358" s="375"/>
      <c r="E358" s="159"/>
      <c r="F358" s="159"/>
      <c r="G358" s="376" t="s">
        <v>134</v>
      </c>
      <c r="H358" s="161" t="s">
        <v>12</v>
      </c>
      <c r="I358" s="187"/>
      <c r="J358" s="187"/>
      <c r="K358" s="223"/>
      <c r="L358" s="168"/>
      <c r="M358" s="168"/>
      <c r="N358" s="377">
        <f ca="1">IFERROR(__xludf.DUMMYFUNCTION("IMPORTRANGE(""https://docs.google.com/spreadsheets/d/11923uPwbBZFjjGgGUA6NLw09EwE0CqkOc4q9oUmW1yo/edit?usp=sharing"",""ตาก!M253"")"),0)</f>
        <v>0</v>
      </c>
      <c r="O358" s="168"/>
      <c r="P358" s="168"/>
    </row>
    <row r="359" spans="1:16" ht="21.75" customHeight="1" x14ac:dyDescent="0.3">
      <c r="A359" s="175"/>
      <c r="B359" s="176"/>
      <c r="C359" s="157" t="s">
        <v>16</v>
      </c>
      <c r="D359" s="177" t="s">
        <v>44</v>
      </c>
      <c r="E359" s="178"/>
      <c r="F359" s="178"/>
      <c r="G359" s="179"/>
      <c r="H359" s="180"/>
      <c r="I359" s="162"/>
      <c r="J359" s="162"/>
      <c r="K359" s="163"/>
      <c r="L359" s="181"/>
      <c r="M359" s="181"/>
      <c r="N359" s="181"/>
      <c r="O359" s="181"/>
      <c r="P359" s="181"/>
    </row>
    <row r="360" spans="1:16" ht="21.75" customHeight="1" x14ac:dyDescent="0.3">
      <c r="A360" s="175"/>
      <c r="B360" s="176"/>
      <c r="C360" s="176"/>
      <c r="D360" s="182">
        <v>1</v>
      </c>
      <c r="E360" s="183" t="s">
        <v>45</v>
      </c>
      <c r="F360" s="184"/>
      <c r="G360" s="185"/>
      <c r="H360" s="186"/>
      <c r="I360" s="187"/>
      <c r="J360" s="197">
        <f ca="1">IFERROR(__xludf.DUMMYFUNCTION("IMPORTRANGE(""https://docs.google.com/spreadsheets/d/11923uPwbBZFjjGgGUA6NLw09EwE0CqkOc4q9oUmW1yo/edit?usp=sharing"",""ตาก!J255"")"),0)</f>
        <v>0</v>
      </c>
      <c r="K360" s="163"/>
      <c r="L360" s="181"/>
      <c r="M360" s="181"/>
      <c r="N360" s="181"/>
      <c r="O360" s="181"/>
      <c r="P360" s="181"/>
    </row>
    <row r="361" spans="1:16" ht="21.75" customHeight="1" x14ac:dyDescent="0.3">
      <c r="A361" s="175"/>
      <c r="B361" s="176"/>
      <c r="C361" s="176"/>
      <c r="D361" s="189">
        <v>2</v>
      </c>
      <c r="E361" s="190" t="s">
        <v>46</v>
      </c>
      <c r="F361" s="191"/>
      <c r="G361" s="192"/>
      <c r="H361" s="186"/>
      <c r="I361" s="187"/>
      <c r="J361" s="188">
        <f ca="1">IFERROR(__xludf.DUMMYFUNCTION("IMPORTRANGE(""https://docs.google.com/spreadsheets/d/11923uPwbBZFjjGgGUA6NLw09EwE0CqkOc4q9oUmW1yo/edit?usp=sharing"",""ตาก!J256"")"),0)</f>
        <v>0</v>
      </c>
      <c r="K361" s="163"/>
      <c r="L361" s="181" t="s">
        <v>40</v>
      </c>
      <c r="M361" s="181"/>
      <c r="N361" s="181" t="s">
        <v>40</v>
      </c>
      <c r="O361" s="181"/>
      <c r="P361" s="181"/>
    </row>
    <row r="362" spans="1:16" ht="21.75" customHeight="1" x14ac:dyDescent="0.3">
      <c r="A362" s="175"/>
      <c r="B362" s="176"/>
      <c r="C362" s="176"/>
      <c r="D362" s="193"/>
      <c r="E362" s="194" t="s">
        <v>47</v>
      </c>
      <c r="F362" s="195"/>
      <c r="G362" s="196"/>
      <c r="H362" s="186"/>
      <c r="I362" s="187"/>
      <c r="J362" s="188">
        <f ca="1">IFERROR(__xludf.DUMMYFUNCTION("IMPORTRANGE(""https://docs.google.com/spreadsheets/d/11923uPwbBZFjjGgGUA6NLw09EwE0CqkOc4q9oUmW1yo/edit?usp=sharing"",""ตาก!J257"")"),0)</f>
        <v>0</v>
      </c>
      <c r="K362" s="163"/>
      <c r="L362" s="181"/>
      <c r="M362" s="181"/>
      <c r="N362" s="181"/>
      <c r="O362" s="181"/>
      <c r="P362" s="181"/>
    </row>
    <row r="363" spans="1:16" ht="21.75" customHeight="1" x14ac:dyDescent="0.3">
      <c r="A363" s="175"/>
      <c r="B363" s="176"/>
      <c r="C363" s="176"/>
      <c r="D363" s="193"/>
      <c r="E363" s="194" t="s">
        <v>48</v>
      </c>
      <c r="F363" s="195"/>
      <c r="G363" s="196"/>
      <c r="H363" s="186"/>
      <c r="I363" s="187"/>
      <c r="J363" s="197">
        <f ca="1">IFERROR(__xludf.DUMMYFUNCTION("IMPORTRANGE(""https://docs.google.com/spreadsheets/d/11923uPwbBZFjjGgGUA6NLw09EwE0CqkOc4q9oUmW1yo/edit?usp=sharing"",""ตาก!J258"")"),0)</f>
        <v>0</v>
      </c>
      <c r="K363" s="163"/>
      <c r="L363" s="181"/>
      <c r="M363" s="181"/>
      <c r="N363" s="181"/>
      <c r="O363" s="181"/>
      <c r="P363" s="181"/>
    </row>
    <row r="364" spans="1:16" ht="21.75" hidden="1" customHeight="1" x14ac:dyDescent="0.3">
      <c r="A364" s="175"/>
      <c r="B364" s="176"/>
      <c r="C364" s="176"/>
      <c r="D364" s="193"/>
      <c r="E364" s="198"/>
      <c r="F364" s="194" t="s">
        <v>70</v>
      </c>
      <c r="G364" s="196"/>
      <c r="H364" s="180"/>
      <c r="I364" s="187"/>
      <c r="J364" s="187">
        <f ca="1">IFERROR(__xludf.DUMMYFUNCTION("IMPORTRANGE(""https://docs.google.com/spreadsheets/d/11923uPwbBZFjjGgGUA6NLw09EwE0CqkOc4q9oUmW1yo/edit?usp=sharing"",""ตาก!J166"")"),0)</f>
        <v>0</v>
      </c>
      <c r="K364" s="163"/>
      <c r="L364" s="181"/>
      <c r="M364" s="181"/>
      <c r="N364" s="181"/>
      <c r="O364" s="181"/>
      <c r="P364" s="181"/>
    </row>
    <row r="365" spans="1:16" ht="21.75" hidden="1" customHeight="1" x14ac:dyDescent="0.3">
      <c r="A365" s="175"/>
      <c r="B365" s="176"/>
      <c r="C365" s="176"/>
      <c r="D365" s="193"/>
      <c r="E365" s="198"/>
      <c r="F365" s="195"/>
      <c r="G365" s="225" t="s">
        <v>135</v>
      </c>
      <c r="H365" s="180" t="s">
        <v>37</v>
      </c>
      <c r="I365" s="187">
        <f ca="1">IFERROR(__xludf.DUMMYFUNCTION("IMPORTRANGE(""https://docs.google.com/spreadsheets/d/1C3CXT74ZlgGe6_JY_1olB1XN4rF0dxEuIIF-xsYjHgg/edit?usp=sharing"",""งบกองทุน!f63"")"),0)</f>
        <v>0</v>
      </c>
      <c r="J365" s="187">
        <f ca="1">IFERROR(__xludf.DUMMYFUNCTION("IMPORTRANGE(""https://docs.google.com/spreadsheets/d/11923uPwbBZFjjGgGUA6NLw09EwE0CqkOc4q9oUmW1yo/edit?usp=sharing"",""ตาก!J166"")"),0)</f>
        <v>0</v>
      </c>
      <c r="K365" s="163">
        <f ca="1">IF(I365&gt;0,J365*100/I365,0)</f>
        <v>0</v>
      </c>
      <c r="L365" s="181"/>
      <c r="M365" s="181"/>
      <c r="N365" s="181"/>
      <c r="O365" s="181"/>
      <c r="P365" s="181"/>
    </row>
    <row r="366" spans="1:16" ht="21.75" hidden="1" customHeight="1" x14ac:dyDescent="0.3">
      <c r="A366" s="175"/>
      <c r="B366" s="176"/>
      <c r="C366" s="176"/>
      <c r="D366" s="193"/>
      <c r="E366" s="198"/>
      <c r="F366" s="195"/>
      <c r="G366" s="196" t="s">
        <v>136</v>
      </c>
      <c r="H366" s="180"/>
      <c r="I366" s="162"/>
      <c r="J366" s="187">
        <f ca="1">IFERROR(__xludf.DUMMYFUNCTION("IMPORTRANGE(""https://docs.google.com/spreadsheets/d/11923uPwbBZFjjGgGUA6NLw09EwE0CqkOc4q9oUmW1yo/edit?usp=sharing"",""ตาก!J166"")"),0)</f>
        <v>0</v>
      </c>
      <c r="K366" s="163"/>
      <c r="L366" s="181"/>
      <c r="M366" s="181"/>
      <c r="N366" s="181"/>
      <c r="O366" s="181"/>
      <c r="P366" s="181"/>
    </row>
    <row r="367" spans="1:16" ht="21.75" hidden="1" customHeight="1" x14ac:dyDescent="0.3">
      <c r="A367" s="175"/>
      <c r="B367" s="176"/>
      <c r="C367" s="176"/>
      <c r="D367" s="193"/>
      <c r="E367" s="198"/>
      <c r="F367" s="195"/>
      <c r="G367" s="225" t="s">
        <v>137</v>
      </c>
      <c r="H367" s="186" t="s">
        <v>122</v>
      </c>
      <c r="I367" s="187">
        <f ca="1">SUM(I369,I371)</f>
        <v>0</v>
      </c>
      <c r="J367" s="187">
        <f ca="1">IFERROR(__xludf.DUMMYFUNCTION("IMPORTRANGE(""https://docs.google.com/spreadsheets/d/11923uPwbBZFjjGgGUA6NLw09EwE0CqkOc4q9oUmW1yo/edit?usp=sharing"",""ตาก!J166"")"),0)</f>
        <v>0</v>
      </c>
      <c r="K367" s="163">
        <f t="shared" ref="K367:K373" ca="1" si="106">IF(I367&gt;0,J367*100/I367,0)</f>
        <v>0</v>
      </c>
      <c r="L367" s="181"/>
      <c r="M367" s="181"/>
      <c r="N367" s="181"/>
      <c r="O367" s="181"/>
      <c r="P367" s="181"/>
    </row>
    <row r="368" spans="1:16" ht="21.75" customHeight="1" x14ac:dyDescent="0.3">
      <c r="A368" s="175"/>
      <c r="B368" s="176"/>
      <c r="C368" s="176"/>
      <c r="D368" s="193"/>
      <c r="E368" s="198"/>
      <c r="F368" s="378" t="s">
        <v>138</v>
      </c>
      <c r="G368" s="379"/>
      <c r="H368" s="186" t="s">
        <v>37</v>
      </c>
      <c r="I368" s="162">
        <f ca="1">IFERROR(__xludf.DUMMYFUNCTION("IMPORTRANGE(""https://docs.google.com/spreadsheets/d/11923uPwbBZFjjGgGUA6NLw09EwE0CqkOc4q9oUmW1yo/edit?usp=sharing"",""ตาก!I263"")"),0)</f>
        <v>0</v>
      </c>
      <c r="J368" s="187">
        <f ca="1">IFERROR(__xludf.DUMMYFUNCTION("IMPORTRANGE(""https://docs.google.com/spreadsheets/d/11923uPwbBZFjjGgGUA6NLw09EwE0CqkOc4q9oUmW1yo/edit?usp=sharing"",""ตาก!J263"")"),0)</f>
        <v>0</v>
      </c>
      <c r="K368" s="163">
        <f t="shared" ca="1" si="106"/>
        <v>0</v>
      </c>
      <c r="L368" s="181"/>
      <c r="M368" s="181"/>
      <c r="N368" s="181"/>
      <c r="O368" s="181"/>
      <c r="P368" s="181"/>
    </row>
    <row r="369" spans="1:16" ht="21.75" hidden="1" customHeight="1" x14ac:dyDescent="0.3">
      <c r="A369" s="175"/>
      <c r="B369" s="176"/>
      <c r="C369" s="176"/>
      <c r="D369" s="193"/>
      <c r="E369" s="198"/>
      <c r="F369" s="195"/>
      <c r="G369" s="379"/>
      <c r="H369" s="180" t="s">
        <v>122</v>
      </c>
      <c r="I369" s="162">
        <f ca="1">IFERROR(__xludf.DUMMYFUNCTION("IMPORTRANGE(""https://docs.google.com/spreadsheets/d/11923uPwbBZFjjGgGUA6NLw09EwE0CqkOc4q9oUmW1yo/edit?usp=sharing"",""ตาก!I164"")"),0)</f>
        <v>0</v>
      </c>
      <c r="J369" s="203">
        <f ca="1">IFERROR(__xludf.DUMMYFUNCTION("IMPORTRANGE(""https://docs.google.com/spreadsheets/d/11923uPwbBZFjjGgGUA6NLw09EwE0CqkOc4q9oUmW1yo/edit?usp=sharing"",""ตาก!J164"")"),0)</f>
        <v>0</v>
      </c>
      <c r="K369" s="163">
        <f t="shared" ca="1" si="106"/>
        <v>0</v>
      </c>
      <c r="L369" s="181"/>
      <c r="M369" s="181"/>
      <c r="N369" s="181"/>
      <c r="O369" s="181"/>
      <c r="P369" s="181"/>
    </row>
    <row r="370" spans="1:16" ht="21.75" customHeight="1" x14ac:dyDescent="0.3">
      <c r="A370" s="175"/>
      <c r="B370" s="176"/>
      <c r="C370" s="176"/>
      <c r="D370" s="193"/>
      <c r="E370" s="198"/>
      <c r="F370" s="195"/>
      <c r="G370" s="378" t="s">
        <v>139</v>
      </c>
      <c r="H370" s="180" t="s">
        <v>37</v>
      </c>
      <c r="I370" s="162">
        <f ca="1">IFERROR(__xludf.DUMMYFUNCTION("IMPORTRANGE(""https://docs.google.com/spreadsheets/d/11923uPwbBZFjjGgGUA6NLw09EwE0CqkOc4q9oUmW1yo/edit?usp=sharing"",""ตาก!I265"")"),0)</f>
        <v>0</v>
      </c>
      <c r="J370" s="203">
        <f ca="1">IFERROR(__xludf.DUMMYFUNCTION("IMPORTRANGE(""https://docs.google.com/spreadsheets/d/11923uPwbBZFjjGgGUA6NLw09EwE0CqkOc4q9oUmW1yo/edit?usp=sharing"",""ตาก!J265"")"),0)</f>
        <v>0</v>
      </c>
      <c r="K370" s="163">
        <f t="shared" ca="1" si="106"/>
        <v>0</v>
      </c>
      <c r="L370" s="181"/>
      <c r="M370" s="181"/>
      <c r="N370" s="181"/>
      <c r="O370" s="181"/>
      <c r="P370" s="181"/>
    </row>
    <row r="371" spans="1:16" ht="21.75" hidden="1" customHeight="1" x14ac:dyDescent="0.3">
      <c r="A371" s="175"/>
      <c r="B371" s="176"/>
      <c r="C371" s="176"/>
      <c r="D371" s="193"/>
      <c r="E371" s="198"/>
      <c r="F371" s="195"/>
      <c r="G371" s="379"/>
      <c r="H371" s="180" t="s">
        <v>122</v>
      </c>
      <c r="I371" s="162">
        <f ca="1">IFERROR(__xludf.DUMMYFUNCTION("IMPORTRANGE(""https://docs.google.com/spreadsheets/d/11923uPwbBZFjjGgGUA6NLw09EwE0CqkOc4q9oUmW1yo/edit?usp=sharing"",""ตาก!I164"")"),0)</f>
        <v>0</v>
      </c>
      <c r="J371" s="188">
        <f ca="1">IFERROR(__xludf.DUMMYFUNCTION("IMPORTRANGE(""https://docs.google.com/spreadsheets/d/11923uPwbBZFjjGgGUA6NLw09EwE0CqkOc4q9oUmW1yo/edit?usp=sharing"",""ตาก!J164"")"),0)</f>
        <v>0</v>
      </c>
      <c r="K371" s="163">
        <f t="shared" ca="1" si="106"/>
        <v>0</v>
      </c>
      <c r="L371" s="181"/>
      <c r="M371" s="181"/>
      <c r="N371" s="181"/>
      <c r="O371" s="181"/>
      <c r="P371" s="181"/>
    </row>
    <row r="372" spans="1:16" ht="21.75" customHeight="1" x14ac:dyDescent="0.3">
      <c r="A372" s="175"/>
      <c r="B372" s="176"/>
      <c r="C372" s="176"/>
      <c r="D372" s="193"/>
      <c r="E372" s="198"/>
      <c r="F372" s="195"/>
      <c r="G372" s="378" t="s">
        <v>140</v>
      </c>
      <c r="H372" s="180" t="s">
        <v>37</v>
      </c>
      <c r="I372" s="162">
        <f ca="1">IFERROR(__xludf.DUMMYFUNCTION("IMPORTRANGE(""https://docs.google.com/spreadsheets/d/11923uPwbBZFjjGgGUA6NLw09EwE0CqkOc4q9oUmW1yo/edit?usp=sharing"",""ตาก!I267"")"),0)</f>
        <v>0</v>
      </c>
      <c r="J372" s="188">
        <f ca="1">IFERROR(__xludf.DUMMYFUNCTION("IMPORTRANGE(""https://docs.google.com/spreadsheets/d/11923uPwbBZFjjGgGUA6NLw09EwE0CqkOc4q9oUmW1yo/edit?usp=sharing"",""ตาก!J267"")"),0)</f>
        <v>0</v>
      </c>
      <c r="K372" s="163">
        <f t="shared" ca="1" si="106"/>
        <v>0</v>
      </c>
      <c r="L372" s="181"/>
      <c r="M372" s="181"/>
      <c r="N372" s="181"/>
      <c r="O372" s="181"/>
      <c r="P372" s="181"/>
    </row>
    <row r="373" spans="1:16" ht="21.75" hidden="1" customHeight="1" x14ac:dyDescent="0.3">
      <c r="A373" s="175"/>
      <c r="B373" s="176"/>
      <c r="C373" s="176"/>
      <c r="D373" s="193"/>
      <c r="E373" s="198"/>
      <c r="F373" s="195"/>
      <c r="G373" s="225" t="s">
        <v>141</v>
      </c>
      <c r="H373" s="180" t="s">
        <v>37</v>
      </c>
      <c r="I373" s="187">
        <f ca="1">IFERROR(__xludf.DUMMYFUNCTION("IMPORTRANGE(""https://docs.google.com/spreadsheets/d/11923uPwbBZFjjGgGUA6NLw09EwE0CqkOc4q9oUmW1yo/edit?usp=sharing"",""ตาก!I164"")"),0)</f>
        <v>0</v>
      </c>
      <c r="J373" s="203">
        <f ca="1">IFERROR(__xludf.DUMMYFUNCTION("IMPORTRANGE(""https://docs.google.com/spreadsheets/d/11923uPwbBZFjjGgGUA6NLw09EwE0CqkOc4q9oUmW1yo/edit?usp=sharing"",""ตาก!J164"")"),0)</f>
        <v>0</v>
      </c>
      <c r="K373" s="163">
        <f t="shared" ca="1" si="106"/>
        <v>0</v>
      </c>
      <c r="L373" s="181"/>
      <c r="M373" s="181"/>
      <c r="N373" s="181"/>
      <c r="O373" s="181"/>
      <c r="P373" s="181"/>
    </row>
    <row r="374" spans="1:16" ht="21.75" hidden="1" customHeight="1" x14ac:dyDescent="0.3">
      <c r="A374" s="175"/>
      <c r="B374" s="176"/>
      <c r="C374" s="176"/>
      <c r="D374" s="193"/>
      <c r="E374" s="198"/>
      <c r="F374" s="195"/>
      <c r="G374" s="196" t="s">
        <v>142</v>
      </c>
      <c r="H374" s="180"/>
      <c r="I374" s="187">
        <f ca="1">IFERROR(__xludf.DUMMYFUNCTION("IMPORTRANGE(""https://docs.google.com/spreadsheets/d/11923uPwbBZFjjGgGUA6NLw09EwE0CqkOc4q9oUmW1yo/edit?usp=sharing"",""ตาก!I164"")"),0)</f>
        <v>0</v>
      </c>
      <c r="J374" s="187">
        <f ca="1">IFERROR(__xludf.DUMMYFUNCTION("IMPORTRANGE(""https://docs.google.com/spreadsheets/d/11923uPwbBZFjjGgGUA6NLw09EwE0CqkOc4q9oUmW1yo/edit?usp=sharing"",""ตาก!J164"")"),0)</f>
        <v>0</v>
      </c>
      <c r="K374" s="163"/>
      <c r="L374" s="181"/>
      <c r="M374" s="181"/>
      <c r="N374" s="181"/>
      <c r="O374" s="181"/>
      <c r="P374" s="181"/>
    </row>
    <row r="375" spans="1:16" ht="21.75" customHeight="1" x14ac:dyDescent="0.3">
      <c r="A375" s="175"/>
      <c r="B375" s="176"/>
      <c r="C375" s="176"/>
      <c r="D375" s="193"/>
      <c r="E375" s="195"/>
      <c r="F375" s="204" t="s">
        <v>53</v>
      </c>
      <c r="G375" s="196"/>
      <c r="H375" s="278" t="s">
        <v>122</v>
      </c>
      <c r="I375" s="187">
        <f ca="1">IFERROR(__xludf.DUMMYFUNCTION("IMPORTRANGE(""https://docs.google.com/spreadsheets/d/11923uPwbBZFjjGgGUA6NLw09EwE0CqkOc4q9oUmW1yo/edit?usp=sharing"",""ตาก!I270"")"),0)</f>
        <v>0</v>
      </c>
      <c r="J375" s="187">
        <f ca="1">IFERROR(__xludf.DUMMYFUNCTION("IMPORTRANGE(""https://docs.google.com/spreadsheets/d/11923uPwbBZFjjGgGUA6NLw09EwE0CqkOc4q9oUmW1yo/edit?usp=sharing"",""ตาก!J270"")"),0)</f>
        <v>0</v>
      </c>
      <c r="K375" s="163">
        <f t="shared" ref="K375:K377" ca="1" si="107">IF(I375&gt;0,J375*100/I375,0)</f>
        <v>0</v>
      </c>
      <c r="L375" s="181"/>
      <c r="M375" s="181"/>
      <c r="N375" s="181"/>
      <c r="O375" s="181"/>
      <c r="P375" s="181"/>
    </row>
    <row r="376" spans="1:16" ht="21.75" customHeight="1" x14ac:dyDescent="0.3">
      <c r="A376" s="175"/>
      <c r="B376" s="176"/>
      <c r="C376" s="176"/>
      <c r="D376" s="193"/>
      <c r="E376" s="195"/>
      <c r="F376" s="195"/>
      <c r="G376" s="279" t="s">
        <v>143</v>
      </c>
      <c r="H376" s="278" t="s">
        <v>122</v>
      </c>
      <c r="I376" s="187">
        <f ca="1">IFERROR(__xludf.DUMMYFUNCTION("IMPORTRANGE(""https://docs.google.com/spreadsheets/d/11923uPwbBZFjjGgGUA6NLw09EwE0CqkOc4q9oUmW1yo/edit?usp=sharing"",""ตาก!I271"")"),0)</f>
        <v>0</v>
      </c>
      <c r="J376" s="188">
        <f ca="1">IFERROR(__xludf.DUMMYFUNCTION("IMPORTRANGE(""https://docs.google.com/spreadsheets/d/11923uPwbBZFjjGgGUA6NLw09EwE0CqkOc4q9oUmW1yo/edit?usp=sharing"",""ตาก!J271"")"),0)</f>
        <v>0</v>
      </c>
      <c r="K376" s="163">
        <f t="shared" ca="1" si="107"/>
        <v>0</v>
      </c>
      <c r="L376" s="181"/>
      <c r="M376" s="181"/>
      <c r="N376" s="181"/>
      <c r="O376" s="181"/>
      <c r="P376" s="181"/>
    </row>
    <row r="377" spans="1:16" ht="21.75" customHeight="1" x14ac:dyDescent="0.3">
      <c r="A377" s="175"/>
      <c r="B377" s="176"/>
      <c r="C377" s="176"/>
      <c r="D377" s="193"/>
      <c r="E377" s="195"/>
      <c r="F377" s="195"/>
      <c r="G377" s="279" t="s">
        <v>144</v>
      </c>
      <c r="H377" s="278" t="s">
        <v>122</v>
      </c>
      <c r="I377" s="187">
        <f ca="1">IFERROR(__xludf.DUMMYFUNCTION("IMPORTRANGE(""https://docs.google.com/spreadsheets/d/11923uPwbBZFjjGgGUA6NLw09EwE0CqkOc4q9oUmW1yo/edit?usp=sharing"",""ตาก!I272"")"),0)</f>
        <v>0</v>
      </c>
      <c r="J377" s="203">
        <f ca="1">IFERROR(__xludf.DUMMYFUNCTION("IMPORTRANGE(""https://docs.google.com/spreadsheets/d/11923uPwbBZFjjGgGUA6NLw09EwE0CqkOc4q9oUmW1yo/edit?usp=sharing"",""ตาก!J272"")"),0)</f>
        <v>0</v>
      </c>
      <c r="K377" s="163">
        <f t="shared" ca="1" si="107"/>
        <v>0</v>
      </c>
      <c r="L377" s="181"/>
      <c r="M377" s="181"/>
      <c r="N377" s="181"/>
      <c r="O377" s="181"/>
      <c r="P377" s="181"/>
    </row>
    <row r="378" spans="1:16" ht="21.75" customHeight="1" x14ac:dyDescent="0.3">
      <c r="A378" s="175"/>
      <c r="B378" s="176"/>
      <c r="C378" s="176"/>
      <c r="D378" s="193"/>
      <c r="E378" s="194" t="s">
        <v>54</v>
      </c>
      <c r="F378" s="195"/>
      <c r="G378" s="196"/>
      <c r="H378" s="186"/>
      <c r="I378" s="187"/>
      <c r="J378" s="197">
        <f ca="1">IFERROR(__xludf.DUMMYFUNCTION("IMPORTRANGE(""https://docs.google.com/spreadsheets/d/11923uPwbBZFjjGgGUA6NLw09EwE0CqkOc4q9oUmW1yo/edit?usp=sharing"",""ตาก!J273"")"),0)</f>
        <v>0</v>
      </c>
      <c r="K378" s="163"/>
      <c r="L378" s="181"/>
      <c r="M378" s="181"/>
      <c r="N378" s="181"/>
      <c r="O378" s="181"/>
      <c r="P378" s="181"/>
    </row>
    <row r="379" spans="1:16" ht="21.75" customHeight="1" x14ac:dyDescent="0.3">
      <c r="A379" s="175"/>
      <c r="B379" s="176"/>
      <c r="C379" s="176"/>
      <c r="D379" s="205">
        <v>3</v>
      </c>
      <c r="E379" s="206" t="s">
        <v>55</v>
      </c>
      <c r="F379" s="207"/>
      <c r="G379" s="208"/>
      <c r="H379" s="186"/>
      <c r="I379" s="187"/>
      <c r="J379" s="209">
        <f ca="1">IFERROR(__xludf.DUMMYFUNCTION("IMPORTRANGE(""https://docs.google.com/spreadsheets/d/11923uPwbBZFjjGgGUA6NLw09EwE0CqkOc4q9oUmW1yo/edit?usp=sharing"",""ตาก!J274"")"),0)</f>
        <v>0</v>
      </c>
      <c r="K379" s="163"/>
      <c r="L379" s="181"/>
      <c r="M379" s="181"/>
      <c r="N379" s="181"/>
      <c r="O379" s="181"/>
      <c r="P379" s="181"/>
    </row>
    <row r="380" spans="1:16" ht="21.75" customHeight="1" x14ac:dyDescent="0.3">
      <c r="A380" s="364"/>
      <c r="B380" s="365">
        <v>2</v>
      </c>
      <c r="C380" s="366" t="s">
        <v>145</v>
      </c>
      <c r="D380" s="366"/>
      <c r="E380" s="380"/>
      <c r="F380" s="380"/>
      <c r="G380" s="381"/>
      <c r="H380" s="368" t="s">
        <v>122</v>
      </c>
      <c r="I380" s="369">
        <f ca="1">IFERROR(__xludf.DUMMYFUNCTION("IMPORTRANGE(""https://docs.google.com/spreadsheets/d/11923uPwbBZFjjGgGUA6NLw09EwE0CqkOc4q9oUmW1yo/edit?usp=sharing"",""ตาก!I275"")"),500)</f>
        <v>500</v>
      </c>
      <c r="J380" s="369">
        <f ca="1">IFERROR(__xludf.DUMMYFUNCTION("IMPORTRANGE(""https://docs.google.com/spreadsheets/d/11923uPwbBZFjjGgGUA6NLw09EwE0CqkOc4q9oUmW1yo/edit?usp=sharing"",""ตาก!J275"")"),500)</f>
        <v>500</v>
      </c>
      <c r="K380" s="370">
        <f t="shared" ref="K380:K381" ca="1" si="108">IF(I380&gt;0,J380*100/I380,0)</f>
        <v>100</v>
      </c>
      <c r="L380" s="371">
        <f ca="1">IFERROR(__xludf.DUMMYFUNCTION("IMPORTRANGE(""https://docs.google.com/spreadsheets/d/11923uPwbBZFjjGgGUA6NLw09EwE0CqkOc4q9oUmW1yo/edit?usp=sharing"",""ตาก!L275"")"),460140)</f>
        <v>460140</v>
      </c>
      <c r="M380" s="371"/>
      <c r="N380" s="371">
        <f ca="1">IFERROR(__xludf.DUMMYFUNCTION("IMPORTRANGE(""https://docs.google.com/spreadsheets/d/11923uPwbBZFjjGgGUA6NLw09EwE0CqkOc4q9oUmW1yo/edit?usp=sharing"",""ตาก!M275"")"),404980)</f>
        <v>404980</v>
      </c>
      <c r="O380" s="371">
        <f ca="1">+IF(L380&gt;0,N380*100/L380,0)</f>
        <v>88.012344069196331</v>
      </c>
      <c r="P380" s="371"/>
    </row>
    <row r="381" spans="1:16" ht="21.75" customHeight="1" x14ac:dyDescent="0.3">
      <c r="A381" s="364"/>
      <c r="B381" s="365"/>
      <c r="C381" s="366"/>
      <c r="D381" s="382"/>
      <c r="E381" s="383"/>
      <c r="F381" s="383"/>
      <c r="G381" s="384"/>
      <c r="H381" s="368" t="s">
        <v>37</v>
      </c>
      <c r="I381" s="369">
        <f ca="1">IFERROR(__xludf.DUMMYFUNCTION("IMPORTRANGE(""https://docs.google.com/spreadsheets/d/11923uPwbBZFjjGgGUA6NLw09EwE0CqkOc4q9oUmW1yo/edit?usp=sharing"",""ตาก!I276"")"),50)</f>
        <v>50</v>
      </c>
      <c r="J381" s="369">
        <f ca="1">IFERROR(__xludf.DUMMYFUNCTION("IMPORTRANGE(""https://docs.google.com/spreadsheets/d/11923uPwbBZFjjGgGUA6NLw09EwE0CqkOc4q9oUmW1yo/edit?usp=sharing"",""ตาก!J276"")"),50)</f>
        <v>50</v>
      </c>
      <c r="K381" s="370">
        <f t="shared" ca="1" si="108"/>
        <v>100</v>
      </c>
      <c r="L381" s="371"/>
      <c r="M381" s="371"/>
      <c r="N381" s="371"/>
      <c r="O381" s="371"/>
      <c r="P381" s="371"/>
    </row>
    <row r="382" spans="1:16" ht="21.75" customHeight="1" x14ac:dyDescent="0.3">
      <c r="A382" s="156"/>
      <c r="B382" s="157"/>
      <c r="C382" s="157" t="s">
        <v>16</v>
      </c>
      <c r="D382" s="158" t="s">
        <v>38</v>
      </c>
      <c r="E382" s="159"/>
      <c r="F382" s="159"/>
      <c r="G382" s="160" t="s">
        <v>39</v>
      </c>
      <c r="H382" s="161" t="s">
        <v>12</v>
      </c>
      <c r="I382" s="162" t="s">
        <v>40</v>
      </c>
      <c r="J382" s="162"/>
      <c r="K382" s="163"/>
      <c r="L382" s="164">
        <f ca="1">IFERROR(__xludf.DUMMYFUNCTION("IMPORTRANGE(""https://docs.google.com/spreadsheets/d/11923uPwbBZFjjGgGUA6NLw09EwE0CqkOc4q9oUmW1yo/edit?usp=sharing"",""ตาก!L277"")"),0)</f>
        <v>0</v>
      </c>
      <c r="M382" s="164"/>
      <c r="N382" s="164">
        <f ca="1">IFERROR(__xludf.DUMMYFUNCTION("IMPORTRANGE(""https://docs.google.com/spreadsheets/d/11923uPwbBZFjjGgGUA6NLw09EwE0CqkOc4q9oUmW1yo/edit?usp=sharing"",""ตาก!M277"")"),0)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3">
      <c r="A383" s="156"/>
      <c r="B383" s="157"/>
      <c r="C383" s="157"/>
      <c r="D383" s="166"/>
      <c r="E383" s="159"/>
      <c r="F383" s="159" t="s">
        <v>40</v>
      </c>
      <c r="G383" s="160" t="s">
        <v>41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IFERROR(__xludf.DUMMYFUNCTION("IMPORTRANGE(""https://docs.google.com/spreadsheets/d/11923uPwbBZFjjGgGUA6NLw09EwE0CqkOc4q9oUmW1yo/edit?usp=sharing"",""ตาก!L278"")"),460140)</f>
        <v>460140</v>
      </c>
      <c r="M383" s="165"/>
      <c r="N383" s="165">
        <f ca="1">IFERROR(__xludf.DUMMYFUNCTION("IMPORTRANGE(""https://docs.google.com/spreadsheets/d/11923uPwbBZFjjGgGUA6NLw09EwE0CqkOc4q9oUmW1yo/edit?usp=sharing"",""ตาก!M278"")"),404980)</f>
        <v>404980</v>
      </c>
      <c r="O383" s="165">
        <f t="shared" ca="1" si="109"/>
        <v>88.012344069196331</v>
      </c>
      <c r="P383" s="165"/>
    </row>
    <row r="384" spans="1:16" ht="21.75" customHeight="1" x14ac:dyDescent="0.3">
      <c r="A384" s="156"/>
      <c r="B384" s="157"/>
      <c r="C384" s="157"/>
      <c r="D384" s="166"/>
      <c r="E384" s="159"/>
      <c r="F384" s="159"/>
      <c r="G384" s="372" t="s">
        <v>129</v>
      </c>
      <c r="H384" s="161" t="s">
        <v>12</v>
      </c>
      <c r="I384" s="162"/>
      <c r="J384" s="162"/>
      <c r="K384" s="163"/>
      <c r="L384" s="168">
        <f ca="1">IFERROR(__xludf.DUMMYFUNCTION("IMPORTRANGE(""https://docs.google.com/spreadsheets/d/11923uPwbBZFjjGgGUA6NLw09EwE0CqkOc4q9oUmW1yo/edit?usp=sharing"",""ตาก!L279"")"),0)</f>
        <v>0</v>
      </c>
      <c r="M384" s="168"/>
      <c r="N384" s="168">
        <f ca="1">IFERROR(__xludf.DUMMYFUNCTION("IMPORTRANGE(""https://docs.google.com/spreadsheets/d/11923uPwbBZFjjGgGUA6NLw09EwE0CqkOc4q9oUmW1yo/edit?usp=sharing"",""ตาก!M279"")"),0)</f>
        <v>0</v>
      </c>
      <c r="O384" s="168">
        <f t="shared" ca="1" si="109"/>
        <v>0</v>
      </c>
      <c r="P384" s="168"/>
    </row>
    <row r="385" spans="1:16" ht="21.75" customHeight="1" x14ac:dyDescent="0.3">
      <c r="A385" s="156"/>
      <c r="B385" s="157"/>
      <c r="C385" s="157"/>
      <c r="D385" s="166"/>
      <c r="E385" s="159"/>
      <c r="F385" s="159"/>
      <c r="G385" s="372" t="s">
        <v>130</v>
      </c>
      <c r="H385" s="161" t="s">
        <v>12</v>
      </c>
      <c r="I385" s="162"/>
      <c r="J385" s="162"/>
      <c r="K385" s="163"/>
      <c r="L385" s="168">
        <f ca="1">IFERROR(__xludf.DUMMYFUNCTION("IMPORTRANGE(""https://docs.google.com/spreadsheets/d/11923uPwbBZFjjGgGUA6NLw09EwE0CqkOc4q9oUmW1yo/edit?usp=sharing"",""ตาก!L280"")"),460140)</f>
        <v>460140</v>
      </c>
      <c r="M385" s="168"/>
      <c r="N385" s="167">
        <f ca="1">IFERROR(__xludf.DUMMYFUNCTION("IMPORTRANGE(""https://docs.google.com/spreadsheets/d/11923uPwbBZFjjGgGUA6NLw09EwE0CqkOc4q9oUmW1yo/edit?usp=sharing"",""ตาก!M280"")"),404980)</f>
        <v>404980</v>
      </c>
      <c r="O385" s="168">
        <f t="shared" ca="1" si="109"/>
        <v>88.012344069196331</v>
      </c>
      <c r="P385" s="168"/>
    </row>
    <row r="386" spans="1:16" ht="21.75" customHeight="1" x14ac:dyDescent="0.3">
      <c r="A386" s="373"/>
      <c r="B386" s="374"/>
      <c r="C386" s="157"/>
      <c r="D386" s="375"/>
      <c r="E386" s="159"/>
      <c r="F386" s="159"/>
      <c r="G386" s="376" t="s">
        <v>131</v>
      </c>
      <c r="H386" s="161" t="s">
        <v>12</v>
      </c>
      <c r="I386" s="187"/>
      <c r="J386" s="187"/>
      <c r="K386" s="223"/>
      <c r="L386" s="168"/>
      <c r="M386" s="168"/>
      <c r="N386" s="377">
        <f ca="1">IFERROR(__xludf.DUMMYFUNCTION("IMPORTRANGE(""https://docs.google.com/spreadsheets/d/11923uPwbBZFjjGgGUA6NLw09EwE0CqkOc4q9oUmW1yo/edit?usp=sharing"",""ตาก!M281"")"),78220)</f>
        <v>78220</v>
      </c>
      <c r="O386" s="168"/>
      <c r="P386" s="168"/>
    </row>
    <row r="387" spans="1:16" ht="21.75" customHeight="1" x14ac:dyDescent="0.3">
      <c r="A387" s="373"/>
      <c r="B387" s="374"/>
      <c r="C387" s="157"/>
      <c r="D387" s="375"/>
      <c r="E387" s="159"/>
      <c r="F387" s="159"/>
      <c r="G387" s="376" t="s">
        <v>132</v>
      </c>
      <c r="H387" s="161" t="s">
        <v>12</v>
      </c>
      <c r="I387" s="187"/>
      <c r="J387" s="187"/>
      <c r="K387" s="223"/>
      <c r="L387" s="168"/>
      <c r="M387" s="168"/>
      <c r="N387" s="377">
        <f ca="1">IFERROR(__xludf.DUMMYFUNCTION("IMPORTRANGE(""https://docs.google.com/spreadsheets/d/11923uPwbBZFjjGgGUA6NLw09EwE0CqkOc4q9oUmW1yo/edit?usp=sharing"",""ตาก!M282"")"),312500)</f>
        <v>312500</v>
      </c>
      <c r="O387" s="168"/>
      <c r="P387" s="168"/>
    </row>
    <row r="388" spans="1:16" ht="21.75" customHeight="1" x14ac:dyDescent="0.3">
      <c r="A388" s="373"/>
      <c r="B388" s="374"/>
      <c r="C388" s="157"/>
      <c r="D388" s="375"/>
      <c r="E388" s="159"/>
      <c r="F388" s="159"/>
      <c r="G388" s="376" t="s">
        <v>133</v>
      </c>
      <c r="H388" s="161" t="s">
        <v>12</v>
      </c>
      <c r="I388" s="187"/>
      <c r="J388" s="187"/>
      <c r="K388" s="223"/>
      <c r="L388" s="168"/>
      <c r="M388" s="168"/>
      <c r="N388" s="377">
        <f ca="1">IFERROR(__xludf.DUMMYFUNCTION("IMPORTRANGE(""https://docs.google.com/spreadsheets/d/11923uPwbBZFjjGgGUA6NLw09EwE0CqkOc4q9oUmW1yo/edit?usp=sharing"",""ตาก!M283"")"),0)</f>
        <v>0</v>
      </c>
      <c r="O388" s="168"/>
      <c r="P388" s="168"/>
    </row>
    <row r="389" spans="1:16" ht="21.75" customHeight="1" x14ac:dyDescent="0.3">
      <c r="A389" s="373"/>
      <c r="B389" s="374"/>
      <c r="C389" s="157"/>
      <c r="D389" s="375"/>
      <c r="E389" s="159"/>
      <c r="F389" s="159"/>
      <c r="G389" s="376" t="s">
        <v>134</v>
      </c>
      <c r="H389" s="161" t="s">
        <v>12</v>
      </c>
      <c r="I389" s="187"/>
      <c r="J389" s="187"/>
      <c r="K389" s="223"/>
      <c r="L389" s="168"/>
      <c r="M389" s="168"/>
      <c r="N389" s="377">
        <f ca="1">IFERROR(__xludf.DUMMYFUNCTION("IMPORTRANGE(""https://docs.google.com/spreadsheets/d/11923uPwbBZFjjGgGUA6NLw09EwE0CqkOc4q9oUmW1yo/edit?usp=sharing"",""ตาก!M284"")"),14260)</f>
        <v>14260</v>
      </c>
      <c r="O389" s="168"/>
      <c r="P389" s="168"/>
    </row>
    <row r="390" spans="1:16" ht="21.75" customHeight="1" x14ac:dyDescent="0.3">
      <c r="A390" s="175"/>
      <c r="B390" s="176"/>
      <c r="C390" s="157" t="s">
        <v>16</v>
      </c>
      <c r="D390" s="177" t="s">
        <v>44</v>
      </c>
      <c r="E390" s="178"/>
      <c r="F390" s="178"/>
      <c r="G390" s="179"/>
      <c r="H390" s="180"/>
      <c r="I390" s="162"/>
      <c r="J390" s="162"/>
      <c r="K390" s="163"/>
      <c r="L390" s="181"/>
      <c r="M390" s="181"/>
      <c r="N390" s="181"/>
      <c r="O390" s="181"/>
      <c r="P390" s="181"/>
    </row>
    <row r="391" spans="1:16" ht="21.75" customHeight="1" x14ac:dyDescent="0.3">
      <c r="A391" s="175"/>
      <c r="B391" s="176"/>
      <c r="C391" s="176"/>
      <c r="D391" s="182">
        <v>1</v>
      </c>
      <c r="E391" s="183" t="s">
        <v>45</v>
      </c>
      <c r="F391" s="184"/>
      <c r="G391" s="185"/>
      <c r="H391" s="186"/>
      <c r="I391" s="187"/>
      <c r="J391" s="197">
        <f ca="1">IFERROR(__xludf.DUMMYFUNCTION("IMPORTRANGE(""https://docs.google.com/spreadsheets/d/11923uPwbBZFjjGgGUA6NLw09EwE0CqkOc4q9oUmW1yo/edit?usp=sharing"",""ตาก!J286"")"),0)</f>
        <v>0</v>
      </c>
      <c r="K391" s="163"/>
      <c r="L391" s="181"/>
      <c r="M391" s="181"/>
      <c r="N391" s="181"/>
      <c r="O391" s="181"/>
      <c r="P391" s="181"/>
    </row>
    <row r="392" spans="1:16" ht="21.75" customHeight="1" x14ac:dyDescent="0.3">
      <c r="A392" s="175"/>
      <c r="B392" s="176"/>
      <c r="C392" s="176"/>
      <c r="D392" s="189">
        <v>2</v>
      </c>
      <c r="E392" s="190" t="s">
        <v>46</v>
      </c>
      <c r="F392" s="191"/>
      <c r="G392" s="192"/>
      <c r="H392" s="186"/>
      <c r="I392" s="187"/>
      <c r="J392" s="188">
        <f ca="1">IFERROR(__xludf.DUMMYFUNCTION("IMPORTRANGE(""https://docs.google.com/spreadsheets/d/11923uPwbBZFjjGgGUA6NLw09EwE0CqkOc4q9oUmW1yo/edit?usp=sharing"",""ตาก!J287"")"),1)</f>
        <v>1</v>
      </c>
      <c r="K392" s="163"/>
      <c r="L392" s="181" t="s">
        <v>40</v>
      </c>
      <c r="M392" s="181"/>
      <c r="N392" s="181" t="s">
        <v>40</v>
      </c>
      <c r="O392" s="181"/>
      <c r="P392" s="181"/>
    </row>
    <row r="393" spans="1:16" ht="21.75" customHeight="1" x14ac:dyDescent="0.3">
      <c r="A393" s="175"/>
      <c r="B393" s="176"/>
      <c r="C393" s="176"/>
      <c r="D393" s="193"/>
      <c r="E393" s="194" t="s">
        <v>47</v>
      </c>
      <c r="F393" s="195"/>
      <c r="G393" s="196"/>
      <c r="H393" s="186"/>
      <c r="I393" s="187"/>
      <c r="J393" s="188">
        <f ca="1">IFERROR(__xludf.DUMMYFUNCTION("IMPORTRANGE(""https://docs.google.com/spreadsheets/d/11923uPwbBZFjjGgGUA6NLw09EwE0CqkOc4q9oUmW1yo/edit?usp=sharing"",""ตาก!J288"")"),1)</f>
        <v>1</v>
      </c>
      <c r="K393" s="163"/>
      <c r="L393" s="181"/>
      <c r="M393" s="181"/>
      <c r="N393" s="181"/>
      <c r="O393" s="181"/>
      <c r="P393" s="181"/>
    </row>
    <row r="394" spans="1:16" ht="21.75" customHeight="1" x14ac:dyDescent="0.3">
      <c r="A394" s="175"/>
      <c r="B394" s="176"/>
      <c r="C394" s="176"/>
      <c r="D394" s="193"/>
      <c r="E394" s="194" t="s">
        <v>48</v>
      </c>
      <c r="F394" s="195"/>
      <c r="G394" s="196"/>
      <c r="H394" s="186"/>
      <c r="I394" s="187"/>
      <c r="J394" s="197">
        <f ca="1">IFERROR(__xludf.DUMMYFUNCTION("IMPORTRANGE(""https://docs.google.com/spreadsheets/d/11923uPwbBZFjjGgGUA6NLw09EwE0CqkOc4q9oUmW1yo/edit?usp=sharing"",""ตาก!J289"")"),1)</f>
        <v>1</v>
      </c>
      <c r="K394" s="163"/>
      <c r="L394" s="181"/>
      <c r="M394" s="181"/>
      <c r="N394" s="181"/>
      <c r="O394" s="181"/>
      <c r="P394" s="181"/>
    </row>
    <row r="395" spans="1:16" ht="21.75" customHeight="1" x14ac:dyDescent="0.3">
      <c r="A395" s="175"/>
      <c r="B395" s="176"/>
      <c r="C395" s="176"/>
      <c r="D395" s="193"/>
      <c r="E395" s="198"/>
      <c r="F395" s="194" t="s">
        <v>146</v>
      </c>
      <c r="G395" s="195"/>
      <c r="H395" s="186"/>
      <c r="I395" s="187"/>
      <c r="J395" s="187"/>
      <c r="K395" s="163"/>
      <c r="L395" s="181"/>
      <c r="M395" s="181"/>
      <c r="N395" s="181"/>
      <c r="O395" s="181"/>
      <c r="P395" s="181"/>
    </row>
    <row r="396" spans="1:16" ht="21.75" customHeight="1" x14ac:dyDescent="0.3">
      <c r="A396" s="175"/>
      <c r="B396" s="176"/>
      <c r="C396" s="176"/>
      <c r="D396" s="193"/>
      <c r="E396" s="198"/>
      <c r="F396" s="195"/>
      <c r="G396" s="291" t="s">
        <v>70</v>
      </c>
      <c r="H396" s="186" t="s">
        <v>37</v>
      </c>
      <c r="I396" s="187">
        <f ca="1">IFERROR(__xludf.DUMMYFUNCTION("IMPORTRANGE(""https://docs.google.com/spreadsheets/d/11923uPwbBZFjjGgGUA6NLw09EwE0CqkOc4q9oUmW1yo/edit?usp=sharing"",""ตาก!I291"")"),50)</f>
        <v>50</v>
      </c>
      <c r="J396" s="197">
        <f ca="1">IFERROR(__xludf.DUMMYFUNCTION("IMPORTRANGE(""https://docs.google.com/spreadsheets/d/11923uPwbBZFjjGgGUA6NLw09EwE0CqkOc4q9oUmW1yo/edit?usp=sharing"",""ตาก!J291"")"),50)</f>
        <v>50</v>
      </c>
      <c r="K396" s="163">
        <f t="shared" ref="K396:K398" ca="1" si="110">IF(I396&gt;0,J396*100/I396,0)</f>
        <v>100</v>
      </c>
      <c r="L396" s="181"/>
      <c r="M396" s="181"/>
      <c r="N396" s="181"/>
      <c r="O396" s="181"/>
      <c r="P396" s="181"/>
    </row>
    <row r="397" spans="1:16" ht="21.75" customHeight="1" x14ac:dyDescent="0.3">
      <c r="A397" s="175"/>
      <c r="B397" s="176"/>
      <c r="C397" s="176"/>
      <c r="D397" s="193"/>
      <c r="E397" s="198"/>
      <c r="F397" s="195"/>
      <c r="G397" s="196" t="s">
        <v>53</v>
      </c>
      <c r="H397" s="186" t="s">
        <v>122</v>
      </c>
      <c r="I397" s="187">
        <f ca="1">IFERROR(__xludf.DUMMYFUNCTION("IMPORTRANGE(""https://docs.google.com/spreadsheets/d/11923uPwbBZFjjGgGUA6NLw09EwE0CqkOc4q9oUmW1yo/edit?usp=sharing"",""ตาก!I292"")"),500)</f>
        <v>500</v>
      </c>
      <c r="J397" s="197">
        <f ca="1">IFERROR(__xludf.DUMMYFUNCTION("IMPORTRANGE(""https://docs.google.com/spreadsheets/d/11923uPwbBZFjjGgGUA6NLw09EwE0CqkOc4q9oUmW1yo/edit?usp=sharing"",""ตาก!J292"")"),500)</f>
        <v>500</v>
      </c>
      <c r="K397" s="163">
        <f t="shared" ca="1" si="110"/>
        <v>100</v>
      </c>
      <c r="L397" s="181"/>
      <c r="M397" s="181"/>
      <c r="N397" s="181"/>
      <c r="O397" s="181"/>
      <c r="P397" s="181"/>
    </row>
    <row r="398" spans="1:16" ht="21.75" customHeight="1" x14ac:dyDescent="0.3">
      <c r="A398" s="175"/>
      <c r="B398" s="176"/>
      <c r="C398" s="176"/>
      <c r="D398" s="193"/>
      <c r="E398" s="198"/>
      <c r="F398" s="195"/>
      <c r="G398" s="196"/>
      <c r="H398" s="186" t="s">
        <v>37</v>
      </c>
      <c r="I398" s="187">
        <f ca="1">IFERROR(__xludf.DUMMYFUNCTION("IMPORTRANGE(""https://docs.google.com/spreadsheets/d/11923uPwbBZFjjGgGUA6NLw09EwE0CqkOc4q9oUmW1yo/edit?usp=sharing"",""ตาก!I293"")"),50)</f>
        <v>50</v>
      </c>
      <c r="J398" s="197">
        <f ca="1">IFERROR(__xludf.DUMMYFUNCTION("IMPORTRANGE(""https://docs.google.com/spreadsheets/d/11923uPwbBZFjjGgGUA6NLw09EwE0CqkOc4q9oUmW1yo/edit?usp=sharing"",""ตาก!J293"")"),50)</f>
        <v>50</v>
      </c>
      <c r="K398" s="163">
        <f t="shared" ca="1" si="110"/>
        <v>100</v>
      </c>
      <c r="L398" s="181"/>
      <c r="M398" s="181"/>
      <c r="N398" s="181"/>
      <c r="O398" s="181"/>
      <c r="P398" s="181"/>
    </row>
    <row r="399" spans="1:16" ht="21.75" customHeight="1" x14ac:dyDescent="0.3">
      <c r="A399" s="175"/>
      <c r="B399" s="176"/>
      <c r="C399" s="176"/>
      <c r="D399" s="193"/>
      <c r="E399" s="194" t="s">
        <v>54</v>
      </c>
      <c r="F399" s="195"/>
      <c r="G399" s="196"/>
      <c r="H399" s="186"/>
      <c r="I399" s="187"/>
      <c r="J399" s="197">
        <f ca="1">IFERROR(__xludf.DUMMYFUNCTION("IMPORTRANGE(""https://docs.google.com/spreadsheets/d/11923uPwbBZFjjGgGUA6NLw09EwE0CqkOc4q9oUmW1yo/edit?usp=sharing"",""ตาก!J294"")"),0)</f>
        <v>0</v>
      </c>
      <c r="K399" s="163"/>
      <c r="L399" s="181"/>
      <c r="M399" s="181"/>
      <c r="N399" s="181"/>
      <c r="O399" s="181"/>
      <c r="P399" s="181"/>
    </row>
    <row r="400" spans="1:16" ht="21.75" customHeight="1" x14ac:dyDescent="0.3">
      <c r="A400" s="175"/>
      <c r="B400" s="176"/>
      <c r="C400" s="176"/>
      <c r="D400" s="205">
        <v>3</v>
      </c>
      <c r="E400" s="206" t="s">
        <v>55</v>
      </c>
      <c r="F400" s="207"/>
      <c r="G400" s="208"/>
      <c r="H400" s="186"/>
      <c r="I400" s="187"/>
      <c r="J400" s="209">
        <f ca="1">IFERROR(__xludf.DUMMYFUNCTION("IMPORTRANGE(""https://docs.google.com/spreadsheets/d/11923uPwbBZFjjGgGUA6NLw09EwE0CqkOc4q9oUmW1yo/edit?usp=sharing"",""ตาก!J295"")"),0)</f>
        <v>0</v>
      </c>
      <c r="K400" s="163"/>
      <c r="L400" s="181"/>
      <c r="M400" s="181"/>
      <c r="N400" s="181"/>
      <c r="O400" s="181"/>
      <c r="P400" s="181"/>
    </row>
    <row r="401" spans="1:16" ht="21.75" customHeight="1" x14ac:dyDescent="0.3">
      <c r="A401" s="364"/>
      <c r="B401" s="365">
        <v>3</v>
      </c>
      <c r="C401" s="365" t="s">
        <v>147</v>
      </c>
      <c r="D401" s="366"/>
      <c r="E401" s="366"/>
      <c r="F401" s="366"/>
      <c r="G401" s="367"/>
      <c r="H401" s="368" t="s">
        <v>122</v>
      </c>
      <c r="I401" s="369">
        <f ca="1">IFERROR(__xludf.DUMMYFUNCTION("IMPORTRANGE(""https://docs.google.com/spreadsheets/d/11923uPwbBZFjjGgGUA6NLw09EwE0CqkOc4q9oUmW1yo/edit?usp=sharing"",""ตาก!I296"")"),225)</f>
        <v>225</v>
      </c>
      <c r="J401" s="369">
        <f ca="1">IFERROR(__xludf.DUMMYFUNCTION("IMPORTRANGE(""https://docs.google.com/spreadsheets/d/11923uPwbBZFjjGgGUA6NLw09EwE0CqkOc4q9oUmW1yo/edit?usp=sharing"",""ตาก!J296"")"),195)</f>
        <v>195</v>
      </c>
      <c r="K401" s="370">
        <f t="shared" ref="K401:K402" ca="1" si="111">IF(I401&gt;0,J401*100/I401,0)</f>
        <v>86.666666666666671</v>
      </c>
      <c r="L401" s="371">
        <f ca="1">IFERROR(__xludf.DUMMYFUNCTION("IMPORTRANGE(""https://docs.google.com/spreadsheets/d/11923uPwbBZFjjGgGUA6NLw09EwE0CqkOc4q9oUmW1yo/edit?usp=sharing"",""ตาก!L296"")"),230370)</f>
        <v>230370</v>
      </c>
      <c r="M401" s="371"/>
      <c r="N401" s="371">
        <f ca="1">IFERROR(__xludf.DUMMYFUNCTION("IMPORTRANGE(""https://docs.google.com/spreadsheets/d/11923uPwbBZFjjGgGUA6NLw09EwE0CqkOc4q9oUmW1yo/edit?usp=sharing"",""ตาก!M296"")"),117524)</f>
        <v>117524</v>
      </c>
      <c r="O401" s="371">
        <f ca="1">+IF(L401&gt;0,N401*100/L401,0)</f>
        <v>51.015323175760734</v>
      </c>
      <c r="P401" s="371"/>
    </row>
    <row r="402" spans="1:16" ht="21.75" customHeight="1" x14ac:dyDescent="0.3">
      <c r="A402" s="364"/>
      <c r="B402" s="365"/>
      <c r="C402" s="365"/>
      <c r="D402" s="382"/>
      <c r="E402" s="382"/>
      <c r="F402" s="382"/>
      <c r="G402" s="385"/>
      <c r="H402" s="368" t="s">
        <v>37</v>
      </c>
      <c r="I402" s="369">
        <f ca="1">IFERROR(__xludf.DUMMYFUNCTION("IMPORTRANGE(""https://docs.google.com/spreadsheets/d/11923uPwbBZFjjGgGUA6NLw09EwE0CqkOc4q9oUmW1yo/edit?usp=sharing"",""ตาก!I297"")"),75)</f>
        <v>75</v>
      </c>
      <c r="J402" s="369">
        <f ca="1">IFERROR(__xludf.DUMMYFUNCTION("IMPORTRANGE(""https://docs.google.com/spreadsheets/d/11923uPwbBZFjjGgGUA6NLw09EwE0CqkOc4q9oUmW1yo/edit?usp=sharing"",""ตาก!J297"")"),65)</f>
        <v>65</v>
      </c>
      <c r="K402" s="370">
        <f t="shared" ca="1" si="111"/>
        <v>86.666666666666671</v>
      </c>
      <c r="L402" s="371"/>
      <c r="M402" s="371"/>
      <c r="N402" s="371"/>
      <c r="O402" s="371"/>
      <c r="P402" s="371"/>
    </row>
    <row r="403" spans="1:16" ht="21.75" customHeight="1" x14ac:dyDescent="0.3">
      <c r="A403" s="156"/>
      <c r="B403" s="157"/>
      <c r="C403" s="157" t="s">
        <v>16</v>
      </c>
      <c r="D403" s="158" t="s">
        <v>38</v>
      </c>
      <c r="E403" s="159"/>
      <c r="F403" s="159"/>
      <c r="G403" s="160" t="s">
        <v>39</v>
      </c>
      <c r="H403" s="161" t="s">
        <v>12</v>
      </c>
      <c r="I403" s="162" t="s">
        <v>40</v>
      </c>
      <c r="J403" s="162"/>
      <c r="K403" s="163"/>
      <c r="L403" s="164">
        <f ca="1">IFERROR(__xludf.DUMMYFUNCTION("IMPORTRANGE(""https://docs.google.com/spreadsheets/d/11923uPwbBZFjjGgGUA6NLw09EwE0CqkOc4q9oUmW1yo/edit?usp=sharing"",""ตาก!L298"")"),0)</f>
        <v>0</v>
      </c>
      <c r="M403" s="164"/>
      <c r="N403" s="168">
        <f ca="1">IFERROR(__xludf.DUMMYFUNCTION("IMPORTRANGE(""https://docs.google.com/spreadsheets/d/11923uPwbBZFjjGgGUA6NLw09EwE0CqkOc4q9oUmW1yo/edit?usp=sharing"",""ตาก!M298"")"),0)</f>
        <v>0</v>
      </c>
      <c r="O403" s="168">
        <f t="shared" ref="O403:O406" ca="1" si="112">+IF(L403&gt;0,N403*100/L403,0)</f>
        <v>0</v>
      </c>
      <c r="P403" s="168"/>
    </row>
    <row r="404" spans="1:16" ht="21.75" customHeight="1" x14ac:dyDescent="0.3">
      <c r="A404" s="156"/>
      <c r="B404" s="157"/>
      <c r="C404" s="157"/>
      <c r="D404" s="166"/>
      <c r="E404" s="159"/>
      <c r="F404" s="159" t="s">
        <v>40</v>
      </c>
      <c r="G404" s="160" t="s">
        <v>41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IFERROR(__xludf.DUMMYFUNCTION("IMPORTRANGE(""https://docs.google.com/spreadsheets/d/11923uPwbBZFjjGgGUA6NLw09EwE0CqkOc4q9oUmW1yo/edit?usp=sharing"",""ตาก!L299"")"),230370)</f>
        <v>230370</v>
      </c>
      <c r="M404" s="165"/>
      <c r="N404" s="168">
        <f ca="1">IFERROR(__xludf.DUMMYFUNCTION("IMPORTRANGE(""https://docs.google.com/spreadsheets/d/11923uPwbBZFjjGgGUA6NLw09EwE0CqkOc4q9oUmW1yo/edit?usp=sharing"",""ตาก!M299"")"),117524)</f>
        <v>117524</v>
      </c>
      <c r="O404" s="168">
        <f t="shared" ca="1" si="112"/>
        <v>51.015323175760734</v>
      </c>
      <c r="P404" s="168"/>
    </row>
    <row r="405" spans="1:16" ht="21.75" customHeight="1" x14ac:dyDescent="0.3">
      <c r="A405" s="156"/>
      <c r="B405" s="157"/>
      <c r="C405" s="157"/>
      <c r="D405" s="166"/>
      <c r="E405" s="159"/>
      <c r="F405" s="159"/>
      <c r="G405" s="372" t="s">
        <v>129</v>
      </c>
      <c r="H405" s="161" t="s">
        <v>12</v>
      </c>
      <c r="I405" s="162"/>
      <c r="J405" s="162"/>
      <c r="K405" s="163"/>
      <c r="L405" s="168">
        <f ca="1">IFERROR(__xludf.DUMMYFUNCTION("IMPORTRANGE(""https://docs.google.com/spreadsheets/d/11923uPwbBZFjjGgGUA6NLw09EwE0CqkOc4q9oUmW1yo/edit?usp=sharing"",""ตาก!L300"")"),0)</f>
        <v>0</v>
      </c>
      <c r="M405" s="168"/>
      <c r="N405" s="168">
        <f ca="1">IFERROR(__xludf.DUMMYFUNCTION("IMPORTRANGE(""https://docs.google.com/spreadsheets/d/11923uPwbBZFjjGgGUA6NLw09EwE0CqkOc4q9oUmW1yo/edit?usp=sharing"",""ตาก!M300"")"),0)</f>
        <v>0</v>
      </c>
      <c r="O405" s="168">
        <f t="shared" ca="1" si="112"/>
        <v>0</v>
      </c>
      <c r="P405" s="168"/>
    </row>
    <row r="406" spans="1:16" ht="21.75" customHeight="1" x14ac:dyDescent="0.3">
      <c r="A406" s="156"/>
      <c r="B406" s="157"/>
      <c r="C406" s="157"/>
      <c r="D406" s="166"/>
      <c r="E406" s="159"/>
      <c r="F406" s="159"/>
      <c r="G406" s="372" t="s">
        <v>130</v>
      </c>
      <c r="H406" s="161" t="s">
        <v>12</v>
      </c>
      <c r="I406" s="162"/>
      <c r="J406" s="162"/>
      <c r="K406" s="163"/>
      <c r="L406" s="168">
        <f ca="1">IFERROR(__xludf.DUMMYFUNCTION("IMPORTRANGE(""https://docs.google.com/spreadsheets/d/11923uPwbBZFjjGgGUA6NLw09EwE0CqkOc4q9oUmW1yo/edit?usp=sharing"",""ตาก!L301"")"),230370)</f>
        <v>230370</v>
      </c>
      <c r="M406" s="168"/>
      <c r="N406" s="168">
        <f ca="1">IFERROR(__xludf.DUMMYFUNCTION("IMPORTRANGE(""https://docs.google.com/spreadsheets/d/11923uPwbBZFjjGgGUA6NLw09EwE0CqkOc4q9oUmW1yo/edit?usp=sharing"",""ตาก!M301"")"),117524)</f>
        <v>117524</v>
      </c>
      <c r="O406" s="168">
        <f t="shared" ca="1" si="112"/>
        <v>51.015323175760734</v>
      </c>
      <c r="P406" s="168"/>
    </row>
    <row r="407" spans="1:16" ht="21.75" customHeight="1" x14ac:dyDescent="0.3">
      <c r="A407" s="373"/>
      <c r="B407" s="374"/>
      <c r="C407" s="157"/>
      <c r="D407" s="375"/>
      <c r="E407" s="159"/>
      <c r="F407" s="159"/>
      <c r="G407" s="376" t="s">
        <v>131</v>
      </c>
      <c r="H407" s="161" t="s">
        <v>12</v>
      </c>
      <c r="I407" s="187"/>
      <c r="J407" s="187"/>
      <c r="K407" s="223"/>
      <c r="L407" s="168"/>
      <c r="M407" s="168"/>
      <c r="N407" s="377">
        <f ca="1">IFERROR(__xludf.DUMMYFUNCTION("IMPORTRANGE(""https://docs.google.com/spreadsheets/d/11923uPwbBZFjjGgGUA6NLw09EwE0CqkOc4q9oUmW1yo/edit?usp=sharing"",""ตาก!M302"")"),93480)</f>
        <v>93480</v>
      </c>
      <c r="O407" s="168"/>
      <c r="P407" s="168"/>
    </row>
    <row r="408" spans="1:16" ht="21.75" customHeight="1" x14ac:dyDescent="0.3">
      <c r="A408" s="373"/>
      <c r="B408" s="374"/>
      <c r="C408" s="157"/>
      <c r="D408" s="375"/>
      <c r="E408" s="159"/>
      <c r="F408" s="159"/>
      <c r="G408" s="376" t="s">
        <v>132</v>
      </c>
      <c r="H408" s="161" t="s">
        <v>12</v>
      </c>
      <c r="I408" s="187"/>
      <c r="J408" s="187"/>
      <c r="K408" s="223"/>
      <c r="L408" s="168"/>
      <c r="M408" s="168"/>
      <c r="N408" s="377">
        <f ca="1">IFERROR(__xludf.DUMMYFUNCTION("IMPORTRANGE(""https://docs.google.com/spreadsheets/d/11923uPwbBZFjjGgGUA6NLw09EwE0CqkOc4q9oUmW1yo/edit?usp=sharing"",""ตาก!M303"")"),0)</f>
        <v>0</v>
      </c>
      <c r="O408" s="168"/>
      <c r="P408" s="168"/>
    </row>
    <row r="409" spans="1:16" ht="21.75" customHeight="1" x14ac:dyDescent="0.3">
      <c r="A409" s="373"/>
      <c r="B409" s="374"/>
      <c r="C409" s="157"/>
      <c r="D409" s="375"/>
      <c r="E409" s="159"/>
      <c r="F409" s="159"/>
      <c r="G409" s="376" t="s">
        <v>133</v>
      </c>
      <c r="H409" s="161" t="s">
        <v>12</v>
      </c>
      <c r="I409" s="187"/>
      <c r="J409" s="187"/>
      <c r="K409" s="223"/>
      <c r="L409" s="168"/>
      <c r="M409" s="168"/>
      <c r="N409" s="377">
        <f ca="1">IFERROR(__xludf.DUMMYFUNCTION("IMPORTRANGE(""https://docs.google.com/spreadsheets/d/11923uPwbBZFjjGgGUA6NLw09EwE0CqkOc4q9oUmW1yo/edit?usp=sharing"",""ตาก!M304"")"),0)</f>
        <v>0</v>
      </c>
      <c r="O409" s="168"/>
      <c r="P409" s="168"/>
    </row>
    <row r="410" spans="1:16" ht="21.75" customHeight="1" x14ac:dyDescent="0.3">
      <c r="A410" s="373"/>
      <c r="B410" s="374"/>
      <c r="C410" s="157"/>
      <c r="D410" s="375"/>
      <c r="E410" s="159"/>
      <c r="F410" s="159"/>
      <c r="G410" s="376" t="s">
        <v>134</v>
      </c>
      <c r="H410" s="161" t="s">
        <v>12</v>
      </c>
      <c r="I410" s="187"/>
      <c r="J410" s="187"/>
      <c r="K410" s="223"/>
      <c r="L410" s="168"/>
      <c r="M410" s="168"/>
      <c r="N410" s="377">
        <f ca="1">IFERROR(__xludf.DUMMYFUNCTION("IMPORTRANGE(""https://docs.google.com/spreadsheets/d/11923uPwbBZFjjGgGUA6NLw09EwE0CqkOc4q9oUmW1yo/edit?usp=sharing"",""ตาก!M305"")"),24044)</f>
        <v>24044</v>
      </c>
      <c r="O410" s="168"/>
      <c r="P410" s="168"/>
    </row>
    <row r="411" spans="1:16" ht="21.75" customHeight="1" x14ac:dyDescent="0.3">
      <c r="A411" s="175"/>
      <c r="B411" s="176"/>
      <c r="C411" s="157" t="s">
        <v>16</v>
      </c>
      <c r="D411" s="177" t="s">
        <v>44</v>
      </c>
      <c r="E411" s="178"/>
      <c r="F411" s="178"/>
      <c r="G411" s="179"/>
      <c r="H411" s="180"/>
      <c r="I411" s="162"/>
      <c r="J411" s="162"/>
      <c r="K411" s="163"/>
      <c r="L411" s="181"/>
      <c r="M411" s="181"/>
      <c r="N411" s="181"/>
      <c r="O411" s="181"/>
      <c r="P411" s="181"/>
    </row>
    <row r="412" spans="1:16" ht="21.75" customHeight="1" x14ac:dyDescent="0.3">
      <c r="A412" s="175"/>
      <c r="B412" s="176"/>
      <c r="C412" s="176"/>
      <c r="D412" s="182">
        <v>1</v>
      </c>
      <c r="E412" s="183" t="s">
        <v>45</v>
      </c>
      <c r="F412" s="184"/>
      <c r="G412" s="185"/>
      <c r="H412" s="186"/>
      <c r="I412" s="187"/>
      <c r="J412" s="197">
        <f ca="1">IFERROR(__xludf.DUMMYFUNCTION("IMPORTRANGE(""https://docs.google.com/spreadsheets/d/11923uPwbBZFjjGgGUA6NLw09EwE0CqkOc4q9oUmW1yo/edit?usp=sharing"",""ตาก!J307"")"),0)</f>
        <v>0</v>
      </c>
      <c r="K412" s="163"/>
      <c r="L412" s="181"/>
      <c r="M412" s="181"/>
      <c r="N412" s="181"/>
      <c r="O412" s="181"/>
      <c r="P412" s="181"/>
    </row>
    <row r="413" spans="1:16" ht="21.75" customHeight="1" x14ac:dyDescent="0.3">
      <c r="A413" s="175"/>
      <c r="B413" s="176"/>
      <c r="C413" s="176"/>
      <c r="D413" s="189">
        <v>2</v>
      </c>
      <c r="E413" s="190" t="s">
        <v>46</v>
      </c>
      <c r="F413" s="191"/>
      <c r="G413" s="192"/>
      <c r="H413" s="186"/>
      <c r="I413" s="187"/>
      <c r="J413" s="188">
        <f ca="1">IFERROR(__xludf.DUMMYFUNCTION("IMPORTRANGE(""https://docs.google.com/spreadsheets/d/11923uPwbBZFjjGgGUA6NLw09EwE0CqkOc4q9oUmW1yo/edit?usp=sharing"",""ตาก!J308"")"),1)</f>
        <v>1</v>
      </c>
      <c r="K413" s="163"/>
      <c r="L413" s="181" t="s">
        <v>40</v>
      </c>
      <c r="M413" s="181"/>
      <c r="N413" s="181" t="s">
        <v>40</v>
      </c>
      <c r="O413" s="181"/>
      <c r="P413" s="181"/>
    </row>
    <row r="414" spans="1:16" ht="21.75" customHeight="1" x14ac:dyDescent="0.3">
      <c r="A414" s="175"/>
      <c r="B414" s="176"/>
      <c r="C414" s="176"/>
      <c r="D414" s="193"/>
      <c r="E414" s="194" t="s">
        <v>47</v>
      </c>
      <c r="F414" s="195"/>
      <c r="G414" s="196"/>
      <c r="H414" s="186"/>
      <c r="I414" s="187"/>
      <c r="J414" s="188">
        <f ca="1">IFERROR(__xludf.DUMMYFUNCTION("IMPORTRANGE(""https://docs.google.com/spreadsheets/d/11923uPwbBZFjjGgGUA6NLw09EwE0CqkOc4q9oUmW1yo/edit?usp=sharing"",""ตาก!J309"")"),1)</f>
        <v>1</v>
      </c>
      <c r="K414" s="163"/>
      <c r="L414" s="181"/>
      <c r="M414" s="181"/>
      <c r="N414" s="181"/>
      <c r="O414" s="181"/>
      <c r="P414" s="181"/>
    </row>
    <row r="415" spans="1:16" ht="21.75" customHeight="1" x14ac:dyDescent="0.3">
      <c r="A415" s="175"/>
      <c r="B415" s="176"/>
      <c r="C415" s="176"/>
      <c r="D415" s="193"/>
      <c r="E415" s="194" t="s">
        <v>48</v>
      </c>
      <c r="F415" s="195"/>
      <c r="G415" s="196"/>
      <c r="H415" s="186"/>
      <c r="I415" s="187"/>
      <c r="J415" s="197">
        <f ca="1">IFERROR(__xludf.DUMMYFUNCTION("IMPORTRANGE(""https://docs.google.com/spreadsheets/d/11923uPwbBZFjjGgGUA6NLw09EwE0CqkOc4q9oUmW1yo/edit?usp=sharing"",""ตาก!J310"")"),1)</f>
        <v>1</v>
      </c>
      <c r="K415" s="163"/>
      <c r="L415" s="181"/>
      <c r="M415" s="181"/>
      <c r="N415" s="181"/>
      <c r="O415" s="181"/>
      <c r="P415" s="181"/>
    </row>
    <row r="416" spans="1:16" ht="21.75" customHeight="1" x14ac:dyDescent="0.3">
      <c r="A416" s="175"/>
      <c r="B416" s="176"/>
      <c r="C416" s="176"/>
      <c r="D416" s="193"/>
      <c r="E416" s="198"/>
      <c r="F416" s="194" t="s">
        <v>70</v>
      </c>
      <c r="G416" s="386"/>
      <c r="H416" s="387" t="s">
        <v>37</v>
      </c>
      <c r="I416" s="200">
        <f ca="1">IFERROR(__xludf.DUMMYFUNCTION("IMPORTRANGE(""https://docs.google.com/spreadsheets/d/11923uPwbBZFjjGgGUA6NLw09EwE0CqkOc4q9oUmW1yo/edit?usp=sharing"",""ตาก!I311"")"),75)</f>
        <v>75</v>
      </c>
      <c r="J416" s="200">
        <f ca="1">IFERROR(__xludf.DUMMYFUNCTION("IMPORTRANGE(""https://docs.google.com/spreadsheets/d/11923uPwbBZFjjGgGUA6NLw09EwE0CqkOc4q9oUmW1yo/edit?usp=sharing"",""ตาก!J311"")"),65)</f>
        <v>65</v>
      </c>
      <c r="K416" s="201">
        <f t="shared" ref="K416:K432" ca="1" si="113">IF(I416&gt;0,J416*100/I416,0)</f>
        <v>86.666666666666671</v>
      </c>
      <c r="L416" s="181"/>
      <c r="M416" s="181"/>
      <c r="N416" s="181"/>
      <c r="O416" s="181"/>
      <c r="P416" s="181"/>
    </row>
    <row r="417" spans="1:16" ht="21.75" customHeight="1" x14ac:dyDescent="0.45">
      <c r="A417" s="175"/>
      <c r="B417" s="176"/>
      <c r="C417" s="176"/>
      <c r="D417" s="193"/>
      <c r="E417" s="198"/>
      <c r="F417" s="388" t="s">
        <v>148</v>
      </c>
      <c r="G417" s="196"/>
      <c r="H417" s="199" t="s">
        <v>37</v>
      </c>
      <c r="I417" s="389">
        <f ca="1">IFERROR(__xludf.DUMMYFUNCTION("IMPORTRANGE(""https://docs.google.com/spreadsheets/d/11923uPwbBZFjjGgGUA6NLw09EwE0CqkOc4q9oUmW1yo/edit?usp=sharing"",""ตาก!I312"")"),0)</f>
        <v>0</v>
      </c>
      <c r="J417" s="390">
        <f ca="1">IFERROR(__xludf.DUMMYFUNCTION("IMPORTRANGE(""https://docs.google.com/spreadsheets/d/11923uPwbBZFjjGgGUA6NLw09EwE0CqkOc4q9oUmW1yo/edit?usp=sharing"",""ตาก!J312"")"),0)</f>
        <v>0</v>
      </c>
      <c r="K417" s="201">
        <f t="shared" ca="1" si="113"/>
        <v>0</v>
      </c>
      <c r="L417" s="181"/>
      <c r="M417" s="181"/>
      <c r="N417" s="181"/>
      <c r="O417" s="181"/>
      <c r="P417" s="181"/>
    </row>
    <row r="418" spans="1:16" ht="21.75" customHeight="1" x14ac:dyDescent="0.45">
      <c r="A418" s="175"/>
      <c r="B418" s="176"/>
      <c r="C418" s="176"/>
      <c r="D418" s="193"/>
      <c r="E418" s="198"/>
      <c r="F418" s="195"/>
      <c r="G418" s="196"/>
      <c r="H418" s="199" t="s">
        <v>122</v>
      </c>
      <c r="I418" s="389">
        <f ca="1">IFERROR(__xludf.DUMMYFUNCTION("IMPORTRANGE(""https://docs.google.com/spreadsheets/d/11923uPwbBZFjjGgGUA6NLw09EwE0CqkOc4q9oUmW1yo/edit?usp=sharing"",""ตาก!I313"")"),0)</f>
        <v>0</v>
      </c>
      <c r="J418" s="391">
        <f ca="1">IFERROR(__xludf.DUMMYFUNCTION("IMPORTRANGE(""https://docs.google.com/spreadsheets/d/11923uPwbBZFjjGgGUA6NLw09EwE0CqkOc4q9oUmW1yo/edit?usp=sharing"",""ตาก!J313"")"),0)</f>
        <v>0</v>
      </c>
      <c r="K418" s="201">
        <f t="shared" ca="1" si="113"/>
        <v>0</v>
      </c>
      <c r="L418" s="181"/>
      <c r="M418" s="181"/>
      <c r="N418" s="181"/>
      <c r="O418" s="181"/>
      <c r="P418" s="181"/>
    </row>
    <row r="419" spans="1:16" ht="21.75" customHeight="1" x14ac:dyDescent="0.45">
      <c r="A419" s="175"/>
      <c r="B419" s="176"/>
      <c r="C419" s="176"/>
      <c r="D419" s="193"/>
      <c r="E419" s="198"/>
      <c r="F419" s="195"/>
      <c r="G419" s="225" t="s">
        <v>149</v>
      </c>
      <c r="H419" s="180" t="s">
        <v>37</v>
      </c>
      <c r="I419" s="339">
        <f ca="1">IFERROR(__xludf.DUMMYFUNCTION("IMPORTRANGE(""https://docs.google.com/spreadsheets/d/11923uPwbBZFjjGgGUA6NLw09EwE0CqkOc4q9oUmW1yo/edit?usp=sharing"",""ตาก!I314"")"),0)</f>
        <v>0</v>
      </c>
      <c r="J419" s="392">
        <f ca="1">IFERROR(__xludf.DUMMYFUNCTION("IMPORTRANGE(""https://docs.google.com/spreadsheets/d/11923uPwbBZFjjGgGUA6NLw09EwE0CqkOc4q9oUmW1yo/edit?usp=sharing"",""ตาก!J314"")"),0)</f>
        <v>0</v>
      </c>
      <c r="K419" s="163">
        <f t="shared" ca="1" si="113"/>
        <v>0</v>
      </c>
      <c r="L419" s="181"/>
      <c r="M419" s="181"/>
      <c r="N419" s="181"/>
      <c r="O419" s="181"/>
      <c r="P419" s="181"/>
    </row>
    <row r="420" spans="1:16" ht="21.75" customHeight="1" x14ac:dyDescent="0.45">
      <c r="A420" s="233"/>
      <c r="B420" s="234"/>
      <c r="C420" s="234"/>
      <c r="D420" s="393"/>
      <c r="E420" s="394"/>
      <c r="F420" s="345"/>
      <c r="G420" s="395" t="s">
        <v>150</v>
      </c>
      <c r="H420" s="347" t="s">
        <v>37</v>
      </c>
      <c r="I420" s="396">
        <f ca="1">IFERROR(__xludf.DUMMYFUNCTION("IMPORTRANGE(""https://docs.google.com/spreadsheets/d/11923uPwbBZFjjGgGUA6NLw09EwE0CqkOc4q9oUmW1yo/edit?usp=sharing"",""ตาก!I315"")"),0)</f>
        <v>0</v>
      </c>
      <c r="J420" s="392">
        <f ca="1">IFERROR(__xludf.DUMMYFUNCTION("IMPORTRANGE(""https://docs.google.com/spreadsheets/d/11923uPwbBZFjjGgGUA6NLw09EwE0CqkOc4q9oUmW1yo/edit?usp=sharing"",""ตาก!J315"")"),0)</f>
        <v>0</v>
      </c>
      <c r="K420" s="286">
        <f t="shared" ca="1" si="113"/>
        <v>0</v>
      </c>
      <c r="L420" s="244"/>
      <c r="M420" s="244"/>
      <c r="N420" s="244"/>
      <c r="O420" s="244"/>
      <c r="P420" s="244"/>
    </row>
    <row r="421" spans="1:16" ht="21.75" customHeight="1" x14ac:dyDescent="0.45">
      <c r="A421" s="175"/>
      <c r="B421" s="176"/>
      <c r="C421" s="176"/>
      <c r="D421" s="193"/>
      <c r="E421" s="198"/>
      <c r="F421" s="388" t="s">
        <v>151</v>
      </c>
      <c r="G421" s="196"/>
      <c r="H421" s="199" t="s">
        <v>37</v>
      </c>
      <c r="I421" s="389">
        <f ca="1">IFERROR(__xludf.DUMMYFUNCTION("IMPORTRANGE(""https://docs.google.com/spreadsheets/d/11923uPwbBZFjjGgGUA6NLw09EwE0CqkOc4q9oUmW1yo/edit?usp=sharing"",""ตาก!I316"")"),65)</f>
        <v>65</v>
      </c>
      <c r="J421" s="390">
        <f ca="1">IFERROR(__xludf.DUMMYFUNCTION("IMPORTRANGE(""https://docs.google.com/spreadsheets/d/11923uPwbBZFjjGgGUA6NLw09EwE0CqkOc4q9oUmW1yo/edit?usp=sharing"",""ตาก!J316"")"),65)</f>
        <v>65</v>
      </c>
      <c r="K421" s="201">
        <f t="shared" ca="1" si="113"/>
        <v>100</v>
      </c>
      <c r="L421" s="181"/>
      <c r="M421" s="181"/>
      <c r="N421" s="181"/>
      <c r="O421" s="181"/>
      <c r="P421" s="181"/>
    </row>
    <row r="422" spans="1:16" ht="21.75" customHeight="1" x14ac:dyDescent="0.45">
      <c r="A422" s="175"/>
      <c r="B422" s="176"/>
      <c r="C422" s="176"/>
      <c r="D422" s="193"/>
      <c r="E422" s="198"/>
      <c r="F422" s="195"/>
      <c r="G422" s="196"/>
      <c r="H422" s="199" t="s">
        <v>122</v>
      </c>
      <c r="I422" s="389">
        <f ca="1">IFERROR(__xludf.DUMMYFUNCTION("IMPORTRANGE(""https://docs.google.com/spreadsheets/d/11923uPwbBZFjjGgGUA6NLw09EwE0CqkOc4q9oUmW1yo/edit?usp=sharing"",""ตาก!I317"")"),195)</f>
        <v>195</v>
      </c>
      <c r="J422" s="391">
        <f ca="1">IFERROR(__xludf.DUMMYFUNCTION("IMPORTRANGE(""https://docs.google.com/spreadsheets/d/11923uPwbBZFjjGgGUA6NLw09EwE0CqkOc4q9oUmW1yo/edit?usp=sharing"",""ตาก!J317"")"),195)</f>
        <v>195</v>
      </c>
      <c r="K422" s="201">
        <f t="shared" ca="1" si="113"/>
        <v>100</v>
      </c>
      <c r="L422" s="181"/>
      <c r="M422" s="181"/>
      <c r="N422" s="181"/>
      <c r="O422" s="181"/>
      <c r="P422" s="181"/>
    </row>
    <row r="423" spans="1:16" ht="21.75" customHeight="1" x14ac:dyDescent="0.45">
      <c r="A423" s="175"/>
      <c r="B423" s="176"/>
      <c r="C423" s="176"/>
      <c r="D423" s="193"/>
      <c r="E423" s="198"/>
      <c r="F423" s="195"/>
      <c r="G423" s="225" t="s">
        <v>152</v>
      </c>
      <c r="H423" s="180" t="s">
        <v>37</v>
      </c>
      <c r="I423" s="339">
        <f ca="1">IFERROR(__xludf.DUMMYFUNCTION("IMPORTRANGE(""https://docs.google.com/spreadsheets/d/11923uPwbBZFjjGgGUA6NLw09EwE0CqkOc4q9oUmW1yo/edit?usp=sharing"",""ตาก!I318"")"),65)</f>
        <v>65</v>
      </c>
      <c r="J423" s="392">
        <f ca="1">IFERROR(__xludf.DUMMYFUNCTION("IMPORTRANGE(""https://docs.google.com/spreadsheets/d/11923uPwbBZFjjGgGUA6NLw09EwE0CqkOc4q9oUmW1yo/edit?usp=sharing"",""ตาก!J318"")"),65)</f>
        <v>65</v>
      </c>
      <c r="K423" s="163">
        <f t="shared" ca="1" si="113"/>
        <v>100</v>
      </c>
      <c r="L423" s="181"/>
      <c r="M423" s="181"/>
      <c r="N423" s="181"/>
      <c r="O423" s="181"/>
      <c r="P423" s="181"/>
    </row>
    <row r="424" spans="1:16" ht="21.75" customHeight="1" x14ac:dyDescent="0.45">
      <c r="A424" s="175"/>
      <c r="B424" s="176"/>
      <c r="C424" s="176"/>
      <c r="D424" s="193"/>
      <c r="E424" s="198"/>
      <c r="F424" s="195"/>
      <c r="G424" s="225" t="s">
        <v>153</v>
      </c>
      <c r="H424" s="180" t="s">
        <v>37</v>
      </c>
      <c r="I424" s="339">
        <f ca="1">IFERROR(__xludf.DUMMYFUNCTION("IMPORTRANGE(""https://docs.google.com/spreadsheets/d/11923uPwbBZFjjGgGUA6NLw09EwE0CqkOc4q9oUmW1yo/edit?usp=sharing"",""ตาก!I319"")"),65)</f>
        <v>65</v>
      </c>
      <c r="J424" s="392">
        <f ca="1">IFERROR(__xludf.DUMMYFUNCTION("IMPORTRANGE(""https://docs.google.com/spreadsheets/d/11923uPwbBZFjjGgGUA6NLw09EwE0CqkOc4q9oUmW1yo/edit?usp=sharing"",""ตาก!J319"")"),65)</f>
        <v>65</v>
      </c>
      <c r="K424" s="163">
        <f t="shared" ca="1" si="113"/>
        <v>100</v>
      </c>
      <c r="L424" s="181"/>
      <c r="M424" s="181"/>
      <c r="N424" s="181"/>
      <c r="O424" s="181"/>
      <c r="P424" s="181"/>
    </row>
    <row r="425" spans="1:16" ht="21.75" customHeight="1" x14ac:dyDescent="0.45">
      <c r="A425" s="175"/>
      <c r="B425" s="176"/>
      <c r="C425" s="176"/>
      <c r="D425" s="193"/>
      <c r="E425" s="198"/>
      <c r="F425" s="195"/>
      <c r="G425" s="225" t="s">
        <v>154</v>
      </c>
      <c r="H425" s="180" t="s">
        <v>37</v>
      </c>
      <c r="I425" s="339">
        <f ca="1">IFERROR(__xludf.DUMMYFUNCTION("IMPORTRANGE(""https://docs.google.com/spreadsheets/d/11923uPwbBZFjjGgGUA6NLw09EwE0CqkOc4q9oUmW1yo/edit?usp=sharing"",""ตาก!I320"")"),65)</f>
        <v>65</v>
      </c>
      <c r="J425" s="392">
        <f ca="1">IFERROR(__xludf.DUMMYFUNCTION("IMPORTRANGE(""https://docs.google.com/spreadsheets/d/11923uPwbBZFjjGgGUA6NLw09EwE0CqkOc4q9oUmW1yo/edit?usp=sharing"",""ตาก!J320"")"),65)</f>
        <v>65</v>
      </c>
      <c r="K425" s="163">
        <f t="shared" ca="1" si="113"/>
        <v>100</v>
      </c>
      <c r="L425" s="181"/>
      <c r="M425" s="181"/>
      <c r="N425" s="181"/>
      <c r="O425" s="181"/>
      <c r="P425" s="181"/>
    </row>
    <row r="426" spans="1:16" ht="21.75" customHeight="1" x14ac:dyDescent="0.45">
      <c r="A426" s="175"/>
      <c r="B426" s="176"/>
      <c r="C426" s="176"/>
      <c r="D426" s="193"/>
      <c r="E426" s="198"/>
      <c r="F426" s="397" t="s">
        <v>155</v>
      </c>
      <c r="G426" s="196"/>
      <c r="H426" s="199" t="s">
        <v>37</v>
      </c>
      <c r="I426" s="389">
        <f ca="1">IFERROR(__xludf.DUMMYFUNCTION("IMPORTRANGE(""https://docs.google.com/spreadsheets/d/11923uPwbBZFjjGgGUA6NLw09EwE0CqkOc4q9oUmW1yo/edit?usp=sharing"",""ตาก!I321"")"),10)</f>
        <v>10</v>
      </c>
      <c r="J426" s="390">
        <f ca="1">IFERROR(__xludf.DUMMYFUNCTION("IMPORTRANGE(""https://docs.google.com/spreadsheets/d/11923uPwbBZFjjGgGUA6NLw09EwE0CqkOc4q9oUmW1yo/edit?usp=sharing"",""ตาก!J321"")"),0)</f>
        <v>0</v>
      </c>
      <c r="K426" s="201">
        <f t="shared" ca="1" si="113"/>
        <v>0</v>
      </c>
      <c r="L426" s="181"/>
      <c r="M426" s="181"/>
      <c r="N426" s="181"/>
      <c r="O426" s="181"/>
      <c r="P426" s="181"/>
    </row>
    <row r="427" spans="1:16" ht="21.75" customHeight="1" x14ac:dyDescent="0.45">
      <c r="A427" s="175"/>
      <c r="B427" s="176"/>
      <c r="C427" s="176"/>
      <c r="D427" s="193"/>
      <c r="E427" s="198"/>
      <c r="F427" s="195"/>
      <c r="G427" s="196"/>
      <c r="H427" s="199" t="s">
        <v>122</v>
      </c>
      <c r="I427" s="389">
        <f ca="1">IFERROR(__xludf.DUMMYFUNCTION("IMPORTRANGE(""https://docs.google.com/spreadsheets/d/11923uPwbBZFjjGgGUA6NLw09EwE0CqkOc4q9oUmW1yo/edit?usp=sharing"",""ตาก!I322"")"),30)</f>
        <v>30</v>
      </c>
      <c r="J427" s="391">
        <f ca="1">IFERROR(__xludf.DUMMYFUNCTION("IMPORTRANGE(""https://docs.google.com/spreadsheets/d/11923uPwbBZFjjGgGUA6NLw09EwE0CqkOc4q9oUmW1yo/edit?usp=sharing"",""ตาก!J322"")"),0)</f>
        <v>0</v>
      </c>
      <c r="K427" s="201">
        <f t="shared" ca="1" si="113"/>
        <v>0</v>
      </c>
      <c r="L427" s="181"/>
      <c r="M427" s="181"/>
      <c r="N427" s="181"/>
      <c r="O427" s="181"/>
      <c r="P427" s="181"/>
    </row>
    <row r="428" spans="1:16" ht="21.75" customHeight="1" x14ac:dyDescent="0.45">
      <c r="A428" s="175"/>
      <c r="B428" s="176"/>
      <c r="C428" s="176"/>
      <c r="D428" s="193"/>
      <c r="E428" s="198"/>
      <c r="F428" s="195"/>
      <c r="G428" s="225" t="s">
        <v>156</v>
      </c>
      <c r="H428" s="180" t="s">
        <v>37</v>
      </c>
      <c r="I428" s="398">
        <f ca="1">IFERROR(__xludf.DUMMYFUNCTION("IMPORTRANGE(""https://docs.google.com/spreadsheets/d/11923uPwbBZFjjGgGUA6NLw09EwE0CqkOc4q9oUmW1yo/edit?usp=sharing"",""ตาก!I323"")"),10)</f>
        <v>10</v>
      </c>
      <c r="J428" s="392">
        <f ca="1">IFERROR(__xludf.DUMMYFUNCTION("IMPORTRANGE(""https://docs.google.com/spreadsheets/d/11923uPwbBZFjjGgGUA6NLw09EwE0CqkOc4q9oUmW1yo/edit?usp=sharing"",""ตาก!J323"")"),0)</f>
        <v>0</v>
      </c>
      <c r="K428" s="163">
        <f t="shared" ca="1" si="113"/>
        <v>0</v>
      </c>
      <c r="L428" s="181"/>
      <c r="M428" s="181"/>
      <c r="N428" s="181"/>
      <c r="O428" s="181"/>
      <c r="P428" s="181"/>
    </row>
    <row r="429" spans="1:16" ht="21.75" customHeight="1" x14ac:dyDescent="0.45">
      <c r="A429" s="175"/>
      <c r="B429" s="176"/>
      <c r="C429" s="176"/>
      <c r="D429" s="193"/>
      <c r="E429" s="198"/>
      <c r="F429" s="195"/>
      <c r="G429" s="225" t="s">
        <v>157</v>
      </c>
      <c r="H429" s="180" t="s">
        <v>37</v>
      </c>
      <c r="I429" s="398">
        <f ca="1">IFERROR(__xludf.DUMMYFUNCTION("IMPORTRANGE(""https://docs.google.com/spreadsheets/d/11923uPwbBZFjjGgGUA6NLw09EwE0CqkOc4q9oUmW1yo/edit?usp=sharing"",""ตาก!I324"")"),10)</f>
        <v>10</v>
      </c>
      <c r="J429" s="392">
        <f ca="1">IFERROR(__xludf.DUMMYFUNCTION("IMPORTRANGE(""https://docs.google.com/spreadsheets/d/11923uPwbBZFjjGgGUA6NLw09EwE0CqkOc4q9oUmW1yo/edit?usp=sharing"",""ตาก!J324"")"),0)</f>
        <v>0</v>
      </c>
      <c r="K429" s="163">
        <f t="shared" ca="1" si="113"/>
        <v>0</v>
      </c>
      <c r="L429" s="181"/>
      <c r="M429" s="181"/>
      <c r="N429" s="181"/>
      <c r="O429" s="181"/>
      <c r="P429" s="181"/>
    </row>
    <row r="430" spans="1:16" ht="21.75" customHeight="1" x14ac:dyDescent="0.45">
      <c r="A430" s="175"/>
      <c r="B430" s="176"/>
      <c r="C430" s="176"/>
      <c r="D430" s="193"/>
      <c r="E430" s="198"/>
      <c r="F430" s="194" t="s">
        <v>53</v>
      </c>
      <c r="G430" s="386"/>
      <c r="H430" s="399" t="s">
        <v>37</v>
      </c>
      <c r="I430" s="200">
        <f ca="1">IFERROR(__xludf.DUMMYFUNCTION("IMPORTRANGE(""https://docs.google.com/spreadsheets/d/11923uPwbBZFjjGgGUA6NLw09EwE0CqkOc4q9oUmW1yo/edit?usp=sharing"",""ตาก!I325"")"),65)</f>
        <v>65</v>
      </c>
      <c r="J430" s="390">
        <f ca="1">IFERROR(__xludf.DUMMYFUNCTION("IMPORTRANGE(""https://docs.google.com/spreadsheets/d/11923uPwbBZFjjGgGUA6NLw09EwE0CqkOc4q9oUmW1yo/edit?usp=sharing"",""ตาก!J325"")"),0)</f>
        <v>0</v>
      </c>
      <c r="K430" s="201">
        <f t="shared" ca="1" si="113"/>
        <v>0</v>
      </c>
      <c r="L430" s="181"/>
      <c r="M430" s="181"/>
      <c r="N430" s="181"/>
      <c r="O430" s="181"/>
      <c r="P430" s="181"/>
    </row>
    <row r="431" spans="1:16" ht="21.75" customHeight="1" x14ac:dyDescent="0.45">
      <c r="A431" s="400"/>
      <c r="B431" s="401"/>
      <c r="C431" s="401"/>
      <c r="D431" s="402"/>
      <c r="E431" s="198"/>
      <c r="F431" s="195"/>
      <c r="G431" s="225" t="s">
        <v>158</v>
      </c>
      <c r="H431" s="180" t="s">
        <v>37</v>
      </c>
      <c r="I431" s="398">
        <f ca="1">IFERROR(__xludf.DUMMYFUNCTION("IMPORTRANGE(""https://docs.google.com/spreadsheets/d/11923uPwbBZFjjGgGUA6NLw09EwE0CqkOc4q9oUmW1yo/edit?usp=sharing"",""ตาก!I326"")"),0)</f>
        <v>0</v>
      </c>
      <c r="J431" s="392">
        <f ca="1">IFERROR(__xludf.DUMMYFUNCTION("IMPORTRANGE(""https://docs.google.com/spreadsheets/d/11923uPwbBZFjjGgGUA6NLw09EwE0CqkOc4q9oUmW1yo/edit?usp=sharing"",""ตาก!J326"")"),0)</f>
        <v>0</v>
      </c>
      <c r="K431" s="163">
        <f t="shared" ca="1" si="113"/>
        <v>0</v>
      </c>
      <c r="L431" s="181"/>
      <c r="M431" s="181"/>
      <c r="N431" s="181"/>
      <c r="O431" s="181"/>
      <c r="P431" s="181"/>
    </row>
    <row r="432" spans="1:16" ht="21.75" customHeight="1" x14ac:dyDescent="0.45">
      <c r="A432" s="400"/>
      <c r="B432" s="401"/>
      <c r="C432" s="401"/>
      <c r="D432" s="402"/>
      <c r="E432" s="198"/>
      <c r="F432" s="195"/>
      <c r="G432" s="225" t="s">
        <v>159</v>
      </c>
      <c r="H432" s="180" t="s">
        <v>37</v>
      </c>
      <c r="I432" s="398">
        <f ca="1">IFERROR(__xludf.DUMMYFUNCTION("IMPORTRANGE(""https://docs.google.com/spreadsheets/d/11923uPwbBZFjjGgGUA6NLw09EwE0CqkOc4q9oUmW1yo/edit?usp=sharing"",""ตาก!I327"")"),65)</f>
        <v>65</v>
      </c>
      <c r="J432" s="392">
        <f ca="1">IFERROR(__xludf.DUMMYFUNCTION("IMPORTRANGE(""https://docs.google.com/spreadsheets/d/11923uPwbBZFjjGgGUA6NLw09EwE0CqkOc4q9oUmW1yo/edit?usp=sharing"",""ตาก!J327"")"),0)</f>
        <v>0</v>
      </c>
      <c r="K432" s="163">
        <f t="shared" ca="1" si="113"/>
        <v>0</v>
      </c>
      <c r="L432" s="181"/>
      <c r="M432" s="181"/>
      <c r="N432" s="181"/>
      <c r="O432" s="181"/>
      <c r="P432" s="181"/>
    </row>
    <row r="433" spans="1:16" ht="21.75" customHeight="1" x14ac:dyDescent="0.3">
      <c r="A433" s="175"/>
      <c r="B433" s="176"/>
      <c r="C433" s="176"/>
      <c r="D433" s="193"/>
      <c r="E433" s="194" t="s">
        <v>54</v>
      </c>
      <c r="F433" s="195"/>
      <c r="G433" s="196"/>
      <c r="H433" s="186"/>
      <c r="I433" s="187"/>
      <c r="J433" s="197">
        <f ca="1">IFERROR(__xludf.DUMMYFUNCTION("IMPORTRANGE(""https://docs.google.com/spreadsheets/d/11923uPwbBZFjjGgGUA6NLw09EwE0CqkOc4q9oUmW1yo/edit?usp=sharing"",""ตาก!J328"")"),0)</f>
        <v>0</v>
      </c>
      <c r="K433" s="163"/>
      <c r="L433" s="181"/>
      <c r="M433" s="181"/>
      <c r="N433" s="181"/>
      <c r="O433" s="181"/>
      <c r="P433" s="181"/>
    </row>
    <row r="434" spans="1:16" ht="21.75" customHeight="1" x14ac:dyDescent="0.3">
      <c r="A434" s="175"/>
      <c r="B434" s="176"/>
      <c r="C434" s="176"/>
      <c r="D434" s="205">
        <v>3</v>
      </c>
      <c r="E434" s="206" t="s">
        <v>55</v>
      </c>
      <c r="F434" s="207"/>
      <c r="G434" s="208"/>
      <c r="H434" s="186"/>
      <c r="I434" s="187"/>
      <c r="J434" s="209">
        <f ca="1">IFERROR(__xludf.DUMMYFUNCTION("IMPORTRANGE(""https://docs.google.com/spreadsheets/d/11923uPwbBZFjjGgGUA6NLw09EwE0CqkOc4q9oUmW1yo/edit?usp=sharing"",""ตาก!J329"")"),0)</f>
        <v>0</v>
      </c>
      <c r="K434" s="163"/>
      <c r="L434" s="181"/>
      <c r="M434" s="181"/>
      <c r="N434" s="181"/>
      <c r="O434" s="181"/>
      <c r="P434" s="181"/>
    </row>
    <row r="435" spans="1:16" ht="21.75" customHeight="1" x14ac:dyDescent="0.3">
      <c r="A435" s="403"/>
      <c r="B435" s="404">
        <v>4</v>
      </c>
      <c r="C435" s="404" t="s">
        <v>160</v>
      </c>
      <c r="D435" s="405"/>
      <c r="E435" s="405"/>
      <c r="F435" s="405"/>
      <c r="G435" s="406"/>
      <c r="H435" s="407" t="s">
        <v>37</v>
      </c>
      <c r="I435" s="408">
        <f ca="1">IFERROR(__xludf.DUMMYFUNCTION("IMPORTRANGE(""https://docs.google.com/spreadsheets/d/11923uPwbBZFjjGgGUA6NLw09EwE0CqkOc4q9oUmW1yo/edit?usp=sharing"",""ตาก!I330"")"),20)</f>
        <v>20</v>
      </c>
      <c r="J435" s="408">
        <f ca="1">IFERROR(__xludf.DUMMYFUNCTION("IMPORTRANGE(""https://docs.google.com/spreadsheets/d/11923uPwbBZFjjGgGUA6NLw09EwE0CqkOc4q9oUmW1yo/edit?usp=sharing"",""ตาก!J330"")"),20)</f>
        <v>20</v>
      </c>
      <c r="K435" s="409">
        <f ca="1">IF(I435&gt;0,J435*100/I435,0)</f>
        <v>100</v>
      </c>
      <c r="L435" s="410">
        <f ca="1">IFERROR(__xludf.DUMMYFUNCTION("IMPORTRANGE(""https://docs.google.com/spreadsheets/d/11923uPwbBZFjjGgGUA6NLw09EwE0CqkOc4q9oUmW1yo/edit?usp=sharing"",""ตาก!L330"")"),95000)</f>
        <v>95000</v>
      </c>
      <c r="M435" s="410"/>
      <c r="N435" s="410">
        <f ca="1">IFERROR(__xludf.DUMMYFUNCTION("IMPORTRANGE(""https://docs.google.com/spreadsheets/d/11923uPwbBZFjjGgGUA6NLw09EwE0CqkOc4q9oUmW1yo/edit?usp=sharing"",""ตาก!M330"")"),43030)</f>
        <v>43030</v>
      </c>
      <c r="O435" s="410">
        <f t="shared" ref="O435:O439" ca="1" si="114">+IF(L435&gt;0,N435*100/L435,0)</f>
        <v>45.294736842105266</v>
      </c>
      <c r="P435" s="410"/>
    </row>
    <row r="436" spans="1:16" ht="21.75" customHeight="1" x14ac:dyDescent="0.3">
      <c r="A436" s="156"/>
      <c r="B436" s="157"/>
      <c r="C436" s="157" t="s">
        <v>16</v>
      </c>
      <c r="D436" s="158" t="s">
        <v>38</v>
      </c>
      <c r="E436" s="159"/>
      <c r="F436" s="159"/>
      <c r="G436" s="160" t="s">
        <v>39</v>
      </c>
      <c r="H436" s="161" t="s">
        <v>12</v>
      </c>
      <c r="I436" s="162" t="s">
        <v>40</v>
      </c>
      <c r="J436" s="162"/>
      <c r="K436" s="163"/>
      <c r="L436" s="164">
        <f ca="1">IFERROR(__xludf.DUMMYFUNCTION("IMPORTRANGE(""https://docs.google.com/spreadsheets/d/11923uPwbBZFjjGgGUA6NLw09EwE0CqkOc4q9oUmW1yo/edit?usp=sharing"",""ตาก!L331"")"),0)</f>
        <v>0</v>
      </c>
      <c r="M436" s="164"/>
      <c r="N436" s="168">
        <f ca="1">IFERROR(__xludf.DUMMYFUNCTION("IMPORTRANGE(""https://docs.google.com/spreadsheets/d/11923uPwbBZFjjGgGUA6NLw09EwE0CqkOc4q9oUmW1yo/edit?usp=sharing"",""ตาก!M331"")"),0)</f>
        <v>0</v>
      </c>
      <c r="O436" s="168">
        <f t="shared" ca="1" si="114"/>
        <v>0</v>
      </c>
      <c r="P436" s="168"/>
    </row>
    <row r="437" spans="1:16" ht="21.75" customHeight="1" x14ac:dyDescent="0.3">
      <c r="A437" s="156"/>
      <c r="B437" s="157"/>
      <c r="C437" s="157"/>
      <c r="D437" s="166"/>
      <c r="E437" s="159"/>
      <c r="F437" s="159" t="s">
        <v>40</v>
      </c>
      <c r="G437" s="160" t="s">
        <v>41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IFERROR(__xludf.DUMMYFUNCTION("IMPORTRANGE(""https://docs.google.com/spreadsheets/d/11923uPwbBZFjjGgGUA6NLw09EwE0CqkOc4q9oUmW1yo/edit?usp=sharing"",""ตาก!L332"")"),95000)</f>
        <v>95000</v>
      </c>
      <c r="M437" s="165"/>
      <c r="N437" s="168">
        <f ca="1">IFERROR(__xludf.DUMMYFUNCTION("IMPORTRANGE(""https://docs.google.com/spreadsheets/d/11923uPwbBZFjjGgGUA6NLw09EwE0CqkOc4q9oUmW1yo/edit?usp=sharing"",""ตาก!M332"")"),43030)</f>
        <v>43030</v>
      </c>
      <c r="O437" s="168">
        <f t="shared" ca="1" si="114"/>
        <v>45.294736842105266</v>
      </c>
      <c r="P437" s="168"/>
    </row>
    <row r="438" spans="1:16" ht="21.75" customHeight="1" x14ac:dyDescent="0.3">
      <c r="A438" s="156"/>
      <c r="B438" s="157"/>
      <c r="C438" s="157"/>
      <c r="D438" s="166"/>
      <c r="E438" s="159"/>
      <c r="F438" s="159"/>
      <c r="G438" s="372" t="s">
        <v>129</v>
      </c>
      <c r="H438" s="161" t="s">
        <v>12</v>
      </c>
      <c r="I438" s="162"/>
      <c r="J438" s="162"/>
      <c r="K438" s="163"/>
      <c r="L438" s="168">
        <f ca="1">IFERROR(__xludf.DUMMYFUNCTION("IMPORTRANGE(""https://docs.google.com/spreadsheets/d/11923uPwbBZFjjGgGUA6NLw09EwE0CqkOc4q9oUmW1yo/edit?usp=sharing"",""ตาก!L333"")"),0)</f>
        <v>0</v>
      </c>
      <c r="M438" s="168"/>
      <c r="N438" s="168">
        <f ca="1">IFERROR(__xludf.DUMMYFUNCTION("IMPORTRANGE(""https://docs.google.com/spreadsheets/d/11923uPwbBZFjjGgGUA6NLw09EwE0CqkOc4q9oUmW1yo/edit?usp=sharing"",""ตาก!M333"")"),0)</f>
        <v>0</v>
      </c>
      <c r="O438" s="168">
        <f t="shared" ca="1" si="114"/>
        <v>0</v>
      </c>
      <c r="P438" s="168"/>
    </row>
    <row r="439" spans="1:16" ht="21.75" customHeight="1" x14ac:dyDescent="0.3">
      <c r="A439" s="156"/>
      <c r="B439" s="157"/>
      <c r="C439" s="157"/>
      <c r="D439" s="166"/>
      <c r="E439" s="159"/>
      <c r="F439" s="159"/>
      <c r="G439" s="372" t="s">
        <v>130</v>
      </c>
      <c r="H439" s="161" t="s">
        <v>12</v>
      </c>
      <c r="I439" s="162"/>
      <c r="J439" s="162"/>
      <c r="K439" s="163"/>
      <c r="L439" s="168">
        <f ca="1">IFERROR(__xludf.DUMMYFUNCTION("IMPORTRANGE(""https://docs.google.com/spreadsheets/d/11923uPwbBZFjjGgGUA6NLw09EwE0CqkOc4q9oUmW1yo/edit?usp=sharing"",""ตาก!L334"")"),95000)</f>
        <v>95000</v>
      </c>
      <c r="M439" s="168"/>
      <c r="N439" s="168">
        <f ca="1">IFERROR(__xludf.DUMMYFUNCTION("IMPORTRANGE(""https://docs.google.com/spreadsheets/d/11923uPwbBZFjjGgGUA6NLw09EwE0CqkOc4q9oUmW1yo/edit?usp=sharing"",""ตาก!M334"")"),43030)</f>
        <v>43030</v>
      </c>
      <c r="O439" s="168">
        <f t="shared" ca="1" si="114"/>
        <v>45.294736842105266</v>
      </c>
      <c r="P439" s="168"/>
    </row>
    <row r="440" spans="1:16" ht="21.75" customHeight="1" x14ac:dyDescent="0.3">
      <c r="A440" s="373"/>
      <c r="B440" s="374"/>
      <c r="C440" s="157"/>
      <c r="D440" s="375"/>
      <c r="E440" s="159"/>
      <c r="F440" s="159"/>
      <c r="G440" s="376" t="s">
        <v>131</v>
      </c>
      <c r="H440" s="161" t="s">
        <v>12</v>
      </c>
      <c r="I440" s="187"/>
      <c r="J440" s="187"/>
      <c r="K440" s="223"/>
      <c r="L440" s="168"/>
      <c r="M440" s="168"/>
      <c r="N440" s="377">
        <f ca="1">IFERROR(__xludf.DUMMYFUNCTION("IMPORTRANGE(""https://docs.google.com/spreadsheets/d/11923uPwbBZFjjGgGUA6NLw09EwE0CqkOc4q9oUmW1yo/edit?usp=sharing"",""ตาก!M335"")"),31730)</f>
        <v>31730</v>
      </c>
      <c r="O440" s="168"/>
      <c r="P440" s="168"/>
    </row>
    <row r="441" spans="1:16" ht="21.75" customHeight="1" x14ac:dyDescent="0.3">
      <c r="A441" s="373"/>
      <c r="B441" s="374"/>
      <c r="C441" s="157"/>
      <c r="D441" s="375"/>
      <c r="E441" s="159"/>
      <c r="F441" s="159"/>
      <c r="G441" s="376" t="s">
        <v>132</v>
      </c>
      <c r="H441" s="161" t="s">
        <v>12</v>
      </c>
      <c r="I441" s="187"/>
      <c r="J441" s="187"/>
      <c r="K441" s="223"/>
      <c r="L441" s="168"/>
      <c r="M441" s="168"/>
      <c r="N441" s="377">
        <f ca="1">IFERROR(__xludf.DUMMYFUNCTION("IMPORTRANGE(""https://docs.google.com/spreadsheets/d/11923uPwbBZFjjGgGUA6NLw09EwE0CqkOc4q9oUmW1yo/edit?usp=sharing"",""ตาก!M336"")"),0)</f>
        <v>0</v>
      </c>
      <c r="O441" s="168"/>
      <c r="P441" s="168"/>
    </row>
    <row r="442" spans="1:16" ht="21.75" customHeight="1" x14ac:dyDescent="0.3">
      <c r="A442" s="373"/>
      <c r="B442" s="374"/>
      <c r="C442" s="157"/>
      <c r="D442" s="375"/>
      <c r="E442" s="159"/>
      <c r="F442" s="159"/>
      <c r="G442" s="376" t="s">
        <v>133</v>
      </c>
      <c r="H442" s="161" t="s">
        <v>12</v>
      </c>
      <c r="I442" s="187"/>
      <c r="J442" s="187"/>
      <c r="K442" s="223"/>
      <c r="L442" s="168"/>
      <c r="M442" s="168"/>
      <c r="N442" s="377">
        <f ca="1">IFERROR(__xludf.DUMMYFUNCTION("IMPORTRANGE(""https://docs.google.com/spreadsheets/d/11923uPwbBZFjjGgGUA6NLw09EwE0CqkOc4q9oUmW1yo/edit?usp=sharing"",""ตาก!M337"")"),0)</f>
        <v>0</v>
      </c>
      <c r="O442" s="168"/>
      <c r="P442" s="168"/>
    </row>
    <row r="443" spans="1:16" ht="21.75" customHeight="1" x14ac:dyDescent="0.3">
      <c r="A443" s="373"/>
      <c r="B443" s="374"/>
      <c r="C443" s="157"/>
      <c r="D443" s="375"/>
      <c r="E443" s="159"/>
      <c r="F443" s="159"/>
      <c r="G443" s="376" t="s">
        <v>134</v>
      </c>
      <c r="H443" s="161" t="s">
        <v>12</v>
      </c>
      <c r="I443" s="187"/>
      <c r="J443" s="187"/>
      <c r="K443" s="223"/>
      <c r="L443" s="168"/>
      <c r="M443" s="168"/>
      <c r="N443" s="377">
        <f ca="1">IFERROR(__xludf.DUMMYFUNCTION("IMPORTRANGE(""https://docs.google.com/spreadsheets/d/11923uPwbBZFjjGgGUA6NLw09EwE0CqkOc4q9oUmW1yo/edit?usp=sharing"",""ตาก!M338"")"),11300)</f>
        <v>11300</v>
      </c>
      <c r="O443" s="168"/>
      <c r="P443" s="168"/>
    </row>
    <row r="444" spans="1:16" ht="21.75" customHeight="1" x14ac:dyDescent="0.3">
      <c r="A444" s="175"/>
      <c r="B444" s="176"/>
      <c r="C444" s="157" t="s">
        <v>16</v>
      </c>
      <c r="D444" s="177" t="s">
        <v>44</v>
      </c>
      <c r="E444" s="178"/>
      <c r="F444" s="178"/>
      <c r="G444" s="179"/>
      <c r="H444" s="180"/>
      <c r="I444" s="162"/>
      <c r="J444" s="162"/>
      <c r="K444" s="163"/>
      <c r="L444" s="181"/>
      <c r="M444" s="181"/>
      <c r="N444" s="181"/>
      <c r="O444" s="181"/>
      <c r="P444" s="181"/>
    </row>
    <row r="445" spans="1:16" ht="21.75" customHeight="1" x14ac:dyDescent="0.3">
      <c r="A445" s="175"/>
      <c r="B445" s="176"/>
      <c r="C445" s="176"/>
      <c r="D445" s="182">
        <v>1</v>
      </c>
      <c r="E445" s="183" t="s">
        <v>45</v>
      </c>
      <c r="F445" s="184"/>
      <c r="G445" s="185"/>
      <c r="H445" s="186"/>
      <c r="I445" s="187"/>
      <c r="J445" s="209">
        <f ca="1">IFERROR(__xludf.DUMMYFUNCTION("IMPORTRANGE(""https://docs.google.com/spreadsheets/d/11923uPwbBZFjjGgGUA6NLw09EwE0CqkOc4q9oUmW1yo/edit?usp=sharing"",""ตาก!J340"")"),0)</f>
        <v>0</v>
      </c>
      <c r="K445" s="163"/>
      <c r="L445" s="181"/>
      <c r="M445" s="181"/>
      <c r="N445" s="181"/>
      <c r="O445" s="181"/>
      <c r="P445" s="181"/>
    </row>
    <row r="446" spans="1:16" ht="21.75" customHeight="1" x14ac:dyDescent="0.3">
      <c r="A446" s="175"/>
      <c r="B446" s="176"/>
      <c r="C446" s="176"/>
      <c r="D446" s="189">
        <v>2</v>
      </c>
      <c r="E446" s="190" t="s">
        <v>46</v>
      </c>
      <c r="F446" s="191"/>
      <c r="G446" s="192"/>
      <c r="H446" s="186"/>
      <c r="I446" s="187"/>
      <c r="J446" s="411">
        <f ca="1">IFERROR(__xludf.DUMMYFUNCTION("IMPORTRANGE(""https://docs.google.com/spreadsheets/d/11923uPwbBZFjjGgGUA6NLw09EwE0CqkOc4q9oUmW1yo/edit?usp=sharing"",""ตาก!J341"")"),1)</f>
        <v>1</v>
      </c>
      <c r="K446" s="163"/>
      <c r="L446" s="181" t="s">
        <v>40</v>
      </c>
      <c r="M446" s="181"/>
      <c r="N446" s="181" t="s">
        <v>40</v>
      </c>
      <c r="O446" s="181"/>
      <c r="P446" s="181"/>
    </row>
    <row r="447" spans="1:16" ht="21.75" customHeight="1" x14ac:dyDescent="0.3">
      <c r="A447" s="175"/>
      <c r="B447" s="176"/>
      <c r="C447" s="176"/>
      <c r="D447" s="193"/>
      <c r="E447" s="194" t="s">
        <v>161</v>
      </c>
      <c r="F447" s="195"/>
      <c r="G447" s="196"/>
      <c r="H447" s="186"/>
      <c r="I447" s="187"/>
      <c r="J447" s="188">
        <f ca="1">IFERROR(__xludf.DUMMYFUNCTION("IMPORTRANGE(""https://docs.google.com/spreadsheets/d/11923uPwbBZFjjGgGUA6NLw09EwE0CqkOc4q9oUmW1yo/edit?usp=sharing"",""ตาก!J342"")"),1)</f>
        <v>1</v>
      </c>
      <c r="K447" s="163"/>
      <c r="L447" s="181"/>
      <c r="M447" s="181"/>
      <c r="N447" s="181"/>
      <c r="O447" s="181"/>
      <c r="P447" s="181"/>
    </row>
    <row r="448" spans="1:16" ht="21.75" customHeight="1" x14ac:dyDescent="0.3">
      <c r="A448" s="175"/>
      <c r="B448" s="176"/>
      <c r="C448" s="176"/>
      <c r="D448" s="193"/>
      <c r="E448" s="194" t="s">
        <v>48</v>
      </c>
      <c r="F448" s="195"/>
      <c r="G448" s="196"/>
      <c r="H448" s="186"/>
      <c r="I448" s="187"/>
      <c r="J448" s="188">
        <f ca="1">IFERROR(__xludf.DUMMYFUNCTION("IMPORTRANGE(""https://docs.google.com/spreadsheets/d/11923uPwbBZFjjGgGUA6NLw09EwE0CqkOc4q9oUmW1yo/edit?usp=sharing"",""ตาก!J343"")"),1)</f>
        <v>1</v>
      </c>
      <c r="K448" s="163"/>
      <c r="L448" s="181"/>
      <c r="M448" s="181"/>
      <c r="N448" s="181"/>
      <c r="O448" s="181"/>
      <c r="P448" s="181"/>
    </row>
    <row r="449" spans="1:16" ht="21.75" customHeight="1" x14ac:dyDescent="0.3">
      <c r="A449" s="175"/>
      <c r="B449" s="176"/>
      <c r="C449" s="176"/>
      <c r="D449" s="193"/>
      <c r="E449" s="198"/>
      <c r="F449" s="412" t="s">
        <v>101</v>
      </c>
      <c r="G449" s="196"/>
      <c r="H449" s="186" t="s">
        <v>37</v>
      </c>
      <c r="I449" s="389">
        <f ca="1">IFERROR(__xludf.DUMMYFUNCTION("IMPORTRANGE(""https://docs.google.com/spreadsheets/d/11923uPwbBZFjjGgGUA6NLw09EwE0CqkOc4q9oUmW1yo/edit?usp=sharing"",""ตาก!I344"")"),20)</f>
        <v>20</v>
      </c>
      <c r="J449" s="200">
        <f ca="1">IFERROR(__xludf.DUMMYFUNCTION("IMPORTRANGE(""https://docs.google.com/spreadsheets/d/11923uPwbBZFjjGgGUA6NLw09EwE0CqkOc4q9oUmW1yo/edit?usp=sharing"",""ตาก!J344"")"),20)</f>
        <v>20</v>
      </c>
      <c r="K449" s="163">
        <f t="shared" ref="K449:K452" ca="1" si="115">IF(I449&gt;0,J449*100/I449,0)</f>
        <v>100</v>
      </c>
      <c r="L449" s="181"/>
      <c r="M449" s="181"/>
      <c r="N449" s="181"/>
      <c r="O449" s="181"/>
      <c r="P449" s="181"/>
    </row>
    <row r="450" spans="1:16" ht="21.75" customHeight="1" x14ac:dyDescent="0.3">
      <c r="A450" s="175"/>
      <c r="B450" s="176"/>
      <c r="C450" s="176"/>
      <c r="D450" s="193"/>
      <c r="E450" s="198"/>
      <c r="F450" s="195"/>
      <c r="G450" s="225" t="s">
        <v>162</v>
      </c>
      <c r="H450" s="186" t="s">
        <v>37</v>
      </c>
      <c r="I450" s="339">
        <f ca="1">IFERROR(__xludf.DUMMYFUNCTION("IMPORTRANGE(""https://docs.google.com/spreadsheets/d/11923uPwbBZFjjGgGUA6NLw09EwE0CqkOc4q9oUmW1yo/edit?usp=sharing"",""ตาก!I345"")"),20)</f>
        <v>20</v>
      </c>
      <c r="J450" s="188">
        <f ca="1">IFERROR(__xludf.DUMMYFUNCTION("IMPORTRANGE(""https://docs.google.com/spreadsheets/d/11923uPwbBZFjjGgGUA6NLw09EwE0CqkOc4q9oUmW1yo/edit?usp=sharing"",""ตาก!J345"")"),20)</f>
        <v>20</v>
      </c>
      <c r="K450" s="163">
        <f t="shared" ca="1" si="115"/>
        <v>100</v>
      </c>
      <c r="L450" s="181"/>
      <c r="M450" s="181"/>
      <c r="N450" s="181"/>
      <c r="O450" s="181"/>
      <c r="P450" s="181"/>
    </row>
    <row r="451" spans="1:16" ht="21.75" customHeight="1" x14ac:dyDescent="0.3">
      <c r="A451" s="175"/>
      <c r="B451" s="176"/>
      <c r="C451" s="176"/>
      <c r="D451" s="193"/>
      <c r="E451" s="198"/>
      <c r="F451" s="195"/>
      <c r="G451" s="279" t="s">
        <v>163</v>
      </c>
      <c r="H451" s="186" t="s">
        <v>37</v>
      </c>
      <c r="I451" s="339">
        <f ca="1">IFERROR(__xludf.DUMMYFUNCTION("IMPORTRANGE(""https://docs.google.com/spreadsheets/d/11923uPwbBZFjjGgGUA6NLw09EwE0CqkOc4q9oUmW1yo/edit?usp=sharing"",""ตาก!I346"")"),0)</f>
        <v>0</v>
      </c>
      <c r="J451" s="187">
        <f ca="1">IFERROR(__xludf.DUMMYFUNCTION("IMPORTRANGE(""https://docs.google.com/spreadsheets/d/11923uPwbBZFjjGgGUA6NLw09EwE0CqkOc4q9oUmW1yo/edit?usp=sharing"",""ตาก!J346"")"),0)</f>
        <v>0</v>
      </c>
      <c r="K451" s="163">
        <f t="shared" ca="1" si="115"/>
        <v>0</v>
      </c>
      <c r="L451" s="181"/>
      <c r="M451" s="181"/>
      <c r="N451" s="181"/>
      <c r="O451" s="181"/>
      <c r="P451" s="181"/>
    </row>
    <row r="452" spans="1:16" ht="21.75" customHeight="1" x14ac:dyDescent="0.3">
      <c r="A452" s="175"/>
      <c r="B452" s="176"/>
      <c r="C452" s="176"/>
      <c r="D452" s="193"/>
      <c r="E452" s="198"/>
      <c r="F452" s="195"/>
      <c r="G452" s="196" t="s">
        <v>164</v>
      </c>
      <c r="H452" s="186" t="s">
        <v>37</v>
      </c>
      <c r="I452" s="187">
        <f ca="1">IFERROR(__xludf.DUMMYFUNCTION("IMPORTRANGE(""https://docs.google.com/spreadsheets/d/11923uPwbBZFjjGgGUA6NLw09EwE0CqkOc4q9oUmW1yo/edit?usp=sharing"",""ตาก!I347"")"),0)</f>
        <v>0</v>
      </c>
      <c r="J452" s="187">
        <f ca="1">IFERROR(__xludf.DUMMYFUNCTION("IMPORTRANGE(""https://docs.google.com/spreadsheets/d/11923uPwbBZFjjGgGUA6NLw09EwE0CqkOc4q9oUmW1yo/edit?usp=sharing"",""ตาก!J347"")"),0)</f>
        <v>0</v>
      </c>
      <c r="K452" s="163">
        <f t="shared" ca="1" si="115"/>
        <v>0</v>
      </c>
      <c r="L452" s="181"/>
      <c r="M452" s="181"/>
      <c r="N452" s="181"/>
      <c r="O452" s="181"/>
      <c r="P452" s="181"/>
    </row>
    <row r="453" spans="1:16" ht="21.75" customHeight="1" x14ac:dyDescent="0.3">
      <c r="A453" s="175"/>
      <c r="B453" s="176"/>
      <c r="C453" s="176"/>
      <c r="D453" s="193"/>
      <c r="E453" s="194" t="s">
        <v>54</v>
      </c>
      <c r="F453" s="195"/>
      <c r="G453" s="196"/>
      <c r="H453" s="186"/>
      <c r="I453" s="187"/>
      <c r="J453" s="197">
        <f ca="1">IFERROR(__xludf.DUMMYFUNCTION("IMPORTRANGE(""https://docs.google.com/spreadsheets/d/11923uPwbBZFjjGgGUA6NLw09EwE0CqkOc4q9oUmW1yo/edit?usp=sharing"",""ตาก!J348"")"),0)</f>
        <v>0</v>
      </c>
      <c r="K453" s="163"/>
      <c r="L453" s="181"/>
      <c r="M453" s="181"/>
      <c r="N453" s="181"/>
      <c r="O453" s="181"/>
      <c r="P453" s="181"/>
    </row>
    <row r="454" spans="1:16" ht="21.75" customHeight="1" x14ac:dyDescent="0.3">
      <c r="A454" s="175"/>
      <c r="B454" s="176"/>
      <c r="C454" s="176"/>
      <c r="D454" s="205">
        <v>3</v>
      </c>
      <c r="E454" s="206" t="s">
        <v>55</v>
      </c>
      <c r="F454" s="207"/>
      <c r="G454" s="208"/>
      <c r="H454" s="186"/>
      <c r="I454" s="187"/>
      <c r="J454" s="209">
        <f ca="1">IFERROR(__xludf.DUMMYFUNCTION("IMPORTRANGE(""https://docs.google.com/spreadsheets/d/11923uPwbBZFjjGgGUA6NLw09EwE0CqkOc4q9oUmW1yo/edit?usp=sharing"",""ตาก!J349"")"),0)</f>
        <v>0</v>
      </c>
      <c r="K454" s="163"/>
      <c r="L454" s="181"/>
      <c r="M454" s="181"/>
      <c r="N454" s="181"/>
      <c r="O454" s="181"/>
      <c r="P454" s="181"/>
    </row>
    <row r="455" spans="1:16" ht="21.75" customHeight="1" x14ac:dyDescent="0.3">
      <c r="A455" s="364"/>
      <c r="B455" s="365">
        <v>5</v>
      </c>
      <c r="C455" s="366" t="s">
        <v>165</v>
      </c>
      <c r="D455" s="366"/>
      <c r="E455" s="366"/>
      <c r="F455" s="366"/>
      <c r="G455" s="367"/>
      <c r="H455" s="368" t="s">
        <v>122</v>
      </c>
      <c r="I455" s="369">
        <f ca="1">IFERROR(__xludf.DUMMYFUNCTION("IMPORTRANGE(""https://docs.google.com/spreadsheets/d/11923uPwbBZFjjGgGUA6NLw09EwE0CqkOc4q9oUmW1yo/edit?usp=sharing"",""ตาก!I350"")"),55356)</f>
        <v>55356</v>
      </c>
      <c r="J455" s="369">
        <f ca="1">IFERROR(__xludf.DUMMYFUNCTION("IMPORTRANGE(""https://docs.google.com/spreadsheets/d/11923uPwbBZFjjGgGUA6NLw09EwE0CqkOc4q9oUmW1yo/edit?usp=sharing"",""ตาก!J350"")"),0)</f>
        <v>0</v>
      </c>
      <c r="K455" s="370">
        <f ca="1">IF(I455&gt;0,J455*100/I455,0)</f>
        <v>0</v>
      </c>
      <c r="L455" s="371">
        <f ca="1">IFERROR(__xludf.DUMMYFUNCTION("IMPORTRANGE(""https://docs.google.com/spreadsheets/d/11923uPwbBZFjjGgGUA6NLw09EwE0CqkOc4q9oUmW1yo/edit?usp=sharing"",""ตาก!L350"")"),462178)</f>
        <v>462178</v>
      </c>
      <c r="M455" s="371"/>
      <c r="N455" s="371">
        <f ca="1">IFERROR(__xludf.DUMMYFUNCTION("IMPORTRANGE(""https://docs.google.com/spreadsheets/d/11923uPwbBZFjjGgGUA6NLw09EwE0CqkOc4q9oUmW1yo/edit?usp=sharing"",""ตาก!M350"")"),72743)</f>
        <v>72743</v>
      </c>
      <c r="O455" s="371">
        <f t="shared" ref="O455:O459" ca="1" si="116">+IF(L455&gt;0,N455*100/L455,0)</f>
        <v>15.739174084443656</v>
      </c>
      <c r="P455" s="371"/>
    </row>
    <row r="456" spans="1:16" ht="21.75" customHeight="1" x14ac:dyDescent="0.3">
      <c r="A456" s="156"/>
      <c r="B456" s="157"/>
      <c r="C456" s="157" t="s">
        <v>16</v>
      </c>
      <c r="D456" s="158" t="s">
        <v>38</v>
      </c>
      <c r="E456" s="159"/>
      <c r="F456" s="159"/>
      <c r="G456" s="160" t="s">
        <v>39</v>
      </c>
      <c r="H456" s="161" t="s">
        <v>12</v>
      </c>
      <c r="I456" s="162" t="s">
        <v>40</v>
      </c>
      <c r="J456" s="162"/>
      <c r="K456" s="163"/>
      <c r="L456" s="164">
        <f ca="1">IFERROR(__xludf.DUMMYFUNCTION("IMPORTRANGE(""https://docs.google.com/spreadsheets/d/11923uPwbBZFjjGgGUA6NLw09EwE0CqkOc4q9oUmW1yo/edit?usp=sharing"",""ตาก!L351"")"),0)</f>
        <v>0</v>
      </c>
      <c r="M456" s="164"/>
      <c r="N456" s="168">
        <f ca="1">IFERROR(__xludf.DUMMYFUNCTION("IMPORTRANGE(""https://docs.google.com/spreadsheets/d/11923uPwbBZFjjGgGUA6NLw09EwE0CqkOc4q9oUmW1yo/edit?usp=sharing"",""ตาก!M351"")"),0)</f>
        <v>0</v>
      </c>
      <c r="O456" s="168">
        <f t="shared" ca="1" si="116"/>
        <v>0</v>
      </c>
      <c r="P456" s="168"/>
    </row>
    <row r="457" spans="1:16" ht="21.75" customHeight="1" x14ac:dyDescent="0.3">
      <c r="A457" s="156"/>
      <c r="B457" s="157"/>
      <c r="C457" s="157"/>
      <c r="D457" s="166"/>
      <c r="E457" s="159"/>
      <c r="F457" s="159" t="s">
        <v>40</v>
      </c>
      <c r="G457" s="160" t="s">
        <v>41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IFERROR(__xludf.DUMMYFUNCTION("IMPORTRANGE(""https://docs.google.com/spreadsheets/d/11923uPwbBZFjjGgGUA6NLw09EwE0CqkOc4q9oUmW1yo/edit?usp=sharing"",""ตาก!L352"")"),462178)</f>
        <v>462178</v>
      </c>
      <c r="M457" s="165"/>
      <c r="N457" s="168">
        <f ca="1">IFERROR(__xludf.DUMMYFUNCTION("IMPORTRANGE(""https://docs.google.com/spreadsheets/d/11923uPwbBZFjjGgGUA6NLw09EwE0CqkOc4q9oUmW1yo/edit?usp=sharing"",""ตาก!M352"")"),72743)</f>
        <v>72743</v>
      </c>
      <c r="O457" s="168">
        <f t="shared" ca="1" si="116"/>
        <v>15.739174084443656</v>
      </c>
      <c r="P457" s="168"/>
    </row>
    <row r="458" spans="1:16" ht="21.75" customHeight="1" x14ac:dyDescent="0.3">
      <c r="A458" s="156"/>
      <c r="B458" s="157"/>
      <c r="C458" s="157"/>
      <c r="D458" s="166"/>
      <c r="E458" s="159"/>
      <c r="F458" s="159"/>
      <c r="G458" s="372" t="s">
        <v>129</v>
      </c>
      <c r="H458" s="161" t="s">
        <v>12</v>
      </c>
      <c r="I458" s="162"/>
      <c r="J458" s="162"/>
      <c r="K458" s="163"/>
      <c r="L458" s="168">
        <f ca="1">IFERROR(__xludf.DUMMYFUNCTION("IMPORTRANGE(""https://docs.google.com/spreadsheets/d/11923uPwbBZFjjGgGUA6NLw09EwE0CqkOc4q9oUmW1yo/edit?usp=sharing"",""ตาก!L353"")"),0)</f>
        <v>0</v>
      </c>
      <c r="M458" s="168"/>
      <c r="N458" s="168">
        <f ca="1">IFERROR(__xludf.DUMMYFUNCTION("IMPORTRANGE(""https://docs.google.com/spreadsheets/d/11923uPwbBZFjjGgGUA6NLw09EwE0CqkOc4q9oUmW1yo/edit?usp=sharing"",""ตาก!M353"")"),0)</f>
        <v>0</v>
      </c>
      <c r="O458" s="168">
        <f t="shared" ca="1" si="116"/>
        <v>0</v>
      </c>
      <c r="P458" s="168"/>
    </row>
    <row r="459" spans="1:16" ht="21.75" customHeight="1" x14ac:dyDescent="0.3">
      <c r="A459" s="156"/>
      <c r="B459" s="157"/>
      <c r="C459" s="157"/>
      <c r="D459" s="166"/>
      <c r="E459" s="159"/>
      <c r="F459" s="159"/>
      <c r="G459" s="372" t="s">
        <v>130</v>
      </c>
      <c r="H459" s="161" t="s">
        <v>12</v>
      </c>
      <c r="I459" s="162"/>
      <c r="J459" s="162"/>
      <c r="K459" s="163"/>
      <c r="L459" s="168">
        <f ca="1">IFERROR(__xludf.DUMMYFUNCTION("IMPORTRANGE(""https://docs.google.com/spreadsheets/d/11923uPwbBZFjjGgGUA6NLw09EwE0CqkOc4q9oUmW1yo/edit?usp=sharing"",""ตาก!L354"")"),462178)</f>
        <v>462178</v>
      </c>
      <c r="M459" s="168"/>
      <c r="N459" s="168">
        <f ca="1">IFERROR(__xludf.DUMMYFUNCTION("IMPORTRANGE(""https://docs.google.com/spreadsheets/d/11923uPwbBZFjjGgGUA6NLw09EwE0CqkOc4q9oUmW1yo/edit?usp=sharing"",""ตาก!M354"")"),72743)</f>
        <v>72743</v>
      </c>
      <c r="O459" s="168">
        <f t="shared" ca="1" si="116"/>
        <v>15.739174084443656</v>
      </c>
      <c r="P459" s="168"/>
    </row>
    <row r="460" spans="1:16" ht="21.75" customHeight="1" x14ac:dyDescent="0.3">
      <c r="A460" s="373"/>
      <c r="B460" s="374"/>
      <c r="C460" s="157"/>
      <c r="D460" s="375"/>
      <c r="E460" s="159"/>
      <c r="F460" s="159"/>
      <c r="G460" s="376" t="s">
        <v>131</v>
      </c>
      <c r="H460" s="161" t="s">
        <v>12</v>
      </c>
      <c r="I460" s="187"/>
      <c r="J460" s="187"/>
      <c r="K460" s="223"/>
      <c r="L460" s="168"/>
      <c r="M460" s="168"/>
      <c r="N460" s="167">
        <f ca="1">IFERROR(__xludf.DUMMYFUNCTION("IMPORTRANGE(""https://docs.google.com/spreadsheets/d/11923uPwbBZFjjGgGUA6NLw09EwE0CqkOc4q9oUmW1yo/edit?usp=sharing"",""ตาก!M355"")"),0)</f>
        <v>0</v>
      </c>
      <c r="O460" s="168"/>
      <c r="P460" s="168"/>
    </row>
    <row r="461" spans="1:16" ht="21.75" customHeight="1" x14ac:dyDescent="0.3">
      <c r="A461" s="373"/>
      <c r="B461" s="374"/>
      <c r="C461" s="157"/>
      <c r="D461" s="375"/>
      <c r="E461" s="159"/>
      <c r="F461" s="159"/>
      <c r="G461" s="376" t="s">
        <v>132</v>
      </c>
      <c r="H461" s="161" t="s">
        <v>12</v>
      </c>
      <c r="I461" s="187"/>
      <c r="J461" s="187"/>
      <c r="K461" s="223"/>
      <c r="L461" s="168"/>
      <c r="M461" s="168"/>
      <c r="N461" s="167">
        <f ca="1">IFERROR(__xludf.DUMMYFUNCTION("IMPORTRANGE(""https://docs.google.com/spreadsheets/d/11923uPwbBZFjjGgGUA6NLw09EwE0CqkOc4q9oUmW1yo/edit?usp=sharing"",""ตาก!M356"")"),0)</f>
        <v>0</v>
      </c>
      <c r="O461" s="168"/>
      <c r="P461" s="168"/>
    </row>
    <row r="462" spans="1:16" ht="21.75" customHeight="1" x14ac:dyDescent="0.3">
      <c r="A462" s="373"/>
      <c r="B462" s="374"/>
      <c r="C462" s="157"/>
      <c r="D462" s="375"/>
      <c r="E462" s="159"/>
      <c r="F462" s="159"/>
      <c r="G462" s="376" t="s">
        <v>133</v>
      </c>
      <c r="H462" s="161" t="s">
        <v>12</v>
      </c>
      <c r="I462" s="187"/>
      <c r="J462" s="187"/>
      <c r="K462" s="223"/>
      <c r="L462" s="168"/>
      <c r="M462" s="168"/>
      <c r="N462" s="377">
        <f ca="1">IFERROR(__xludf.DUMMYFUNCTION("IMPORTRANGE(""https://docs.google.com/spreadsheets/d/11923uPwbBZFjjGgGUA6NLw09EwE0CqkOc4q9oUmW1yo/edit?usp=sharing"",""ตาก!M357"")"),32266)</f>
        <v>32266</v>
      </c>
      <c r="O462" s="168"/>
      <c r="P462" s="168"/>
    </row>
    <row r="463" spans="1:16" ht="21.75" customHeight="1" x14ac:dyDescent="0.3">
      <c r="A463" s="373"/>
      <c r="B463" s="374"/>
      <c r="C463" s="157"/>
      <c r="D463" s="375"/>
      <c r="E463" s="159"/>
      <c r="F463" s="159"/>
      <c r="G463" s="376" t="s">
        <v>134</v>
      </c>
      <c r="H463" s="161" t="s">
        <v>12</v>
      </c>
      <c r="I463" s="187"/>
      <c r="J463" s="187"/>
      <c r="K463" s="223"/>
      <c r="L463" s="168"/>
      <c r="M463" s="168"/>
      <c r="N463" s="377">
        <f ca="1">IFERROR(__xludf.DUMMYFUNCTION("IMPORTRANGE(""https://docs.google.com/spreadsheets/d/11923uPwbBZFjjGgGUA6NLw09EwE0CqkOc4q9oUmW1yo/edit?usp=sharing"",""ตาก!M358"")"),40477)</f>
        <v>40477</v>
      </c>
      <c r="O463" s="168"/>
      <c r="P463" s="168"/>
    </row>
    <row r="464" spans="1:16" ht="21.75" customHeight="1" x14ac:dyDescent="0.3">
      <c r="A464" s="175"/>
      <c r="B464" s="176"/>
      <c r="C464" s="413" t="s">
        <v>166</v>
      </c>
      <c r="D464" s="413"/>
      <c r="E464" s="414"/>
      <c r="F464" s="414"/>
      <c r="G464" s="415"/>
      <c r="H464" s="265" t="s">
        <v>122</v>
      </c>
      <c r="I464" s="266">
        <f ca="1">IFERROR(__xludf.DUMMYFUNCTION("IMPORTRANGE(""https://docs.google.com/spreadsheets/d/11923uPwbBZFjjGgGUA6NLw09EwE0CqkOc4q9oUmW1yo/edit?usp=sharing"",""ตาก!I359"")"),55356)</f>
        <v>55356</v>
      </c>
      <c r="J464" s="266">
        <f ca="1">IFERROR(__xludf.DUMMYFUNCTION("IMPORTRANGE(""https://docs.google.com/spreadsheets/d/11923uPwbBZFjjGgGUA6NLw09EwE0CqkOc4q9oUmW1yo/edit?usp=sharing"",""ตาก!J359"")"),0)</f>
        <v>0</v>
      </c>
      <c r="K464" s="267">
        <f t="shared" ref="K464:K515" ca="1" si="117">IF(I464&gt;0,J464*100/I464,0)</f>
        <v>0</v>
      </c>
      <c r="L464" s="290"/>
      <c r="M464" s="290"/>
      <c r="N464" s="290"/>
      <c r="O464" s="290"/>
      <c r="P464" s="290"/>
    </row>
    <row r="465" spans="1:16" ht="21.75" customHeight="1" x14ac:dyDescent="0.3">
      <c r="A465" s="400"/>
      <c r="B465" s="401"/>
      <c r="C465" s="401"/>
      <c r="D465" s="402"/>
      <c r="E465" s="193" t="s">
        <v>167</v>
      </c>
      <c r="F465" s="195"/>
      <c r="G465" s="196"/>
      <c r="H465" s="416" t="s">
        <v>122</v>
      </c>
      <c r="I465" s="417">
        <f ca="1">IFERROR(__xludf.DUMMYFUNCTION("IMPORTRANGE(""https://docs.google.com/spreadsheets/d/11923uPwbBZFjjGgGUA6NLw09EwE0CqkOc4q9oUmW1yo/edit?usp=sharing"",""ตาก!I360"")"),55356)</f>
        <v>55356</v>
      </c>
      <c r="J465" s="418">
        <f ca="1">IFERROR(__xludf.DUMMYFUNCTION("IMPORTRANGE(""https://docs.google.com/spreadsheets/d/11923uPwbBZFjjGgGUA6NLw09EwE0CqkOc4q9oUmW1yo/edit?usp=sharing"",""ตาก!J360"")"),55357)</f>
        <v>55357</v>
      </c>
      <c r="K465" s="201">
        <f t="shared" ca="1" si="117"/>
        <v>100.00180648890816</v>
      </c>
      <c r="L465" s="181"/>
      <c r="M465" s="181"/>
      <c r="N465" s="181"/>
      <c r="O465" s="181"/>
      <c r="P465" s="181"/>
    </row>
    <row r="466" spans="1:16" ht="21.75" customHeight="1" x14ac:dyDescent="0.3">
      <c r="A466" s="400"/>
      <c r="B466" s="401"/>
      <c r="C466" s="401"/>
      <c r="D466" s="402"/>
      <c r="E466" s="195"/>
      <c r="F466" s="195"/>
      <c r="G466" s="196"/>
      <c r="H466" s="416" t="s">
        <v>36</v>
      </c>
      <c r="I466" s="417">
        <f ca="1">IFERROR(__xludf.DUMMYFUNCTION("IMPORTRANGE(""https://docs.google.com/spreadsheets/d/11923uPwbBZFjjGgGUA6NLw09EwE0CqkOc4q9oUmW1yo/edit?usp=sharing"",""ตาก!I361"")"),4506)</f>
        <v>4506</v>
      </c>
      <c r="J466" s="418">
        <f ca="1">IFERROR(__xludf.DUMMYFUNCTION("IMPORTRANGE(""https://docs.google.com/spreadsheets/d/11923uPwbBZFjjGgGUA6NLw09EwE0CqkOc4q9oUmW1yo/edit?usp=sharing"",""ตาก!J361"")"),4506)</f>
        <v>4506</v>
      </c>
      <c r="K466" s="201">
        <f t="shared" ca="1" si="117"/>
        <v>100</v>
      </c>
      <c r="L466" s="181"/>
      <c r="M466" s="181"/>
      <c r="N466" s="181"/>
      <c r="O466" s="181"/>
      <c r="P466" s="181"/>
    </row>
    <row r="467" spans="1:16" ht="21.75" customHeight="1" x14ac:dyDescent="0.3">
      <c r="A467" s="400"/>
      <c r="B467" s="401"/>
      <c r="C467" s="401"/>
      <c r="D467" s="402"/>
      <c r="E467" s="195"/>
      <c r="F467" s="388" t="s">
        <v>168</v>
      </c>
      <c r="G467" s="419"/>
      <c r="H467" s="420" t="s">
        <v>122</v>
      </c>
      <c r="I467" s="202">
        <f ca="1">IFERROR(__xludf.DUMMYFUNCTION("IMPORTRANGE(""https://docs.google.com/spreadsheets/d/11923uPwbBZFjjGgGUA6NLw09EwE0CqkOc4q9oUmW1yo/edit?usp=sharing"",""ตาก!I362"")"),0)</f>
        <v>0</v>
      </c>
      <c r="J467" s="188">
        <f ca="1">IFERROR(__xludf.DUMMYFUNCTION("IMPORTRANGE(""https://docs.google.com/spreadsheets/d/11923uPwbBZFjjGgGUA6NLw09EwE0CqkOc4q9oUmW1yo/edit?usp=sharing"",""ตาก!J362"")"),48668)</f>
        <v>48668</v>
      </c>
      <c r="K467" s="163">
        <f t="shared" ca="1" si="117"/>
        <v>0</v>
      </c>
      <c r="L467" s="181"/>
      <c r="M467" s="181"/>
      <c r="N467" s="181"/>
      <c r="O467" s="181"/>
      <c r="P467" s="181"/>
    </row>
    <row r="468" spans="1:16" ht="21.75" customHeight="1" x14ac:dyDescent="0.3">
      <c r="A468" s="400"/>
      <c r="B468" s="401"/>
      <c r="C468" s="401"/>
      <c r="D468" s="402"/>
      <c r="E468" s="195"/>
      <c r="F468" s="195"/>
      <c r="G468" s="419"/>
      <c r="H468" s="420" t="s">
        <v>36</v>
      </c>
      <c r="I468" s="202">
        <f ca="1">IFERROR(__xludf.DUMMYFUNCTION("IMPORTRANGE(""https://docs.google.com/spreadsheets/d/11923uPwbBZFjjGgGUA6NLw09EwE0CqkOc4q9oUmW1yo/edit?usp=sharing"",""ตาก!I363"")"),0)</f>
        <v>0</v>
      </c>
      <c r="J468" s="188">
        <f ca="1">IFERROR(__xludf.DUMMYFUNCTION("IMPORTRANGE(""https://docs.google.com/spreadsheets/d/11923uPwbBZFjjGgGUA6NLw09EwE0CqkOc4q9oUmW1yo/edit?usp=sharing"",""ตาก!J363"")"),4096)</f>
        <v>4096</v>
      </c>
      <c r="K468" s="163">
        <f t="shared" ca="1" si="117"/>
        <v>0</v>
      </c>
      <c r="L468" s="181"/>
      <c r="M468" s="181"/>
      <c r="N468" s="181"/>
      <c r="O468" s="181"/>
      <c r="P468" s="181"/>
    </row>
    <row r="469" spans="1:16" ht="21.75" customHeight="1" x14ac:dyDescent="0.3">
      <c r="A469" s="400"/>
      <c r="B469" s="401"/>
      <c r="C469" s="401"/>
      <c r="D469" s="402"/>
      <c r="E469" s="195"/>
      <c r="F469" s="388" t="s">
        <v>169</v>
      </c>
      <c r="G469" s="419"/>
      <c r="H469" s="420" t="s">
        <v>122</v>
      </c>
      <c r="I469" s="202">
        <f ca="1">IFERROR(__xludf.DUMMYFUNCTION("IMPORTRANGE(""https://docs.google.com/spreadsheets/d/11923uPwbBZFjjGgGUA6NLw09EwE0CqkOc4q9oUmW1yo/edit?usp=sharing"",""ตาก!I364"")"),0)</f>
        <v>0</v>
      </c>
      <c r="J469" s="188">
        <f ca="1">IFERROR(__xludf.DUMMYFUNCTION("IMPORTRANGE(""https://docs.google.com/spreadsheets/d/11923uPwbBZFjjGgGUA6NLw09EwE0CqkOc4q9oUmW1yo/edit?usp=sharing"",""ตาก!J364"")"),4889)</f>
        <v>4889</v>
      </c>
      <c r="K469" s="163">
        <f t="shared" ca="1" si="117"/>
        <v>0</v>
      </c>
      <c r="L469" s="181"/>
      <c r="M469" s="181"/>
      <c r="N469" s="181"/>
      <c r="O469" s="181"/>
      <c r="P469" s="181"/>
    </row>
    <row r="470" spans="1:16" ht="21.75" customHeight="1" x14ac:dyDescent="0.3">
      <c r="A470" s="400"/>
      <c r="B470" s="401"/>
      <c r="C470" s="401"/>
      <c r="D470" s="402"/>
      <c r="E470" s="195"/>
      <c r="F470" s="195"/>
      <c r="G470" s="419"/>
      <c r="H470" s="420" t="s">
        <v>36</v>
      </c>
      <c r="I470" s="202">
        <f ca="1">IFERROR(__xludf.DUMMYFUNCTION("IMPORTRANGE(""https://docs.google.com/spreadsheets/d/11923uPwbBZFjjGgGUA6NLw09EwE0CqkOc4q9oUmW1yo/edit?usp=sharing"",""ตาก!I365"")"),0)</f>
        <v>0</v>
      </c>
      <c r="J470" s="188">
        <f ca="1">IFERROR(__xludf.DUMMYFUNCTION("IMPORTRANGE(""https://docs.google.com/spreadsheets/d/11923uPwbBZFjjGgGUA6NLw09EwE0CqkOc4q9oUmW1yo/edit?usp=sharing"",""ตาก!J365"")"),302)</f>
        <v>302</v>
      </c>
      <c r="K470" s="163">
        <f t="shared" ca="1" si="117"/>
        <v>0</v>
      </c>
      <c r="L470" s="181"/>
      <c r="M470" s="181"/>
      <c r="N470" s="181"/>
      <c r="O470" s="181"/>
      <c r="P470" s="181"/>
    </row>
    <row r="471" spans="1:16" ht="21.75" customHeight="1" x14ac:dyDescent="0.3">
      <c r="A471" s="400"/>
      <c r="B471" s="401"/>
      <c r="C471" s="401"/>
      <c r="D471" s="402"/>
      <c r="E471" s="195"/>
      <c r="F471" s="388" t="s">
        <v>170</v>
      </c>
      <c r="G471" s="419"/>
      <c r="H471" s="420" t="s">
        <v>122</v>
      </c>
      <c r="I471" s="202">
        <f ca="1">IFERROR(__xludf.DUMMYFUNCTION("IMPORTRANGE(""https://docs.google.com/spreadsheets/d/11923uPwbBZFjjGgGUA6NLw09EwE0CqkOc4q9oUmW1yo/edit?usp=sharing"",""ตาก!I366"")"),0)</f>
        <v>0</v>
      </c>
      <c r="J471" s="188">
        <f ca="1">IFERROR(__xludf.DUMMYFUNCTION("IMPORTRANGE(""https://docs.google.com/spreadsheets/d/11923uPwbBZFjjGgGUA6NLw09EwE0CqkOc4q9oUmW1yo/edit?usp=sharing"",""ตาก!J366"")"),1800)</f>
        <v>1800</v>
      </c>
      <c r="K471" s="163">
        <f t="shared" ca="1" si="117"/>
        <v>0</v>
      </c>
      <c r="L471" s="181"/>
      <c r="M471" s="181"/>
      <c r="N471" s="181"/>
      <c r="O471" s="181"/>
      <c r="P471" s="181"/>
    </row>
    <row r="472" spans="1:16" ht="21.75" customHeight="1" x14ac:dyDescent="0.3">
      <c r="A472" s="400"/>
      <c r="B472" s="401"/>
      <c r="C472" s="401"/>
      <c r="D472" s="402"/>
      <c r="E472" s="195"/>
      <c r="F472" s="195"/>
      <c r="G472" s="195"/>
      <c r="H472" s="420" t="s">
        <v>36</v>
      </c>
      <c r="I472" s="202">
        <f ca="1">IFERROR(__xludf.DUMMYFUNCTION("IMPORTRANGE(""https://docs.google.com/spreadsheets/d/11923uPwbBZFjjGgGUA6NLw09EwE0CqkOc4q9oUmW1yo/edit?usp=sharing"",""ตาก!I367"")"),0)</f>
        <v>0</v>
      </c>
      <c r="J472" s="188">
        <f ca="1">IFERROR(__xludf.DUMMYFUNCTION("IMPORTRANGE(""https://docs.google.com/spreadsheets/d/11923uPwbBZFjjGgGUA6NLw09EwE0CqkOc4q9oUmW1yo/edit?usp=sharing"",""ตาก!J367"")"),108)</f>
        <v>108</v>
      </c>
      <c r="K472" s="163">
        <f t="shared" ca="1" si="117"/>
        <v>0</v>
      </c>
      <c r="L472" s="181"/>
      <c r="M472" s="181"/>
      <c r="N472" s="181"/>
      <c r="O472" s="181"/>
      <c r="P472" s="181"/>
    </row>
    <row r="473" spans="1:16" ht="21.75" customHeight="1" x14ac:dyDescent="0.3">
      <c r="A473" s="400"/>
      <c r="B473" s="401"/>
      <c r="C473" s="401"/>
      <c r="D473" s="402"/>
      <c r="E473" s="289" t="s">
        <v>171</v>
      </c>
      <c r="F473" s="195"/>
      <c r="G473" s="196"/>
      <c r="H473" s="416" t="s">
        <v>122</v>
      </c>
      <c r="I473" s="418">
        <f ca="1">IFERROR(__xludf.DUMMYFUNCTION("IMPORTRANGE(""https://docs.google.com/spreadsheets/d/11923uPwbBZFjjGgGUA6NLw09EwE0CqkOc4q9oUmW1yo/edit?usp=sharing"",""ตาก!I368"")"),55356)</f>
        <v>55356</v>
      </c>
      <c r="J473" s="418">
        <f ca="1">IFERROR(__xludf.DUMMYFUNCTION("IMPORTRANGE(""https://docs.google.com/spreadsheets/d/11923uPwbBZFjjGgGUA6NLw09EwE0CqkOc4q9oUmW1yo/edit?usp=sharing"",""ตาก!J368"")"),0)</f>
        <v>0</v>
      </c>
      <c r="K473" s="201">
        <f t="shared" ca="1" si="117"/>
        <v>0</v>
      </c>
      <c r="L473" s="181"/>
      <c r="M473" s="181"/>
      <c r="N473" s="181"/>
      <c r="O473" s="181"/>
      <c r="P473" s="181"/>
    </row>
    <row r="474" spans="1:16" ht="21.75" customHeight="1" x14ac:dyDescent="0.3">
      <c r="A474" s="400"/>
      <c r="B474" s="401"/>
      <c r="C474" s="401"/>
      <c r="D474" s="402"/>
      <c r="E474" s="195"/>
      <c r="F474" s="195"/>
      <c r="G474" s="196"/>
      <c r="H474" s="416" t="s">
        <v>36</v>
      </c>
      <c r="I474" s="417">
        <f ca="1">IFERROR(__xludf.DUMMYFUNCTION("IMPORTRANGE(""https://docs.google.com/spreadsheets/d/11923uPwbBZFjjGgGUA6NLw09EwE0CqkOc4q9oUmW1yo/edit?usp=sharing"",""ตาก!I369"")"),4506)</f>
        <v>4506</v>
      </c>
      <c r="J474" s="418">
        <f ca="1">IFERROR(__xludf.DUMMYFUNCTION("IMPORTRANGE(""https://docs.google.com/spreadsheets/d/11923uPwbBZFjjGgGUA6NLw09EwE0CqkOc4q9oUmW1yo/edit?usp=sharing"",""ตาก!J369"")"),0)</f>
        <v>0</v>
      </c>
      <c r="K474" s="163">
        <f t="shared" ca="1" si="117"/>
        <v>0</v>
      </c>
      <c r="L474" s="181"/>
      <c r="M474" s="181"/>
      <c r="N474" s="181"/>
      <c r="O474" s="181"/>
      <c r="P474" s="181"/>
    </row>
    <row r="475" spans="1:16" ht="21.75" customHeight="1" x14ac:dyDescent="0.3">
      <c r="A475" s="400"/>
      <c r="B475" s="401"/>
      <c r="C475" s="401"/>
      <c r="D475" s="402"/>
      <c r="E475" s="195"/>
      <c r="F475" s="194" t="s">
        <v>172</v>
      </c>
      <c r="G475" s="419"/>
      <c r="H475" s="420" t="s">
        <v>122</v>
      </c>
      <c r="I475" s="202">
        <f ca="1">IFERROR(__xludf.DUMMYFUNCTION("IMPORTRANGE(""https://docs.google.com/spreadsheets/d/11923uPwbBZFjjGgGUA6NLw09EwE0CqkOc4q9oUmW1yo/edit?usp=sharing"",""ตาก!I370"")"),0)</f>
        <v>0</v>
      </c>
      <c r="J475" s="188">
        <f ca="1">IFERROR(__xludf.DUMMYFUNCTION("IMPORTRANGE(""https://docs.google.com/spreadsheets/d/11923uPwbBZFjjGgGUA6NLw09EwE0CqkOc4q9oUmW1yo/edit?usp=sharing"",""ตาก!J370"")"),0)</f>
        <v>0</v>
      </c>
      <c r="K475" s="163">
        <f t="shared" ca="1" si="117"/>
        <v>0</v>
      </c>
      <c r="L475" s="181"/>
      <c r="M475" s="181"/>
      <c r="N475" s="181"/>
      <c r="O475" s="181"/>
      <c r="P475" s="181"/>
    </row>
    <row r="476" spans="1:16" ht="21.75" customHeight="1" x14ac:dyDescent="0.3">
      <c r="A476" s="400"/>
      <c r="B476" s="401"/>
      <c r="C476" s="401"/>
      <c r="D476" s="402"/>
      <c r="E476" s="195"/>
      <c r="F476" s="195"/>
      <c r="G476" s="419"/>
      <c r="H476" s="420" t="s">
        <v>36</v>
      </c>
      <c r="I476" s="202">
        <f ca="1">IFERROR(__xludf.DUMMYFUNCTION("IMPORTRANGE(""https://docs.google.com/spreadsheets/d/11923uPwbBZFjjGgGUA6NLw09EwE0CqkOc4q9oUmW1yo/edit?usp=sharing"",""ตาก!I371"")"),0)</f>
        <v>0</v>
      </c>
      <c r="J476" s="188">
        <f ca="1">IFERROR(__xludf.DUMMYFUNCTION("IMPORTRANGE(""https://docs.google.com/spreadsheets/d/11923uPwbBZFjjGgGUA6NLw09EwE0CqkOc4q9oUmW1yo/edit?usp=sharing"",""ตาก!J371"")"),0)</f>
        <v>0</v>
      </c>
      <c r="K476" s="163">
        <f t="shared" ca="1" si="117"/>
        <v>0</v>
      </c>
      <c r="L476" s="181"/>
      <c r="M476" s="181"/>
      <c r="N476" s="181"/>
      <c r="O476" s="181"/>
      <c r="P476" s="181"/>
    </row>
    <row r="477" spans="1:16" ht="21.75" customHeight="1" x14ac:dyDescent="0.3">
      <c r="A477" s="400"/>
      <c r="B477" s="401"/>
      <c r="C477" s="401"/>
      <c r="D477" s="402"/>
      <c r="E477" s="195"/>
      <c r="F477" s="194" t="s">
        <v>173</v>
      </c>
      <c r="G477" s="419"/>
      <c r="H477" s="420" t="s">
        <v>122</v>
      </c>
      <c r="I477" s="202">
        <f ca="1">IFERROR(__xludf.DUMMYFUNCTION("IMPORTRANGE(""https://docs.google.com/spreadsheets/d/11923uPwbBZFjjGgGUA6NLw09EwE0CqkOc4q9oUmW1yo/edit?usp=sharing"",""ตาก!I372"")"),0)</f>
        <v>0</v>
      </c>
      <c r="J477" s="188">
        <f ca="1">IFERROR(__xludf.DUMMYFUNCTION("IMPORTRANGE(""https://docs.google.com/spreadsheets/d/11923uPwbBZFjjGgGUA6NLw09EwE0CqkOc4q9oUmW1yo/edit?usp=sharing"",""ตาก!J372"")"),0)</f>
        <v>0</v>
      </c>
      <c r="K477" s="163">
        <f t="shared" ca="1" si="117"/>
        <v>0</v>
      </c>
      <c r="L477" s="181"/>
      <c r="M477" s="181"/>
      <c r="N477" s="181"/>
      <c r="O477" s="181"/>
      <c r="P477" s="181"/>
    </row>
    <row r="478" spans="1:16" ht="21.75" customHeight="1" x14ac:dyDescent="0.3">
      <c r="A478" s="400"/>
      <c r="B478" s="401"/>
      <c r="C478" s="401"/>
      <c r="D478" s="402"/>
      <c r="E478" s="195"/>
      <c r="F478" s="195"/>
      <c r="G478" s="419"/>
      <c r="H478" s="420" t="s">
        <v>36</v>
      </c>
      <c r="I478" s="202">
        <f ca="1">IFERROR(__xludf.DUMMYFUNCTION("IMPORTRANGE(""https://docs.google.com/spreadsheets/d/11923uPwbBZFjjGgGUA6NLw09EwE0CqkOc4q9oUmW1yo/edit?usp=sharing"",""ตาก!I373"")"),0)</f>
        <v>0</v>
      </c>
      <c r="J478" s="188">
        <f ca="1">IFERROR(__xludf.DUMMYFUNCTION("IMPORTRANGE(""https://docs.google.com/spreadsheets/d/11923uPwbBZFjjGgGUA6NLw09EwE0CqkOc4q9oUmW1yo/edit?usp=sharing"",""ตาก!J373"")"),0)</f>
        <v>0</v>
      </c>
      <c r="K478" s="163">
        <f t="shared" ca="1" si="117"/>
        <v>0</v>
      </c>
      <c r="L478" s="181"/>
      <c r="M478" s="181"/>
      <c r="N478" s="181"/>
      <c r="O478" s="181"/>
      <c r="P478" s="181"/>
    </row>
    <row r="479" spans="1:16" ht="21.75" customHeight="1" x14ac:dyDescent="0.3">
      <c r="A479" s="400"/>
      <c r="B479" s="401"/>
      <c r="C479" s="401"/>
      <c r="D479" s="402"/>
      <c r="E479" s="195"/>
      <c r="F479" s="194" t="s">
        <v>174</v>
      </c>
      <c r="G479" s="419"/>
      <c r="H479" s="420" t="s">
        <v>122</v>
      </c>
      <c r="I479" s="202">
        <f ca="1">IFERROR(__xludf.DUMMYFUNCTION("IMPORTRANGE(""https://docs.google.com/spreadsheets/d/11923uPwbBZFjjGgGUA6NLw09EwE0CqkOc4q9oUmW1yo/edit?usp=sharing"",""ตาก!I374"")"),0)</f>
        <v>0</v>
      </c>
      <c r="J479" s="188">
        <f ca="1">IFERROR(__xludf.DUMMYFUNCTION("IMPORTRANGE(""https://docs.google.com/spreadsheets/d/11923uPwbBZFjjGgGUA6NLw09EwE0CqkOc4q9oUmW1yo/edit?usp=sharing"",""ตาก!J374"")"),0)</f>
        <v>0</v>
      </c>
      <c r="K479" s="163">
        <f t="shared" ca="1" si="117"/>
        <v>0</v>
      </c>
      <c r="L479" s="181"/>
      <c r="M479" s="181"/>
      <c r="N479" s="181"/>
      <c r="O479" s="181"/>
      <c r="P479" s="181"/>
    </row>
    <row r="480" spans="1:16" ht="21.75" customHeight="1" x14ac:dyDescent="0.3">
      <c r="A480" s="400"/>
      <c r="B480" s="401"/>
      <c r="C480" s="401"/>
      <c r="D480" s="402"/>
      <c r="E480" s="195"/>
      <c r="F480" s="195"/>
      <c r="G480" s="196"/>
      <c r="H480" s="420" t="s">
        <v>36</v>
      </c>
      <c r="I480" s="202">
        <f ca="1">IFERROR(__xludf.DUMMYFUNCTION("IMPORTRANGE(""https://docs.google.com/spreadsheets/d/11923uPwbBZFjjGgGUA6NLw09EwE0CqkOc4q9oUmW1yo/edit?usp=sharing"",""ตาก!I375"")"),0)</f>
        <v>0</v>
      </c>
      <c r="J480" s="188">
        <f ca="1">IFERROR(__xludf.DUMMYFUNCTION("IMPORTRANGE(""https://docs.google.com/spreadsheets/d/11923uPwbBZFjjGgGUA6NLw09EwE0CqkOc4q9oUmW1yo/edit?usp=sharing"",""ตาก!J375"")"),0)</f>
        <v>0</v>
      </c>
      <c r="K480" s="163">
        <f t="shared" ca="1" si="117"/>
        <v>0</v>
      </c>
      <c r="L480" s="181"/>
      <c r="M480" s="181"/>
      <c r="N480" s="181"/>
      <c r="O480" s="181"/>
      <c r="P480" s="181"/>
    </row>
    <row r="481" spans="1:16" ht="21.75" customHeight="1" x14ac:dyDescent="0.3">
      <c r="A481" s="421"/>
      <c r="B481" s="422"/>
      <c r="C481" s="422"/>
      <c r="D481" s="423"/>
      <c r="E481" s="424" t="s">
        <v>175</v>
      </c>
      <c r="F481" s="425"/>
      <c r="G481" s="426"/>
      <c r="H481" s="427" t="s">
        <v>122</v>
      </c>
      <c r="I481" s="418">
        <f ca="1">IFERROR(__xludf.DUMMYFUNCTION("IMPORTRANGE(""https://docs.google.com/spreadsheets/d/11923uPwbBZFjjGgGUA6NLw09EwE0CqkOc4q9oUmW1yo/edit?usp=sharing"",""ตาก!I376"")"),55356)</f>
        <v>55356</v>
      </c>
      <c r="J481" s="418">
        <f ca="1">IFERROR(__xludf.DUMMYFUNCTION("IMPORTRANGE(""https://docs.google.com/spreadsheets/d/11923uPwbBZFjjGgGUA6NLw09EwE0CqkOc4q9oUmW1yo/edit?usp=sharing"",""ตาก!J376"")"),0)</f>
        <v>0</v>
      </c>
      <c r="K481" s="201">
        <f t="shared" ca="1" si="117"/>
        <v>0</v>
      </c>
      <c r="L481" s="428"/>
      <c r="M481" s="428"/>
      <c r="N481" s="428"/>
      <c r="O481" s="428"/>
      <c r="P481" s="428"/>
    </row>
    <row r="482" spans="1:16" ht="21.75" customHeight="1" x14ac:dyDescent="0.3">
      <c r="A482" s="400"/>
      <c r="B482" s="401"/>
      <c r="C482" s="401"/>
      <c r="D482" s="402"/>
      <c r="E482" s="195"/>
      <c r="F482" s="195"/>
      <c r="G482" s="196"/>
      <c r="H482" s="416" t="s">
        <v>36</v>
      </c>
      <c r="I482" s="417">
        <f ca="1">IFERROR(__xludf.DUMMYFUNCTION("IMPORTRANGE(""https://docs.google.com/spreadsheets/d/11923uPwbBZFjjGgGUA6NLw09EwE0CqkOc4q9oUmW1yo/edit?usp=sharing"",""ตาก!I377"")"),4506)</f>
        <v>4506</v>
      </c>
      <c r="J482" s="418">
        <f ca="1">IFERROR(__xludf.DUMMYFUNCTION("IMPORTRANGE(""https://docs.google.com/spreadsheets/d/11923uPwbBZFjjGgGUA6NLw09EwE0CqkOc4q9oUmW1yo/edit?usp=sharing"",""ตาก!J377"")"),0)</f>
        <v>0</v>
      </c>
      <c r="K482" s="163">
        <f t="shared" ca="1" si="117"/>
        <v>0</v>
      </c>
      <c r="L482" s="181"/>
      <c r="M482" s="181"/>
      <c r="N482" s="181"/>
      <c r="O482" s="181"/>
      <c r="P482" s="181"/>
    </row>
    <row r="483" spans="1:16" ht="21.75" customHeight="1" x14ac:dyDescent="0.3">
      <c r="A483" s="400"/>
      <c r="B483" s="401"/>
      <c r="C483" s="401"/>
      <c r="D483" s="402"/>
      <c r="E483" s="195"/>
      <c r="F483" s="194" t="s">
        <v>176</v>
      </c>
      <c r="G483" s="419"/>
      <c r="H483" s="420" t="s">
        <v>122</v>
      </c>
      <c r="I483" s="202">
        <f ca="1">IFERROR(__xludf.DUMMYFUNCTION("IMPORTRANGE(""https://docs.google.com/spreadsheets/d/11923uPwbBZFjjGgGUA6NLw09EwE0CqkOc4q9oUmW1yo/edit?usp=sharing"",""ตาก!I378"")"),0)</f>
        <v>0</v>
      </c>
      <c r="J483" s="188">
        <f ca="1">IFERROR(__xludf.DUMMYFUNCTION("IMPORTRANGE(""https://docs.google.com/spreadsheets/d/11923uPwbBZFjjGgGUA6NLw09EwE0CqkOc4q9oUmW1yo/edit?usp=sharing"",""ตาก!J378"")"),0)</f>
        <v>0</v>
      </c>
      <c r="K483" s="163">
        <f t="shared" ca="1" si="117"/>
        <v>0</v>
      </c>
      <c r="L483" s="181"/>
      <c r="M483" s="181"/>
      <c r="N483" s="181"/>
      <c r="O483" s="181"/>
      <c r="P483" s="181"/>
    </row>
    <row r="484" spans="1:16" ht="21.75" customHeight="1" x14ac:dyDescent="0.3">
      <c r="A484" s="400"/>
      <c r="B484" s="401"/>
      <c r="C484" s="401"/>
      <c r="D484" s="402"/>
      <c r="E484" s="195"/>
      <c r="F484" s="195"/>
      <c r="G484" s="419"/>
      <c r="H484" s="420" t="s">
        <v>36</v>
      </c>
      <c r="I484" s="202">
        <f ca="1">IFERROR(__xludf.DUMMYFUNCTION("IMPORTRANGE(""https://docs.google.com/spreadsheets/d/11923uPwbBZFjjGgGUA6NLw09EwE0CqkOc4q9oUmW1yo/edit?usp=sharing"",""ตาก!I379"")"),0)</f>
        <v>0</v>
      </c>
      <c r="J484" s="188">
        <f ca="1">IFERROR(__xludf.DUMMYFUNCTION("IMPORTRANGE(""https://docs.google.com/spreadsheets/d/11923uPwbBZFjjGgGUA6NLw09EwE0CqkOc4q9oUmW1yo/edit?usp=sharing"",""ตาก!J379"")"),0)</f>
        <v>0</v>
      </c>
      <c r="K484" s="163">
        <f t="shared" ca="1" si="117"/>
        <v>0</v>
      </c>
      <c r="L484" s="181"/>
      <c r="M484" s="181"/>
      <c r="N484" s="181"/>
      <c r="O484" s="181"/>
      <c r="P484" s="181"/>
    </row>
    <row r="485" spans="1:16" ht="21.75" customHeight="1" x14ac:dyDescent="0.3">
      <c r="A485" s="400"/>
      <c r="B485" s="401"/>
      <c r="C485" s="401"/>
      <c r="D485" s="402"/>
      <c r="E485" s="195"/>
      <c r="F485" s="194" t="s">
        <v>177</v>
      </c>
      <c r="G485" s="419"/>
      <c r="H485" s="420" t="s">
        <v>122</v>
      </c>
      <c r="I485" s="202">
        <f ca="1">IFERROR(__xludf.DUMMYFUNCTION("IMPORTRANGE(""https://docs.google.com/spreadsheets/d/11923uPwbBZFjjGgGUA6NLw09EwE0CqkOc4q9oUmW1yo/edit?usp=sharing"",""ตาก!I380"")"),0)</f>
        <v>0</v>
      </c>
      <c r="J485" s="188">
        <f ca="1">IFERROR(__xludf.DUMMYFUNCTION("IMPORTRANGE(""https://docs.google.com/spreadsheets/d/11923uPwbBZFjjGgGUA6NLw09EwE0CqkOc4q9oUmW1yo/edit?usp=sharing"",""ตาก!J380"")"),0)</f>
        <v>0</v>
      </c>
      <c r="K485" s="163">
        <f t="shared" ca="1" si="117"/>
        <v>0</v>
      </c>
      <c r="L485" s="181"/>
      <c r="M485" s="181"/>
      <c r="N485" s="181"/>
      <c r="O485" s="181"/>
      <c r="P485" s="181"/>
    </row>
    <row r="486" spans="1:16" ht="21.75" customHeight="1" x14ac:dyDescent="0.3">
      <c r="A486" s="400"/>
      <c r="B486" s="401"/>
      <c r="C486" s="401"/>
      <c r="D486" s="402"/>
      <c r="E486" s="195"/>
      <c r="F486" s="195"/>
      <c r="G486" s="419"/>
      <c r="H486" s="420" t="s">
        <v>36</v>
      </c>
      <c r="I486" s="202">
        <f ca="1">IFERROR(__xludf.DUMMYFUNCTION("IMPORTRANGE(""https://docs.google.com/spreadsheets/d/11923uPwbBZFjjGgGUA6NLw09EwE0CqkOc4q9oUmW1yo/edit?usp=sharing"",""ตาก!I381"")"),0)</f>
        <v>0</v>
      </c>
      <c r="J486" s="188">
        <f ca="1">IFERROR(__xludf.DUMMYFUNCTION("IMPORTRANGE(""https://docs.google.com/spreadsheets/d/11923uPwbBZFjjGgGUA6NLw09EwE0CqkOc4q9oUmW1yo/edit?usp=sharing"",""ตาก!J381"")"),0)</f>
        <v>0</v>
      </c>
      <c r="K486" s="163">
        <f t="shared" ca="1" si="117"/>
        <v>0</v>
      </c>
      <c r="L486" s="181"/>
      <c r="M486" s="181"/>
      <c r="N486" s="181"/>
      <c r="O486" s="181"/>
      <c r="P486" s="181"/>
    </row>
    <row r="487" spans="1:16" ht="21.75" customHeight="1" x14ac:dyDescent="0.3">
      <c r="A487" s="400"/>
      <c r="B487" s="401"/>
      <c r="C487" s="401"/>
      <c r="D487" s="402"/>
      <c r="E487" s="195"/>
      <c r="F487" s="194" t="s">
        <v>178</v>
      </c>
      <c r="G487" s="419"/>
      <c r="H487" s="420" t="s">
        <v>122</v>
      </c>
      <c r="I487" s="202">
        <f ca="1">IFERROR(__xludf.DUMMYFUNCTION("IMPORTRANGE(""https://docs.google.com/spreadsheets/d/11923uPwbBZFjjGgGUA6NLw09EwE0CqkOc4q9oUmW1yo/edit?usp=sharing"",""ตาก!I382"")"),0)</f>
        <v>0</v>
      </c>
      <c r="J487" s="418">
        <f ca="1">IFERROR(__xludf.DUMMYFUNCTION("IMPORTRANGE(""https://docs.google.com/spreadsheets/d/11923uPwbBZFjjGgGUA6NLw09EwE0CqkOc4q9oUmW1yo/edit?usp=sharing"",""ตาก!J382"")"),0)</f>
        <v>0</v>
      </c>
      <c r="K487" s="163">
        <f t="shared" ca="1" si="117"/>
        <v>0</v>
      </c>
      <c r="L487" s="181"/>
      <c r="M487" s="181"/>
      <c r="N487" s="181"/>
      <c r="O487" s="181"/>
      <c r="P487" s="181"/>
    </row>
    <row r="488" spans="1:16" ht="21.75" customHeight="1" x14ac:dyDescent="0.3">
      <c r="A488" s="400"/>
      <c r="B488" s="401"/>
      <c r="C488" s="401"/>
      <c r="D488" s="402"/>
      <c r="E488" s="195"/>
      <c r="F488" s="195"/>
      <c r="G488" s="195"/>
      <c r="H488" s="420" t="s">
        <v>36</v>
      </c>
      <c r="I488" s="202">
        <f ca="1">IFERROR(__xludf.DUMMYFUNCTION("IMPORTRANGE(""https://docs.google.com/spreadsheets/d/11923uPwbBZFjjGgGUA6NLw09EwE0CqkOc4q9oUmW1yo/edit?usp=sharing"",""ตาก!I383"")"),0)</f>
        <v>0</v>
      </c>
      <c r="J488" s="418">
        <f ca="1">IFERROR(__xludf.DUMMYFUNCTION("IMPORTRANGE(""https://docs.google.com/spreadsheets/d/11923uPwbBZFjjGgGUA6NLw09EwE0CqkOc4q9oUmW1yo/edit?usp=sharing"",""ตาก!J383"")"),0)</f>
        <v>0</v>
      </c>
      <c r="K488" s="163">
        <f t="shared" ca="1" si="117"/>
        <v>0</v>
      </c>
      <c r="L488" s="181"/>
      <c r="M488" s="181"/>
      <c r="N488" s="181"/>
      <c r="O488" s="181"/>
      <c r="P488" s="181"/>
    </row>
    <row r="489" spans="1:16" ht="21.75" customHeight="1" x14ac:dyDescent="0.3">
      <c r="A489" s="400"/>
      <c r="B489" s="401"/>
      <c r="C489" s="401"/>
      <c r="D489" s="402"/>
      <c r="E489" s="195"/>
      <c r="F489" s="195"/>
      <c r="G489" s="194" t="s">
        <v>179</v>
      </c>
      <c r="H489" s="420" t="s">
        <v>122</v>
      </c>
      <c r="I489" s="202">
        <f ca="1">IFERROR(__xludf.DUMMYFUNCTION("IMPORTRANGE(""https://docs.google.com/spreadsheets/d/11923uPwbBZFjjGgGUA6NLw09EwE0CqkOc4q9oUmW1yo/edit?usp=sharing"",""ตาก!I384"")"),0)</f>
        <v>0</v>
      </c>
      <c r="J489" s="188">
        <f ca="1">IFERROR(__xludf.DUMMYFUNCTION("IMPORTRANGE(""https://docs.google.com/spreadsheets/d/11923uPwbBZFjjGgGUA6NLw09EwE0CqkOc4q9oUmW1yo/edit?usp=sharing"",""ตาก!J384"")"),0)</f>
        <v>0</v>
      </c>
      <c r="K489" s="163">
        <f t="shared" ca="1" si="117"/>
        <v>0</v>
      </c>
      <c r="L489" s="181"/>
      <c r="M489" s="181"/>
      <c r="N489" s="181"/>
      <c r="O489" s="181"/>
      <c r="P489" s="181"/>
    </row>
    <row r="490" spans="1:16" ht="21.75" customHeight="1" x14ac:dyDescent="0.3">
      <c r="A490" s="400"/>
      <c r="B490" s="401"/>
      <c r="C490" s="401"/>
      <c r="D490" s="402"/>
      <c r="E490" s="195"/>
      <c r="F490" s="195"/>
      <c r="G490" s="195"/>
      <c r="H490" s="420" t="s">
        <v>36</v>
      </c>
      <c r="I490" s="202">
        <f ca="1">IFERROR(__xludf.DUMMYFUNCTION("IMPORTRANGE(""https://docs.google.com/spreadsheets/d/11923uPwbBZFjjGgGUA6NLw09EwE0CqkOc4q9oUmW1yo/edit?usp=sharing"",""ตาก!I385"")"),0)</f>
        <v>0</v>
      </c>
      <c r="J490" s="188">
        <f ca="1">IFERROR(__xludf.DUMMYFUNCTION("IMPORTRANGE(""https://docs.google.com/spreadsheets/d/11923uPwbBZFjjGgGUA6NLw09EwE0CqkOc4q9oUmW1yo/edit?usp=sharing"",""ตาก!J385"")"),0)</f>
        <v>0</v>
      </c>
      <c r="K490" s="163">
        <f t="shared" ca="1" si="117"/>
        <v>0</v>
      </c>
      <c r="L490" s="181"/>
      <c r="M490" s="181"/>
      <c r="N490" s="181"/>
      <c r="O490" s="181"/>
      <c r="P490" s="181"/>
    </row>
    <row r="491" spans="1:16" ht="21.75" customHeight="1" x14ac:dyDescent="0.3">
      <c r="A491" s="400"/>
      <c r="B491" s="401"/>
      <c r="C491" s="401"/>
      <c r="D491" s="402"/>
      <c r="E491" s="195"/>
      <c r="F491" s="195"/>
      <c r="G491" s="194" t="s">
        <v>180</v>
      </c>
      <c r="H491" s="420" t="s">
        <v>122</v>
      </c>
      <c r="I491" s="202">
        <f ca="1">IFERROR(__xludf.DUMMYFUNCTION("IMPORTRANGE(""https://docs.google.com/spreadsheets/d/11923uPwbBZFjjGgGUA6NLw09EwE0CqkOc4q9oUmW1yo/edit?usp=sharing"",""ตาก!I386"")"),0)</f>
        <v>0</v>
      </c>
      <c r="J491" s="188">
        <f ca="1">IFERROR(__xludf.DUMMYFUNCTION("IMPORTRANGE(""https://docs.google.com/spreadsheets/d/11923uPwbBZFjjGgGUA6NLw09EwE0CqkOc4q9oUmW1yo/edit?usp=sharing"",""ตาก!J386"")"),0)</f>
        <v>0</v>
      </c>
      <c r="K491" s="163">
        <f t="shared" ca="1" si="117"/>
        <v>0</v>
      </c>
      <c r="L491" s="181"/>
      <c r="M491" s="181"/>
      <c r="N491" s="181"/>
      <c r="O491" s="181"/>
      <c r="P491" s="181"/>
    </row>
    <row r="492" spans="1:16" ht="21.75" customHeight="1" x14ac:dyDescent="0.3">
      <c r="A492" s="400"/>
      <c r="B492" s="401"/>
      <c r="C492" s="401"/>
      <c r="D492" s="402"/>
      <c r="E492" s="195"/>
      <c r="F492" s="195"/>
      <c r="G492" s="196"/>
      <c r="H492" s="420" t="s">
        <v>36</v>
      </c>
      <c r="I492" s="202">
        <f ca="1">IFERROR(__xludf.DUMMYFUNCTION("IMPORTRANGE(""https://docs.google.com/spreadsheets/d/11923uPwbBZFjjGgGUA6NLw09EwE0CqkOc4q9oUmW1yo/edit?usp=sharing"",""ตาก!I387"")"),0)</f>
        <v>0</v>
      </c>
      <c r="J492" s="188">
        <f ca="1">IFERROR(__xludf.DUMMYFUNCTION("IMPORTRANGE(""https://docs.google.com/spreadsheets/d/11923uPwbBZFjjGgGUA6NLw09EwE0CqkOc4q9oUmW1yo/edit?usp=sharing"",""ตาก!J387"")"),0)</f>
        <v>0</v>
      </c>
      <c r="K492" s="163">
        <f t="shared" ca="1" si="117"/>
        <v>0</v>
      </c>
      <c r="L492" s="181"/>
      <c r="M492" s="181"/>
      <c r="N492" s="181"/>
      <c r="O492" s="181"/>
      <c r="P492" s="181"/>
    </row>
    <row r="493" spans="1:16" ht="21.75" customHeight="1" x14ac:dyDescent="0.3">
      <c r="A493" s="400"/>
      <c r="B493" s="401"/>
      <c r="C493" s="401"/>
      <c r="D493" s="402"/>
      <c r="E493" s="195"/>
      <c r="F493" s="194" t="s">
        <v>181</v>
      </c>
      <c r="G493" s="419"/>
      <c r="H493" s="420" t="s">
        <v>122</v>
      </c>
      <c r="I493" s="202">
        <f ca="1">IFERROR(__xludf.DUMMYFUNCTION("IMPORTRANGE(""https://docs.google.com/spreadsheets/d/11923uPwbBZFjjGgGUA6NLw09EwE0CqkOc4q9oUmW1yo/edit?usp=sharing"",""ตาก!I388"")"),0)</f>
        <v>0</v>
      </c>
      <c r="J493" s="188">
        <f ca="1">IFERROR(__xludf.DUMMYFUNCTION("IMPORTRANGE(""https://docs.google.com/spreadsheets/d/11923uPwbBZFjjGgGUA6NLw09EwE0CqkOc4q9oUmW1yo/edit?usp=sharing"",""ตาก!J388"")"),0)</f>
        <v>0</v>
      </c>
      <c r="K493" s="163">
        <f t="shared" ca="1" si="117"/>
        <v>0</v>
      </c>
      <c r="L493" s="181"/>
      <c r="M493" s="181"/>
      <c r="N493" s="181"/>
      <c r="O493" s="181"/>
      <c r="P493" s="181"/>
    </row>
    <row r="494" spans="1:16" ht="21.75" customHeight="1" x14ac:dyDescent="0.3">
      <c r="A494" s="429"/>
      <c r="B494" s="430"/>
      <c r="C494" s="430"/>
      <c r="D494" s="431"/>
      <c r="E494" s="345"/>
      <c r="F494" s="345"/>
      <c r="G494" s="345"/>
      <c r="H494" s="432" t="s">
        <v>36</v>
      </c>
      <c r="I494" s="433">
        <f ca="1">IFERROR(__xludf.DUMMYFUNCTION("IMPORTRANGE(""https://docs.google.com/spreadsheets/d/11923uPwbBZFjjGgGUA6NLw09EwE0CqkOc4q9oUmW1yo/edit?usp=sharing"",""ตาก!I389"")"),0)</f>
        <v>0</v>
      </c>
      <c r="J494" s="434">
        <f ca="1">IFERROR(__xludf.DUMMYFUNCTION("IMPORTRANGE(""https://docs.google.com/spreadsheets/d/11923uPwbBZFjjGgGUA6NLw09EwE0CqkOc4q9oUmW1yo/edit?usp=sharing"",""ตาก!J389"")"),0)</f>
        <v>0</v>
      </c>
      <c r="K494" s="286">
        <f t="shared" ca="1" si="117"/>
        <v>0</v>
      </c>
      <c r="L494" s="244"/>
      <c r="M494" s="244"/>
      <c r="N494" s="244"/>
      <c r="O494" s="244"/>
      <c r="P494" s="244"/>
    </row>
    <row r="495" spans="1:16" ht="21.75" customHeight="1" x14ac:dyDescent="0.3">
      <c r="A495" s="400"/>
      <c r="B495" s="401"/>
      <c r="C495" s="401"/>
      <c r="D495" s="402"/>
      <c r="E495" s="195"/>
      <c r="F495" s="195">
        <v>3.5</v>
      </c>
      <c r="G495" s="419" t="s">
        <v>182</v>
      </c>
      <c r="H495" s="420" t="s">
        <v>122</v>
      </c>
      <c r="I495" s="433">
        <f ca="1">IFERROR(__xludf.DUMMYFUNCTION("IMPORTRANGE(""https://docs.google.com/spreadsheets/d/11923uPwbBZFjjGgGUA6NLw09EwE0CqkOc4q9oUmW1yo/edit?usp=sharing"",""ตาก!I390"")"),0)</f>
        <v>0</v>
      </c>
      <c r="J495" s="434">
        <f ca="1">IFERROR(__xludf.DUMMYFUNCTION("IMPORTRANGE(""https://docs.google.com/spreadsheets/d/11923uPwbBZFjjGgGUA6NLw09EwE0CqkOc4q9oUmW1yo/edit?usp=sharing"",""ตาก!J390"")"),0)</f>
        <v>0</v>
      </c>
      <c r="K495" s="163">
        <f t="shared" ca="1" si="117"/>
        <v>0</v>
      </c>
      <c r="L495" s="181"/>
      <c r="M495" s="181"/>
      <c r="N495" s="181"/>
      <c r="O495" s="181"/>
      <c r="P495" s="181"/>
    </row>
    <row r="496" spans="1:16" ht="21.75" customHeight="1" x14ac:dyDescent="0.3">
      <c r="A496" s="429"/>
      <c r="B496" s="430"/>
      <c r="C496" s="430"/>
      <c r="D496" s="431"/>
      <c r="E496" s="345"/>
      <c r="F496" s="345"/>
      <c r="G496" s="345"/>
      <c r="H496" s="432" t="s">
        <v>36</v>
      </c>
      <c r="I496" s="433">
        <f ca="1">IFERROR(__xludf.DUMMYFUNCTION("IMPORTRANGE(""https://docs.google.com/spreadsheets/d/11923uPwbBZFjjGgGUA6NLw09EwE0CqkOc4q9oUmW1yo/edit?usp=sharing"",""ตาก!I391"")"),0)</f>
        <v>0</v>
      </c>
      <c r="J496" s="434">
        <f ca="1">IFERROR(__xludf.DUMMYFUNCTION("IMPORTRANGE(""https://docs.google.com/spreadsheets/d/11923uPwbBZFjjGgGUA6NLw09EwE0CqkOc4q9oUmW1yo/edit?usp=sharing"",""ตาก!J391"")"),0)</f>
        <v>0</v>
      </c>
      <c r="K496" s="286">
        <f t="shared" ca="1" si="117"/>
        <v>0</v>
      </c>
      <c r="L496" s="244"/>
      <c r="M496" s="244"/>
      <c r="N496" s="244"/>
      <c r="O496" s="244"/>
      <c r="P496" s="244"/>
    </row>
    <row r="497" spans="1:16" ht="21.75" customHeight="1" x14ac:dyDescent="0.3">
      <c r="A497" s="435"/>
      <c r="B497" s="436"/>
      <c r="C497" s="437" t="s">
        <v>183</v>
      </c>
      <c r="D497" s="437"/>
      <c r="E497" s="438"/>
      <c r="F497" s="438"/>
      <c r="G497" s="439"/>
      <c r="H497" s="440" t="s">
        <v>122</v>
      </c>
      <c r="I497" s="441">
        <f ca="1">IFERROR(__xludf.DUMMYFUNCTION("IMPORTRANGE(""https://docs.google.com/spreadsheets/d/11923uPwbBZFjjGgGUA6NLw09EwE0CqkOc4q9oUmW1yo/edit?usp=sharing"",""ตาก!I392"")"),156)</f>
        <v>156</v>
      </c>
      <c r="J497" s="441">
        <f ca="1">IFERROR(__xludf.DUMMYFUNCTION("IMPORTRANGE(""https://docs.google.com/spreadsheets/d/11923uPwbBZFjjGgGUA6NLw09EwE0CqkOc4q9oUmW1yo/edit?usp=sharing"",""ตาก!J392"")"),0)</f>
        <v>0</v>
      </c>
      <c r="K497" s="442">
        <f t="shared" ca="1" si="117"/>
        <v>0</v>
      </c>
      <c r="L497" s="443"/>
      <c r="M497" s="443"/>
      <c r="N497" s="443"/>
      <c r="O497" s="443"/>
      <c r="P497" s="443"/>
    </row>
    <row r="498" spans="1:16" ht="21.75" customHeight="1" x14ac:dyDescent="0.3">
      <c r="A498" s="175"/>
      <c r="B498" s="176"/>
      <c r="C498" s="176"/>
      <c r="D498" s="402"/>
      <c r="E498" s="444" t="s">
        <v>184</v>
      </c>
      <c r="F498" s="445"/>
      <c r="G498" s="446"/>
      <c r="H498" s="447" t="s">
        <v>122</v>
      </c>
      <c r="I498" s="418">
        <f ca="1">IFERROR(__xludf.DUMMYFUNCTION("IMPORTRANGE(""https://docs.google.com/spreadsheets/d/11923uPwbBZFjjGgGUA6NLw09EwE0CqkOc4q9oUmW1yo/edit?usp=sharing"",""ตาก!I393"")"),156)</f>
        <v>156</v>
      </c>
      <c r="J498" s="418">
        <f ca="1">IFERROR(__xludf.DUMMYFUNCTION("IMPORTRANGE(""https://docs.google.com/spreadsheets/d/11923uPwbBZFjjGgGUA6NLw09EwE0CqkOc4q9oUmW1yo/edit?usp=sharing"",""ตาก!J393"")"),0)</f>
        <v>0</v>
      </c>
      <c r="K498" s="163">
        <f t="shared" ca="1" si="117"/>
        <v>0</v>
      </c>
      <c r="L498" s="181"/>
      <c r="M498" s="181"/>
      <c r="N498" s="181"/>
      <c r="O498" s="181"/>
      <c r="P498" s="181"/>
    </row>
    <row r="499" spans="1:16" ht="21.75" customHeight="1" x14ac:dyDescent="0.3">
      <c r="A499" s="175"/>
      <c r="B499" s="176"/>
      <c r="C499" s="176"/>
      <c r="D499" s="193"/>
      <c r="E499" s="445"/>
      <c r="F499" s="445"/>
      <c r="G499" s="446"/>
      <c r="H499" s="447" t="s">
        <v>36</v>
      </c>
      <c r="I499" s="418">
        <f ca="1">IFERROR(__xludf.DUMMYFUNCTION("IMPORTRANGE(""https://docs.google.com/spreadsheets/d/11923uPwbBZFjjGgGUA6NLw09EwE0CqkOc4q9oUmW1yo/edit?usp=sharing"",""ตาก!I394"")"),28)</f>
        <v>28</v>
      </c>
      <c r="J499" s="418">
        <f ca="1">IFERROR(__xludf.DUMMYFUNCTION("IMPORTRANGE(""https://docs.google.com/spreadsheets/d/11923uPwbBZFjjGgGUA6NLw09EwE0CqkOc4q9oUmW1yo/edit?usp=sharing"",""ตาก!J394"")"),0)</f>
        <v>0</v>
      </c>
      <c r="K499" s="201">
        <f t="shared" ca="1" si="117"/>
        <v>0</v>
      </c>
      <c r="L499" s="181"/>
      <c r="M499" s="181"/>
      <c r="N499" s="181"/>
      <c r="O499" s="181"/>
      <c r="P499" s="181"/>
    </row>
    <row r="500" spans="1:16" ht="21.75" customHeight="1" x14ac:dyDescent="0.3">
      <c r="A500" s="175"/>
      <c r="B500" s="176"/>
      <c r="C500" s="176"/>
      <c r="D500" s="402"/>
      <c r="E500" s="402" t="s">
        <v>185</v>
      </c>
      <c r="F500" s="195"/>
      <c r="G500" s="196"/>
      <c r="H500" s="420" t="s">
        <v>122</v>
      </c>
      <c r="I500" s="202">
        <f ca="1">IFERROR(__xludf.DUMMYFUNCTION("IMPORTRANGE(""https://docs.google.com/spreadsheets/d/11923uPwbBZFjjGgGUA6NLw09EwE0CqkOc4q9oUmW1yo/edit?usp=sharing"",""ตาก!I395"")"),0)</f>
        <v>0</v>
      </c>
      <c r="J500" s="162">
        <f ca="1">IFERROR(__xludf.DUMMYFUNCTION("IMPORTRANGE(""https://docs.google.com/spreadsheets/d/11923uPwbBZFjjGgGUA6NLw09EwE0CqkOc4q9oUmW1yo/edit?usp=sharing"",""ตาก!J395"")"),0)</f>
        <v>0</v>
      </c>
      <c r="K500" s="163">
        <f t="shared" ca="1" si="117"/>
        <v>0</v>
      </c>
      <c r="L500" s="181"/>
      <c r="M500" s="181"/>
      <c r="N500" s="181"/>
      <c r="O500" s="181"/>
      <c r="P500" s="181"/>
    </row>
    <row r="501" spans="1:16" ht="21.75" customHeight="1" x14ac:dyDescent="0.3">
      <c r="A501" s="175"/>
      <c r="B501" s="176"/>
      <c r="C501" s="176"/>
      <c r="D501" s="193"/>
      <c r="E501" s="195"/>
      <c r="F501" s="195"/>
      <c r="G501" s="196"/>
      <c r="H501" s="420" t="s">
        <v>36</v>
      </c>
      <c r="I501" s="202">
        <f ca="1">IFERROR(__xludf.DUMMYFUNCTION("IMPORTRANGE(""https://docs.google.com/spreadsheets/d/11923uPwbBZFjjGgGUA6NLw09EwE0CqkOc4q9oUmW1yo/edit?usp=sharing"",""ตาก!I396"")"),0)</f>
        <v>0</v>
      </c>
      <c r="J501" s="162">
        <f ca="1">IFERROR(__xludf.DUMMYFUNCTION("IMPORTRANGE(""https://docs.google.com/spreadsheets/d/11923uPwbBZFjjGgGUA6NLw09EwE0CqkOc4q9oUmW1yo/edit?usp=sharing"",""ตาก!J396"")"),0)</f>
        <v>0</v>
      </c>
      <c r="K501" s="163">
        <f t="shared" ca="1" si="117"/>
        <v>0</v>
      </c>
      <c r="L501" s="181"/>
      <c r="M501" s="181"/>
      <c r="N501" s="181"/>
      <c r="O501" s="181"/>
      <c r="P501" s="181"/>
    </row>
    <row r="502" spans="1:16" ht="21.75" customHeight="1" x14ac:dyDescent="0.3">
      <c r="A502" s="175"/>
      <c r="B502" s="176"/>
      <c r="C502" s="176"/>
      <c r="D502" s="193"/>
      <c r="E502" s="195"/>
      <c r="F502" s="397" t="s">
        <v>186</v>
      </c>
      <c r="G502" s="419"/>
      <c r="H502" s="420" t="s">
        <v>122</v>
      </c>
      <c r="I502" s="202">
        <f ca="1">IFERROR(__xludf.DUMMYFUNCTION("IMPORTRANGE(""https://docs.google.com/spreadsheets/d/11923uPwbBZFjjGgGUA6NLw09EwE0CqkOc4q9oUmW1yo/edit?usp=sharing"",""ตาก!I397"")"),0)</f>
        <v>0</v>
      </c>
      <c r="J502" s="188">
        <f ca="1">IFERROR(__xludf.DUMMYFUNCTION("IMPORTRANGE(""https://docs.google.com/spreadsheets/d/11923uPwbBZFjjGgGUA6NLw09EwE0CqkOc4q9oUmW1yo/edit?usp=sharing"",""ตาก!J397"")"),0)</f>
        <v>0</v>
      </c>
      <c r="K502" s="163">
        <f t="shared" ca="1" si="117"/>
        <v>0</v>
      </c>
      <c r="L502" s="181"/>
      <c r="M502" s="181"/>
      <c r="N502" s="181"/>
      <c r="O502" s="181"/>
      <c r="P502" s="181"/>
    </row>
    <row r="503" spans="1:16" ht="21.75" customHeight="1" x14ac:dyDescent="0.3">
      <c r="A503" s="175"/>
      <c r="B503" s="176"/>
      <c r="C503" s="176"/>
      <c r="D503" s="193"/>
      <c r="E503" s="195"/>
      <c r="F503" s="195"/>
      <c r="G503" s="419"/>
      <c r="H503" s="420" t="s">
        <v>36</v>
      </c>
      <c r="I503" s="187">
        <f ca="1">IFERROR(__xludf.DUMMYFUNCTION("IMPORTRANGE(""https://docs.google.com/spreadsheets/d/11923uPwbBZFjjGgGUA6NLw09EwE0CqkOc4q9oUmW1yo/edit?usp=sharing"",""ตาก!I398"")"),0)</f>
        <v>0</v>
      </c>
      <c r="J503" s="197">
        <f ca="1">IFERROR(__xludf.DUMMYFUNCTION("IMPORTRANGE(""https://docs.google.com/spreadsheets/d/11923uPwbBZFjjGgGUA6NLw09EwE0CqkOc4q9oUmW1yo/edit?usp=sharing"",""ตาก!J398"")"),0)</f>
        <v>0</v>
      </c>
      <c r="K503" s="163">
        <f t="shared" ca="1" si="117"/>
        <v>0</v>
      </c>
      <c r="L503" s="181"/>
      <c r="M503" s="181"/>
      <c r="N503" s="181"/>
      <c r="O503" s="181"/>
      <c r="P503" s="181"/>
    </row>
    <row r="504" spans="1:16" ht="21.75" customHeight="1" x14ac:dyDescent="0.3">
      <c r="A504" s="175"/>
      <c r="B504" s="176"/>
      <c r="C504" s="176"/>
      <c r="D504" s="193"/>
      <c r="E504" s="195"/>
      <c r="F504" s="388" t="s">
        <v>187</v>
      </c>
      <c r="G504" s="419"/>
      <c r="H504" s="420" t="s">
        <v>122</v>
      </c>
      <c r="I504" s="203">
        <f ca="1">IFERROR(__xludf.DUMMYFUNCTION("IMPORTRANGE(""https://docs.google.com/spreadsheets/d/11923uPwbBZFjjGgGUA6NLw09EwE0CqkOc4q9oUmW1yo/edit?usp=sharing"",""ตาก!I399"")"),0)</f>
        <v>0</v>
      </c>
      <c r="J504" s="188">
        <f ca="1">IFERROR(__xludf.DUMMYFUNCTION("IMPORTRANGE(""https://docs.google.com/spreadsheets/d/11923uPwbBZFjjGgGUA6NLw09EwE0CqkOc4q9oUmW1yo/edit?usp=sharing"",""ตาก!J399"")"),0)</f>
        <v>0</v>
      </c>
      <c r="K504" s="163">
        <f t="shared" ca="1" si="117"/>
        <v>0</v>
      </c>
      <c r="L504" s="181"/>
      <c r="M504" s="181"/>
      <c r="N504" s="181"/>
      <c r="O504" s="181"/>
      <c r="P504" s="181"/>
    </row>
    <row r="505" spans="1:16" ht="21.75" customHeight="1" x14ac:dyDescent="0.3">
      <c r="A505" s="175"/>
      <c r="B505" s="176"/>
      <c r="C505" s="176"/>
      <c r="D505" s="193"/>
      <c r="E505" s="195"/>
      <c r="F505" s="195"/>
      <c r="G505" s="419"/>
      <c r="H505" s="420" t="s">
        <v>36</v>
      </c>
      <c r="I505" s="187">
        <f ca="1">IFERROR(__xludf.DUMMYFUNCTION("IMPORTRANGE(""https://docs.google.com/spreadsheets/d/11923uPwbBZFjjGgGUA6NLw09EwE0CqkOc4q9oUmW1yo/edit?usp=sharing"",""ตาก!I400"")"),0)</f>
        <v>0</v>
      </c>
      <c r="J505" s="197">
        <f ca="1">IFERROR(__xludf.DUMMYFUNCTION("IMPORTRANGE(""https://docs.google.com/spreadsheets/d/11923uPwbBZFjjGgGUA6NLw09EwE0CqkOc4q9oUmW1yo/edit?usp=sharing"",""ตาก!J400"")"),0)</f>
        <v>0</v>
      </c>
      <c r="K505" s="163">
        <f t="shared" ca="1" si="117"/>
        <v>0</v>
      </c>
      <c r="L505" s="181"/>
      <c r="M505" s="181"/>
      <c r="N505" s="181"/>
      <c r="O505" s="181"/>
      <c r="P505" s="181"/>
    </row>
    <row r="506" spans="1:16" ht="21.75" customHeight="1" x14ac:dyDescent="0.3">
      <c r="A506" s="175"/>
      <c r="B506" s="176"/>
      <c r="C506" s="176"/>
      <c r="D506" s="193"/>
      <c r="E506" s="195"/>
      <c r="F506" s="397" t="s">
        <v>188</v>
      </c>
      <c r="G506" s="419"/>
      <c r="H506" s="420" t="s">
        <v>122</v>
      </c>
      <c r="I506" s="203">
        <f ca="1">IFERROR(__xludf.DUMMYFUNCTION("IMPORTRANGE(""https://docs.google.com/spreadsheets/d/11923uPwbBZFjjGgGUA6NLw09EwE0CqkOc4q9oUmW1yo/edit?usp=sharing"",""ตาก!I401"")"),0)</f>
        <v>0</v>
      </c>
      <c r="J506" s="188">
        <f ca="1">IFERROR(__xludf.DUMMYFUNCTION("IMPORTRANGE(""https://docs.google.com/spreadsheets/d/11923uPwbBZFjjGgGUA6NLw09EwE0CqkOc4q9oUmW1yo/edit?usp=sharing"",""ตาก!J401"")"),0)</f>
        <v>0</v>
      </c>
      <c r="K506" s="163">
        <f t="shared" ca="1" si="117"/>
        <v>0</v>
      </c>
      <c r="L506" s="181"/>
      <c r="M506" s="181"/>
      <c r="N506" s="181"/>
      <c r="O506" s="181"/>
      <c r="P506" s="181"/>
    </row>
    <row r="507" spans="1:16" ht="21.75" customHeight="1" x14ac:dyDescent="0.3">
      <c r="A507" s="175"/>
      <c r="B507" s="176"/>
      <c r="C507" s="176"/>
      <c r="D507" s="193"/>
      <c r="E507" s="195"/>
      <c r="F507" s="195"/>
      <c r="G507" s="195"/>
      <c r="H507" s="420" t="s">
        <v>36</v>
      </c>
      <c r="I507" s="187">
        <f ca="1">IFERROR(__xludf.DUMMYFUNCTION("IMPORTRANGE(""https://docs.google.com/spreadsheets/d/11923uPwbBZFjjGgGUA6NLw09EwE0CqkOc4q9oUmW1yo/edit?usp=sharing"",""ตาก!I402"")"),0)</f>
        <v>0</v>
      </c>
      <c r="J507" s="197">
        <f ca="1">IFERROR(__xludf.DUMMYFUNCTION("IMPORTRANGE(""https://docs.google.com/spreadsheets/d/11923uPwbBZFjjGgGUA6NLw09EwE0CqkOc4q9oUmW1yo/edit?usp=sharing"",""ตาก!J402"")"),0)</f>
        <v>0</v>
      </c>
      <c r="K507" s="163">
        <f t="shared" ca="1" si="117"/>
        <v>0</v>
      </c>
      <c r="L507" s="181"/>
      <c r="M507" s="181"/>
      <c r="N507" s="181"/>
      <c r="O507" s="181"/>
      <c r="P507" s="181"/>
    </row>
    <row r="508" spans="1:16" ht="21.75" customHeight="1" x14ac:dyDescent="0.3">
      <c r="A508" s="175"/>
      <c r="B508" s="176"/>
      <c r="C508" s="176"/>
      <c r="D508" s="193"/>
      <c r="E508" s="194" t="s">
        <v>189</v>
      </c>
      <c r="F508" s="195"/>
      <c r="G508" s="419"/>
      <c r="H508" s="420" t="s">
        <v>122</v>
      </c>
      <c r="I508" s="187">
        <f ca="1">IFERROR(__xludf.DUMMYFUNCTION("IMPORTRANGE(""https://docs.google.com/spreadsheets/d/11923uPwbBZFjjGgGUA6NLw09EwE0CqkOc4q9oUmW1yo/edit?usp=sharing"",""ตาก!I403"")"),0)</f>
        <v>0</v>
      </c>
      <c r="J508" s="162">
        <f ca="1">IFERROR(__xludf.DUMMYFUNCTION("IMPORTRANGE(""https://docs.google.com/spreadsheets/d/11923uPwbBZFjjGgGUA6NLw09EwE0CqkOc4q9oUmW1yo/edit?usp=sharing"",""ตาก!J403"")"),0)</f>
        <v>0</v>
      </c>
      <c r="K508" s="163">
        <f t="shared" ca="1" si="117"/>
        <v>0</v>
      </c>
      <c r="L508" s="181"/>
      <c r="M508" s="181"/>
      <c r="N508" s="181"/>
      <c r="O508" s="181"/>
      <c r="P508" s="181"/>
    </row>
    <row r="509" spans="1:16" ht="21.75" customHeight="1" x14ac:dyDescent="0.3">
      <c r="A509" s="175"/>
      <c r="B509" s="176"/>
      <c r="C509" s="176"/>
      <c r="D509" s="193"/>
      <c r="E509" s="195"/>
      <c r="F509" s="195"/>
      <c r="G509" s="195"/>
      <c r="H509" s="420" t="s">
        <v>36</v>
      </c>
      <c r="I509" s="187">
        <f ca="1">IFERROR(__xludf.DUMMYFUNCTION("IMPORTRANGE(""https://docs.google.com/spreadsheets/d/11923uPwbBZFjjGgGUA6NLw09EwE0CqkOc4q9oUmW1yo/edit?usp=sharing"",""ตาก!I404"")"),0)</f>
        <v>0</v>
      </c>
      <c r="J509" s="162">
        <f ca="1">IFERROR(__xludf.DUMMYFUNCTION("IMPORTRANGE(""https://docs.google.com/spreadsheets/d/11923uPwbBZFjjGgGUA6NLw09EwE0CqkOc4q9oUmW1yo/edit?usp=sharing"",""ตาก!J404"")"),0)</f>
        <v>0</v>
      </c>
      <c r="K509" s="163">
        <f t="shared" ca="1" si="117"/>
        <v>0</v>
      </c>
      <c r="L509" s="181"/>
      <c r="M509" s="181"/>
      <c r="N509" s="181"/>
      <c r="O509" s="181"/>
      <c r="P509" s="181"/>
    </row>
    <row r="510" spans="1:16" ht="21.75" customHeight="1" x14ac:dyDescent="0.3">
      <c r="A510" s="175"/>
      <c r="B510" s="176"/>
      <c r="C510" s="176"/>
      <c r="D510" s="193"/>
      <c r="E510" s="195"/>
      <c r="F510" s="194" t="s">
        <v>190</v>
      </c>
      <c r="G510" s="195"/>
      <c r="H510" s="420" t="s">
        <v>122</v>
      </c>
      <c r="I510" s="187">
        <f ca="1">IFERROR(__xludf.DUMMYFUNCTION("IMPORTRANGE(""https://docs.google.com/spreadsheets/d/11923uPwbBZFjjGgGUA6NLw09EwE0CqkOc4q9oUmW1yo/edit?usp=sharing"",""ตาก!I405"")"),0)</f>
        <v>0</v>
      </c>
      <c r="J510" s="197">
        <f ca="1">IFERROR(__xludf.DUMMYFUNCTION("IMPORTRANGE(""https://docs.google.com/spreadsheets/d/11923uPwbBZFjjGgGUA6NLw09EwE0CqkOc4q9oUmW1yo/edit?usp=sharing"",""ตาก!J405"")"),0)</f>
        <v>0</v>
      </c>
      <c r="K510" s="163">
        <f t="shared" ca="1" si="117"/>
        <v>0</v>
      </c>
      <c r="L510" s="181"/>
      <c r="M510" s="181"/>
      <c r="N510" s="181"/>
      <c r="O510" s="181"/>
      <c r="P510" s="181"/>
    </row>
    <row r="511" spans="1:16" ht="21.75" customHeight="1" x14ac:dyDescent="0.3">
      <c r="A511" s="175"/>
      <c r="B511" s="176"/>
      <c r="C511" s="176"/>
      <c r="D511" s="193"/>
      <c r="E511" s="195"/>
      <c r="F511" s="195"/>
      <c r="G511" s="195"/>
      <c r="H511" s="420" t="s">
        <v>36</v>
      </c>
      <c r="I511" s="187">
        <f ca="1">IFERROR(__xludf.DUMMYFUNCTION("IMPORTRANGE(""https://docs.google.com/spreadsheets/d/11923uPwbBZFjjGgGUA6NLw09EwE0CqkOc4q9oUmW1yo/edit?usp=sharing"",""ตาก!I406"")"),0)</f>
        <v>0</v>
      </c>
      <c r="J511" s="197">
        <f ca="1">IFERROR(__xludf.DUMMYFUNCTION("IMPORTRANGE(""https://docs.google.com/spreadsheets/d/11923uPwbBZFjjGgGUA6NLw09EwE0CqkOc4q9oUmW1yo/edit?usp=sharing"",""ตาก!J406"")"),0)</f>
        <v>0</v>
      </c>
      <c r="K511" s="163">
        <f t="shared" ca="1" si="117"/>
        <v>0</v>
      </c>
      <c r="L511" s="181"/>
      <c r="M511" s="181"/>
      <c r="N511" s="181"/>
      <c r="O511" s="181"/>
      <c r="P511" s="181"/>
    </row>
    <row r="512" spans="1:16" ht="21.75" customHeight="1" x14ac:dyDescent="0.3">
      <c r="A512" s="175"/>
      <c r="B512" s="176"/>
      <c r="C512" s="176"/>
      <c r="D512" s="193"/>
      <c r="E512" s="195"/>
      <c r="F512" s="194" t="s">
        <v>191</v>
      </c>
      <c r="G512" s="195"/>
      <c r="H512" s="420" t="s">
        <v>122</v>
      </c>
      <c r="I512" s="187">
        <f ca="1">IFERROR(__xludf.DUMMYFUNCTION("IMPORTRANGE(""https://docs.google.com/spreadsheets/d/11923uPwbBZFjjGgGUA6NLw09EwE0CqkOc4q9oUmW1yo/edit?usp=sharing"",""ตาก!I407"")"),0)</f>
        <v>0</v>
      </c>
      <c r="J512" s="197">
        <f ca="1">IFERROR(__xludf.DUMMYFUNCTION("IMPORTRANGE(""https://docs.google.com/spreadsheets/d/11923uPwbBZFjjGgGUA6NLw09EwE0CqkOc4q9oUmW1yo/edit?usp=sharing"",""ตาก!J407"")"),0)</f>
        <v>0</v>
      </c>
      <c r="K512" s="163">
        <f t="shared" ca="1" si="117"/>
        <v>0</v>
      </c>
      <c r="L512" s="181"/>
      <c r="M512" s="181"/>
      <c r="N512" s="181"/>
      <c r="O512" s="181"/>
      <c r="P512" s="181"/>
    </row>
    <row r="513" spans="1:16" ht="21.75" customHeight="1" x14ac:dyDescent="0.3">
      <c r="A513" s="175"/>
      <c r="B513" s="176"/>
      <c r="C513" s="176"/>
      <c r="D513" s="193"/>
      <c r="E513" s="195"/>
      <c r="F513" s="195"/>
      <c r="G513" s="196"/>
      <c r="H513" s="420" t="s">
        <v>36</v>
      </c>
      <c r="I513" s="187">
        <f ca="1">IFERROR(__xludf.DUMMYFUNCTION("IMPORTRANGE(""https://docs.google.com/spreadsheets/d/11923uPwbBZFjjGgGUA6NLw09EwE0CqkOc4q9oUmW1yo/edit?usp=sharing"",""ตาก!I408"")"),0)</f>
        <v>0</v>
      </c>
      <c r="J513" s="197">
        <f ca="1">IFERROR(__xludf.DUMMYFUNCTION("IMPORTRANGE(""https://docs.google.com/spreadsheets/d/11923uPwbBZFjjGgGUA6NLw09EwE0CqkOc4q9oUmW1yo/edit?usp=sharing"",""ตาก!J408"")"),0)</f>
        <v>0</v>
      </c>
      <c r="K513" s="163">
        <f t="shared" ca="1" si="117"/>
        <v>0</v>
      </c>
      <c r="L513" s="181"/>
      <c r="M513" s="181"/>
      <c r="N513" s="181"/>
      <c r="O513" s="181"/>
      <c r="P513" s="181"/>
    </row>
    <row r="514" spans="1:16" ht="21.75" customHeight="1" x14ac:dyDescent="0.3">
      <c r="A514" s="175"/>
      <c r="B514" s="176"/>
      <c r="C514" s="176"/>
      <c r="D514" s="402"/>
      <c r="E514" s="448" t="s">
        <v>192</v>
      </c>
      <c r="F514" s="195"/>
      <c r="G514" s="196"/>
      <c r="H514" s="420" t="s">
        <v>122</v>
      </c>
      <c r="I514" s="187">
        <f ca="1">IFERROR(__xludf.DUMMYFUNCTION("IMPORTRANGE(""https://docs.google.com/spreadsheets/d/11923uPwbBZFjjGgGUA6NLw09EwE0CqkOc4q9oUmW1yo/edit?usp=sharing"",""ตาก!I409"")"),0)</f>
        <v>0</v>
      </c>
      <c r="J514" s="197">
        <f ca="1">IFERROR(__xludf.DUMMYFUNCTION("IMPORTRANGE(""https://docs.google.com/spreadsheets/d/11923uPwbBZFjjGgGUA6NLw09EwE0CqkOc4q9oUmW1yo/edit?usp=sharing"",""ตาก!J409"")"),0)</f>
        <v>0</v>
      </c>
      <c r="K514" s="163">
        <f t="shared" ca="1" si="117"/>
        <v>0</v>
      </c>
      <c r="L514" s="181"/>
      <c r="M514" s="181"/>
      <c r="N514" s="181"/>
      <c r="O514" s="181"/>
      <c r="P514" s="181"/>
    </row>
    <row r="515" spans="1:16" ht="21.75" customHeight="1" x14ac:dyDescent="0.3">
      <c r="A515" s="175"/>
      <c r="B515" s="176"/>
      <c r="C515" s="176"/>
      <c r="D515" s="193"/>
      <c r="E515" s="195"/>
      <c r="F515" s="195"/>
      <c r="G515" s="196"/>
      <c r="H515" s="420" t="s">
        <v>36</v>
      </c>
      <c r="I515" s="187">
        <f ca="1">IFERROR(__xludf.DUMMYFUNCTION("IMPORTRANGE(""https://docs.google.com/spreadsheets/d/11923uPwbBZFjjGgGUA6NLw09EwE0CqkOc4q9oUmW1yo/edit?usp=sharing"",""ตาก!I410"")"),0)</f>
        <v>0</v>
      </c>
      <c r="J515" s="197">
        <f ca="1">IFERROR(__xludf.DUMMYFUNCTION("IMPORTRANGE(""https://docs.google.com/spreadsheets/d/11923uPwbBZFjjGgGUA6NLw09EwE0CqkOc4q9oUmW1yo/edit?usp=sharing"",""ตาก!J410"")"),0)</f>
        <v>0</v>
      </c>
      <c r="K515" s="163">
        <f t="shared" ca="1" si="117"/>
        <v>0</v>
      </c>
      <c r="L515" s="181"/>
      <c r="M515" s="181"/>
      <c r="N515" s="181"/>
      <c r="O515" s="181"/>
      <c r="P515" s="181"/>
    </row>
    <row r="516" spans="1:16" ht="21.75" customHeight="1" x14ac:dyDescent="0.3">
      <c r="A516" s="175"/>
      <c r="B516" s="176"/>
      <c r="C516" s="413" t="s">
        <v>193</v>
      </c>
      <c r="D516" s="413"/>
      <c r="E516" s="449"/>
      <c r="F516" s="449"/>
      <c r="G516" s="450"/>
      <c r="H516" s="451" t="s">
        <v>122</v>
      </c>
      <c r="I516" s="266">
        <f ca="1">IFERROR(__xludf.DUMMYFUNCTION("IMPORTRANGE(""https://docs.google.com/spreadsheets/d/11923uPwbBZFjjGgGUA6NLw09EwE0CqkOc4q9oUmW1yo/edit?usp=sharing"",""ตาก!I411"")"),0)</f>
        <v>0</v>
      </c>
      <c r="J516" s="266">
        <f ca="1">IFERROR(__xludf.DUMMYFUNCTION("IMPORTRANGE(""https://docs.google.com/spreadsheets/d/11923uPwbBZFjjGgGUA6NLw09EwE0CqkOc4q9oUmW1yo/edit?usp=sharing"",""ตาก!J411"")"),0)</f>
        <v>0</v>
      </c>
      <c r="K516" s="267">
        <v>0</v>
      </c>
      <c r="L516" s="181"/>
      <c r="M516" s="181"/>
      <c r="N516" s="181"/>
      <c r="O516" s="181"/>
      <c r="P516" s="181"/>
    </row>
    <row r="517" spans="1:16" ht="21.75" customHeight="1" x14ac:dyDescent="0.3">
      <c r="A517" s="175"/>
      <c r="B517" s="176"/>
      <c r="C517" s="452"/>
      <c r="D517" s="452"/>
      <c r="E517" s="452" t="s">
        <v>194</v>
      </c>
      <c r="F517" s="453"/>
      <c r="G517" s="454"/>
      <c r="H517" s="455" t="s">
        <v>122</v>
      </c>
      <c r="I517" s="282">
        <f ca="1">IFERROR(__xludf.DUMMYFUNCTION("IMPORTRANGE(""https://docs.google.com/spreadsheets/d/11923uPwbBZFjjGgGUA6NLw09EwE0CqkOc4q9oUmW1yo/edit?usp=sharing"",""ตาก!I412"")"),0)</f>
        <v>0</v>
      </c>
      <c r="J517" s="282">
        <f ca="1">IFERROR(__xludf.DUMMYFUNCTION("IMPORTRANGE(""https://docs.google.com/spreadsheets/d/11923uPwbBZFjjGgGUA6NLw09EwE0CqkOc4q9oUmW1yo/edit?usp=sharing"",""ตาก!J412"")"),0)</f>
        <v>0</v>
      </c>
      <c r="K517" s="283">
        <v>0</v>
      </c>
      <c r="L517" s="181"/>
      <c r="M517" s="181"/>
      <c r="N517" s="181"/>
      <c r="O517" s="181"/>
      <c r="P517" s="181"/>
    </row>
    <row r="518" spans="1:16" ht="21.75" customHeight="1" x14ac:dyDescent="0.3">
      <c r="A518" s="175"/>
      <c r="B518" s="176"/>
      <c r="C518" s="452"/>
      <c r="D518" s="452"/>
      <c r="E518" s="452" t="s">
        <v>195</v>
      </c>
      <c r="F518" s="453"/>
      <c r="G518" s="454"/>
      <c r="H518" s="455" t="s">
        <v>36</v>
      </c>
      <c r="I518" s="282">
        <f ca="1">IFERROR(__xludf.DUMMYFUNCTION("IMPORTRANGE(""https://docs.google.com/spreadsheets/d/11923uPwbBZFjjGgGUA6NLw09EwE0CqkOc4q9oUmW1yo/edit?usp=sharing"",""ตาก!I413"")"),0)</f>
        <v>0</v>
      </c>
      <c r="J518" s="282">
        <f ca="1">IFERROR(__xludf.DUMMYFUNCTION("IMPORTRANGE(""https://docs.google.com/spreadsheets/d/11923uPwbBZFjjGgGUA6NLw09EwE0CqkOc4q9oUmW1yo/edit?usp=sharing"",""ตาก!J413"")"),0)</f>
        <v>0</v>
      </c>
      <c r="K518" s="283">
        <v>0</v>
      </c>
      <c r="L518" s="181"/>
      <c r="M518" s="181"/>
      <c r="N518" s="181"/>
      <c r="O518" s="181"/>
      <c r="P518" s="181"/>
    </row>
    <row r="519" spans="1:16" ht="21.75" customHeight="1" x14ac:dyDescent="0.3">
      <c r="A519" s="175"/>
      <c r="B519" s="176"/>
      <c r="C519" s="176"/>
      <c r="D519" s="193"/>
      <c r="E519" s="195"/>
      <c r="F519" s="195"/>
      <c r="G519" s="225" t="s">
        <v>196</v>
      </c>
      <c r="H519" s="420" t="s">
        <v>122</v>
      </c>
      <c r="I519" s="187">
        <f ca="1">IFERROR(__xludf.DUMMYFUNCTION("IMPORTRANGE(""https://docs.google.com/spreadsheets/d/11923uPwbBZFjjGgGUA6NLw09EwE0CqkOc4q9oUmW1yo/edit?usp=sharing"",""ตาก!I414"")"),0)</f>
        <v>0</v>
      </c>
      <c r="J519" s="187">
        <f ca="1">IFERROR(__xludf.DUMMYFUNCTION("IMPORTRANGE(""https://docs.google.com/spreadsheets/d/11923uPwbBZFjjGgGUA6NLw09EwE0CqkOc4q9oUmW1yo/edit?usp=sharing"",""ตาก!J414"")"),0)</f>
        <v>0</v>
      </c>
      <c r="K519" s="163">
        <v>0</v>
      </c>
      <c r="L519" s="181"/>
      <c r="M519" s="181"/>
      <c r="N519" s="181"/>
      <c r="O519" s="181"/>
      <c r="P519" s="181"/>
    </row>
    <row r="520" spans="1:16" ht="21.75" customHeight="1" x14ac:dyDescent="0.3">
      <c r="A520" s="175"/>
      <c r="B520" s="176"/>
      <c r="C520" s="176"/>
      <c r="D520" s="193"/>
      <c r="E520" s="195"/>
      <c r="F520" s="195"/>
      <c r="G520" s="196"/>
      <c r="H520" s="420" t="s">
        <v>36</v>
      </c>
      <c r="I520" s="187">
        <f ca="1">IFERROR(__xludf.DUMMYFUNCTION("IMPORTRANGE(""https://docs.google.com/spreadsheets/d/11923uPwbBZFjjGgGUA6NLw09EwE0CqkOc4q9oUmW1yo/edit?usp=sharing"",""ตาก!I415"")"),0)</f>
        <v>0</v>
      </c>
      <c r="J520" s="187">
        <f ca="1">IFERROR(__xludf.DUMMYFUNCTION("IMPORTRANGE(""https://docs.google.com/spreadsheets/d/11923uPwbBZFjjGgGUA6NLw09EwE0CqkOc4q9oUmW1yo/edit?usp=sharing"",""ตาก!J415"")"),0)</f>
        <v>0</v>
      </c>
      <c r="K520" s="163">
        <v>0</v>
      </c>
      <c r="L520" s="181"/>
      <c r="M520" s="181"/>
      <c r="N520" s="181"/>
      <c r="O520" s="181"/>
      <c r="P520" s="181"/>
    </row>
    <row r="521" spans="1:16" ht="21.75" customHeight="1" x14ac:dyDescent="0.3">
      <c r="A521" s="175"/>
      <c r="B521" s="176"/>
      <c r="C521" s="176"/>
      <c r="D521" s="193"/>
      <c r="E521" s="195"/>
      <c r="F521" s="195"/>
      <c r="G521" s="225" t="s">
        <v>197</v>
      </c>
      <c r="H521" s="420" t="s">
        <v>122</v>
      </c>
      <c r="I521" s="187">
        <f ca="1">IFERROR(__xludf.DUMMYFUNCTION("IMPORTRANGE(""https://docs.google.com/spreadsheets/d/11923uPwbBZFjjGgGUA6NLw09EwE0CqkOc4q9oUmW1yo/edit?usp=sharing"",""ตาก!I416"")"),0)</f>
        <v>0</v>
      </c>
      <c r="J521" s="187">
        <f ca="1">IFERROR(__xludf.DUMMYFUNCTION("IMPORTRANGE(""https://docs.google.com/spreadsheets/d/11923uPwbBZFjjGgGUA6NLw09EwE0CqkOc4q9oUmW1yo/edit?usp=sharing"",""ตาก!J416"")"),0)</f>
        <v>0</v>
      </c>
      <c r="K521" s="163">
        <v>0</v>
      </c>
      <c r="L521" s="181"/>
      <c r="M521" s="181"/>
      <c r="N521" s="181"/>
      <c r="O521" s="181"/>
      <c r="P521" s="181"/>
    </row>
    <row r="522" spans="1:16" ht="21.75" customHeight="1" x14ac:dyDescent="0.3">
      <c r="A522" s="175"/>
      <c r="B522" s="176"/>
      <c r="C522" s="176"/>
      <c r="D522" s="193"/>
      <c r="E522" s="195"/>
      <c r="F522" s="195"/>
      <c r="G522" s="196"/>
      <c r="H522" s="420" t="s">
        <v>36</v>
      </c>
      <c r="I522" s="187">
        <f ca="1">IFERROR(__xludf.DUMMYFUNCTION("IMPORTRANGE(""https://docs.google.com/spreadsheets/d/11923uPwbBZFjjGgGUA6NLw09EwE0CqkOc4q9oUmW1yo/edit?usp=sharing"",""ตาก!I417"")"),0)</f>
        <v>0</v>
      </c>
      <c r="J522" s="187">
        <f ca="1">IFERROR(__xludf.DUMMYFUNCTION("IMPORTRANGE(""https://docs.google.com/spreadsheets/d/11923uPwbBZFjjGgGUA6NLw09EwE0CqkOc4q9oUmW1yo/edit?usp=sharing"",""ตาก!J417"")"),0)</f>
        <v>0</v>
      </c>
      <c r="K522" s="163">
        <v>0</v>
      </c>
      <c r="L522" s="181"/>
      <c r="M522" s="181"/>
      <c r="N522" s="181"/>
      <c r="O522" s="181"/>
      <c r="P522" s="181"/>
    </row>
    <row r="523" spans="1:16" ht="21.75" customHeight="1" x14ac:dyDescent="0.3">
      <c r="A523" s="175"/>
      <c r="B523" s="176"/>
      <c r="C523" s="176"/>
      <c r="D523" s="193"/>
      <c r="E523" s="195"/>
      <c r="F523" s="195"/>
      <c r="G523" s="456" t="s">
        <v>198</v>
      </c>
      <c r="H523" s="420" t="s">
        <v>122</v>
      </c>
      <c r="I523" s="187">
        <f ca="1">IFERROR(__xludf.DUMMYFUNCTION("IMPORTRANGE(""https://docs.google.com/spreadsheets/d/11923uPwbBZFjjGgGUA6NLw09EwE0CqkOc4q9oUmW1yo/edit?usp=sharing"",""ตาก!I418"")"),0)</f>
        <v>0</v>
      </c>
      <c r="J523" s="187">
        <f ca="1">IFERROR(__xludf.DUMMYFUNCTION("IMPORTRANGE(""https://docs.google.com/spreadsheets/d/11923uPwbBZFjjGgGUA6NLw09EwE0CqkOc4q9oUmW1yo/edit?usp=sharing"",""ตาก!J418"")"),112)</f>
        <v>112</v>
      </c>
      <c r="K523" s="163">
        <v>0</v>
      </c>
      <c r="L523" s="181"/>
      <c r="M523" s="181"/>
      <c r="N523" s="181"/>
      <c r="O523" s="181"/>
      <c r="P523" s="181"/>
    </row>
    <row r="524" spans="1:16" ht="21.75" customHeight="1" x14ac:dyDescent="0.3">
      <c r="A524" s="175"/>
      <c r="B524" s="176"/>
      <c r="C524" s="176"/>
      <c r="D524" s="193"/>
      <c r="E524" s="195"/>
      <c r="F524" s="195"/>
      <c r="G524" s="196"/>
      <c r="H524" s="420" t="s">
        <v>36</v>
      </c>
      <c r="I524" s="187">
        <f ca="1">IFERROR(__xludf.DUMMYFUNCTION("IMPORTRANGE(""https://docs.google.com/spreadsheets/d/11923uPwbBZFjjGgGUA6NLw09EwE0CqkOc4q9oUmW1yo/edit?usp=sharing"",""ตาก!I419"")"),0)</f>
        <v>0</v>
      </c>
      <c r="J524" s="187">
        <f ca="1">IFERROR(__xludf.DUMMYFUNCTION("IMPORTRANGE(""https://docs.google.com/spreadsheets/d/11923uPwbBZFjjGgGUA6NLw09EwE0CqkOc4q9oUmW1yo/edit?usp=sharing"",""ตาก!J419"")"),3)</f>
        <v>3</v>
      </c>
      <c r="K524" s="163">
        <v>0</v>
      </c>
      <c r="L524" s="181"/>
      <c r="M524" s="181"/>
      <c r="N524" s="181"/>
      <c r="O524" s="181"/>
      <c r="P524" s="181"/>
    </row>
    <row r="525" spans="1:16" ht="21.75" customHeight="1" x14ac:dyDescent="0.3">
      <c r="A525" s="175"/>
      <c r="B525" s="176"/>
      <c r="C525" s="452"/>
      <c r="D525" s="452"/>
      <c r="E525" s="452" t="s">
        <v>199</v>
      </c>
      <c r="F525" s="453"/>
      <c r="G525" s="454"/>
      <c r="H525" s="455" t="s">
        <v>122</v>
      </c>
      <c r="I525" s="282">
        <f ca="1">IFERROR(__xludf.DUMMYFUNCTION("IMPORTRANGE(""https://docs.google.com/spreadsheets/d/11923uPwbBZFjjGgGUA6NLw09EwE0CqkOc4q9oUmW1yo/edit?usp=sharing"",""ตาก!I420"")"),112)</f>
        <v>112</v>
      </c>
      <c r="J525" s="282">
        <f ca="1">IFERROR(__xludf.DUMMYFUNCTION("IMPORTRANGE(""https://docs.google.com/spreadsheets/d/11923uPwbBZFjjGgGUA6NLw09EwE0CqkOc4q9oUmW1yo/edit?usp=sharing"",""ตาก!J420"")"),0)</f>
        <v>0</v>
      </c>
      <c r="K525" s="283">
        <v>0</v>
      </c>
      <c r="L525" s="181"/>
      <c r="M525" s="181"/>
      <c r="N525" s="181"/>
      <c r="O525" s="181"/>
      <c r="P525" s="181"/>
    </row>
    <row r="526" spans="1:16" ht="21.75" customHeight="1" x14ac:dyDescent="0.3">
      <c r="A526" s="175"/>
      <c r="B526" s="176"/>
      <c r="C526" s="452"/>
      <c r="D526" s="452"/>
      <c r="E526" s="452" t="s">
        <v>200</v>
      </c>
      <c r="F526" s="453"/>
      <c r="G526" s="454"/>
      <c r="H526" s="455" t="s">
        <v>36</v>
      </c>
      <c r="I526" s="282">
        <f ca="1">IFERROR(__xludf.DUMMYFUNCTION("IMPORTRANGE(""https://docs.google.com/spreadsheets/d/11923uPwbBZFjjGgGUA6NLw09EwE0CqkOc4q9oUmW1yo/edit?usp=sharing"",""ตาก!I421"")"),3)</f>
        <v>3</v>
      </c>
      <c r="J526" s="282">
        <f ca="1">IFERROR(__xludf.DUMMYFUNCTION("IMPORTRANGE(""https://docs.google.com/spreadsheets/d/11923uPwbBZFjjGgGUA6NLw09EwE0CqkOc4q9oUmW1yo/edit?usp=sharing"",""ตาก!J421"")"),0)</f>
        <v>0</v>
      </c>
      <c r="K526" s="283">
        <v>0</v>
      </c>
      <c r="L526" s="181"/>
      <c r="M526" s="181"/>
      <c r="N526" s="181"/>
      <c r="O526" s="181"/>
      <c r="P526" s="181"/>
    </row>
    <row r="527" spans="1:16" ht="21.75" customHeight="1" x14ac:dyDescent="0.3">
      <c r="A527" s="175"/>
      <c r="B527" s="176"/>
      <c r="C527" s="176"/>
      <c r="D527" s="193"/>
      <c r="E527" s="195"/>
      <c r="F527" s="195"/>
      <c r="G527" s="225" t="s">
        <v>196</v>
      </c>
      <c r="H527" s="420" t="s">
        <v>122</v>
      </c>
      <c r="I527" s="187">
        <f ca="1">IFERROR(__xludf.DUMMYFUNCTION("IMPORTRANGE(""https://docs.google.com/spreadsheets/d/11923uPwbBZFjjGgGUA6NLw09EwE0CqkOc4q9oUmW1yo/edit?usp=sharing"",""ตาก!I422"")"),0)</f>
        <v>0</v>
      </c>
      <c r="J527" s="197">
        <f ca="1">IFERROR(__xludf.DUMMYFUNCTION("IMPORTRANGE(""https://docs.google.com/spreadsheets/d/11923uPwbBZFjjGgGUA6NLw09EwE0CqkOc4q9oUmW1yo/edit?usp=sharing"",""ตาก!J422"")"),0)</f>
        <v>0</v>
      </c>
      <c r="K527" s="163">
        <v>0</v>
      </c>
      <c r="L527" s="181"/>
      <c r="M527" s="181"/>
      <c r="N527" s="181"/>
      <c r="O527" s="181"/>
      <c r="P527" s="181"/>
    </row>
    <row r="528" spans="1:16" ht="21.75" customHeight="1" x14ac:dyDescent="0.3">
      <c r="A528" s="175"/>
      <c r="B528" s="176"/>
      <c r="C528" s="176"/>
      <c r="D528" s="193"/>
      <c r="E528" s="195"/>
      <c r="F528" s="195"/>
      <c r="G528" s="196"/>
      <c r="H528" s="420" t="s">
        <v>36</v>
      </c>
      <c r="I528" s="187">
        <f ca="1">IFERROR(__xludf.DUMMYFUNCTION("IMPORTRANGE(""https://docs.google.com/spreadsheets/d/11923uPwbBZFjjGgGUA6NLw09EwE0CqkOc4q9oUmW1yo/edit?usp=sharing"",""ตาก!I423"")"),0)</f>
        <v>0</v>
      </c>
      <c r="J528" s="197">
        <f ca="1">IFERROR(__xludf.DUMMYFUNCTION("IMPORTRANGE(""https://docs.google.com/spreadsheets/d/11923uPwbBZFjjGgGUA6NLw09EwE0CqkOc4q9oUmW1yo/edit?usp=sharing"",""ตาก!J423"")"),0)</f>
        <v>0</v>
      </c>
      <c r="K528" s="163">
        <v>0</v>
      </c>
      <c r="L528" s="181"/>
      <c r="M528" s="181"/>
      <c r="N528" s="181"/>
      <c r="O528" s="181"/>
      <c r="P528" s="181"/>
    </row>
    <row r="529" spans="1:16" ht="21.75" customHeight="1" x14ac:dyDescent="0.3">
      <c r="A529" s="175"/>
      <c r="B529" s="176"/>
      <c r="C529" s="176"/>
      <c r="D529" s="193"/>
      <c r="E529" s="195"/>
      <c r="F529" s="195"/>
      <c r="G529" s="225" t="s">
        <v>197</v>
      </c>
      <c r="H529" s="420" t="s">
        <v>122</v>
      </c>
      <c r="I529" s="187">
        <f ca="1">IFERROR(__xludf.DUMMYFUNCTION("IMPORTRANGE(""https://docs.google.com/spreadsheets/d/11923uPwbBZFjjGgGUA6NLw09EwE0CqkOc4q9oUmW1yo/edit?usp=sharing"",""ตาก!I424"")"),0)</f>
        <v>0</v>
      </c>
      <c r="J529" s="197">
        <f ca="1">IFERROR(__xludf.DUMMYFUNCTION("IMPORTRANGE(""https://docs.google.com/spreadsheets/d/11923uPwbBZFjjGgGUA6NLw09EwE0CqkOc4q9oUmW1yo/edit?usp=sharing"",""ตาก!J424"")"),0)</f>
        <v>0</v>
      </c>
      <c r="K529" s="163">
        <v>0</v>
      </c>
      <c r="L529" s="181"/>
      <c r="M529" s="181"/>
      <c r="N529" s="181"/>
      <c r="O529" s="181"/>
      <c r="P529" s="181"/>
    </row>
    <row r="530" spans="1:16" ht="21.75" customHeight="1" x14ac:dyDescent="0.3">
      <c r="A530" s="175"/>
      <c r="B530" s="176"/>
      <c r="C530" s="176"/>
      <c r="D530" s="193"/>
      <c r="E530" s="195"/>
      <c r="F530" s="195"/>
      <c r="G530" s="196"/>
      <c r="H530" s="420" t="s">
        <v>36</v>
      </c>
      <c r="I530" s="187">
        <f ca="1">IFERROR(__xludf.DUMMYFUNCTION("IMPORTRANGE(""https://docs.google.com/spreadsheets/d/11923uPwbBZFjjGgGUA6NLw09EwE0CqkOc4q9oUmW1yo/edit?usp=sharing"",""ตาก!I425"")"),0)</f>
        <v>0</v>
      </c>
      <c r="J530" s="197">
        <f ca="1">IFERROR(__xludf.DUMMYFUNCTION("IMPORTRANGE(""https://docs.google.com/spreadsheets/d/11923uPwbBZFjjGgGUA6NLw09EwE0CqkOc4q9oUmW1yo/edit?usp=sharing"",""ตาก!J425"")"),0)</f>
        <v>0</v>
      </c>
      <c r="K530" s="163">
        <v>0</v>
      </c>
      <c r="L530" s="181"/>
      <c r="M530" s="181"/>
      <c r="N530" s="181"/>
      <c r="O530" s="181"/>
      <c r="P530" s="181"/>
    </row>
    <row r="531" spans="1:16" ht="21.75" customHeight="1" x14ac:dyDescent="0.3">
      <c r="A531" s="175"/>
      <c r="B531" s="176"/>
      <c r="C531" s="176"/>
      <c r="D531" s="193"/>
      <c r="E531" s="195"/>
      <c r="F531" s="195"/>
      <c r="G531" s="225" t="s">
        <v>201</v>
      </c>
      <c r="H531" s="420" t="s">
        <v>122</v>
      </c>
      <c r="I531" s="187">
        <f ca="1">IFERROR(__xludf.DUMMYFUNCTION("IMPORTRANGE(""https://docs.google.com/spreadsheets/d/11923uPwbBZFjjGgGUA6NLw09EwE0CqkOc4q9oUmW1yo/edit?usp=sharing"",""ตาก!I426"")"),0)</f>
        <v>0</v>
      </c>
      <c r="J531" s="197">
        <f ca="1">IFERROR(__xludf.DUMMYFUNCTION("IMPORTRANGE(""https://docs.google.com/spreadsheets/d/11923uPwbBZFjjGgGUA6NLw09EwE0CqkOc4q9oUmW1yo/edit?usp=sharing"",""ตาก!J426"")"),0)</f>
        <v>0</v>
      </c>
      <c r="K531" s="163">
        <v>0</v>
      </c>
      <c r="L531" s="181"/>
      <c r="M531" s="181"/>
      <c r="N531" s="181"/>
      <c r="O531" s="181"/>
      <c r="P531" s="181"/>
    </row>
    <row r="532" spans="1:16" ht="21.75" customHeight="1" x14ac:dyDescent="0.3">
      <c r="A532" s="457"/>
      <c r="B532" s="458"/>
      <c r="C532" s="458"/>
      <c r="D532" s="459"/>
      <c r="E532" s="460"/>
      <c r="F532" s="460"/>
      <c r="G532" s="461"/>
      <c r="H532" s="462" t="s">
        <v>36</v>
      </c>
      <c r="I532" s="463">
        <f ca="1">IFERROR(__xludf.DUMMYFUNCTION("IMPORTRANGE(""https://docs.google.com/spreadsheets/d/11923uPwbBZFjjGgGUA6NLw09EwE0CqkOc4q9oUmW1yo/edit?usp=sharing"",""ตาก!I427"")"),0)</f>
        <v>0</v>
      </c>
      <c r="J532" s="464">
        <f ca="1">IFERROR(__xludf.DUMMYFUNCTION("IMPORTRANGE(""https://docs.google.com/spreadsheets/d/11923uPwbBZFjjGgGUA6NLw09EwE0CqkOc4q9oUmW1yo/edit?usp=sharing"",""ตาก!J427"")"),0)</f>
        <v>0</v>
      </c>
      <c r="K532" s="465">
        <v>0</v>
      </c>
      <c r="L532" s="466"/>
      <c r="M532" s="466"/>
      <c r="N532" s="466"/>
      <c r="O532" s="466"/>
      <c r="P532" s="466"/>
    </row>
    <row r="533" spans="1:16" ht="21.75" customHeight="1" x14ac:dyDescent="0.3">
      <c r="A533" s="403"/>
      <c r="B533" s="404">
        <v>6</v>
      </c>
      <c r="C533" s="405" t="s">
        <v>202</v>
      </c>
      <c r="D533" s="405"/>
      <c r="E533" s="405"/>
      <c r="F533" s="405"/>
      <c r="G533" s="406"/>
      <c r="H533" s="407" t="s">
        <v>37</v>
      </c>
      <c r="I533" s="408">
        <f ca="1">IFERROR(__xludf.DUMMYFUNCTION("IMPORTRANGE(""https://docs.google.com/spreadsheets/d/11923uPwbBZFjjGgGUA6NLw09EwE0CqkOc4q9oUmW1yo/edit?usp=sharing"",""ตาก!I428"")"),22)</f>
        <v>22</v>
      </c>
      <c r="J533" s="408">
        <f ca="1">IFERROR(__xludf.DUMMYFUNCTION("IMPORTRANGE(""https://docs.google.com/spreadsheets/d/11923uPwbBZFjjGgGUA6NLw09EwE0CqkOc4q9oUmW1yo/edit?usp=sharing"",""ตาก!J428"")"),22)</f>
        <v>22</v>
      </c>
      <c r="K533" s="409">
        <f ca="1">IF(I533&gt;0,J533*100/I533,0)</f>
        <v>100</v>
      </c>
      <c r="L533" s="410">
        <f ca="1">IFERROR(__xludf.DUMMYFUNCTION("IMPORTRANGE(""https://docs.google.com/spreadsheets/d/11923uPwbBZFjjGgGUA6NLw09EwE0CqkOc4q9oUmW1yo/edit?usp=sharing"",""ตาก!L428"")"),34340)</f>
        <v>34340</v>
      </c>
      <c r="M533" s="410"/>
      <c r="N533" s="410">
        <f ca="1">IFERROR(__xludf.DUMMYFUNCTION("IMPORTRANGE(""https://docs.google.com/spreadsheets/d/11923uPwbBZFjjGgGUA6NLw09EwE0CqkOc4q9oUmW1yo/edit?usp=sharing"",""ตาก!M428"")"),18740)</f>
        <v>18740</v>
      </c>
      <c r="O533" s="410">
        <f t="shared" ref="O533:O537" ca="1" si="118">+IF(L533&gt;0,N533*100/L533,0)</f>
        <v>54.571927781013393</v>
      </c>
      <c r="P533" s="410"/>
    </row>
    <row r="534" spans="1:16" ht="21.75" customHeight="1" x14ac:dyDescent="0.3">
      <c r="A534" s="156"/>
      <c r="B534" s="157"/>
      <c r="C534" s="157" t="s">
        <v>16</v>
      </c>
      <c r="D534" s="158" t="s">
        <v>38</v>
      </c>
      <c r="E534" s="159"/>
      <c r="F534" s="159"/>
      <c r="G534" s="160" t="s">
        <v>39</v>
      </c>
      <c r="H534" s="161" t="s">
        <v>12</v>
      </c>
      <c r="I534" s="162" t="s">
        <v>40</v>
      </c>
      <c r="J534" s="162"/>
      <c r="K534" s="163"/>
      <c r="L534" s="164">
        <f ca="1">IFERROR(__xludf.DUMMYFUNCTION("IMPORTRANGE(""https://docs.google.com/spreadsheets/d/11923uPwbBZFjjGgGUA6NLw09EwE0CqkOc4q9oUmW1yo/edit?usp=sharing"",""ตาก!L429"")"),0)</f>
        <v>0</v>
      </c>
      <c r="M534" s="164"/>
      <c r="N534" s="168">
        <f ca="1">IFERROR(__xludf.DUMMYFUNCTION("IMPORTRANGE(""https://docs.google.com/spreadsheets/d/11923uPwbBZFjjGgGUA6NLw09EwE0CqkOc4q9oUmW1yo/edit?usp=sharing"",""ตาก!M429"")"),0)</f>
        <v>0</v>
      </c>
      <c r="O534" s="168">
        <f t="shared" ca="1" si="118"/>
        <v>0</v>
      </c>
      <c r="P534" s="168"/>
    </row>
    <row r="535" spans="1:16" ht="21.75" customHeight="1" x14ac:dyDescent="0.3">
      <c r="A535" s="156"/>
      <c r="B535" s="157"/>
      <c r="C535" s="157"/>
      <c r="D535" s="166"/>
      <c r="E535" s="159"/>
      <c r="F535" s="159" t="s">
        <v>40</v>
      </c>
      <c r="G535" s="160" t="s">
        <v>41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IFERROR(__xludf.DUMMYFUNCTION("IMPORTRANGE(""https://docs.google.com/spreadsheets/d/11923uPwbBZFjjGgGUA6NLw09EwE0CqkOc4q9oUmW1yo/edit?usp=sharing"",""ตาก!L430"")"),34340)</f>
        <v>34340</v>
      </c>
      <c r="M535" s="165"/>
      <c r="N535" s="168">
        <f ca="1">IFERROR(__xludf.DUMMYFUNCTION("IMPORTRANGE(""https://docs.google.com/spreadsheets/d/11923uPwbBZFjjGgGUA6NLw09EwE0CqkOc4q9oUmW1yo/edit?usp=sharing"",""ตาก!M430"")"),18740)</f>
        <v>18740</v>
      </c>
      <c r="O535" s="168">
        <f t="shared" ca="1" si="118"/>
        <v>54.571927781013393</v>
      </c>
      <c r="P535" s="168"/>
    </row>
    <row r="536" spans="1:16" ht="21.75" customHeight="1" x14ac:dyDescent="0.3">
      <c r="A536" s="156"/>
      <c r="B536" s="157"/>
      <c r="C536" s="157"/>
      <c r="D536" s="166"/>
      <c r="E536" s="159"/>
      <c r="F536" s="159"/>
      <c r="G536" s="372" t="s">
        <v>129</v>
      </c>
      <c r="H536" s="161" t="s">
        <v>12</v>
      </c>
      <c r="I536" s="162"/>
      <c r="J536" s="162"/>
      <c r="K536" s="163"/>
      <c r="L536" s="168">
        <f ca="1">IFERROR(__xludf.DUMMYFUNCTION("IMPORTRANGE(""https://docs.google.com/spreadsheets/d/11923uPwbBZFjjGgGUA6NLw09EwE0CqkOc4q9oUmW1yo/edit?usp=sharing"",""ตาก!L431"")"),0)</f>
        <v>0</v>
      </c>
      <c r="M536" s="168"/>
      <c r="N536" s="168">
        <f ca="1">IFERROR(__xludf.DUMMYFUNCTION("IMPORTRANGE(""https://docs.google.com/spreadsheets/d/11923uPwbBZFjjGgGUA6NLw09EwE0CqkOc4q9oUmW1yo/edit?usp=sharing"",""ตาก!M431"")"),0)</f>
        <v>0</v>
      </c>
      <c r="O536" s="168">
        <f t="shared" ca="1" si="118"/>
        <v>0</v>
      </c>
      <c r="P536" s="168"/>
    </row>
    <row r="537" spans="1:16" ht="21.75" customHeight="1" x14ac:dyDescent="0.3">
      <c r="A537" s="156"/>
      <c r="B537" s="157"/>
      <c r="C537" s="157"/>
      <c r="D537" s="166"/>
      <c r="E537" s="159"/>
      <c r="F537" s="159"/>
      <c r="G537" s="372" t="s">
        <v>130</v>
      </c>
      <c r="H537" s="161" t="s">
        <v>12</v>
      </c>
      <c r="I537" s="162"/>
      <c r="J537" s="162"/>
      <c r="K537" s="163"/>
      <c r="L537" s="168">
        <f ca="1">IFERROR(__xludf.DUMMYFUNCTION("IMPORTRANGE(""https://docs.google.com/spreadsheets/d/11923uPwbBZFjjGgGUA6NLw09EwE0CqkOc4q9oUmW1yo/edit?usp=sharing"",""ตาก!L432"")"),34340)</f>
        <v>34340</v>
      </c>
      <c r="M537" s="168"/>
      <c r="N537" s="168">
        <f ca="1">IFERROR(__xludf.DUMMYFUNCTION("IMPORTRANGE(""https://docs.google.com/spreadsheets/d/11923uPwbBZFjjGgGUA6NLw09EwE0CqkOc4q9oUmW1yo/edit?usp=sharing"",""ตาก!M432"")"),18740)</f>
        <v>18740</v>
      </c>
      <c r="O537" s="168">
        <f t="shared" ca="1" si="118"/>
        <v>54.571927781013393</v>
      </c>
      <c r="P537" s="168"/>
    </row>
    <row r="538" spans="1:16" ht="21.75" customHeight="1" x14ac:dyDescent="0.3">
      <c r="A538" s="373"/>
      <c r="B538" s="374"/>
      <c r="C538" s="157"/>
      <c r="D538" s="375"/>
      <c r="E538" s="159"/>
      <c r="F538" s="159"/>
      <c r="G538" s="376" t="s">
        <v>131</v>
      </c>
      <c r="H538" s="161" t="s">
        <v>12</v>
      </c>
      <c r="I538" s="187"/>
      <c r="J538" s="187"/>
      <c r="K538" s="223"/>
      <c r="L538" s="168"/>
      <c r="M538" s="168"/>
      <c r="N538" s="377">
        <f ca="1">IFERROR(__xludf.DUMMYFUNCTION("IMPORTRANGE(""https://docs.google.com/spreadsheets/d/11923uPwbBZFjjGgGUA6NLw09EwE0CqkOc4q9oUmW1yo/edit?usp=sharing"",""ตาก!M433"")"),18740)</f>
        <v>18740</v>
      </c>
      <c r="O538" s="168"/>
      <c r="P538" s="168"/>
    </row>
    <row r="539" spans="1:16" ht="21.75" customHeight="1" x14ac:dyDescent="0.3">
      <c r="A539" s="373"/>
      <c r="B539" s="374"/>
      <c r="C539" s="157"/>
      <c r="D539" s="375"/>
      <c r="E539" s="159"/>
      <c r="F539" s="159"/>
      <c r="G539" s="376" t="s">
        <v>132</v>
      </c>
      <c r="H539" s="161" t="s">
        <v>12</v>
      </c>
      <c r="I539" s="187"/>
      <c r="J539" s="187"/>
      <c r="K539" s="223"/>
      <c r="L539" s="168"/>
      <c r="M539" s="168"/>
      <c r="N539" s="377">
        <f ca="1">IFERROR(__xludf.DUMMYFUNCTION("IMPORTRANGE(""https://docs.google.com/spreadsheets/d/11923uPwbBZFjjGgGUA6NLw09EwE0CqkOc4q9oUmW1yo/edit?usp=sharing"",""ตาก!M434"")"),0)</f>
        <v>0</v>
      </c>
      <c r="O539" s="168"/>
      <c r="P539" s="168"/>
    </row>
    <row r="540" spans="1:16" ht="21.75" customHeight="1" x14ac:dyDescent="0.3">
      <c r="A540" s="373"/>
      <c r="B540" s="374"/>
      <c r="C540" s="157"/>
      <c r="D540" s="375"/>
      <c r="E540" s="159"/>
      <c r="F540" s="159"/>
      <c r="G540" s="376" t="s">
        <v>133</v>
      </c>
      <c r="H540" s="161" t="s">
        <v>12</v>
      </c>
      <c r="I540" s="187"/>
      <c r="J540" s="187"/>
      <c r="K540" s="223"/>
      <c r="L540" s="168"/>
      <c r="M540" s="168"/>
      <c r="N540" s="377">
        <f ca="1">IFERROR(__xludf.DUMMYFUNCTION("IMPORTRANGE(""https://docs.google.com/spreadsheets/d/11923uPwbBZFjjGgGUA6NLw09EwE0CqkOc4q9oUmW1yo/edit?usp=sharing"",""ตาก!M435"")"),0)</f>
        <v>0</v>
      </c>
      <c r="O540" s="168"/>
      <c r="P540" s="168"/>
    </row>
    <row r="541" spans="1:16" ht="21.75" customHeight="1" x14ac:dyDescent="0.3">
      <c r="A541" s="373"/>
      <c r="B541" s="374"/>
      <c r="C541" s="157"/>
      <c r="D541" s="375"/>
      <c r="E541" s="159"/>
      <c r="F541" s="159"/>
      <c r="G541" s="376" t="s">
        <v>134</v>
      </c>
      <c r="H541" s="161" t="s">
        <v>12</v>
      </c>
      <c r="I541" s="187"/>
      <c r="J541" s="187"/>
      <c r="K541" s="223"/>
      <c r="L541" s="168"/>
      <c r="M541" s="168"/>
      <c r="N541" s="377">
        <f ca="1">IFERROR(__xludf.DUMMYFUNCTION("IMPORTRANGE(""https://docs.google.com/spreadsheets/d/11923uPwbBZFjjGgGUA6NLw09EwE0CqkOc4q9oUmW1yo/edit?usp=sharing"",""ตาก!M436"")"),0)</f>
        <v>0</v>
      </c>
      <c r="O541" s="168"/>
      <c r="P541" s="168"/>
    </row>
    <row r="542" spans="1:16" ht="21.75" customHeight="1" x14ac:dyDescent="0.3">
      <c r="A542" s="175"/>
      <c r="B542" s="176"/>
      <c r="C542" s="157" t="s">
        <v>16</v>
      </c>
      <c r="D542" s="177" t="s">
        <v>44</v>
      </c>
      <c r="E542" s="178"/>
      <c r="F542" s="178"/>
      <c r="G542" s="179"/>
      <c r="H542" s="180"/>
      <c r="I542" s="162"/>
      <c r="J542" s="162"/>
      <c r="K542" s="163"/>
      <c r="L542" s="181"/>
      <c r="M542" s="181"/>
      <c r="N542" s="181"/>
      <c r="O542" s="181"/>
      <c r="P542" s="181"/>
    </row>
    <row r="543" spans="1:16" ht="21.75" customHeight="1" x14ac:dyDescent="0.3">
      <c r="A543" s="175"/>
      <c r="B543" s="176"/>
      <c r="C543" s="176"/>
      <c r="D543" s="182">
        <v>1</v>
      </c>
      <c r="E543" s="183" t="s">
        <v>45</v>
      </c>
      <c r="F543" s="184"/>
      <c r="G543" s="185"/>
      <c r="H543" s="186"/>
      <c r="I543" s="187"/>
      <c r="J543" s="197">
        <f ca="1">IFERROR(__xludf.DUMMYFUNCTION("IMPORTRANGE(""https://docs.google.com/spreadsheets/d/11923uPwbBZFjjGgGUA6NLw09EwE0CqkOc4q9oUmW1yo/edit?usp=sharing"",""ตาก!J438"")"),0)</f>
        <v>0</v>
      </c>
      <c r="K543" s="163"/>
      <c r="L543" s="181"/>
      <c r="M543" s="181"/>
      <c r="N543" s="181"/>
      <c r="O543" s="181"/>
      <c r="P543" s="181"/>
    </row>
    <row r="544" spans="1:16" ht="21.75" customHeight="1" x14ac:dyDescent="0.3">
      <c r="A544" s="175"/>
      <c r="B544" s="176"/>
      <c r="C544" s="176"/>
      <c r="D544" s="189">
        <v>2</v>
      </c>
      <c r="E544" s="190" t="s">
        <v>46</v>
      </c>
      <c r="F544" s="191"/>
      <c r="G544" s="192"/>
      <c r="H544" s="186"/>
      <c r="I544" s="187"/>
      <c r="J544" s="188">
        <f ca="1">IFERROR(__xludf.DUMMYFUNCTION("IMPORTRANGE(""https://docs.google.com/spreadsheets/d/11923uPwbBZFjjGgGUA6NLw09EwE0CqkOc4q9oUmW1yo/edit?usp=sharing"",""ตาก!J439"")"),1)</f>
        <v>1</v>
      </c>
      <c r="K544" s="163"/>
      <c r="L544" s="181" t="s">
        <v>40</v>
      </c>
      <c r="M544" s="181"/>
      <c r="N544" s="181" t="s">
        <v>40</v>
      </c>
      <c r="O544" s="181"/>
      <c r="P544" s="181"/>
    </row>
    <row r="545" spans="1:16" ht="21.75" customHeight="1" x14ac:dyDescent="0.3">
      <c r="A545" s="175"/>
      <c r="B545" s="176"/>
      <c r="C545" s="176"/>
      <c r="D545" s="193"/>
      <c r="E545" s="194" t="s">
        <v>47</v>
      </c>
      <c r="F545" s="195"/>
      <c r="G545" s="196"/>
      <c r="H545" s="186"/>
      <c r="I545" s="187"/>
      <c r="J545" s="188">
        <f ca="1">IFERROR(__xludf.DUMMYFUNCTION("IMPORTRANGE(""https://docs.google.com/spreadsheets/d/11923uPwbBZFjjGgGUA6NLw09EwE0CqkOc4q9oUmW1yo/edit?usp=sharing"",""ตาก!J440"")"),1)</f>
        <v>1</v>
      </c>
      <c r="K545" s="163"/>
      <c r="L545" s="181"/>
      <c r="M545" s="181"/>
      <c r="N545" s="181"/>
      <c r="O545" s="181"/>
      <c r="P545" s="181"/>
    </row>
    <row r="546" spans="1:16" ht="21.75" customHeight="1" x14ac:dyDescent="0.3">
      <c r="A546" s="175"/>
      <c r="B546" s="176"/>
      <c r="C546" s="176"/>
      <c r="D546" s="193"/>
      <c r="E546" s="194" t="s">
        <v>48</v>
      </c>
      <c r="F546" s="195"/>
      <c r="G546" s="196"/>
      <c r="H546" s="186"/>
      <c r="I546" s="187"/>
      <c r="J546" s="197">
        <f ca="1">IFERROR(__xludf.DUMMYFUNCTION("IMPORTRANGE(""https://docs.google.com/spreadsheets/d/11923uPwbBZFjjGgGUA6NLw09EwE0CqkOc4q9oUmW1yo/edit?usp=sharing"",""ตาก!J441"")"),1)</f>
        <v>1</v>
      </c>
      <c r="K546" s="163"/>
      <c r="L546" s="181"/>
      <c r="M546" s="181"/>
      <c r="N546" s="181"/>
      <c r="O546" s="181"/>
      <c r="P546" s="181"/>
    </row>
    <row r="547" spans="1:16" ht="21.75" customHeight="1" x14ac:dyDescent="0.3">
      <c r="A547" s="175"/>
      <c r="B547" s="176"/>
      <c r="C547" s="176"/>
      <c r="D547" s="193"/>
      <c r="E547" s="198"/>
      <c r="F547" s="195"/>
      <c r="G547" s="225" t="s">
        <v>203</v>
      </c>
      <c r="H547" s="186" t="s">
        <v>37</v>
      </c>
      <c r="I547" s="203">
        <f ca="1">IFERROR(__xludf.DUMMYFUNCTION("IMPORTRANGE(""https://docs.google.com/spreadsheets/d/11923uPwbBZFjjGgGUA6NLw09EwE0CqkOc4q9oUmW1yo/edit?usp=sharing"",""ตาก!I442"")"),22)</f>
        <v>22</v>
      </c>
      <c r="J547" s="188">
        <f ca="1">IFERROR(__xludf.DUMMYFUNCTION("IMPORTRANGE(""https://docs.google.com/spreadsheets/d/11923uPwbBZFjjGgGUA6NLw09EwE0CqkOc4q9oUmW1yo/edit?usp=sharing"",""ตาก!J442"")"),22)</f>
        <v>22</v>
      </c>
      <c r="K547" s="163">
        <f t="shared" ref="K547:K548" ca="1" si="119">IF(I547&gt;0,J547*100/I547,0)</f>
        <v>100</v>
      </c>
      <c r="L547" s="181"/>
      <c r="M547" s="181"/>
      <c r="N547" s="181"/>
      <c r="O547" s="181"/>
      <c r="P547" s="181"/>
    </row>
    <row r="548" spans="1:16" ht="21.75" hidden="1" customHeight="1" x14ac:dyDescent="0.3">
      <c r="A548" s="175"/>
      <c r="B548" s="176"/>
      <c r="C548" s="176"/>
      <c r="D548" s="193"/>
      <c r="E548" s="198"/>
      <c r="F548" s="195"/>
      <c r="G548" s="225" t="s">
        <v>204</v>
      </c>
      <c r="H548" s="186" t="s">
        <v>37</v>
      </c>
      <c r="I548" s="339">
        <f ca="1">IFERROR(__xludf.DUMMYFUNCTION("IMPORTRANGE(""https://docs.google.com/spreadsheets/d/1C3CXT74ZlgGe6_JY_1olB1XN4rF0dxEuIIF-xsYjHgg/edit?usp=sharing"",""งบกองทุน!dr63"")"),0)</f>
        <v>0</v>
      </c>
      <c r="J548" s="197">
        <f ca="1">IFERROR(__xludf.DUMMYFUNCTION("IMPORTRANGE(""https://docs.google.com/spreadsheets/d/11923uPwbBZFjjGgGUA6NLw09EwE0CqkOc4q9oUmW1yo/edit?usp=sharing"",""ตาก!J166"")"),0)</f>
        <v>0</v>
      </c>
      <c r="K548" s="163">
        <f t="shared" ca="1" si="119"/>
        <v>0</v>
      </c>
      <c r="L548" s="181"/>
      <c r="M548" s="181"/>
      <c r="N548" s="181"/>
      <c r="O548" s="181"/>
      <c r="P548" s="181"/>
    </row>
    <row r="549" spans="1:16" ht="21.75" customHeight="1" x14ac:dyDescent="0.3">
      <c r="A549" s="175"/>
      <c r="B549" s="176"/>
      <c r="C549" s="176"/>
      <c r="D549" s="193"/>
      <c r="E549" s="194" t="s">
        <v>54</v>
      </c>
      <c r="F549" s="195"/>
      <c r="G549" s="196"/>
      <c r="H549" s="186"/>
      <c r="I549" s="187"/>
      <c r="J549" s="197">
        <f ca="1">IFERROR(__xludf.DUMMYFUNCTION("IMPORTRANGE(""https://docs.google.com/spreadsheets/d/11923uPwbBZFjjGgGUA6NLw09EwE0CqkOc4q9oUmW1yo/edit?usp=sharing"",""ตาก!J444"")"),0)</f>
        <v>0</v>
      </c>
      <c r="K549" s="163"/>
      <c r="L549" s="181"/>
      <c r="M549" s="181"/>
      <c r="N549" s="181"/>
      <c r="O549" s="181"/>
      <c r="P549" s="181"/>
    </row>
    <row r="550" spans="1:16" ht="21.75" customHeight="1" x14ac:dyDescent="0.3">
      <c r="A550" s="457"/>
      <c r="B550" s="458"/>
      <c r="C550" s="458"/>
      <c r="D550" s="467">
        <v>3</v>
      </c>
      <c r="E550" s="468" t="s">
        <v>55</v>
      </c>
      <c r="F550" s="469"/>
      <c r="G550" s="470"/>
      <c r="H550" s="471"/>
      <c r="I550" s="463"/>
      <c r="J550" s="472">
        <f ca="1">IFERROR(__xludf.DUMMYFUNCTION("IMPORTRANGE(""https://docs.google.com/spreadsheets/d/11923uPwbBZFjjGgGUA6NLw09EwE0CqkOc4q9oUmW1yo/edit?usp=sharing"",""ตาก!J445"")"),0)</f>
        <v>0</v>
      </c>
      <c r="K550" s="465"/>
      <c r="L550" s="466"/>
      <c r="M550" s="466"/>
      <c r="N550" s="466"/>
      <c r="O550" s="466"/>
      <c r="P550" s="466"/>
    </row>
    <row r="551" spans="1:16" ht="21.75" customHeight="1" x14ac:dyDescent="0.3">
      <c r="A551" s="403"/>
      <c r="B551" s="404">
        <v>7</v>
      </c>
      <c r="C551" s="405" t="s">
        <v>205</v>
      </c>
      <c r="D551" s="405"/>
      <c r="E551" s="405"/>
      <c r="F551" s="405"/>
      <c r="G551" s="406"/>
      <c r="H551" s="407" t="s">
        <v>122</v>
      </c>
      <c r="I551" s="408">
        <f ca="1">IFERROR(__xludf.DUMMYFUNCTION("IMPORTRANGE(""https://docs.google.com/spreadsheets/d/11923uPwbBZFjjGgGUA6NLw09EwE0CqkOc4q9oUmW1yo/edit?usp=sharing"",""ตาก!I446"")"),0)</f>
        <v>0</v>
      </c>
      <c r="J551" s="408">
        <f ca="1">IFERROR(__xludf.DUMMYFUNCTION("IMPORTRANGE(""https://docs.google.com/spreadsheets/d/11923uPwbBZFjjGgGUA6NLw09EwE0CqkOc4q9oUmW1yo/edit?usp=sharing"",""ตาก!J446"")"),0)</f>
        <v>0</v>
      </c>
      <c r="K551" s="409">
        <f ca="1">IF(I551&gt;0,J551*100/I551,0)</f>
        <v>0</v>
      </c>
      <c r="L551" s="410">
        <f ca="1">IFERROR(__xludf.DUMMYFUNCTION("IMPORTRANGE(""https://docs.google.com/spreadsheets/d/11923uPwbBZFjjGgGUA6NLw09EwE0CqkOc4q9oUmW1yo/edit?usp=sharing"",""ตาก!L446"")"),0)</f>
        <v>0</v>
      </c>
      <c r="M551" s="410"/>
      <c r="N551" s="410">
        <f ca="1">IFERROR(__xludf.DUMMYFUNCTION("IMPORTRANGE(""https://docs.google.com/spreadsheets/d/11923uPwbBZFjjGgGUA6NLw09EwE0CqkOc4q9oUmW1yo/edit?usp=sharing"",""ตาก!M446"")"),0)</f>
        <v>0</v>
      </c>
      <c r="O551" s="410">
        <f t="shared" ref="O551:O555" ca="1" si="120">+IF(L551&gt;0,N551*100/L551,0)</f>
        <v>0</v>
      </c>
      <c r="P551" s="410"/>
    </row>
    <row r="552" spans="1:16" ht="21.75" customHeight="1" x14ac:dyDescent="0.3">
      <c r="A552" s="156"/>
      <c r="B552" s="157"/>
      <c r="C552" s="157" t="s">
        <v>16</v>
      </c>
      <c r="D552" s="158" t="s">
        <v>38</v>
      </c>
      <c r="E552" s="159"/>
      <c r="F552" s="159"/>
      <c r="G552" s="160" t="s">
        <v>39</v>
      </c>
      <c r="H552" s="161" t="s">
        <v>12</v>
      </c>
      <c r="I552" s="162" t="s">
        <v>40</v>
      </c>
      <c r="J552" s="162"/>
      <c r="K552" s="163"/>
      <c r="L552" s="164">
        <f ca="1">IFERROR(__xludf.DUMMYFUNCTION("IMPORTRANGE(""https://docs.google.com/spreadsheets/d/11923uPwbBZFjjGgGUA6NLw09EwE0CqkOc4q9oUmW1yo/edit?usp=sharing"",""ตาก!L447"")"),0)</f>
        <v>0</v>
      </c>
      <c r="M552" s="164"/>
      <c r="N552" s="168">
        <f ca="1">IFERROR(__xludf.DUMMYFUNCTION("IMPORTRANGE(""https://docs.google.com/spreadsheets/d/11923uPwbBZFjjGgGUA6NLw09EwE0CqkOc4q9oUmW1yo/edit?usp=sharing"",""ตาก!M447"")"),0)</f>
        <v>0</v>
      </c>
      <c r="O552" s="168">
        <f t="shared" ca="1" si="120"/>
        <v>0</v>
      </c>
      <c r="P552" s="168"/>
    </row>
    <row r="553" spans="1:16" ht="21.75" customHeight="1" x14ac:dyDescent="0.3">
      <c r="A553" s="156"/>
      <c r="B553" s="157"/>
      <c r="C553" s="157"/>
      <c r="D553" s="166"/>
      <c r="E553" s="159"/>
      <c r="F553" s="159" t="s">
        <v>40</v>
      </c>
      <c r="G553" s="160" t="s">
        <v>41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IFERROR(__xludf.DUMMYFUNCTION("IMPORTRANGE(""https://docs.google.com/spreadsheets/d/11923uPwbBZFjjGgGUA6NLw09EwE0CqkOc4q9oUmW1yo/edit?usp=sharing"",""ตาก!L448"")"),0)</f>
        <v>0</v>
      </c>
      <c r="M553" s="165"/>
      <c r="N553" s="168">
        <f ca="1">IFERROR(__xludf.DUMMYFUNCTION("IMPORTRANGE(""https://docs.google.com/spreadsheets/d/11923uPwbBZFjjGgGUA6NLw09EwE0CqkOc4q9oUmW1yo/edit?usp=sharing"",""ตาก!M448"")"),0)</f>
        <v>0</v>
      </c>
      <c r="O553" s="168">
        <f t="shared" ca="1" si="120"/>
        <v>0</v>
      </c>
      <c r="P553" s="168"/>
    </row>
    <row r="554" spans="1:16" ht="21.75" customHeight="1" x14ac:dyDescent="0.3">
      <c r="A554" s="156"/>
      <c r="B554" s="157"/>
      <c r="C554" s="157"/>
      <c r="D554" s="166"/>
      <c r="E554" s="159"/>
      <c r="F554" s="159"/>
      <c r="G554" s="372" t="s">
        <v>129</v>
      </c>
      <c r="H554" s="161" t="s">
        <v>12</v>
      </c>
      <c r="I554" s="162"/>
      <c r="J554" s="162"/>
      <c r="K554" s="163"/>
      <c r="L554" s="168">
        <f ca="1">IFERROR(__xludf.DUMMYFUNCTION("IMPORTRANGE(""https://docs.google.com/spreadsheets/d/11923uPwbBZFjjGgGUA6NLw09EwE0CqkOc4q9oUmW1yo/edit?usp=sharing"",""ตาก!L449"")"),0)</f>
        <v>0</v>
      </c>
      <c r="M554" s="168"/>
      <c r="N554" s="168">
        <f ca="1">IFERROR(__xludf.DUMMYFUNCTION("IMPORTRANGE(""https://docs.google.com/spreadsheets/d/11923uPwbBZFjjGgGUA6NLw09EwE0CqkOc4q9oUmW1yo/edit?usp=sharing"",""ตาก!M449"")"),0)</f>
        <v>0</v>
      </c>
      <c r="O554" s="168">
        <f t="shared" ca="1" si="120"/>
        <v>0</v>
      </c>
      <c r="P554" s="168"/>
    </row>
    <row r="555" spans="1:16" ht="21.75" customHeight="1" x14ac:dyDescent="0.3">
      <c r="A555" s="156"/>
      <c r="B555" s="157"/>
      <c r="C555" s="157"/>
      <c r="D555" s="166"/>
      <c r="E555" s="159"/>
      <c r="F555" s="159"/>
      <c r="G555" s="372" t="s">
        <v>130</v>
      </c>
      <c r="H555" s="161" t="s">
        <v>12</v>
      </c>
      <c r="I555" s="162"/>
      <c r="J555" s="162"/>
      <c r="K555" s="163"/>
      <c r="L555" s="168">
        <f ca="1">IFERROR(__xludf.DUMMYFUNCTION("IMPORTRANGE(""https://docs.google.com/spreadsheets/d/11923uPwbBZFjjGgGUA6NLw09EwE0CqkOc4q9oUmW1yo/edit?usp=sharing"",""ตาก!L450"")"),0)</f>
        <v>0</v>
      </c>
      <c r="M555" s="168"/>
      <c r="N555" s="168">
        <f ca="1">IFERROR(__xludf.DUMMYFUNCTION("IMPORTRANGE(""https://docs.google.com/spreadsheets/d/11923uPwbBZFjjGgGUA6NLw09EwE0CqkOc4q9oUmW1yo/edit?usp=sharing"",""ตาก!M450"")"),0)</f>
        <v>0</v>
      </c>
      <c r="O555" s="168">
        <f t="shared" ca="1" si="120"/>
        <v>0</v>
      </c>
      <c r="P555" s="168"/>
    </row>
    <row r="556" spans="1:16" ht="21.75" customHeight="1" x14ac:dyDescent="0.3">
      <c r="A556" s="373"/>
      <c r="B556" s="374"/>
      <c r="C556" s="157"/>
      <c r="D556" s="375"/>
      <c r="E556" s="159"/>
      <c r="F556" s="159"/>
      <c r="G556" s="376" t="s">
        <v>131</v>
      </c>
      <c r="H556" s="161" t="s">
        <v>12</v>
      </c>
      <c r="I556" s="187"/>
      <c r="J556" s="187"/>
      <c r="K556" s="223"/>
      <c r="L556" s="168"/>
      <c r="M556" s="168"/>
      <c r="N556" s="167">
        <f ca="1">IFERROR(__xludf.DUMMYFUNCTION("IMPORTRANGE(""https://docs.google.com/spreadsheets/d/11923uPwbBZFjjGgGUA6NLw09EwE0CqkOc4q9oUmW1yo/edit?usp=sharing"",""ตาก!M451"")"),0)</f>
        <v>0</v>
      </c>
      <c r="O556" s="168"/>
      <c r="P556" s="168"/>
    </row>
    <row r="557" spans="1:16" ht="21.75" customHeight="1" x14ac:dyDescent="0.3">
      <c r="A557" s="373"/>
      <c r="B557" s="374"/>
      <c r="C557" s="157"/>
      <c r="D557" s="375"/>
      <c r="E557" s="159"/>
      <c r="F557" s="159"/>
      <c r="G557" s="376" t="s">
        <v>132</v>
      </c>
      <c r="H557" s="161" t="s">
        <v>12</v>
      </c>
      <c r="I557" s="187"/>
      <c r="J557" s="187"/>
      <c r="K557" s="223"/>
      <c r="L557" s="168"/>
      <c r="M557" s="168"/>
      <c r="N557" s="167">
        <f ca="1">IFERROR(__xludf.DUMMYFUNCTION("IMPORTRANGE(""https://docs.google.com/spreadsheets/d/11923uPwbBZFjjGgGUA6NLw09EwE0CqkOc4q9oUmW1yo/edit?usp=sharing"",""ตาก!M452"")"),0)</f>
        <v>0</v>
      </c>
      <c r="O557" s="168"/>
      <c r="P557" s="168"/>
    </row>
    <row r="558" spans="1:16" ht="21.75" customHeight="1" x14ac:dyDescent="0.3">
      <c r="A558" s="373"/>
      <c r="B558" s="374"/>
      <c r="C558" s="157"/>
      <c r="D558" s="375"/>
      <c r="E558" s="159"/>
      <c r="F558" s="159"/>
      <c r="G558" s="376" t="s">
        <v>133</v>
      </c>
      <c r="H558" s="161" t="s">
        <v>12</v>
      </c>
      <c r="I558" s="187"/>
      <c r="J558" s="187"/>
      <c r="K558" s="223"/>
      <c r="L558" s="168"/>
      <c r="M558" s="168"/>
      <c r="N558" s="167">
        <f ca="1">IFERROR(__xludf.DUMMYFUNCTION("IMPORTRANGE(""https://docs.google.com/spreadsheets/d/11923uPwbBZFjjGgGUA6NLw09EwE0CqkOc4q9oUmW1yo/edit?usp=sharing"",""ตาก!M453"")"),0)</f>
        <v>0</v>
      </c>
      <c r="O558" s="168"/>
      <c r="P558" s="168"/>
    </row>
    <row r="559" spans="1:16" ht="21.75" customHeight="1" x14ac:dyDescent="0.3">
      <c r="A559" s="373"/>
      <c r="B559" s="374"/>
      <c r="C559" s="157"/>
      <c r="D559" s="375"/>
      <c r="E559" s="159"/>
      <c r="F559" s="159"/>
      <c r="G559" s="376" t="s">
        <v>134</v>
      </c>
      <c r="H559" s="161" t="s">
        <v>12</v>
      </c>
      <c r="I559" s="187"/>
      <c r="J559" s="187"/>
      <c r="K559" s="223"/>
      <c r="L559" s="168"/>
      <c r="M559" s="168"/>
      <c r="N559" s="167">
        <f ca="1">IFERROR(__xludf.DUMMYFUNCTION("IMPORTRANGE(""https://docs.google.com/spreadsheets/d/11923uPwbBZFjjGgGUA6NLw09EwE0CqkOc4q9oUmW1yo/edit?usp=sharing"",""ตาก!M454"")"),0)</f>
        <v>0</v>
      </c>
      <c r="O559" s="168"/>
      <c r="P559" s="168"/>
    </row>
    <row r="560" spans="1:16" ht="21.75" customHeight="1" x14ac:dyDescent="0.3">
      <c r="A560" s="175"/>
      <c r="B560" s="176"/>
      <c r="C560" s="176"/>
      <c r="D560" s="193"/>
      <c r="E560" s="195"/>
      <c r="F560" s="277" t="s">
        <v>206</v>
      </c>
      <c r="G560" s="196"/>
      <c r="H560" s="473" t="s">
        <v>122</v>
      </c>
      <c r="I560" s="162">
        <f ca="1">IFERROR(__xludf.DUMMYFUNCTION("IMPORTRANGE(""https://docs.google.com/spreadsheets/d/11923uPwbBZFjjGgGUA6NLw09EwE0CqkOc4q9oUmW1yo/edit?usp=sharing"",""ตาก!I455"")"),0)</f>
        <v>0</v>
      </c>
      <c r="J560" s="162">
        <f ca="1">IFERROR(__xludf.DUMMYFUNCTION("IMPORTRANGE(""https://docs.google.com/spreadsheets/d/11923uPwbBZFjjGgGUA6NLw09EwE0CqkOc4q9oUmW1yo/edit?usp=sharing"",""ตาก!J455"")"),0)</f>
        <v>0</v>
      </c>
      <c r="K560" s="223">
        <f t="shared" ref="K560:K564" ca="1" si="121">IF(I560&gt;0,J560*100/I560,0)</f>
        <v>0</v>
      </c>
      <c r="L560" s="168"/>
      <c r="M560" s="168"/>
      <c r="N560" s="168"/>
      <c r="O560" s="181"/>
      <c r="P560" s="181"/>
    </row>
    <row r="561" spans="1:16" ht="21.75" customHeight="1" x14ac:dyDescent="0.3">
      <c r="A561" s="175"/>
      <c r="B561" s="176"/>
      <c r="C561" s="176"/>
      <c r="D561" s="193"/>
      <c r="E561" s="195"/>
      <c r="F561" s="195"/>
      <c r="G561" s="196"/>
      <c r="H561" s="473" t="s">
        <v>36</v>
      </c>
      <c r="I561" s="162">
        <f ca="1">IFERROR(__xludf.DUMMYFUNCTION("IMPORTRANGE(""https://docs.google.com/spreadsheets/d/11923uPwbBZFjjGgGUA6NLw09EwE0CqkOc4q9oUmW1yo/edit?usp=sharing"",""ตาก!I456"")"),0)</f>
        <v>0</v>
      </c>
      <c r="J561" s="203">
        <f ca="1">IFERROR(__xludf.DUMMYFUNCTION("IMPORTRANGE(""https://docs.google.com/spreadsheets/d/11923uPwbBZFjjGgGUA6NLw09EwE0CqkOc4q9oUmW1yo/edit?usp=sharing"",""ตาก!J456"")"),0)</f>
        <v>0</v>
      </c>
      <c r="K561" s="223">
        <f t="shared" ca="1" si="121"/>
        <v>0</v>
      </c>
      <c r="L561" s="168"/>
      <c r="M561" s="168"/>
      <c r="N561" s="168"/>
      <c r="O561" s="181"/>
      <c r="P561" s="181"/>
    </row>
    <row r="562" spans="1:16" ht="21.75" customHeight="1" x14ac:dyDescent="0.3">
      <c r="A562" s="175"/>
      <c r="B562" s="176"/>
      <c r="C562" s="176"/>
      <c r="D562" s="193"/>
      <c r="E562" s="195"/>
      <c r="F562" s="195" t="s">
        <v>207</v>
      </c>
      <c r="G562" s="196"/>
      <c r="H562" s="473" t="s">
        <v>122</v>
      </c>
      <c r="I562" s="162">
        <v>0</v>
      </c>
      <c r="J562" s="203" t="str">
        <f ca="1">IFERROR(__xludf.DUMMYFUNCTION("IMPORTRANGE(""https://docs.google.com/spreadsheets/d/11923uPwbBZFjjGgGUA6NLw09EwE0CqkOc4q9oUmW1yo/edit?usp=sharing"",""ตาก!J457"")"),"")</f>
        <v/>
      </c>
      <c r="K562" s="163">
        <f t="shared" si="121"/>
        <v>0</v>
      </c>
      <c r="L562" s="181"/>
      <c r="M562" s="181"/>
      <c r="N562" s="181"/>
      <c r="O562" s="181"/>
      <c r="P562" s="181"/>
    </row>
    <row r="563" spans="1:16" ht="21.75" customHeight="1" x14ac:dyDescent="0.3">
      <c r="A563" s="175"/>
      <c r="B563" s="176"/>
      <c r="C563" s="176"/>
      <c r="D563" s="193"/>
      <c r="E563" s="195"/>
      <c r="F563" s="195"/>
      <c r="G563" s="196"/>
      <c r="H563" s="473" t="s">
        <v>36</v>
      </c>
      <c r="I563" s="162">
        <v>0</v>
      </c>
      <c r="J563" s="187" t="str">
        <f ca="1">IFERROR(__xludf.DUMMYFUNCTION("IMPORTRANGE(""https://docs.google.com/spreadsheets/d/11923uPwbBZFjjGgGUA6NLw09EwE0CqkOc4q9oUmW1yo/edit?usp=sharing"",""ตาก!J458"")"),"")</f>
        <v/>
      </c>
      <c r="K563" s="163">
        <f t="shared" si="121"/>
        <v>0</v>
      </c>
      <c r="L563" s="181"/>
      <c r="M563" s="181"/>
      <c r="N563" s="181"/>
      <c r="O563" s="181"/>
      <c r="P563" s="181"/>
    </row>
    <row r="564" spans="1:16" ht="21.75" customHeight="1" x14ac:dyDescent="0.3">
      <c r="A564" s="364"/>
      <c r="B564" s="365">
        <v>8</v>
      </c>
      <c r="C564" s="366" t="s">
        <v>208</v>
      </c>
      <c r="D564" s="366"/>
      <c r="E564" s="366"/>
      <c r="F564" s="366"/>
      <c r="G564" s="367"/>
      <c r="H564" s="368" t="s">
        <v>37</v>
      </c>
      <c r="I564" s="369">
        <f ca="1">IFERROR(__xludf.DUMMYFUNCTION("IMPORTRANGE(""https://docs.google.com/spreadsheets/d/11923uPwbBZFjjGgGUA6NLw09EwE0CqkOc4q9oUmW1yo/edit?usp=sharing"",""ตาก!I459"")"),1300)</f>
        <v>1300</v>
      </c>
      <c r="J564" s="369">
        <f ca="1">IFERROR(__xludf.DUMMYFUNCTION("IMPORTRANGE(""https://docs.google.com/spreadsheets/d/11923uPwbBZFjjGgGUA6NLw09EwE0CqkOc4q9oUmW1yo/edit?usp=sharing"",""ตาก!J459"")"),858)</f>
        <v>858</v>
      </c>
      <c r="K564" s="370">
        <f t="shared" ca="1" si="121"/>
        <v>66</v>
      </c>
      <c r="L564" s="371">
        <f ca="1">IFERROR(__xludf.DUMMYFUNCTION("IMPORTRANGE(""https://docs.google.com/spreadsheets/d/11923uPwbBZFjjGgGUA6NLw09EwE0CqkOc4q9oUmW1yo/edit?usp=sharing"",""ตาก!L459"")"),128080)</f>
        <v>128080</v>
      </c>
      <c r="M564" s="371"/>
      <c r="N564" s="371">
        <f ca="1">IFERROR(__xludf.DUMMYFUNCTION("IMPORTRANGE(""https://docs.google.com/spreadsheets/d/11923uPwbBZFjjGgGUA6NLw09EwE0CqkOc4q9oUmW1yo/edit?usp=sharing"",""ตาก!M459"")"),37095)</f>
        <v>37095</v>
      </c>
      <c r="O564" s="371">
        <f t="shared" ref="O564:O568" ca="1" si="122">+IF(L564&gt;0,N564*100/L564,0)</f>
        <v>28.962367270455964</v>
      </c>
      <c r="P564" s="371"/>
    </row>
    <row r="565" spans="1:16" ht="21.75" customHeight="1" x14ac:dyDescent="0.3">
      <c r="A565" s="156"/>
      <c r="B565" s="157"/>
      <c r="C565" s="157" t="s">
        <v>16</v>
      </c>
      <c r="D565" s="158" t="s">
        <v>38</v>
      </c>
      <c r="E565" s="159"/>
      <c r="F565" s="159"/>
      <c r="G565" s="160" t="s">
        <v>39</v>
      </c>
      <c r="H565" s="161" t="s">
        <v>12</v>
      </c>
      <c r="I565" s="162" t="s">
        <v>40</v>
      </c>
      <c r="J565" s="162"/>
      <c r="K565" s="163"/>
      <c r="L565" s="164">
        <f ca="1">IFERROR(__xludf.DUMMYFUNCTION("IMPORTRANGE(""https://docs.google.com/spreadsheets/d/11923uPwbBZFjjGgGUA6NLw09EwE0CqkOc4q9oUmW1yo/edit?usp=sharing"",""ตาก!L460"")"),0)</f>
        <v>0</v>
      </c>
      <c r="M565" s="164"/>
      <c r="N565" s="168">
        <f ca="1">IFERROR(__xludf.DUMMYFUNCTION("IMPORTRANGE(""https://docs.google.com/spreadsheets/d/11923uPwbBZFjjGgGUA6NLw09EwE0CqkOc4q9oUmW1yo/edit?usp=sharing"",""ตาก!M460"")"),0)</f>
        <v>0</v>
      </c>
      <c r="O565" s="168">
        <f t="shared" ca="1" si="122"/>
        <v>0</v>
      </c>
      <c r="P565" s="168"/>
    </row>
    <row r="566" spans="1:16" ht="21.75" customHeight="1" x14ac:dyDescent="0.3">
      <c r="A566" s="156"/>
      <c r="B566" s="157"/>
      <c r="C566" s="157"/>
      <c r="D566" s="166"/>
      <c r="E566" s="159"/>
      <c r="F566" s="159" t="s">
        <v>40</v>
      </c>
      <c r="G566" s="160" t="s">
        <v>41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IFERROR(__xludf.DUMMYFUNCTION("IMPORTRANGE(""https://docs.google.com/spreadsheets/d/11923uPwbBZFjjGgGUA6NLw09EwE0CqkOc4q9oUmW1yo/edit?usp=sharing"",""ตาก!L461"")"),128080)</f>
        <v>128080</v>
      </c>
      <c r="M566" s="165"/>
      <c r="N566" s="168">
        <f ca="1">IFERROR(__xludf.DUMMYFUNCTION("IMPORTRANGE(""https://docs.google.com/spreadsheets/d/11923uPwbBZFjjGgGUA6NLw09EwE0CqkOc4q9oUmW1yo/edit?usp=sharing"",""ตาก!M461"")"),37095)</f>
        <v>37095</v>
      </c>
      <c r="O566" s="168">
        <f t="shared" ca="1" si="122"/>
        <v>28.962367270455964</v>
      </c>
      <c r="P566" s="168"/>
    </row>
    <row r="567" spans="1:16" ht="21.75" customHeight="1" x14ac:dyDescent="0.3">
      <c r="A567" s="156"/>
      <c r="B567" s="157"/>
      <c r="C567" s="157"/>
      <c r="D567" s="166"/>
      <c r="E567" s="159"/>
      <c r="F567" s="159"/>
      <c r="G567" s="372" t="s">
        <v>129</v>
      </c>
      <c r="H567" s="161" t="s">
        <v>12</v>
      </c>
      <c r="I567" s="162"/>
      <c r="J567" s="162"/>
      <c r="K567" s="163"/>
      <c r="L567" s="168">
        <f ca="1">IFERROR(__xludf.DUMMYFUNCTION("IMPORTRANGE(""https://docs.google.com/spreadsheets/d/11923uPwbBZFjjGgGUA6NLw09EwE0CqkOc4q9oUmW1yo/edit?usp=sharing"",""ตาก!L462"")"),0)</f>
        <v>0</v>
      </c>
      <c r="M567" s="168"/>
      <c r="N567" s="168">
        <f ca="1">IFERROR(__xludf.DUMMYFUNCTION("IMPORTRANGE(""https://docs.google.com/spreadsheets/d/11923uPwbBZFjjGgGUA6NLw09EwE0CqkOc4q9oUmW1yo/edit?usp=sharing"",""ตาก!M462"")"),0)</f>
        <v>0</v>
      </c>
      <c r="O567" s="168">
        <f t="shared" ca="1" si="122"/>
        <v>0</v>
      </c>
      <c r="P567" s="168"/>
    </row>
    <row r="568" spans="1:16" ht="21.75" customHeight="1" x14ac:dyDescent="0.3">
      <c r="A568" s="156"/>
      <c r="B568" s="157"/>
      <c r="C568" s="157"/>
      <c r="D568" s="166"/>
      <c r="E568" s="159"/>
      <c r="F568" s="159"/>
      <c r="G568" s="372" t="s">
        <v>130</v>
      </c>
      <c r="H568" s="161" t="s">
        <v>12</v>
      </c>
      <c r="I568" s="162"/>
      <c r="J568" s="162"/>
      <c r="K568" s="163"/>
      <c r="L568" s="168">
        <f ca="1">IFERROR(__xludf.DUMMYFUNCTION("IMPORTRANGE(""https://docs.google.com/spreadsheets/d/11923uPwbBZFjjGgGUA6NLw09EwE0CqkOc4q9oUmW1yo/edit?usp=sharing"",""ตาก!L463"")"),128080)</f>
        <v>128080</v>
      </c>
      <c r="M568" s="168"/>
      <c r="N568" s="168">
        <f ca="1">IFERROR(__xludf.DUMMYFUNCTION("IMPORTRANGE(""https://docs.google.com/spreadsheets/d/11923uPwbBZFjjGgGUA6NLw09EwE0CqkOc4q9oUmW1yo/edit?usp=sharing"",""ตาก!M463"")"),37095)</f>
        <v>37095</v>
      </c>
      <c r="O568" s="168">
        <f t="shared" ca="1" si="122"/>
        <v>28.962367270455964</v>
      </c>
      <c r="P568" s="168"/>
    </row>
    <row r="569" spans="1:16" ht="21.75" customHeight="1" x14ac:dyDescent="0.3">
      <c r="A569" s="373"/>
      <c r="B569" s="374"/>
      <c r="C569" s="157"/>
      <c r="D569" s="375"/>
      <c r="E569" s="159"/>
      <c r="F569" s="159"/>
      <c r="G569" s="376" t="s">
        <v>131</v>
      </c>
      <c r="H569" s="161" t="s">
        <v>12</v>
      </c>
      <c r="I569" s="187"/>
      <c r="J569" s="187"/>
      <c r="K569" s="223"/>
      <c r="L569" s="168"/>
      <c r="M569" s="168"/>
      <c r="N569" s="167">
        <f ca="1">IFERROR(__xludf.DUMMYFUNCTION("IMPORTRANGE(""https://docs.google.com/spreadsheets/d/11923uPwbBZFjjGgGUA6NLw09EwE0CqkOc4q9oUmW1yo/edit?usp=sharing"",""ตาก!M464"")"),0)</f>
        <v>0</v>
      </c>
      <c r="O569" s="168"/>
      <c r="P569" s="168"/>
    </row>
    <row r="570" spans="1:16" ht="21.75" customHeight="1" x14ac:dyDescent="0.3">
      <c r="A570" s="373"/>
      <c r="B570" s="374"/>
      <c r="C570" s="157"/>
      <c r="D570" s="375"/>
      <c r="E570" s="159"/>
      <c r="F570" s="159"/>
      <c r="G570" s="376" t="s">
        <v>132</v>
      </c>
      <c r="H570" s="161" t="s">
        <v>12</v>
      </c>
      <c r="I570" s="187"/>
      <c r="J570" s="187"/>
      <c r="K570" s="223"/>
      <c r="L570" s="168"/>
      <c r="M570" s="168"/>
      <c r="N570" s="167">
        <f ca="1">IFERROR(__xludf.DUMMYFUNCTION("IMPORTRANGE(""https://docs.google.com/spreadsheets/d/11923uPwbBZFjjGgGUA6NLw09EwE0CqkOc4q9oUmW1yo/edit?usp=sharing"",""ตาก!M465"")"),0)</f>
        <v>0</v>
      </c>
      <c r="O570" s="168"/>
      <c r="P570" s="168"/>
    </row>
    <row r="571" spans="1:16" ht="21.75" customHeight="1" x14ac:dyDescent="0.3">
      <c r="A571" s="373"/>
      <c r="B571" s="374"/>
      <c r="C571" s="157"/>
      <c r="D571" s="375"/>
      <c r="E571" s="159"/>
      <c r="F571" s="159"/>
      <c r="G571" s="376" t="s">
        <v>133</v>
      </c>
      <c r="H571" s="161" t="s">
        <v>12</v>
      </c>
      <c r="I571" s="187"/>
      <c r="J571" s="187"/>
      <c r="K571" s="223"/>
      <c r="L571" s="168"/>
      <c r="M571" s="168"/>
      <c r="N571" s="377">
        <f ca="1">IFERROR(__xludf.DUMMYFUNCTION("IMPORTRANGE(""https://docs.google.com/spreadsheets/d/11923uPwbBZFjjGgGUA6NLw09EwE0CqkOc4q9oUmW1yo/edit?usp=sharing"",""ตาก!M466"")"),9935)</f>
        <v>9935</v>
      </c>
      <c r="O571" s="168"/>
      <c r="P571" s="168"/>
    </row>
    <row r="572" spans="1:16" ht="21.75" customHeight="1" x14ac:dyDescent="0.3">
      <c r="A572" s="373"/>
      <c r="B572" s="374"/>
      <c r="C572" s="157"/>
      <c r="D572" s="375"/>
      <c r="E572" s="159"/>
      <c r="F572" s="159"/>
      <c r="G572" s="376" t="s">
        <v>134</v>
      </c>
      <c r="H572" s="161" t="s">
        <v>12</v>
      </c>
      <c r="I572" s="187"/>
      <c r="J572" s="187"/>
      <c r="K572" s="223"/>
      <c r="L572" s="168"/>
      <c r="M572" s="168"/>
      <c r="N572" s="377">
        <f ca="1">IFERROR(__xludf.DUMMYFUNCTION("IMPORTRANGE(""https://docs.google.com/spreadsheets/d/11923uPwbBZFjjGgGUA6NLw09EwE0CqkOc4q9oUmW1yo/edit?usp=sharing"",""ตาก!M467"")"),27160)</f>
        <v>27160</v>
      </c>
      <c r="O572" s="168"/>
      <c r="P572" s="168"/>
    </row>
    <row r="573" spans="1:16" ht="21.75" customHeight="1" x14ac:dyDescent="0.3">
      <c r="A573" s="175"/>
      <c r="B573" s="176"/>
      <c r="C573" s="176"/>
      <c r="D573" s="195"/>
      <c r="E573" s="194" t="s">
        <v>40</v>
      </c>
      <c r="F573" s="412" t="s">
        <v>209</v>
      </c>
      <c r="G573" s="386"/>
      <c r="H573" s="474" t="s">
        <v>37</v>
      </c>
      <c r="I573" s="418">
        <f ca="1">IFERROR(__xludf.DUMMYFUNCTION("IMPORTRANGE(""https://docs.google.com/spreadsheets/d/11923uPwbBZFjjGgGUA6NLw09EwE0CqkOc4q9oUmW1yo/edit?usp=sharing"",""ตาก!I468"")"),1300)</f>
        <v>1300</v>
      </c>
      <c r="J573" s="418">
        <f ca="1">IFERROR(__xludf.DUMMYFUNCTION("IMPORTRANGE(""https://docs.google.com/spreadsheets/d/11923uPwbBZFjjGgGUA6NLw09EwE0CqkOc4q9oUmW1yo/edit?usp=sharing"",""ตาก!J468"")"),858)</f>
        <v>858</v>
      </c>
      <c r="K573" s="201">
        <f ca="1">IF(I573&gt;0,J573*100/I573,0)</f>
        <v>66</v>
      </c>
      <c r="L573" s="181"/>
      <c r="M573" s="181"/>
      <c r="N573" s="181"/>
      <c r="O573" s="181"/>
      <c r="P573" s="181"/>
    </row>
    <row r="574" spans="1:16" ht="21.75" customHeight="1" x14ac:dyDescent="0.3">
      <c r="A574" s="175"/>
      <c r="B574" s="176"/>
      <c r="C574" s="176"/>
      <c r="D574" s="195"/>
      <c r="E574" s="195"/>
      <c r="F574" s="194" t="s">
        <v>210</v>
      </c>
      <c r="G574" s="196"/>
      <c r="H574" s="473"/>
      <c r="I574" s="162"/>
      <c r="J574" s="162"/>
      <c r="K574" s="163"/>
      <c r="L574" s="181"/>
      <c r="M574" s="181"/>
      <c r="N574" s="181"/>
      <c r="O574" s="181"/>
      <c r="P574" s="181"/>
    </row>
    <row r="575" spans="1:16" ht="21.75" customHeight="1" x14ac:dyDescent="0.3">
      <c r="A575" s="175"/>
      <c r="B575" s="176"/>
      <c r="C575" s="176"/>
      <c r="D575" s="195"/>
      <c r="E575" s="194" t="s">
        <v>40</v>
      </c>
      <c r="F575" s="194" t="s">
        <v>211</v>
      </c>
      <c r="G575" s="196"/>
      <c r="H575" s="473" t="s">
        <v>77</v>
      </c>
      <c r="I575" s="202">
        <f ca="1">IFERROR(__xludf.DUMMYFUNCTION("IMPORTRANGE(""https://docs.google.com/spreadsheets/d/11923uPwbBZFjjGgGUA6NLw09EwE0CqkOc4q9oUmW1yo/edit?usp=sharing"",""ตาก!I470"")"),0)</f>
        <v>0</v>
      </c>
      <c r="J575" s="197">
        <f ca="1">IFERROR(__xludf.DUMMYFUNCTION("IMPORTRANGE(""https://docs.google.com/spreadsheets/d/11923uPwbBZFjjGgGUA6NLw09EwE0CqkOc4q9oUmW1yo/edit?usp=sharing"",""ตาก!J470"")"),4)</f>
        <v>4</v>
      </c>
      <c r="K575" s="163">
        <f t="shared" ref="K575:K579" ca="1" si="123">IF(I575&gt;0,J575*100/I575,0)</f>
        <v>0</v>
      </c>
      <c r="L575" s="181"/>
      <c r="M575" s="181"/>
      <c r="N575" s="181"/>
      <c r="O575" s="181"/>
      <c r="P575" s="181"/>
    </row>
    <row r="576" spans="1:16" ht="21.75" customHeight="1" x14ac:dyDescent="0.3">
      <c r="A576" s="175"/>
      <c r="B576" s="176"/>
      <c r="C576" s="176"/>
      <c r="D576" s="195"/>
      <c r="E576" s="195"/>
      <c r="F576" s="194" t="s">
        <v>212</v>
      </c>
      <c r="G576" s="196"/>
      <c r="H576" s="473" t="s">
        <v>37</v>
      </c>
      <c r="I576" s="202">
        <f ca="1">IFERROR(__xludf.DUMMYFUNCTION("IMPORTRANGE(""https://docs.google.com/spreadsheets/d/11923uPwbBZFjjGgGUA6NLw09EwE0CqkOc4q9oUmW1yo/edit?usp=sharing"",""ตาก!I471"")"),0)</f>
        <v>0</v>
      </c>
      <c r="J576" s="197">
        <f ca="1">IFERROR(__xludf.DUMMYFUNCTION("IMPORTRANGE(""https://docs.google.com/spreadsheets/d/11923uPwbBZFjjGgGUA6NLw09EwE0CqkOc4q9oUmW1yo/edit?usp=sharing"",""ตาก!J471"")"),386)</f>
        <v>386</v>
      </c>
      <c r="K576" s="163">
        <f t="shared" ca="1" si="123"/>
        <v>0</v>
      </c>
      <c r="L576" s="181"/>
      <c r="M576" s="181"/>
      <c r="N576" s="181"/>
      <c r="O576" s="181"/>
      <c r="P576" s="181"/>
    </row>
    <row r="577" spans="1:16" ht="21.75" customHeight="1" x14ac:dyDescent="0.3">
      <c r="A577" s="175"/>
      <c r="B577" s="176"/>
      <c r="C577" s="176"/>
      <c r="D577" s="195"/>
      <c r="E577" s="195"/>
      <c r="F577" s="194" t="s">
        <v>213</v>
      </c>
      <c r="G577" s="196"/>
      <c r="H577" s="473" t="s">
        <v>37</v>
      </c>
      <c r="I577" s="202">
        <f ca="1">IFERROR(__xludf.DUMMYFUNCTION("IMPORTRANGE(""https://docs.google.com/spreadsheets/d/11923uPwbBZFjjGgGUA6NLw09EwE0CqkOc4q9oUmW1yo/edit?usp=sharing"",""ตาก!I472"")"),0)</f>
        <v>0</v>
      </c>
      <c r="J577" s="188">
        <f ca="1">IFERROR(__xludf.DUMMYFUNCTION("IMPORTRANGE(""https://docs.google.com/spreadsheets/d/11923uPwbBZFjjGgGUA6NLw09EwE0CqkOc4q9oUmW1yo/edit?usp=sharing"",""ตาก!J472"")"),472)</f>
        <v>472</v>
      </c>
      <c r="K577" s="163">
        <f t="shared" ca="1" si="123"/>
        <v>0</v>
      </c>
      <c r="L577" s="181"/>
      <c r="M577" s="181"/>
      <c r="N577" s="181"/>
      <c r="O577" s="181"/>
      <c r="P577" s="181"/>
    </row>
    <row r="578" spans="1:16" ht="21.75" customHeight="1" x14ac:dyDescent="0.3">
      <c r="A578" s="175"/>
      <c r="B578" s="176"/>
      <c r="C578" s="176"/>
      <c r="D578" s="195"/>
      <c r="E578" s="195"/>
      <c r="F578" s="194" t="s">
        <v>214</v>
      </c>
      <c r="G578" s="419"/>
      <c r="H578" s="473" t="s">
        <v>37</v>
      </c>
      <c r="I578" s="202">
        <f ca="1">IFERROR(__xludf.DUMMYFUNCTION("IMPORTRANGE(""https://docs.google.com/spreadsheets/d/11923uPwbBZFjjGgGUA6NLw09EwE0CqkOc4q9oUmW1yo/edit?usp=sharing"",""ตาก!I473"")"),0)</f>
        <v>0</v>
      </c>
      <c r="J578" s="197">
        <f ca="1">IFERROR(__xludf.DUMMYFUNCTION("IMPORTRANGE(""https://docs.google.com/spreadsheets/d/11923uPwbBZFjjGgGUA6NLw09EwE0CqkOc4q9oUmW1yo/edit?usp=sharing"",""ตาก!J473"")"),0)</f>
        <v>0</v>
      </c>
      <c r="K578" s="163">
        <f t="shared" ca="1" si="123"/>
        <v>0</v>
      </c>
      <c r="L578" s="181"/>
      <c r="M578" s="181"/>
      <c r="N578" s="181"/>
      <c r="O578" s="181"/>
      <c r="P578" s="181"/>
    </row>
    <row r="579" spans="1:16" ht="21.75" customHeight="1" x14ac:dyDescent="0.3">
      <c r="A579" s="175"/>
      <c r="B579" s="176"/>
      <c r="C579" s="176"/>
      <c r="D579" s="195"/>
      <c r="E579" s="195"/>
      <c r="F579" s="194" t="s">
        <v>215</v>
      </c>
      <c r="G579" s="419"/>
      <c r="H579" s="473" t="s">
        <v>37</v>
      </c>
      <c r="I579" s="202">
        <f ca="1">IFERROR(__xludf.DUMMYFUNCTION("IMPORTRANGE(""https://docs.google.com/spreadsheets/d/11923uPwbBZFjjGgGUA6NLw09EwE0CqkOc4q9oUmW1yo/edit?usp=sharing"",""ตาก!I474"")"),0)</f>
        <v>0</v>
      </c>
      <c r="J579" s="197">
        <f ca="1">IFERROR(__xludf.DUMMYFUNCTION("IMPORTRANGE(""https://docs.google.com/spreadsheets/d/11923uPwbBZFjjGgGUA6NLw09EwE0CqkOc4q9oUmW1yo/edit?usp=sharing"",""ตาก!J474"")"),0)</f>
        <v>0</v>
      </c>
      <c r="K579" s="163">
        <f t="shared" ca="1" si="123"/>
        <v>0</v>
      </c>
      <c r="L579" s="181"/>
      <c r="M579" s="181"/>
      <c r="N579" s="181"/>
      <c r="O579" s="181"/>
      <c r="P579" s="181"/>
    </row>
    <row r="580" spans="1:16" ht="21.75" customHeight="1" x14ac:dyDescent="0.3">
      <c r="A580" s="364"/>
      <c r="B580" s="365">
        <v>9</v>
      </c>
      <c r="C580" s="475" t="s">
        <v>216</v>
      </c>
      <c r="D580" s="366"/>
      <c r="E580" s="366"/>
      <c r="F580" s="366"/>
      <c r="G580" s="367"/>
      <c r="H580" s="368" t="s">
        <v>37</v>
      </c>
      <c r="I580" s="369">
        <f ca="1">IFERROR(__xludf.DUMMYFUNCTION("IMPORTRANGE(""https://docs.google.com/spreadsheets/d/11923uPwbBZFjjGgGUA6NLw09EwE0CqkOc4q9oUmW1yo/edit?usp=sharing"",""ตาก!I475"")"),220)</f>
        <v>220</v>
      </c>
      <c r="J580" s="369">
        <f ca="1">IFERROR(__xludf.DUMMYFUNCTION("IMPORTRANGE(""https://docs.google.com/spreadsheets/d/11923uPwbBZFjjGgGUA6NLw09EwE0CqkOc4q9oUmW1yo/edit?usp=sharing"",""ตาก!J475"")"),0)</f>
        <v>0</v>
      </c>
      <c r="K580" s="370">
        <f ca="1">IF(I580&gt;0,J580*100/I580,0)</f>
        <v>0</v>
      </c>
      <c r="L580" s="371">
        <f ca="1">IFERROR(__xludf.DUMMYFUNCTION("IMPORTRANGE(""https://docs.google.com/spreadsheets/d/11923uPwbBZFjjGgGUA6NLw09EwE0CqkOc4q9oUmW1yo/edit?usp=sharing"",""ตาก!L475"")"),370020)</f>
        <v>370020</v>
      </c>
      <c r="M580" s="371"/>
      <c r="N580" s="371">
        <f ca="1">IFERROR(__xludf.DUMMYFUNCTION("IMPORTRANGE(""https://docs.google.com/spreadsheets/d/11923uPwbBZFjjGgGUA6NLw09EwE0CqkOc4q9oUmW1yo/edit?usp=sharing"",""ตาก!M475"")"),42056)</f>
        <v>42056</v>
      </c>
      <c r="O580" s="371">
        <f t="shared" ref="O580:O584" ca="1" si="124">+IF(L580&gt;0,N580*100/L580,0)</f>
        <v>11.36587211502081</v>
      </c>
      <c r="P580" s="371"/>
    </row>
    <row r="581" spans="1:16" ht="21.75" customHeight="1" x14ac:dyDescent="0.3">
      <c r="A581" s="156"/>
      <c r="B581" s="157"/>
      <c r="C581" s="157" t="s">
        <v>16</v>
      </c>
      <c r="D581" s="158" t="s">
        <v>38</v>
      </c>
      <c r="E581" s="159"/>
      <c r="F581" s="159"/>
      <c r="G581" s="160" t="s">
        <v>39</v>
      </c>
      <c r="H581" s="161" t="s">
        <v>12</v>
      </c>
      <c r="I581" s="162" t="s">
        <v>40</v>
      </c>
      <c r="J581" s="162"/>
      <c r="K581" s="163"/>
      <c r="L581" s="164">
        <f ca="1">IFERROR(__xludf.DUMMYFUNCTION("IMPORTRANGE(""https://docs.google.com/spreadsheets/d/11923uPwbBZFjjGgGUA6NLw09EwE0CqkOc4q9oUmW1yo/edit?usp=sharing"",""ตาก!L476"")"),0)</f>
        <v>0</v>
      </c>
      <c r="M581" s="164"/>
      <c r="N581" s="168">
        <f ca="1">IFERROR(__xludf.DUMMYFUNCTION("IMPORTRANGE(""https://docs.google.com/spreadsheets/d/11923uPwbBZFjjGgGUA6NLw09EwE0CqkOc4q9oUmW1yo/edit?usp=sharing"",""ตาก!M476"")"),0)</f>
        <v>0</v>
      </c>
      <c r="O581" s="168">
        <f t="shared" ca="1" si="124"/>
        <v>0</v>
      </c>
      <c r="P581" s="168"/>
    </row>
    <row r="582" spans="1:16" ht="21.75" customHeight="1" x14ac:dyDescent="0.3">
      <c r="A582" s="156"/>
      <c r="B582" s="157"/>
      <c r="C582" s="157"/>
      <c r="D582" s="166"/>
      <c r="E582" s="159"/>
      <c r="F582" s="159" t="s">
        <v>40</v>
      </c>
      <c r="G582" s="160" t="s">
        <v>41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IFERROR(__xludf.DUMMYFUNCTION("IMPORTRANGE(""https://docs.google.com/spreadsheets/d/11923uPwbBZFjjGgGUA6NLw09EwE0CqkOc4q9oUmW1yo/edit?usp=sharing"",""ตาก!L477"")"),370020)</f>
        <v>370020</v>
      </c>
      <c r="M582" s="165"/>
      <c r="N582" s="168">
        <f ca="1">IFERROR(__xludf.DUMMYFUNCTION("IMPORTRANGE(""https://docs.google.com/spreadsheets/d/11923uPwbBZFjjGgGUA6NLw09EwE0CqkOc4q9oUmW1yo/edit?usp=sharing"",""ตาก!M477"")"),42056)</f>
        <v>42056</v>
      </c>
      <c r="O582" s="168">
        <f t="shared" ca="1" si="124"/>
        <v>11.36587211502081</v>
      </c>
      <c r="P582" s="168"/>
    </row>
    <row r="583" spans="1:16" ht="21.75" customHeight="1" x14ac:dyDescent="0.3">
      <c r="A583" s="156"/>
      <c r="B583" s="157"/>
      <c r="C583" s="157"/>
      <c r="D583" s="166"/>
      <c r="E583" s="159"/>
      <c r="F583" s="159"/>
      <c r="G583" s="372" t="s">
        <v>129</v>
      </c>
      <c r="H583" s="161" t="s">
        <v>12</v>
      </c>
      <c r="I583" s="162"/>
      <c r="J583" s="162"/>
      <c r="K583" s="163"/>
      <c r="L583" s="168">
        <f ca="1">IFERROR(__xludf.DUMMYFUNCTION("IMPORTRANGE(""https://docs.google.com/spreadsheets/d/11923uPwbBZFjjGgGUA6NLw09EwE0CqkOc4q9oUmW1yo/edit?usp=sharing"",""ตาก!L478"")"),0)</f>
        <v>0</v>
      </c>
      <c r="M583" s="168"/>
      <c r="N583" s="168">
        <f ca="1">IFERROR(__xludf.DUMMYFUNCTION("IMPORTRANGE(""https://docs.google.com/spreadsheets/d/11923uPwbBZFjjGgGUA6NLw09EwE0CqkOc4q9oUmW1yo/edit?usp=sharing"",""ตาก!M478"")"),0)</f>
        <v>0</v>
      </c>
      <c r="O583" s="168">
        <f t="shared" ca="1" si="124"/>
        <v>0</v>
      </c>
      <c r="P583" s="168"/>
    </row>
    <row r="584" spans="1:16" ht="21.75" customHeight="1" x14ac:dyDescent="0.3">
      <c r="A584" s="156"/>
      <c r="B584" s="157"/>
      <c r="C584" s="157"/>
      <c r="D584" s="166"/>
      <c r="E584" s="159"/>
      <c r="F584" s="159"/>
      <c r="G584" s="372" t="s">
        <v>130</v>
      </c>
      <c r="H584" s="161" t="s">
        <v>12</v>
      </c>
      <c r="I584" s="162"/>
      <c r="J584" s="162"/>
      <c r="K584" s="163"/>
      <c r="L584" s="168">
        <f ca="1">IFERROR(__xludf.DUMMYFUNCTION("IMPORTRANGE(""https://docs.google.com/spreadsheets/d/11923uPwbBZFjjGgGUA6NLw09EwE0CqkOc4q9oUmW1yo/edit?usp=sharing"",""ตาก!L479"")"),370020)</f>
        <v>370020</v>
      </c>
      <c r="M584" s="168"/>
      <c r="N584" s="168">
        <f ca="1">IFERROR(__xludf.DUMMYFUNCTION("IMPORTRANGE(""https://docs.google.com/spreadsheets/d/11923uPwbBZFjjGgGUA6NLw09EwE0CqkOc4q9oUmW1yo/edit?usp=sharing"",""ตาก!M479"")"),42056)</f>
        <v>42056</v>
      </c>
      <c r="O584" s="168">
        <f t="shared" ca="1" si="124"/>
        <v>11.36587211502081</v>
      </c>
      <c r="P584" s="168"/>
    </row>
    <row r="585" spans="1:16" ht="21.75" customHeight="1" x14ac:dyDescent="0.3">
      <c r="A585" s="373"/>
      <c r="B585" s="374"/>
      <c r="C585" s="157"/>
      <c r="D585" s="375"/>
      <c r="E585" s="159"/>
      <c r="F585" s="159"/>
      <c r="G585" s="376" t="s">
        <v>131</v>
      </c>
      <c r="H585" s="161" t="s">
        <v>12</v>
      </c>
      <c r="I585" s="187"/>
      <c r="J585" s="187"/>
      <c r="K585" s="223"/>
      <c r="L585" s="168"/>
      <c r="M585" s="168"/>
      <c r="N585" s="167">
        <f ca="1">IFERROR(__xludf.DUMMYFUNCTION("IMPORTRANGE(""https://docs.google.com/spreadsheets/d/11923uPwbBZFjjGgGUA6NLw09EwE0CqkOc4q9oUmW1yo/edit?usp=sharing"",""ตาก!M480"")"),0)</f>
        <v>0</v>
      </c>
      <c r="O585" s="168"/>
      <c r="P585" s="168"/>
    </row>
    <row r="586" spans="1:16" ht="21.75" customHeight="1" x14ac:dyDescent="0.3">
      <c r="A586" s="373"/>
      <c r="B586" s="374"/>
      <c r="C586" s="157"/>
      <c r="D586" s="375"/>
      <c r="E586" s="159"/>
      <c r="F586" s="159"/>
      <c r="G586" s="376" t="s">
        <v>132</v>
      </c>
      <c r="H586" s="161" t="s">
        <v>12</v>
      </c>
      <c r="I586" s="187"/>
      <c r="J586" s="187"/>
      <c r="K586" s="223"/>
      <c r="L586" s="168"/>
      <c r="M586" s="168"/>
      <c r="N586" s="167">
        <f ca="1">IFERROR(__xludf.DUMMYFUNCTION("IMPORTRANGE(""https://docs.google.com/spreadsheets/d/11923uPwbBZFjjGgGUA6NLw09EwE0CqkOc4q9oUmW1yo/edit?usp=sharing"",""ตาก!M481"")"),0)</f>
        <v>0</v>
      </c>
      <c r="O586" s="168"/>
      <c r="P586" s="168"/>
    </row>
    <row r="587" spans="1:16" ht="21.75" customHeight="1" x14ac:dyDescent="0.3">
      <c r="A587" s="373"/>
      <c r="B587" s="374"/>
      <c r="C587" s="157"/>
      <c r="D587" s="375"/>
      <c r="E587" s="159"/>
      <c r="F587" s="159"/>
      <c r="G587" s="376" t="s">
        <v>133</v>
      </c>
      <c r="H587" s="161" t="s">
        <v>12</v>
      </c>
      <c r="I587" s="187"/>
      <c r="J587" s="187"/>
      <c r="K587" s="223"/>
      <c r="L587" s="168"/>
      <c r="M587" s="168"/>
      <c r="N587" s="167">
        <f ca="1">IFERROR(__xludf.DUMMYFUNCTION("IMPORTRANGE(""https://docs.google.com/spreadsheets/d/11923uPwbBZFjjGgGUA6NLw09EwE0CqkOc4q9oUmW1yo/edit?usp=sharing"",""ตาก!M482"")"),32266)</f>
        <v>32266</v>
      </c>
      <c r="O587" s="168"/>
      <c r="P587" s="168"/>
    </row>
    <row r="588" spans="1:16" ht="21.75" customHeight="1" x14ac:dyDescent="0.3">
      <c r="A588" s="373"/>
      <c r="B588" s="374"/>
      <c r="C588" s="157"/>
      <c r="D588" s="375"/>
      <c r="E588" s="159"/>
      <c r="F588" s="159"/>
      <c r="G588" s="376" t="s">
        <v>134</v>
      </c>
      <c r="H588" s="161" t="s">
        <v>12</v>
      </c>
      <c r="I588" s="187"/>
      <c r="J588" s="187"/>
      <c r="K588" s="223"/>
      <c r="L588" s="168"/>
      <c r="M588" s="168"/>
      <c r="N588" s="167">
        <f ca="1">IFERROR(__xludf.DUMMYFUNCTION("IMPORTRANGE(""https://docs.google.com/spreadsheets/d/11923uPwbBZFjjGgGUA6NLw09EwE0CqkOc4q9oUmW1yo/edit?usp=sharing"",""ตาก!M483"")"),9790)</f>
        <v>9790</v>
      </c>
      <c r="O588" s="168"/>
      <c r="P588" s="168"/>
    </row>
    <row r="589" spans="1:16" ht="21.75" customHeight="1" x14ac:dyDescent="0.3">
      <c r="A589" s="476"/>
      <c r="B589" s="166"/>
      <c r="C589" s="157"/>
      <c r="D589" s="289"/>
      <c r="E589" s="194" t="s">
        <v>217</v>
      </c>
      <c r="F589" s="195"/>
      <c r="G589" s="196"/>
      <c r="H589" s="180" t="s">
        <v>36</v>
      </c>
      <c r="I589" s="339">
        <f ca="1">IFERROR(__xludf.DUMMYFUNCTION("IMPORTRANGE(""https://docs.google.com/spreadsheets/d/11923uPwbBZFjjGgGUA6NLw09EwE0CqkOc4q9oUmW1yo/edit?usp=sharing"",""ตาก!I484"")"),220)</f>
        <v>220</v>
      </c>
      <c r="J589" s="187">
        <f ca="1">IFERROR(__xludf.DUMMYFUNCTION("IMPORTRANGE(""https://docs.google.com/spreadsheets/d/11923uPwbBZFjjGgGUA6NLw09EwE0CqkOc4q9oUmW1yo/edit?usp=sharing"",""ตาก!J484"")"),0)</f>
        <v>0</v>
      </c>
      <c r="K589" s="163">
        <f t="shared" ref="K589:K596" ca="1" si="125">IF(I589&gt;0,J589*100/I589,0)</f>
        <v>0</v>
      </c>
      <c r="L589" s="181"/>
      <c r="M589" s="181"/>
      <c r="N589" s="168"/>
      <c r="O589" s="181"/>
      <c r="P589" s="181"/>
    </row>
    <row r="590" spans="1:16" ht="21.75" customHeight="1" x14ac:dyDescent="0.3">
      <c r="A590" s="476"/>
      <c r="B590" s="166"/>
      <c r="C590" s="157"/>
      <c r="D590" s="289"/>
      <c r="E590" s="195"/>
      <c r="F590" s="195"/>
      <c r="G590" s="196"/>
      <c r="H590" s="180" t="s">
        <v>122</v>
      </c>
      <c r="I590" s="343">
        <f ca="1">IFERROR(__xludf.DUMMYFUNCTION("IMPORTRANGE(""https://docs.google.com/spreadsheets/d/11923uPwbBZFjjGgGUA6NLw09EwE0CqkOc4q9oUmW1yo/edit?usp=sharing"",""ตาก!I485"")"),0)</f>
        <v>0</v>
      </c>
      <c r="J590" s="187">
        <f ca="1">IFERROR(__xludf.DUMMYFUNCTION("IMPORTRANGE(""https://docs.google.com/spreadsheets/d/11923uPwbBZFjjGgGUA6NLw09EwE0CqkOc4q9oUmW1yo/edit?usp=sharing"",""ตาก!J485"")"),0)</f>
        <v>0</v>
      </c>
      <c r="K590" s="477">
        <f t="shared" ca="1" si="125"/>
        <v>0</v>
      </c>
      <c r="L590" s="181"/>
      <c r="M590" s="181"/>
      <c r="N590" s="168"/>
      <c r="O590" s="181"/>
      <c r="P590" s="181"/>
    </row>
    <row r="591" spans="1:16" ht="21.75" customHeight="1" x14ac:dyDescent="0.3">
      <c r="A591" s="476"/>
      <c r="B591" s="166"/>
      <c r="C591" s="157"/>
      <c r="D591" s="289"/>
      <c r="E591" s="194" t="s">
        <v>123</v>
      </c>
      <c r="F591" s="195"/>
      <c r="G591" s="196"/>
      <c r="H591" s="180" t="s">
        <v>37</v>
      </c>
      <c r="I591" s="339">
        <f ca="1">IFERROR(__xludf.DUMMYFUNCTION("IMPORTRANGE(""https://docs.google.com/spreadsheets/d/11923uPwbBZFjjGgGUA6NLw09EwE0CqkOc4q9oUmW1yo/edit?usp=sharing"",""ตาก!I486"")"),220)</f>
        <v>220</v>
      </c>
      <c r="J591" s="187">
        <f ca="1">IFERROR(__xludf.DUMMYFUNCTION("IMPORTRANGE(""https://docs.google.com/spreadsheets/d/11923uPwbBZFjjGgGUA6NLw09EwE0CqkOc4q9oUmW1yo/edit?usp=sharing"",""ตาก!J486"")"),0)</f>
        <v>0</v>
      </c>
      <c r="K591" s="163">
        <f t="shared" ca="1" si="125"/>
        <v>0</v>
      </c>
      <c r="L591" s="181"/>
      <c r="M591" s="181"/>
      <c r="N591" s="181"/>
      <c r="O591" s="181"/>
      <c r="P591" s="181"/>
    </row>
    <row r="592" spans="1:16" ht="21.75" customHeight="1" x14ac:dyDescent="0.3">
      <c r="A592" s="476"/>
      <c r="B592" s="166"/>
      <c r="C592" s="157"/>
      <c r="D592" s="289"/>
      <c r="E592" s="195"/>
      <c r="F592" s="195"/>
      <c r="G592" s="196"/>
      <c r="H592" s="180" t="s">
        <v>122</v>
      </c>
      <c r="I592" s="343">
        <f ca="1">IFERROR(__xludf.DUMMYFUNCTION("IMPORTRANGE(""https://docs.google.com/spreadsheets/d/11923uPwbBZFjjGgGUA6NLw09EwE0CqkOc4q9oUmW1yo/edit?usp=sharing"",""ตาก!I487"")"),0)</f>
        <v>0</v>
      </c>
      <c r="J592" s="187">
        <f ca="1">IFERROR(__xludf.DUMMYFUNCTION("IMPORTRANGE(""https://docs.google.com/spreadsheets/d/11923uPwbBZFjjGgGUA6NLw09EwE0CqkOc4q9oUmW1yo/edit?usp=sharing"",""ตาก!J487"")"),0)</f>
        <v>0</v>
      </c>
      <c r="K592" s="340">
        <f t="shared" ca="1" si="125"/>
        <v>0</v>
      </c>
      <c r="L592" s="181"/>
      <c r="M592" s="181"/>
      <c r="N592" s="181"/>
      <c r="O592" s="181"/>
      <c r="P592" s="181"/>
    </row>
    <row r="593" spans="1:16" ht="21.75" customHeight="1" x14ac:dyDescent="0.3">
      <c r="A593" s="476"/>
      <c r="B593" s="166"/>
      <c r="C593" s="157"/>
      <c r="D593" s="289"/>
      <c r="E593" s="194" t="s">
        <v>124</v>
      </c>
      <c r="F593" s="195"/>
      <c r="G593" s="196"/>
      <c r="H593" s="180" t="s">
        <v>37</v>
      </c>
      <c r="I593" s="339">
        <f ca="1">IFERROR(__xludf.DUMMYFUNCTION("IMPORTRANGE(""https://docs.google.com/spreadsheets/d/11923uPwbBZFjjGgGUA6NLw09EwE0CqkOc4q9oUmW1yo/edit?usp=sharing"",""ตาก!I488"")"),220)</f>
        <v>220</v>
      </c>
      <c r="J593" s="187">
        <f ca="1">IFERROR(__xludf.DUMMYFUNCTION("IMPORTRANGE(""https://docs.google.com/spreadsheets/d/11923uPwbBZFjjGgGUA6NLw09EwE0CqkOc4q9oUmW1yo/edit?usp=sharing"",""ตาก!J488"")"),0)</f>
        <v>0</v>
      </c>
      <c r="K593" s="163">
        <f t="shared" ca="1" si="125"/>
        <v>0</v>
      </c>
      <c r="L593" s="181"/>
      <c r="M593" s="181"/>
      <c r="N593" s="181"/>
      <c r="O593" s="181"/>
      <c r="P593" s="181"/>
    </row>
    <row r="594" spans="1:16" ht="21.75" customHeight="1" x14ac:dyDescent="0.3">
      <c r="A594" s="476"/>
      <c r="B594" s="166"/>
      <c r="C594" s="157"/>
      <c r="D594" s="289"/>
      <c r="E594" s="195"/>
      <c r="F594" s="195"/>
      <c r="G594" s="196"/>
      <c r="H594" s="180" t="s">
        <v>122</v>
      </c>
      <c r="I594" s="343">
        <f ca="1">IFERROR(__xludf.DUMMYFUNCTION("IMPORTRANGE(""https://docs.google.com/spreadsheets/d/11923uPwbBZFjjGgGUA6NLw09EwE0CqkOc4q9oUmW1yo/edit?usp=sharing"",""ตาก!I489"")"),0)</f>
        <v>0</v>
      </c>
      <c r="J594" s="187">
        <f ca="1">IFERROR(__xludf.DUMMYFUNCTION("IMPORTRANGE(""https://docs.google.com/spreadsheets/d/11923uPwbBZFjjGgGUA6NLw09EwE0CqkOc4q9oUmW1yo/edit?usp=sharing"",""ตาก!J489"")"),0)</f>
        <v>0</v>
      </c>
      <c r="K594" s="340">
        <f t="shared" ca="1" si="125"/>
        <v>0</v>
      </c>
      <c r="L594" s="181"/>
      <c r="M594" s="181"/>
      <c r="N594" s="181"/>
      <c r="O594" s="181"/>
      <c r="P594" s="181"/>
    </row>
    <row r="595" spans="1:16" ht="21.75" customHeight="1" x14ac:dyDescent="0.3">
      <c r="A595" s="476"/>
      <c r="B595" s="166"/>
      <c r="C595" s="157"/>
      <c r="D595" s="289"/>
      <c r="E595" s="194" t="s">
        <v>125</v>
      </c>
      <c r="F595" s="195"/>
      <c r="G595" s="196"/>
      <c r="H595" s="180" t="s">
        <v>37</v>
      </c>
      <c r="I595" s="339">
        <f ca="1">IFERROR(__xludf.DUMMYFUNCTION("IMPORTRANGE(""https://docs.google.com/spreadsheets/d/11923uPwbBZFjjGgGUA6NLw09EwE0CqkOc4q9oUmW1yo/edit?usp=sharing"",""ตาก!I490"")"),220)</f>
        <v>220</v>
      </c>
      <c r="J595" s="187">
        <f ca="1">IFERROR(__xludf.DUMMYFUNCTION("IMPORTRANGE(""https://docs.google.com/spreadsheets/d/11923uPwbBZFjjGgGUA6NLw09EwE0CqkOc4q9oUmW1yo/edit?usp=sharing"",""ตาก!J490"")"),0)</f>
        <v>0</v>
      </c>
      <c r="K595" s="163">
        <f t="shared" ca="1" si="125"/>
        <v>0</v>
      </c>
      <c r="L595" s="181"/>
      <c r="M595" s="181"/>
      <c r="N595" s="181"/>
      <c r="O595" s="181"/>
      <c r="P595" s="181"/>
    </row>
    <row r="596" spans="1:16" ht="21.75" customHeight="1" x14ac:dyDescent="0.3">
      <c r="A596" s="478"/>
      <c r="B596" s="479"/>
      <c r="C596" s="480"/>
      <c r="D596" s="481"/>
      <c r="E596" s="460"/>
      <c r="F596" s="460"/>
      <c r="G596" s="461"/>
      <c r="H596" s="482" t="s">
        <v>122</v>
      </c>
      <c r="I596" s="483">
        <f ca="1">IFERROR(__xludf.DUMMYFUNCTION("IMPORTRANGE(""https://docs.google.com/spreadsheets/d/11923uPwbBZFjjGgGUA6NLw09EwE0CqkOc4q9oUmW1yo/edit?usp=sharing"",""ตาก!I491"")"),0)</f>
        <v>0</v>
      </c>
      <c r="J596" s="240">
        <f ca="1">IFERROR(__xludf.DUMMYFUNCTION("IMPORTRANGE(""https://docs.google.com/spreadsheets/d/11923uPwbBZFjjGgGUA6NLw09EwE0CqkOc4q9oUmW1yo/edit?usp=sharing"",""ตาก!J491"")"),0)</f>
        <v>0</v>
      </c>
      <c r="K596" s="484">
        <f t="shared" ca="1" si="125"/>
        <v>0</v>
      </c>
      <c r="L596" s="466"/>
      <c r="M596" s="466"/>
      <c r="N596" s="466"/>
      <c r="O596" s="466"/>
      <c r="P596" s="466"/>
    </row>
    <row r="597" spans="1:16" ht="21.75" customHeight="1" x14ac:dyDescent="0.3">
      <c r="A597" s="403"/>
      <c r="B597" s="404">
        <v>10</v>
      </c>
      <c r="C597" s="405" t="s">
        <v>218</v>
      </c>
      <c r="D597" s="405"/>
      <c r="E597" s="405"/>
      <c r="F597" s="405"/>
      <c r="G597" s="406"/>
      <c r="H597" s="407" t="s">
        <v>122</v>
      </c>
      <c r="I597" s="408">
        <f ca="1">IFERROR(__xludf.DUMMYFUNCTION("IMPORTRANGE(""https://docs.google.com/spreadsheets/d/11923uPwbBZFjjGgGUA6NLw09EwE0CqkOc4q9oUmW1yo/edit?usp=sharing"",""ตาก!I492"")"),100)</f>
        <v>100</v>
      </c>
      <c r="J597" s="485">
        <f ca="1">IFERROR(__xludf.DUMMYFUNCTION("IMPORTRANGE(""https://docs.google.com/spreadsheets/d/11923uPwbBZFjjGgGUA6NLw09EwE0CqkOc4q9oUmW1yo/edit?usp=sharing"",""ตาก!J492"")"),0)</f>
        <v>0</v>
      </c>
      <c r="K597" s="409">
        <f ca="1">IF(I597&gt;0,J597*100/I597,0)</f>
        <v>0</v>
      </c>
      <c r="L597" s="410">
        <f ca="1">IFERROR(__xludf.DUMMYFUNCTION("IMPORTRANGE(""https://docs.google.com/spreadsheets/d/11923uPwbBZFjjGgGUA6NLw09EwE0CqkOc4q9oUmW1yo/edit?usp=sharing"",""ตาก!L492"")"),8100)</f>
        <v>8100</v>
      </c>
      <c r="M597" s="410"/>
      <c r="N597" s="410">
        <f ca="1">IFERROR(__xludf.DUMMYFUNCTION("IMPORTRANGE(""https://docs.google.com/spreadsheets/d/11923uPwbBZFjjGgGUA6NLw09EwE0CqkOc4q9oUmW1yo/edit?usp=sharing"",""ตาก!M492"")"),800)</f>
        <v>800</v>
      </c>
      <c r="O597" s="410">
        <f t="shared" ref="O597:O601" ca="1" si="126">+IF(L597&gt;0,N597*100/L597,0)</f>
        <v>9.8765432098765427</v>
      </c>
      <c r="P597" s="410"/>
    </row>
    <row r="598" spans="1:16" ht="21.75" customHeight="1" x14ac:dyDescent="0.3">
      <c r="A598" s="156"/>
      <c r="B598" s="157"/>
      <c r="C598" s="157" t="s">
        <v>16</v>
      </c>
      <c r="D598" s="158" t="s">
        <v>38</v>
      </c>
      <c r="E598" s="159"/>
      <c r="F598" s="159"/>
      <c r="G598" s="160" t="s">
        <v>39</v>
      </c>
      <c r="H598" s="161" t="s">
        <v>12</v>
      </c>
      <c r="I598" s="162" t="s">
        <v>40</v>
      </c>
      <c r="J598" s="162"/>
      <c r="K598" s="163"/>
      <c r="L598" s="164">
        <f ca="1">IFERROR(__xludf.DUMMYFUNCTION("IMPORTRANGE(""https://docs.google.com/spreadsheets/d/11923uPwbBZFjjGgGUA6NLw09EwE0CqkOc4q9oUmW1yo/edit?usp=sharing"",""ตาก!L493"")"),0)</f>
        <v>0</v>
      </c>
      <c r="M598" s="164"/>
      <c r="N598" s="168">
        <f ca="1">IFERROR(__xludf.DUMMYFUNCTION("IMPORTRANGE(""https://docs.google.com/spreadsheets/d/11923uPwbBZFjjGgGUA6NLw09EwE0CqkOc4q9oUmW1yo/edit?usp=sharing"",""ตาก!M493"")"),0)</f>
        <v>0</v>
      </c>
      <c r="O598" s="168">
        <f t="shared" ca="1" si="126"/>
        <v>0</v>
      </c>
      <c r="P598" s="168"/>
    </row>
    <row r="599" spans="1:16" ht="21.75" customHeight="1" x14ac:dyDescent="0.3">
      <c r="A599" s="156"/>
      <c r="B599" s="157"/>
      <c r="C599" s="157"/>
      <c r="D599" s="166"/>
      <c r="E599" s="159"/>
      <c r="F599" s="159" t="s">
        <v>40</v>
      </c>
      <c r="G599" s="160" t="s">
        <v>41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IFERROR(__xludf.DUMMYFUNCTION("IMPORTRANGE(""https://docs.google.com/spreadsheets/d/11923uPwbBZFjjGgGUA6NLw09EwE0CqkOc4q9oUmW1yo/edit?usp=sharing"",""ตาก!L494"")"),8100)</f>
        <v>8100</v>
      </c>
      <c r="M599" s="165"/>
      <c r="N599" s="168">
        <f ca="1">IFERROR(__xludf.DUMMYFUNCTION("IMPORTRANGE(""https://docs.google.com/spreadsheets/d/11923uPwbBZFjjGgGUA6NLw09EwE0CqkOc4q9oUmW1yo/edit?usp=sharing"",""ตาก!M494"")"),800)</f>
        <v>800</v>
      </c>
      <c r="O599" s="168">
        <f t="shared" ca="1" si="126"/>
        <v>9.8765432098765427</v>
      </c>
      <c r="P599" s="168"/>
    </row>
    <row r="600" spans="1:16" ht="21.75" customHeight="1" x14ac:dyDescent="0.3">
      <c r="A600" s="156"/>
      <c r="B600" s="157"/>
      <c r="C600" s="157"/>
      <c r="D600" s="166"/>
      <c r="E600" s="159"/>
      <c r="F600" s="159"/>
      <c r="G600" s="372" t="s">
        <v>129</v>
      </c>
      <c r="H600" s="161" t="s">
        <v>12</v>
      </c>
      <c r="I600" s="162"/>
      <c r="J600" s="162"/>
      <c r="K600" s="163"/>
      <c r="L600" s="168">
        <f ca="1">IFERROR(__xludf.DUMMYFUNCTION("IMPORTRANGE(""https://docs.google.com/spreadsheets/d/11923uPwbBZFjjGgGUA6NLw09EwE0CqkOc4q9oUmW1yo/edit?usp=sharing"",""ตาก!L495"")"),0)</f>
        <v>0</v>
      </c>
      <c r="M600" s="168"/>
      <c r="N600" s="168">
        <f ca="1">IFERROR(__xludf.DUMMYFUNCTION("IMPORTRANGE(""https://docs.google.com/spreadsheets/d/11923uPwbBZFjjGgGUA6NLw09EwE0CqkOc4q9oUmW1yo/edit?usp=sharing"",""ตาก!M495"")"),0)</f>
        <v>0</v>
      </c>
      <c r="O600" s="168">
        <f t="shared" ca="1" si="126"/>
        <v>0</v>
      </c>
      <c r="P600" s="168"/>
    </row>
    <row r="601" spans="1:16" ht="21.75" customHeight="1" x14ac:dyDescent="0.3">
      <c r="A601" s="156"/>
      <c r="B601" s="157"/>
      <c r="C601" s="157"/>
      <c r="D601" s="166"/>
      <c r="E601" s="159"/>
      <c r="F601" s="159"/>
      <c r="G601" s="372" t="s">
        <v>130</v>
      </c>
      <c r="H601" s="161" t="s">
        <v>12</v>
      </c>
      <c r="I601" s="162"/>
      <c r="J601" s="162"/>
      <c r="K601" s="163"/>
      <c r="L601" s="168">
        <f ca="1">IFERROR(__xludf.DUMMYFUNCTION("IMPORTRANGE(""https://docs.google.com/spreadsheets/d/11923uPwbBZFjjGgGUA6NLw09EwE0CqkOc4q9oUmW1yo/edit?usp=sharing"",""ตาก!L496"")"),8100)</f>
        <v>8100</v>
      </c>
      <c r="M601" s="168"/>
      <c r="N601" s="168">
        <f ca="1">IFERROR(__xludf.DUMMYFUNCTION("IMPORTRANGE(""https://docs.google.com/spreadsheets/d/11923uPwbBZFjjGgGUA6NLw09EwE0CqkOc4q9oUmW1yo/edit?usp=sharing"",""ตาก!M496"")"),800)</f>
        <v>800</v>
      </c>
      <c r="O601" s="168">
        <f t="shared" ca="1" si="126"/>
        <v>9.8765432098765427</v>
      </c>
      <c r="P601" s="168"/>
    </row>
    <row r="602" spans="1:16" ht="21.75" customHeight="1" x14ac:dyDescent="0.3">
      <c r="A602" s="373"/>
      <c r="B602" s="374"/>
      <c r="C602" s="157"/>
      <c r="D602" s="375"/>
      <c r="E602" s="159"/>
      <c r="F602" s="159"/>
      <c r="G602" s="376" t="s">
        <v>131</v>
      </c>
      <c r="H602" s="161" t="s">
        <v>12</v>
      </c>
      <c r="I602" s="187"/>
      <c r="J602" s="187"/>
      <c r="K602" s="223"/>
      <c r="L602" s="168"/>
      <c r="M602" s="168"/>
      <c r="N602" s="167">
        <f ca="1">IFERROR(__xludf.DUMMYFUNCTION("IMPORTRANGE(""https://docs.google.com/spreadsheets/d/11923uPwbBZFjjGgGUA6NLw09EwE0CqkOc4q9oUmW1yo/edit?usp=sharing"",""ตาก!M497"")"),0)</f>
        <v>0</v>
      </c>
      <c r="O602" s="168"/>
      <c r="P602" s="168"/>
    </row>
    <row r="603" spans="1:16" ht="21.75" customHeight="1" x14ac:dyDescent="0.3">
      <c r="A603" s="373"/>
      <c r="B603" s="374"/>
      <c r="C603" s="157"/>
      <c r="D603" s="375"/>
      <c r="E603" s="159"/>
      <c r="F603" s="159"/>
      <c r="G603" s="376" t="s">
        <v>132</v>
      </c>
      <c r="H603" s="161" t="s">
        <v>12</v>
      </c>
      <c r="I603" s="187"/>
      <c r="J603" s="187"/>
      <c r="K603" s="223"/>
      <c r="L603" s="168"/>
      <c r="M603" s="168"/>
      <c r="N603" s="167">
        <f ca="1">IFERROR(__xludf.DUMMYFUNCTION("IMPORTRANGE(""https://docs.google.com/spreadsheets/d/11923uPwbBZFjjGgGUA6NLw09EwE0CqkOc4q9oUmW1yo/edit?usp=sharing"",""ตาก!M498"")"),0)</f>
        <v>0</v>
      </c>
      <c r="O603" s="168"/>
      <c r="P603" s="168"/>
    </row>
    <row r="604" spans="1:16" ht="21.75" customHeight="1" x14ac:dyDescent="0.3">
      <c r="A604" s="373"/>
      <c r="B604" s="374"/>
      <c r="C604" s="157"/>
      <c r="D604" s="375"/>
      <c r="E604" s="159"/>
      <c r="F604" s="159"/>
      <c r="G604" s="376" t="s">
        <v>133</v>
      </c>
      <c r="H604" s="161" t="s">
        <v>12</v>
      </c>
      <c r="I604" s="187"/>
      <c r="J604" s="187"/>
      <c r="K604" s="223"/>
      <c r="L604" s="168"/>
      <c r="M604" s="168"/>
      <c r="N604" s="377">
        <f ca="1">IFERROR(__xludf.DUMMYFUNCTION("IMPORTRANGE(""https://docs.google.com/spreadsheets/d/11923uPwbBZFjjGgGUA6NLw09EwE0CqkOc4q9oUmW1yo/edit?usp=sharing"",""ตาก!M499"")"),0)</f>
        <v>0</v>
      </c>
      <c r="O604" s="168"/>
      <c r="P604" s="168"/>
    </row>
    <row r="605" spans="1:16" ht="21.75" customHeight="1" x14ac:dyDescent="0.3">
      <c r="A605" s="373"/>
      <c r="B605" s="374"/>
      <c r="C605" s="157"/>
      <c r="D605" s="375"/>
      <c r="E605" s="159"/>
      <c r="F605" s="159"/>
      <c r="G605" s="376" t="s">
        <v>134</v>
      </c>
      <c r="H605" s="161" t="s">
        <v>12</v>
      </c>
      <c r="I605" s="187"/>
      <c r="J605" s="187"/>
      <c r="K605" s="223"/>
      <c r="L605" s="168"/>
      <c r="M605" s="168"/>
      <c r="N605" s="377">
        <f ca="1">IFERROR(__xludf.DUMMYFUNCTION("IMPORTRANGE(""https://docs.google.com/spreadsheets/d/11923uPwbBZFjjGgGUA6NLw09EwE0CqkOc4q9oUmW1yo/edit?usp=sharing"",""ตาก!M500"")"),800)</f>
        <v>800</v>
      </c>
      <c r="O605" s="168"/>
      <c r="P605" s="168"/>
    </row>
    <row r="606" spans="1:16" ht="21.75" customHeight="1" x14ac:dyDescent="0.3">
      <c r="A606" s="175"/>
      <c r="B606" s="176"/>
      <c r="C606" s="157" t="s">
        <v>16</v>
      </c>
      <c r="D606" s="177" t="s">
        <v>44</v>
      </c>
      <c r="E606" s="178"/>
      <c r="F606" s="178"/>
      <c r="G606" s="179"/>
      <c r="H606" s="180"/>
      <c r="I606" s="162"/>
      <c r="J606" s="162"/>
      <c r="K606" s="163"/>
      <c r="L606" s="181"/>
      <c r="M606" s="181"/>
      <c r="N606" s="181"/>
      <c r="O606" s="181"/>
      <c r="P606" s="181"/>
    </row>
    <row r="607" spans="1:16" ht="21.75" customHeight="1" x14ac:dyDescent="0.3">
      <c r="A607" s="175"/>
      <c r="B607" s="176"/>
      <c r="C607" s="176"/>
      <c r="D607" s="182">
        <v>1</v>
      </c>
      <c r="E607" s="183" t="s">
        <v>45</v>
      </c>
      <c r="F607" s="184"/>
      <c r="G607" s="185"/>
      <c r="H607" s="186"/>
      <c r="I607" s="187"/>
      <c r="J607" s="197">
        <f ca="1">IFERROR(__xludf.DUMMYFUNCTION("IMPORTRANGE(""https://docs.google.com/spreadsheets/d/11923uPwbBZFjjGgGUA6NLw09EwE0CqkOc4q9oUmW1yo/edit?usp=sharing"",""ตาก!J502"")"),0)</f>
        <v>0</v>
      </c>
      <c r="K607" s="163"/>
      <c r="L607" s="181"/>
      <c r="M607" s="181"/>
      <c r="N607" s="181"/>
      <c r="O607" s="181"/>
      <c r="P607" s="181"/>
    </row>
    <row r="608" spans="1:16" ht="21.75" customHeight="1" x14ac:dyDescent="0.3">
      <c r="A608" s="175"/>
      <c r="B608" s="176"/>
      <c r="C608" s="176"/>
      <c r="D608" s="189">
        <v>2</v>
      </c>
      <c r="E608" s="190" t="s">
        <v>46</v>
      </c>
      <c r="F608" s="191"/>
      <c r="G608" s="192"/>
      <c r="H608" s="186"/>
      <c r="I608" s="187"/>
      <c r="J608" s="197">
        <f ca="1">IFERROR(__xludf.DUMMYFUNCTION("IMPORTRANGE(""https://docs.google.com/spreadsheets/d/11923uPwbBZFjjGgGUA6NLw09EwE0CqkOc4q9oUmW1yo/edit?usp=sharing"",""ตาก!J503"")"),1)</f>
        <v>1</v>
      </c>
      <c r="K608" s="163"/>
      <c r="L608" s="181" t="s">
        <v>40</v>
      </c>
      <c r="M608" s="181"/>
      <c r="N608" s="181" t="s">
        <v>40</v>
      </c>
      <c r="O608" s="181"/>
      <c r="P608" s="181"/>
    </row>
    <row r="609" spans="1:16" ht="21.75" hidden="1" customHeight="1" x14ac:dyDescent="0.3">
      <c r="A609" s="373"/>
      <c r="B609" s="374"/>
      <c r="C609" s="374"/>
      <c r="D609" s="486"/>
      <c r="E609" s="487" t="s">
        <v>47</v>
      </c>
      <c r="F609" s="488"/>
      <c r="G609" s="379"/>
      <c r="H609" s="186"/>
      <c r="I609" s="187"/>
      <c r="J609" s="187">
        <f ca="1">IFERROR(__xludf.DUMMYFUNCTION("IMPORTRANGE(""https://docs.google.com/spreadsheets/d/11923uPwbBZFjjGgGUA6NLw09EwE0CqkOc4q9oUmW1yo/edit?usp=sharing"",""ตาก!J166"")"),0)</f>
        <v>0</v>
      </c>
      <c r="K609" s="223"/>
      <c r="L609" s="168"/>
      <c r="M609" s="168"/>
      <c r="N609" s="168"/>
      <c r="O609" s="168"/>
      <c r="P609" s="168"/>
    </row>
    <row r="610" spans="1:16" ht="21.75" hidden="1" customHeight="1" x14ac:dyDescent="0.3">
      <c r="A610" s="373"/>
      <c r="B610" s="374"/>
      <c r="C610" s="374"/>
      <c r="D610" s="486"/>
      <c r="E610" s="487" t="s">
        <v>48</v>
      </c>
      <c r="F610" s="488"/>
      <c r="G610" s="379"/>
      <c r="H610" s="186"/>
      <c r="I610" s="187"/>
      <c r="J610" s="187">
        <f ca="1">IFERROR(__xludf.DUMMYFUNCTION("IMPORTRANGE(""https://docs.google.com/spreadsheets/d/11923uPwbBZFjjGgGUA6NLw09EwE0CqkOc4q9oUmW1yo/edit?usp=sharing"",""ตาก!J166"")"),0)</f>
        <v>0</v>
      </c>
      <c r="K610" s="223"/>
      <c r="L610" s="168"/>
      <c r="M610" s="168"/>
      <c r="N610" s="168"/>
      <c r="O610" s="168"/>
      <c r="P610" s="168"/>
    </row>
    <row r="611" spans="1:16" ht="21.75" customHeight="1" x14ac:dyDescent="0.3">
      <c r="A611" s="175"/>
      <c r="B611" s="176"/>
      <c r="C611" s="176"/>
      <c r="D611" s="193"/>
      <c r="E611" s="195"/>
      <c r="F611" s="195" t="s">
        <v>219</v>
      </c>
      <c r="G611" s="196"/>
      <c r="H611" s="180" t="s">
        <v>122</v>
      </c>
      <c r="I611" s="187">
        <f ca="1">IFERROR(__xludf.DUMMYFUNCTION("IMPORTRANGE(""https://docs.google.com/spreadsheets/d/11923uPwbBZFjjGgGUA6NLw09EwE0CqkOc4q9oUmW1yo/edit?usp=sharing"",""ตาก!I506"")"),100)</f>
        <v>100</v>
      </c>
      <c r="J611" s="162">
        <f ca="1">IFERROR(__xludf.DUMMYFUNCTION("IMPORTRANGE(""https://docs.google.com/spreadsheets/d/11923uPwbBZFjjGgGUA6NLw09EwE0CqkOc4q9oUmW1yo/edit?usp=sharing"",""ตาก!J506"")"),0)</f>
        <v>0</v>
      </c>
      <c r="K611" s="163">
        <f t="shared" ref="K611:K619" ca="1" si="127">IF(I$611&gt;0,J611*100/I$611,0)</f>
        <v>0</v>
      </c>
      <c r="L611" s="181"/>
      <c r="M611" s="181"/>
      <c r="N611" s="181"/>
      <c r="O611" s="181"/>
      <c r="P611" s="181"/>
    </row>
    <row r="612" spans="1:16" ht="21.75" customHeight="1" x14ac:dyDescent="0.3">
      <c r="A612" s="175"/>
      <c r="B612" s="176"/>
      <c r="C612" s="176"/>
      <c r="D612" s="193"/>
      <c r="E612" s="198"/>
      <c r="F612" s="195"/>
      <c r="G612" s="225" t="s">
        <v>220</v>
      </c>
      <c r="H612" s="180" t="s">
        <v>122</v>
      </c>
      <c r="I612" s="203">
        <f ca="1">IFERROR(__xludf.DUMMYFUNCTION("IMPORTRANGE(""https://docs.google.com/spreadsheets/d/11923uPwbBZFjjGgGUA6NLw09EwE0CqkOc4q9oUmW1yo/edit?usp=sharing"",""ตาก!I507"")"),0)</f>
        <v>0</v>
      </c>
      <c r="J612" s="197">
        <f ca="1">IFERROR(__xludf.DUMMYFUNCTION("IMPORTRANGE(""https://docs.google.com/spreadsheets/d/11923uPwbBZFjjGgGUA6NLw09EwE0CqkOc4q9oUmW1yo/edit?usp=sharing"",""ตาก!J507"")"),0)</f>
        <v>0</v>
      </c>
      <c r="K612" s="163">
        <f t="shared" ca="1" si="127"/>
        <v>0</v>
      </c>
      <c r="L612" s="181"/>
      <c r="M612" s="181"/>
      <c r="N612" s="181"/>
      <c r="O612" s="181"/>
      <c r="P612" s="181"/>
    </row>
    <row r="613" spans="1:16" ht="21.75" customHeight="1" x14ac:dyDescent="0.3">
      <c r="A613" s="175"/>
      <c r="B613" s="176"/>
      <c r="C613" s="176"/>
      <c r="D613" s="193"/>
      <c r="E613" s="198"/>
      <c r="F613" s="195"/>
      <c r="G613" s="225" t="s">
        <v>221</v>
      </c>
      <c r="H613" s="180" t="s">
        <v>122</v>
      </c>
      <c r="I613" s="203">
        <f ca="1">IFERROR(__xludf.DUMMYFUNCTION("IMPORTRANGE(""https://docs.google.com/spreadsheets/d/11923uPwbBZFjjGgGUA6NLw09EwE0CqkOc4q9oUmW1yo/edit?usp=sharing"",""ตาก!I508"")"),0)</f>
        <v>0</v>
      </c>
      <c r="J613" s="197">
        <f ca="1">IFERROR(__xludf.DUMMYFUNCTION("IMPORTRANGE(""https://docs.google.com/spreadsheets/d/11923uPwbBZFjjGgGUA6NLw09EwE0CqkOc4q9oUmW1yo/edit?usp=sharing"",""ตาก!J508"")"),0)</f>
        <v>0</v>
      </c>
      <c r="K613" s="163">
        <f t="shared" ca="1" si="127"/>
        <v>0</v>
      </c>
      <c r="L613" s="181"/>
      <c r="M613" s="181"/>
      <c r="N613" s="181"/>
      <c r="O613" s="181"/>
      <c r="P613" s="181"/>
    </row>
    <row r="614" spans="1:16" ht="21.75" customHeight="1" x14ac:dyDescent="0.3">
      <c r="A614" s="175"/>
      <c r="B614" s="176"/>
      <c r="C614" s="176"/>
      <c r="D614" s="193"/>
      <c r="E614" s="198"/>
      <c r="F614" s="195"/>
      <c r="G614" s="225" t="s">
        <v>222</v>
      </c>
      <c r="H614" s="180" t="s">
        <v>122</v>
      </c>
      <c r="I614" s="203">
        <f ca="1">IFERROR(__xludf.DUMMYFUNCTION("IMPORTRANGE(""https://docs.google.com/spreadsheets/d/11923uPwbBZFjjGgGUA6NLw09EwE0CqkOc4q9oUmW1yo/edit?usp=sharing"",""ตาก!I509"")"),0)</f>
        <v>0</v>
      </c>
      <c r="J614" s="197">
        <f ca="1">IFERROR(__xludf.DUMMYFUNCTION("IMPORTRANGE(""https://docs.google.com/spreadsheets/d/11923uPwbBZFjjGgGUA6NLw09EwE0CqkOc4q9oUmW1yo/edit?usp=sharing"",""ตาก!J509"")"),0)</f>
        <v>0</v>
      </c>
      <c r="K614" s="163">
        <f t="shared" ca="1" si="127"/>
        <v>0</v>
      </c>
      <c r="L614" s="181"/>
      <c r="M614" s="181"/>
      <c r="N614" s="181"/>
      <c r="O614" s="181"/>
      <c r="P614" s="181"/>
    </row>
    <row r="615" spans="1:16" ht="21.75" customHeight="1" x14ac:dyDescent="0.3">
      <c r="A615" s="175"/>
      <c r="B615" s="176"/>
      <c r="C615" s="176"/>
      <c r="D615" s="193"/>
      <c r="E615" s="198"/>
      <c r="F615" s="195"/>
      <c r="G615" s="225" t="s">
        <v>223</v>
      </c>
      <c r="H615" s="180" t="s">
        <v>122</v>
      </c>
      <c r="I615" s="203">
        <f ca="1">IFERROR(__xludf.DUMMYFUNCTION("IMPORTRANGE(""https://docs.google.com/spreadsheets/d/11923uPwbBZFjjGgGUA6NLw09EwE0CqkOc4q9oUmW1yo/edit?usp=sharing"",""ตาก!I510"")"),0)</f>
        <v>0</v>
      </c>
      <c r="J615" s="197">
        <f ca="1">IFERROR(__xludf.DUMMYFUNCTION("IMPORTRANGE(""https://docs.google.com/spreadsheets/d/11923uPwbBZFjjGgGUA6NLw09EwE0CqkOc4q9oUmW1yo/edit?usp=sharing"",""ตาก!J510"")"),0)</f>
        <v>0</v>
      </c>
      <c r="K615" s="163">
        <f t="shared" ca="1" si="127"/>
        <v>0</v>
      </c>
      <c r="L615" s="181"/>
      <c r="M615" s="181"/>
      <c r="N615" s="181"/>
      <c r="O615" s="181"/>
      <c r="P615" s="181"/>
    </row>
    <row r="616" spans="1:16" ht="21.75" customHeight="1" x14ac:dyDescent="0.3">
      <c r="A616" s="175"/>
      <c r="B616" s="176"/>
      <c r="C616" s="176"/>
      <c r="D616" s="193"/>
      <c r="E616" s="198"/>
      <c r="F616" s="195"/>
      <c r="G616" s="194" t="s">
        <v>224</v>
      </c>
      <c r="H616" s="180" t="s">
        <v>122</v>
      </c>
      <c r="I616" s="203">
        <f ca="1">IFERROR(__xludf.DUMMYFUNCTION("IMPORTRANGE(""https://docs.google.com/spreadsheets/d/11923uPwbBZFjjGgGUA6NLw09EwE0CqkOc4q9oUmW1yo/edit?usp=sharing"",""ตาก!I511"")"),0)</f>
        <v>0</v>
      </c>
      <c r="J616" s="197">
        <f ca="1">IFERROR(__xludf.DUMMYFUNCTION("IMPORTRANGE(""https://docs.google.com/spreadsheets/d/11923uPwbBZFjjGgGUA6NLw09EwE0CqkOc4q9oUmW1yo/edit?usp=sharing"",""ตาก!J511"")"),0)</f>
        <v>0</v>
      </c>
      <c r="K616" s="163">
        <f t="shared" ca="1" si="127"/>
        <v>0</v>
      </c>
      <c r="L616" s="181"/>
      <c r="M616" s="181"/>
      <c r="N616" s="181"/>
      <c r="O616" s="181"/>
      <c r="P616" s="181"/>
    </row>
    <row r="617" spans="1:16" ht="21.75" customHeight="1" x14ac:dyDescent="0.3">
      <c r="A617" s="175"/>
      <c r="B617" s="176"/>
      <c r="C617" s="176"/>
      <c r="D617" s="193"/>
      <c r="E617" s="198"/>
      <c r="F617" s="195"/>
      <c r="G617" s="194" t="s">
        <v>225</v>
      </c>
      <c r="H617" s="180" t="s">
        <v>122</v>
      </c>
      <c r="I617" s="187">
        <f ca="1">IFERROR(__xludf.DUMMYFUNCTION("IMPORTRANGE(""https://docs.google.com/spreadsheets/d/11923uPwbBZFjjGgGUA6NLw09EwE0CqkOc4q9oUmW1yo/edit?usp=sharing"",""ตาก!I512"")"),0)</f>
        <v>0</v>
      </c>
      <c r="J617" s="187">
        <f ca="1">IFERROR(__xludf.DUMMYFUNCTION("IMPORTRANGE(""https://docs.google.com/spreadsheets/d/11923uPwbBZFjjGgGUA6NLw09EwE0CqkOc4q9oUmW1yo/edit?usp=sharing"",""ตาก!J512"")"),0)</f>
        <v>0</v>
      </c>
      <c r="K617" s="163">
        <f t="shared" ca="1" si="127"/>
        <v>0</v>
      </c>
      <c r="L617" s="181"/>
      <c r="M617" s="181"/>
      <c r="N617" s="181"/>
      <c r="O617" s="181"/>
      <c r="P617" s="181"/>
    </row>
    <row r="618" spans="1:16" ht="21.75" customHeight="1" x14ac:dyDescent="0.3">
      <c r="A618" s="175"/>
      <c r="B618" s="176"/>
      <c r="C618" s="176"/>
      <c r="D618" s="193"/>
      <c r="E618" s="198"/>
      <c r="F618" s="195"/>
      <c r="G618" s="489" t="s">
        <v>226</v>
      </c>
      <c r="H618" s="180" t="s">
        <v>122</v>
      </c>
      <c r="I618" s="203">
        <f ca="1">IFERROR(__xludf.DUMMYFUNCTION("IMPORTRANGE(""https://docs.google.com/spreadsheets/d/11923uPwbBZFjjGgGUA6NLw09EwE0CqkOc4q9oUmW1yo/edit?usp=sharing"",""ตาก!I513"")"),0)</f>
        <v>0</v>
      </c>
      <c r="J618" s="188">
        <f ca="1">IFERROR(__xludf.DUMMYFUNCTION("IMPORTRANGE(""https://docs.google.com/spreadsheets/d/11923uPwbBZFjjGgGUA6NLw09EwE0CqkOc4q9oUmW1yo/edit?usp=sharing"",""ตาก!J513"")"),0)</f>
        <v>0</v>
      </c>
      <c r="K618" s="163">
        <f t="shared" ca="1" si="127"/>
        <v>0</v>
      </c>
      <c r="L618" s="181"/>
      <c r="M618" s="181"/>
      <c r="N618" s="181"/>
      <c r="O618" s="181"/>
      <c r="P618" s="181"/>
    </row>
    <row r="619" spans="1:16" ht="21.75" customHeight="1" x14ac:dyDescent="0.3">
      <c r="A619" s="175"/>
      <c r="B619" s="176"/>
      <c r="C619" s="176"/>
      <c r="D619" s="193"/>
      <c r="E619" s="198"/>
      <c r="F619" s="195"/>
      <c r="G619" s="489" t="s">
        <v>227</v>
      </c>
      <c r="H619" s="180" t="s">
        <v>122</v>
      </c>
      <c r="I619" s="203">
        <f ca="1">IFERROR(__xludf.DUMMYFUNCTION("IMPORTRANGE(""https://docs.google.com/spreadsheets/d/11923uPwbBZFjjGgGUA6NLw09EwE0CqkOc4q9oUmW1yo/edit?usp=sharing"",""ตาก!I514"")"),0)</f>
        <v>0</v>
      </c>
      <c r="J619" s="188">
        <f ca="1">IFERROR(__xludf.DUMMYFUNCTION("IMPORTRANGE(""https://docs.google.com/spreadsheets/d/11923uPwbBZFjjGgGUA6NLw09EwE0CqkOc4q9oUmW1yo/edit?usp=sharing"",""ตาก!J514"")"),0)</f>
        <v>0</v>
      </c>
      <c r="K619" s="163">
        <f t="shared" ca="1" si="127"/>
        <v>0</v>
      </c>
      <c r="L619" s="181"/>
      <c r="M619" s="181"/>
      <c r="N619" s="181"/>
      <c r="O619" s="181"/>
      <c r="P619" s="181"/>
    </row>
    <row r="620" spans="1:16" ht="21.75" customHeight="1" x14ac:dyDescent="0.3">
      <c r="A620" s="175"/>
      <c r="B620" s="176"/>
      <c r="C620" s="176"/>
      <c r="D620" s="193"/>
      <c r="E620" s="195"/>
      <c r="F620" s="194" t="s">
        <v>228</v>
      </c>
      <c r="G620" s="196"/>
      <c r="H620" s="180" t="s">
        <v>122</v>
      </c>
      <c r="I620" s="187">
        <f ca="1">IFERROR(__xludf.DUMMYFUNCTION("IMPORTRANGE(""https://docs.google.com/spreadsheets/d/11923uPwbBZFjjGgGUA6NLw09EwE0CqkOc4q9oUmW1yo/edit?usp=sharing"",""ตาก!I515"")"),0)</f>
        <v>0</v>
      </c>
      <c r="J620" s="202">
        <f ca="1">IFERROR(__xludf.DUMMYFUNCTION("IMPORTRANGE(""https://docs.google.com/spreadsheets/d/11923uPwbBZFjjGgGUA6NLw09EwE0CqkOc4q9oUmW1yo/edit?usp=sharing"",""ตาก!J515"")"),0)</f>
        <v>0</v>
      </c>
      <c r="K620" s="163">
        <f t="shared" ref="K620:K626" ca="1" si="128">IF(I$620&gt;0,J620*100/I$620,0)</f>
        <v>0</v>
      </c>
      <c r="L620" s="181"/>
      <c r="M620" s="181"/>
      <c r="N620" s="181"/>
      <c r="O620" s="181"/>
      <c r="P620" s="181"/>
    </row>
    <row r="621" spans="1:16" ht="21.75" customHeight="1" x14ac:dyDescent="0.3">
      <c r="A621" s="175"/>
      <c r="B621" s="176"/>
      <c r="C621" s="176"/>
      <c r="D621" s="193"/>
      <c r="E621" s="198"/>
      <c r="F621" s="195"/>
      <c r="G621" s="225" t="s">
        <v>225</v>
      </c>
      <c r="H621" s="180" t="s">
        <v>122</v>
      </c>
      <c r="I621" s="202">
        <f ca="1">IFERROR(__xludf.DUMMYFUNCTION("IMPORTRANGE(""https://docs.google.com/spreadsheets/d/11923uPwbBZFjjGgGUA6NLw09EwE0CqkOc4q9oUmW1yo/edit?usp=sharing"",""ตาก!I516"")"),0)</f>
        <v>0</v>
      </c>
      <c r="J621" s="202">
        <f ca="1">IFERROR(__xludf.DUMMYFUNCTION("IMPORTRANGE(""https://docs.google.com/spreadsheets/d/11923uPwbBZFjjGgGUA6NLw09EwE0CqkOc4q9oUmW1yo/edit?usp=sharing"",""ตาก!J516"")"),0)</f>
        <v>0</v>
      </c>
      <c r="K621" s="163">
        <f t="shared" ca="1" si="128"/>
        <v>0</v>
      </c>
      <c r="L621" s="181"/>
      <c r="M621" s="181"/>
      <c r="N621" s="181"/>
      <c r="O621" s="181"/>
      <c r="P621" s="181"/>
    </row>
    <row r="622" spans="1:16" ht="21.75" customHeight="1" x14ac:dyDescent="0.3">
      <c r="A622" s="175"/>
      <c r="B622" s="176"/>
      <c r="C622" s="176"/>
      <c r="D622" s="193"/>
      <c r="E622" s="198"/>
      <c r="F622" s="195"/>
      <c r="G622" s="489" t="s">
        <v>226</v>
      </c>
      <c r="H622" s="180" t="s">
        <v>122</v>
      </c>
      <c r="I622" s="203">
        <f ca="1">IFERROR(__xludf.DUMMYFUNCTION("IMPORTRANGE(""https://docs.google.com/spreadsheets/d/11923uPwbBZFjjGgGUA6NLw09EwE0CqkOc4q9oUmW1yo/edit?usp=sharing"",""ตาก!I517"")"),0)</f>
        <v>0</v>
      </c>
      <c r="J622" s="188">
        <f ca="1">IFERROR(__xludf.DUMMYFUNCTION("IMPORTRANGE(""https://docs.google.com/spreadsheets/d/11923uPwbBZFjjGgGUA6NLw09EwE0CqkOc4q9oUmW1yo/edit?usp=sharing"",""ตาก!J517"")"),0)</f>
        <v>0</v>
      </c>
      <c r="K622" s="163">
        <f t="shared" ca="1" si="128"/>
        <v>0</v>
      </c>
      <c r="L622" s="181"/>
      <c r="M622" s="181"/>
      <c r="N622" s="181"/>
      <c r="O622" s="181"/>
      <c r="P622" s="181"/>
    </row>
    <row r="623" spans="1:16" ht="21.75" customHeight="1" x14ac:dyDescent="0.3">
      <c r="A623" s="175"/>
      <c r="B623" s="176"/>
      <c r="C623" s="176"/>
      <c r="D623" s="193"/>
      <c r="E623" s="198"/>
      <c r="F623" s="195"/>
      <c r="G623" s="489" t="s">
        <v>227</v>
      </c>
      <c r="H623" s="180" t="s">
        <v>122</v>
      </c>
      <c r="I623" s="203">
        <f ca="1">IFERROR(__xludf.DUMMYFUNCTION("IMPORTRANGE(""https://docs.google.com/spreadsheets/d/11923uPwbBZFjjGgGUA6NLw09EwE0CqkOc4q9oUmW1yo/edit?usp=sharing"",""ตาก!I518"")"),0)</f>
        <v>0</v>
      </c>
      <c r="J623" s="188">
        <f ca="1">IFERROR(__xludf.DUMMYFUNCTION("IMPORTRANGE(""https://docs.google.com/spreadsheets/d/11923uPwbBZFjjGgGUA6NLw09EwE0CqkOc4q9oUmW1yo/edit?usp=sharing"",""ตาก!J518"")"),0)</f>
        <v>0</v>
      </c>
      <c r="K623" s="163">
        <f t="shared" ca="1" si="128"/>
        <v>0</v>
      </c>
      <c r="L623" s="181"/>
      <c r="M623" s="181"/>
      <c r="N623" s="181"/>
      <c r="O623" s="181"/>
      <c r="P623" s="181"/>
    </row>
    <row r="624" spans="1:16" ht="21.75" customHeight="1" x14ac:dyDescent="0.3">
      <c r="A624" s="175"/>
      <c r="B624" s="176"/>
      <c r="C624" s="176"/>
      <c r="D624" s="193"/>
      <c r="E624" s="198"/>
      <c r="F624" s="195"/>
      <c r="G624" s="225" t="s">
        <v>229</v>
      </c>
      <c r="H624" s="180" t="s">
        <v>122</v>
      </c>
      <c r="I624" s="187">
        <f ca="1">IFERROR(__xludf.DUMMYFUNCTION("IMPORTRANGE(""https://docs.google.com/spreadsheets/d/11923uPwbBZFjjGgGUA6NLw09EwE0CqkOc4q9oUmW1yo/edit?usp=sharing"",""ตาก!I519"")"),0)</f>
        <v>0</v>
      </c>
      <c r="J624" s="187">
        <f ca="1">IFERROR(__xludf.DUMMYFUNCTION("IMPORTRANGE(""https://docs.google.com/spreadsheets/d/11923uPwbBZFjjGgGUA6NLw09EwE0CqkOc4q9oUmW1yo/edit?usp=sharing"",""ตาก!J519"")"),0)</f>
        <v>0</v>
      </c>
      <c r="K624" s="163">
        <f t="shared" ca="1" si="128"/>
        <v>0</v>
      </c>
      <c r="L624" s="181"/>
      <c r="M624" s="181"/>
      <c r="N624" s="181"/>
      <c r="O624" s="181"/>
      <c r="P624" s="181"/>
    </row>
    <row r="625" spans="1:16" ht="21.75" customHeight="1" x14ac:dyDescent="0.3">
      <c r="A625" s="175"/>
      <c r="B625" s="176"/>
      <c r="C625" s="176"/>
      <c r="D625" s="193"/>
      <c r="E625" s="198"/>
      <c r="F625" s="195"/>
      <c r="G625" s="489" t="s">
        <v>230</v>
      </c>
      <c r="H625" s="180" t="s">
        <v>122</v>
      </c>
      <c r="I625" s="203">
        <f ca="1">IFERROR(__xludf.DUMMYFUNCTION("IMPORTRANGE(""https://docs.google.com/spreadsheets/d/11923uPwbBZFjjGgGUA6NLw09EwE0CqkOc4q9oUmW1yo/edit?usp=sharing"",""ตาก!I520"")"),0)</f>
        <v>0</v>
      </c>
      <c r="J625" s="188">
        <f ca="1">IFERROR(__xludf.DUMMYFUNCTION("IMPORTRANGE(""https://docs.google.com/spreadsheets/d/11923uPwbBZFjjGgGUA6NLw09EwE0CqkOc4q9oUmW1yo/edit?usp=sharing"",""ตาก!J520"")"),0)</f>
        <v>0</v>
      </c>
      <c r="K625" s="163">
        <f t="shared" ca="1" si="128"/>
        <v>0</v>
      </c>
      <c r="L625" s="181"/>
      <c r="M625" s="181"/>
      <c r="N625" s="181"/>
      <c r="O625" s="181"/>
      <c r="P625" s="181"/>
    </row>
    <row r="626" spans="1:16" ht="21.75" customHeight="1" x14ac:dyDescent="0.3">
      <c r="A626" s="175"/>
      <c r="B626" s="176"/>
      <c r="C626" s="176"/>
      <c r="D626" s="193"/>
      <c r="E626" s="198"/>
      <c r="F626" s="195"/>
      <c r="G626" s="489" t="s">
        <v>231</v>
      </c>
      <c r="H626" s="180" t="s">
        <v>122</v>
      </c>
      <c r="I626" s="203">
        <f ca="1">IFERROR(__xludf.DUMMYFUNCTION("IMPORTRANGE(""https://docs.google.com/spreadsheets/d/11923uPwbBZFjjGgGUA6NLw09EwE0CqkOc4q9oUmW1yo/edit?usp=sharing"",""ตาก!I521"")"),0)</f>
        <v>0</v>
      </c>
      <c r="J626" s="188">
        <f ca="1">IFERROR(__xludf.DUMMYFUNCTION("IMPORTRANGE(""https://docs.google.com/spreadsheets/d/11923uPwbBZFjjGgGUA6NLw09EwE0CqkOc4q9oUmW1yo/edit?usp=sharing"",""ตาก!J521"")"),0)</f>
        <v>0</v>
      </c>
      <c r="K626" s="163">
        <f t="shared" ca="1" si="128"/>
        <v>0</v>
      </c>
      <c r="L626" s="181"/>
      <c r="M626" s="181"/>
      <c r="N626" s="181"/>
      <c r="O626" s="181"/>
      <c r="P626" s="181"/>
    </row>
    <row r="627" spans="1:16" ht="21.75" customHeight="1" x14ac:dyDescent="0.3">
      <c r="A627" s="490" t="s">
        <v>232</v>
      </c>
      <c r="B627" s="491"/>
      <c r="C627" s="491"/>
      <c r="D627" s="491"/>
      <c r="E627" s="491"/>
      <c r="F627" s="491"/>
      <c r="G627" s="492"/>
      <c r="H627" s="493"/>
      <c r="I627" s="494"/>
      <c r="J627" s="494"/>
      <c r="K627" s="495"/>
      <c r="L627" s="495"/>
      <c r="M627" s="495"/>
      <c r="N627" s="495"/>
      <c r="O627" s="496"/>
      <c r="P627" s="496"/>
    </row>
    <row r="628" spans="1:16" ht="21.75" customHeight="1" x14ac:dyDescent="0.3">
      <c r="A628" s="476"/>
      <c r="B628" s="497" t="s">
        <v>233</v>
      </c>
      <c r="C628" s="157"/>
      <c r="D628" s="166"/>
      <c r="E628" s="159"/>
      <c r="F628" s="159"/>
      <c r="G628" s="160"/>
      <c r="H628" s="498" t="s">
        <v>12</v>
      </c>
      <c r="I628" s="339">
        <f ca="1">IFERROR(__xludf.DUMMYFUNCTION("IMPORTRANGE(""https://docs.google.com/spreadsheets/d/11923uPwbBZFjjGgGUA6NLw09EwE0CqkOc4q9oUmW1yo/edit?usp=sharing"",""ตาก!I523"")"),2024605.17)</f>
        <v>2024605.17</v>
      </c>
      <c r="J628" s="339">
        <f ca="1">IFERROR(__xludf.DUMMYFUNCTION("IMPORTRANGE(""https://docs.google.com/spreadsheets/d/11923uPwbBZFjjGgGUA6NLw09EwE0CqkOc4q9oUmW1yo/edit?usp=sharing"",""ตาก!J523"")"),0)</f>
        <v>0</v>
      </c>
      <c r="K628" s="340">
        <f t="shared" ref="K628:K635" ca="1" si="129">IF(I628&gt;0,J628*100/I628,0)</f>
        <v>0</v>
      </c>
      <c r="L628" s="340"/>
      <c r="M628" s="340"/>
      <c r="N628" s="340"/>
      <c r="O628" s="168"/>
      <c r="P628" s="168"/>
    </row>
    <row r="629" spans="1:16" ht="21.75" customHeight="1" x14ac:dyDescent="0.3">
      <c r="A629" s="476"/>
      <c r="B629" s="157"/>
      <c r="C629" s="157"/>
      <c r="D629" s="166"/>
      <c r="E629" s="159"/>
      <c r="F629" s="159"/>
      <c r="G629" s="160"/>
      <c r="H629" s="498" t="s">
        <v>37</v>
      </c>
      <c r="I629" s="339">
        <f ca="1">IFERROR(__xludf.DUMMYFUNCTION("IMPORTRANGE(""https://docs.google.com/spreadsheets/d/11923uPwbBZFjjGgGUA6NLw09EwE0CqkOc4q9oUmW1yo/edit?usp=sharing"",""ตาก!I524"")"),177)</f>
        <v>177</v>
      </c>
      <c r="J629" s="339">
        <f ca="1">IFERROR(__xludf.DUMMYFUNCTION("IMPORTRANGE(""https://docs.google.com/spreadsheets/d/11923uPwbBZFjjGgGUA6NLw09EwE0CqkOc4q9oUmW1yo/edit?usp=sharing"",""ตาก!J524"")"),0)</f>
        <v>0</v>
      </c>
      <c r="K629" s="340">
        <f t="shared" ca="1" si="129"/>
        <v>0</v>
      </c>
      <c r="L629" s="340"/>
      <c r="M629" s="340"/>
      <c r="N629" s="340"/>
      <c r="O629" s="168"/>
      <c r="P629" s="168"/>
    </row>
    <row r="630" spans="1:16" ht="21.75" customHeight="1" x14ac:dyDescent="0.3">
      <c r="A630" s="476"/>
      <c r="B630" s="497" t="s">
        <v>234</v>
      </c>
      <c r="C630" s="157"/>
      <c r="D630" s="166"/>
      <c r="E630" s="159"/>
      <c r="F630" s="159"/>
      <c r="G630" s="160"/>
      <c r="H630" s="498" t="s">
        <v>12</v>
      </c>
      <c r="I630" s="339">
        <f ca="1">IFERROR(__xludf.DUMMYFUNCTION("IMPORTRANGE(""https://docs.google.com/spreadsheets/d/11923uPwbBZFjjGgGUA6NLw09EwE0CqkOc4q9oUmW1yo/edit?usp=sharing"",""ตาก!I525"")"),7699315.18)</f>
        <v>7699315.1799999997</v>
      </c>
      <c r="J630" s="339">
        <f ca="1">IFERROR(__xludf.DUMMYFUNCTION("IMPORTRANGE(""https://docs.google.com/spreadsheets/d/11923uPwbBZFjjGgGUA6NLw09EwE0CqkOc4q9oUmW1yo/edit?usp=sharing"",""ตาก!J525"")"),265310.68)</f>
        <v>265310.68</v>
      </c>
      <c r="K630" s="340">
        <f t="shared" ca="1" si="129"/>
        <v>3.4458997170187287</v>
      </c>
      <c r="L630" s="340"/>
      <c r="M630" s="340"/>
      <c r="N630" s="340"/>
      <c r="O630" s="168"/>
      <c r="P630" s="168"/>
    </row>
    <row r="631" spans="1:16" ht="21.75" customHeight="1" x14ac:dyDescent="0.3">
      <c r="A631" s="476"/>
      <c r="B631" s="157"/>
      <c r="C631" s="157"/>
      <c r="D631" s="166"/>
      <c r="E631" s="159"/>
      <c r="F631" s="159"/>
      <c r="G631" s="160"/>
      <c r="H631" s="498" t="s">
        <v>37</v>
      </c>
      <c r="I631" s="339">
        <f ca="1">IFERROR(__xludf.DUMMYFUNCTION("IMPORTRANGE(""https://docs.google.com/spreadsheets/d/11923uPwbBZFjjGgGUA6NLw09EwE0CqkOc4q9oUmW1yo/edit?usp=sharing"",""ตาก!I526"")"),292)</f>
        <v>292</v>
      </c>
      <c r="J631" s="339">
        <f ca="1">IFERROR(__xludf.DUMMYFUNCTION("IMPORTRANGE(""https://docs.google.com/spreadsheets/d/11923uPwbBZFjjGgGUA6NLw09EwE0CqkOc4q9oUmW1yo/edit?usp=sharing"",""ตาก!J526"")"),109)</f>
        <v>109</v>
      </c>
      <c r="K631" s="340">
        <f t="shared" ca="1" si="129"/>
        <v>37.328767123287669</v>
      </c>
      <c r="L631" s="340"/>
      <c r="M631" s="340"/>
      <c r="N631" s="340"/>
      <c r="O631" s="168"/>
      <c r="P631" s="168"/>
    </row>
    <row r="632" spans="1:16" ht="21.75" customHeight="1" x14ac:dyDescent="0.3">
      <c r="A632" s="476"/>
      <c r="B632" s="497" t="s">
        <v>235</v>
      </c>
      <c r="C632" s="157"/>
      <c r="D632" s="166"/>
      <c r="E632" s="159"/>
      <c r="F632" s="159"/>
      <c r="G632" s="160"/>
      <c r="H632" s="498" t="s">
        <v>12</v>
      </c>
      <c r="I632" s="339">
        <f ca="1">IFERROR(__xludf.DUMMYFUNCTION("IMPORTRANGE(""https://docs.google.com/spreadsheets/d/11923uPwbBZFjjGgGUA6NLw09EwE0CqkOc4q9oUmW1yo/edit?usp=sharing"",""ตาก!I527"")"),0)</f>
        <v>0</v>
      </c>
      <c r="J632" s="339">
        <f ca="1">IFERROR(__xludf.DUMMYFUNCTION("IMPORTRANGE(""https://docs.google.com/spreadsheets/d/11923uPwbBZFjjGgGUA6NLw09EwE0CqkOc4q9oUmW1yo/edit?usp=sharing"",""ตาก!J527"")"),0)</f>
        <v>0</v>
      </c>
      <c r="K632" s="340">
        <f t="shared" ca="1" si="129"/>
        <v>0</v>
      </c>
      <c r="L632" s="340"/>
      <c r="M632" s="340"/>
      <c r="N632" s="340"/>
      <c r="O632" s="168"/>
      <c r="P632" s="168"/>
    </row>
    <row r="633" spans="1:16" ht="21.75" customHeight="1" x14ac:dyDescent="0.3">
      <c r="A633" s="476"/>
      <c r="B633" s="497"/>
      <c r="C633" s="157"/>
      <c r="D633" s="166"/>
      <c r="E633" s="159"/>
      <c r="F633" s="159"/>
      <c r="G633" s="160"/>
      <c r="H633" s="498" t="s">
        <v>37</v>
      </c>
      <c r="I633" s="339">
        <f ca="1">IFERROR(__xludf.DUMMYFUNCTION("IMPORTRANGE(""https://docs.google.com/spreadsheets/d/11923uPwbBZFjjGgGUA6NLw09EwE0CqkOc4q9oUmW1yo/edit?usp=sharing"",""ตาก!I528"")"),0)</f>
        <v>0</v>
      </c>
      <c r="J633" s="339">
        <f ca="1">IFERROR(__xludf.DUMMYFUNCTION("IMPORTRANGE(""https://docs.google.com/spreadsheets/d/11923uPwbBZFjjGgGUA6NLw09EwE0CqkOc4q9oUmW1yo/edit?usp=sharing"",""ตาก!J528"")"),0)</f>
        <v>0</v>
      </c>
      <c r="K633" s="340">
        <f t="shared" ca="1" si="129"/>
        <v>0</v>
      </c>
      <c r="L633" s="340"/>
      <c r="M633" s="340"/>
      <c r="N633" s="340"/>
      <c r="O633" s="168"/>
      <c r="P633" s="168"/>
    </row>
    <row r="634" spans="1:16" ht="21.75" customHeight="1" x14ac:dyDescent="0.3">
      <c r="A634" s="476"/>
      <c r="B634" s="497" t="s">
        <v>236</v>
      </c>
      <c r="C634" s="157"/>
      <c r="D634" s="166"/>
      <c r="E634" s="159"/>
      <c r="F634" s="159"/>
      <c r="G634" s="160"/>
      <c r="H634" s="498" t="s">
        <v>12</v>
      </c>
      <c r="I634" s="339">
        <f ca="1">IFERROR(__xludf.DUMMYFUNCTION("IMPORTRANGE(""https://docs.google.com/spreadsheets/d/11923uPwbBZFjjGgGUA6NLw09EwE0CqkOc4q9oUmW1yo/edit?usp=sharing"",""ตาก!I529"")"),3000000)</f>
        <v>3000000</v>
      </c>
      <c r="J634" s="339">
        <f ca="1">IFERROR(__xludf.DUMMYFUNCTION("IMPORTRANGE(""https://docs.google.com/spreadsheets/d/11923uPwbBZFjjGgGUA6NLw09EwE0CqkOc4q9oUmW1yo/edit?usp=sharing"",""ตาก!J529"")"),0)</f>
        <v>0</v>
      </c>
      <c r="K634" s="340">
        <f t="shared" ca="1" si="129"/>
        <v>0</v>
      </c>
      <c r="L634" s="340"/>
      <c r="M634" s="340"/>
      <c r="N634" s="340"/>
      <c r="O634" s="168"/>
      <c r="P634" s="168"/>
    </row>
    <row r="635" spans="1:16" ht="21.75" customHeight="1" x14ac:dyDescent="0.3">
      <c r="A635" s="478"/>
      <c r="B635" s="480"/>
      <c r="C635" s="480"/>
      <c r="D635" s="479"/>
      <c r="E635" s="499"/>
      <c r="F635" s="499"/>
      <c r="G635" s="500"/>
      <c r="H635" s="501" t="s">
        <v>37</v>
      </c>
      <c r="I635" s="502">
        <f ca="1">IFERROR(__xludf.DUMMYFUNCTION("IMPORTRANGE(""https://docs.google.com/spreadsheets/d/11923uPwbBZFjjGgGUA6NLw09EwE0CqkOc4q9oUmW1yo/edit?usp=sharing"",""ตาก!I530"")"),100)</f>
        <v>100</v>
      </c>
      <c r="J635" s="502">
        <f ca="1">IFERROR(__xludf.DUMMYFUNCTION("IMPORTRANGE(""https://docs.google.com/spreadsheets/d/11923uPwbBZFjjGgGUA6NLw09EwE0CqkOc4q9oUmW1yo/edit?usp=sharing"",""ตาก!J530"")"),0)</f>
        <v>0</v>
      </c>
      <c r="K635" s="484">
        <f t="shared" ca="1" si="129"/>
        <v>0</v>
      </c>
      <c r="L635" s="484"/>
      <c r="M635" s="484"/>
      <c r="N635" s="484"/>
      <c r="O635" s="503"/>
      <c r="P635" s="503"/>
    </row>
    <row r="636" spans="1:16" ht="21.75" customHeight="1" x14ac:dyDescent="0.3">
      <c r="A636" s="504"/>
      <c r="B636" s="504"/>
      <c r="C636" s="504"/>
      <c r="D636" s="504"/>
      <c r="E636" s="505" t="s">
        <v>237</v>
      </c>
      <c r="F636" s="505"/>
      <c r="G636" s="505"/>
      <c r="H636" s="506"/>
      <c r="I636" s="506"/>
      <c r="J636" s="506"/>
      <c r="K636" s="507"/>
      <c r="L636" s="508"/>
      <c r="M636" s="508"/>
      <c r="N636" s="508"/>
      <c r="O636" s="509"/>
      <c r="P636" s="509"/>
    </row>
    <row r="637" spans="1:16" ht="21.75" customHeight="1" x14ac:dyDescent="0.3">
      <c r="A637" s="504"/>
      <c r="B637" s="504"/>
      <c r="C637" s="504"/>
      <c r="D637" s="504"/>
      <c r="E637" s="506"/>
      <c r="F637" s="506"/>
      <c r="G637" s="506"/>
      <c r="H637" s="506"/>
      <c r="I637" s="506"/>
      <c r="J637" s="506"/>
      <c r="K637" s="507"/>
      <c r="L637" s="508"/>
      <c r="M637" s="508"/>
      <c r="N637" s="508"/>
      <c r="O637" s="509"/>
      <c r="P637" s="509"/>
    </row>
    <row r="638" spans="1:16" ht="21.75" customHeight="1" x14ac:dyDescent="0.3">
      <c r="A638" s="504"/>
      <c r="B638" s="504"/>
      <c r="C638" s="504"/>
      <c r="D638" s="504"/>
      <c r="E638" s="506"/>
      <c r="F638" s="506"/>
      <c r="G638" s="506"/>
      <c r="H638" s="506"/>
      <c r="I638" s="506"/>
      <c r="J638" s="506"/>
      <c r="K638" s="507"/>
      <c r="L638" s="508"/>
      <c r="M638" s="508"/>
      <c r="N638" s="508"/>
      <c r="O638" s="509"/>
      <c r="P638" s="509"/>
    </row>
    <row r="639" spans="1:16" ht="21.75" customHeight="1" x14ac:dyDescent="0.3">
      <c r="A639" s="504"/>
      <c r="B639" s="504"/>
      <c r="C639" s="504"/>
      <c r="D639" s="504"/>
      <c r="E639" s="506"/>
      <c r="F639" s="506"/>
      <c r="G639" s="506"/>
      <c r="H639" s="506"/>
      <c r="I639" s="506"/>
      <c r="J639" s="506"/>
      <c r="K639" s="507"/>
      <c r="L639" s="508"/>
      <c r="M639" s="508"/>
      <c r="N639" s="508"/>
      <c r="O639" s="509"/>
      <c r="P639" s="509"/>
    </row>
    <row r="640" spans="1:16" ht="21.75" customHeight="1" x14ac:dyDescent="0.3">
      <c r="A640" s="504"/>
      <c r="B640" s="504"/>
      <c r="C640" s="504"/>
      <c r="D640" s="504"/>
      <c r="E640" s="506"/>
      <c r="F640" s="506"/>
      <c r="G640" s="506"/>
      <c r="H640" s="506"/>
      <c r="I640" s="506"/>
      <c r="J640" s="506"/>
      <c r="K640" s="507"/>
      <c r="L640" s="508"/>
      <c r="M640" s="508"/>
      <c r="N640" s="508"/>
      <c r="O640" s="509"/>
      <c r="P640" s="509"/>
    </row>
    <row r="641" spans="1:16" ht="21.75" customHeight="1" x14ac:dyDescent="0.3">
      <c r="A641" s="504"/>
      <c r="B641" s="504"/>
      <c r="C641" s="504"/>
      <c r="D641" s="504"/>
      <c r="E641" s="506"/>
      <c r="F641" s="506"/>
      <c r="G641" s="506"/>
      <c r="H641" s="506"/>
      <c r="I641" s="506"/>
      <c r="J641" s="506"/>
      <c r="K641" s="507"/>
      <c r="L641" s="508"/>
      <c r="M641" s="508"/>
      <c r="N641" s="508"/>
      <c r="O641" s="509"/>
      <c r="P641" s="509"/>
    </row>
    <row r="642" spans="1:16" ht="21.75" customHeight="1" x14ac:dyDescent="0.3">
      <c r="A642" s="504"/>
      <c r="B642" s="504"/>
      <c r="C642" s="504"/>
      <c r="D642" s="504"/>
      <c r="E642" s="506"/>
      <c r="F642" s="506"/>
      <c r="G642" s="506"/>
      <c r="H642" s="506"/>
      <c r="I642" s="506"/>
      <c r="J642" s="506"/>
      <c r="K642" s="507"/>
      <c r="L642" s="508"/>
      <c r="M642" s="508"/>
      <c r="N642" s="508"/>
      <c r="O642" s="509"/>
      <c r="P642" s="509"/>
    </row>
    <row r="643" spans="1:16" ht="21.75" customHeight="1" x14ac:dyDescent="0.3">
      <c r="A643" s="504"/>
      <c r="B643" s="504"/>
      <c r="C643" s="504"/>
      <c r="D643" s="504"/>
      <c r="E643" s="506"/>
      <c r="F643" s="506"/>
      <c r="G643" s="506"/>
      <c r="H643" s="506"/>
      <c r="I643" s="506"/>
      <c r="J643" s="506"/>
      <c r="K643" s="507"/>
      <c r="L643" s="508"/>
      <c r="M643" s="508"/>
      <c r="N643" s="508"/>
      <c r="O643" s="509"/>
      <c r="P643" s="509"/>
    </row>
    <row r="644" spans="1:16" ht="21.75" customHeight="1" x14ac:dyDescent="0.3">
      <c r="A644" s="504"/>
      <c r="B644" s="504"/>
      <c r="C644" s="504"/>
      <c r="D644" s="504"/>
      <c r="E644" s="506"/>
      <c r="F644" s="506"/>
      <c r="G644" s="506"/>
      <c r="H644" s="506"/>
      <c r="I644" s="506"/>
      <c r="J644" s="506"/>
      <c r="K644" s="507"/>
      <c r="L644" s="508"/>
      <c r="M644" s="508"/>
      <c r="N644" s="508"/>
      <c r="O644" s="509"/>
      <c r="P644" s="509"/>
    </row>
    <row r="645" spans="1:16" ht="21.75" customHeight="1" x14ac:dyDescent="0.3">
      <c r="A645" s="504"/>
      <c r="B645" s="504"/>
      <c r="C645" s="504"/>
      <c r="D645" s="504"/>
      <c r="E645" s="506"/>
      <c r="F645" s="506"/>
      <c r="G645" s="506"/>
      <c r="H645" s="506"/>
      <c r="I645" s="506"/>
      <c r="J645" s="506"/>
      <c r="K645" s="507"/>
      <c r="L645" s="508"/>
      <c r="M645" s="508"/>
      <c r="N645" s="508"/>
      <c r="O645" s="509"/>
      <c r="P645" s="509"/>
    </row>
    <row r="646" spans="1:16" ht="21.75" customHeight="1" x14ac:dyDescent="0.3">
      <c r="A646" s="504"/>
      <c r="B646" s="504"/>
      <c r="C646" s="504"/>
      <c r="D646" s="504"/>
      <c r="E646" s="506"/>
      <c r="F646" s="506"/>
      <c r="G646" s="506"/>
      <c r="H646" s="506"/>
      <c r="I646" s="506"/>
      <c r="J646" s="506"/>
      <c r="K646" s="507"/>
      <c r="L646" s="508"/>
      <c r="M646" s="508"/>
      <c r="N646" s="508"/>
      <c r="O646" s="509"/>
      <c r="P646" s="509"/>
    </row>
    <row r="647" spans="1:16" ht="21.75" customHeight="1" x14ac:dyDescent="0.3">
      <c r="A647" s="504"/>
      <c r="B647" s="504"/>
      <c r="C647" s="504"/>
      <c r="D647" s="504"/>
      <c r="E647" s="506"/>
      <c r="F647" s="506"/>
      <c r="G647" s="506"/>
      <c r="H647" s="506"/>
      <c r="I647" s="506"/>
      <c r="J647" s="506"/>
      <c r="K647" s="507"/>
      <c r="L647" s="508"/>
      <c r="M647" s="508"/>
      <c r="N647" s="508"/>
      <c r="O647" s="509"/>
      <c r="P647" s="509"/>
    </row>
    <row r="648" spans="1:16" ht="21.75" customHeight="1" x14ac:dyDescent="0.3">
      <c r="A648" s="504"/>
      <c r="B648" s="504"/>
      <c r="C648" s="504"/>
      <c r="D648" s="504"/>
      <c r="E648" s="506"/>
      <c r="F648" s="506"/>
      <c r="G648" s="506"/>
      <c r="H648" s="506"/>
      <c r="I648" s="506"/>
      <c r="J648" s="506"/>
      <c r="K648" s="507"/>
      <c r="L648" s="508"/>
      <c r="M648" s="508"/>
      <c r="N648" s="508"/>
      <c r="O648" s="509"/>
      <c r="P648" s="509"/>
    </row>
    <row r="649" spans="1:16" ht="21.75" customHeight="1" x14ac:dyDescent="0.3">
      <c r="A649" s="504"/>
      <c r="B649" s="504"/>
      <c r="C649" s="504"/>
      <c r="D649" s="504"/>
      <c r="E649" s="506"/>
      <c r="F649" s="506"/>
      <c r="G649" s="506"/>
      <c r="H649" s="506"/>
      <c r="I649" s="506"/>
      <c r="J649" s="506"/>
      <c r="K649" s="507"/>
      <c r="L649" s="508"/>
      <c r="M649" s="508"/>
      <c r="N649" s="508"/>
      <c r="O649" s="509"/>
      <c r="P649" s="509"/>
    </row>
    <row r="650" spans="1:16" ht="21.75" customHeight="1" x14ac:dyDescent="0.3">
      <c r="A650" s="504"/>
      <c r="B650" s="504"/>
      <c r="C650" s="504"/>
      <c r="D650" s="504"/>
      <c r="E650" s="506"/>
      <c r="F650" s="506"/>
      <c r="G650" s="506"/>
      <c r="H650" s="506"/>
      <c r="I650" s="506"/>
      <c r="J650" s="506"/>
      <c r="K650" s="507"/>
      <c r="L650" s="508"/>
      <c r="M650" s="508"/>
      <c r="N650" s="508"/>
      <c r="O650" s="509"/>
      <c r="P650" s="509"/>
    </row>
    <row r="651" spans="1:16" ht="21.75" customHeight="1" x14ac:dyDescent="0.3">
      <c r="A651" s="504"/>
      <c r="B651" s="504"/>
      <c r="C651" s="504"/>
      <c r="D651" s="504"/>
      <c r="E651" s="506"/>
      <c r="F651" s="506"/>
      <c r="G651" s="506"/>
      <c r="H651" s="506"/>
      <c r="I651" s="506"/>
      <c r="J651" s="506"/>
      <c r="K651" s="507"/>
      <c r="L651" s="508"/>
      <c r="M651" s="508"/>
      <c r="N651" s="508"/>
      <c r="O651" s="509"/>
      <c r="P651" s="509"/>
    </row>
    <row r="652" spans="1:16" ht="21.75" customHeight="1" x14ac:dyDescent="0.3">
      <c r="A652" s="504"/>
      <c r="B652" s="504"/>
      <c r="C652" s="504"/>
      <c r="D652" s="504"/>
      <c r="E652" s="506"/>
      <c r="F652" s="506"/>
      <c r="G652" s="506"/>
      <c r="H652" s="506"/>
      <c r="I652" s="506"/>
      <c r="J652" s="506"/>
      <c r="K652" s="507"/>
      <c r="L652" s="508"/>
      <c r="M652" s="508"/>
      <c r="N652" s="508"/>
      <c r="O652" s="509"/>
      <c r="P652" s="509"/>
    </row>
    <row r="653" spans="1:16" ht="21.75" customHeight="1" x14ac:dyDescent="0.3">
      <c r="A653" s="504"/>
      <c r="B653" s="504"/>
      <c r="C653" s="504"/>
      <c r="D653" s="504"/>
      <c r="E653" s="506"/>
      <c r="F653" s="506"/>
      <c r="G653" s="506"/>
      <c r="H653" s="506"/>
      <c r="I653" s="506"/>
      <c r="J653" s="506"/>
      <c r="K653" s="507"/>
      <c r="L653" s="508"/>
      <c r="M653" s="508"/>
      <c r="N653" s="508"/>
      <c r="O653" s="509"/>
      <c r="P653" s="509"/>
    </row>
    <row r="654" spans="1:16" ht="21.75" customHeight="1" x14ac:dyDescent="0.3">
      <c r="A654" s="504"/>
      <c r="B654" s="504"/>
      <c r="C654" s="504"/>
      <c r="D654" s="504"/>
      <c r="E654" s="506"/>
      <c r="F654" s="506"/>
      <c r="G654" s="506"/>
      <c r="H654" s="506"/>
      <c r="I654" s="506"/>
      <c r="J654" s="506"/>
      <c r="K654" s="507"/>
      <c r="L654" s="508"/>
      <c r="M654" s="508"/>
      <c r="N654" s="508"/>
      <c r="O654" s="509"/>
      <c r="P654" s="509"/>
    </row>
    <row r="655" spans="1:16" ht="21.75" customHeight="1" x14ac:dyDescent="0.3">
      <c r="A655" s="504"/>
      <c r="B655" s="504"/>
      <c r="C655" s="504"/>
      <c r="D655" s="504"/>
      <c r="E655" s="506"/>
      <c r="F655" s="506"/>
      <c r="G655" s="506"/>
      <c r="H655" s="506"/>
      <c r="I655" s="506"/>
      <c r="J655" s="506"/>
      <c r="K655" s="507"/>
      <c r="L655" s="508"/>
      <c r="M655" s="508"/>
      <c r="N655" s="508"/>
      <c r="O655" s="509"/>
      <c r="P655" s="509"/>
    </row>
    <row r="656" spans="1:16" ht="21.75" customHeight="1" x14ac:dyDescent="0.3">
      <c r="A656" s="504"/>
      <c r="B656" s="504"/>
      <c r="C656" s="504"/>
      <c r="D656" s="504"/>
      <c r="E656" s="506"/>
      <c r="F656" s="506"/>
      <c r="G656" s="506"/>
      <c r="H656" s="506"/>
      <c r="I656" s="506"/>
      <c r="J656" s="506"/>
      <c r="K656" s="507"/>
      <c r="L656" s="508"/>
      <c r="M656" s="508"/>
      <c r="N656" s="508"/>
      <c r="O656" s="509"/>
      <c r="P656" s="509"/>
    </row>
    <row r="657" spans="1:16" ht="21.75" customHeight="1" x14ac:dyDescent="0.3">
      <c r="A657" s="504"/>
      <c r="B657" s="504"/>
      <c r="C657" s="504"/>
      <c r="D657" s="504"/>
      <c r="E657" s="506"/>
      <c r="F657" s="506"/>
      <c r="G657" s="506"/>
      <c r="H657" s="506"/>
      <c r="I657" s="506"/>
      <c r="J657" s="506"/>
      <c r="K657" s="507"/>
      <c r="L657" s="508"/>
      <c r="M657" s="508"/>
      <c r="N657" s="508"/>
      <c r="O657" s="509"/>
      <c r="P657" s="509"/>
    </row>
    <row r="658" spans="1:16" ht="21.75" customHeight="1" x14ac:dyDescent="0.3">
      <c r="A658" s="504"/>
      <c r="B658" s="504"/>
      <c r="C658" s="504"/>
      <c r="D658" s="504"/>
      <c r="E658" s="506"/>
      <c r="F658" s="506"/>
      <c r="G658" s="506"/>
      <c r="H658" s="506"/>
      <c r="I658" s="506"/>
      <c r="J658" s="506"/>
      <c r="K658" s="507"/>
      <c r="L658" s="508"/>
      <c r="M658" s="508"/>
      <c r="N658" s="508"/>
      <c r="O658" s="509"/>
      <c r="P658" s="509"/>
    </row>
    <row r="659" spans="1:16" ht="21.75" customHeight="1" x14ac:dyDescent="0.3">
      <c r="A659" s="504"/>
      <c r="B659" s="504"/>
      <c r="C659" s="504"/>
      <c r="D659" s="504"/>
      <c r="E659" s="506"/>
      <c r="F659" s="506"/>
      <c r="G659" s="506"/>
      <c r="H659" s="506"/>
      <c r="I659" s="506"/>
      <c r="J659" s="506"/>
      <c r="K659" s="507"/>
      <c r="L659" s="508"/>
      <c r="M659" s="508"/>
      <c r="N659" s="508"/>
      <c r="O659" s="509"/>
      <c r="P659" s="509"/>
    </row>
    <row r="660" spans="1:16" ht="21.75" customHeight="1" x14ac:dyDescent="0.3">
      <c r="A660" s="504"/>
      <c r="B660" s="504"/>
      <c r="C660" s="504"/>
      <c r="D660" s="504"/>
      <c r="E660" s="506"/>
      <c r="F660" s="506"/>
      <c r="G660" s="506"/>
      <c r="H660" s="506"/>
      <c r="I660" s="506"/>
      <c r="J660" s="506"/>
      <c r="K660" s="507"/>
      <c r="L660" s="508"/>
      <c r="M660" s="508"/>
      <c r="N660" s="508"/>
      <c r="O660" s="509"/>
      <c r="P660" s="509"/>
    </row>
    <row r="661" spans="1:16" ht="21.75" customHeight="1" x14ac:dyDescent="0.3">
      <c r="A661" s="504"/>
      <c r="B661" s="504"/>
      <c r="C661" s="504"/>
      <c r="D661" s="504"/>
      <c r="E661" s="506"/>
      <c r="F661" s="506"/>
      <c r="G661" s="506"/>
      <c r="H661" s="506"/>
      <c r="I661" s="506"/>
      <c r="J661" s="506"/>
      <c r="K661" s="507"/>
      <c r="L661" s="508"/>
      <c r="M661" s="508"/>
      <c r="N661" s="508"/>
      <c r="O661" s="509"/>
      <c r="P661" s="509"/>
    </row>
    <row r="662" spans="1:16" ht="21.75" customHeight="1" x14ac:dyDescent="0.3">
      <c r="A662" s="504"/>
      <c r="B662" s="504"/>
      <c r="C662" s="504"/>
      <c r="D662" s="504"/>
      <c r="E662" s="506"/>
      <c r="F662" s="506"/>
      <c r="G662" s="506"/>
      <c r="H662" s="506"/>
      <c r="I662" s="506"/>
      <c r="J662" s="506"/>
      <c r="K662" s="507"/>
      <c r="L662" s="508"/>
      <c r="M662" s="508"/>
      <c r="N662" s="508"/>
      <c r="O662" s="509"/>
      <c r="P662" s="509"/>
    </row>
    <row r="663" spans="1:16" ht="21.75" customHeight="1" x14ac:dyDescent="0.3">
      <c r="A663" s="504"/>
      <c r="B663" s="504"/>
      <c r="C663" s="504"/>
      <c r="D663" s="504"/>
      <c r="E663" s="506"/>
      <c r="F663" s="506"/>
      <c r="G663" s="506"/>
      <c r="H663" s="506"/>
      <c r="I663" s="506"/>
      <c r="J663" s="506"/>
      <c r="K663" s="507"/>
      <c r="L663" s="508"/>
      <c r="M663" s="508"/>
      <c r="N663" s="508"/>
      <c r="O663" s="509"/>
      <c r="P663" s="509"/>
    </row>
    <row r="664" spans="1:16" ht="21.75" customHeight="1" x14ac:dyDescent="0.3">
      <c r="A664" s="504"/>
      <c r="B664" s="504"/>
      <c r="C664" s="504"/>
      <c r="D664" s="504"/>
      <c r="E664" s="506"/>
      <c r="F664" s="506"/>
      <c r="G664" s="506"/>
      <c r="H664" s="506"/>
      <c r="I664" s="506"/>
      <c r="J664" s="506"/>
      <c r="K664" s="507"/>
      <c r="L664" s="508"/>
      <c r="M664" s="508"/>
      <c r="N664" s="508"/>
      <c r="O664" s="509"/>
      <c r="P664" s="509"/>
    </row>
    <row r="665" spans="1:16" ht="21.75" customHeight="1" x14ac:dyDescent="0.3">
      <c r="A665" s="504"/>
      <c r="B665" s="504"/>
      <c r="C665" s="504"/>
      <c r="D665" s="504"/>
      <c r="E665" s="506"/>
      <c r="F665" s="506"/>
      <c r="G665" s="506"/>
      <c r="H665" s="506"/>
      <c r="I665" s="506"/>
      <c r="J665" s="506"/>
      <c r="K665" s="507"/>
      <c r="L665" s="508"/>
      <c r="M665" s="508"/>
      <c r="N665" s="508"/>
      <c r="O665" s="509"/>
      <c r="P665" s="509"/>
    </row>
    <row r="666" spans="1:16" ht="21.75" customHeight="1" x14ac:dyDescent="0.3">
      <c r="A666" s="504"/>
      <c r="B666" s="504"/>
      <c r="C666" s="504"/>
      <c r="D666" s="504"/>
      <c r="E666" s="506"/>
      <c r="F666" s="506"/>
      <c r="G666" s="506"/>
      <c r="H666" s="506"/>
      <c r="I666" s="506"/>
      <c r="J666" s="506"/>
      <c r="K666" s="507"/>
      <c r="L666" s="508"/>
      <c r="M666" s="508"/>
      <c r="N666" s="508"/>
      <c r="O666" s="509"/>
      <c r="P666" s="509"/>
    </row>
    <row r="667" spans="1:16" ht="21.75" customHeight="1" x14ac:dyDescent="0.3">
      <c r="A667" s="504"/>
      <c r="B667" s="504"/>
      <c r="C667" s="504"/>
      <c r="D667" s="504"/>
      <c r="E667" s="506"/>
      <c r="F667" s="506"/>
      <c r="G667" s="506"/>
      <c r="H667" s="506"/>
      <c r="I667" s="506"/>
      <c r="J667" s="506"/>
      <c r="K667" s="507"/>
      <c r="L667" s="508"/>
      <c r="M667" s="508"/>
      <c r="N667" s="508"/>
      <c r="O667" s="509"/>
      <c r="P667" s="509"/>
    </row>
    <row r="668" spans="1:16" ht="21.75" customHeight="1" x14ac:dyDescent="0.3">
      <c r="A668" s="504"/>
      <c r="B668" s="504"/>
      <c r="C668" s="504"/>
      <c r="D668" s="504"/>
      <c r="E668" s="506"/>
      <c r="F668" s="506"/>
      <c r="G668" s="506"/>
      <c r="H668" s="506"/>
      <c r="I668" s="506"/>
      <c r="J668" s="506"/>
      <c r="K668" s="507"/>
      <c r="L668" s="508"/>
      <c r="M668" s="508"/>
      <c r="N668" s="508"/>
      <c r="O668" s="509"/>
      <c r="P668" s="509"/>
    </row>
    <row r="669" spans="1:16" ht="21.75" customHeight="1" x14ac:dyDescent="0.3">
      <c r="A669" s="504"/>
      <c r="B669" s="504"/>
      <c r="C669" s="504"/>
      <c r="D669" s="504"/>
      <c r="E669" s="506"/>
      <c r="F669" s="506"/>
      <c r="G669" s="506"/>
      <c r="H669" s="506"/>
      <c r="I669" s="506"/>
      <c r="J669" s="506"/>
      <c r="K669" s="507"/>
      <c r="L669" s="508"/>
      <c r="M669" s="508"/>
      <c r="N669" s="508"/>
      <c r="O669" s="509"/>
      <c r="P669" s="509"/>
    </row>
    <row r="670" spans="1:16" ht="21.75" customHeight="1" x14ac:dyDescent="0.3">
      <c r="A670" s="504"/>
      <c r="B670" s="504"/>
      <c r="C670" s="504"/>
      <c r="D670" s="504"/>
      <c r="E670" s="506"/>
      <c r="F670" s="506"/>
      <c r="G670" s="506"/>
      <c r="H670" s="506"/>
      <c r="I670" s="506"/>
      <c r="J670" s="506"/>
      <c r="K670" s="507"/>
      <c r="L670" s="508"/>
      <c r="M670" s="508"/>
      <c r="N670" s="508"/>
      <c r="O670" s="509"/>
      <c r="P670" s="509"/>
    </row>
    <row r="671" spans="1:16" ht="21.75" customHeight="1" x14ac:dyDescent="0.3">
      <c r="A671" s="504"/>
      <c r="B671" s="504"/>
      <c r="C671" s="504"/>
      <c r="D671" s="504"/>
      <c r="E671" s="506"/>
      <c r="F671" s="506"/>
      <c r="G671" s="506"/>
      <c r="H671" s="506"/>
      <c r="I671" s="506"/>
      <c r="J671" s="506"/>
      <c r="K671" s="507"/>
      <c r="L671" s="508"/>
      <c r="M671" s="508"/>
      <c r="N671" s="508"/>
      <c r="O671" s="509"/>
      <c r="P671" s="509"/>
    </row>
    <row r="672" spans="1:16" ht="21.75" customHeight="1" x14ac:dyDescent="0.3">
      <c r="A672" s="504"/>
      <c r="B672" s="504"/>
      <c r="C672" s="504"/>
      <c r="D672" s="504"/>
      <c r="E672" s="506"/>
      <c r="F672" s="506"/>
      <c r="G672" s="506"/>
      <c r="H672" s="506"/>
      <c r="I672" s="506"/>
      <c r="J672" s="506"/>
      <c r="K672" s="507"/>
      <c r="L672" s="508"/>
      <c r="M672" s="508"/>
      <c r="N672" s="508"/>
      <c r="O672" s="509"/>
      <c r="P672" s="509"/>
    </row>
    <row r="673" spans="1:16" ht="21.75" customHeight="1" x14ac:dyDescent="0.3">
      <c r="A673" s="504"/>
      <c r="B673" s="504"/>
      <c r="C673" s="504"/>
      <c r="D673" s="504"/>
      <c r="E673" s="506"/>
      <c r="F673" s="506"/>
      <c r="G673" s="506"/>
      <c r="H673" s="506"/>
      <c r="I673" s="506"/>
      <c r="J673" s="506"/>
      <c r="K673" s="507"/>
      <c r="L673" s="508"/>
      <c r="M673" s="508"/>
      <c r="N673" s="508"/>
      <c r="O673" s="509"/>
      <c r="P673" s="509"/>
    </row>
    <row r="674" spans="1:16" ht="21.75" customHeight="1" x14ac:dyDescent="0.3">
      <c r="A674" s="504"/>
      <c r="B674" s="504"/>
      <c r="C674" s="504"/>
      <c r="D674" s="504"/>
      <c r="E674" s="506"/>
      <c r="F674" s="506"/>
      <c r="G674" s="506"/>
      <c r="H674" s="506"/>
      <c r="I674" s="506"/>
      <c r="J674" s="506"/>
      <c r="K674" s="507"/>
      <c r="L674" s="508"/>
      <c r="M674" s="508"/>
      <c r="N674" s="508"/>
      <c r="O674" s="509"/>
      <c r="P674" s="509"/>
    </row>
    <row r="675" spans="1:16" ht="21.75" customHeight="1" x14ac:dyDescent="0.3">
      <c r="A675" s="504"/>
      <c r="B675" s="504"/>
      <c r="C675" s="504"/>
      <c r="D675" s="504"/>
      <c r="E675" s="506"/>
      <c r="F675" s="506"/>
      <c r="G675" s="506"/>
      <c r="H675" s="506"/>
      <c r="I675" s="506"/>
      <c r="J675" s="506"/>
      <c r="K675" s="507"/>
      <c r="L675" s="508"/>
      <c r="M675" s="508"/>
      <c r="N675" s="508"/>
      <c r="O675" s="509"/>
      <c r="P675" s="509"/>
    </row>
    <row r="676" spans="1:16" ht="21.75" customHeight="1" x14ac:dyDescent="0.3">
      <c r="A676" s="504"/>
      <c r="B676" s="504"/>
      <c r="C676" s="504"/>
      <c r="D676" s="504"/>
      <c r="E676" s="506"/>
      <c r="F676" s="506"/>
      <c r="G676" s="506"/>
      <c r="H676" s="506"/>
      <c r="I676" s="506"/>
      <c r="J676" s="506"/>
      <c r="K676" s="507"/>
      <c r="L676" s="508"/>
      <c r="M676" s="508"/>
      <c r="N676" s="508"/>
      <c r="O676" s="509"/>
      <c r="P676" s="509"/>
    </row>
    <row r="677" spans="1:16" ht="21.75" customHeight="1" x14ac:dyDescent="0.3">
      <c r="A677" s="504"/>
      <c r="B677" s="504"/>
      <c r="C677" s="504"/>
      <c r="D677" s="504"/>
      <c r="E677" s="506"/>
      <c r="F677" s="506"/>
      <c r="G677" s="506"/>
      <c r="H677" s="506"/>
      <c r="I677" s="506"/>
      <c r="J677" s="506"/>
      <c r="K677" s="507"/>
      <c r="L677" s="508"/>
      <c r="M677" s="508"/>
      <c r="N677" s="508"/>
      <c r="O677" s="509"/>
      <c r="P677" s="509"/>
    </row>
    <row r="678" spans="1:16" ht="21.75" customHeight="1" x14ac:dyDescent="0.3">
      <c r="A678" s="504"/>
      <c r="B678" s="504"/>
      <c r="C678" s="504"/>
      <c r="D678" s="504"/>
      <c r="E678" s="506"/>
      <c r="F678" s="506"/>
      <c r="G678" s="506"/>
      <c r="H678" s="506"/>
      <c r="I678" s="506"/>
      <c r="J678" s="506"/>
      <c r="K678" s="507"/>
      <c r="L678" s="508"/>
      <c r="M678" s="508"/>
      <c r="N678" s="508"/>
      <c r="O678" s="509"/>
      <c r="P678" s="509"/>
    </row>
    <row r="679" spans="1:16" ht="21.75" customHeight="1" x14ac:dyDescent="0.3">
      <c r="A679" s="504"/>
      <c r="B679" s="504"/>
      <c r="C679" s="504"/>
      <c r="D679" s="504"/>
      <c r="E679" s="506"/>
      <c r="F679" s="506"/>
      <c r="G679" s="506"/>
      <c r="H679" s="506"/>
      <c r="I679" s="506"/>
      <c r="J679" s="506"/>
      <c r="K679" s="507"/>
      <c r="L679" s="508"/>
      <c r="M679" s="508"/>
      <c r="N679" s="508"/>
      <c r="O679" s="509"/>
      <c r="P679" s="509"/>
    </row>
    <row r="680" spans="1:16" ht="21.75" customHeight="1" x14ac:dyDescent="0.3">
      <c r="A680" s="504"/>
      <c r="B680" s="504"/>
      <c r="C680" s="504"/>
      <c r="D680" s="504"/>
      <c r="E680" s="506"/>
      <c r="F680" s="506"/>
      <c r="G680" s="506"/>
      <c r="H680" s="506"/>
      <c r="I680" s="506"/>
      <c r="J680" s="506"/>
      <c r="K680" s="507"/>
      <c r="L680" s="508"/>
      <c r="M680" s="508"/>
      <c r="N680" s="508"/>
      <c r="O680" s="509"/>
      <c r="P680" s="509"/>
    </row>
    <row r="681" spans="1:16" ht="21.75" customHeight="1" x14ac:dyDescent="0.3">
      <c r="A681" s="504"/>
      <c r="B681" s="504"/>
      <c r="C681" s="504"/>
      <c r="D681" s="504"/>
      <c r="E681" s="506"/>
      <c r="F681" s="506"/>
      <c r="G681" s="506"/>
      <c r="H681" s="506"/>
      <c r="I681" s="506"/>
      <c r="J681" s="506"/>
      <c r="K681" s="507"/>
      <c r="L681" s="508"/>
      <c r="M681" s="508"/>
      <c r="N681" s="508"/>
      <c r="O681" s="509"/>
      <c r="P681" s="509"/>
    </row>
    <row r="682" spans="1:16" ht="21.75" customHeight="1" x14ac:dyDescent="0.3">
      <c r="A682" s="504"/>
      <c r="B682" s="504"/>
      <c r="C682" s="504"/>
      <c r="D682" s="504"/>
      <c r="E682" s="506"/>
      <c r="F682" s="506"/>
      <c r="G682" s="506"/>
      <c r="H682" s="506"/>
      <c r="I682" s="506"/>
      <c r="J682" s="506"/>
      <c r="K682" s="507"/>
      <c r="L682" s="508"/>
      <c r="M682" s="508"/>
      <c r="N682" s="508"/>
      <c r="O682" s="509"/>
      <c r="P682" s="509"/>
    </row>
    <row r="683" spans="1:16" ht="21.75" customHeight="1" x14ac:dyDescent="0.3">
      <c r="A683" s="504"/>
      <c r="B683" s="504"/>
      <c r="C683" s="504"/>
      <c r="D683" s="504"/>
      <c r="E683" s="506"/>
      <c r="F683" s="506"/>
      <c r="G683" s="506"/>
      <c r="H683" s="506"/>
      <c r="I683" s="506"/>
      <c r="J683" s="506"/>
      <c r="K683" s="507"/>
      <c r="L683" s="508"/>
      <c r="M683" s="508"/>
      <c r="N683" s="508"/>
      <c r="O683" s="509"/>
      <c r="P683" s="509"/>
    </row>
    <row r="684" spans="1:16" ht="21.75" customHeight="1" x14ac:dyDescent="0.3">
      <c r="A684" s="504"/>
      <c r="B684" s="504"/>
      <c r="C684" s="504"/>
      <c r="D684" s="504"/>
      <c r="E684" s="506"/>
      <c r="F684" s="506"/>
      <c r="G684" s="506"/>
      <c r="H684" s="506"/>
      <c r="I684" s="506"/>
      <c r="J684" s="506"/>
      <c r="K684" s="507"/>
      <c r="L684" s="508"/>
      <c r="M684" s="508"/>
      <c r="N684" s="508"/>
      <c r="O684" s="509"/>
      <c r="P684" s="509"/>
    </row>
    <row r="685" spans="1:16" ht="21.75" customHeight="1" x14ac:dyDescent="0.3">
      <c r="A685" s="504"/>
      <c r="B685" s="504"/>
      <c r="C685" s="504"/>
      <c r="D685" s="504"/>
      <c r="E685" s="506"/>
      <c r="F685" s="506"/>
      <c r="G685" s="506"/>
      <c r="H685" s="506"/>
      <c r="I685" s="506"/>
      <c r="J685" s="506"/>
      <c r="K685" s="507"/>
      <c r="L685" s="508"/>
      <c r="M685" s="508"/>
      <c r="N685" s="508"/>
      <c r="O685" s="509"/>
      <c r="P685" s="509"/>
    </row>
    <row r="686" spans="1:16" ht="21.75" customHeight="1" x14ac:dyDescent="0.3">
      <c r="A686" s="504"/>
      <c r="B686" s="504"/>
      <c r="C686" s="504"/>
      <c r="D686" s="504"/>
      <c r="E686" s="506"/>
      <c r="F686" s="506"/>
      <c r="G686" s="506"/>
      <c r="H686" s="506"/>
      <c r="I686" s="506"/>
      <c r="J686" s="506"/>
      <c r="K686" s="507"/>
      <c r="L686" s="508"/>
      <c r="M686" s="508"/>
      <c r="N686" s="508"/>
      <c r="O686" s="509"/>
      <c r="P686" s="509"/>
    </row>
    <row r="687" spans="1:16" ht="21.75" customHeight="1" x14ac:dyDescent="0.3">
      <c r="A687" s="504"/>
      <c r="B687" s="504"/>
      <c r="C687" s="504"/>
      <c r="D687" s="504"/>
      <c r="E687" s="506"/>
      <c r="F687" s="506"/>
      <c r="G687" s="506"/>
      <c r="H687" s="506"/>
      <c r="I687" s="506"/>
      <c r="J687" s="506"/>
      <c r="K687" s="507"/>
      <c r="L687" s="508"/>
      <c r="M687" s="508"/>
      <c r="N687" s="508"/>
      <c r="O687" s="509"/>
      <c r="P687" s="509"/>
    </row>
    <row r="688" spans="1:16" ht="21.75" customHeight="1" x14ac:dyDescent="0.3">
      <c r="A688" s="504"/>
      <c r="B688" s="504"/>
      <c r="C688" s="504"/>
      <c r="D688" s="504"/>
      <c r="E688" s="506"/>
      <c r="F688" s="506"/>
      <c r="G688" s="506"/>
      <c r="H688" s="506"/>
      <c r="I688" s="506"/>
      <c r="J688" s="506"/>
      <c r="K688" s="507"/>
      <c r="L688" s="508"/>
      <c r="M688" s="508"/>
      <c r="N688" s="508"/>
      <c r="O688" s="509"/>
      <c r="P688" s="509"/>
    </row>
    <row r="689" spans="1:16" ht="21.75" customHeight="1" x14ac:dyDescent="0.3">
      <c r="A689" s="504"/>
      <c r="B689" s="504"/>
      <c r="C689" s="504"/>
      <c r="D689" s="504"/>
      <c r="E689" s="506"/>
      <c r="F689" s="506"/>
      <c r="G689" s="506"/>
      <c r="H689" s="506"/>
      <c r="I689" s="506"/>
      <c r="J689" s="506"/>
      <c r="K689" s="507"/>
      <c r="L689" s="508"/>
      <c r="M689" s="508"/>
      <c r="N689" s="508"/>
      <c r="O689" s="509"/>
      <c r="P689" s="509"/>
    </row>
    <row r="690" spans="1:16" ht="21.75" customHeight="1" x14ac:dyDescent="0.3">
      <c r="A690" s="504"/>
      <c r="B690" s="504"/>
      <c r="C690" s="504"/>
      <c r="D690" s="504"/>
      <c r="E690" s="506"/>
      <c r="F690" s="506"/>
      <c r="G690" s="506"/>
      <c r="H690" s="506"/>
      <c r="I690" s="506"/>
      <c r="J690" s="506"/>
      <c r="K690" s="507"/>
      <c r="L690" s="508"/>
      <c r="M690" s="508"/>
      <c r="N690" s="508"/>
      <c r="O690" s="509"/>
      <c r="P690" s="509"/>
    </row>
    <row r="691" spans="1:16" ht="21.75" customHeight="1" x14ac:dyDescent="0.3">
      <c r="A691" s="504"/>
      <c r="B691" s="504"/>
      <c r="C691" s="504"/>
      <c r="D691" s="504"/>
      <c r="E691" s="506"/>
      <c r="F691" s="506"/>
      <c r="G691" s="506"/>
      <c r="H691" s="506"/>
      <c r="I691" s="506"/>
      <c r="J691" s="506"/>
      <c r="K691" s="507"/>
      <c r="L691" s="508"/>
      <c r="M691" s="508"/>
      <c r="N691" s="508"/>
      <c r="O691" s="509"/>
      <c r="P691" s="509"/>
    </row>
    <row r="692" spans="1:16" ht="21.75" customHeight="1" x14ac:dyDescent="0.3">
      <c r="A692" s="504"/>
      <c r="B692" s="504"/>
      <c r="C692" s="504"/>
      <c r="D692" s="504"/>
      <c r="E692" s="506"/>
      <c r="F692" s="506"/>
      <c r="G692" s="506"/>
      <c r="H692" s="506"/>
      <c r="I692" s="506"/>
      <c r="J692" s="506"/>
      <c r="K692" s="507"/>
      <c r="L692" s="508"/>
      <c r="M692" s="508"/>
      <c r="N692" s="508"/>
      <c r="O692" s="509"/>
      <c r="P692" s="509"/>
    </row>
    <row r="693" spans="1:16" ht="21.75" customHeight="1" x14ac:dyDescent="0.3">
      <c r="A693" s="504"/>
      <c r="B693" s="504"/>
      <c r="C693" s="504"/>
      <c r="D693" s="504"/>
      <c r="E693" s="506"/>
      <c r="F693" s="506"/>
      <c r="G693" s="506"/>
      <c r="H693" s="506"/>
      <c r="I693" s="506"/>
      <c r="J693" s="506"/>
      <c r="K693" s="507"/>
      <c r="L693" s="508"/>
      <c r="M693" s="508"/>
      <c r="N693" s="508"/>
      <c r="O693" s="509"/>
      <c r="P693" s="509"/>
    </row>
    <row r="694" spans="1:16" ht="21.75" customHeight="1" x14ac:dyDescent="0.3">
      <c r="A694" s="504"/>
      <c r="B694" s="504"/>
      <c r="C694" s="504"/>
      <c r="D694" s="504"/>
      <c r="E694" s="506"/>
      <c r="F694" s="506"/>
      <c r="G694" s="506"/>
      <c r="H694" s="506"/>
      <c r="I694" s="506"/>
      <c r="J694" s="506"/>
      <c r="K694" s="507"/>
      <c r="L694" s="508"/>
      <c r="M694" s="508"/>
      <c r="N694" s="508"/>
      <c r="O694" s="509"/>
      <c r="P694" s="509"/>
    </row>
    <row r="695" spans="1:16" ht="21.75" customHeight="1" x14ac:dyDescent="0.3">
      <c r="A695" s="504"/>
      <c r="B695" s="504"/>
      <c r="C695" s="504"/>
      <c r="D695" s="504"/>
      <c r="E695" s="506"/>
      <c r="F695" s="506"/>
      <c r="G695" s="506"/>
      <c r="H695" s="506"/>
      <c r="I695" s="506"/>
      <c r="J695" s="506"/>
      <c r="K695" s="507"/>
      <c r="L695" s="508"/>
      <c r="M695" s="508"/>
      <c r="N695" s="508"/>
      <c r="O695" s="509"/>
      <c r="P695" s="509"/>
    </row>
    <row r="696" spans="1:16" ht="21.75" customHeight="1" x14ac:dyDescent="0.3">
      <c r="A696" s="504"/>
      <c r="B696" s="504"/>
      <c r="C696" s="504"/>
      <c r="D696" s="504"/>
      <c r="E696" s="506"/>
      <c r="F696" s="506"/>
      <c r="G696" s="506"/>
      <c r="H696" s="506"/>
      <c r="I696" s="506"/>
      <c r="J696" s="506"/>
      <c r="K696" s="507"/>
      <c r="L696" s="508"/>
      <c r="M696" s="508"/>
      <c r="N696" s="508"/>
      <c r="O696" s="509"/>
      <c r="P696" s="509"/>
    </row>
    <row r="697" spans="1:16" ht="21.75" customHeight="1" x14ac:dyDescent="0.3">
      <c r="A697" s="504"/>
      <c r="B697" s="504"/>
      <c r="C697" s="504"/>
      <c r="D697" s="504"/>
      <c r="E697" s="506"/>
      <c r="F697" s="506"/>
      <c r="G697" s="506"/>
      <c r="H697" s="506"/>
      <c r="I697" s="506"/>
      <c r="J697" s="506"/>
      <c r="K697" s="507"/>
      <c r="L697" s="508"/>
      <c r="M697" s="508"/>
      <c r="N697" s="508"/>
      <c r="O697" s="509"/>
      <c r="P697" s="509"/>
    </row>
    <row r="698" spans="1:16" ht="21.75" customHeight="1" x14ac:dyDescent="0.3">
      <c r="A698" s="504"/>
      <c r="B698" s="504"/>
      <c r="C698" s="504"/>
      <c r="D698" s="504"/>
      <c r="E698" s="506"/>
      <c r="F698" s="506"/>
      <c r="G698" s="506"/>
      <c r="H698" s="506"/>
      <c r="I698" s="506"/>
      <c r="J698" s="506"/>
      <c r="K698" s="507"/>
      <c r="L698" s="508"/>
      <c r="M698" s="508"/>
      <c r="N698" s="508"/>
      <c r="O698" s="509"/>
      <c r="P698" s="509"/>
    </row>
    <row r="699" spans="1:16" ht="21.75" customHeight="1" x14ac:dyDescent="0.3">
      <c r="A699" s="504"/>
      <c r="B699" s="504"/>
      <c r="C699" s="504"/>
      <c r="D699" s="504"/>
      <c r="E699" s="506"/>
      <c r="F699" s="506"/>
      <c r="G699" s="506"/>
      <c r="H699" s="506"/>
      <c r="I699" s="506"/>
      <c r="J699" s="506"/>
      <c r="K699" s="507"/>
      <c r="L699" s="508"/>
      <c r="M699" s="508"/>
      <c r="N699" s="508"/>
      <c r="O699" s="509"/>
      <c r="P699" s="509"/>
    </row>
    <row r="700" spans="1:16" ht="21.75" customHeight="1" x14ac:dyDescent="0.3">
      <c r="A700" s="504"/>
      <c r="B700" s="504"/>
      <c r="C700" s="504"/>
      <c r="D700" s="504"/>
      <c r="E700" s="506"/>
      <c r="F700" s="506"/>
      <c r="G700" s="506"/>
      <c r="H700" s="506"/>
      <c r="I700" s="506"/>
      <c r="J700" s="506"/>
      <c r="K700" s="507"/>
      <c r="L700" s="508"/>
      <c r="M700" s="508"/>
      <c r="N700" s="508"/>
      <c r="O700" s="509"/>
      <c r="P700" s="509"/>
    </row>
    <row r="701" spans="1:16" ht="21.75" customHeight="1" x14ac:dyDescent="0.3">
      <c r="A701" s="504"/>
      <c r="B701" s="504"/>
      <c r="C701" s="504"/>
      <c r="D701" s="504"/>
      <c r="E701" s="506"/>
      <c r="F701" s="506"/>
      <c r="G701" s="506"/>
      <c r="H701" s="506"/>
      <c r="I701" s="506"/>
      <c r="J701" s="506"/>
      <c r="K701" s="507"/>
      <c r="L701" s="508"/>
      <c r="M701" s="508"/>
      <c r="N701" s="508"/>
      <c r="O701" s="509"/>
      <c r="P701" s="509"/>
    </row>
    <row r="702" spans="1:16" ht="21.75" customHeight="1" x14ac:dyDescent="0.3">
      <c r="A702" s="504"/>
      <c r="B702" s="504"/>
      <c r="C702" s="504"/>
      <c r="D702" s="504"/>
      <c r="E702" s="506"/>
      <c r="F702" s="506"/>
      <c r="G702" s="506"/>
      <c r="H702" s="506"/>
      <c r="I702" s="506"/>
      <c r="J702" s="506"/>
      <c r="K702" s="507"/>
      <c r="L702" s="508"/>
      <c r="M702" s="508"/>
      <c r="N702" s="508"/>
      <c r="O702" s="509"/>
      <c r="P702" s="509"/>
    </row>
    <row r="703" spans="1:16" ht="21.75" customHeight="1" x14ac:dyDescent="0.3">
      <c r="A703" s="504"/>
      <c r="B703" s="504"/>
      <c r="C703" s="504"/>
      <c r="D703" s="504"/>
      <c r="E703" s="506"/>
      <c r="F703" s="506"/>
      <c r="G703" s="506"/>
      <c r="H703" s="506"/>
      <c r="I703" s="506"/>
      <c r="J703" s="506"/>
      <c r="K703" s="507"/>
      <c r="L703" s="508"/>
      <c r="M703" s="508"/>
      <c r="N703" s="508"/>
      <c r="O703" s="509"/>
      <c r="P703" s="509"/>
    </row>
    <row r="704" spans="1:16" ht="21.75" customHeight="1" x14ac:dyDescent="0.3">
      <c r="A704" s="504"/>
      <c r="B704" s="504"/>
      <c r="C704" s="504"/>
      <c r="D704" s="504"/>
      <c r="E704" s="506"/>
      <c r="F704" s="506"/>
      <c r="G704" s="506"/>
      <c r="H704" s="506"/>
      <c r="I704" s="506"/>
      <c r="J704" s="506"/>
      <c r="K704" s="507"/>
      <c r="L704" s="508"/>
      <c r="M704" s="508"/>
      <c r="N704" s="508"/>
      <c r="O704" s="509"/>
      <c r="P704" s="509"/>
    </row>
    <row r="705" spans="1:16" ht="21.75" customHeight="1" x14ac:dyDescent="0.3">
      <c r="A705" s="504"/>
      <c r="B705" s="504"/>
      <c r="C705" s="504"/>
      <c r="D705" s="504"/>
      <c r="E705" s="506"/>
      <c r="F705" s="506"/>
      <c r="G705" s="506"/>
      <c r="H705" s="506"/>
      <c r="I705" s="506"/>
      <c r="J705" s="506"/>
      <c r="K705" s="507"/>
      <c r="L705" s="508"/>
      <c r="M705" s="508"/>
      <c r="N705" s="508"/>
      <c r="O705" s="509"/>
      <c r="P705" s="509"/>
    </row>
    <row r="706" spans="1:16" ht="21.75" customHeight="1" x14ac:dyDescent="0.3">
      <c r="A706" s="504"/>
      <c r="B706" s="504"/>
      <c r="C706" s="504"/>
      <c r="D706" s="504"/>
      <c r="E706" s="506"/>
      <c r="F706" s="506"/>
      <c r="G706" s="506"/>
      <c r="H706" s="506"/>
      <c r="I706" s="506"/>
      <c r="J706" s="506"/>
      <c r="K706" s="507"/>
      <c r="L706" s="508"/>
      <c r="M706" s="508"/>
      <c r="N706" s="508"/>
      <c r="O706" s="509"/>
      <c r="P706" s="509"/>
    </row>
    <row r="707" spans="1:16" ht="21.75" customHeight="1" x14ac:dyDescent="0.3">
      <c r="A707" s="504"/>
      <c r="B707" s="504"/>
      <c r="C707" s="504"/>
      <c r="D707" s="504"/>
      <c r="E707" s="506"/>
      <c r="F707" s="506"/>
      <c r="G707" s="506"/>
      <c r="H707" s="506"/>
      <c r="I707" s="506"/>
      <c r="J707" s="506"/>
      <c r="K707" s="507"/>
      <c r="L707" s="508"/>
      <c r="M707" s="508"/>
      <c r="N707" s="508"/>
      <c r="O707" s="509"/>
      <c r="P707" s="509"/>
    </row>
    <row r="708" spans="1:16" ht="21.75" customHeight="1" x14ac:dyDescent="0.3">
      <c r="A708" s="504"/>
      <c r="B708" s="504"/>
      <c r="C708" s="504"/>
      <c r="D708" s="504"/>
      <c r="E708" s="506"/>
      <c r="F708" s="506"/>
      <c r="G708" s="506"/>
      <c r="H708" s="506"/>
      <c r="I708" s="506"/>
      <c r="J708" s="506"/>
      <c r="K708" s="507"/>
      <c r="L708" s="508"/>
      <c r="M708" s="508"/>
      <c r="N708" s="508"/>
      <c r="O708" s="509"/>
      <c r="P708" s="509"/>
    </row>
    <row r="709" spans="1:16" ht="21.75" customHeight="1" x14ac:dyDescent="0.3">
      <c r="A709" s="504"/>
      <c r="B709" s="504"/>
      <c r="C709" s="504"/>
      <c r="D709" s="504"/>
      <c r="E709" s="506"/>
      <c r="F709" s="506"/>
      <c r="G709" s="506"/>
      <c r="H709" s="506"/>
      <c r="I709" s="506"/>
      <c r="J709" s="506"/>
      <c r="K709" s="507"/>
      <c r="L709" s="508"/>
      <c r="M709" s="508"/>
      <c r="N709" s="508"/>
      <c r="O709" s="509"/>
      <c r="P709" s="509"/>
    </row>
    <row r="710" spans="1:16" ht="21.75" customHeight="1" x14ac:dyDescent="0.3">
      <c r="A710" s="504"/>
      <c r="B710" s="504"/>
      <c r="C710" s="504"/>
      <c r="D710" s="504"/>
      <c r="E710" s="506"/>
      <c r="F710" s="506"/>
      <c r="G710" s="506"/>
      <c r="H710" s="506"/>
      <c r="I710" s="506"/>
      <c r="J710" s="506"/>
      <c r="K710" s="507"/>
      <c r="L710" s="508"/>
      <c r="M710" s="508"/>
      <c r="N710" s="508"/>
      <c r="O710" s="509"/>
      <c r="P710" s="509"/>
    </row>
    <row r="711" spans="1:16" ht="21.75" customHeight="1" x14ac:dyDescent="0.3">
      <c r="A711" s="504"/>
      <c r="B711" s="504"/>
      <c r="C711" s="504"/>
      <c r="D711" s="504"/>
      <c r="E711" s="506"/>
      <c r="F711" s="506"/>
      <c r="G711" s="506"/>
      <c r="H711" s="506"/>
      <c r="I711" s="506"/>
      <c r="J711" s="506"/>
      <c r="K711" s="507"/>
      <c r="L711" s="508"/>
      <c r="M711" s="508"/>
      <c r="N711" s="508"/>
      <c r="O711" s="509"/>
      <c r="P711" s="509"/>
    </row>
    <row r="712" spans="1:16" ht="21.75" customHeight="1" x14ac:dyDescent="0.3">
      <c r="A712" s="504"/>
      <c r="B712" s="504"/>
      <c r="C712" s="504"/>
      <c r="D712" s="504"/>
      <c r="E712" s="506"/>
      <c r="F712" s="506"/>
      <c r="G712" s="506"/>
      <c r="H712" s="506"/>
      <c r="I712" s="506"/>
      <c r="J712" s="506"/>
      <c r="K712" s="507"/>
      <c r="L712" s="508"/>
      <c r="M712" s="508"/>
      <c r="N712" s="508"/>
      <c r="O712" s="509"/>
      <c r="P712" s="509"/>
    </row>
    <row r="713" spans="1:16" ht="21.75" customHeight="1" x14ac:dyDescent="0.3">
      <c r="A713" s="504"/>
      <c r="B713" s="504"/>
      <c r="C713" s="504"/>
      <c r="D713" s="504"/>
      <c r="E713" s="506"/>
      <c r="F713" s="506"/>
      <c r="G713" s="506"/>
      <c r="H713" s="506"/>
      <c r="I713" s="506"/>
      <c r="J713" s="506"/>
      <c r="K713" s="507"/>
      <c r="L713" s="508"/>
      <c r="M713" s="508"/>
      <c r="N713" s="508"/>
      <c r="O713" s="509"/>
      <c r="P713" s="509"/>
    </row>
    <row r="714" spans="1:16" ht="21.75" customHeight="1" x14ac:dyDescent="0.3">
      <c r="A714" s="504"/>
      <c r="B714" s="504"/>
      <c r="C714" s="504"/>
      <c r="D714" s="504"/>
      <c r="E714" s="506"/>
      <c r="F714" s="506"/>
      <c r="G714" s="506"/>
      <c r="H714" s="506"/>
      <c r="I714" s="506"/>
      <c r="J714" s="506"/>
      <c r="K714" s="507"/>
      <c r="L714" s="508"/>
      <c r="M714" s="508"/>
      <c r="N714" s="508"/>
      <c r="O714" s="509"/>
      <c r="P714" s="509"/>
    </row>
    <row r="715" spans="1:16" ht="21.75" customHeight="1" x14ac:dyDescent="0.3">
      <c r="A715" s="504"/>
      <c r="B715" s="504"/>
      <c r="C715" s="504"/>
      <c r="D715" s="504"/>
      <c r="E715" s="506"/>
      <c r="F715" s="506"/>
      <c r="G715" s="506"/>
      <c r="H715" s="506"/>
      <c r="I715" s="506"/>
      <c r="J715" s="506"/>
      <c r="K715" s="507"/>
      <c r="L715" s="508"/>
      <c r="M715" s="508"/>
      <c r="N715" s="508"/>
      <c r="O715" s="509"/>
      <c r="P715" s="509"/>
    </row>
    <row r="716" spans="1:16" ht="21.75" customHeight="1" x14ac:dyDescent="0.3">
      <c r="A716" s="504"/>
      <c r="B716" s="504"/>
      <c r="C716" s="504"/>
      <c r="D716" s="504"/>
      <c r="E716" s="506"/>
      <c r="F716" s="506"/>
      <c r="G716" s="506"/>
      <c r="H716" s="506"/>
      <c r="I716" s="506"/>
      <c r="J716" s="506"/>
      <c r="K716" s="507"/>
      <c r="L716" s="508"/>
      <c r="M716" s="508"/>
      <c r="N716" s="508"/>
      <c r="O716" s="509"/>
      <c r="P716" s="509"/>
    </row>
    <row r="717" spans="1:16" ht="21.75" customHeight="1" x14ac:dyDescent="0.3">
      <c r="A717" s="504"/>
      <c r="B717" s="504"/>
      <c r="C717" s="504"/>
      <c r="D717" s="504"/>
      <c r="E717" s="506"/>
      <c r="F717" s="506"/>
      <c r="G717" s="506"/>
      <c r="H717" s="506"/>
      <c r="I717" s="506"/>
      <c r="J717" s="506"/>
      <c r="K717" s="507"/>
      <c r="L717" s="508"/>
      <c r="M717" s="508"/>
      <c r="N717" s="508"/>
      <c r="O717" s="509"/>
      <c r="P717" s="509"/>
    </row>
    <row r="718" spans="1:16" ht="21.75" customHeight="1" x14ac:dyDescent="0.3">
      <c r="A718" s="504"/>
      <c r="B718" s="504"/>
      <c r="C718" s="504"/>
      <c r="D718" s="504"/>
      <c r="E718" s="506"/>
      <c r="F718" s="506"/>
      <c r="G718" s="506"/>
      <c r="H718" s="506"/>
      <c r="I718" s="506"/>
      <c r="J718" s="506"/>
      <c r="K718" s="507"/>
      <c r="L718" s="508"/>
      <c r="M718" s="508"/>
      <c r="N718" s="508"/>
      <c r="O718" s="509"/>
      <c r="P718" s="509"/>
    </row>
    <row r="719" spans="1:16" ht="21.75" customHeight="1" x14ac:dyDescent="0.3">
      <c r="A719" s="504"/>
      <c r="B719" s="504"/>
      <c r="C719" s="504"/>
      <c r="D719" s="504"/>
      <c r="E719" s="506"/>
      <c r="F719" s="506"/>
      <c r="G719" s="506"/>
      <c r="H719" s="506"/>
      <c r="I719" s="506"/>
      <c r="J719" s="506"/>
      <c r="K719" s="507"/>
      <c r="L719" s="508"/>
      <c r="M719" s="508"/>
      <c r="N719" s="508"/>
      <c r="O719" s="509"/>
      <c r="P719" s="509"/>
    </row>
    <row r="720" spans="1:16" ht="21.75" customHeight="1" x14ac:dyDescent="0.3">
      <c r="A720" s="504"/>
      <c r="B720" s="504"/>
      <c r="C720" s="504"/>
      <c r="D720" s="504"/>
      <c r="E720" s="506"/>
      <c r="F720" s="506"/>
      <c r="G720" s="506"/>
      <c r="H720" s="506"/>
      <c r="I720" s="506"/>
      <c r="J720" s="506"/>
      <c r="K720" s="507"/>
      <c r="L720" s="508"/>
      <c r="M720" s="508"/>
      <c r="N720" s="508"/>
      <c r="O720" s="509"/>
      <c r="P720" s="509"/>
    </row>
    <row r="721" spans="1:16" ht="21.75" customHeight="1" x14ac:dyDescent="0.3">
      <c r="A721" s="504"/>
      <c r="B721" s="504"/>
      <c r="C721" s="504"/>
      <c r="D721" s="504"/>
      <c r="E721" s="506"/>
      <c r="F721" s="506"/>
      <c r="G721" s="506"/>
      <c r="H721" s="506"/>
      <c r="I721" s="506"/>
      <c r="J721" s="506"/>
      <c r="K721" s="507"/>
      <c r="L721" s="508"/>
      <c r="M721" s="508"/>
      <c r="N721" s="508"/>
      <c r="O721" s="509"/>
      <c r="P721" s="509"/>
    </row>
    <row r="722" spans="1:16" ht="21.75" customHeight="1" x14ac:dyDescent="0.3">
      <c r="A722" s="504"/>
      <c r="B722" s="504"/>
      <c r="C722" s="504"/>
      <c r="D722" s="504"/>
      <c r="E722" s="506"/>
      <c r="F722" s="506"/>
      <c r="G722" s="506"/>
      <c r="H722" s="506"/>
      <c r="I722" s="506"/>
      <c r="J722" s="506"/>
      <c r="K722" s="507"/>
      <c r="L722" s="508"/>
      <c r="M722" s="508"/>
      <c r="N722" s="508"/>
      <c r="O722" s="509"/>
      <c r="P722" s="509"/>
    </row>
    <row r="723" spans="1:16" ht="21.75" customHeight="1" x14ac:dyDescent="0.3">
      <c r="A723" s="504"/>
      <c r="B723" s="504"/>
      <c r="C723" s="504"/>
      <c r="D723" s="504"/>
      <c r="E723" s="506"/>
      <c r="F723" s="506"/>
      <c r="G723" s="506"/>
      <c r="H723" s="506"/>
      <c r="I723" s="506"/>
      <c r="J723" s="506"/>
      <c r="K723" s="507"/>
      <c r="L723" s="508"/>
      <c r="M723" s="508"/>
      <c r="N723" s="508"/>
      <c r="O723" s="509"/>
      <c r="P723" s="509"/>
    </row>
    <row r="724" spans="1:16" ht="21.75" customHeight="1" x14ac:dyDescent="0.3">
      <c r="A724" s="504"/>
      <c r="B724" s="504"/>
      <c r="C724" s="504"/>
      <c r="D724" s="504"/>
      <c r="E724" s="506"/>
      <c r="F724" s="506"/>
      <c r="G724" s="506"/>
      <c r="H724" s="506"/>
      <c r="I724" s="506"/>
      <c r="J724" s="506"/>
      <c r="K724" s="507"/>
      <c r="L724" s="508"/>
      <c r="M724" s="508"/>
      <c r="N724" s="508"/>
      <c r="O724" s="509"/>
      <c r="P724" s="509"/>
    </row>
    <row r="725" spans="1:16" ht="21.75" customHeight="1" x14ac:dyDescent="0.3">
      <c r="A725" s="504"/>
      <c r="B725" s="504"/>
      <c r="C725" s="504"/>
      <c r="D725" s="504"/>
      <c r="E725" s="506"/>
      <c r="F725" s="506"/>
      <c r="G725" s="506"/>
      <c r="H725" s="506"/>
      <c r="I725" s="506"/>
      <c r="J725" s="506"/>
      <c r="K725" s="507"/>
      <c r="L725" s="508"/>
      <c r="M725" s="508"/>
      <c r="N725" s="508"/>
      <c r="O725" s="509"/>
      <c r="P725" s="509"/>
    </row>
    <row r="726" spans="1:16" ht="21.75" customHeight="1" x14ac:dyDescent="0.3">
      <c r="A726" s="504"/>
      <c r="B726" s="504"/>
      <c r="C726" s="504"/>
      <c r="D726" s="504"/>
      <c r="E726" s="506"/>
      <c r="F726" s="506"/>
      <c r="G726" s="506"/>
      <c r="H726" s="506"/>
      <c r="I726" s="506"/>
      <c r="J726" s="506"/>
      <c r="K726" s="507"/>
      <c r="L726" s="508"/>
      <c r="M726" s="508"/>
      <c r="N726" s="508"/>
      <c r="O726" s="509"/>
      <c r="P726" s="509"/>
    </row>
    <row r="727" spans="1:16" ht="21.75" customHeight="1" x14ac:dyDescent="0.3">
      <c r="A727" s="504"/>
      <c r="B727" s="504"/>
      <c r="C727" s="504"/>
      <c r="D727" s="504"/>
      <c r="E727" s="506"/>
      <c r="F727" s="506"/>
      <c r="G727" s="506"/>
      <c r="H727" s="506"/>
      <c r="I727" s="506"/>
      <c r="J727" s="506"/>
      <c r="K727" s="507"/>
      <c r="L727" s="508"/>
      <c r="M727" s="508"/>
      <c r="N727" s="508"/>
      <c r="O727" s="509"/>
      <c r="P727" s="509"/>
    </row>
    <row r="728" spans="1:16" ht="21.75" customHeight="1" x14ac:dyDescent="0.3">
      <c r="A728" s="504"/>
      <c r="B728" s="504"/>
      <c r="C728" s="504"/>
      <c r="D728" s="504"/>
      <c r="E728" s="506"/>
      <c r="F728" s="506"/>
      <c r="G728" s="506"/>
      <c r="H728" s="506"/>
      <c r="I728" s="506"/>
      <c r="J728" s="506"/>
      <c r="K728" s="507"/>
      <c r="L728" s="508"/>
      <c r="M728" s="508"/>
      <c r="N728" s="508"/>
      <c r="O728" s="509"/>
      <c r="P728" s="509"/>
    </row>
    <row r="729" spans="1:16" ht="21.75" customHeight="1" x14ac:dyDescent="0.3">
      <c r="A729" s="504"/>
      <c r="B729" s="504"/>
      <c r="C729" s="504"/>
      <c r="D729" s="504"/>
      <c r="E729" s="506"/>
      <c r="F729" s="506"/>
      <c r="G729" s="506"/>
      <c r="H729" s="506"/>
      <c r="I729" s="506"/>
      <c r="J729" s="506"/>
      <c r="K729" s="507"/>
      <c r="L729" s="508"/>
      <c r="M729" s="508"/>
      <c r="N729" s="508"/>
      <c r="O729" s="509"/>
      <c r="P729" s="509"/>
    </row>
    <row r="730" spans="1:16" ht="21.75" customHeight="1" x14ac:dyDescent="0.3">
      <c r="A730" s="504"/>
      <c r="B730" s="504"/>
      <c r="C730" s="504"/>
      <c r="D730" s="504"/>
      <c r="E730" s="506"/>
      <c r="F730" s="506"/>
      <c r="G730" s="506"/>
      <c r="H730" s="506"/>
      <c r="I730" s="506"/>
      <c r="J730" s="506"/>
      <c r="K730" s="507"/>
      <c r="L730" s="508"/>
      <c r="M730" s="508"/>
      <c r="N730" s="508"/>
      <c r="O730" s="509"/>
      <c r="P730" s="509"/>
    </row>
    <row r="731" spans="1:16" ht="21.75" customHeight="1" x14ac:dyDescent="0.3">
      <c r="A731" s="504"/>
      <c r="B731" s="504"/>
      <c r="C731" s="504"/>
      <c r="D731" s="504"/>
      <c r="E731" s="506"/>
      <c r="F731" s="506"/>
      <c r="G731" s="506"/>
      <c r="H731" s="506"/>
      <c r="I731" s="506"/>
      <c r="J731" s="506"/>
      <c r="K731" s="507"/>
      <c r="L731" s="508"/>
      <c r="M731" s="508"/>
      <c r="N731" s="508"/>
      <c r="O731" s="509"/>
      <c r="P731" s="509"/>
    </row>
    <row r="732" spans="1:16" ht="21.75" customHeight="1" x14ac:dyDescent="0.3">
      <c r="A732" s="504"/>
      <c r="B732" s="504"/>
      <c r="C732" s="504"/>
      <c r="D732" s="504"/>
      <c r="E732" s="506"/>
      <c r="F732" s="506"/>
      <c r="G732" s="506"/>
      <c r="H732" s="506"/>
      <c r="I732" s="506"/>
      <c r="J732" s="506"/>
      <c r="K732" s="507"/>
      <c r="L732" s="508"/>
      <c r="M732" s="508"/>
      <c r="N732" s="508"/>
      <c r="O732" s="509"/>
      <c r="P732" s="509"/>
    </row>
    <row r="733" spans="1:16" ht="21.75" customHeight="1" x14ac:dyDescent="0.3">
      <c r="A733" s="504"/>
      <c r="B733" s="504"/>
      <c r="C733" s="504"/>
      <c r="D733" s="504"/>
      <c r="E733" s="506"/>
      <c r="F733" s="506"/>
      <c r="G733" s="506"/>
      <c r="H733" s="506"/>
      <c r="I733" s="506"/>
      <c r="J733" s="506"/>
      <c r="K733" s="507"/>
      <c r="L733" s="508"/>
      <c r="M733" s="508"/>
      <c r="N733" s="508"/>
      <c r="O733" s="509"/>
      <c r="P733" s="509"/>
    </row>
    <row r="734" spans="1:16" ht="21.75" customHeight="1" x14ac:dyDescent="0.3">
      <c r="A734" s="504"/>
      <c r="B734" s="504"/>
      <c r="C734" s="504"/>
      <c r="D734" s="504"/>
      <c r="E734" s="506"/>
      <c r="F734" s="506"/>
      <c r="G734" s="506"/>
      <c r="H734" s="506"/>
      <c r="I734" s="506"/>
      <c r="J734" s="506"/>
      <c r="K734" s="507"/>
      <c r="L734" s="508"/>
      <c r="M734" s="508"/>
      <c r="N734" s="508"/>
      <c r="O734" s="509"/>
      <c r="P734" s="509"/>
    </row>
    <row r="735" spans="1:16" ht="21.75" customHeight="1" x14ac:dyDescent="0.3">
      <c r="A735" s="504"/>
      <c r="B735" s="504"/>
      <c r="C735" s="504"/>
      <c r="D735" s="504"/>
      <c r="E735" s="506"/>
      <c r="F735" s="506"/>
      <c r="G735" s="506"/>
      <c r="H735" s="506"/>
      <c r="I735" s="506"/>
      <c r="J735" s="506"/>
      <c r="K735" s="507"/>
      <c r="L735" s="508"/>
      <c r="M735" s="508"/>
      <c r="N735" s="508"/>
      <c r="O735" s="509"/>
      <c r="P735" s="509"/>
    </row>
    <row r="736" spans="1:16" ht="21.75" customHeight="1" x14ac:dyDescent="0.3">
      <c r="A736" s="504"/>
      <c r="B736" s="504"/>
      <c r="C736" s="504"/>
      <c r="D736" s="504"/>
      <c r="E736" s="506"/>
      <c r="F736" s="506"/>
      <c r="G736" s="506"/>
      <c r="H736" s="506"/>
      <c r="I736" s="506"/>
      <c r="J736" s="506"/>
      <c r="K736" s="507"/>
      <c r="L736" s="508"/>
      <c r="M736" s="508"/>
      <c r="N736" s="508"/>
      <c r="O736" s="509"/>
      <c r="P736" s="509"/>
    </row>
    <row r="737" spans="1:16" ht="21.75" customHeight="1" x14ac:dyDescent="0.3">
      <c r="A737" s="504"/>
      <c r="B737" s="504"/>
      <c r="C737" s="504"/>
      <c r="D737" s="504"/>
      <c r="E737" s="506"/>
      <c r="F737" s="506"/>
      <c r="G737" s="506"/>
      <c r="H737" s="506"/>
      <c r="I737" s="506"/>
      <c r="J737" s="506"/>
      <c r="K737" s="507"/>
      <c r="L737" s="508"/>
      <c r="M737" s="508"/>
      <c r="N737" s="508"/>
      <c r="O737" s="509"/>
      <c r="P737" s="509"/>
    </row>
    <row r="738" spans="1:16" ht="21.75" customHeight="1" x14ac:dyDescent="0.3">
      <c r="A738" s="504"/>
      <c r="B738" s="504"/>
      <c r="C738" s="504"/>
      <c r="D738" s="504"/>
      <c r="E738" s="506"/>
      <c r="F738" s="506"/>
      <c r="G738" s="506"/>
      <c r="H738" s="506"/>
      <c r="I738" s="506"/>
      <c r="J738" s="506"/>
      <c r="K738" s="507"/>
      <c r="L738" s="508"/>
      <c r="M738" s="508"/>
      <c r="N738" s="508"/>
      <c r="O738" s="509"/>
      <c r="P738" s="509"/>
    </row>
    <row r="739" spans="1:16" ht="21.75" customHeight="1" x14ac:dyDescent="0.3">
      <c r="A739" s="504"/>
      <c r="B739" s="504"/>
      <c r="C739" s="504"/>
      <c r="D739" s="504"/>
      <c r="E739" s="506"/>
      <c r="F739" s="506"/>
      <c r="G739" s="506"/>
      <c r="H739" s="506"/>
      <c r="I739" s="506"/>
      <c r="J739" s="506"/>
      <c r="K739" s="507"/>
      <c r="L739" s="508"/>
      <c r="M739" s="508"/>
      <c r="N739" s="508"/>
      <c r="O739" s="509"/>
      <c r="P739" s="509"/>
    </row>
    <row r="740" spans="1:16" ht="21.75" customHeight="1" x14ac:dyDescent="0.3">
      <c r="A740" s="504"/>
      <c r="B740" s="504"/>
      <c r="C740" s="504"/>
      <c r="D740" s="504"/>
      <c r="E740" s="506"/>
      <c r="F740" s="506"/>
      <c r="G740" s="506"/>
      <c r="H740" s="506"/>
      <c r="I740" s="506"/>
      <c r="J740" s="506"/>
      <c r="K740" s="507"/>
      <c r="L740" s="508"/>
      <c r="M740" s="508"/>
      <c r="N740" s="508"/>
      <c r="O740" s="509"/>
      <c r="P740" s="509"/>
    </row>
    <row r="741" spans="1:16" ht="21.75" customHeight="1" x14ac:dyDescent="0.3">
      <c r="A741" s="504"/>
      <c r="B741" s="504"/>
      <c r="C741" s="504"/>
      <c r="D741" s="504"/>
      <c r="E741" s="506"/>
      <c r="F741" s="506"/>
      <c r="G741" s="506"/>
      <c r="H741" s="506"/>
      <c r="I741" s="506"/>
      <c r="J741" s="506"/>
      <c r="K741" s="507"/>
      <c r="L741" s="508"/>
      <c r="M741" s="508"/>
      <c r="N741" s="508"/>
      <c r="O741" s="509"/>
      <c r="P741" s="509"/>
    </row>
    <row r="742" spans="1:16" ht="21.75" customHeight="1" x14ac:dyDescent="0.3">
      <c r="A742" s="504"/>
      <c r="B742" s="504"/>
      <c r="C742" s="504"/>
      <c r="D742" s="504"/>
      <c r="E742" s="506"/>
      <c r="F742" s="506"/>
      <c r="G742" s="506"/>
      <c r="H742" s="506"/>
      <c r="I742" s="506"/>
      <c r="J742" s="506"/>
      <c r="K742" s="507"/>
      <c r="L742" s="508"/>
      <c r="M742" s="508"/>
      <c r="N742" s="508"/>
      <c r="O742" s="509"/>
      <c r="P742" s="509"/>
    </row>
    <row r="743" spans="1:16" ht="21.75" customHeight="1" x14ac:dyDescent="0.3">
      <c r="A743" s="504"/>
      <c r="B743" s="504"/>
      <c r="C743" s="504"/>
      <c r="D743" s="504"/>
      <c r="E743" s="506"/>
      <c r="F743" s="506"/>
      <c r="G743" s="506"/>
      <c r="H743" s="506"/>
      <c r="I743" s="506"/>
      <c r="J743" s="506"/>
      <c r="K743" s="507"/>
      <c r="L743" s="508"/>
      <c r="M743" s="508"/>
      <c r="N743" s="508"/>
      <c r="O743" s="509"/>
      <c r="P743" s="509"/>
    </row>
    <row r="744" spans="1:16" ht="21.75" customHeight="1" x14ac:dyDescent="0.3">
      <c r="A744" s="504"/>
      <c r="B744" s="504"/>
      <c r="C744" s="504"/>
      <c r="D744" s="504"/>
      <c r="E744" s="506"/>
      <c r="F744" s="506"/>
      <c r="G744" s="506"/>
      <c r="H744" s="506"/>
      <c r="I744" s="506"/>
      <c r="J744" s="506"/>
      <c r="K744" s="507"/>
      <c r="L744" s="508"/>
      <c r="M744" s="508"/>
      <c r="N744" s="508"/>
      <c r="O744" s="509"/>
      <c r="P744" s="509"/>
    </row>
    <row r="745" spans="1:16" ht="21.75" customHeight="1" x14ac:dyDescent="0.3">
      <c r="A745" s="504"/>
      <c r="B745" s="504"/>
      <c r="C745" s="504"/>
      <c r="D745" s="504"/>
      <c r="E745" s="506"/>
      <c r="F745" s="506"/>
      <c r="G745" s="506"/>
      <c r="H745" s="506"/>
      <c r="I745" s="506"/>
      <c r="J745" s="506"/>
      <c r="K745" s="507"/>
      <c r="L745" s="508"/>
      <c r="M745" s="508"/>
      <c r="N745" s="508"/>
      <c r="O745" s="509"/>
      <c r="P745" s="509"/>
    </row>
    <row r="746" spans="1:16" ht="21.75" customHeight="1" x14ac:dyDescent="0.3">
      <c r="A746" s="504"/>
      <c r="B746" s="504"/>
      <c r="C746" s="504"/>
      <c r="D746" s="504"/>
      <c r="E746" s="506"/>
      <c r="F746" s="506"/>
      <c r="G746" s="506"/>
      <c r="H746" s="506"/>
      <c r="I746" s="506"/>
      <c r="J746" s="506"/>
      <c r="K746" s="507"/>
      <c r="L746" s="508"/>
      <c r="M746" s="508"/>
      <c r="N746" s="508"/>
      <c r="O746" s="509"/>
      <c r="P746" s="509"/>
    </row>
    <row r="747" spans="1:16" ht="21.75" customHeight="1" x14ac:dyDescent="0.3">
      <c r="A747" s="504"/>
      <c r="B747" s="504"/>
      <c r="C747" s="504"/>
      <c r="D747" s="504"/>
      <c r="E747" s="506"/>
      <c r="F747" s="506"/>
      <c r="G747" s="506"/>
      <c r="H747" s="506"/>
      <c r="I747" s="506"/>
      <c r="J747" s="506"/>
      <c r="K747" s="507"/>
      <c r="L747" s="508"/>
      <c r="M747" s="508"/>
      <c r="N747" s="508"/>
      <c r="O747" s="509"/>
      <c r="P747" s="509"/>
    </row>
    <row r="748" spans="1:16" ht="21.75" customHeight="1" x14ac:dyDescent="0.3">
      <c r="A748" s="504"/>
      <c r="B748" s="504"/>
      <c r="C748" s="504"/>
      <c r="D748" s="504"/>
      <c r="E748" s="506"/>
      <c r="F748" s="506"/>
      <c r="G748" s="506"/>
      <c r="H748" s="506"/>
      <c r="I748" s="506"/>
      <c r="J748" s="506"/>
      <c r="K748" s="507"/>
      <c r="L748" s="508"/>
      <c r="M748" s="508"/>
      <c r="N748" s="508"/>
      <c r="O748" s="509"/>
      <c r="P748" s="509"/>
    </row>
    <row r="749" spans="1:16" ht="21.75" customHeight="1" x14ac:dyDescent="0.3">
      <c r="A749" s="504"/>
      <c r="B749" s="504"/>
      <c r="C749" s="504"/>
      <c r="D749" s="504"/>
      <c r="E749" s="506"/>
      <c r="F749" s="506"/>
      <c r="G749" s="506"/>
      <c r="H749" s="506"/>
      <c r="I749" s="506"/>
      <c r="J749" s="506"/>
      <c r="K749" s="507"/>
      <c r="L749" s="508"/>
      <c r="M749" s="508"/>
      <c r="N749" s="508"/>
      <c r="O749" s="509"/>
      <c r="P749" s="509"/>
    </row>
    <row r="750" spans="1:16" ht="21.75" customHeight="1" x14ac:dyDescent="0.3">
      <c r="A750" s="504"/>
      <c r="B750" s="504"/>
      <c r="C750" s="504"/>
      <c r="D750" s="504"/>
      <c r="E750" s="506"/>
      <c r="F750" s="506"/>
      <c r="G750" s="506"/>
      <c r="H750" s="506"/>
      <c r="I750" s="506"/>
      <c r="J750" s="506"/>
      <c r="K750" s="507"/>
      <c r="L750" s="508"/>
      <c r="M750" s="508"/>
      <c r="N750" s="508"/>
      <c r="O750" s="509"/>
      <c r="P750" s="509"/>
    </row>
    <row r="751" spans="1:16" ht="21.75" customHeight="1" x14ac:dyDescent="0.3">
      <c r="A751" s="504"/>
      <c r="B751" s="504"/>
      <c r="C751" s="504"/>
      <c r="D751" s="504"/>
      <c r="E751" s="506"/>
      <c r="F751" s="506"/>
      <c r="G751" s="506"/>
      <c r="H751" s="506"/>
      <c r="I751" s="506"/>
      <c r="J751" s="506"/>
      <c r="K751" s="507"/>
      <c r="L751" s="508"/>
      <c r="M751" s="508"/>
      <c r="N751" s="508"/>
      <c r="O751" s="509"/>
      <c r="P751" s="509"/>
    </row>
    <row r="752" spans="1:16" ht="21.75" customHeight="1" x14ac:dyDescent="0.3">
      <c r="A752" s="504"/>
      <c r="B752" s="504"/>
      <c r="C752" s="504"/>
      <c r="D752" s="504"/>
      <c r="E752" s="506"/>
      <c r="F752" s="506"/>
      <c r="G752" s="506"/>
      <c r="H752" s="506"/>
      <c r="I752" s="506"/>
      <c r="J752" s="506"/>
      <c r="K752" s="507"/>
      <c r="L752" s="508"/>
      <c r="M752" s="508"/>
      <c r="N752" s="508"/>
      <c r="O752" s="509"/>
      <c r="P752" s="509"/>
    </row>
    <row r="753" spans="1:16" ht="21.75" customHeight="1" x14ac:dyDescent="0.3">
      <c r="A753" s="504"/>
      <c r="B753" s="504"/>
      <c r="C753" s="504"/>
      <c r="D753" s="504"/>
      <c r="E753" s="506"/>
      <c r="F753" s="506"/>
      <c r="G753" s="506"/>
      <c r="H753" s="506"/>
      <c r="I753" s="506"/>
      <c r="J753" s="506"/>
      <c r="K753" s="507"/>
      <c r="L753" s="508"/>
      <c r="M753" s="508"/>
      <c r="N753" s="508"/>
      <c r="O753" s="509"/>
      <c r="P753" s="509"/>
    </row>
    <row r="754" spans="1:16" ht="21.75" customHeight="1" x14ac:dyDescent="0.3">
      <c r="A754" s="504"/>
      <c r="B754" s="504"/>
      <c r="C754" s="504"/>
      <c r="D754" s="504"/>
      <c r="E754" s="506"/>
      <c r="F754" s="506"/>
      <c r="G754" s="506"/>
      <c r="H754" s="506"/>
      <c r="I754" s="506"/>
      <c r="J754" s="506"/>
      <c r="K754" s="507"/>
      <c r="L754" s="508"/>
      <c r="M754" s="508"/>
      <c r="N754" s="508"/>
      <c r="O754" s="509"/>
      <c r="P754" s="509"/>
    </row>
    <row r="755" spans="1:16" ht="21.75" customHeight="1" x14ac:dyDescent="0.3">
      <c r="A755" s="504"/>
      <c r="B755" s="504"/>
      <c r="C755" s="504"/>
      <c r="D755" s="504"/>
      <c r="E755" s="506"/>
      <c r="F755" s="506"/>
      <c r="G755" s="506"/>
      <c r="H755" s="506"/>
      <c r="I755" s="506"/>
      <c r="J755" s="506"/>
      <c r="K755" s="507"/>
      <c r="L755" s="508"/>
      <c r="M755" s="508"/>
      <c r="N755" s="508"/>
      <c r="O755" s="509"/>
      <c r="P755" s="509"/>
    </row>
    <row r="756" spans="1:16" ht="21.75" customHeight="1" x14ac:dyDescent="0.3">
      <c r="A756" s="504"/>
      <c r="B756" s="504"/>
      <c r="C756" s="504"/>
      <c r="D756" s="504"/>
      <c r="E756" s="506"/>
      <c r="F756" s="506"/>
      <c r="G756" s="506"/>
      <c r="H756" s="506"/>
      <c r="I756" s="506"/>
      <c r="J756" s="506"/>
      <c r="K756" s="507"/>
      <c r="L756" s="508"/>
      <c r="M756" s="508"/>
      <c r="N756" s="508"/>
      <c r="O756" s="509"/>
      <c r="P756" s="509"/>
    </row>
    <row r="757" spans="1:16" ht="21.75" customHeight="1" x14ac:dyDescent="0.3">
      <c r="A757" s="504"/>
      <c r="B757" s="504"/>
      <c r="C757" s="504"/>
      <c r="D757" s="504"/>
      <c r="E757" s="506"/>
      <c r="F757" s="506"/>
      <c r="G757" s="506"/>
      <c r="H757" s="506"/>
      <c r="I757" s="506"/>
      <c r="J757" s="506"/>
      <c r="K757" s="507"/>
      <c r="L757" s="508"/>
      <c r="M757" s="508"/>
      <c r="N757" s="508"/>
      <c r="O757" s="509"/>
      <c r="P757" s="509"/>
    </row>
    <row r="758" spans="1:16" ht="21.75" customHeight="1" x14ac:dyDescent="0.3">
      <c r="A758" s="504"/>
      <c r="B758" s="504"/>
      <c r="C758" s="504"/>
      <c r="D758" s="504"/>
      <c r="E758" s="506"/>
      <c r="F758" s="506"/>
      <c r="G758" s="506"/>
      <c r="H758" s="506"/>
      <c r="I758" s="506"/>
      <c r="J758" s="506"/>
      <c r="K758" s="507"/>
      <c r="L758" s="508"/>
      <c r="M758" s="508"/>
      <c r="N758" s="508"/>
      <c r="O758" s="509"/>
      <c r="P758" s="509"/>
    </row>
    <row r="759" spans="1:16" ht="21.75" customHeight="1" x14ac:dyDescent="0.3">
      <c r="A759" s="504"/>
      <c r="B759" s="504"/>
      <c r="C759" s="504"/>
      <c r="D759" s="504"/>
      <c r="E759" s="506"/>
      <c r="F759" s="506"/>
      <c r="G759" s="506"/>
      <c r="H759" s="506"/>
      <c r="I759" s="506"/>
      <c r="J759" s="506"/>
      <c r="K759" s="507"/>
      <c r="L759" s="508"/>
      <c r="M759" s="508"/>
      <c r="N759" s="508"/>
      <c r="O759" s="509"/>
      <c r="P759" s="509"/>
    </row>
    <row r="760" spans="1:16" ht="21.75" customHeight="1" x14ac:dyDescent="0.3">
      <c r="A760" s="504"/>
      <c r="B760" s="504"/>
      <c r="C760" s="504"/>
      <c r="D760" s="504"/>
      <c r="E760" s="506"/>
      <c r="F760" s="506"/>
      <c r="G760" s="506"/>
      <c r="H760" s="506"/>
      <c r="I760" s="506"/>
      <c r="J760" s="506"/>
      <c r="K760" s="507"/>
      <c r="L760" s="508"/>
      <c r="M760" s="508"/>
      <c r="N760" s="508"/>
      <c r="O760" s="509"/>
      <c r="P760" s="509"/>
    </row>
    <row r="761" spans="1:16" ht="21.75" customHeight="1" x14ac:dyDescent="0.3">
      <c r="A761" s="504"/>
      <c r="B761" s="504"/>
      <c r="C761" s="504"/>
      <c r="D761" s="504"/>
      <c r="E761" s="506"/>
      <c r="F761" s="506"/>
      <c r="G761" s="506"/>
      <c r="H761" s="506"/>
      <c r="I761" s="506"/>
      <c r="J761" s="506"/>
      <c r="K761" s="507"/>
      <c r="L761" s="508"/>
      <c r="M761" s="508"/>
      <c r="N761" s="508"/>
      <c r="O761" s="509"/>
      <c r="P761" s="509"/>
    </row>
    <row r="762" spans="1:16" ht="21.75" customHeight="1" x14ac:dyDescent="0.3">
      <c r="A762" s="504"/>
      <c r="B762" s="504"/>
      <c r="C762" s="504"/>
      <c r="D762" s="504"/>
      <c r="E762" s="506"/>
      <c r="F762" s="506"/>
      <c r="G762" s="506"/>
      <c r="H762" s="506"/>
      <c r="I762" s="506"/>
      <c r="J762" s="506"/>
      <c r="K762" s="507"/>
      <c r="L762" s="508"/>
      <c r="M762" s="508"/>
      <c r="N762" s="508"/>
      <c r="O762" s="509"/>
      <c r="P762" s="509"/>
    </row>
    <row r="763" spans="1:16" ht="21.75" customHeight="1" x14ac:dyDescent="0.3">
      <c r="A763" s="504"/>
      <c r="B763" s="504"/>
      <c r="C763" s="504"/>
      <c r="D763" s="504"/>
      <c r="E763" s="506"/>
      <c r="F763" s="506"/>
      <c r="G763" s="506"/>
      <c r="H763" s="506"/>
      <c r="I763" s="506"/>
      <c r="J763" s="506"/>
      <c r="K763" s="507"/>
      <c r="L763" s="508"/>
      <c r="M763" s="508"/>
      <c r="N763" s="508"/>
      <c r="O763" s="509"/>
      <c r="P763" s="509"/>
    </row>
    <row r="764" spans="1:16" ht="21.75" customHeight="1" x14ac:dyDescent="0.3">
      <c r="A764" s="504"/>
      <c r="B764" s="504"/>
      <c r="C764" s="504"/>
      <c r="D764" s="504"/>
      <c r="E764" s="506"/>
      <c r="F764" s="506"/>
      <c r="G764" s="506"/>
      <c r="H764" s="506"/>
      <c r="I764" s="506"/>
      <c r="J764" s="506"/>
      <c r="K764" s="507"/>
      <c r="L764" s="508"/>
      <c r="M764" s="508"/>
      <c r="N764" s="508"/>
      <c r="O764" s="509"/>
      <c r="P764" s="509"/>
    </row>
    <row r="765" spans="1:16" ht="21.75" customHeight="1" x14ac:dyDescent="0.3">
      <c r="A765" s="504"/>
      <c r="B765" s="504"/>
      <c r="C765" s="504"/>
      <c r="D765" s="504"/>
      <c r="E765" s="506"/>
      <c r="F765" s="506"/>
      <c r="G765" s="506"/>
      <c r="H765" s="506"/>
      <c r="I765" s="506"/>
      <c r="J765" s="506"/>
      <c r="K765" s="507"/>
      <c r="L765" s="508"/>
      <c r="M765" s="508"/>
      <c r="N765" s="508"/>
      <c r="O765" s="509"/>
      <c r="P765" s="509"/>
    </row>
    <row r="766" spans="1:16" ht="21.75" customHeight="1" x14ac:dyDescent="0.3">
      <c r="A766" s="504"/>
      <c r="B766" s="504"/>
      <c r="C766" s="504"/>
      <c r="D766" s="504"/>
      <c r="E766" s="506"/>
      <c r="F766" s="506"/>
      <c r="G766" s="506"/>
      <c r="H766" s="506"/>
      <c r="I766" s="506"/>
      <c r="J766" s="506"/>
      <c r="K766" s="507"/>
      <c r="L766" s="508"/>
      <c r="M766" s="508"/>
      <c r="N766" s="508"/>
      <c r="O766" s="509"/>
      <c r="P766" s="509"/>
    </row>
    <row r="767" spans="1:16" ht="21.75" customHeight="1" x14ac:dyDescent="0.3">
      <c r="A767" s="504"/>
      <c r="B767" s="504"/>
      <c r="C767" s="504"/>
      <c r="D767" s="504"/>
      <c r="E767" s="506"/>
      <c r="F767" s="506"/>
      <c r="G767" s="506"/>
      <c r="H767" s="506"/>
      <c r="I767" s="506"/>
      <c r="J767" s="506"/>
      <c r="K767" s="507"/>
      <c r="L767" s="508"/>
      <c r="M767" s="508"/>
      <c r="N767" s="508"/>
      <c r="O767" s="509"/>
      <c r="P767" s="509"/>
    </row>
    <row r="768" spans="1:16" ht="21.75" customHeight="1" x14ac:dyDescent="0.3">
      <c r="A768" s="504"/>
      <c r="B768" s="504"/>
      <c r="C768" s="504"/>
      <c r="D768" s="504"/>
      <c r="E768" s="506"/>
      <c r="F768" s="506"/>
      <c r="G768" s="506"/>
      <c r="H768" s="506"/>
      <c r="I768" s="506"/>
      <c r="J768" s="506"/>
      <c r="K768" s="507"/>
      <c r="L768" s="508"/>
      <c r="M768" s="508"/>
      <c r="N768" s="508"/>
      <c r="O768" s="509"/>
      <c r="P768" s="509"/>
    </row>
    <row r="769" spans="1:16" ht="21.75" customHeight="1" x14ac:dyDescent="0.3">
      <c r="A769" s="504"/>
      <c r="B769" s="504"/>
      <c r="C769" s="504"/>
      <c r="D769" s="504"/>
      <c r="E769" s="506"/>
      <c r="F769" s="506"/>
      <c r="G769" s="506"/>
      <c r="H769" s="506"/>
      <c r="I769" s="506"/>
      <c r="J769" s="506"/>
      <c r="K769" s="507"/>
      <c r="L769" s="508"/>
      <c r="M769" s="508"/>
      <c r="N769" s="508"/>
      <c r="O769" s="509"/>
      <c r="P769" s="509"/>
    </row>
    <row r="770" spans="1:16" ht="21.75" customHeight="1" x14ac:dyDescent="0.3">
      <c r="A770" s="504"/>
      <c r="B770" s="504"/>
      <c r="C770" s="504"/>
      <c r="D770" s="504"/>
      <c r="E770" s="506"/>
      <c r="F770" s="506"/>
      <c r="G770" s="506"/>
      <c r="H770" s="506"/>
      <c r="I770" s="506"/>
      <c r="J770" s="506"/>
      <c r="K770" s="507"/>
      <c r="L770" s="508"/>
      <c r="M770" s="508"/>
      <c r="N770" s="508"/>
      <c r="O770" s="509"/>
      <c r="P770" s="509"/>
    </row>
    <row r="771" spans="1:16" ht="21.75" customHeight="1" x14ac:dyDescent="0.3">
      <c r="A771" s="504"/>
      <c r="B771" s="504"/>
      <c r="C771" s="504"/>
      <c r="D771" s="504"/>
      <c r="E771" s="506"/>
      <c r="F771" s="506"/>
      <c r="G771" s="506"/>
      <c r="H771" s="506"/>
      <c r="I771" s="506"/>
      <c r="J771" s="506"/>
      <c r="K771" s="507"/>
      <c r="L771" s="508"/>
      <c r="M771" s="508"/>
      <c r="N771" s="508"/>
      <c r="O771" s="509"/>
      <c r="P771" s="509"/>
    </row>
    <row r="772" spans="1:16" ht="21.75" customHeight="1" x14ac:dyDescent="0.3">
      <c r="A772" s="504"/>
      <c r="B772" s="504"/>
      <c r="C772" s="504"/>
      <c r="D772" s="504"/>
      <c r="E772" s="506"/>
      <c r="F772" s="506"/>
      <c r="G772" s="506"/>
      <c r="H772" s="506"/>
      <c r="I772" s="506"/>
      <c r="J772" s="506"/>
      <c r="K772" s="507"/>
      <c r="L772" s="508"/>
      <c r="M772" s="508"/>
      <c r="N772" s="508"/>
      <c r="O772" s="509"/>
      <c r="P772" s="509"/>
    </row>
    <row r="773" spans="1:16" ht="21.75" customHeight="1" x14ac:dyDescent="0.3">
      <c r="A773" s="504"/>
      <c r="B773" s="504"/>
      <c r="C773" s="504"/>
      <c r="D773" s="504"/>
      <c r="E773" s="506"/>
      <c r="F773" s="506"/>
      <c r="G773" s="506"/>
      <c r="H773" s="506"/>
      <c r="I773" s="506"/>
      <c r="J773" s="506"/>
      <c r="K773" s="507"/>
      <c r="L773" s="508"/>
      <c r="M773" s="508"/>
      <c r="N773" s="508"/>
      <c r="O773" s="509"/>
      <c r="P773" s="509"/>
    </row>
    <row r="774" spans="1:16" ht="21.75" customHeight="1" x14ac:dyDescent="0.3">
      <c r="A774" s="504"/>
      <c r="B774" s="504"/>
      <c r="C774" s="504"/>
      <c r="D774" s="504"/>
      <c r="E774" s="506"/>
      <c r="F774" s="506"/>
      <c r="G774" s="506"/>
      <c r="H774" s="506"/>
      <c r="I774" s="506"/>
      <c r="J774" s="506"/>
      <c r="K774" s="507"/>
      <c r="L774" s="508"/>
      <c r="M774" s="508"/>
      <c r="N774" s="508"/>
      <c r="O774" s="509"/>
      <c r="P774" s="509"/>
    </row>
    <row r="775" spans="1:16" ht="21.75" customHeight="1" x14ac:dyDescent="0.3">
      <c r="A775" s="504"/>
      <c r="B775" s="504"/>
      <c r="C775" s="504"/>
      <c r="D775" s="504"/>
      <c r="E775" s="506"/>
      <c r="F775" s="506"/>
      <c r="G775" s="506"/>
      <c r="H775" s="506"/>
      <c r="I775" s="506"/>
      <c r="J775" s="506"/>
      <c r="K775" s="507"/>
      <c r="L775" s="508"/>
      <c r="M775" s="508"/>
      <c r="N775" s="508"/>
      <c r="O775" s="509"/>
      <c r="P775" s="509"/>
    </row>
    <row r="776" spans="1:16" ht="21.75" customHeight="1" x14ac:dyDescent="0.3">
      <c r="A776" s="504"/>
      <c r="B776" s="504"/>
      <c r="C776" s="504"/>
      <c r="D776" s="504"/>
      <c r="E776" s="506"/>
      <c r="F776" s="506"/>
      <c r="G776" s="506"/>
      <c r="H776" s="506"/>
      <c r="I776" s="506"/>
      <c r="J776" s="506"/>
      <c r="K776" s="507"/>
      <c r="L776" s="508"/>
      <c r="M776" s="508"/>
      <c r="N776" s="508"/>
      <c r="O776" s="509"/>
      <c r="P776" s="509"/>
    </row>
    <row r="777" spans="1:16" ht="21.75" customHeight="1" x14ac:dyDescent="0.3">
      <c r="A777" s="504"/>
      <c r="B777" s="504"/>
      <c r="C777" s="504"/>
      <c r="D777" s="504"/>
      <c r="E777" s="506"/>
      <c r="F777" s="506"/>
      <c r="G777" s="506"/>
      <c r="H777" s="506"/>
      <c r="I777" s="506"/>
      <c r="J777" s="506"/>
      <c r="K777" s="507"/>
      <c r="L777" s="508"/>
      <c r="M777" s="508"/>
      <c r="N777" s="508"/>
      <c r="O777" s="509"/>
      <c r="P777" s="509"/>
    </row>
    <row r="778" spans="1:16" ht="21.75" customHeight="1" x14ac:dyDescent="0.3">
      <c r="A778" s="504"/>
      <c r="B778" s="504"/>
      <c r="C778" s="504"/>
      <c r="D778" s="504"/>
      <c r="E778" s="506"/>
      <c r="F778" s="506"/>
      <c r="G778" s="506"/>
      <c r="H778" s="506"/>
      <c r="I778" s="506"/>
      <c r="J778" s="506"/>
      <c r="K778" s="507"/>
      <c r="L778" s="508"/>
      <c r="M778" s="508"/>
      <c r="N778" s="508"/>
      <c r="O778" s="509"/>
      <c r="P778" s="509"/>
    </row>
    <row r="779" spans="1:16" ht="21.75" customHeight="1" x14ac:dyDescent="0.3">
      <c r="A779" s="504"/>
      <c r="B779" s="504"/>
      <c r="C779" s="504"/>
      <c r="D779" s="504"/>
      <c r="E779" s="506"/>
      <c r="F779" s="506"/>
      <c r="G779" s="506"/>
      <c r="H779" s="506"/>
      <c r="I779" s="506"/>
      <c r="J779" s="506"/>
      <c r="K779" s="507"/>
      <c r="L779" s="508"/>
      <c r="M779" s="508"/>
      <c r="N779" s="508"/>
      <c r="O779" s="509"/>
      <c r="P779" s="509"/>
    </row>
    <row r="780" spans="1:16" ht="21.75" customHeight="1" x14ac:dyDescent="0.3">
      <c r="A780" s="504"/>
      <c r="B780" s="504"/>
      <c r="C780" s="504"/>
      <c r="D780" s="504"/>
      <c r="E780" s="506"/>
      <c r="F780" s="506"/>
      <c r="G780" s="506"/>
      <c r="H780" s="506"/>
      <c r="I780" s="506"/>
      <c r="J780" s="506"/>
      <c r="K780" s="507"/>
      <c r="L780" s="508"/>
      <c r="M780" s="508"/>
      <c r="N780" s="508"/>
      <c r="O780" s="509"/>
      <c r="P780" s="509"/>
    </row>
    <row r="781" spans="1:16" ht="21.75" customHeight="1" x14ac:dyDescent="0.3">
      <c r="A781" s="504"/>
      <c r="B781" s="504"/>
      <c r="C781" s="504"/>
      <c r="D781" s="504"/>
      <c r="E781" s="506"/>
      <c r="F781" s="506"/>
      <c r="G781" s="506"/>
      <c r="H781" s="506"/>
      <c r="I781" s="506"/>
      <c r="J781" s="506"/>
      <c r="K781" s="507"/>
      <c r="L781" s="508"/>
      <c r="M781" s="508"/>
      <c r="N781" s="508"/>
      <c r="O781" s="509"/>
      <c r="P781" s="509"/>
    </row>
    <row r="782" spans="1:16" ht="21.75" customHeight="1" x14ac:dyDescent="0.3">
      <c r="A782" s="504"/>
      <c r="B782" s="504"/>
      <c r="C782" s="504"/>
      <c r="D782" s="504"/>
      <c r="E782" s="506"/>
      <c r="F782" s="506"/>
      <c r="G782" s="506"/>
      <c r="H782" s="506"/>
      <c r="I782" s="506"/>
      <c r="J782" s="506"/>
      <c r="K782" s="507"/>
      <c r="L782" s="508"/>
      <c r="M782" s="508"/>
      <c r="N782" s="508"/>
      <c r="O782" s="509"/>
      <c r="P782" s="509"/>
    </row>
    <row r="783" spans="1:16" ht="21.75" customHeight="1" x14ac:dyDescent="0.3">
      <c r="A783" s="504"/>
      <c r="B783" s="504"/>
      <c r="C783" s="504"/>
      <c r="D783" s="504"/>
      <c r="E783" s="506"/>
      <c r="F783" s="506"/>
      <c r="G783" s="506"/>
      <c r="H783" s="506"/>
      <c r="I783" s="506"/>
      <c r="J783" s="506"/>
      <c r="K783" s="507"/>
      <c r="L783" s="508"/>
      <c r="M783" s="508"/>
      <c r="N783" s="508"/>
      <c r="O783" s="509"/>
      <c r="P783" s="509"/>
    </row>
    <row r="784" spans="1:16" ht="21.75" customHeight="1" x14ac:dyDescent="0.3">
      <c r="A784" s="504"/>
      <c r="B784" s="504"/>
      <c r="C784" s="504"/>
      <c r="D784" s="504"/>
      <c r="E784" s="506"/>
      <c r="F784" s="506"/>
      <c r="G784" s="506"/>
      <c r="H784" s="506"/>
      <c r="I784" s="506"/>
      <c r="J784" s="506"/>
      <c r="K784" s="507"/>
      <c r="L784" s="508"/>
      <c r="M784" s="508"/>
      <c r="N784" s="508"/>
      <c r="O784" s="509"/>
      <c r="P784" s="509"/>
    </row>
    <row r="785" spans="1:16" ht="21.75" customHeight="1" x14ac:dyDescent="0.3">
      <c r="A785" s="504"/>
      <c r="B785" s="504"/>
      <c r="C785" s="504"/>
      <c r="D785" s="504"/>
      <c r="E785" s="506"/>
      <c r="F785" s="506"/>
      <c r="G785" s="506"/>
      <c r="H785" s="506"/>
      <c r="I785" s="506"/>
      <c r="J785" s="506"/>
      <c r="K785" s="507"/>
      <c r="L785" s="508"/>
      <c r="M785" s="508"/>
      <c r="N785" s="508"/>
      <c r="O785" s="509"/>
      <c r="P785" s="509"/>
    </row>
    <row r="786" spans="1:16" ht="21.75" customHeight="1" x14ac:dyDescent="0.3">
      <c r="A786" s="504"/>
      <c r="B786" s="504"/>
      <c r="C786" s="504"/>
      <c r="D786" s="504"/>
      <c r="E786" s="506"/>
      <c r="F786" s="506"/>
      <c r="G786" s="506"/>
      <c r="H786" s="506"/>
      <c r="I786" s="506"/>
      <c r="J786" s="506"/>
      <c r="K786" s="507"/>
      <c r="L786" s="508"/>
      <c r="M786" s="508"/>
      <c r="N786" s="508"/>
      <c r="O786" s="509"/>
      <c r="P786" s="509"/>
    </row>
    <row r="787" spans="1:16" ht="21.75" customHeight="1" x14ac:dyDescent="0.3">
      <c r="A787" s="504"/>
      <c r="B787" s="504"/>
      <c r="C787" s="504"/>
      <c r="D787" s="504"/>
      <c r="E787" s="506"/>
      <c r="F787" s="506"/>
      <c r="G787" s="506"/>
      <c r="H787" s="506"/>
      <c r="I787" s="506"/>
      <c r="J787" s="506"/>
      <c r="K787" s="507"/>
      <c r="L787" s="508"/>
      <c r="M787" s="508"/>
      <c r="N787" s="508"/>
      <c r="O787" s="509"/>
      <c r="P787" s="509"/>
    </row>
    <row r="788" spans="1:16" ht="21.75" customHeight="1" x14ac:dyDescent="0.3">
      <c r="A788" s="504"/>
      <c r="B788" s="504"/>
      <c r="C788" s="504"/>
      <c r="D788" s="504"/>
      <c r="E788" s="506"/>
      <c r="F788" s="506"/>
      <c r="G788" s="506"/>
      <c r="H788" s="506"/>
      <c r="I788" s="506"/>
      <c r="J788" s="506"/>
      <c r="K788" s="507"/>
      <c r="L788" s="508"/>
      <c r="M788" s="508"/>
      <c r="N788" s="508"/>
      <c r="O788" s="509"/>
      <c r="P788" s="509"/>
    </row>
    <row r="789" spans="1:16" ht="21.75" customHeight="1" x14ac:dyDescent="0.3">
      <c r="A789" s="504"/>
      <c r="B789" s="504"/>
      <c r="C789" s="504"/>
      <c r="D789" s="504"/>
      <c r="E789" s="506"/>
      <c r="F789" s="506"/>
      <c r="G789" s="506"/>
      <c r="H789" s="506"/>
      <c r="I789" s="506"/>
      <c r="J789" s="506"/>
      <c r="K789" s="507"/>
      <c r="L789" s="508"/>
      <c r="M789" s="508"/>
      <c r="N789" s="508"/>
      <c r="O789" s="509"/>
      <c r="P789" s="509"/>
    </row>
    <row r="790" spans="1:16" ht="21.75" customHeight="1" x14ac:dyDescent="0.3">
      <c r="A790" s="504"/>
      <c r="B790" s="504"/>
      <c r="C790" s="504"/>
      <c r="D790" s="504"/>
      <c r="E790" s="506"/>
      <c r="F790" s="506"/>
      <c r="G790" s="506"/>
      <c r="H790" s="506"/>
      <c r="I790" s="506"/>
      <c r="J790" s="506"/>
      <c r="K790" s="507"/>
      <c r="L790" s="508"/>
      <c r="M790" s="508"/>
      <c r="N790" s="508"/>
      <c r="O790" s="509"/>
      <c r="P790" s="509"/>
    </row>
    <row r="791" spans="1:16" ht="21.75" customHeight="1" x14ac:dyDescent="0.3">
      <c r="A791" s="504"/>
      <c r="B791" s="504"/>
      <c r="C791" s="504"/>
      <c r="D791" s="504"/>
      <c r="E791" s="506"/>
      <c r="F791" s="506"/>
      <c r="G791" s="506"/>
      <c r="H791" s="506"/>
      <c r="I791" s="506"/>
      <c r="J791" s="506"/>
      <c r="K791" s="507"/>
      <c r="L791" s="508"/>
      <c r="M791" s="508"/>
      <c r="N791" s="508"/>
      <c r="O791" s="509"/>
      <c r="P791" s="509"/>
    </row>
    <row r="792" spans="1:16" ht="21.75" customHeight="1" x14ac:dyDescent="0.3">
      <c r="A792" s="504"/>
      <c r="B792" s="504"/>
      <c r="C792" s="504"/>
      <c r="D792" s="504"/>
      <c r="E792" s="506"/>
      <c r="F792" s="506"/>
      <c r="G792" s="506"/>
      <c r="H792" s="506"/>
      <c r="I792" s="506"/>
      <c r="J792" s="506"/>
      <c r="K792" s="507"/>
      <c r="L792" s="508"/>
      <c r="M792" s="508"/>
      <c r="N792" s="508"/>
      <c r="O792" s="509"/>
      <c r="P792" s="509"/>
    </row>
    <row r="793" spans="1:16" ht="21.75" customHeight="1" x14ac:dyDescent="0.3">
      <c r="A793" s="504"/>
      <c r="B793" s="504"/>
      <c r="C793" s="504"/>
      <c r="D793" s="504"/>
      <c r="E793" s="506"/>
      <c r="F793" s="506"/>
      <c r="G793" s="506"/>
      <c r="H793" s="506"/>
      <c r="I793" s="506"/>
      <c r="J793" s="506"/>
      <c r="K793" s="507"/>
      <c r="L793" s="508"/>
      <c r="M793" s="508"/>
      <c r="N793" s="508"/>
      <c r="O793" s="509"/>
      <c r="P793" s="509"/>
    </row>
    <row r="794" spans="1:16" ht="21.75" customHeight="1" x14ac:dyDescent="0.3">
      <c r="A794" s="504"/>
      <c r="B794" s="504"/>
      <c r="C794" s="504"/>
      <c r="D794" s="504"/>
      <c r="E794" s="506"/>
      <c r="F794" s="506"/>
      <c r="G794" s="506"/>
      <c r="H794" s="506"/>
      <c r="I794" s="506"/>
      <c r="J794" s="506"/>
      <c r="K794" s="507"/>
      <c r="L794" s="508"/>
      <c r="M794" s="508"/>
      <c r="N794" s="508"/>
      <c r="O794" s="509"/>
      <c r="P794" s="509"/>
    </row>
    <row r="795" spans="1:16" ht="21.75" customHeight="1" x14ac:dyDescent="0.3">
      <c r="A795" s="504"/>
      <c r="B795" s="504"/>
      <c r="C795" s="504"/>
      <c r="D795" s="504"/>
      <c r="E795" s="506"/>
      <c r="F795" s="506"/>
      <c r="G795" s="506"/>
      <c r="H795" s="506"/>
      <c r="I795" s="506"/>
      <c r="J795" s="506"/>
      <c r="K795" s="507"/>
      <c r="L795" s="508"/>
      <c r="M795" s="508"/>
      <c r="N795" s="508"/>
      <c r="O795" s="509"/>
      <c r="P795" s="509"/>
    </row>
    <row r="796" spans="1:16" ht="21.75" customHeight="1" x14ac:dyDescent="0.3">
      <c r="A796" s="504"/>
      <c r="B796" s="504"/>
      <c r="C796" s="504"/>
      <c r="D796" s="504"/>
      <c r="E796" s="506"/>
      <c r="F796" s="506"/>
      <c r="G796" s="506"/>
      <c r="H796" s="506"/>
      <c r="I796" s="506"/>
      <c r="J796" s="506"/>
      <c r="K796" s="507"/>
      <c r="L796" s="508"/>
      <c r="M796" s="508"/>
      <c r="N796" s="508"/>
      <c r="O796" s="509"/>
      <c r="P796" s="509"/>
    </row>
    <row r="797" spans="1:16" ht="21.75" customHeight="1" x14ac:dyDescent="0.3">
      <c r="A797" s="504"/>
      <c r="B797" s="504"/>
      <c r="C797" s="504"/>
      <c r="D797" s="504"/>
      <c r="E797" s="506"/>
      <c r="F797" s="506"/>
      <c r="G797" s="506"/>
      <c r="H797" s="506"/>
      <c r="I797" s="506"/>
      <c r="J797" s="506"/>
      <c r="K797" s="507"/>
      <c r="L797" s="508"/>
      <c r="M797" s="508"/>
      <c r="N797" s="508"/>
      <c r="O797" s="509"/>
      <c r="P797" s="509"/>
    </row>
    <row r="798" spans="1:16" ht="21.75" customHeight="1" x14ac:dyDescent="0.3">
      <c r="A798" s="504"/>
      <c r="B798" s="504"/>
      <c r="C798" s="504"/>
      <c r="D798" s="504"/>
      <c r="E798" s="506"/>
      <c r="F798" s="506"/>
      <c r="G798" s="506"/>
      <c r="H798" s="506"/>
      <c r="I798" s="506"/>
      <c r="J798" s="506"/>
      <c r="K798" s="507"/>
      <c r="L798" s="508"/>
      <c r="M798" s="508"/>
      <c r="N798" s="508"/>
      <c r="O798" s="509"/>
      <c r="P798" s="509"/>
    </row>
    <row r="799" spans="1:16" ht="21.75" customHeight="1" x14ac:dyDescent="0.3">
      <c r="A799" s="504"/>
      <c r="B799" s="504"/>
      <c r="C799" s="504"/>
      <c r="D799" s="504"/>
      <c r="E799" s="506"/>
      <c r="F799" s="506"/>
      <c r="G799" s="506"/>
      <c r="H799" s="506"/>
      <c r="I799" s="506"/>
      <c r="J799" s="506"/>
      <c r="K799" s="507"/>
      <c r="L799" s="508"/>
      <c r="M799" s="508"/>
      <c r="N799" s="508"/>
      <c r="O799" s="509"/>
      <c r="P799" s="509"/>
    </row>
    <row r="800" spans="1:16" ht="21.75" customHeight="1" x14ac:dyDescent="0.3">
      <c r="A800" s="504"/>
      <c r="B800" s="504"/>
      <c r="C800" s="504"/>
      <c r="D800" s="504"/>
      <c r="E800" s="506"/>
      <c r="F800" s="506"/>
      <c r="G800" s="506"/>
      <c r="H800" s="506"/>
      <c r="I800" s="506"/>
      <c r="J800" s="506"/>
      <c r="K800" s="507"/>
      <c r="L800" s="508"/>
      <c r="M800" s="508"/>
      <c r="N800" s="508"/>
      <c r="O800" s="509"/>
      <c r="P800" s="509"/>
    </row>
    <row r="801" spans="1:16" ht="21.75" customHeight="1" x14ac:dyDescent="0.3">
      <c r="A801" s="504"/>
      <c r="B801" s="504"/>
      <c r="C801" s="504"/>
      <c r="D801" s="504"/>
      <c r="E801" s="506"/>
      <c r="F801" s="506"/>
      <c r="G801" s="506"/>
      <c r="H801" s="506"/>
      <c r="I801" s="506"/>
      <c r="J801" s="506"/>
      <c r="K801" s="507"/>
      <c r="L801" s="508"/>
      <c r="M801" s="508"/>
      <c r="N801" s="508"/>
      <c r="O801" s="509"/>
      <c r="P801" s="509"/>
    </row>
    <row r="802" spans="1:16" ht="21.75" customHeight="1" x14ac:dyDescent="0.3">
      <c r="A802" s="504"/>
      <c r="B802" s="504"/>
      <c r="C802" s="504"/>
      <c r="D802" s="504"/>
      <c r="E802" s="506"/>
      <c r="F802" s="506"/>
      <c r="G802" s="506"/>
      <c r="H802" s="506"/>
      <c r="I802" s="506"/>
      <c r="J802" s="506"/>
      <c r="K802" s="507"/>
      <c r="L802" s="508"/>
      <c r="M802" s="508"/>
      <c r="N802" s="508"/>
      <c r="O802" s="509"/>
      <c r="P802" s="509"/>
    </row>
    <row r="803" spans="1:16" ht="21.75" customHeight="1" x14ac:dyDescent="0.3">
      <c r="A803" s="504"/>
      <c r="B803" s="504"/>
      <c r="C803" s="504"/>
      <c r="D803" s="504"/>
      <c r="E803" s="506"/>
      <c r="F803" s="506"/>
      <c r="G803" s="506"/>
      <c r="H803" s="506"/>
      <c r="I803" s="506"/>
      <c r="J803" s="506"/>
      <c r="K803" s="507"/>
      <c r="L803" s="508"/>
      <c r="M803" s="508"/>
      <c r="N803" s="508"/>
      <c r="O803" s="509"/>
      <c r="P803" s="509"/>
    </row>
    <row r="804" spans="1:16" ht="21.75" customHeight="1" x14ac:dyDescent="0.3">
      <c r="A804" s="504"/>
      <c r="B804" s="504"/>
      <c r="C804" s="504"/>
      <c r="D804" s="504"/>
      <c r="E804" s="506"/>
      <c r="F804" s="506"/>
      <c r="G804" s="506"/>
      <c r="H804" s="506"/>
      <c r="I804" s="506"/>
      <c r="J804" s="506"/>
      <c r="K804" s="507"/>
      <c r="L804" s="508"/>
      <c r="M804" s="508"/>
      <c r="N804" s="508"/>
      <c r="O804" s="509"/>
      <c r="P804" s="509"/>
    </row>
    <row r="805" spans="1:16" ht="21.75" customHeight="1" x14ac:dyDescent="0.3">
      <c r="A805" s="504"/>
      <c r="B805" s="504"/>
      <c r="C805" s="504"/>
      <c r="D805" s="504"/>
      <c r="E805" s="506"/>
      <c r="F805" s="506"/>
      <c r="G805" s="506"/>
      <c r="H805" s="506"/>
      <c r="I805" s="506"/>
      <c r="J805" s="506"/>
      <c r="K805" s="507"/>
      <c r="L805" s="508"/>
      <c r="M805" s="508"/>
      <c r="N805" s="508"/>
      <c r="O805" s="509"/>
      <c r="P805" s="509"/>
    </row>
    <row r="806" spans="1:16" ht="21.75" customHeight="1" x14ac:dyDescent="0.3">
      <c r="A806" s="504"/>
      <c r="B806" s="504"/>
      <c r="C806" s="504"/>
      <c r="D806" s="504"/>
      <c r="E806" s="506"/>
      <c r="F806" s="506"/>
      <c r="G806" s="506"/>
      <c r="H806" s="506"/>
      <c r="I806" s="506"/>
      <c r="J806" s="506"/>
      <c r="K806" s="507"/>
      <c r="L806" s="508"/>
      <c r="M806" s="508"/>
      <c r="N806" s="508"/>
      <c r="O806" s="509"/>
      <c r="P806" s="509"/>
    </row>
    <row r="807" spans="1:16" ht="21.75" customHeight="1" x14ac:dyDescent="0.3">
      <c r="A807" s="504"/>
      <c r="B807" s="504"/>
      <c r="C807" s="504"/>
      <c r="D807" s="504"/>
      <c r="E807" s="506"/>
      <c r="F807" s="506"/>
      <c r="G807" s="506"/>
      <c r="H807" s="506"/>
      <c r="I807" s="506"/>
      <c r="J807" s="506"/>
      <c r="K807" s="507"/>
      <c r="L807" s="508"/>
      <c r="M807" s="508"/>
      <c r="N807" s="508"/>
      <c r="O807" s="509"/>
      <c r="P807" s="509"/>
    </row>
    <row r="808" spans="1:16" ht="21.75" customHeight="1" x14ac:dyDescent="0.3">
      <c r="A808" s="504"/>
      <c r="B808" s="504"/>
      <c r="C808" s="504"/>
      <c r="D808" s="504"/>
      <c r="E808" s="506"/>
      <c r="F808" s="506"/>
      <c r="G808" s="506"/>
      <c r="H808" s="506"/>
      <c r="I808" s="506"/>
      <c r="J808" s="506"/>
      <c r="K808" s="507"/>
      <c r="L808" s="508"/>
      <c r="M808" s="508"/>
      <c r="N808" s="508"/>
      <c r="O808" s="509"/>
      <c r="P808" s="509"/>
    </row>
    <row r="809" spans="1:16" ht="21.75" customHeight="1" x14ac:dyDescent="0.3">
      <c r="A809" s="504"/>
      <c r="B809" s="504"/>
      <c r="C809" s="504"/>
      <c r="D809" s="504"/>
      <c r="E809" s="506"/>
      <c r="F809" s="506"/>
      <c r="G809" s="506"/>
      <c r="H809" s="506"/>
      <c r="I809" s="506"/>
      <c r="J809" s="506"/>
      <c r="K809" s="507"/>
      <c r="L809" s="508"/>
      <c r="M809" s="508"/>
      <c r="N809" s="508"/>
      <c r="O809" s="509"/>
      <c r="P809" s="509"/>
    </row>
    <row r="810" spans="1:16" ht="21.75" customHeight="1" x14ac:dyDescent="0.3">
      <c r="A810" s="504"/>
      <c r="B810" s="504"/>
      <c r="C810" s="504"/>
      <c r="D810" s="504"/>
      <c r="E810" s="506"/>
      <c r="F810" s="506"/>
      <c r="G810" s="506"/>
      <c r="H810" s="506"/>
      <c r="I810" s="506"/>
      <c r="J810" s="506"/>
      <c r="K810" s="507"/>
      <c r="L810" s="508"/>
      <c r="M810" s="508"/>
      <c r="N810" s="508"/>
      <c r="O810" s="509"/>
      <c r="P810" s="509"/>
    </row>
    <row r="811" spans="1:16" ht="21.75" customHeight="1" x14ac:dyDescent="0.3">
      <c r="A811" s="504"/>
      <c r="B811" s="504"/>
      <c r="C811" s="504"/>
      <c r="D811" s="504"/>
      <c r="E811" s="506"/>
      <c r="F811" s="506"/>
      <c r="G811" s="506"/>
      <c r="H811" s="506"/>
      <c r="I811" s="506"/>
      <c r="J811" s="506"/>
      <c r="K811" s="507"/>
      <c r="L811" s="508"/>
      <c r="M811" s="508"/>
      <c r="N811" s="508"/>
      <c r="O811" s="509"/>
      <c r="P811" s="509"/>
    </row>
    <row r="812" spans="1:16" ht="21.75" customHeight="1" x14ac:dyDescent="0.3">
      <c r="A812" s="504"/>
      <c r="B812" s="504"/>
      <c r="C812" s="504"/>
      <c r="D812" s="504"/>
      <c r="E812" s="506"/>
      <c r="F812" s="506"/>
      <c r="G812" s="506"/>
      <c r="H812" s="506"/>
      <c r="I812" s="506"/>
      <c r="J812" s="506"/>
      <c r="K812" s="507"/>
      <c r="L812" s="508"/>
      <c r="M812" s="508"/>
      <c r="N812" s="508"/>
      <c r="O812" s="509"/>
      <c r="P812" s="509"/>
    </row>
    <row r="813" spans="1:16" ht="21.75" customHeight="1" x14ac:dyDescent="0.3">
      <c r="A813" s="504"/>
      <c r="B813" s="504"/>
      <c r="C813" s="504"/>
      <c r="D813" s="504"/>
      <c r="E813" s="506"/>
      <c r="F813" s="506"/>
      <c r="G813" s="506"/>
      <c r="H813" s="506"/>
      <c r="I813" s="506"/>
      <c r="J813" s="506"/>
      <c r="K813" s="507"/>
      <c r="L813" s="508"/>
      <c r="M813" s="508"/>
      <c r="N813" s="508"/>
      <c r="O813" s="509"/>
      <c r="P813" s="509"/>
    </row>
    <row r="814" spans="1:16" ht="21.75" customHeight="1" x14ac:dyDescent="0.3">
      <c r="A814" s="504"/>
      <c r="B814" s="504"/>
      <c r="C814" s="504"/>
      <c r="D814" s="504"/>
      <c r="E814" s="506"/>
      <c r="F814" s="506"/>
      <c r="G814" s="506"/>
      <c r="H814" s="506"/>
      <c r="I814" s="506"/>
      <c r="J814" s="506"/>
      <c r="K814" s="507"/>
      <c r="L814" s="508"/>
      <c r="M814" s="508"/>
      <c r="N814" s="508"/>
      <c r="O814" s="509"/>
      <c r="P814" s="509"/>
    </row>
    <row r="815" spans="1:16" ht="21.75" customHeight="1" x14ac:dyDescent="0.3">
      <c r="A815" s="504"/>
      <c r="B815" s="504"/>
      <c r="C815" s="504"/>
      <c r="D815" s="504"/>
      <c r="E815" s="506"/>
      <c r="F815" s="506"/>
      <c r="G815" s="506"/>
      <c r="H815" s="506"/>
      <c r="I815" s="506"/>
      <c r="J815" s="506"/>
      <c r="K815" s="507"/>
      <c r="L815" s="508"/>
      <c r="M815" s="508"/>
      <c r="N815" s="508"/>
      <c r="O815" s="509"/>
      <c r="P815" s="509"/>
    </row>
    <row r="816" spans="1:16" ht="21.75" customHeight="1" x14ac:dyDescent="0.3">
      <c r="A816" s="504"/>
      <c r="B816" s="504"/>
      <c r="C816" s="504"/>
      <c r="D816" s="504"/>
      <c r="E816" s="506"/>
      <c r="F816" s="506"/>
      <c r="G816" s="506"/>
      <c r="H816" s="506"/>
      <c r="I816" s="506"/>
      <c r="J816" s="506"/>
      <c r="K816" s="507"/>
      <c r="L816" s="508"/>
      <c r="M816" s="508"/>
      <c r="N816" s="508"/>
      <c r="O816" s="509"/>
      <c r="P816" s="509"/>
    </row>
    <row r="817" spans="1:16" ht="21.75" customHeight="1" x14ac:dyDescent="0.3">
      <c r="A817" s="504"/>
      <c r="B817" s="504"/>
      <c r="C817" s="504"/>
      <c r="D817" s="504"/>
      <c r="E817" s="506"/>
      <c r="F817" s="506"/>
      <c r="G817" s="506"/>
      <c r="H817" s="506"/>
      <c r="I817" s="506"/>
      <c r="J817" s="506"/>
      <c r="K817" s="507"/>
      <c r="L817" s="508"/>
      <c r="M817" s="508"/>
      <c r="N817" s="508"/>
      <c r="O817" s="509"/>
      <c r="P817" s="509"/>
    </row>
    <row r="818" spans="1:16" ht="21.75" customHeight="1" x14ac:dyDescent="0.3">
      <c r="A818" s="504"/>
      <c r="B818" s="504"/>
      <c r="C818" s="504"/>
      <c r="D818" s="504"/>
      <c r="E818" s="506"/>
      <c r="F818" s="506"/>
      <c r="G818" s="506"/>
      <c r="H818" s="506"/>
      <c r="I818" s="506"/>
      <c r="J818" s="506"/>
      <c r="K818" s="507"/>
      <c r="L818" s="508"/>
      <c r="M818" s="508"/>
      <c r="N818" s="508"/>
      <c r="O818" s="509"/>
      <c r="P818" s="509"/>
    </row>
    <row r="819" spans="1:16" ht="21.75" customHeight="1" x14ac:dyDescent="0.3">
      <c r="A819" s="504"/>
      <c r="B819" s="504"/>
      <c r="C819" s="504"/>
      <c r="D819" s="504"/>
      <c r="E819" s="506"/>
      <c r="F819" s="506"/>
      <c r="G819" s="506"/>
      <c r="H819" s="506"/>
      <c r="I819" s="506"/>
      <c r="J819" s="506"/>
      <c r="K819" s="507"/>
      <c r="L819" s="508"/>
      <c r="M819" s="508"/>
      <c r="N819" s="508"/>
      <c r="O819" s="509"/>
      <c r="P819" s="509"/>
    </row>
    <row r="820" spans="1:16" ht="21.75" customHeight="1" x14ac:dyDescent="0.3">
      <c r="A820" s="504"/>
      <c r="B820" s="504"/>
      <c r="C820" s="504"/>
      <c r="D820" s="504"/>
      <c r="E820" s="506"/>
      <c r="F820" s="506"/>
      <c r="G820" s="506"/>
      <c r="H820" s="506"/>
      <c r="I820" s="506"/>
      <c r="J820" s="506"/>
      <c r="K820" s="507"/>
      <c r="L820" s="508"/>
      <c r="M820" s="508"/>
      <c r="N820" s="508"/>
      <c r="O820" s="509"/>
      <c r="P820" s="509"/>
    </row>
    <row r="821" spans="1:16" ht="21.75" customHeight="1" x14ac:dyDescent="0.3">
      <c r="A821" s="504"/>
      <c r="B821" s="504"/>
      <c r="C821" s="504"/>
      <c r="D821" s="504"/>
      <c r="E821" s="506"/>
      <c r="F821" s="506"/>
      <c r="G821" s="506"/>
      <c r="H821" s="506"/>
      <c r="I821" s="506"/>
      <c r="J821" s="506"/>
      <c r="K821" s="507"/>
      <c r="L821" s="508"/>
      <c r="M821" s="508"/>
      <c r="N821" s="508"/>
      <c r="O821" s="509"/>
      <c r="P821" s="509"/>
    </row>
    <row r="822" spans="1:16" ht="21.75" customHeight="1" x14ac:dyDescent="0.3">
      <c r="A822" s="504"/>
      <c r="B822" s="504"/>
      <c r="C822" s="504"/>
      <c r="D822" s="504"/>
      <c r="E822" s="506"/>
      <c r="F822" s="506"/>
      <c r="G822" s="506"/>
      <c r="H822" s="506"/>
      <c r="I822" s="506"/>
      <c r="J822" s="506"/>
      <c r="K822" s="507"/>
      <c r="L822" s="508"/>
      <c r="M822" s="508"/>
      <c r="N822" s="508"/>
      <c r="O822" s="509"/>
      <c r="P822" s="509"/>
    </row>
    <row r="823" spans="1:16" ht="21.75" customHeight="1" x14ac:dyDescent="0.3">
      <c r="A823" s="504"/>
      <c r="B823" s="504"/>
      <c r="C823" s="504"/>
      <c r="D823" s="504"/>
      <c r="E823" s="506"/>
      <c r="F823" s="506"/>
      <c r="G823" s="506"/>
      <c r="H823" s="506"/>
      <c r="I823" s="506"/>
      <c r="J823" s="506"/>
      <c r="K823" s="507"/>
      <c r="L823" s="508"/>
      <c r="M823" s="508"/>
      <c r="N823" s="508"/>
      <c r="O823" s="509"/>
      <c r="P823" s="509"/>
    </row>
    <row r="824" spans="1:16" ht="21.75" customHeight="1" x14ac:dyDescent="0.3">
      <c r="A824" s="504"/>
      <c r="B824" s="504"/>
      <c r="C824" s="504"/>
      <c r="D824" s="504"/>
      <c r="E824" s="506"/>
      <c r="F824" s="506"/>
      <c r="G824" s="506"/>
      <c r="H824" s="506"/>
      <c r="I824" s="506"/>
      <c r="J824" s="506"/>
      <c r="K824" s="507"/>
      <c r="L824" s="508"/>
      <c r="M824" s="508"/>
      <c r="N824" s="508"/>
      <c r="O824" s="509"/>
      <c r="P824" s="509"/>
    </row>
    <row r="825" spans="1:16" ht="21.75" customHeight="1" x14ac:dyDescent="0.3">
      <c r="A825" s="504"/>
      <c r="B825" s="504"/>
      <c r="C825" s="504"/>
      <c r="D825" s="504"/>
      <c r="E825" s="506"/>
      <c r="F825" s="506"/>
      <c r="G825" s="506"/>
      <c r="H825" s="506"/>
      <c r="I825" s="506"/>
      <c r="J825" s="506"/>
      <c r="K825" s="507"/>
      <c r="L825" s="508"/>
      <c r="M825" s="508"/>
      <c r="N825" s="508"/>
      <c r="O825" s="509"/>
      <c r="P825" s="509"/>
    </row>
    <row r="826" spans="1:16" ht="21.75" customHeight="1" x14ac:dyDescent="0.3">
      <c r="A826" s="504"/>
      <c r="B826" s="504"/>
      <c r="C826" s="504"/>
      <c r="D826" s="504"/>
      <c r="E826" s="506"/>
      <c r="F826" s="506"/>
      <c r="G826" s="506"/>
      <c r="H826" s="506"/>
      <c r="I826" s="506"/>
      <c r="J826" s="506"/>
      <c r="K826" s="507"/>
      <c r="L826" s="508"/>
      <c r="M826" s="508"/>
      <c r="N826" s="508"/>
      <c r="O826" s="509"/>
      <c r="P826" s="509"/>
    </row>
    <row r="827" spans="1:16" ht="21.75" customHeight="1" x14ac:dyDescent="0.3">
      <c r="A827" s="504"/>
      <c r="B827" s="504"/>
      <c r="C827" s="504"/>
      <c r="D827" s="504"/>
      <c r="E827" s="506"/>
      <c r="F827" s="506"/>
      <c r="G827" s="506"/>
      <c r="H827" s="506"/>
      <c r="I827" s="506"/>
      <c r="J827" s="506"/>
      <c r="K827" s="507"/>
      <c r="L827" s="508"/>
      <c r="M827" s="508"/>
      <c r="N827" s="508"/>
      <c r="O827" s="509"/>
      <c r="P827" s="509"/>
    </row>
    <row r="828" spans="1:16" ht="21.75" customHeight="1" x14ac:dyDescent="0.3">
      <c r="A828" s="504"/>
      <c r="B828" s="504"/>
      <c r="C828" s="504"/>
      <c r="D828" s="504"/>
      <c r="E828" s="506"/>
      <c r="F828" s="506"/>
      <c r="G828" s="506"/>
      <c r="H828" s="506"/>
      <c r="I828" s="506"/>
      <c r="J828" s="506"/>
      <c r="K828" s="507"/>
      <c r="L828" s="508"/>
      <c r="M828" s="508"/>
      <c r="N828" s="508"/>
      <c r="O828" s="509"/>
      <c r="P828" s="509"/>
    </row>
    <row r="829" spans="1:16" ht="21.75" customHeight="1" x14ac:dyDescent="0.3">
      <c r="A829" s="504"/>
      <c r="B829" s="504"/>
      <c r="C829" s="504"/>
      <c r="D829" s="504"/>
      <c r="E829" s="506"/>
      <c r="F829" s="506"/>
      <c r="G829" s="506"/>
      <c r="H829" s="506"/>
      <c r="I829" s="506"/>
      <c r="J829" s="506"/>
      <c r="K829" s="507"/>
      <c r="L829" s="508"/>
      <c r="M829" s="508"/>
      <c r="N829" s="508"/>
      <c r="O829" s="509"/>
      <c r="P829" s="509"/>
    </row>
    <row r="830" spans="1:16" ht="21.75" customHeight="1" x14ac:dyDescent="0.3">
      <c r="A830" s="504"/>
      <c r="B830" s="504"/>
      <c r="C830" s="504"/>
      <c r="D830" s="504"/>
      <c r="E830" s="506"/>
      <c r="F830" s="506"/>
      <c r="G830" s="506"/>
      <c r="H830" s="506"/>
      <c r="I830" s="506"/>
      <c r="J830" s="506"/>
      <c r="K830" s="507"/>
      <c r="L830" s="508"/>
      <c r="M830" s="508"/>
      <c r="N830" s="508"/>
      <c r="O830" s="509"/>
      <c r="P830" s="509"/>
    </row>
    <row r="831" spans="1:16" ht="21.75" customHeight="1" x14ac:dyDescent="0.3">
      <c r="A831" s="504"/>
      <c r="B831" s="504"/>
      <c r="C831" s="504"/>
      <c r="D831" s="504"/>
      <c r="E831" s="506"/>
      <c r="F831" s="506"/>
      <c r="G831" s="506"/>
      <c r="H831" s="506"/>
      <c r="I831" s="506"/>
      <c r="J831" s="506"/>
      <c r="K831" s="507"/>
      <c r="L831" s="508"/>
      <c r="M831" s="508"/>
      <c r="N831" s="508"/>
      <c r="O831" s="509"/>
      <c r="P831" s="509"/>
    </row>
    <row r="832" spans="1:16" ht="21.75" customHeight="1" x14ac:dyDescent="0.3">
      <c r="A832" s="504"/>
      <c r="B832" s="504"/>
      <c r="C832" s="504"/>
      <c r="D832" s="504"/>
      <c r="E832" s="506"/>
      <c r="F832" s="506"/>
      <c r="G832" s="506"/>
      <c r="H832" s="506"/>
      <c r="I832" s="506"/>
      <c r="J832" s="506"/>
      <c r="K832" s="507"/>
      <c r="L832" s="508"/>
      <c r="M832" s="508"/>
      <c r="N832" s="508"/>
      <c r="O832" s="509"/>
      <c r="P832" s="509"/>
    </row>
    <row r="833" spans="1:16" ht="21.75" customHeight="1" x14ac:dyDescent="0.3">
      <c r="A833" s="504"/>
      <c r="B833" s="504"/>
      <c r="C833" s="504"/>
      <c r="D833" s="504"/>
      <c r="E833" s="506"/>
      <c r="F833" s="506"/>
      <c r="G833" s="506"/>
      <c r="H833" s="506"/>
      <c r="I833" s="506"/>
      <c r="J833" s="506"/>
      <c r="K833" s="507"/>
      <c r="L833" s="508"/>
      <c r="M833" s="508"/>
      <c r="N833" s="508"/>
      <c r="O833" s="509"/>
      <c r="P833" s="509"/>
    </row>
    <row r="834" spans="1:16" ht="21.75" customHeight="1" x14ac:dyDescent="0.3">
      <c r="A834" s="504"/>
      <c r="B834" s="504"/>
      <c r="C834" s="504"/>
      <c r="D834" s="504"/>
      <c r="E834" s="506"/>
      <c r="F834" s="506"/>
      <c r="G834" s="506"/>
      <c r="H834" s="506"/>
      <c r="I834" s="506"/>
      <c r="J834" s="506"/>
      <c r="K834" s="507"/>
      <c r="L834" s="508"/>
      <c r="M834" s="508"/>
      <c r="N834" s="508"/>
      <c r="O834" s="509"/>
      <c r="P834" s="509"/>
    </row>
    <row r="835" spans="1:16" ht="21.75" customHeight="1" x14ac:dyDescent="0.3">
      <c r="A835" s="504"/>
      <c r="B835" s="504"/>
      <c r="C835" s="504"/>
      <c r="D835" s="504"/>
      <c r="E835" s="506"/>
      <c r="F835" s="506"/>
      <c r="G835" s="506"/>
      <c r="H835" s="506"/>
      <c r="I835" s="506"/>
      <c r="J835" s="506"/>
      <c r="K835" s="507"/>
      <c r="L835" s="508"/>
      <c r="M835" s="508"/>
      <c r="N835" s="508"/>
      <c r="O835" s="509"/>
      <c r="P835" s="509"/>
    </row>
    <row r="836" spans="1:16" ht="21.75" customHeight="1" x14ac:dyDescent="0.3">
      <c r="A836" s="504"/>
      <c r="B836" s="504"/>
      <c r="C836" s="504"/>
      <c r="D836" s="504"/>
      <c r="E836" s="506"/>
      <c r="F836" s="506"/>
      <c r="G836" s="506"/>
      <c r="H836" s="506"/>
      <c r="I836" s="506"/>
      <c r="J836" s="506"/>
      <c r="K836" s="507"/>
      <c r="L836" s="508"/>
      <c r="M836" s="508"/>
      <c r="N836" s="508"/>
      <c r="O836" s="509"/>
      <c r="P836" s="509"/>
    </row>
    <row r="837" spans="1:16" ht="21.75" customHeight="1" x14ac:dyDescent="0.3">
      <c r="A837" s="504"/>
      <c r="B837" s="504"/>
      <c r="C837" s="504"/>
      <c r="D837" s="504"/>
      <c r="E837" s="506"/>
      <c r="F837" s="506"/>
      <c r="G837" s="506"/>
      <c r="H837" s="506"/>
      <c r="I837" s="506"/>
      <c r="J837" s="506"/>
      <c r="K837" s="507"/>
      <c r="L837" s="508"/>
      <c r="M837" s="508"/>
      <c r="N837" s="508"/>
      <c r="O837" s="509"/>
      <c r="P837" s="509"/>
    </row>
    <row r="838" spans="1:16" ht="21.75" customHeight="1" x14ac:dyDescent="0.3">
      <c r="A838" s="504"/>
      <c r="B838" s="504"/>
      <c r="C838" s="504"/>
      <c r="D838" s="504"/>
      <c r="E838" s="506"/>
      <c r="F838" s="506"/>
      <c r="G838" s="506"/>
      <c r="H838" s="506"/>
      <c r="I838" s="506"/>
      <c r="J838" s="506"/>
      <c r="K838" s="507"/>
      <c r="L838" s="508"/>
      <c r="M838" s="508"/>
      <c r="N838" s="508"/>
      <c r="O838" s="509"/>
      <c r="P838" s="509"/>
    </row>
    <row r="839" spans="1:16" ht="21.75" customHeight="1" x14ac:dyDescent="0.3">
      <c r="A839" s="504"/>
      <c r="B839" s="504"/>
      <c r="C839" s="504"/>
      <c r="D839" s="504"/>
      <c r="E839" s="506"/>
      <c r="F839" s="506"/>
      <c r="G839" s="506"/>
      <c r="H839" s="506"/>
      <c r="I839" s="506"/>
      <c r="J839" s="506"/>
      <c r="K839" s="507"/>
      <c r="L839" s="508"/>
      <c r="M839" s="508"/>
      <c r="N839" s="508"/>
      <c r="O839" s="509"/>
      <c r="P839" s="509"/>
    </row>
    <row r="840" spans="1:16" ht="21.75" customHeight="1" x14ac:dyDescent="0.3">
      <c r="A840" s="504"/>
      <c r="B840" s="504"/>
      <c r="C840" s="504"/>
      <c r="D840" s="504"/>
      <c r="E840" s="506"/>
      <c r="F840" s="506"/>
      <c r="G840" s="506"/>
      <c r="H840" s="506"/>
      <c r="I840" s="506"/>
      <c r="J840" s="506"/>
      <c r="K840" s="507"/>
      <c r="L840" s="508"/>
      <c r="M840" s="508"/>
      <c r="N840" s="508"/>
      <c r="O840" s="509"/>
      <c r="P840" s="509"/>
    </row>
    <row r="841" spans="1:16" ht="21.75" customHeight="1" x14ac:dyDescent="0.3">
      <c r="A841" s="504"/>
      <c r="B841" s="504"/>
      <c r="C841" s="504"/>
      <c r="D841" s="504"/>
      <c r="E841" s="506"/>
      <c r="F841" s="506"/>
      <c r="G841" s="506"/>
      <c r="H841" s="506"/>
      <c r="I841" s="506"/>
      <c r="J841" s="506"/>
      <c r="K841" s="507"/>
      <c r="L841" s="508"/>
      <c r="M841" s="508"/>
      <c r="N841" s="508"/>
      <c r="O841" s="509"/>
      <c r="P841" s="509"/>
    </row>
    <row r="842" spans="1:16" ht="21.75" customHeight="1" x14ac:dyDescent="0.3">
      <c r="A842" s="504"/>
      <c r="B842" s="504"/>
      <c r="C842" s="504"/>
      <c r="D842" s="504"/>
      <c r="E842" s="506"/>
      <c r="F842" s="506"/>
      <c r="G842" s="506"/>
      <c r="H842" s="506"/>
      <c r="I842" s="506"/>
      <c r="J842" s="506"/>
      <c r="K842" s="507"/>
      <c r="L842" s="508"/>
      <c r="M842" s="508"/>
      <c r="N842" s="508"/>
      <c r="O842" s="509"/>
      <c r="P842" s="509"/>
    </row>
    <row r="843" spans="1:16" ht="21.75" customHeight="1" x14ac:dyDescent="0.3">
      <c r="A843" s="504"/>
      <c r="B843" s="504"/>
      <c r="C843" s="504"/>
      <c r="D843" s="504"/>
      <c r="E843" s="506"/>
      <c r="F843" s="506"/>
      <c r="G843" s="506"/>
      <c r="H843" s="506"/>
      <c r="I843" s="506"/>
      <c r="J843" s="506"/>
      <c r="K843" s="507"/>
      <c r="L843" s="508"/>
      <c r="M843" s="508"/>
      <c r="N843" s="508"/>
      <c r="O843" s="509"/>
      <c r="P843" s="509"/>
    </row>
    <row r="844" spans="1:16" ht="21.75" customHeight="1" x14ac:dyDescent="0.3">
      <c r="A844" s="504"/>
      <c r="B844" s="504"/>
      <c r="C844" s="504"/>
      <c r="D844" s="504"/>
      <c r="E844" s="506"/>
      <c r="F844" s="506"/>
      <c r="G844" s="506"/>
      <c r="H844" s="506"/>
      <c r="I844" s="506"/>
      <c r="J844" s="506"/>
      <c r="K844" s="507"/>
      <c r="L844" s="508"/>
      <c r="M844" s="508"/>
      <c r="N844" s="508"/>
      <c r="O844" s="509"/>
      <c r="P844" s="509"/>
    </row>
    <row r="845" spans="1:16" ht="21.75" customHeight="1" x14ac:dyDescent="0.3">
      <c r="A845" s="504"/>
      <c r="B845" s="504"/>
      <c r="C845" s="504"/>
      <c r="D845" s="504"/>
      <c r="E845" s="506"/>
      <c r="F845" s="506"/>
      <c r="G845" s="506"/>
      <c r="H845" s="506"/>
      <c r="I845" s="506"/>
      <c r="J845" s="506"/>
      <c r="K845" s="507"/>
      <c r="L845" s="508"/>
      <c r="M845" s="508"/>
      <c r="N845" s="508"/>
      <c r="O845" s="509"/>
      <c r="P845" s="509"/>
    </row>
    <row r="846" spans="1:16" ht="21.75" customHeight="1" x14ac:dyDescent="0.3">
      <c r="A846" s="504"/>
      <c r="B846" s="504"/>
      <c r="C846" s="504"/>
      <c r="D846" s="504"/>
      <c r="E846" s="506"/>
      <c r="F846" s="506"/>
      <c r="G846" s="506"/>
      <c r="H846" s="506"/>
      <c r="I846" s="506"/>
      <c r="J846" s="506"/>
      <c r="K846" s="507"/>
      <c r="L846" s="508"/>
      <c r="M846" s="508"/>
      <c r="N846" s="508"/>
      <c r="O846" s="509"/>
      <c r="P846" s="509"/>
    </row>
    <row r="847" spans="1:16" ht="21.75" customHeight="1" x14ac:dyDescent="0.3">
      <c r="A847" s="504"/>
      <c r="B847" s="504"/>
      <c r="C847" s="504"/>
      <c r="D847" s="504"/>
      <c r="E847" s="506"/>
      <c r="F847" s="506"/>
      <c r="G847" s="506"/>
      <c r="H847" s="506"/>
      <c r="I847" s="506"/>
      <c r="J847" s="506"/>
      <c r="K847" s="507"/>
      <c r="L847" s="508"/>
      <c r="M847" s="508"/>
      <c r="N847" s="508"/>
      <c r="O847" s="509"/>
      <c r="P847" s="509"/>
    </row>
    <row r="848" spans="1:16" ht="21.75" customHeight="1" x14ac:dyDescent="0.3">
      <c r="A848" s="504"/>
      <c r="B848" s="504"/>
      <c r="C848" s="504"/>
      <c r="D848" s="504"/>
      <c r="E848" s="506"/>
      <c r="F848" s="506"/>
      <c r="G848" s="506"/>
      <c r="H848" s="506"/>
      <c r="I848" s="506"/>
      <c r="J848" s="506"/>
      <c r="K848" s="507"/>
      <c r="L848" s="508"/>
      <c r="M848" s="508"/>
      <c r="N848" s="508"/>
      <c r="O848" s="509"/>
      <c r="P848" s="509"/>
    </row>
    <row r="849" spans="1:16" ht="21.75" customHeight="1" x14ac:dyDescent="0.3">
      <c r="A849" s="504"/>
      <c r="B849" s="504"/>
      <c r="C849" s="504"/>
      <c r="D849" s="504"/>
      <c r="E849" s="506"/>
      <c r="F849" s="506"/>
      <c r="G849" s="506"/>
      <c r="H849" s="506"/>
      <c r="I849" s="506"/>
      <c r="J849" s="506"/>
      <c r="K849" s="507"/>
      <c r="L849" s="508"/>
      <c r="M849" s="508"/>
      <c r="N849" s="508"/>
      <c r="O849" s="509"/>
      <c r="P849" s="509"/>
    </row>
    <row r="850" spans="1:16" ht="21.75" customHeight="1" x14ac:dyDescent="0.3">
      <c r="A850" s="504"/>
      <c r="B850" s="504"/>
      <c r="C850" s="504"/>
      <c r="D850" s="504"/>
      <c r="E850" s="506"/>
      <c r="F850" s="506"/>
      <c r="G850" s="506"/>
      <c r="H850" s="506"/>
      <c r="I850" s="506"/>
      <c r="J850" s="506"/>
      <c r="K850" s="507"/>
      <c r="L850" s="508"/>
      <c r="M850" s="508"/>
      <c r="N850" s="508"/>
      <c r="O850" s="509"/>
      <c r="P850" s="509"/>
    </row>
    <row r="851" spans="1:16" ht="21.75" customHeight="1" x14ac:dyDescent="0.3">
      <c r="A851" s="504"/>
      <c r="B851" s="504"/>
      <c r="C851" s="504"/>
      <c r="D851" s="504"/>
      <c r="E851" s="506"/>
      <c r="F851" s="506"/>
      <c r="G851" s="506"/>
      <c r="H851" s="506"/>
      <c r="I851" s="506"/>
      <c r="J851" s="506"/>
      <c r="K851" s="507"/>
      <c r="L851" s="508"/>
      <c r="M851" s="508"/>
      <c r="N851" s="508"/>
      <c r="O851" s="509"/>
      <c r="P851" s="509"/>
    </row>
    <row r="852" spans="1:16" ht="21.75" customHeight="1" x14ac:dyDescent="0.3">
      <c r="A852" s="504"/>
      <c r="B852" s="504"/>
      <c r="C852" s="504"/>
      <c r="D852" s="504"/>
      <c r="E852" s="506"/>
      <c r="F852" s="506"/>
      <c r="G852" s="506"/>
      <c r="H852" s="506"/>
      <c r="I852" s="506"/>
      <c r="J852" s="506"/>
      <c r="K852" s="507"/>
      <c r="L852" s="508"/>
      <c r="M852" s="508"/>
      <c r="N852" s="508"/>
      <c r="O852" s="509"/>
      <c r="P852" s="509"/>
    </row>
    <row r="853" spans="1:16" ht="21.75" customHeight="1" x14ac:dyDescent="0.3">
      <c r="A853" s="504"/>
      <c r="B853" s="504"/>
      <c r="C853" s="504"/>
      <c r="D853" s="504"/>
      <c r="E853" s="506"/>
      <c r="F853" s="506"/>
      <c r="G853" s="506"/>
      <c r="H853" s="506"/>
      <c r="I853" s="506"/>
      <c r="J853" s="506"/>
      <c r="K853" s="507"/>
      <c r="L853" s="508"/>
      <c r="M853" s="508"/>
      <c r="N853" s="508"/>
      <c r="O853" s="509"/>
      <c r="P853" s="509"/>
    </row>
    <row r="854" spans="1:16" ht="21.75" customHeight="1" x14ac:dyDescent="0.3">
      <c r="A854" s="504"/>
      <c r="B854" s="504"/>
      <c r="C854" s="504"/>
      <c r="D854" s="504"/>
      <c r="E854" s="506"/>
      <c r="F854" s="506"/>
      <c r="G854" s="506"/>
      <c r="H854" s="506"/>
      <c r="I854" s="506"/>
      <c r="J854" s="506"/>
      <c r="K854" s="507"/>
      <c r="L854" s="508"/>
      <c r="M854" s="508"/>
      <c r="N854" s="508"/>
      <c r="O854" s="509"/>
      <c r="P854" s="509"/>
    </row>
    <row r="855" spans="1:16" ht="21.75" customHeight="1" x14ac:dyDescent="0.3">
      <c r="A855" s="504"/>
      <c r="B855" s="504"/>
      <c r="C855" s="504"/>
      <c r="D855" s="504"/>
      <c r="E855" s="506"/>
      <c r="F855" s="506"/>
      <c r="G855" s="506"/>
      <c r="H855" s="506"/>
      <c r="I855" s="506"/>
      <c r="J855" s="506"/>
      <c r="K855" s="507"/>
      <c r="L855" s="508"/>
      <c r="M855" s="508"/>
      <c r="N855" s="508"/>
      <c r="O855" s="509"/>
      <c r="P855" s="509"/>
    </row>
    <row r="856" spans="1:16" ht="21.75" customHeight="1" x14ac:dyDescent="0.3">
      <c r="A856" s="504"/>
      <c r="B856" s="504"/>
      <c r="C856" s="504"/>
      <c r="D856" s="504"/>
      <c r="E856" s="506"/>
      <c r="F856" s="506"/>
      <c r="G856" s="506"/>
      <c r="H856" s="506"/>
      <c r="I856" s="506"/>
      <c r="J856" s="506"/>
      <c r="K856" s="507"/>
      <c r="L856" s="508"/>
      <c r="M856" s="508"/>
      <c r="N856" s="508"/>
      <c r="O856" s="509"/>
      <c r="P856" s="509"/>
    </row>
    <row r="857" spans="1:16" ht="21.75" customHeight="1" x14ac:dyDescent="0.3">
      <c r="A857" s="504"/>
      <c r="B857" s="504"/>
      <c r="C857" s="504"/>
      <c r="D857" s="504"/>
      <c r="E857" s="506"/>
      <c r="F857" s="506"/>
      <c r="G857" s="506"/>
      <c r="H857" s="506"/>
      <c r="I857" s="506"/>
      <c r="J857" s="506"/>
      <c r="K857" s="507"/>
      <c r="L857" s="508"/>
      <c r="M857" s="508"/>
      <c r="N857" s="508"/>
      <c r="O857" s="509"/>
      <c r="P857" s="509"/>
    </row>
    <row r="858" spans="1:16" ht="21.75" customHeight="1" x14ac:dyDescent="0.3">
      <c r="A858" s="504"/>
      <c r="B858" s="504"/>
      <c r="C858" s="504"/>
      <c r="D858" s="504"/>
      <c r="E858" s="506"/>
      <c r="F858" s="506"/>
      <c r="G858" s="506"/>
      <c r="H858" s="506"/>
      <c r="I858" s="506"/>
      <c r="J858" s="506"/>
      <c r="K858" s="507"/>
      <c r="L858" s="508"/>
      <c r="M858" s="508"/>
      <c r="N858" s="508"/>
      <c r="O858" s="509"/>
      <c r="P858" s="509"/>
    </row>
    <row r="859" spans="1:16" ht="21.75" customHeight="1" x14ac:dyDescent="0.3">
      <c r="A859" s="504"/>
      <c r="B859" s="504"/>
      <c r="C859" s="504"/>
      <c r="D859" s="504"/>
      <c r="E859" s="506"/>
      <c r="F859" s="506"/>
      <c r="G859" s="506"/>
      <c r="H859" s="506"/>
      <c r="I859" s="506"/>
      <c r="J859" s="506"/>
      <c r="K859" s="507"/>
      <c r="L859" s="508"/>
      <c r="M859" s="508"/>
      <c r="N859" s="508"/>
      <c r="O859" s="509"/>
      <c r="P859" s="509"/>
    </row>
    <row r="860" spans="1:16" ht="21.75" customHeight="1" x14ac:dyDescent="0.3">
      <c r="A860" s="504"/>
      <c r="B860" s="504"/>
      <c r="C860" s="504"/>
      <c r="D860" s="504"/>
      <c r="E860" s="506"/>
      <c r="F860" s="506"/>
      <c r="G860" s="506"/>
      <c r="H860" s="506"/>
      <c r="I860" s="506"/>
      <c r="J860" s="506"/>
      <c r="K860" s="507"/>
      <c r="L860" s="508"/>
      <c r="M860" s="508"/>
      <c r="N860" s="508"/>
      <c r="O860" s="509"/>
      <c r="P860" s="509"/>
    </row>
    <row r="861" spans="1:16" ht="21.75" customHeight="1" x14ac:dyDescent="0.3">
      <c r="A861" s="504"/>
      <c r="B861" s="504"/>
      <c r="C861" s="504"/>
      <c r="D861" s="504"/>
      <c r="E861" s="506"/>
      <c r="F861" s="506"/>
      <c r="G861" s="506"/>
      <c r="H861" s="506"/>
      <c r="I861" s="506"/>
      <c r="J861" s="506"/>
      <c r="K861" s="507"/>
      <c r="L861" s="508"/>
      <c r="M861" s="508"/>
      <c r="N861" s="508"/>
      <c r="O861" s="509"/>
      <c r="P861" s="509"/>
    </row>
    <row r="862" spans="1:16" ht="21.75" customHeight="1" x14ac:dyDescent="0.3">
      <c r="A862" s="504"/>
      <c r="B862" s="504"/>
      <c r="C862" s="504"/>
      <c r="D862" s="504"/>
      <c r="E862" s="506"/>
      <c r="F862" s="506"/>
      <c r="G862" s="506"/>
      <c r="H862" s="506"/>
      <c r="I862" s="506"/>
      <c r="J862" s="506"/>
      <c r="K862" s="507"/>
      <c r="L862" s="508"/>
      <c r="M862" s="508"/>
      <c r="N862" s="508"/>
      <c r="O862" s="509"/>
      <c r="P862" s="509"/>
    </row>
    <row r="863" spans="1:16" ht="21.75" customHeight="1" x14ac:dyDescent="0.3">
      <c r="A863" s="504"/>
      <c r="B863" s="504"/>
      <c r="C863" s="504"/>
      <c r="D863" s="504"/>
      <c r="E863" s="506"/>
      <c r="F863" s="506"/>
      <c r="G863" s="506"/>
      <c r="H863" s="506"/>
      <c r="I863" s="506"/>
      <c r="J863" s="506"/>
      <c r="K863" s="507"/>
      <c r="L863" s="508"/>
      <c r="M863" s="508"/>
      <c r="N863" s="508"/>
      <c r="O863" s="509"/>
      <c r="P863" s="509"/>
    </row>
    <row r="864" spans="1:16" ht="21.75" customHeight="1" x14ac:dyDescent="0.3">
      <c r="A864" s="504"/>
      <c r="B864" s="504"/>
      <c r="C864" s="504"/>
      <c r="D864" s="504"/>
      <c r="E864" s="506"/>
      <c r="F864" s="506"/>
      <c r="G864" s="506"/>
      <c r="H864" s="506"/>
      <c r="I864" s="506"/>
      <c r="J864" s="506"/>
      <c r="K864" s="507"/>
      <c r="L864" s="508"/>
      <c r="M864" s="508"/>
      <c r="N864" s="508"/>
      <c r="O864" s="509"/>
      <c r="P864" s="509"/>
    </row>
    <row r="865" spans="1:16" ht="21.75" customHeight="1" x14ac:dyDescent="0.3">
      <c r="A865" s="504"/>
      <c r="B865" s="504"/>
      <c r="C865" s="504"/>
      <c r="D865" s="504"/>
      <c r="E865" s="506"/>
      <c r="F865" s="506"/>
      <c r="G865" s="506"/>
      <c r="H865" s="506"/>
      <c r="I865" s="506"/>
      <c r="J865" s="506"/>
      <c r="K865" s="507"/>
      <c r="L865" s="508"/>
      <c r="M865" s="508"/>
      <c r="N865" s="508"/>
      <c r="O865" s="509"/>
      <c r="P865" s="509"/>
    </row>
    <row r="866" spans="1:16" ht="21.75" customHeight="1" x14ac:dyDescent="0.3">
      <c r="A866" s="504"/>
      <c r="B866" s="504"/>
      <c r="C866" s="504"/>
      <c r="D866" s="504"/>
      <c r="E866" s="506"/>
      <c r="F866" s="506"/>
      <c r="G866" s="506"/>
      <c r="H866" s="506"/>
      <c r="I866" s="506"/>
      <c r="J866" s="506"/>
      <c r="K866" s="507"/>
      <c r="L866" s="508"/>
      <c r="M866" s="508"/>
      <c r="N866" s="508"/>
      <c r="O866" s="509"/>
      <c r="P866" s="509"/>
    </row>
    <row r="867" spans="1:16" ht="21.75" customHeight="1" x14ac:dyDescent="0.3">
      <c r="A867" s="504"/>
      <c r="B867" s="504"/>
      <c r="C867" s="504"/>
      <c r="D867" s="504"/>
      <c r="E867" s="506"/>
      <c r="F867" s="506"/>
      <c r="G867" s="506"/>
      <c r="H867" s="506"/>
      <c r="I867" s="506"/>
      <c r="J867" s="506"/>
      <c r="K867" s="507"/>
      <c r="L867" s="508"/>
      <c r="M867" s="508"/>
      <c r="N867" s="508"/>
      <c r="O867" s="509"/>
      <c r="P867" s="509"/>
    </row>
    <row r="868" spans="1:16" ht="21.75" customHeight="1" x14ac:dyDescent="0.3">
      <c r="A868" s="504"/>
      <c r="B868" s="504"/>
      <c r="C868" s="504"/>
      <c r="D868" s="504"/>
      <c r="E868" s="506"/>
      <c r="F868" s="506"/>
      <c r="G868" s="506"/>
      <c r="H868" s="506"/>
      <c r="I868" s="506"/>
      <c r="J868" s="506"/>
      <c r="K868" s="507"/>
      <c r="L868" s="508"/>
      <c r="M868" s="508"/>
      <c r="N868" s="508"/>
      <c r="O868" s="509"/>
      <c r="P868" s="509"/>
    </row>
    <row r="869" spans="1:16" ht="21.75" customHeight="1" x14ac:dyDescent="0.3">
      <c r="A869" s="504"/>
      <c r="B869" s="504"/>
      <c r="C869" s="504"/>
      <c r="D869" s="504"/>
      <c r="E869" s="506"/>
      <c r="F869" s="506"/>
      <c r="G869" s="506"/>
      <c r="H869" s="506"/>
      <c r="I869" s="506"/>
      <c r="J869" s="506"/>
      <c r="K869" s="507"/>
      <c r="L869" s="508"/>
      <c r="M869" s="508"/>
      <c r="N869" s="508"/>
      <c r="O869" s="509"/>
      <c r="P869" s="509"/>
    </row>
    <row r="870" spans="1:16" ht="21.75" customHeight="1" x14ac:dyDescent="0.3">
      <c r="A870" s="504"/>
      <c r="B870" s="504"/>
      <c r="C870" s="504"/>
      <c r="D870" s="504"/>
      <c r="E870" s="506"/>
      <c r="F870" s="506"/>
      <c r="G870" s="506"/>
      <c r="H870" s="506"/>
      <c r="I870" s="506"/>
      <c r="J870" s="506"/>
      <c r="K870" s="507"/>
      <c r="L870" s="508"/>
      <c r="M870" s="508"/>
      <c r="N870" s="508"/>
      <c r="O870" s="509"/>
      <c r="P870" s="509"/>
    </row>
    <row r="871" spans="1:16" ht="21.75" customHeight="1" x14ac:dyDescent="0.3">
      <c r="A871" s="504"/>
      <c r="B871" s="504"/>
      <c r="C871" s="504"/>
      <c r="D871" s="504"/>
      <c r="E871" s="506"/>
      <c r="F871" s="506"/>
      <c r="G871" s="506"/>
      <c r="H871" s="506"/>
      <c r="I871" s="506"/>
      <c r="J871" s="506"/>
      <c r="K871" s="507"/>
      <c r="L871" s="508"/>
      <c r="M871" s="508"/>
      <c r="N871" s="508"/>
      <c r="O871" s="509"/>
      <c r="P871" s="509"/>
    </row>
    <row r="872" spans="1:16" ht="21.75" customHeight="1" x14ac:dyDescent="0.3">
      <c r="A872" s="504"/>
      <c r="B872" s="504"/>
      <c r="C872" s="504"/>
      <c r="D872" s="504"/>
      <c r="E872" s="506"/>
      <c r="F872" s="506"/>
      <c r="G872" s="506"/>
      <c r="H872" s="506"/>
      <c r="I872" s="506"/>
      <c r="J872" s="506"/>
      <c r="K872" s="507"/>
      <c r="L872" s="508"/>
      <c r="M872" s="508"/>
      <c r="N872" s="508"/>
      <c r="O872" s="509"/>
      <c r="P872" s="509"/>
    </row>
    <row r="873" spans="1:16" ht="21.75" customHeight="1" x14ac:dyDescent="0.3">
      <c r="A873" s="504"/>
      <c r="B873" s="504"/>
      <c r="C873" s="504"/>
      <c r="D873" s="504"/>
      <c r="E873" s="506"/>
      <c r="F873" s="506"/>
      <c r="G873" s="506"/>
      <c r="H873" s="506"/>
      <c r="I873" s="506"/>
      <c r="J873" s="506"/>
      <c r="K873" s="507"/>
      <c r="L873" s="508"/>
      <c r="M873" s="508"/>
      <c r="N873" s="508"/>
      <c r="O873" s="509"/>
      <c r="P873" s="509"/>
    </row>
    <row r="874" spans="1:16" ht="21.75" customHeight="1" x14ac:dyDescent="0.3">
      <c r="A874" s="504"/>
      <c r="B874" s="504"/>
      <c r="C874" s="504"/>
      <c r="D874" s="504"/>
      <c r="E874" s="506"/>
      <c r="F874" s="506"/>
      <c r="G874" s="506"/>
      <c r="H874" s="506"/>
      <c r="I874" s="506"/>
      <c r="J874" s="506"/>
      <c r="K874" s="507"/>
      <c r="L874" s="508"/>
      <c r="M874" s="508"/>
      <c r="N874" s="508"/>
      <c r="O874" s="509"/>
      <c r="P874" s="509"/>
    </row>
    <row r="875" spans="1:16" ht="21.75" customHeight="1" x14ac:dyDescent="0.3">
      <c r="A875" s="504"/>
      <c r="B875" s="504"/>
      <c r="C875" s="504"/>
      <c r="D875" s="504"/>
      <c r="E875" s="506"/>
      <c r="F875" s="506"/>
      <c r="G875" s="506"/>
      <c r="H875" s="506"/>
      <c r="I875" s="506"/>
      <c r="J875" s="506"/>
      <c r="K875" s="507"/>
      <c r="L875" s="508"/>
      <c r="M875" s="508"/>
      <c r="N875" s="508"/>
      <c r="O875" s="509"/>
      <c r="P875" s="509"/>
    </row>
    <row r="876" spans="1:16" ht="21.75" customHeight="1" x14ac:dyDescent="0.3">
      <c r="A876" s="504"/>
      <c r="B876" s="504"/>
      <c r="C876" s="504"/>
      <c r="D876" s="504"/>
      <c r="E876" s="506"/>
      <c r="F876" s="506"/>
      <c r="G876" s="506"/>
      <c r="H876" s="506"/>
      <c r="I876" s="506"/>
      <c r="J876" s="506"/>
      <c r="K876" s="507"/>
      <c r="L876" s="508"/>
      <c r="M876" s="508"/>
      <c r="N876" s="508"/>
      <c r="O876" s="509"/>
      <c r="P876" s="509"/>
    </row>
    <row r="877" spans="1:16" ht="21.75" customHeight="1" x14ac:dyDescent="0.3">
      <c r="A877" s="504"/>
      <c r="B877" s="504"/>
      <c r="C877" s="504"/>
      <c r="D877" s="504"/>
      <c r="E877" s="506"/>
      <c r="F877" s="506"/>
      <c r="G877" s="506"/>
      <c r="H877" s="506"/>
      <c r="I877" s="506"/>
      <c r="J877" s="506"/>
      <c r="K877" s="507"/>
      <c r="L877" s="508"/>
      <c r="M877" s="508"/>
      <c r="N877" s="508"/>
      <c r="O877" s="509"/>
      <c r="P877" s="509"/>
    </row>
    <row r="878" spans="1:16" ht="21.75" customHeight="1" x14ac:dyDescent="0.3">
      <c r="A878" s="504"/>
      <c r="B878" s="504"/>
      <c r="C878" s="504"/>
      <c r="D878" s="504"/>
      <c r="E878" s="506"/>
      <c r="F878" s="506"/>
      <c r="G878" s="506"/>
      <c r="H878" s="506"/>
      <c r="I878" s="506"/>
      <c r="J878" s="506"/>
      <c r="K878" s="507"/>
      <c r="L878" s="508"/>
      <c r="M878" s="508"/>
      <c r="N878" s="508"/>
      <c r="O878" s="509"/>
      <c r="P878" s="509"/>
    </row>
    <row r="879" spans="1:16" ht="21.75" customHeight="1" x14ac:dyDescent="0.3">
      <c r="A879" s="504"/>
      <c r="B879" s="504"/>
      <c r="C879" s="504"/>
      <c r="D879" s="504"/>
      <c r="E879" s="506"/>
      <c r="F879" s="506"/>
      <c r="G879" s="506"/>
      <c r="H879" s="506"/>
      <c r="I879" s="506"/>
      <c r="J879" s="506"/>
      <c r="K879" s="507"/>
      <c r="L879" s="508"/>
      <c r="M879" s="508"/>
      <c r="N879" s="508"/>
      <c r="O879" s="509"/>
      <c r="P879" s="509"/>
    </row>
    <row r="880" spans="1:16" ht="21.75" customHeight="1" x14ac:dyDescent="0.3">
      <c r="A880" s="504"/>
      <c r="B880" s="504"/>
      <c r="C880" s="504"/>
      <c r="D880" s="504"/>
      <c r="E880" s="506"/>
      <c r="F880" s="506"/>
      <c r="G880" s="506"/>
      <c r="H880" s="506"/>
      <c r="I880" s="506"/>
      <c r="J880" s="506"/>
      <c r="K880" s="507"/>
      <c r="L880" s="508"/>
      <c r="M880" s="508"/>
      <c r="N880" s="508"/>
      <c r="O880" s="509"/>
      <c r="P880" s="509"/>
    </row>
    <row r="881" spans="1:16" ht="21.75" customHeight="1" x14ac:dyDescent="0.3">
      <c r="A881" s="504"/>
      <c r="B881" s="504"/>
      <c r="C881" s="504"/>
      <c r="D881" s="504"/>
      <c r="E881" s="506"/>
      <c r="F881" s="506"/>
      <c r="G881" s="506"/>
      <c r="H881" s="506"/>
      <c r="I881" s="506"/>
      <c r="J881" s="506"/>
      <c r="K881" s="507"/>
      <c r="L881" s="508"/>
      <c r="M881" s="508"/>
      <c r="N881" s="508"/>
      <c r="O881" s="509"/>
      <c r="P881" s="509"/>
    </row>
    <row r="882" spans="1:16" ht="21.75" customHeight="1" x14ac:dyDescent="0.3">
      <c r="A882" s="504"/>
      <c r="B882" s="504"/>
      <c r="C882" s="504"/>
      <c r="D882" s="504"/>
      <c r="E882" s="506"/>
      <c r="F882" s="506"/>
      <c r="G882" s="506"/>
      <c r="H882" s="506"/>
      <c r="I882" s="506"/>
      <c r="J882" s="506"/>
      <c r="K882" s="507"/>
      <c r="L882" s="508"/>
      <c r="M882" s="508"/>
      <c r="N882" s="508"/>
      <c r="O882" s="509"/>
      <c r="P882" s="509"/>
    </row>
    <row r="883" spans="1:16" ht="21.75" customHeight="1" x14ac:dyDescent="0.3">
      <c r="A883" s="504"/>
      <c r="B883" s="504"/>
      <c r="C883" s="504"/>
      <c r="D883" s="504"/>
      <c r="E883" s="506"/>
      <c r="F883" s="506"/>
      <c r="G883" s="506"/>
      <c r="H883" s="506"/>
      <c r="I883" s="506"/>
      <c r="J883" s="506"/>
      <c r="K883" s="507"/>
      <c r="L883" s="508"/>
      <c r="M883" s="508"/>
      <c r="N883" s="508"/>
      <c r="O883" s="509"/>
      <c r="P883" s="509"/>
    </row>
    <row r="884" spans="1:16" ht="21.75" customHeight="1" x14ac:dyDescent="0.3">
      <c r="A884" s="504"/>
      <c r="B884" s="504"/>
      <c r="C884" s="504"/>
      <c r="D884" s="504"/>
      <c r="E884" s="506"/>
      <c r="F884" s="506"/>
      <c r="G884" s="506"/>
      <c r="H884" s="506"/>
      <c r="I884" s="506"/>
      <c r="J884" s="506"/>
      <c r="K884" s="507"/>
      <c r="L884" s="508"/>
      <c r="M884" s="508"/>
      <c r="N884" s="508"/>
      <c r="O884" s="509"/>
      <c r="P884" s="509"/>
    </row>
    <row r="885" spans="1:16" ht="21.75" customHeight="1" x14ac:dyDescent="0.3">
      <c r="A885" s="504"/>
      <c r="B885" s="504"/>
      <c r="C885" s="504"/>
      <c r="D885" s="504"/>
      <c r="E885" s="506"/>
      <c r="F885" s="506"/>
      <c r="G885" s="506"/>
      <c r="H885" s="506"/>
      <c r="I885" s="506"/>
      <c r="J885" s="506"/>
      <c r="K885" s="507"/>
      <c r="L885" s="508"/>
      <c r="M885" s="508"/>
      <c r="N885" s="508"/>
      <c r="O885" s="509"/>
      <c r="P885" s="509"/>
    </row>
    <row r="886" spans="1:16" ht="21.75" customHeight="1" x14ac:dyDescent="0.3">
      <c r="A886" s="504"/>
      <c r="B886" s="504"/>
      <c r="C886" s="504"/>
      <c r="D886" s="504"/>
      <c r="E886" s="506"/>
      <c r="F886" s="506"/>
      <c r="G886" s="506"/>
      <c r="H886" s="506"/>
      <c r="I886" s="506"/>
      <c r="J886" s="506"/>
      <c r="K886" s="507"/>
      <c r="L886" s="508"/>
      <c r="M886" s="508"/>
      <c r="N886" s="508"/>
      <c r="O886" s="509"/>
      <c r="P886" s="509"/>
    </row>
    <row r="887" spans="1:16" ht="21.75" customHeight="1" x14ac:dyDescent="0.3">
      <c r="A887" s="504"/>
      <c r="B887" s="504"/>
      <c r="C887" s="504"/>
      <c r="D887" s="504"/>
      <c r="E887" s="506"/>
      <c r="F887" s="506"/>
      <c r="G887" s="506"/>
      <c r="H887" s="506"/>
      <c r="I887" s="506"/>
      <c r="J887" s="506"/>
      <c r="K887" s="507"/>
      <c r="L887" s="508"/>
      <c r="M887" s="508"/>
      <c r="N887" s="508"/>
      <c r="O887" s="509"/>
      <c r="P887" s="509"/>
    </row>
    <row r="888" spans="1:16" ht="21.75" customHeight="1" x14ac:dyDescent="0.3">
      <c r="A888" s="504"/>
      <c r="B888" s="504"/>
      <c r="C888" s="504"/>
      <c r="D888" s="504"/>
      <c r="E888" s="506"/>
      <c r="F888" s="506"/>
      <c r="G888" s="506"/>
      <c r="H888" s="506"/>
      <c r="I888" s="506"/>
      <c r="J888" s="506"/>
      <c r="K888" s="507"/>
      <c r="L888" s="508"/>
      <c r="M888" s="508"/>
      <c r="N888" s="508"/>
      <c r="O888" s="509"/>
      <c r="P888" s="509"/>
    </row>
    <row r="889" spans="1:16" ht="21.75" customHeight="1" x14ac:dyDescent="0.3">
      <c r="A889" s="504"/>
      <c r="B889" s="504"/>
      <c r="C889" s="504"/>
      <c r="D889" s="504"/>
      <c r="E889" s="506"/>
      <c r="F889" s="506"/>
      <c r="G889" s="506"/>
      <c r="H889" s="506"/>
      <c r="I889" s="506"/>
      <c r="J889" s="506"/>
      <c r="K889" s="507"/>
      <c r="L889" s="508"/>
      <c r="M889" s="508"/>
      <c r="N889" s="508"/>
      <c r="O889" s="509"/>
      <c r="P889" s="509"/>
    </row>
    <row r="890" spans="1:16" ht="21.75" customHeight="1" x14ac:dyDescent="0.3">
      <c r="A890" s="504"/>
      <c r="B890" s="504"/>
      <c r="C890" s="504"/>
      <c r="D890" s="504"/>
      <c r="E890" s="506"/>
      <c r="F890" s="506"/>
      <c r="G890" s="506"/>
      <c r="H890" s="506"/>
      <c r="I890" s="506"/>
      <c r="J890" s="506"/>
      <c r="K890" s="507"/>
      <c r="L890" s="508"/>
      <c r="M890" s="508"/>
      <c r="N890" s="508"/>
      <c r="O890" s="509"/>
      <c r="P890" s="509"/>
    </row>
    <row r="891" spans="1:16" ht="21.75" customHeight="1" x14ac:dyDescent="0.3">
      <c r="A891" s="504"/>
      <c r="B891" s="504"/>
      <c r="C891" s="504"/>
      <c r="D891" s="504"/>
      <c r="E891" s="506"/>
      <c r="F891" s="506"/>
      <c r="G891" s="506"/>
      <c r="H891" s="506"/>
      <c r="I891" s="506"/>
      <c r="J891" s="506"/>
      <c r="K891" s="507"/>
      <c r="L891" s="508"/>
      <c r="M891" s="508"/>
      <c r="N891" s="508"/>
      <c r="O891" s="509"/>
      <c r="P891" s="509"/>
    </row>
    <row r="892" spans="1:16" ht="21.75" customHeight="1" x14ac:dyDescent="0.3">
      <c r="A892" s="504"/>
      <c r="B892" s="504"/>
      <c r="C892" s="504"/>
      <c r="D892" s="504"/>
      <c r="E892" s="506"/>
      <c r="F892" s="506"/>
      <c r="G892" s="506"/>
      <c r="H892" s="506"/>
      <c r="I892" s="506"/>
      <c r="J892" s="506"/>
      <c r="K892" s="507"/>
      <c r="L892" s="508"/>
      <c r="M892" s="508"/>
      <c r="N892" s="508"/>
      <c r="O892" s="509"/>
      <c r="P892" s="509"/>
    </row>
    <row r="893" spans="1:16" ht="21.75" customHeight="1" x14ac:dyDescent="0.3">
      <c r="A893" s="504"/>
      <c r="B893" s="504"/>
      <c r="C893" s="504"/>
      <c r="D893" s="504"/>
      <c r="E893" s="506"/>
      <c r="F893" s="506"/>
      <c r="G893" s="506"/>
      <c r="H893" s="506"/>
      <c r="I893" s="506"/>
      <c r="J893" s="506"/>
      <c r="K893" s="507"/>
      <c r="L893" s="508"/>
      <c r="M893" s="508"/>
      <c r="N893" s="508"/>
      <c r="O893" s="509"/>
      <c r="P893" s="509"/>
    </row>
    <row r="894" spans="1:16" ht="21.75" customHeight="1" x14ac:dyDescent="0.3">
      <c r="A894" s="504"/>
      <c r="B894" s="504"/>
      <c r="C894" s="504"/>
      <c r="D894" s="504"/>
      <c r="E894" s="506"/>
      <c r="F894" s="506"/>
      <c r="G894" s="506"/>
      <c r="H894" s="506"/>
      <c r="I894" s="506"/>
      <c r="J894" s="506"/>
      <c r="K894" s="507"/>
      <c r="L894" s="508"/>
      <c r="M894" s="508"/>
      <c r="N894" s="508"/>
      <c r="O894" s="509"/>
      <c r="P894" s="509"/>
    </row>
    <row r="895" spans="1:16" ht="21.75" customHeight="1" x14ac:dyDescent="0.3">
      <c r="A895" s="504"/>
      <c r="B895" s="504"/>
      <c r="C895" s="504"/>
      <c r="D895" s="504"/>
      <c r="E895" s="506"/>
      <c r="F895" s="506"/>
      <c r="G895" s="506"/>
      <c r="H895" s="506"/>
      <c r="I895" s="506"/>
      <c r="J895" s="506"/>
      <c r="K895" s="507"/>
      <c r="L895" s="508"/>
      <c r="M895" s="508"/>
      <c r="N895" s="508"/>
      <c r="O895" s="509"/>
      <c r="P895" s="509"/>
    </row>
    <row r="896" spans="1:16" ht="21.75" customHeight="1" x14ac:dyDescent="0.3">
      <c r="A896" s="504"/>
      <c r="B896" s="504"/>
      <c r="C896" s="504"/>
      <c r="D896" s="504"/>
      <c r="E896" s="506"/>
      <c r="F896" s="506"/>
      <c r="G896" s="506"/>
      <c r="H896" s="506"/>
      <c r="I896" s="506"/>
      <c r="J896" s="506"/>
      <c r="K896" s="507"/>
      <c r="L896" s="508"/>
      <c r="M896" s="508"/>
      <c r="N896" s="508"/>
      <c r="O896" s="509"/>
      <c r="P896" s="509"/>
    </row>
    <row r="897" spans="1:16" ht="21.75" customHeight="1" x14ac:dyDescent="0.3">
      <c r="A897" s="504"/>
      <c r="B897" s="504"/>
      <c r="C897" s="504"/>
      <c r="D897" s="504"/>
      <c r="E897" s="506"/>
      <c r="F897" s="506"/>
      <c r="G897" s="506"/>
      <c r="H897" s="506"/>
      <c r="I897" s="506"/>
      <c r="J897" s="506"/>
      <c r="K897" s="507"/>
      <c r="L897" s="508"/>
      <c r="M897" s="508"/>
      <c r="N897" s="508"/>
      <c r="O897" s="509"/>
      <c r="P897" s="509"/>
    </row>
    <row r="898" spans="1:16" ht="21.75" customHeight="1" x14ac:dyDescent="0.3">
      <c r="A898" s="504"/>
      <c r="B898" s="504"/>
      <c r="C898" s="504"/>
      <c r="D898" s="504"/>
      <c r="E898" s="506"/>
      <c r="F898" s="506"/>
      <c r="G898" s="506"/>
      <c r="H898" s="506"/>
      <c r="I898" s="506"/>
      <c r="J898" s="506"/>
      <c r="K898" s="507"/>
      <c r="L898" s="508"/>
      <c r="M898" s="508"/>
      <c r="N898" s="508"/>
      <c r="O898" s="509"/>
      <c r="P898" s="509"/>
    </row>
    <row r="899" spans="1:16" ht="21.75" customHeight="1" x14ac:dyDescent="0.3">
      <c r="A899" s="504"/>
      <c r="B899" s="504"/>
      <c r="C899" s="504"/>
      <c r="D899" s="504"/>
      <c r="E899" s="506"/>
      <c r="F899" s="506"/>
      <c r="G899" s="506"/>
      <c r="H899" s="506"/>
      <c r="I899" s="506"/>
      <c r="J899" s="506"/>
      <c r="K899" s="507"/>
      <c r="L899" s="508"/>
      <c r="M899" s="508"/>
      <c r="N899" s="508"/>
      <c r="O899" s="509"/>
      <c r="P899" s="509"/>
    </row>
    <row r="900" spans="1:16" ht="21.75" customHeight="1" x14ac:dyDescent="0.3">
      <c r="A900" s="504"/>
      <c r="B900" s="504"/>
      <c r="C900" s="504"/>
      <c r="D900" s="504"/>
      <c r="E900" s="506"/>
      <c r="F900" s="506"/>
      <c r="G900" s="506"/>
      <c r="H900" s="506"/>
      <c r="I900" s="506"/>
      <c r="J900" s="506"/>
      <c r="K900" s="507"/>
      <c r="L900" s="508"/>
      <c r="M900" s="508"/>
      <c r="N900" s="508"/>
      <c r="O900" s="509"/>
      <c r="P900" s="509"/>
    </row>
    <row r="901" spans="1:16" ht="21.75" customHeight="1" x14ac:dyDescent="0.3">
      <c r="A901" s="504"/>
      <c r="B901" s="504"/>
      <c r="C901" s="504"/>
      <c r="D901" s="504"/>
      <c r="E901" s="506"/>
      <c r="F901" s="506"/>
      <c r="G901" s="506"/>
      <c r="H901" s="506"/>
      <c r="I901" s="506"/>
      <c r="J901" s="506"/>
      <c r="K901" s="507"/>
      <c r="L901" s="508"/>
      <c r="M901" s="508"/>
      <c r="N901" s="508"/>
      <c r="O901" s="509"/>
      <c r="P901" s="509"/>
    </row>
    <row r="902" spans="1:16" ht="21.75" customHeight="1" x14ac:dyDescent="0.3">
      <c r="A902" s="504"/>
      <c r="B902" s="504"/>
      <c r="C902" s="504"/>
      <c r="D902" s="504"/>
      <c r="E902" s="506"/>
      <c r="F902" s="506"/>
      <c r="G902" s="506"/>
      <c r="H902" s="506"/>
      <c r="I902" s="506"/>
      <c r="J902" s="506"/>
      <c r="K902" s="507"/>
      <c r="L902" s="508"/>
      <c r="M902" s="508"/>
      <c r="N902" s="508"/>
      <c r="O902" s="509"/>
      <c r="P902" s="509"/>
    </row>
    <row r="903" spans="1:16" ht="21.75" customHeight="1" x14ac:dyDescent="0.3">
      <c r="A903" s="504"/>
      <c r="B903" s="504"/>
      <c r="C903" s="504"/>
      <c r="D903" s="504"/>
      <c r="E903" s="506"/>
      <c r="F903" s="506"/>
      <c r="G903" s="506"/>
      <c r="H903" s="506"/>
      <c r="I903" s="506"/>
      <c r="J903" s="506"/>
      <c r="K903" s="507"/>
      <c r="L903" s="508"/>
      <c r="M903" s="508"/>
      <c r="N903" s="508"/>
      <c r="O903" s="509"/>
      <c r="P903" s="509"/>
    </row>
    <row r="904" spans="1:16" ht="21.75" customHeight="1" x14ac:dyDescent="0.3">
      <c r="A904" s="504"/>
      <c r="B904" s="504"/>
      <c r="C904" s="504"/>
      <c r="D904" s="504"/>
      <c r="E904" s="506"/>
      <c r="F904" s="506"/>
      <c r="G904" s="506"/>
      <c r="H904" s="506"/>
      <c r="I904" s="506"/>
      <c r="J904" s="506"/>
      <c r="K904" s="507"/>
      <c r="L904" s="508"/>
      <c r="M904" s="508"/>
      <c r="N904" s="508"/>
      <c r="O904" s="509"/>
      <c r="P904" s="509"/>
    </row>
    <row r="905" spans="1:16" ht="21.75" customHeight="1" x14ac:dyDescent="0.3">
      <c r="A905" s="504"/>
      <c r="B905" s="504"/>
      <c r="C905" s="504"/>
      <c r="D905" s="504"/>
      <c r="E905" s="506"/>
      <c r="F905" s="506"/>
      <c r="G905" s="506"/>
      <c r="H905" s="506"/>
      <c r="I905" s="506"/>
      <c r="J905" s="506"/>
      <c r="K905" s="507"/>
      <c r="L905" s="508"/>
      <c r="M905" s="508"/>
      <c r="N905" s="508"/>
      <c r="O905" s="509"/>
      <c r="P905" s="509"/>
    </row>
    <row r="906" spans="1:16" ht="21.75" customHeight="1" x14ac:dyDescent="0.3">
      <c r="A906" s="504"/>
      <c r="B906" s="504"/>
      <c r="C906" s="504"/>
      <c r="D906" s="504"/>
      <c r="E906" s="506"/>
      <c r="F906" s="506"/>
      <c r="G906" s="506"/>
      <c r="H906" s="506"/>
      <c r="I906" s="506"/>
      <c r="J906" s="506"/>
      <c r="K906" s="507"/>
      <c r="L906" s="508"/>
      <c r="M906" s="508"/>
      <c r="N906" s="508"/>
      <c r="O906" s="509"/>
      <c r="P906" s="509"/>
    </row>
    <row r="907" spans="1:16" ht="21.75" customHeight="1" x14ac:dyDescent="0.3">
      <c r="A907" s="504"/>
      <c r="B907" s="504"/>
      <c r="C907" s="504"/>
      <c r="D907" s="504"/>
      <c r="E907" s="506"/>
      <c r="F907" s="506"/>
      <c r="G907" s="506"/>
      <c r="H907" s="506"/>
      <c r="I907" s="506"/>
      <c r="J907" s="506"/>
      <c r="K907" s="507"/>
      <c r="L907" s="508"/>
      <c r="M907" s="508"/>
      <c r="N907" s="508"/>
      <c r="O907" s="509"/>
      <c r="P907" s="509"/>
    </row>
    <row r="908" spans="1:16" ht="21.75" customHeight="1" x14ac:dyDescent="0.3">
      <c r="A908" s="504"/>
      <c r="B908" s="504"/>
      <c r="C908" s="504"/>
      <c r="D908" s="504"/>
      <c r="E908" s="506"/>
      <c r="F908" s="506"/>
      <c r="G908" s="506"/>
      <c r="H908" s="506"/>
      <c r="I908" s="506"/>
      <c r="J908" s="506"/>
      <c r="K908" s="507"/>
      <c r="L908" s="508"/>
      <c r="M908" s="508"/>
      <c r="N908" s="508"/>
      <c r="O908" s="509"/>
      <c r="P908" s="509"/>
    </row>
    <row r="909" spans="1:16" ht="21.75" customHeight="1" x14ac:dyDescent="0.3">
      <c r="A909" s="504"/>
      <c r="B909" s="504"/>
      <c r="C909" s="504"/>
      <c r="D909" s="504"/>
      <c r="E909" s="506"/>
      <c r="F909" s="506"/>
      <c r="G909" s="506"/>
      <c r="H909" s="506"/>
      <c r="I909" s="506"/>
      <c r="J909" s="506"/>
      <c r="K909" s="507"/>
      <c r="L909" s="508"/>
      <c r="M909" s="508"/>
      <c r="N909" s="508"/>
      <c r="O909" s="509"/>
      <c r="P909" s="509"/>
    </row>
    <row r="910" spans="1:16" ht="21.75" customHeight="1" x14ac:dyDescent="0.3">
      <c r="A910" s="504"/>
      <c r="B910" s="504"/>
      <c r="C910" s="504"/>
      <c r="D910" s="504"/>
      <c r="E910" s="506"/>
      <c r="F910" s="506"/>
      <c r="G910" s="506"/>
      <c r="H910" s="506"/>
      <c r="I910" s="506"/>
      <c r="J910" s="506"/>
      <c r="K910" s="507"/>
      <c r="L910" s="508"/>
      <c r="M910" s="508"/>
      <c r="N910" s="508"/>
      <c r="O910" s="509"/>
      <c r="P910" s="509"/>
    </row>
    <row r="911" spans="1:16" ht="21.75" customHeight="1" x14ac:dyDescent="0.3">
      <c r="A911" s="504"/>
      <c r="B911" s="504"/>
      <c r="C911" s="504"/>
      <c r="D911" s="504"/>
      <c r="E911" s="506"/>
      <c r="F911" s="506"/>
      <c r="G911" s="506"/>
      <c r="H911" s="506"/>
      <c r="I911" s="506"/>
      <c r="J911" s="506"/>
      <c r="K911" s="507"/>
      <c r="L911" s="508"/>
      <c r="M911" s="508"/>
      <c r="N911" s="508"/>
      <c r="O911" s="509"/>
      <c r="P911" s="509"/>
    </row>
    <row r="912" spans="1:16" ht="21.75" customHeight="1" x14ac:dyDescent="0.3">
      <c r="A912" s="504"/>
      <c r="B912" s="504"/>
      <c r="C912" s="504"/>
      <c r="D912" s="504"/>
      <c r="E912" s="506"/>
      <c r="F912" s="506"/>
      <c r="G912" s="506"/>
      <c r="H912" s="506"/>
      <c r="I912" s="506"/>
      <c r="J912" s="506"/>
      <c r="K912" s="507"/>
      <c r="L912" s="508"/>
      <c r="M912" s="508"/>
      <c r="N912" s="508"/>
      <c r="O912" s="509"/>
      <c r="P912" s="509"/>
    </row>
    <row r="913" spans="1:16" ht="21.75" customHeight="1" x14ac:dyDescent="0.3">
      <c r="A913" s="504"/>
      <c r="B913" s="504"/>
      <c r="C913" s="504"/>
      <c r="D913" s="504"/>
      <c r="E913" s="506"/>
      <c r="F913" s="506"/>
      <c r="G913" s="506"/>
      <c r="H913" s="506"/>
      <c r="I913" s="506"/>
      <c r="J913" s="506"/>
      <c r="K913" s="507"/>
      <c r="L913" s="508"/>
      <c r="M913" s="508"/>
      <c r="N913" s="508"/>
      <c r="O913" s="509"/>
      <c r="P913" s="509"/>
    </row>
    <row r="914" spans="1:16" ht="21.75" customHeight="1" x14ac:dyDescent="0.3">
      <c r="A914" s="504"/>
      <c r="B914" s="504"/>
      <c r="C914" s="504"/>
      <c r="D914" s="504"/>
      <c r="E914" s="506"/>
      <c r="F914" s="506"/>
      <c r="G914" s="506"/>
      <c r="H914" s="506"/>
      <c r="I914" s="506"/>
      <c r="J914" s="506"/>
      <c r="K914" s="507"/>
      <c r="L914" s="508"/>
      <c r="M914" s="508"/>
      <c r="N914" s="508"/>
      <c r="O914" s="509"/>
      <c r="P914" s="509"/>
    </row>
    <row r="915" spans="1:16" ht="21.75" customHeight="1" x14ac:dyDescent="0.3">
      <c r="A915" s="504"/>
      <c r="B915" s="504"/>
      <c r="C915" s="504"/>
      <c r="D915" s="504"/>
      <c r="E915" s="506"/>
      <c r="F915" s="506"/>
      <c r="G915" s="506"/>
      <c r="H915" s="506"/>
      <c r="I915" s="506"/>
      <c r="J915" s="506"/>
      <c r="K915" s="507"/>
      <c r="L915" s="508"/>
      <c r="M915" s="508"/>
      <c r="N915" s="508"/>
      <c r="O915" s="509"/>
      <c r="P915" s="509"/>
    </row>
    <row r="916" spans="1:16" ht="21.75" customHeight="1" x14ac:dyDescent="0.3">
      <c r="A916" s="504"/>
      <c r="B916" s="504"/>
      <c r="C916" s="504"/>
      <c r="D916" s="504"/>
      <c r="E916" s="506"/>
      <c r="F916" s="506"/>
      <c r="G916" s="506"/>
      <c r="H916" s="506"/>
      <c r="I916" s="506"/>
      <c r="J916" s="506"/>
      <c r="K916" s="507"/>
      <c r="L916" s="508"/>
      <c r="M916" s="508"/>
      <c r="N916" s="508"/>
      <c r="O916" s="509"/>
      <c r="P916" s="509"/>
    </row>
    <row r="917" spans="1:16" ht="21.75" customHeight="1" x14ac:dyDescent="0.3">
      <c r="A917" s="504"/>
      <c r="B917" s="504"/>
      <c r="C917" s="504"/>
      <c r="D917" s="504"/>
      <c r="E917" s="506"/>
      <c r="F917" s="506"/>
      <c r="G917" s="506"/>
      <c r="H917" s="506"/>
      <c r="I917" s="506"/>
      <c r="J917" s="506"/>
      <c r="K917" s="507"/>
      <c r="L917" s="508"/>
      <c r="M917" s="508"/>
      <c r="N917" s="508"/>
      <c r="O917" s="509"/>
      <c r="P917" s="509"/>
    </row>
    <row r="918" spans="1:16" ht="21.75" customHeight="1" x14ac:dyDescent="0.3">
      <c r="A918" s="504"/>
      <c r="B918" s="504"/>
      <c r="C918" s="504"/>
      <c r="D918" s="504"/>
      <c r="E918" s="506"/>
      <c r="F918" s="506"/>
      <c r="G918" s="506"/>
      <c r="H918" s="506"/>
      <c r="I918" s="506"/>
      <c r="J918" s="506"/>
      <c r="K918" s="507"/>
      <c r="L918" s="508"/>
      <c r="M918" s="508"/>
      <c r="N918" s="508"/>
      <c r="O918" s="509"/>
      <c r="P918" s="509"/>
    </row>
    <row r="919" spans="1:16" ht="21.75" customHeight="1" x14ac:dyDescent="0.3">
      <c r="A919" s="504"/>
      <c r="B919" s="504"/>
      <c r="C919" s="504"/>
      <c r="D919" s="504"/>
      <c r="E919" s="506"/>
      <c r="F919" s="506"/>
      <c r="G919" s="506"/>
      <c r="H919" s="506"/>
      <c r="I919" s="506"/>
      <c r="J919" s="506"/>
      <c r="K919" s="507"/>
      <c r="L919" s="508"/>
      <c r="M919" s="508"/>
      <c r="N919" s="508"/>
      <c r="O919" s="509"/>
      <c r="P919" s="509"/>
    </row>
    <row r="920" spans="1:16" ht="21.75" customHeight="1" x14ac:dyDescent="0.3">
      <c r="A920" s="504"/>
      <c r="B920" s="504"/>
      <c r="C920" s="504"/>
      <c r="D920" s="504"/>
      <c r="E920" s="506"/>
      <c r="F920" s="506"/>
      <c r="G920" s="506"/>
      <c r="H920" s="506"/>
      <c r="I920" s="506"/>
      <c r="J920" s="506"/>
      <c r="K920" s="507"/>
      <c r="L920" s="508"/>
      <c r="M920" s="508"/>
      <c r="N920" s="508"/>
      <c r="O920" s="509"/>
      <c r="P920" s="509"/>
    </row>
    <row r="921" spans="1:16" ht="21.75" customHeight="1" x14ac:dyDescent="0.3">
      <c r="A921" s="504"/>
      <c r="B921" s="504"/>
      <c r="C921" s="504"/>
      <c r="D921" s="504"/>
      <c r="E921" s="506"/>
      <c r="F921" s="506"/>
      <c r="G921" s="506"/>
      <c r="H921" s="506"/>
      <c r="I921" s="506"/>
      <c r="J921" s="506"/>
      <c r="K921" s="507"/>
      <c r="L921" s="508"/>
      <c r="M921" s="508"/>
      <c r="N921" s="508"/>
      <c r="O921" s="509"/>
      <c r="P921" s="509"/>
    </row>
    <row r="922" spans="1:16" ht="21.75" customHeight="1" x14ac:dyDescent="0.3">
      <c r="A922" s="504"/>
      <c r="B922" s="504"/>
      <c r="C922" s="504"/>
      <c r="D922" s="504"/>
      <c r="E922" s="506"/>
      <c r="F922" s="506"/>
      <c r="G922" s="506"/>
      <c r="H922" s="506"/>
      <c r="I922" s="506"/>
      <c r="J922" s="506"/>
      <c r="K922" s="507"/>
      <c r="L922" s="508"/>
      <c r="M922" s="508"/>
      <c r="N922" s="508"/>
      <c r="O922" s="509"/>
      <c r="P922" s="509"/>
    </row>
    <row r="923" spans="1:16" ht="21.75" customHeight="1" x14ac:dyDescent="0.3">
      <c r="A923" s="504"/>
      <c r="B923" s="504"/>
      <c r="C923" s="504"/>
      <c r="D923" s="504"/>
      <c r="E923" s="506"/>
      <c r="F923" s="506"/>
      <c r="G923" s="506"/>
      <c r="H923" s="506"/>
      <c r="I923" s="506"/>
      <c r="J923" s="506"/>
      <c r="K923" s="507"/>
      <c r="L923" s="508"/>
      <c r="M923" s="508"/>
      <c r="N923" s="508"/>
      <c r="O923" s="509"/>
      <c r="P923" s="509"/>
    </row>
    <row r="924" spans="1:16" ht="21.75" customHeight="1" x14ac:dyDescent="0.3">
      <c r="A924" s="504"/>
      <c r="B924" s="504"/>
      <c r="C924" s="504"/>
      <c r="D924" s="504"/>
      <c r="E924" s="506"/>
      <c r="F924" s="506"/>
      <c r="G924" s="506"/>
      <c r="H924" s="506"/>
      <c r="I924" s="506"/>
      <c r="J924" s="506"/>
      <c r="K924" s="507"/>
      <c r="L924" s="508"/>
      <c r="M924" s="508"/>
      <c r="N924" s="508"/>
      <c r="O924" s="509"/>
      <c r="P924" s="509"/>
    </row>
    <row r="925" spans="1:16" ht="21.75" customHeight="1" x14ac:dyDescent="0.3">
      <c r="A925" s="504"/>
      <c r="B925" s="504"/>
      <c r="C925" s="504"/>
      <c r="D925" s="504"/>
      <c r="E925" s="506"/>
      <c r="F925" s="506"/>
      <c r="G925" s="506"/>
      <c r="H925" s="506"/>
      <c r="I925" s="506"/>
      <c r="J925" s="506"/>
      <c r="K925" s="507"/>
      <c r="L925" s="508"/>
      <c r="M925" s="508"/>
      <c r="N925" s="508"/>
      <c r="O925" s="509"/>
      <c r="P925" s="509"/>
    </row>
    <row r="926" spans="1:16" ht="21.75" customHeight="1" x14ac:dyDescent="0.3">
      <c r="A926" s="504"/>
      <c r="B926" s="504"/>
      <c r="C926" s="504"/>
      <c r="D926" s="504"/>
      <c r="E926" s="506"/>
      <c r="F926" s="506"/>
      <c r="G926" s="506"/>
      <c r="H926" s="506"/>
      <c r="I926" s="506"/>
      <c r="J926" s="506"/>
      <c r="K926" s="507"/>
      <c r="L926" s="508"/>
      <c r="M926" s="508"/>
      <c r="N926" s="508"/>
      <c r="O926" s="509"/>
      <c r="P926" s="509"/>
    </row>
    <row r="927" spans="1:16" ht="21.75" customHeight="1" x14ac:dyDescent="0.3">
      <c r="A927" s="504"/>
      <c r="B927" s="504"/>
      <c r="C927" s="504"/>
      <c r="D927" s="504"/>
      <c r="E927" s="506"/>
      <c r="F927" s="506"/>
      <c r="G927" s="506"/>
      <c r="H927" s="506"/>
      <c r="I927" s="506"/>
      <c r="J927" s="506"/>
      <c r="K927" s="507"/>
      <c r="L927" s="508"/>
      <c r="M927" s="508"/>
      <c r="N927" s="508"/>
      <c r="O927" s="509"/>
      <c r="P927" s="509"/>
    </row>
    <row r="928" spans="1:16" ht="21.75" customHeight="1" x14ac:dyDescent="0.3">
      <c r="A928" s="504"/>
      <c r="B928" s="504"/>
      <c r="C928" s="504"/>
      <c r="D928" s="504"/>
      <c r="E928" s="506"/>
      <c r="F928" s="506"/>
      <c r="G928" s="506"/>
      <c r="H928" s="506"/>
      <c r="I928" s="506"/>
      <c r="J928" s="506"/>
      <c r="K928" s="507"/>
      <c r="L928" s="508"/>
      <c r="M928" s="508"/>
      <c r="N928" s="508"/>
      <c r="O928" s="509"/>
      <c r="P928" s="509"/>
    </row>
    <row r="929" spans="1:16" ht="21.75" customHeight="1" x14ac:dyDescent="0.3">
      <c r="A929" s="504"/>
      <c r="B929" s="504"/>
      <c r="C929" s="504"/>
      <c r="D929" s="504"/>
      <c r="E929" s="506"/>
      <c r="F929" s="506"/>
      <c r="G929" s="506"/>
      <c r="H929" s="506"/>
      <c r="I929" s="506"/>
      <c r="J929" s="506"/>
      <c r="K929" s="507"/>
      <c r="L929" s="508"/>
      <c r="M929" s="508"/>
      <c r="N929" s="508"/>
      <c r="O929" s="509"/>
      <c r="P929" s="509"/>
    </row>
    <row r="930" spans="1:16" ht="21.75" customHeight="1" x14ac:dyDescent="0.3">
      <c r="A930" s="504"/>
      <c r="B930" s="504"/>
      <c r="C930" s="504"/>
      <c r="D930" s="504"/>
      <c r="E930" s="506"/>
      <c r="F930" s="506"/>
      <c r="G930" s="506"/>
      <c r="H930" s="506"/>
      <c r="I930" s="506"/>
      <c r="J930" s="506"/>
      <c r="K930" s="507"/>
      <c r="L930" s="508"/>
      <c r="M930" s="508"/>
      <c r="N930" s="508"/>
      <c r="O930" s="509"/>
      <c r="P930" s="509"/>
    </row>
    <row r="931" spans="1:16" ht="21.75" customHeight="1" x14ac:dyDescent="0.3">
      <c r="A931" s="504"/>
      <c r="B931" s="504"/>
      <c r="C931" s="504"/>
      <c r="D931" s="504"/>
      <c r="E931" s="506"/>
      <c r="F931" s="506"/>
      <c r="G931" s="506"/>
      <c r="H931" s="506"/>
      <c r="I931" s="506"/>
      <c r="J931" s="506"/>
      <c r="K931" s="507"/>
      <c r="L931" s="508"/>
      <c r="M931" s="508"/>
      <c r="N931" s="508"/>
      <c r="O931" s="509"/>
      <c r="P931" s="509"/>
    </row>
    <row r="932" spans="1:16" ht="21.75" customHeight="1" x14ac:dyDescent="0.3">
      <c r="A932" s="504"/>
      <c r="B932" s="504"/>
      <c r="C932" s="504"/>
      <c r="D932" s="504"/>
      <c r="E932" s="506"/>
      <c r="F932" s="506"/>
      <c r="G932" s="506"/>
      <c r="H932" s="506"/>
      <c r="I932" s="506"/>
      <c r="J932" s="506"/>
      <c r="K932" s="507"/>
      <c r="L932" s="508"/>
      <c r="M932" s="508"/>
      <c r="N932" s="508"/>
      <c r="O932" s="509"/>
      <c r="P932" s="509"/>
    </row>
    <row r="933" spans="1:16" ht="21.75" customHeight="1" x14ac:dyDescent="0.3">
      <c r="A933" s="504"/>
      <c r="B933" s="504"/>
      <c r="C933" s="504"/>
      <c r="D933" s="504"/>
      <c r="E933" s="506"/>
      <c r="F933" s="506"/>
      <c r="G933" s="506"/>
      <c r="H933" s="506"/>
      <c r="I933" s="506"/>
      <c r="J933" s="506"/>
      <c r="K933" s="507"/>
      <c r="L933" s="508"/>
      <c r="M933" s="508"/>
      <c r="N933" s="508"/>
      <c r="O933" s="509"/>
      <c r="P933" s="509"/>
    </row>
    <row r="934" spans="1:16" ht="21.75" customHeight="1" x14ac:dyDescent="0.3">
      <c r="A934" s="504"/>
      <c r="B934" s="504"/>
      <c r="C934" s="504"/>
      <c r="D934" s="504"/>
      <c r="E934" s="506"/>
      <c r="F934" s="506"/>
      <c r="G934" s="506"/>
      <c r="H934" s="506"/>
      <c r="I934" s="506"/>
      <c r="J934" s="506"/>
      <c r="K934" s="507"/>
      <c r="L934" s="508"/>
      <c r="M934" s="508"/>
      <c r="N934" s="508"/>
      <c r="O934" s="509"/>
      <c r="P934" s="509"/>
    </row>
    <row r="935" spans="1:16" ht="21.75" customHeight="1" x14ac:dyDescent="0.3">
      <c r="A935" s="504"/>
      <c r="B935" s="504"/>
      <c r="C935" s="504"/>
      <c r="D935" s="504"/>
      <c r="E935" s="506"/>
      <c r="F935" s="506"/>
      <c r="G935" s="506"/>
      <c r="H935" s="506"/>
      <c r="I935" s="506"/>
      <c r="J935" s="506"/>
      <c r="K935" s="507"/>
      <c r="L935" s="508"/>
      <c r="M935" s="508"/>
      <c r="N935" s="508"/>
      <c r="O935" s="509"/>
      <c r="P935" s="509"/>
    </row>
    <row r="936" spans="1:16" ht="21.75" customHeight="1" x14ac:dyDescent="0.3">
      <c r="A936" s="504"/>
      <c r="B936" s="504"/>
      <c r="C936" s="504"/>
      <c r="D936" s="504"/>
      <c r="E936" s="506"/>
      <c r="F936" s="506"/>
      <c r="G936" s="506"/>
      <c r="H936" s="506"/>
      <c r="I936" s="506"/>
      <c r="J936" s="506"/>
      <c r="K936" s="507"/>
      <c r="L936" s="508"/>
      <c r="M936" s="508"/>
      <c r="N936" s="508"/>
      <c r="O936" s="509"/>
      <c r="P936" s="509"/>
    </row>
    <row r="937" spans="1:16" ht="21.75" customHeight="1" x14ac:dyDescent="0.3">
      <c r="A937" s="504"/>
      <c r="B937" s="504"/>
      <c r="C937" s="504"/>
      <c r="D937" s="504"/>
      <c r="E937" s="506"/>
      <c r="F937" s="506"/>
      <c r="G937" s="506"/>
      <c r="H937" s="506"/>
      <c r="I937" s="506"/>
      <c r="J937" s="506"/>
      <c r="K937" s="507"/>
      <c r="L937" s="508"/>
      <c r="M937" s="508"/>
      <c r="N937" s="508"/>
      <c r="O937" s="509"/>
      <c r="P937" s="509"/>
    </row>
    <row r="938" spans="1:16" ht="21.75" customHeight="1" x14ac:dyDescent="0.3">
      <c r="A938" s="504"/>
      <c r="B938" s="504"/>
      <c r="C938" s="504"/>
      <c r="D938" s="504"/>
      <c r="E938" s="506"/>
      <c r="F938" s="506"/>
      <c r="G938" s="506"/>
      <c r="H938" s="506"/>
      <c r="I938" s="506"/>
      <c r="J938" s="506"/>
      <c r="K938" s="507"/>
      <c r="L938" s="508"/>
      <c r="M938" s="508"/>
      <c r="N938" s="508"/>
      <c r="O938" s="509"/>
      <c r="P938" s="509"/>
    </row>
    <row r="939" spans="1:16" ht="21.75" customHeight="1" x14ac:dyDescent="0.3">
      <c r="A939" s="504"/>
      <c r="B939" s="504"/>
      <c r="C939" s="504"/>
      <c r="D939" s="504"/>
      <c r="E939" s="506"/>
      <c r="F939" s="506"/>
      <c r="G939" s="506"/>
      <c r="H939" s="506"/>
      <c r="I939" s="506"/>
      <c r="J939" s="506"/>
      <c r="K939" s="507"/>
      <c r="L939" s="508"/>
      <c r="M939" s="508"/>
      <c r="N939" s="508"/>
      <c r="O939" s="509"/>
      <c r="P939" s="509"/>
    </row>
    <row r="940" spans="1:16" ht="21.75" customHeight="1" x14ac:dyDescent="0.3">
      <c r="A940" s="504"/>
      <c r="B940" s="504"/>
      <c r="C940" s="504"/>
      <c r="D940" s="504"/>
      <c r="E940" s="506"/>
      <c r="F940" s="506"/>
      <c r="G940" s="506"/>
      <c r="H940" s="506"/>
      <c r="I940" s="506"/>
      <c r="J940" s="506"/>
      <c r="K940" s="507"/>
      <c r="L940" s="508"/>
      <c r="M940" s="508"/>
      <c r="N940" s="508"/>
      <c r="O940" s="509"/>
      <c r="P940" s="509"/>
    </row>
    <row r="941" spans="1:16" ht="21.75" customHeight="1" x14ac:dyDescent="0.3">
      <c r="A941" s="504"/>
      <c r="B941" s="504"/>
      <c r="C941" s="504"/>
      <c r="D941" s="504"/>
      <c r="E941" s="506"/>
      <c r="F941" s="506"/>
      <c r="G941" s="506"/>
      <c r="H941" s="506"/>
      <c r="I941" s="506"/>
      <c r="J941" s="506"/>
      <c r="K941" s="507"/>
      <c r="L941" s="508"/>
      <c r="M941" s="508"/>
      <c r="N941" s="508"/>
      <c r="O941" s="509"/>
      <c r="P941" s="509"/>
    </row>
    <row r="942" spans="1:16" ht="21.75" customHeight="1" x14ac:dyDescent="0.3">
      <c r="A942" s="504"/>
      <c r="B942" s="504"/>
      <c r="C942" s="504"/>
      <c r="D942" s="504"/>
      <c r="E942" s="506"/>
      <c r="F942" s="506"/>
      <c r="G942" s="506"/>
      <c r="H942" s="506"/>
      <c r="I942" s="506"/>
      <c r="J942" s="506"/>
      <c r="K942" s="507"/>
      <c r="L942" s="508"/>
      <c r="M942" s="508"/>
      <c r="N942" s="508"/>
      <c r="O942" s="509"/>
      <c r="P942" s="509"/>
    </row>
    <row r="943" spans="1:16" ht="21.75" customHeight="1" x14ac:dyDescent="0.3">
      <c r="A943" s="504"/>
      <c r="B943" s="504"/>
      <c r="C943" s="504"/>
      <c r="D943" s="504"/>
      <c r="E943" s="506"/>
      <c r="F943" s="506"/>
      <c r="G943" s="506"/>
      <c r="H943" s="506"/>
      <c r="I943" s="506"/>
      <c r="J943" s="506"/>
      <c r="K943" s="507"/>
      <c r="L943" s="508"/>
      <c r="M943" s="508"/>
      <c r="N943" s="508"/>
      <c r="O943" s="509"/>
      <c r="P943" s="509"/>
    </row>
    <row r="944" spans="1:16" ht="21.75" customHeight="1" x14ac:dyDescent="0.3">
      <c r="A944" s="504"/>
      <c r="B944" s="504"/>
      <c r="C944" s="504"/>
      <c r="D944" s="504"/>
      <c r="E944" s="506"/>
      <c r="F944" s="506"/>
      <c r="G944" s="506"/>
      <c r="H944" s="506"/>
      <c r="I944" s="506"/>
      <c r="J944" s="506"/>
      <c r="K944" s="507"/>
      <c r="L944" s="508"/>
      <c r="M944" s="508"/>
      <c r="N944" s="508"/>
      <c r="O944" s="509"/>
      <c r="P944" s="509"/>
    </row>
    <row r="945" spans="1:16" ht="21.75" customHeight="1" x14ac:dyDescent="0.3">
      <c r="A945" s="504"/>
      <c r="B945" s="504"/>
      <c r="C945" s="504"/>
      <c r="D945" s="504"/>
      <c r="E945" s="506"/>
      <c r="F945" s="506"/>
      <c r="G945" s="506"/>
      <c r="H945" s="506"/>
      <c r="I945" s="506"/>
      <c r="J945" s="506"/>
      <c r="K945" s="507"/>
      <c r="L945" s="508"/>
      <c r="M945" s="508"/>
      <c r="N945" s="508"/>
      <c r="O945" s="509"/>
      <c r="P945" s="509"/>
    </row>
    <row r="946" spans="1:16" ht="21.75" customHeight="1" x14ac:dyDescent="0.3">
      <c r="A946" s="504"/>
      <c r="B946" s="504"/>
      <c r="C946" s="504"/>
      <c r="D946" s="504"/>
      <c r="E946" s="506"/>
      <c r="F946" s="506"/>
      <c r="G946" s="506"/>
      <c r="H946" s="506"/>
      <c r="I946" s="506"/>
      <c r="J946" s="506"/>
      <c r="K946" s="507"/>
      <c r="L946" s="508"/>
      <c r="M946" s="508"/>
      <c r="N946" s="508"/>
      <c r="O946" s="509"/>
      <c r="P946" s="509"/>
    </row>
    <row r="947" spans="1:16" ht="21.75" customHeight="1" x14ac:dyDescent="0.3">
      <c r="A947" s="504"/>
      <c r="B947" s="504"/>
      <c r="C947" s="504"/>
      <c r="D947" s="504"/>
      <c r="E947" s="506"/>
      <c r="F947" s="506"/>
      <c r="G947" s="506"/>
      <c r="H947" s="506"/>
      <c r="I947" s="506"/>
      <c r="J947" s="506"/>
      <c r="K947" s="507"/>
      <c r="L947" s="508"/>
      <c r="M947" s="508"/>
      <c r="N947" s="508"/>
      <c r="O947" s="509"/>
      <c r="P947" s="509"/>
    </row>
    <row r="948" spans="1:16" ht="21.75" customHeight="1" x14ac:dyDescent="0.3">
      <c r="A948" s="504"/>
      <c r="B948" s="504"/>
      <c r="C948" s="504"/>
      <c r="D948" s="504"/>
      <c r="E948" s="506"/>
      <c r="F948" s="506"/>
      <c r="G948" s="506"/>
      <c r="H948" s="506"/>
      <c r="I948" s="506"/>
      <c r="J948" s="506"/>
      <c r="K948" s="507"/>
      <c r="L948" s="508"/>
      <c r="M948" s="508"/>
      <c r="N948" s="508"/>
      <c r="O948" s="509"/>
      <c r="P948" s="509"/>
    </row>
    <row r="949" spans="1:16" ht="21.75" customHeight="1" x14ac:dyDescent="0.3">
      <c r="A949" s="504"/>
      <c r="B949" s="504"/>
      <c r="C949" s="504"/>
      <c r="D949" s="504"/>
      <c r="E949" s="506"/>
      <c r="F949" s="506"/>
      <c r="G949" s="506"/>
      <c r="H949" s="506"/>
      <c r="I949" s="506"/>
      <c r="J949" s="506"/>
      <c r="K949" s="507"/>
      <c r="L949" s="508"/>
      <c r="M949" s="508"/>
      <c r="N949" s="508"/>
      <c r="O949" s="509"/>
      <c r="P949" s="509"/>
    </row>
    <row r="950" spans="1:16" ht="21.75" customHeight="1" x14ac:dyDescent="0.3">
      <c r="A950" s="504"/>
      <c r="B950" s="504"/>
      <c r="C950" s="504"/>
      <c r="D950" s="504"/>
      <c r="E950" s="506"/>
      <c r="F950" s="506"/>
      <c r="G950" s="506"/>
      <c r="H950" s="506"/>
      <c r="I950" s="506"/>
      <c r="J950" s="506"/>
      <c r="K950" s="507"/>
      <c r="L950" s="508"/>
      <c r="M950" s="508"/>
      <c r="N950" s="508"/>
      <c r="O950" s="509"/>
      <c r="P950" s="509"/>
    </row>
    <row r="951" spans="1:16" ht="21.75" customHeight="1" x14ac:dyDescent="0.3">
      <c r="A951" s="504"/>
      <c r="B951" s="504"/>
      <c r="C951" s="504"/>
      <c r="D951" s="504"/>
      <c r="E951" s="506"/>
      <c r="F951" s="506"/>
      <c r="G951" s="506"/>
      <c r="H951" s="506"/>
      <c r="I951" s="506"/>
      <c r="J951" s="506"/>
      <c r="K951" s="507"/>
      <c r="L951" s="508"/>
      <c r="M951" s="508"/>
      <c r="N951" s="508"/>
      <c r="O951" s="509"/>
      <c r="P951" s="509"/>
    </row>
    <row r="952" spans="1:16" ht="21.75" customHeight="1" x14ac:dyDescent="0.3">
      <c r="A952" s="504"/>
      <c r="B952" s="504"/>
      <c r="C952" s="504"/>
      <c r="D952" s="504"/>
      <c r="E952" s="506"/>
      <c r="F952" s="506"/>
      <c r="G952" s="506"/>
      <c r="H952" s="506"/>
      <c r="I952" s="506"/>
      <c r="J952" s="506"/>
      <c r="K952" s="507"/>
      <c r="L952" s="508"/>
      <c r="M952" s="508"/>
      <c r="N952" s="508"/>
      <c r="O952" s="509"/>
      <c r="P952" s="509"/>
    </row>
    <row r="953" spans="1:16" ht="21.75" customHeight="1" x14ac:dyDescent="0.3">
      <c r="A953" s="504"/>
      <c r="B953" s="504"/>
      <c r="C953" s="504"/>
      <c r="D953" s="504"/>
      <c r="E953" s="506"/>
      <c r="F953" s="506"/>
      <c r="G953" s="506"/>
      <c r="H953" s="506"/>
      <c r="I953" s="506"/>
      <c r="J953" s="506"/>
      <c r="K953" s="507"/>
      <c r="L953" s="508"/>
      <c r="M953" s="508"/>
      <c r="N953" s="508"/>
      <c r="O953" s="509"/>
      <c r="P953" s="509"/>
    </row>
    <row r="954" spans="1:16" ht="21.75" customHeight="1" x14ac:dyDescent="0.3">
      <c r="A954" s="504"/>
      <c r="B954" s="504"/>
      <c r="C954" s="504"/>
      <c r="D954" s="504"/>
      <c r="E954" s="506"/>
      <c r="F954" s="506"/>
      <c r="G954" s="506"/>
      <c r="H954" s="506"/>
      <c r="I954" s="506"/>
      <c r="J954" s="506"/>
      <c r="K954" s="507"/>
      <c r="L954" s="508"/>
      <c r="M954" s="508"/>
      <c r="N954" s="508"/>
      <c r="O954" s="509"/>
      <c r="P954" s="509"/>
    </row>
    <row r="955" spans="1:16" ht="21.75" customHeight="1" x14ac:dyDescent="0.3">
      <c r="A955" s="504"/>
      <c r="B955" s="504"/>
      <c r="C955" s="504"/>
      <c r="D955" s="504"/>
      <c r="E955" s="506"/>
      <c r="F955" s="506"/>
      <c r="G955" s="506"/>
      <c r="H955" s="506"/>
      <c r="I955" s="506"/>
      <c r="J955" s="506"/>
      <c r="K955" s="507"/>
      <c r="L955" s="508"/>
      <c r="M955" s="508"/>
      <c r="N955" s="508"/>
      <c r="O955" s="509"/>
      <c r="P955" s="509"/>
    </row>
    <row r="956" spans="1:16" ht="21.75" customHeight="1" x14ac:dyDescent="0.3">
      <c r="A956" s="504"/>
      <c r="B956" s="504"/>
      <c r="C956" s="504"/>
      <c r="D956" s="504"/>
      <c r="E956" s="506"/>
      <c r="F956" s="506"/>
      <c r="G956" s="506"/>
      <c r="H956" s="506"/>
      <c r="I956" s="506"/>
      <c r="J956" s="506"/>
      <c r="K956" s="507"/>
      <c r="L956" s="508"/>
      <c r="M956" s="508"/>
      <c r="N956" s="508"/>
      <c r="O956" s="509"/>
      <c r="P956" s="509"/>
    </row>
    <row r="957" spans="1:16" ht="21.75" customHeight="1" x14ac:dyDescent="0.3">
      <c r="A957" s="504"/>
      <c r="B957" s="504"/>
      <c r="C957" s="504"/>
      <c r="D957" s="504"/>
      <c r="E957" s="506"/>
      <c r="F957" s="506"/>
      <c r="G957" s="506"/>
      <c r="H957" s="506"/>
      <c r="I957" s="506"/>
      <c r="J957" s="506"/>
      <c r="K957" s="507"/>
      <c r="L957" s="508"/>
      <c r="M957" s="508"/>
      <c r="N957" s="508"/>
      <c r="O957" s="509"/>
      <c r="P957" s="509"/>
    </row>
    <row r="958" spans="1:16" ht="21.75" customHeight="1" x14ac:dyDescent="0.3">
      <c r="A958" s="504"/>
      <c r="B958" s="504"/>
      <c r="C958" s="504"/>
      <c r="D958" s="504"/>
      <c r="E958" s="506"/>
      <c r="F958" s="506"/>
      <c r="G958" s="506"/>
      <c r="H958" s="506"/>
      <c r="I958" s="506"/>
      <c r="J958" s="506"/>
      <c r="K958" s="507"/>
      <c r="L958" s="508"/>
      <c r="M958" s="508"/>
      <c r="N958" s="508"/>
      <c r="O958" s="509"/>
      <c r="P958" s="509"/>
    </row>
    <row r="959" spans="1:16" ht="21.75" customHeight="1" x14ac:dyDescent="0.3">
      <c r="A959" s="504"/>
      <c r="B959" s="504"/>
      <c r="C959" s="504"/>
      <c r="D959" s="504"/>
      <c r="E959" s="506"/>
      <c r="F959" s="506"/>
      <c r="G959" s="506"/>
      <c r="H959" s="506"/>
      <c r="I959" s="506"/>
      <c r="J959" s="506"/>
      <c r="K959" s="507"/>
      <c r="L959" s="508"/>
      <c r="M959" s="508"/>
      <c r="N959" s="508"/>
      <c r="O959" s="509"/>
      <c r="P959" s="509"/>
    </row>
    <row r="960" spans="1:16" ht="21.75" customHeight="1" x14ac:dyDescent="0.3">
      <c r="A960" s="504"/>
      <c r="B960" s="504"/>
      <c r="C960" s="504"/>
      <c r="D960" s="504"/>
      <c r="E960" s="506"/>
      <c r="F960" s="506"/>
      <c r="G960" s="506"/>
      <c r="H960" s="506"/>
      <c r="I960" s="506"/>
      <c r="J960" s="506"/>
      <c r="K960" s="507"/>
      <c r="L960" s="508"/>
      <c r="M960" s="508"/>
      <c r="N960" s="508"/>
      <c r="O960" s="509"/>
      <c r="P960" s="509"/>
    </row>
    <row r="961" spans="1:16" ht="21.75" customHeight="1" x14ac:dyDescent="0.3">
      <c r="A961" s="504"/>
      <c r="B961" s="504"/>
      <c r="C961" s="504"/>
      <c r="D961" s="504"/>
      <c r="E961" s="506"/>
      <c r="F961" s="506"/>
      <c r="G961" s="506"/>
      <c r="H961" s="506"/>
      <c r="I961" s="506"/>
      <c r="J961" s="506"/>
      <c r="K961" s="507"/>
      <c r="L961" s="508"/>
      <c r="M961" s="508"/>
      <c r="N961" s="508"/>
      <c r="O961" s="509"/>
      <c r="P961" s="509"/>
    </row>
    <row r="962" spans="1:16" ht="21.75" customHeight="1" x14ac:dyDescent="0.3">
      <c r="A962" s="504"/>
      <c r="B962" s="504"/>
      <c r="C962" s="504"/>
      <c r="D962" s="504"/>
      <c r="E962" s="506"/>
      <c r="F962" s="506"/>
      <c r="G962" s="506"/>
      <c r="H962" s="506"/>
      <c r="I962" s="506"/>
      <c r="J962" s="506"/>
      <c r="K962" s="507"/>
      <c r="L962" s="508"/>
      <c r="M962" s="508"/>
      <c r="N962" s="508"/>
      <c r="O962" s="509"/>
      <c r="P962" s="509"/>
    </row>
    <row r="963" spans="1:16" ht="21.75" customHeight="1" x14ac:dyDescent="0.3">
      <c r="A963" s="504"/>
      <c r="B963" s="504"/>
      <c r="C963" s="504"/>
      <c r="D963" s="504"/>
      <c r="E963" s="506"/>
      <c r="F963" s="506"/>
      <c r="G963" s="506"/>
      <c r="H963" s="506"/>
      <c r="I963" s="506"/>
      <c r="J963" s="506"/>
      <c r="K963" s="507"/>
      <c r="L963" s="508"/>
      <c r="M963" s="508"/>
      <c r="N963" s="508"/>
      <c r="O963" s="509"/>
      <c r="P963" s="509"/>
    </row>
    <row r="964" spans="1:16" ht="21.75" customHeight="1" x14ac:dyDescent="0.3">
      <c r="A964" s="504"/>
      <c r="B964" s="504"/>
      <c r="C964" s="504"/>
      <c r="D964" s="504"/>
      <c r="E964" s="506"/>
      <c r="F964" s="506"/>
      <c r="G964" s="506"/>
      <c r="H964" s="506"/>
      <c r="I964" s="506"/>
      <c r="J964" s="506"/>
      <c r="K964" s="507"/>
      <c r="L964" s="508"/>
      <c r="M964" s="508"/>
      <c r="N964" s="508"/>
      <c r="O964" s="509"/>
      <c r="P964" s="509"/>
    </row>
    <row r="965" spans="1:16" ht="21.75" customHeight="1" x14ac:dyDescent="0.3">
      <c r="A965" s="504"/>
      <c r="B965" s="504"/>
      <c r="C965" s="504"/>
      <c r="D965" s="504"/>
      <c r="E965" s="506"/>
      <c r="F965" s="506"/>
      <c r="G965" s="506"/>
      <c r="H965" s="506"/>
      <c r="I965" s="506"/>
      <c r="J965" s="506"/>
      <c r="K965" s="507"/>
      <c r="L965" s="508"/>
      <c r="M965" s="508"/>
      <c r="N965" s="508"/>
      <c r="O965" s="509"/>
      <c r="P965" s="509"/>
    </row>
    <row r="966" spans="1:16" ht="21.75" customHeight="1" x14ac:dyDescent="0.3">
      <c r="A966" s="504"/>
      <c r="B966" s="504"/>
      <c r="C966" s="504"/>
      <c r="D966" s="504"/>
      <c r="E966" s="506"/>
      <c r="F966" s="506"/>
      <c r="G966" s="506"/>
      <c r="H966" s="506"/>
      <c r="I966" s="506"/>
      <c r="J966" s="506"/>
      <c r="K966" s="507"/>
      <c r="L966" s="508"/>
      <c r="M966" s="508"/>
      <c r="N966" s="508"/>
      <c r="O966" s="509"/>
      <c r="P966" s="509"/>
    </row>
    <row r="967" spans="1:16" ht="21.75" customHeight="1" x14ac:dyDescent="0.3">
      <c r="A967" s="504"/>
      <c r="B967" s="504"/>
      <c r="C967" s="504"/>
      <c r="D967" s="504"/>
      <c r="E967" s="506"/>
      <c r="F967" s="506"/>
      <c r="G967" s="506"/>
      <c r="H967" s="506"/>
      <c r="I967" s="506"/>
      <c r="J967" s="506"/>
      <c r="K967" s="507"/>
      <c r="L967" s="508"/>
      <c r="M967" s="508"/>
      <c r="N967" s="508"/>
      <c r="O967" s="509"/>
      <c r="P967" s="509"/>
    </row>
    <row r="968" spans="1:16" ht="21.75" customHeight="1" x14ac:dyDescent="0.3">
      <c r="A968" s="504"/>
      <c r="B968" s="504"/>
      <c r="C968" s="504"/>
      <c r="D968" s="504"/>
      <c r="E968" s="506"/>
      <c r="F968" s="506"/>
      <c r="G968" s="506"/>
      <c r="H968" s="506"/>
      <c r="I968" s="506"/>
      <c r="J968" s="506"/>
      <c r="K968" s="507"/>
      <c r="L968" s="508"/>
      <c r="M968" s="508"/>
      <c r="N968" s="508"/>
      <c r="O968" s="509"/>
      <c r="P968" s="509"/>
    </row>
    <row r="969" spans="1:16" ht="21.75" customHeight="1" x14ac:dyDescent="0.3">
      <c r="A969" s="504"/>
      <c r="B969" s="504"/>
      <c r="C969" s="504"/>
      <c r="D969" s="504"/>
      <c r="E969" s="506"/>
      <c r="F969" s="506"/>
      <c r="G969" s="506"/>
      <c r="H969" s="506"/>
      <c r="I969" s="506"/>
      <c r="J969" s="506"/>
      <c r="K969" s="507"/>
      <c r="L969" s="508"/>
      <c r="M969" s="508"/>
      <c r="N969" s="508"/>
      <c r="O969" s="509"/>
      <c r="P969" s="509"/>
    </row>
    <row r="970" spans="1:16" ht="21.75" customHeight="1" x14ac:dyDescent="0.3">
      <c r="A970" s="504"/>
      <c r="B970" s="504"/>
      <c r="C970" s="504"/>
      <c r="D970" s="504"/>
      <c r="E970" s="506"/>
      <c r="F970" s="506"/>
      <c r="G970" s="506"/>
      <c r="H970" s="506"/>
      <c r="I970" s="506"/>
      <c r="J970" s="506"/>
      <c r="K970" s="507"/>
      <c r="L970" s="508"/>
      <c r="M970" s="508"/>
      <c r="N970" s="508"/>
      <c r="O970" s="509"/>
      <c r="P970" s="509"/>
    </row>
    <row r="971" spans="1:16" ht="21.75" customHeight="1" x14ac:dyDescent="0.3">
      <c r="A971" s="504"/>
      <c r="B971" s="504"/>
      <c r="C971" s="504"/>
      <c r="D971" s="504"/>
      <c r="E971" s="506"/>
      <c r="F971" s="506"/>
      <c r="G971" s="506"/>
      <c r="H971" s="506"/>
      <c r="I971" s="506"/>
      <c r="J971" s="506"/>
      <c r="K971" s="507"/>
      <c r="L971" s="508"/>
      <c r="M971" s="508"/>
      <c r="N971" s="508"/>
      <c r="O971" s="509"/>
      <c r="P971" s="509"/>
    </row>
    <row r="972" spans="1:16" ht="21.75" customHeight="1" x14ac:dyDescent="0.3">
      <c r="A972" s="504"/>
      <c r="B972" s="504"/>
      <c r="C972" s="504"/>
      <c r="D972" s="504"/>
      <c r="E972" s="506"/>
      <c r="F972" s="506"/>
      <c r="G972" s="506"/>
      <c r="H972" s="506"/>
      <c r="I972" s="506"/>
      <c r="J972" s="506"/>
      <c r="K972" s="507"/>
      <c r="L972" s="508"/>
      <c r="M972" s="508"/>
      <c r="N972" s="508"/>
      <c r="O972" s="509"/>
      <c r="P972" s="509"/>
    </row>
    <row r="973" spans="1:16" ht="21.75" customHeight="1" x14ac:dyDescent="0.3">
      <c r="A973" s="504"/>
      <c r="B973" s="504"/>
      <c r="C973" s="504"/>
      <c r="D973" s="504"/>
      <c r="E973" s="506"/>
      <c r="F973" s="506"/>
      <c r="G973" s="506"/>
      <c r="H973" s="506"/>
      <c r="I973" s="506"/>
      <c r="J973" s="506"/>
      <c r="K973" s="507"/>
      <c r="L973" s="508"/>
      <c r="M973" s="508"/>
      <c r="N973" s="508"/>
      <c r="O973" s="509"/>
      <c r="P973" s="509"/>
    </row>
    <row r="974" spans="1:16" ht="21.75" customHeight="1" x14ac:dyDescent="0.3">
      <c r="A974" s="504"/>
      <c r="B974" s="504"/>
      <c r="C974" s="504"/>
      <c r="D974" s="504"/>
      <c r="E974" s="506"/>
      <c r="F974" s="506"/>
      <c r="G974" s="506"/>
      <c r="H974" s="506"/>
      <c r="I974" s="506"/>
      <c r="J974" s="506"/>
      <c r="K974" s="507"/>
      <c r="L974" s="508"/>
      <c r="M974" s="508"/>
      <c r="N974" s="508"/>
      <c r="O974" s="509"/>
      <c r="P974" s="509"/>
    </row>
    <row r="975" spans="1:16" ht="21.75" customHeight="1" x14ac:dyDescent="0.3">
      <c r="A975" s="504"/>
      <c r="B975" s="504"/>
      <c r="C975" s="504"/>
      <c r="D975" s="504"/>
      <c r="E975" s="506"/>
      <c r="F975" s="506"/>
      <c r="G975" s="506"/>
      <c r="H975" s="506"/>
      <c r="I975" s="506"/>
      <c r="J975" s="506"/>
      <c r="K975" s="507"/>
      <c r="L975" s="508"/>
      <c r="M975" s="508"/>
      <c r="N975" s="508"/>
      <c r="O975" s="509"/>
      <c r="P975" s="509"/>
    </row>
    <row r="976" spans="1:16" ht="21.75" customHeight="1" x14ac:dyDescent="0.3">
      <c r="A976" s="504"/>
      <c r="B976" s="504"/>
      <c r="C976" s="504"/>
      <c r="D976" s="504"/>
      <c r="E976" s="506"/>
      <c r="F976" s="506"/>
      <c r="G976" s="506"/>
      <c r="H976" s="506"/>
      <c r="I976" s="506"/>
      <c r="J976" s="506"/>
      <c r="K976" s="507"/>
      <c r="L976" s="508"/>
      <c r="M976" s="508"/>
      <c r="N976" s="508"/>
      <c r="O976" s="509"/>
      <c r="P976" s="509"/>
    </row>
    <row r="977" spans="1:16" ht="21.75" customHeight="1" x14ac:dyDescent="0.3">
      <c r="A977" s="504"/>
      <c r="B977" s="504"/>
      <c r="C977" s="504"/>
      <c r="D977" s="504"/>
      <c r="E977" s="506"/>
      <c r="F977" s="506"/>
      <c r="G977" s="506"/>
      <c r="H977" s="506"/>
      <c r="I977" s="506"/>
      <c r="J977" s="506"/>
      <c r="K977" s="507"/>
      <c r="L977" s="508"/>
      <c r="M977" s="508"/>
      <c r="N977" s="508"/>
      <c r="O977" s="509"/>
      <c r="P977" s="509"/>
    </row>
    <row r="978" spans="1:16" ht="21.75" customHeight="1" x14ac:dyDescent="0.3">
      <c r="A978" s="504"/>
      <c r="B978" s="504"/>
      <c r="C978" s="504"/>
      <c r="D978" s="504"/>
      <c r="E978" s="506"/>
      <c r="F978" s="506"/>
      <c r="G978" s="506"/>
      <c r="H978" s="506"/>
      <c r="I978" s="506"/>
      <c r="J978" s="506"/>
      <c r="K978" s="507"/>
      <c r="L978" s="508"/>
      <c r="M978" s="508"/>
      <c r="N978" s="508"/>
      <c r="O978" s="509"/>
      <c r="P978" s="509"/>
    </row>
    <row r="979" spans="1:16" ht="21.75" customHeight="1" x14ac:dyDescent="0.3">
      <c r="A979" s="504"/>
      <c r="B979" s="504"/>
      <c r="C979" s="504"/>
      <c r="D979" s="504"/>
      <c r="E979" s="506"/>
      <c r="F979" s="506"/>
      <c r="G979" s="506"/>
      <c r="H979" s="506"/>
      <c r="I979" s="506"/>
      <c r="J979" s="506"/>
      <c r="K979" s="507"/>
      <c r="L979" s="508"/>
      <c r="M979" s="508"/>
      <c r="N979" s="508"/>
      <c r="O979" s="509"/>
      <c r="P979" s="509"/>
    </row>
    <row r="980" spans="1:16" ht="21.75" customHeight="1" x14ac:dyDescent="0.3">
      <c r="A980" s="504"/>
      <c r="B980" s="504"/>
      <c r="C980" s="504"/>
      <c r="D980" s="504"/>
      <c r="E980" s="506"/>
      <c r="F980" s="506"/>
      <c r="G980" s="506"/>
      <c r="H980" s="506"/>
      <c r="I980" s="506"/>
      <c r="J980" s="506"/>
      <c r="K980" s="507"/>
      <c r="L980" s="508"/>
      <c r="M980" s="508"/>
      <c r="N980" s="508"/>
      <c r="O980" s="509"/>
      <c r="P980" s="509"/>
    </row>
    <row r="981" spans="1:16" ht="21.75" customHeight="1" x14ac:dyDescent="0.3">
      <c r="A981" s="504"/>
      <c r="B981" s="504"/>
      <c r="C981" s="504"/>
      <c r="D981" s="504"/>
      <c r="E981" s="506"/>
      <c r="F981" s="506"/>
      <c r="G981" s="506"/>
      <c r="H981" s="506"/>
      <c r="I981" s="506"/>
      <c r="J981" s="506"/>
      <c r="K981" s="507"/>
      <c r="L981" s="508"/>
      <c r="M981" s="508"/>
      <c r="N981" s="508"/>
      <c r="O981" s="509"/>
      <c r="P981" s="509"/>
    </row>
    <row r="982" spans="1:16" ht="21.75" customHeight="1" x14ac:dyDescent="0.3">
      <c r="A982" s="504"/>
      <c r="B982" s="504"/>
      <c r="C982" s="504"/>
      <c r="D982" s="504"/>
      <c r="E982" s="506"/>
      <c r="F982" s="506"/>
      <c r="G982" s="506"/>
      <c r="H982" s="506"/>
      <c r="I982" s="506"/>
      <c r="J982" s="506"/>
      <c r="K982" s="507"/>
      <c r="L982" s="508"/>
      <c r="M982" s="508"/>
      <c r="N982" s="508"/>
      <c r="O982" s="509"/>
      <c r="P982" s="509"/>
    </row>
    <row r="983" spans="1:16" ht="21.75" customHeight="1" x14ac:dyDescent="0.3">
      <c r="A983" s="504"/>
      <c r="B983" s="504"/>
      <c r="C983" s="504"/>
      <c r="D983" s="504"/>
      <c r="E983" s="506"/>
      <c r="F983" s="506"/>
      <c r="G983" s="506"/>
      <c r="H983" s="506"/>
      <c r="I983" s="506"/>
      <c r="J983" s="506"/>
      <c r="K983" s="507"/>
      <c r="L983" s="508"/>
      <c r="M983" s="508"/>
      <c r="N983" s="508"/>
      <c r="O983" s="509"/>
      <c r="P983" s="509"/>
    </row>
    <row r="984" spans="1:16" ht="21.75" customHeight="1" x14ac:dyDescent="0.3">
      <c r="A984" s="504"/>
      <c r="B984" s="504"/>
      <c r="C984" s="504"/>
      <c r="D984" s="504"/>
      <c r="E984" s="506"/>
      <c r="F984" s="506"/>
      <c r="G984" s="506"/>
      <c r="H984" s="506"/>
      <c r="I984" s="506"/>
      <c r="J984" s="506"/>
      <c r="K984" s="507"/>
      <c r="L984" s="508"/>
      <c r="M984" s="508"/>
      <c r="N984" s="508"/>
      <c r="O984" s="509"/>
      <c r="P984" s="509"/>
    </row>
    <row r="985" spans="1:16" ht="21.75" customHeight="1" x14ac:dyDescent="0.3">
      <c r="A985" s="504"/>
      <c r="B985" s="504"/>
      <c r="C985" s="504"/>
      <c r="D985" s="504"/>
      <c r="E985" s="506"/>
      <c r="F985" s="506"/>
      <c r="G985" s="506"/>
      <c r="H985" s="506"/>
      <c r="I985" s="506"/>
      <c r="J985" s="506"/>
      <c r="K985" s="507"/>
      <c r="L985" s="508"/>
      <c r="M985" s="508"/>
      <c r="N985" s="508"/>
      <c r="O985" s="509"/>
      <c r="P985" s="509"/>
    </row>
    <row r="986" spans="1:16" ht="21.75" customHeight="1" x14ac:dyDescent="0.3">
      <c r="A986" s="504"/>
      <c r="B986" s="504"/>
      <c r="C986" s="504"/>
      <c r="D986" s="504"/>
      <c r="E986" s="506"/>
      <c r="F986" s="506"/>
      <c r="G986" s="506"/>
      <c r="H986" s="506"/>
      <c r="I986" s="506"/>
      <c r="J986" s="506"/>
      <c r="K986" s="507"/>
      <c r="L986" s="508"/>
      <c r="M986" s="508"/>
      <c r="N986" s="508"/>
      <c r="O986" s="509"/>
      <c r="P986" s="509"/>
    </row>
    <row r="987" spans="1:16" ht="21.75" customHeight="1" x14ac:dyDescent="0.3">
      <c r="A987" s="504"/>
      <c r="B987" s="504"/>
      <c r="C987" s="504"/>
      <c r="D987" s="504"/>
      <c r="E987" s="506"/>
      <c r="F987" s="506"/>
      <c r="G987" s="506"/>
      <c r="H987" s="506"/>
      <c r="I987" s="506"/>
      <c r="J987" s="506"/>
      <c r="K987" s="507"/>
      <c r="L987" s="508"/>
      <c r="M987" s="508"/>
      <c r="N987" s="508"/>
      <c r="O987" s="509"/>
      <c r="P987" s="509"/>
    </row>
    <row r="988" spans="1:16" ht="21.75" customHeight="1" x14ac:dyDescent="0.3">
      <c r="A988" s="504"/>
      <c r="B988" s="504"/>
      <c r="C988" s="504"/>
      <c r="D988" s="504"/>
      <c r="E988" s="506"/>
      <c r="F988" s="506"/>
      <c r="G988" s="506"/>
      <c r="H988" s="506"/>
      <c r="I988" s="506"/>
      <c r="J988" s="506"/>
      <c r="K988" s="507"/>
      <c r="L988" s="508"/>
      <c r="M988" s="508"/>
      <c r="N988" s="508"/>
      <c r="O988" s="509"/>
      <c r="P988" s="509"/>
    </row>
    <row r="989" spans="1:16" ht="21.75" customHeight="1" x14ac:dyDescent="0.3">
      <c r="A989" s="504"/>
      <c r="B989" s="504"/>
      <c r="C989" s="504"/>
      <c r="D989" s="504"/>
      <c r="E989" s="506"/>
      <c r="F989" s="506"/>
      <c r="G989" s="506"/>
      <c r="H989" s="506"/>
      <c r="I989" s="506"/>
      <c r="J989" s="506"/>
      <c r="K989" s="507"/>
      <c r="L989" s="508"/>
      <c r="M989" s="508"/>
      <c r="N989" s="508"/>
      <c r="O989" s="509"/>
      <c r="P989" s="509"/>
    </row>
    <row r="990" spans="1:16" ht="21.75" customHeight="1" x14ac:dyDescent="0.3">
      <c r="A990" s="504"/>
      <c r="B990" s="504"/>
      <c r="C990" s="504"/>
      <c r="D990" s="504"/>
      <c r="E990" s="506"/>
      <c r="F990" s="506"/>
      <c r="G990" s="506"/>
      <c r="H990" s="506"/>
      <c r="I990" s="506"/>
      <c r="J990" s="506"/>
      <c r="K990" s="507"/>
      <c r="L990" s="508"/>
      <c r="M990" s="508"/>
      <c r="N990" s="508"/>
      <c r="O990" s="509"/>
      <c r="P990" s="509"/>
    </row>
    <row r="991" spans="1:16" ht="21.75" customHeight="1" x14ac:dyDescent="0.3">
      <c r="A991" s="504"/>
      <c r="B991" s="504"/>
      <c r="C991" s="504"/>
      <c r="D991" s="504"/>
      <c r="E991" s="506"/>
      <c r="F991" s="506"/>
      <c r="G991" s="506"/>
      <c r="H991" s="506"/>
      <c r="I991" s="506"/>
      <c r="J991" s="506"/>
      <c r="K991" s="507"/>
      <c r="L991" s="508"/>
      <c r="M991" s="508"/>
      <c r="N991" s="508"/>
      <c r="O991" s="509"/>
      <c r="P991" s="509"/>
    </row>
    <row r="992" spans="1:16" ht="21.75" customHeight="1" x14ac:dyDescent="0.3">
      <c r="A992" s="504"/>
      <c r="B992" s="504"/>
      <c r="C992" s="504"/>
      <c r="D992" s="504"/>
      <c r="E992" s="506"/>
      <c r="F992" s="506"/>
      <c r="G992" s="506"/>
      <c r="H992" s="506"/>
      <c r="I992" s="506"/>
      <c r="J992" s="506"/>
      <c r="K992" s="507"/>
      <c r="L992" s="508"/>
      <c r="M992" s="508"/>
      <c r="N992" s="508"/>
      <c r="O992" s="509"/>
      <c r="P992" s="509"/>
    </row>
    <row r="993" spans="1:16" ht="21.75" customHeight="1" x14ac:dyDescent="0.3">
      <c r="A993" s="504"/>
      <c r="B993" s="504"/>
      <c r="C993" s="504"/>
      <c r="D993" s="504"/>
      <c r="E993" s="506"/>
      <c r="F993" s="506"/>
      <c r="G993" s="506"/>
      <c r="H993" s="506"/>
      <c r="I993" s="506"/>
      <c r="J993" s="506"/>
      <c r="K993" s="507"/>
      <c r="L993" s="508"/>
      <c r="M993" s="508"/>
      <c r="N993" s="508"/>
      <c r="O993" s="509"/>
      <c r="P993" s="509"/>
    </row>
    <row r="994" spans="1:16" ht="21.75" customHeight="1" x14ac:dyDescent="0.3">
      <c r="A994" s="504"/>
      <c r="B994" s="504"/>
      <c r="C994" s="504"/>
      <c r="D994" s="504"/>
      <c r="E994" s="506"/>
      <c r="F994" s="506"/>
      <c r="G994" s="506"/>
      <c r="H994" s="506"/>
      <c r="I994" s="506"/>
      <c r="J994" s="506"/>
      <c r="K994" s="507"/>
      <c r="L994" s="508"/>
      <c r="M994" s="508"/>
      <c r="N994" s="508"/>
      <c r="O994" s="509"/>
      <c r="P994" s="509"/>
    </row>
    <row r="995" spans="1:16" ht="21.75" customHeight="1" x14ac:dyDescent="0.3">
      <c r="A995" s="504"/>
      <c r="B995" s="504"/>
      <c r="C995" s="504"/>
      <c r="D995" s="504"/>
      <c r="E995" s="506"/>
      <c r="F995" s="506"/>
      <c r="G995" s="506"/>
      <c r="H995" s="506"/>
      <c r="I995" s="506"/>
      <c r="J995" s="506"/>
      <c r="K995" s="507"/>
      <c r="L995" s="508"/>
      <c r="M995" s="508"/>
      <c r="N995" s="508"/>
      <c r="O995" s="509"/>
      <c r="P995" s="509"/>
    </row>
    <row r="996" spans="1:16" ht="21.75" customHeight="1" x14ac:dyDescent="0.3">
      <c r="A996" s="504"/>
      <c r="B996" s="504"/>
      <c r="C996" s="504"/>
      <c r="D996" s="504"/>
      <c r="E996" s="506"/>
      <c r="F996" s="506"/>
      <c r="G996" s="506"/>
      <c r="H996" s="506"/>
      <c r="I996" s="506"/>
      <c r="J996" s="506"/>
      <c r="K996" s="507"/>
      <c r="L996" s="508"/>
      <c r="M996" s="508"/>
      <c r="N996" s="508"/>
      <c r="O996" s="509"/>
      <c r="P996" s="509"/>
    </row>
    <row r="997" spans="1:16" ht="21.75" customHeight="1" x14ac:dyDescent="0.3">
      <c r="A997" s="504"/>
      <c r="B997" s="504"/>
      <c r="C997" s="504"/>
      <c r="D997" s="504"/>
      <c r="E997" s="506"/>
      <c r="F997" s="506"/>
      <c r="G997" s="506"/>
      <c r="H997" s="506"/>
      <c r="I997" s="506"/>
      <c r="J997" s="506"/>
      <c r="K997" s="507"/>
      <c r="L997" s="508"/>
      <c r="M997" s="508"/>
      <c r="N997" s="508"/>
      <c r="O997" s="509"/>
      <c r="P997" s="509"/>
    </row>
    <row r="998" spans="1:16" ht="21.75" customHeight="1" x14ac:dyDescent="0.3">
      <c r="A998" s="504"/>
      <c r="B998" s="504"/>
      <c r="C998" s="504"/>
      <c r="D998" s="504"/>
      <c r="E998" s="506"/>
      <c r="F998" s="506"/>
      <c r="G998" s="506"/>
      <c r="H998" s="506"/>
      <c r="I998" s="506"/>
      <c r="J998" s="506"/>
      <c r="K998" s="507"/>
      <c r="L998" s="508"/>
      <c r="M998" s="508"/>
      <c r="N998" s="508"/>
      <c r="O998" s="509"/>
      <c r="P998" s="509"/>
    </row>
    <row r="999" spans="1:16" ht="21.75" customHeight="1" x14ac:dyDescent="0.3">
      <c r="A999" s="504"/>
      <c r="B999" s="504"/>
      <c r="C999" s="504"/>
      <c r="D999" s="504"/>
      <c r="E999" s="506"/>
      <c r="F999" s="506"/>
      <c r="G999" s="506"/>
      <c r="H999" s="506"/>
      <c r="I999" s="506"/>
      <c r="J999" s="506"/>
      <c r="K999" s="507"/>
      <c r="L999" s="508"/>
      <c r="M999" s="508"/>
      <c r="N999" s="508"/>
      <c r="O999" s="509"/>
      <c r="P999" s="509"/>
    </row>
    <row r="1000" spans="1:16" ht="21.75" customHeight="1" x14ac:dyDescent="0.3">
      <c r="A1000" s="504"/>
      <c r="B1000" s="504"/>
      <c r="C1000" s="504"/>
      <c r="D1000" s="504"/>
      <c r="E1000" s="506"/>
      <c r="F1000" s="506"/>
      <c r="G1000" s="506"/>
      <c r="H1000" s="506"/>
      <c r="I1000" s="506"/>
      <c r="J1000" s="506"/>
      <c r="K1000" s="507"/>
      <c r="L1000" s="508"/>
      <c r="M1000" s="508"/>
      <c r="N1000" s="508"/>
      <c r="O1000" s="509"/>
      <c r="P1000" s="509"/>
    </row>
    <row r="1001" spans="1:16" ht="21.75" customHeight="1" x14ac:dyDescent="0.3">
      <c r="A1001" s="504"/>
      <c r="B1001" s="504"/>
      <c r="C1001" s="504"/>
      <c r="D1001" s="504"/>
      <c r="E1001" s="506"/>
      <c r="F1001" s="506"/>
      <c r="G1001" s="506"/>
      <c r="H1001" s="506"/>
      <c r="I1001" s="506"/>
      <c r="J1001" s="506"/>
      <c r="K1001" s="507"/>
      <c r="L1001" s="508"/>
      <c r="M1001" s="508"/>
      <c r="N1001" s="508"/>
      <c r="O1001" s="509"/>
      <c r="P1001" s="509"/>
    </row>
    <row r="1002" spans="1:16" ht="21.75" customHeight="1" x14ac:dyDescent="0.3">
      <c r="A1002" s="504"/>
      <c r="B1002" s="504"/>
      <c r="C1002" s="504"/>
      <c r="D1002" s="504"/>
      <c r="E1002" s="506"/>
      <c r="F1002" s="506"/>
      <c r="G1002" s="506"/>
      <c r="H1002" s="506"/>
      <c r="I1002" s="506"/>
      <c r="J1002" s="506"/>
      <c r="K1002" s="507"/>
      <c r="L1002" s="508"/>
      <c r="M1002" s="508"/>
      <c r="N1002" s="508"/>
      <c r="O1002" s="509"/>
      <c r="P1002" s="509"/>
    </row>
    <row r="1003" spans="1:16" ht="21.75" customHeight="1" x14ac:dyDescent="0.3">
      <c r="A1003" s="504"/>
      <c r="B1003" s="504"/>
      <c r="C1003" s="504"/>
      <c r="D1003" s="504"/>
      <c r="E1003" s="506"/>
      <c r="F1003" s="506"/>
      <c r="G1003" s="506"/>
      <c r="H1003" s="506"/>
      <c r="I1003" s="506"/>
      <c r="J1003" s="506"/>
      <c r="K1003" s="507"/>
      <c r="L1003" s="508"/>
      <c r="M1003" s="508"/>
      <c r="N1003" s="508"/>
      <c r="O1003" s="509"/>
      <c r="P1003" s="509"/>
    </row>
    <row r="1004" spans="1:16" ht="21.75" customHeight="1" x14ac:dyDescent="0.3">
      <c r="A1004" s="504"/>
      <c r="B1004" s="504"/>
      <c r="C1004" s="504"/>
      <c r="D1004" s="504"/>
      <c r="E1004" s="506"/>
      <c r="F1004" s="506"/>
      <c r="G1004" s="506"/>
      <c r="H1004" s="506"/>
      <c r="I1004" s="506"/>
      <c r="J1004" s="506"/>
      <c r="K1004" s="507"/>
      <c r="L1004" s="508"/>
      <c r="M1004" s="508"/>
      <c r="N1004" s="508"/>
      <c r="O1004" s="509"/>
      <c r="P1004" s="509"/>
    </row>
    <row r="1005" spans="1:16" ht="21.75" customHeight="1" x14ac:dyDescent="0.3">
      <c r="A1005" s="504"/>
      <c r="B1005" s="504"/>
      <c r="C1005" s="504"/>
      <c r="D1005" s="504"/>
      <c r="E1005" s="506"/>
      <c r="F1005" s="506"/>
      <c r="G1005" s="506"/>
      <c r="H1005" s="506"/>
      <c r="I1005" s="506"/>
      <c r="J1005" s="506"/>
      <c r="K1005" s="507"/>
      <c r="L1005" s="508"/>
      <c r="M1005" s="508"/>
      <c r="N1005" s="508"/>
      <c r="O1005" s="509"/>
      <c r="P1005" s="509"/>
    </row>
    <row r="1006" spans="1:16" ht="21.75" customHeight="1" x14ac:dyDescent="0.3">
      <c r="A1006" s="504"/>
      <c r="B1006" s="504"/>
      <c r="C1006" s="504"/>
      <c r="D1006" s="504"/>
      <c r="E1006" s="506"/>
      <c r="F1006" s="506"/>
      <c r="G1006" s="506"/>
      <c r="H1006" s="506"/>
      <c r="I1006" s="506"/>
      <c r="J1006" s="506"/>
      <c r="K1006" s="507"/>
      <c r="L1006" s="508"/>
      <c r="M1006" s="508"/>
      <c r="N1006" s="508"/>
      <c r="O1006" s="509"/>
      <c r="P1006" s="509"/>
    </row>
    <row r="1007" spans="1:16" ht="21.75" customHeight="1" x14ac:dyDescent="0.3">
      <c r="A1007" s="504"/>
      <c r="B1007" s="504"/>
      <c r="C1007" s="504"/>
      <c r="D1007" s="504"/>
      <c r="E1007" s="506"/>
      <c r="F1007" s="506"/>
      <c r="G1007" s="506"/>
      <c r="H1007" s="506"/>
      <c r="I1007" s="506"/>
      <c r="J1007" s="506"/>
      <c r="K1007" s="507"/>
      <c r="L1007" s="508"/>
      <c r="M1007" s="508"/>
      <c r="N1007" s="508"/>
      <c r="O1007" s="509"/>
      <c r="P1007" s="509"/>
    </row>
    <row r="1008" spans="1:16" ht="21.75" customHeight="1" x14ac:dyDescent="0.3">
      <c r="A1008" s="504"/>
      <c r="B1008" s="504"/>
      <c r="C1008" s="504"/>
      <c r="D1008" s="504"/>
      <c r="E1008" s="506"/>
      <c r="F1008" s="506"/>
      <c r="G1008" s="506"/>
      <c r="H1008" s="506"/>
      <c r="I1008" s="506"/>
      <c r="J1008" s="506"/>
      <c r="K1008" s="507"/>
      <c r="L1008" s="508"/>
      <c r="M1008" s="508"/>
      <c r="N1008" s="508"/>
      <c r="O1008" s="509"/>
      <c r="P1008" s="509"/>
    </row>
    <row r="1009" spans="1:16" ht="21.75" customHeight="1" x14ac:dyDescent="0.3">
      <c r="A1009" s="504"/>
      <c r="B1009" s="504"/>
      <c r="C1009" s="504"/>
      <c r="D1009" s="504"/>
      <c r="E1009" s="506"/>
      <c r="F1009" s="506"/>
      <c r="G1009" s="506"/>
      <c r="H1009" s="506"/>
      <c r="I1009" s="506"/>
      <c r="J1009" s="506"/>
      <c r="K1009" s="507"/>
      <c r="L1009" s="508"/>
      <c r="M1009" s="508"/>
      <c r="N1009" s="508"/>
      <c r="O1009" s="509"/>
      <c r="P1009" s="509"/>
    </row>
    <row r="1010" spans="1:16" ht="21.75" customHeight="1" x14ac:dyDescent="0.3">
      <c r="A1010" s="504"/>
      <c r="B1010" s="504"/>
      <c r="C1010" s="504"/>
      <c r="D1010" s="504"/>
      <c r="E1010" s="506"/>
      <c r="F1010" s="506"/>
      <c r="G1010" s="506"/>
      <c r="H1010" s="506"/>
      <c r="I1010" s="506"/>
      <c r="J1010" s="506"/>
      <c r="K1010" s="507"/>
      <c r="L1010" s="508"/>
      <c r="M1010" s="508"/>
      <c r="N1010" s="508"/>
      <c r="O1010" s="509"/>
      <c r="P1010" s="509"/>
    </row>
    <row r="1011" spans="1:16" ht="21.75" customHeight="1" x14ac:dyDescent="0.3">
      <c r="A1011" s="504"/>
      <c r="B1011" s="504"/>
      <c r="C1011" s="504"/>
      <c r="D1011" s="504"/>
      <c r="E1011" s="506"/>
      <c r="F1011" s="506"/>
      <c r="G1011" s="506"/>
      <c r="H1011" s="506"/>
      <c r="I1011" s="506"/>
      <c r="J1011" s="506"/>
      <c r="K1011" s="507"/>
      <c r="L1011" s="508"/>
      <c r="M1011" s="508"/>
      <c r="N1011" s="508"/>
      <c r="O1011" s="509"/>
      <c r="P1011" s="509"/>
    </row>
    <row r="1012" spans="1:16" ht="21.75" customHeight="1" x14ac:dyDescent="0.3">
      <c r="A1012" s="504"/>
      <c r="B1012" s="504"/>
      <c r="C1012" s="504"/>
      <c r="D1012" s="504"/>
      <c r="E1012" s="506"/>
      <c r="F1012" s="506"/>
      <c r="G1012" s="506"/>
      <c r="H1012" s="506"/>
      <c r="I1012" s="506"/>
      <c r="J1012" s="506"/>
      <c r="K1012" s="507"/>
      <c r="L1012" s="508"/>
      <c r="M1012" s="508"/>
      <c r="N1012" s="508"/>
      <c r="O1012" s="509"/>
      <c r="P1012" s="509"/>
    </row>
    <row r="1013" spans="1:16" ht="21.75" customHeight="1" x14ac:dyDescent="0.3">
      <c r="A1013" s="504"/>
      <c r="B1013" s="504"/>
      <c r="C1013" s="504"/>
      <c r="D1013" s="504"/>
      <c r="E1013" s="506"/>
      <c r="F1013" s="506"/>
      <c r="G1013" s="506"/>
      <c r="H1013" s="506"/>
      <c r="I1013" s="506"/>
      <c r="J1013" s="506"/>
      <c r="K1013" s="507"/>
      <c r="L1013" s="508"/>
      <c r="M1013" s="508"/>
      <c r="N1013" s="508"/>
      <c r="O1013" s="509"/>
      <c r="P1013" s="509"/>
    </row>
    <row r="1014" spans="1:16" ht="21.75" customHeight="1" x14ac:dyDescent="0.3">
      <c r="A1014" s="504"/>
      <c r="B1014" s="504"/>
      <c r="C1014" s="504"/>
      <c r="D1014" s="504"/>
      <c r="E1014" s="506"/>
      <c r="F1014" s="506"/>
      <c r="G1014" s="506"/>
      <c r="H1014" s="506"/>
      <c r="I1014" s="506"/>
      <c r="J1014" s="506"/>
      <c r="K1014" s="507"/>
      <c r="L1014" s="508"/>
      <c r="M1014" s="508"/>
      <c r="N1014" s="508"/>
      <c r="O1014" s="509"/>
      <c r="P1014" s="509"/>
    </row>
    <row r="1015" spans="1:16" ht="21.75" customHeight="1" x14ac:dyDescent="0.3">
      <c r="A1015" s="504"/>
      <c r="B1015" s="504"/>
      <c r="C1015" s="504"/>
      <c r="D1015" s="504"/>
      <c r="E1015" s="506"/>
      <c r="F1015" s="506"/>
      <c r="G1015" s="506"/>
      <c r="H1015" s="506"/>
      <c r="I1015" s="506"/>
      <c r="J1015" s="506"/>
      <c r="K1015" s="507"/>
      <c r="L1015" s="508"/>
      <c r="M1015" s="508"/>
      <c r="N1015" s="508"/>
      <c r="O1015" s="509"/>
      <c r="P1015" s="509"/>
    </row>
    <row r="1016" spans="1:16" ht="21.75" customHeight="1" x14ac:dyDescent="0.3">
      <c r="A1016" s="504"/>
      <c r="B1016" s="504"/>
      <c r="C1016" s="504"/>
      <c r="D1016" s="504"/>
      <c r="E1016" s="506"/>
      <c r="F1016" s="506"/>
      <c r="G1016" s="506"/>
      <c r="H1016" s="506"/>
      <c r="I1016" s="506"/>
      <c r="J1016" s="506"/>
      <c r="K1016" s="507"/>
      <c r="L1016" s="508"/>
      <c r="M1016" s="508"/>
      <c r="N1016" s="508"/>
      <c r="O1016" s="509"/>
      <c r="P1016" s="509"/>
    </row>
    <row r="1017" spans="1:16" ht="21.75" customHeight="1" x14ac:dyDescent="0.3">
      <c r="A1017" s="504"/>
      <c r="B1017" s="504"/>
      <c r="C1017" s="504"/>
      <c r="D1017" s="504"/>
      <c r="E1017" s="506"/>
      <c r="F1017" s="506"/>
      <c r="G1017" s="506"/>
      <c r="H1017" s="506"/>
      <c r="I1017" s="506"/>
      <c r="J1017" s="506"/>
      <c r="K1017" s="507"/>
      <c r="L1017" s="508"/>
      <c r="M1017" s="508"/>
      <c r="N1017" s="508"/>
      <c r="O1017" s="509"/>
      <c r="P1017" s="509"/>
    </row>
    <row r="1018" spans="1:16" ht="21.75" customHeight="1" x14ac:dyDescent="0.3">
      <c r="A1018" s="504"/>
      <c r="B1018" s="504"/>
      <c r="C1018" s="504"/>
      <c r="D1018" s="504"/>
      <c r="E1018" s="506"/>
      <c r="F1018" s="506"/>
      <c r="G1018" s="506"/>
      <c r="H1018" s="506"/>
      <c r="I1018" s="506"/>
      <c r="J1018" s="506"/>
      <c r="K1018" s="507"/>
      <c r="L1018" s="508"/>
      <c r="M1018" s="508"/>
      <c r="N1018" s="508"/>
      <c r="O1018" s="509"/>
      <c r="P1018" s="509"/>
    </row>
    <row r="1019" spans="1:16" ht="21.75" customHeight="1" x14ac:dyDescent="0.3">
      <c r="A1019" s="504"/>
      <c r="B1019" s="504"/>
      <c r="C1019" s="504"/>
      <c r="D1019" s="504"/>
      <c r="E1019" s="506"/>
      <c r="F1019" s="506"/>
      <c r="G1019" s="506"/>
      <c r="H1019" s="506"/>
      <c r="I1019" s="506"/>
      <c r="J1019" s="506"/>
      <c r="K1019" s="507"/>
      <c r="L1019" s="508"/>
      <c r="M1019" s="508"/>
      <c r="N1019" s="508"/>
      <c r="O1019" s="509"/>
      <c r="P1019" s="509"/>
    </row>
    <row r="1020" spans="1:16" ht="21.75" customHeight="1" x14ac:dyDescent="0.3">
      <c r="A1020" s="504"/>
      <c r="B1020" s="504"/>
      <c r="C1020" s="504"/>
      <c r="D1020" s="504"/>
      <c r="E1020" s="506"/>
      <c r="F1020" s="506"/>
      <c r="G1020" s="506"/>
      <c r="H1020" s="506"/>
      <c r="I1020" s="506"/>
      <c r="J1020" s="506"/>
      <c r="K1020" s="507"/>
      <c r="L1020" s="508"/>
      <c r="M1020" s="508"/>
      <c r="N1020" s="508"/>
      <c r="O1020" s="509"/>
      <c r="P1020" s="509"/>
    </row>
    <row r="1021" spans="1:16" ht="21.75" customHeight="1" x14ac:dyDescent="0.3">
      <c r="A1021" s="504"/>
      <c r="B1021" s="504"/>
      <c r="C1021" s="504"/>
      <c r="D1021" s="504"/>
      <c r="E1021" s="506"/>
      <c r="F1021" s="506"/>
      <c r="G1021" s="506"/>
      <c r="H1021" s="506"/>
      <c r="I1021" s="506"/>
      <c r="J1021" s="506"/>
      <c r="K1021" s="507"/>
      <c r="L1021" s="508"/>
      <c r="M1021" s="508"/>
      <c r="N1021" s="508"/>
      <c r="O1021" s="509"/>
      <c r="P1021" s="509"/>
    </row>
    <row r="1022" spans="1:16" ht="21.75" customHeight="1" x14ac:dyDescent="0.3">
      <c r="A1022" s="504"/>
      <c r="B1022" s="504"/>
      <c r="C1022" s="504"/>
      <c r="D1022" s="504"/>
      <c r="E1022" s="506"/>
      <c r="F1022" s="506"/>
      <c r="G1022" s="506"/>
      <c r="H1022" s="506"/>
      <c r="I1022" s="506"/>
      <c r="J1022" s="506"/>
      <c r="K1022" s="507"/>
      <c r="L1022" s="508"/>
      <c r="M1022" s="508"/>
      <c r="N1022" s="508"/>
      <c r="O1022" s="509"/>
      <c r="P1022" s="509"/>
    </row>
    <row r="1023" spans="1:16" ht="21.75" customHeight="1" x14ac:dyDescent="0.3">
      <c r="A1023" s="504"/>
      <c r="B1023" s="504"/>
      <c r="C1023" s="504"/>
      <c r="D1023" s="504"/>
      <c r="E1023" s="506"/>
      <c r="F1023" s="506"/>
      <c r="G1023" s="506"/>
      <c r="H1023" s="506"/>
      <c r="I1023" s="506"/>
      <c r="J1023" s="506"/>
      <c r="K1023" s="507"/>
      <c r="L1023" s="508"/>
      <c r="M1023" s="508"/>
      <c r="N1023" s="508"/>
      <c r="O1023" s="509"/>
      <c r="P1023" s="509"/>
    </row>
    <row r="1024" spans="1:16" ht="21.75" customHeight="1" x14ac:dyDescent="0.3">
      <c r="A1024" s="504"/>
      <c r="B1024" s="504"/>
      <c r="C1024" s="504"/>
      <c r="D1024" s="504"/>
      <c r="E1024" s="506"/>
      <c r="F1024" s="506"/>
      <c r="G1024" s="506"/>
      <c r="H1024" s="506"/>
      <c r="I1024" s="506"/>
      <c r="J1024" s="506"/>
      <c r="K1024" s="507"/>
      <c r="L1024" s="508"/>
      <c r="M1024" s="508"/>
      <c r="N1024" s="508"/>
      <c r="O1024" s="509"/>
      <c r="P1024" s="509"/>
    </row>
    <row r="1025" spans="1:16" ht="21.75" customHeight="1" x14ac:dyDescent="0.3">
      <c r="A1025" s="504"/>
      <c r="B1025" s="504"/>
      <c r="C1025" s="504"/>
      <c r="D1025" s="504"/>
      <c r="E1025" s="506"/>
      <c r="F1025" s="506"/>
      <c r="G1025" s="506"/>
      <c r="H1025" s="506"/>
      <c r="I1025" s="506"/>
      <c r="J1025" s="506"/>
      <c r="K1025" s="507"/>
      <c r="L1025" s="508"/>
      <c r="M1025" s="508"/>
      <c r="N1025" s="508"/>
      <c r="O1025" s="509"/>
      <c r="P1025" s="509"/>
    </row>
    <row r="1026" spans="1:16" ht="21.75" customHeight="1" x14ac:dyDescent="0.3">
      <c r="A1026" s="504"/>
      <c r="B1026" s="504"/>
      <c r="C1026" s="504"/>
      <c r="D1026" s="504"/>
      <c r="E1026" s="506"/>
      <c r="F1026" s="506"/>
      <c r="G1026" s="506"/>
      <c r="H1026" s="506"/>
      <c r="I1026" s="506"/>
      <c r="J1026" s="506"/>
      <c r="K1026" s="507"/>
      <c r="L1026" s="508"/>
      <c r="M1026" s="508"/>
      <c r="N1026" s="508"/>
      <c r="O1026" s="509"/>
      <c r="P1026" s="509"/>
    </row>
    <row r="1027" spans="1:16" ht="21.75" customHeight="1" x14ac:dyDescent="0.3">
      <c r="A1027" s="504"/>
      <c r="B1027" s="504"/>
      <c r="C1027" s="504"/>
      <c r="D1027" s="504"/>
      <c r="E1027" s="506"/>
      <c r="F1027" s="506"/>
      <c r="G1027" s="506"/>
      <c r="H1027" s="506"/>
      <c r="I1027" s="506"/>
      <c r="J1027" s="506"/>
      <c r="K1027" s="507"/>
      <c r="L1027" s="508"/>
      <c r="M1027" s="508"/>
      <c r="N1027" s="508"/>
      <c r="O1027" s="509"/>
      <c r="P1027" s="509"/>
    </row>
    <row r="1028" spans="1:16" ht="21.75" customHeight="1" x14ac:dyDescent="0.3">
      <c r="A1028" s="504"/>
      <c r="B1028" s="504"/>
      <c r="C1028" s="504"/>
      <c r="D1028" s="504"/>
      <c r="E1028" s="506"/>
      <c r="F1028" s="506"/>
      <c r="G1028" s="506"/>
      <c r="H1028" s="506"/>
      <c r="I1028" s="506"/>
      <c r="J1028" s="506"/>
      <c r="K1028" s="507"/>
      <c r="L1028" s="508"/>
      <c r="M1028" s="508"/>
      <c r="N1028" s="508"/>
      <c r="O1028" s="509"/>
      <c r="P1028" s="509"/>
    </row>
    <row r="1029" spans="1:16" ht="21.75" customHeight="1" x14ac:dyDescent="0.3">
      <c r="A1029" s="504"/>
      <c r="B1029" s="504"/>
      <c r="C1029" s="504"/>
      <c r="D1029" s="504"/>
      <c r="E1029" s="506"/>
      <c r="F1029" s="506"/>
      <c r="G1029" s="506"/>
      <c r="H1029" s="506"/>
      <c r="I1029" s="506"/>
      <c r="J1029" s="506"/>
      <c r="K1029" s="507"/>
      <c r="L1029" s="508"/>
      <c r="M1029" s="508"/>
      <c r="N1029" s="508"/>
      <c r="O1029" s="509"/>
      <c r="P1029" s="509"/>
    </row>
    <row r="1030" spans="1:16" ht="21.75" customHeight="1" x14ac:dyDescent="0.3">
      <c r="A1030" s="504"/>
      <c r="B1030" s="504"/>
      <c r="C1030" s="504"/>
      <c r="D1030" s="504"/>
      <c r="E1030" s="506"/>
      <c r="F1030" s="506"/>
      <c r="G1030" s="506"/>
      <c r="H1030" s="506"/>
      <c r="I1030" s="506"/>
      <c r="J1030" s="506"/>
      <c r="K1030" s="507"/>
      <c r="L1030" s="508"/>
      <c r="M1030" s="508"/>
      <c r="N1030" s="508"/>
      <c r="O1030" s="509"/>
      <c r="P1030" s="509"/>
    </row>
    <row r="1031" spans="1:16" ht="21.75" customHeight="1" x14ac:dyDescent="0.3">
      <c r="A1031" s="504"/>
      <c r="B1031" s="504"/>
      <c r="C1031" s="504"/>
      <c r="D1031" s="504"/>
      <c r="E1031" s="506"/>
      <c r="F1031" s="506"/>
      <c r="G1031" s="506"/>
      <c r="H1031" s="506"/>
      <c r="I1031" s="506"/>
      <c r="J1031" s="506"/>
      <c r="K1031" s="507"/>
      <c r="L1031" s="508"/>
      <c r="M1031" s="508"/>
      <c r="N1031" s="508"/>
      <c r="O1031" s="509"/>
      <c r="P1031" s="509"/>
    </row>
    <row r="1032" spans="1:16" ht="21.75" customHeight="1" x14ac:dyDescent="0.3">
      <c r="A1032" s="504"/>
      <c r="B1032" s="504"/>
      <c r="C1032" s="504"/>
      <c r="D1032" s="504"/>
      <c r="E1032" s="506"/>
      <c r="F1032" s="506"/>
      <c r="G1032" s="506"/>
      <c r="H1032" s="506"/>
      <c r="I1032" s="506"/>
      <c r="J1032" s="506"/>
      <c r="K1032" s="507"/>
      <c r="L1032" s="508"/>
      <c r="M1032" s="508"/>
      <c r="N1032" s="508"/>
      <c r="O1032" s="509"/>
      <c r="P1032" s="509"/>
    </row>
    <row r="1033" spans="1:16" ht="21.75" customHeight="1" x14ac:dyDescent="0.3">
      <c r="A1033" s="504"/>
      <c r="B1033" s="504"/>
      <c r="C1033" s="504"/>
      <c r="D1033" s="504"/>
      <c r="E1033" s="506"/>
      <c r="F1033" s="506"/>
      <c r="G1033" s="506"/>
      <c r="H1033" s="506"/>
      <c r="I1033" s="506"/>
      <c r="J1033" s="506"/>
      <c r="K1033" s="507"/>
      <c r="L1033" s="508"/>
      <c r="M1033" s="508"/>
      <c r="N1033" s="508"/>
      <c r="O1033" s="509"/>
      <c r="P1033" s="509"/>
    </row>
    <row r="1034" spans="1:16" ht="21.75" customHeight="1" x14ac:dyDescent="0.3">
      <c r="A1034" s="504"/>
      <c r="B1034" s="504"/>
      <c r="C1034" s="504"/>
      <c r="D1034" s="504"/>
      <c r="E1034" s="506"/>
      <c r="F1034" s="506"/>
      <c r="G1034" s="506"/>
      <c r="H1034" s="506"/>
      <c r="I1034" s="506"/>
      <c r="J1034" s="506"/>
      <c r="K1034" s="507"/>
      <c r="L1034" s="508"/>
      <c r="M1034" s="508"/>
      <c r="N1034" s="508"/>
      <c r="O1034" s="509"/>
      <c r="P1034" s="509"/>
    </row>
    <row r="1035" spans="1:16" ht="21.75" customHeight="1" x14ac:dyDescent="0.3">
      <c r="A1035" s="504"/>
      <c r="B1035" s="504"/>
      <c r="C1035" s="504"/>
      <c r="D1035" s="504"/>
      <c r="E1035" s="506"/>
      <c r="F1035" s="506"/>
      <c r="G1035" s="506"/>
      <c r="H1035" s="506"/>
      <c r="I1035" s="506"/>
      <c r="J1035" s="506"/>
      <c r="K1035" s="507"/>
      <c r="L1035" s="508"/>
      <c r="M1035" s="508"/>
      <c r="N1035" s="508"/>
      <c r="O1035" s="509"/>
      <c r="P1035" s="509"/>
    </row>
    <row r="1036" spans="1:16" ht="21.75" customHeight="1" x14ac:dyDescent="0.3">
      <c r="A1036" s="504"/>
      <c r="B1036" s="504"/>
      <c r="C1036" s="504"/>
      <c r="D1036" s="504"/>
      <c r="E1036" s="506"/>
      <c r="F1036" s="506"/>
      <c r="G1036" s="506"/>
      <c r="H1036" s="506"/>
      <c r="I1036" s="506"/>
      <c r="J1036" s="506"/>
      <c r="K1036" s="507"/>
      <c r="L1036" s="508"/>
      <c r="M1036" s="508"/>
      <c r="N1036" s="508"/>
      <c r="O1036" s="509"/>
      <c r="P1036" s="509"/>
    </row>
    <row r="1037" spans="1:16" ht="21.75" customHeight="1" x14ac:dyDescent="0.3">
      <c r="A1037" s="504"/>
      <c r="B1037" s="504"/>
      <c r="C1037" s="504"/>
      <c r="D1037" s="504"/>
      <c r="E1037" s="506"/>
      <c r="F1037" s="506"/>
      <c r="G1037" s="506"/>
      <c r="H1037" s="506"/>
      <c r="I1037" s="506"/>
      <c r="J1037" s="506"/>
      <c r="K1037" s="507"/>
      <c r="L1037" s="508"/>
      <c r="M1037" s="508"/>
      <c r="N1037" s="508"/>
      <c r="O1037" s="509"/>
      <c r="P1037" s="509"/>
    </row>
    <row r="1038" spans="1:16" ht="21.75" customHeight="1" x14ac:dyDescent="0.3">
      <c r="A1038" s="504"/>
      <c r="B1038" s="504"/>
      <c r="C1038" s="504"/>
      <c r="D1038" s="504"/>
      <c r="E1038" s="506"/>
      <c r="F1038" s="506"/>
      <c r="G1038" s="506"/>
      <c r="H1038" s="506"/>
      <c r="I1038" s="506"/>
      <c r="J1038" s="506"/>
      <c r="K1038" s="507"/>
      <c r="L1038" s="508"/>
      <c r="M1038" s="508"/>
      <c r="N1038" s="508"/>
      <c r="O1038" s="509"/>
      <c r="P1038" s="509"/>
    </row>
    <row r="1039" spans="1:16" ht="21.75" customHeight="1" x14ac:dyDescent="0.3">
      <c r="A1039" s="504"/>
      <c r="B1039" s="504"/>
      <c r="C1039" s="504"/>
      <c r="D1039" s="504"/>
      <c r="E1039" s="506"/>
      <c r="F1039" s="506"/>
      <c r="G1039" s="506"/>
      <c r="H1039" s="506"/>
      <c r="I1039" s="506"/>
      <c r="J1039" s="506"/>
      <c r="K1039" s="507"/>
      <c r="L1039" s="508"/>
      <c r="M1039" s="508"/>
      <c r="N1039" s="508"/>
      <c r="O1039" s="509"/>
      <c r="P1039" s="509"/>
    </row>
    <row r="1040" spans="1:16" ht="21.75" customHeight="1" x14ac:dyDescent="0.3">
      <c r="A1040" s="504"/>
      <c r="B1040" s="504"/>
      <c r="C1040" s="504"/>
      <c r="D1040" s="504"/>
      <c r="E1040" s="506"/>
      <c r="F1040" s="506"/>
      <c r="G1040" s="506"/>
      <c r="H1040" s="506"/>
      <c r="I1040" s="506"/>
      <c r="J1040" s="506"/>
      <c r="K1040" s="507"/>
      <c r="L1040" s="508"/>
      <c r="M1040" s="508"/>
      <c r="N1040" s="508"/>
      <c r="O1040" s="509"/>
      <c r="P1040" s="509"/>
    </row>
    <row r="1041" spans="1:16" ht="21.75" customHeight="1" x14ac:dyDescent="0.3">
      <c r="A1041" s="504"/>
      <c r="B1041" s="504"/>
      <c r="C1041" s="504"/>
      <c r="D1041" s="504"/>
      <c r="E1041" s="506"/>
      <c r="F1041" s="506"/>
      <c r="G1041" s="506"/>
      <c r="H1041" s="506"/>
      <c r="I1041" s="506"/>
      <c r="J1041" s="506"/>
      <c r="K1041" s="507"/>
      <c r="L1041" s="508"/>
      <c r="M1041" s="508"/>
      <c r="N1041" s="508"/>
      <c r="O1041" s="509"/>
      <c r="P1041" s="509"/>
    </row>
    <row r="1042" spans="1:16" ht="21.75" customHeight="1" x14ac:dyDescent="0.3">
      <c r="A1042" s="504"/>
      <c r="B1042" s="504"/>
      <c r="C1042" s="504"/>
      <c r="D1042" s="504"/>
      <c r="E1042" s="506"/>
      <c r="F1042" s="506"/>
      <c r="G1042" s="506"/>
      <c r="H1042" s="506"/>
      <c r="I1042" s="506"/>
      <c r="J1042" s="506"/>
      <c r="K1042" s="507"/>
      <c r="L1042" s="508"/>
      <c r="M1042" s="508"/>
      <c r="N1042" s="508"/>
      <c r="O1042" s="509"/>
      <c r="P1042" s="509"/>
    </row>
    <row r="1043" spans="1:16" ht="21.75" customHeight="1" x14ac:dyDescent="0.3">
      <c r="A1043" s="504"/>
      <c r="B1043" s="504"/>
      <c r="C1043" s="504"/>
      <c r="D1043" s="504"/>
      <c r="E1043" s="506"/>
      <c r="F1043" s="506"/>
      <c r="G1043" s="506"/>
      <c r="H1043" s="506"/>
      <c r="I1043" s="506"/>
      <c r="J1043" s="506"/>
      <c r="K1043" s="507"/>
      <c r="L1043" s="508"/>
      <c r="M1043" s="508"/>
      <c r="N1043" s="508"/>
      <c r="O1043" s="509"/>
      <c r="P1043" s="509"/>
    </row>
    <row r="1044" spans="1:16" ht="21.75" customHeight="1" x14ac:dyDescent="0.3">
      <c r="A1044" s="504"/>
      <c r="B1044" s="504"/>
      <c r="C1044" s="504"/>
      <c r="D1044" s="504"/>
      <c r="E1044" s="506"/>
      <c r="F1044" s="506"/>
      <c r="G1044" s="506"/>
      <c r="H1044" s="506"/>
      <c r="I1044" s="506"/>
      <c r="J1044" s="506"/>
      <c r="K1044" s="507"/>
      <c r="L1044" s="508"/>
      <c r="M1044" s="508"/>
      <c r="N1044" s="508"/>
      <c r="O1044" s="509"/>
      <c r="P1044" s="509"/>
    </row>
    <row r="1045" spans="1:16" ht="21.75" customHeight="1" x14ac:dyDescent="0.3">
      <c r="A1045" s="504"/>
      <c r="B1045" s="504"/>
      <c r="C1045" s="504"/>
      <c r="D1045" s="504"/>
      <c r="E1045" s="506"/>
      <c r="F1045" s="506"/>
      <c r="G1045" s="506"/>
      <c r="H1045" s="506"/>
      <c r="I1045" s="506"/>
      <c r="J1045" s="506"/>
      <c r="K1045" s="507"/>
      <c r="L1045" s="508"/>
      <c r="M1045" s="508"/>
      <c r="N1045" s="508"/>
      <c r="O1045" s="509"/>
      <c r="P1045" s="509"/>
    </row>
    <row r="1046" spans="1:16" ht="21.75" customHeight="1" x14ac:dyDescent="0.3">
      <c r="A1046" s="504"/>
      <c r="B1046" s="504"/>
      <c r="C1046" s="504"/>
      <c r="D1046" s="504"/>
      <c r="E1046" s="506"/>
      <c r="F1046" s="506"/>
      <c r="G1046" s="506"/>
      <c r="H1046" s="506"/>
      <c r="I1046" s="506"/>
      <c r="J1046" s="506"/>
      <c r="K1046" s="507"/>
      <c r="L1046" s="508"/>
      <c r="M1046" s="508"/>
      <c r="N1046" s="508"/>
      <c r="O1046" s="509"/>
      <c r="P1046" s="509"/>
    </row>
    <row r="1047" spans="1:16" ht="21.75" customHeight="1" x14ac:dyDescent="0.3">
      <c r="A1047" s="504"/>
      <c r="B1047" s="504"/>
      <c r="C1047" s="504"/>
      <c r="D1047" s="504"/>
      <c r="E1047" s="506"/>
      <c r="F1047" s="506"/>
      <c r="G1047" s="506"/>
      <c r="H1047" s="506"/>
      <c r="I1047" s="506"/>
      <c r="J1047" s="506"/>
      <c r="K1047" s="507"/>
      <c r="L1047" s="508"/>
      <c r="M1047" s="508"/>
      <c r="N1047" s="508"/>
      <c r="O1047" s="509"/>
      <c r="P1047" s="509"/>
    </row>
    <row r="1048" spans="1:16" ht="21.75" customHeight="1" x14ac:dyDescent="0.3">
      <c r="A1048" s="504"/>
      <c r="B1048" s="504"/>
      <c r="C1048" s="504"/>
      <c r="D1048" s="504"/>
      <c r="E1048" s="506"/>
      <c r="F1048" s="506"/>
      <c r="G1048" s="506"/>
      <c r="H1048" s="506"/>
      <c r="I1048" s="506"/>
      <c r="J1048" s="506"/>
      <c r="K1048" s="507"/>
      <c r="L1048" s="508"/>
      <c r="M1048" s="508"/>
      <c r="N1048" s="508"/>
      <c r="O1048" s="509"/>
      <c r="P1048" s="509"/>
    </row>
    <row r="1049" spans="1:16" ht="21.75" customHeight="1" x14ac:dyDescent="0.3">
      <c r="A1049" s="504"/>
      <c r="B1049" s="504"/>
      <c r="C1049" s="504"/>
      <c r="D1049" s="504"/>
      <c r="E1049" s="506"/>
      <c r="F1049" s="506"/>
      <c r="G1049" s="506"/>
      <c r="H1049" s="506"/>
      <c r="I1049" s="506"/>
      <c r="J1049" s="506"/>
      <c r="K1049" s="507"/>
      <c r="L1049" s="508"/>
      <c r="M1049" s="508"/>
      <c r="N1049" s="508"/>
      <c r="O1049" s="509"/>
      <c r="P1049" s="509"/>
    </row>
    <row r="1050" spans="1:16" ht="21.75" customHeight="1" x14ac:dyDescent="0.3">
      <c r="A1050" s="504"/>
      <c r="B1050" s="504"/>
      <c r="C1050" s="504"/>
      <c r="D1050" s="504"/>
      <c r="E1050" s="506"/>
      <c r="F1050" s="506"/>
      <c r="G1050" s="506"/>
      <c r="H1050" s="506"/>
      <c r="I1050" s="506"/>
      <c r="J1050" s="506"/>
      <c r="K1050" s="507"/>
      <c r="L1050" s="508"/>
      <c r="M1050" s="508"/>
      <c r="N1050" s="508"/>
      <c r="O1050" s="509"/>
      <c r="P1050" s="509"/>
    </row>
    <row r="1051" spans="1:16" ht="21.75" customHeight="1" x14ac:dyDescent="0.3">
      <c r="A1051" s="504"/>
      <c r="B1051" s="504"/>
      <c r="C1051" s="504"/>
      <c r="D1051" s="504"/>
      <c r="E1051" s="506"/>
      <c r="F1051" s="506"/>
      <c r="G1051" s="506"/>
      <c r="H1051" s="506"/>
      <c r="I1051" s="506"/>
      <c r="J1051" s="506"/>
      <c r="K1051" s="507"/>
      <c r="L1051" s="508"/>
      <c r="M1051" s="508"/>
      <c r="N1051" s="508"/>
      <c r="O1051" s="509"/>
      <c r="P1051" s="509"/>
    </row>
    <row r="1052" spans="1:16" ht="21.75" customHeight="1" x14ac:dyDescent="0.3">
      <c r="A1052" s="504"/>
      <c r="B1052" s="504"/>
      <c r="C1052" s="504"/>
      <c r="D1052" s="504"/>
      <c r="E1052" s="506"/>
      <c r="F1052" s="506"/>
      <c r="G1052" s="506"/>
      <c r="H1052" s="506"/>
      <c r="I1052" s="506"/>
      <c r="J1052" s="506"/>
      <c r="K1052" s="507"/>
      <c r="L1052" s="508"/>
      <c r="M1052" s="508"/>
      <c r="N1052" s="508"/>
      <c r="O1052" s="509"/>
      <c r="P1052" s="509"/>
    </row>
    <row r="1053" spans="1:16" ht="21.75" customHeight="1" x14ac:dyDescent="0.3">
      <c r="A1053" s="504"/>
      <c r="B1053" s="504"/>
      <c r="C1053" s="504"/>
      <c r="D1053" s="504"/>
      <c r="E1053" s="506"/>
      <c r="F1053" s="506"/>
      <c r="G1053" s="506"/>
      <c r="H1053" s="506"/>
      <c r="I1053" s="506"/>
      <c r="J1053" s="506"/>
      <c r="K1053" s="507"/>
      <c r="L1053" s="508"/>
      <c r="M1053" s="508"/>
      <c r="N1053" s="508"/>
      <c r="O1053" s="509"/>
      <c r="P1053" s="509"/>
    </row>
    <row r="1054" spans="1:16" ht="21.75" customHeight="1" x14ac:dyDescent="0.3">
      <c r="A1054" s="504"/>
      <c r="B1054" s="504"/>
      <c r="C1054" s="504"/>
      <c r="D1054" s="504"/>
      <c r="E1054" s="506"/>
      <c r="F1054" s="506"/>
      <c r="G1054" s="506"/>
      <c r="H1054" s="506"/>
      <c r="I1054" s="506"/>
      <c r="J1054" s="506"/>
      <c r="K1054" s="507"/>
      <c r="L1054" s="508"/>
      <c r="M1054" s="508"/>
      <c r="N1054" s="508"/>
      <c r="O1054" s="509"/>
      <c r="P1054" s="509"/>
    </row>
    <row r="1055" spans="1:16" ht="21.75" customHeight="1" x14ac:dyDescent="0.3">
      <c r="A1055" s="504"/>
      <c r="B1055" s="504"/>
      <c r="C1055" s="504"/>
      <c r="D1055" s="504"/>
      <c r="E1055" s="506"/>
      <c r="F1055" s="506"/>
      <c r="G1055" s="506"/>
      <c r="H1055" s="506"/>
      <c r="I1055" s="506"/>
      <c r="J1055" s="506"/>
      <c r="K1055" s="507"/>
      <c r="L1055" s="508"/>
      <c r="M1055" s="508"/>
      <c r="N1055" s="508"/>
      <c r="O1055" s="509"/>
      <c r="P1055" s="509"/>
    </row>
    <row r="1056" spans="1:16" ht="21.75" customHeight="1" x14ac:dyDescent="0.3">
      <c r="A1056" s="504"/>
      <c r="B1056" s="504"/>
      <c r="C1056" s="504"/>
      <c r="D1056" s="504"/>
      <c r="E1056" s="506"/>
      <c r="F1056" s="506"/>
      <c r="G1056" s="506"/>
      <c r="H1056" s="506"/>
      <c r="I1056" s="506"/>
      <c r="J1056" s="506"/>
      <c r="K1056" s="507"/>
      <c r="L1056" s="508"/>
      <c r="M1056" s="508"/>
      <c r="N1056" s="508"/>
      <c r="O1056" s="509"/>
      <c r="P1056" s="509"/>
    </row>
    <row r="1057" spans="1:16" ht="21.75" customHeight="1" x14ac:dyDescent="0.3">
      <c r="A1057" s="504"/>
      <c r="B1057" s="504"/>
      <c r="C1057" s="504"/>
      <c r="D1057" s="504"/>
      <c r="E1057" s="506"/>
      <c r="F1057" s="506"/>
      <c r="G1057" s="506"/>
      <c r="H1057" s="506"/>
      <c r="I1057" s="506"/>
      <c r="J1057" s="506"/>
      <c r="K1057" s="507"/>
      <c r="L1057" s="508"/>
      <c r="M1057" s="508"/>
      <c r="N1057" s="508"/>
      <c r="O1057" s="509"/>
      <c r="P1057" s="509"/>
    </row>
    <row r="1058" spans="1:16" ht="21.75" customHeight="1" x14ac:dyDescent="0.3">
      <c r="A1058" s="504"/>
      <c r="B1058" s="504"/>
      <c r="C1058" s="504"/>
      <c r="D1058" s="504"/>
      <c r="E1058" s="506"/>
      <c r="F1058" s="506"/>
      <c r="G1058" s="506"/>
      <c r="H1058" s="506"/>
      <c r="I1058" s="506"/>
      <c r="J1058" s="506"/>
      <c r="K1058" s="507"/>
      <c r="L1058" s="508"/>
      <c r="M1058" s="508"/>
      <c r="N1058" s="508"/>
      <c r="O1058" s="509"/>
      <c r="P1058" s="509"/>
    </row>
    <row r="1059" spans="1:16" ht="21.75" customHeight="1" x14ac:dyDescent="0.3">
      <c r="A1059" s="504"/>
      <c r="B1059" s="504"/>
      <c r="C1059" s="504"/>
      <c r="D1059" s="504"/>
      <c r="E1059" s="506"/>
      <c r="F1059" s="506"/>
      <c r="G1059" s="506"/>
      <c r="H1059" s="506"/>
      <c r="I1059" s="506"/>
      <c r="J1059" s="506"/>
      <c r="K1059" s="507"/>
      <c r="L1059" s="508"/>
      <c r="M1059" s="508"/>
      <c r="N1059" s="508"/>
      <c r="O1059" s="509"/>
      <c r="P1059" s="509"/>
    </row>
    <row r="1060" spans="1:16" ht="21.75" customHeight="1" x14ac:dyDescent="0.3">
      <c r="A1060" s="504"/>
      <c r="B1060" s="504"/>
      <c r="C1060" s="504"/>
      <c r="D1060" s="504"/>
      <c r="E1060" s="506"/>
      <c r="F1060" s="506"/>
      <c r="G1060" s="506"/>
      <c r="H1060" s="506"/>
      <c r="I1060" s="506"/>
      <c r="J1060" s="506"/>
      <c r="K1060" s="507"/>
      <c r="L1060" s="508"/>
      <c r="M1060" s="508"/>
      <c r="N1060" s="508"/>
      <c r="O1060" s="509"/>
      <c r="P1060" s="509"/>
    </row>
    <row r="1061" spans="1:16" ht="21.75" customHeight="1" x14ac:dyDescent="0.3">
      <c r="A1061" s="504"/>
      <c r="B1061" s="504"/>
      <c r="C1061" s="504"/>
      <c r="D1061" s="504"/>
      <c r="E1061" s="506"/>
      <c r="F1061" s="506"/>
      <c r="G1061" s="506"/>
      <c r="H1061" s="506"/>
      <c r="I1061" s="506"/>
      <c r="J1061" s="506"/>
      <c r="K1061" s="507"/>
      <c r="L1061" s="508"/>
      <c r="M1061" s="508"/>
      <c r="N1061" s="508"/>
      <c r="O1061" s="509"/>
      <c r="P1061" s="509"/>
    </row>
    <row r="1062" spans="1:16" ht="21.75" customHeight="1" x14ac:dyDescent="0.3">
      <c r="A1062" s="504"/>
      <c r="B1062" s="504"/>
      <c r="C1062" s="504"/>
      <c r="D1062" s="504"/>
      <c r="E1062" s="506"/>
      <c r="F1062" s="506"/>
      <c r="G1062" s="506"/>
      <c r="H1062" s="506"/>
      <c r="I1062" s="506"/>
      <c r="J1062" s="506"/>
      <c r="K1062" s="507"/>
      <c r="L1062" s="508"/>
      <c r="M1062" s="508"/>
      <c r="N1062" s="508"/>
      <c r="O1062" s="509"/>
      <c r="P1062" s="509"/>
    </row>
    <row r="1063" spans="1:16" ht="21.75" customHeight="1" x14ac:dyDescent="0.3">
      <c r="A1063" s="504"/>
      <c r="B1063" s="504"/>
      <c r="C1063" s="504"/>
      <c r="D1063" s="504"/>
      <c r="E1063" s="506"/>
      <c r="F1063" s="506"/>
      <c r="G1063" s="506"/>
      <c r="H1063" s="506"/>
      <c r="I1063" s="506"/>
      <c r="J1063" s="506"/>
      <c r="K1063" s="507"/>
      <c r="L1063" s="508"/>
      <c r="M1063" s="508"/>
      <c r="N1063" s="508"/>
      <c r="O1063" s="509"/>
      <c r="P1063" s="509"/>
    </row>
    <row r="1064" spans="1:16" ht="21.75" customHeight="1" x14ac:dyDescent="0.3">
      <c r="A1064" s="504"/>
      <c r="B1064" s="504"/>
      <c r="C1064" s="504"/>
      <c r="D1064" s="504"/>
      <c r="E1064" s="506"/>
      <c r="F1064" s="506"/>
      <c r="G1064" s="506"/>
      <c r="H1064" s="506"/>
      <c r="I1064" s="506"/>
      <c r="J1064" s="506"/>
      <c r="K1064" s="507"/>
      <c r="L1064" s="508"/>
      <c r="M1064" s="508"/>
      <c r="N1064" s="508"/>
      <c r="O1064" s="509"/>
      <c r="P1064" s="509"/>
    </row>
    <row r="1065" spans="1:16" ht="21.75" customHeight="1" x14ac:dyDescent="0.3">
      <c r="A1065" s="504"/>
      <c r="B1065" s="504"/>
      <c r="C1065" s="504"/>
      <c r="D1065" s="504"/>
      <c r="E1065" s="506"/>
      <c r="F1065" s="506"/>
      <c r="G1065" s="506"/>
      <c r="H1065" s="506"/>
      <c r="I1065" s="506"/>
      <c r="J1065" s="506"/>
      <c r="K1065" s="507"/>
      <c r="L1065" s="508"/>
      <c r="M1065" s="508"/>
      <c r="N1065" s="508"/>
      <c r="O1065" s="509"/>
      <c r="P1065" s="509"/>
    </row>
    <row r="1066" spans="1:16" ht="21.75" customHeight="1" x14ac:dyDescent="0.3">
      <c r="A1066" s="504"/>
      <c r="B1066" s="504"/>
      <c r="C1066" s="504"/>
      <c r="D1066" s="504"/>
      <c r="E1066" s="506"/>
      <c r="F1066" s="506"/>
      <c r="G1066" s="506"/>
      <c r="H1066" s="506"/>
      <c r="I1066" s="506"/>
      <c r="J1066" s="506"/>
      <c r="K1066" s="507"/>
      <c r="L1066" s="508"/>
      <c r="M1066" s="508"/>
      <c r="N1066" s="508"/>
      <c r="O1066" s="509"/>
      <c r="P1066" s="509"/>
    </row>
    <row r="1067" spans="1:16" ht="21.75" customHeight="1" x14ac:dyDescent="0.3">
      <c r="A1067" s="504"/>
      <c r="B1067" s="504"/>
      <c r="C1067" s="504"/>
      <c r="D1067" s="504"/>
      <c r="E1067" s="506"/>
      <c r="F1067" s="506"/>
      <c r="G1067" s="506"/>
      <c r="H1067" s="506"/>
      <c r="I1067" s="506"/>
      <c r="J1067" s="506"/>
      <c r="K1067" s="507"/>
      <c r="L1067" s="508"/>
      <c r="M1067" s="508"/>
      <c r="N1067" s="508"/>
      <c r="O1067" s="509"/>
      <c r="P1067" s="509"/>
    </row>
    <row r="1068" spans="1:16" ht="21.75" customHeight="1" x14ac:dyDescent="0.3">
      <c r="A1068" s="504"/>
      <c r="B1068" s="504"/>
      <c r="C1068" s="504"/>
      <c r="D1068" s="504"/>
      <c r="E1068" s="506"/>
      <c r="F1068" s="506"/>
      <c r="G1068" s="506"/>
      <c r="H1068" s="506"/>
      <c r="I1068" s="506"/>
      <c r="J1068" s="506"/>
      <c r="K1068" s="507"/>
      <c r="L1068" s="508"/>
      <c r="M1068" s="508"/>
      <c r="N1068" s="508"/>
      <c r="O1068" s="509"/>
      <c r="P1068" s="509"/>
    </row>
    <row r="1069" spans="1:16" ht="21.75" customHeight="1" x14ac:dyDescent="0.3">
      <c r="A1069" s="504"/>
      <c r="B1069" s="504"/>
      <c r="C1069" s="504"/>
      <c r="D1069" s="504"/>
      <c r="E1069" s="506"/>
      <c r="F1069" s="506"/>
      <c r="G1069" s="506"/>
      <c r="H1069" s="506"/>
      <c r="I1069" s="506"/>
      <c r="J1069" s="506"/>
      <c r="K1069" s="507"/>
      <c r="L1069" s="508"/>
      <c r="M1069" s="508"/>
      <c r="N1069" s="508"/>
      <c r="O1069" s="509"/>
      <c r="P1069" s="509"/>
    </row>
    <row r="1070" spans="1:16" ht="21.75" customHeight="1" x14ac:dyDescent="0.3">
      <c r="A1070" s="504"/>
      <c r="B1070" s="504"/>
      <c r="C1070" s="504"/>
      <c r="D1070" s="504"/>
      <c r="E1070" s="506"/>
      <c r="F1070" s="506"/>
      <c r="G1070" s="506"/>
      <c r="H1070" s="506"/>
      <c r="I1070" s="506"/>
      <c r="J1070" s="506"/>
      <c r="K1070" s="507"/>
      <c r="L1070" s="508"/>
      <c r="M1070" s="508"/>
      <c r="N1070" s="508"/>
      <c r="O1070" s="509"/>
      <c r="P1070" s="509"/>
    </row>
    <row r="1071" spans="1:16" ht="21.75" customHeight="1" x14ac:dyDescent="0.3">
      <c r="A1071" s="504"/>
      <c r="B1071" s="504"/>
      <c r="C1071" s="504"/>
      <c r="D1071" s="504"/>
      <c r="E1071" s="506"/>
      <c r="F1071" s="506"/>
      <c r="G1071" s="506"/>
      <c r="H1071" s="506"/>
      <c r="I1071" s="506"/>
      <c r="J1071" s="506"/>
      <c r="K1071" s="507"/>
      <c r="L1071" s="508"/>
      <c r="M1071" s="508"/>
      <c r="N1071" s="508"/>
      <c r="O1071" s="509"/>
      <c r="P1071" s="509"/>
    </row>
    <row r="1072" spans="1:16" ht="21.75" customHeight="1" x14ac:dyDescent="0.3">
      <c r="A1072" s="504"/>
      <c r="B1072" s="504"/>
      <c r="C1072" s="504"/>
      <c r="D1072" s="504"/>
      <c r="E1072" s="506"/>
      <c r="F1072" s="506"/>
      <c r="G1072" s="506"/>
      <c r="H1072" s="506"/>
      <c r="I1072" s="506"/>
      <c r="J1072" s="506"/>
      <c r="K1072" s="507"/>
      <c r="L1072" s="508"/>
      <c r="M1072" s="508"/>
      <c r="N1072" s="508"/>
      <c r="O1072" s="509"/>
      <c r="P1072" s="509"/>
    </row>
    <row r="1073" spans="1:16" ht="21.75" customHeight="1" x14ac:dyDescent="0.3">
      <c r="A1073" s="504"/>
      <c r="B1073" s="504"/>
      <c r="C1073" s="504"/>
      <c r="D1073" s="504"/>
      <c r="E1073" s="506"/>
      <c r="F1073" s="506"/>
      <c r="G1073" s="506"/>
      <c r="H1073" s="506"/>
      <c r="I1073" s="506"/>
      <c r="J1073" s="506"/>
      <c r="K1073" s="507"/>
      <c r="L1073" s="508"/>
      <c r="M1073" s="508"/>
      <c r="N1073" s="508"/>
      <c r="O1073" s="509"/>
      <c r="P1073" s="509"/>
    </row>
    <row r="1074" spans="1:16" ht="21.75" customHeight="1" x14ac:dyDescent="0.3">
      <c r="A1074" s="504"/>
      <c r="B1074" s="504"/>
      <c r="C1074" s="504"/>
      <c r="D1074" s="504"/>
      <c r="E1074" s="506"/>
      <c r="F1074" s="506"/>
      <c r="G1074" s="506"/>
      <c r="H1074" s="506"/>
      <c r="I1074" s="506"/>
      <c r="J1074" s="506"/>
      <c r="K1074" s="507"/>
      <c r="L1074" s="508"/>
      <c r="M1074" s="508"/>
      <c r="N1074" s="508"/>
      <c r="O1074" s="509"/>
      <c r="P1074" s="509"/>
    </row>
    <row r="1075" spans="1:16" ht="21.75" customHeight="1" x14ac:dyDescent="0.3">
      <c r="A1075" s="504"/>
      <c r="B1075" s="504"/>
      <c r="C1075" s="504"/>
      <c r="D1075" s="504"/>
      <c r="E1075" s="506"/>
      <c r="F1075" s="506"/>
      <c r="G1075" s="506"/>
      <c r="H1075" s="506"/>
      <c r="I1075" s="506"/>
      <c r="J1075" s="506"/>
      <c r="K1075" s="507"/>
      <c r="L1075" s="508"/>
      <c r="M1075" s="508"/>
      <c r="N1075" s="508"/>
      <c r="O1075" s="509"/>
      <c r="P1075" s="509"/>
    </row>
    <row r="1076" spans="1:16" ht="21.75" customHeight="1" x14ac:dyDescent="0.3">
      <c r="A1076" s="504"/>
      <c r="B1076" s="504"/>
      <c r="C1076" s="504"/>
      <c r="D1076" s="504"/>
      <c r="E1076" s="506"/>
      <c r="F1076" s="506"/>
      <c r="G1076" s="506"/>
      <c r="H1076" s="506"/>
      <c r="I1076" s="506"/>
      <c r="J1076" s="506"/>
      <c r="K1076" s="507"/>
      <c r="L1076" s="508"/>
      <c r="M1076" s="508"/>
      <c r="N1076" s="508"/>
      <c r="O1076" s="509"/>
      <c r="P1076" s="509"/>
    </row>
    <row r="1077" spans="1:16" ht="21.75" customHeight="1" x14ac:dyDescent="0.3">
      <c r="A1077" s="504"/>
      <c r="B1077" s="504"/>
      <c r="C1077" s="504"/>
      <c r="D1077" s="504"/>
      <c r="E1077" s="506"/>
      <c r="F1077" s="506"/>
      <c r="G1077" s="506"/>
      <c r="H1077" s="506"/>
      <c r="I1077" s="506"/>
      <c r="J1077" s="506"/>
      <c r="K1077" s="507"/>
      <c r="L1077" s="508"/>
      <c r="M1077" s="508"/>
      <c r="N1077" s="508"/>
      <c r="O1077" s="509"/>
      <c r="P1077" s="509"/>
    </row>
    <row r="1078" spans="1:16" ht="21.75" customHeight="1" x14ac:dyDescent="0.3">
      <c r="A1078" s="504"/>
      <c r="B1078" s="504"/>
      <c r="C1078" s="504"/>
      <c r="D1078" s="504"/>
      <c r="E1078" s="506"/>
      <c r="F1078" s="506"/>
      <c r="G1078" s="506"/>
      <c r="H1078" s="506"/>
      <c r="I1078" s="506"/>
      <c r="J1078" s="506"/>
      <c r="K1078" s="507"/>
      <c r="L1078" s="508"/>
      <c r="M1078" s="508"/>
      <c r="N1078" s="508"/>
      <c r="O1078" s="509"/>
      <c r="P1078" s="509"/>
    </row>
    <row r="1079" spans="1:16" ht="21.75" customHeight="1" x14ac:dyDescent="0.3">
      <c r="A1079" s="504"/>
      <c r="B1079" s="504"/>
      <c r="C1079" s="504"/>
      <c r="D1079" s="504"/>
      <c r="E1079" s="506"/>
      <c r="F1079" s="506"/>
      <c r="G1079" s="506"/>
      <c r="H1079" s="506"/>
      <c r="I1079" s="506"/>
      <c r="J1079" s="506"/>
      <c r="K1079" s="507"/>
      <c r="L1079" s="508"/>
      <c r="M1079" s="508"/>
      <c r="N1079" s="508"/>
      <c r="O1079" s="509"/>
      <c r="P1079" s="509"/>
    </row>
    <row r="1080" spans="1:16" ht="21.75" customHeight="1" x14ac:dyDescent="0.3">
      <c r="A1080" s="504"/>
      <c r="B1080" s="504"/>
      <c r="C1080" s="504"/>
      <c r="D1080" s="504"/>
      <c r="E1080" s="506"/>
      <c r="F1080" s="506"/>
      <c r="G1080" s="506"/>
      <c r="H1080" s="506"/>
      <c r="I1080" s="506"/>
      <c r="J1080" s="506"/>
      <c r="K1080" s="507"/>
      <c r="L1080" s="508"/>
      <c r="M1080" s="508"/>
      <c r="N1080" s="508"/>
      <c r="O1080" s="509"/>
      <c r="P1080" s="509"/>
    </row>
    <row r="1081" spans="1:16" ht="21.75" customHeight="1" x14ac:dyDescent="0.3">
      <c r="A1081" s="504"/>
      <c r="B1081" s="504"/>
      <c r="C1081" s="504"/>
      <c r="D1081" s="504"/>
      <c r="E1081" s="506"/>
      <c r="F1081" s="506"/>
      <c r="G1081" s="506"/>
      <c r="H1081" s="506"/>
      <c r="I1081" s="506"/>
      <c r="J1081" s="506"/>
      <c r="K1081" s="507"/>
      <c r="L1081" s="508"/>
      <c r="M1081" s="508"/>
      <c r="N1081" s="508"/>
      <c r="O1081" s="509"/>
      <c r="P1081" s="509"/>
    </row>
    <row r="1082" spans="1:16" ht="21.75" customHeight="1" x14ac:dyDescent="0.3">
      <c r="A1082" s="504"/>
      <c r="B1082" s="504"/>
      <c r="C1082" s="504"/>
      <c r="D1082" s="504"/>
      <c r="E1082" s="506"/>
      <c r="F1082" s="506"/>
      <c r="G1082" s="506"/>
      <c r="H1082" s="506"/>
      <c r="I1082" s="506"/>
      <c r="J1082" s="506"/>
      <c r="K1082" s="507"/>
      <c r="L1082" s="508"/>
      <c r="M1082" s="508"/>
      <c r="N1082" s="508"/>
      <c r="O1082" s="509"/>
      <c r="P1082" s="509"/>
    </row>
    <row r="1083" spans="1:16" ht="21.75" customHeight="1" x14ac:dyDescent="0.3">
      <c r="A1083" s="504"/>
      <c r="B1083" s="504"/>
      <c r="C1083" s="504"/>
      <c r="D1083" s="504"/>
      <c r="E1083" s="506"/>
      <c r="F1083" s="506"/>
      <c r="G1083" s="506"/>
      <c r="H1083" s="506"/>
      <c r="I1083" s="506"/>
      <c r="J1083" s="506"/>
      <c r="K1083" s="507"/>
      <c r="L1083" s="508"/>
      <c r="M1083" s="508"/>
      <c r="N1083" s="508"/>
      <c r="O1083" s="509"/>
      <c r="P1083" s="509"/>
    </row>
    <row r="1084" spans="1:16" ht="21.75" customHeight="1" x14ac:dyDescent="0.3">
      <c r="A1084" s="504"/>
      <c r="B1084" s="504"/>
      <c r="C1084" s="504"/>
      <c r="D1084" s="504"/>
      <c r="E1084" s="506"/>
      <c r="F1084" s="506"/>
      <c r="G1084" s="506"/>
      <c r="H1084" s="506"/>
      <c r="I1084" s="506"/>
      <c r="J1084" s="506"/>
      <c r="K1084" s="507"/>
      <c r="L1084" s="508"/>
      <c r="M1084" s="508"/>
      <c r="N1084" s="508"/>
      <c r="O1084" s="509"/>
      <c r="P1084" s="509"/>
    </row>
    <row r="1085" spans="1:16" ht="21.75" customHeight="1" x14ac:dyDescent="0.3">
      <c r="A1085" s="504"/>
      <c r="B1085" s="504"/>
      <c r="C1085" s="504"/>
      <c r="D1085" s="504"/>
      <c r="E1085" s="506"/>
      <c r="F1085" s="506"/>
      <c r="G1085" s="506"/>
      <c r="H1085" s="506"/>
      <c r="I1085" s="506"/>
      <c r="J1085" s="506"/>
      <c r="K1085" s="507"/>
      <c r="L1085" s="508"/>
      <c r="M1085" s="508"/>
      <c r="N1085" s="508"/>
      <c r="O1085" s="509"/>
      <c r="P1085" s="509"/>
    </row>
    <row r="1086" spans="1:16" ht="21.75" customHeight="1" x14ac:dyDescent="0.3">
      <c r="A1086" s="504"/>
      <c r="B1086" s="504"/>
      <c r="C1086" s="504"/>
      <c r="D1086" s="504"/>
      <c r="E1086" s="506"/>
      <c r="F1086" s="506"/>
      <c r="G1086" s="506"/>
      <c r="H1086" s="506"/>
      <c r="I1086" s="506"/>
      <c r="J1086" s="506"/>
      <c r="K1086" s="507"/>
      <c r="L1086" s="508"/>
      <c r="M1086" s="508"/>
      <c r="N1086" s="508"/>
      <c r="O1086" s="509"/>
      <c r="P1086" s="509"/>
    </row>
    <row r="1087" spans="1:16" ht="21.75" customHeight="1" x14ac:dyDescent="0.3">
      <c r="A1087" s="504"/>
      <c r="B1087" s="504"/>
      <c r="C1087" s="504"/>
      <c r="D1087" s="504"/>
      <c r="E1087" s="506"/>
      <c r="F1087" s="506"/>
      <c r="G1087" s="506"/>
      <c r="H1087" s="506"/>
      <c r="I1087" s="506"/>
      <c r="J1087" s="506"/>
      <c r="K1087" s="507"/>
      <c r="L1087" s="508"/>
      <c r="M1087" s="508"/>
      <c r="N1087" s="508"/>
      <c r="O1087" s="509"/>
      <c r="P1087" s="509"/>
    </row>
    <row r="1088" spans="1:16" ht="21.75" customHeight="1" x14ac:dyDescent="0.3">
      <c r="A1088" s="504"/>
      <c r="B1088" s="504"/>
      <c r="C1088" s="504"/>
      <c r="D1088" s="504"/>
      <c r="E1088" s="506"/>
      <c r="F1088" s="506"/>
      <c r="G1088" s="506"/>
      <c r="H1088" s="506"/>
      <c r="I1088" s="506"/>
      <c r="J1088" s="506"/>
      <c r="K1088" s="507"/>
      <c r="L1088" s="508"/>
      <c r="M1088" s="508"/>
      <c r="N1088" s="508"/>
      <c r="O1088" s="509"/>
      <c r="P1088" s="509"/>
    </row>
    <row r="1089" spans="1:16" ht="21.75" customHeight="1" x14ac:dyDescent="0.3">
      <c r="A1089" s="504"/>
      <c r="B1089" s="504"/>
      <c r="C1089" s="504"/>
      <c r="D1089" s="504"/>
      <c r="E1089" s="506"/>
      <c r="F1089" s="506"/>
      <c r="G1089" s="506"/>
      <c r="H1089" s="506"/>
      <c r="I1089" s="506"/>
      <c r="J1089" s="506"/>
      <c r="K1089" s="507"/>
      <c r="L1089" s="508"/>
      <c r="M1089" s="508"/>
      <c r="N1089" s="508"/>
      <c r="O1089" s="509"/>
      <c r="P1089" s="509"/>
    </row>
    <row r="1090" spans="1:16" ht="21.75" customHeight="1" x14ac:dyDescent="0.3">
      <c r="A1090" s="504"/>
      <c r="B1090" s="504"/>
      <c r="C1090" s="504"/>
      <c r="D1090" s="504"/>
      <c r="E1090" s="506"/>
      <c r="F1090" s="506"/>
      <c r="G1090" s="506"/>
      <c r="H1090" s="506"/>
      <c r="I1090" s="506"/>
      <c r="J1090" s="506"/>
      <c r="K1090" s="507"/>
      <c r="L1090" s="508"/>
      <c r="M1090" s="508"/>
      <c r="N1090" s="508"/>
      <c r="O1090" s="509"/>
      <c r="P1090" s="509"/>
    </row>
    <row r="1091" spans="1:16" ht="21.75" customHeight="1" x14ac:dyDescent="0.3">
      <c r="A1091" s="504"/>
      <c r="B1091" s="504"/>
      <c r="C1091" s="504"/>
      <c r="D1091" s="504"/>
      <c r="E1091" s="506"/>
      <c r="F1091" s="506"/>
      <c r="G1091" s="506"/>
      <c r="H1091" s="506"/>
      <c r="I1091" s="506"/>
      <c r="J1091" s="506"/>
      <c r="K1091" s="507"/>
      <c r="L1091" s="508"/>
      <c r="M1091" s="508"/>
      <c r="N1091" s="508"/>
      <c r="O1091" s="509"/>
      <c r="P1091" s="509"/>
    </row>
    <row r="1092" spans="1:16" ht="21.75" customHeight="1" x14ac:dyDescent="0.3">
      <c r="A1092" s="504"/>
      <c r="B1092" s="504"/>
      <c r="C1092" s="504"/>
      <c r="D1092" s="504"/>
      <c r="E1092" s="506"/>
      <c r="F1092" s="506"/>
      <c r="G1092" s="506"/>
      <c r="H1092" s="506"/>
      <c r="I1092" s="506"/>
      <c r="J1092" s="506"/>
      <c r="K1092" s="507"/>
      <c r="L1092" s="508"/>
      <c r="M1092" s="508"/>
      <c r="N1092" s="508"/>
      <c r="O1092" s="509"/>
      <c r="P1092" s="509"/>
    </row>
    <row r="1093" spans="1:16" ht="21.75" customHeight="1" x14ac:dyDescent="0.3">
      <c r="A1093" s="504"/>
      <c r="B1093" s="504"/>
      <c r="C1093" s="504"/>
      <c r="D1093" s="504"/>
      <c r="E1093" s="506"/>
      <c r="F1093" s="506"/>
      <c r="G1093" s="506"/>
      <c r="H1093" s="506"/>
      <c r="I1093" s="506"/>
      <c r="J1093" s="506"/>
      <c r="K1093" s="507"/>
      <c r="L1093" s="508"/>
      <c r="M1093" s="508"/>
      <c r="N1093" s="508"/>
      <c r="O1093" s="509"/>
      <c r="P1093" s="509"/>
    </row>
    <row r="1094" spans="1:16" ht="21.75" customHeight="1" x14ac:dyDescent="0.3">
      <c r="A1094" s="504"/>
      <c r="B1094" s="504"/>
      <c r="C1094" s="504"/>
      <c r="D1094" s="504"/>
      <c r="E1094" s="506"/>
      <c r="F1094" s="506"/>
      <c r="G1094" s="506"/>
      <c r="H1094" s="506"/>
      <c r="I1094" s="506"/>
      <c r="J1094" s="506"/>
      <c r="K1094" s="507"/>
      <c r="L1094" s="508"/>
      <c r="M1094" s="508"/>
      <c r="N1094" s="508"/>
      <c r="O1094" s="509"/>
      <c r="P1094" s="509"/>
    </row>
    <row r="1095" spans="1:16" ht="21.75" customHeight="1" x14ac:dyDescent="0.3">
      <c r="A1095" s="504"/>
      <c r="B1095" s="504"/>
      <c r="C1095" s="504"/>
      <c r="D1095" s="504"/>
      <c r="E1095" s="506"/>
      <c r="F1095" s="506"/>
      <c r="G1095" s="506"/>
      <c r="H1095" s="506"/>
      <c r="I1095" s="506"/>
      <c r="J1095" s="506"/>
      <c r="K1095" s="507"/>
      <c r="L1095" s="508"/>
      <c r="M1095" s="508"/>
      <c r="N1095" s="508"/>
      <c r="O1095" s="509"/>
      <c r="P1095" s="509"/>
    </row>
    <row r="1096" spans="1:16" ht="21.75" customHeight="1" x14ac:dyDescent="0.3">
      <c r="A1096" s="504"/>
      <c r="B1096" s="504"/>
      <c r="C1096" s="504"/>
      <c r="D1096" s="504"/>
      <c r="E1096" s="506"/>
      <c r="F1096" s="506"/>
      <c r="G1096" s="506"/>
      <c r="H1096" s="506"/>
      <c r="I1096" s="506"/>
      <c r="J1096" s="506"/>
      <c r="K1096" s="507"/>
      <c r="L1096" s="508"/>
      <c r="M1096" s="508"/>
      <c r="N1096" s="508"/>
      <c r="O1096" s="509"/>
      <c r="P1096" s="509"/>
    </row>
    <row r="1097" spans="1:16" ht="21.75" customHeight="1" x14ac:dyDescent="0.3">
      <c r="A1097" s="504"/>
      <c r="B1097" s="504"/>
      <c r="C1097" s="504"/>
      <c r="D1097" s="504"/>
      <c r="E1097" s="506"/>
      <c r="F1097" s="506"/>
      <c r="G1097" s="506"/>
      <c r="H1097" s="506"/>
      <c r="I1097" s="506"/>
      <c r="J1097" s="506"/>
      <c r="K1097" s="507"/>
      <c r="L1097" s="508"/>
      <c r="M1097" s="508"/>
      <c r="N1097" s="508"/>
      <c r="O1097" s="509"/>
      <c r="P1097" s="509"/>
    </row>
    <row r="1098" spans="1:16" ht="21.75" customHeight="1" x14ac:dyDescent="0.3">
      <c r="A1098" s="504"/>
      <c r="B1098" s="504"/>
      <c r="C1098" s="504"/>
      <c r="D1098" s="504"/>
      <c r="E1098" s="506"/>
      <c r="F1098" s="506"/>
      <c r="G1098" s="506"/>
      <c r="H1098" s="506"/>
      <c r="I1098" s="506"/>
      <c r="J1098" s="506"/>
      <c r="K1098" s="507"/>
      <c r="L1098" s="508"/>
      <c r="M1098" s="508"/>
      <c r="N1098" s="508"/>
      <c r="O1098" s="509"/>
      <c r="P1098" s="509"/>
    </row>
    <row r="1099" spans="1:16" ht="21.75" customHeight="1" x14ac:dyDescent="0.3">
      <c r="A1099" s="504"/>
      <c r="B1099" s="504"/>
      <c r="C1099" s="504"/>
      <c r="D1099" s="504"/>
      <c r="E1099" s="506"/>
      <c r="F1099" s="506"/>
      <c r="G1099" s="506"/>
      <c r="H1099" s="506"/>
      <c r="I1099" s="506"/>
      <c r="J1099" s="506"/>
      <c r="K1099" s="507"/>
      <c r="L1099" s="508"/>
      <c r="M1099" s="508"/>
      <c r="N1099" s="508"/>
      <c r="O1099" s="509"/>
      <c r="P1099" s="509"/>
    </row>
    <row r="1100" spans="1:16" ht="21.75" customHeight="1" x14ac:dyDescent="0.3">
      <c r="A1100" s="504"/>
      <c r="B1100" s="504"/>
      <c r="C1100" s="504"/>
      <c r="D1100" s="504"/>
      <c r="E1100" s="506"/>
      <c r="F1100" s="506"/>
      <c r="G1100" s="506"/>
      <c r="H1100" s="506"/>
      <c r="I1100" s="506"/>
      <c r="J1100" s="506"/>
      <c r="K1100" s="507"/>
      <c r="L1100" s="508"/>
      <c r="M1100" s="508"/>
      <c r="N1100" s="508"/>
      <c r="O1100" s="509"/>
      <c r="P1100" s="509"/>
    </row>
    <row r="1101" spans="1:16" ht="21.75" customHeight="1" x14ac:dyDescent="0.3">
      <c r="A1101" s="504"/>
      <c r="B1101" s="504"/>
      <c r="C1101" s="504"/>
      <c r="D1101" s="504"/>
      <c r="E1101" s="506"/>
      <c r="F1101" s="506"/>
      <c r="G1101" s="506"/>
      <c r="H1101" s="506"/>
      <c r="I1101" s="506"/>
      <c r="J1101" s="506"/>
      <c r="K1101" s="507"/>
      <c r="L1101" s="508"/>
      <c r="M1101" s="508"/>
      <c r="N1101" s="508"/>
      <c r="O1101" s="509"/>
      <c r="P1101" s="509"/>
    </row>
    <row r="1102" spans="1:16" ht="21.75" customHeight="1" x14ac:dyDescent="0.3">
      <c r="A1102" s="504"/>
      <c r="B1102" s="504"/>
      <c r="C1102" s="504"/>
      <c r="D1102" s="504"/>
      <c r="E1102" s="506"/>
      <c r="F1102" s="506"/>
      <c r="G1102" s="506"/>
      <c r="H1102" s="506"/>
      <c r="I1102" s="506"/>
      <c r="J1102" s="506"/>
      <c r="K1102" s="507"/>
      <c r="L1102" s="508"/>
      <c r="M1102" s="508"/>
      <c r="N1102" s="508"/>
      <c r="O1102" s="509"/>
      <c r="P1102" s="509"/>
    </row>
    <row r="1103" spans="1:16" ht="21.75" customHeight="1" x14ac:dyDescent="0.3">
      <c r="A1103" s="504"/>
      <c r="B1103" s="504"/>
      <c r="C1103" s="504"/>
      <c r="D1103" s="504"/>
      <c r="E1103" s="506"/>
      <c r="F1103" s="506"/>
      <c r="G1103" s="506"/>
      <c r="H1103" s="506"/>
      <c r="I1103" s="506"/>
      <c r="J1103" s="506"/>
      <c r="K1103" s="507"/>
      <c r="L1103" s="508"/>
      <c r="M1103" s="508"/>
      <c r="N1103" s="508"/>
      <c r="O1103" s="509"/>
      <c r="P1103" s="509"/>
    </row>
    <row r="1104" spans="1:16" ht="21.75" customHeight="1" x14ac:dyDescent="0.3">
      <c r="A1104" s="504"/>
      <c r="B1104" s="504"/>
      <c r="C1104" s="504"/>
      <c r="D1104" s="504"/>
      <c r="E1104" s="506"/>
      <c r="F1104" s="506"/>
      <c r="G1104" s="506"/>
      <c r="H1104" s="506"/>
      <c r="I1104" s="506"/>
      <c r="J1104" s="506"/>
      <c r="K1104" s="507"/>
      <c r="L1104" s="508"/>
      <c r="M1104" s="508"/>
      <c r="N1104" s="508"/>
      <c r="O1104" s="509"/>
      <c r="P1104" s="509"/>
    </row>
    <row r="1105" spans="1:16" ht="21.75" customHeight="1" x14ac:dyDescent="0.3">
      <c r="A1105" s="504"/>
      <c r="B1105" s="504"/>
      <c r="C1105" s="504"/>
      <c r="D1105" s="504"/>
      <c r="E1105" s="506"/>
      <c r="F1105" s="506"/>
      <c r="G1105" s="506"/>
      <c r="H1105" s="506"/>
      <c r="I1105" s="506"/>
      <c r="J1105" s="506"/>
      <c r="K1105" s="507"/>
      <c r="L1105" s="508"/>
      <c r="M1105" s="508"/>
      <c r="N1105" s="508"/>
      <c r="O1105" s="509"/>
      <c r="P1105" s="509"/>
    </row>
    <row r="1106" spans="1:16" ht="21.75" customHeight="1" x14ac:dyDescent="0.3">
      <c r="A1106" s="504"/>
      <c r="B1106" s="504"/>
      <c r="C1106" s="504"/>
      <c r="D1106" s="504"/>
      <c r="E1106" s="506"/>
      <c r="F1106" s="506"/>
      <c r="G1106" s="506"/>
      <c r="H1106" s="506"/>
      <c r="I1106" s="506"/>
      <c r="J1106" s="506"/>
      <c r="K1106" s="507"/>
      <c r="L1106" s="508"/>
      <c r="M1106" s="508"/>
      <c r="N1106" s="508"/>
      <c r="O1106" s="509"/>
      <c r="P1106" s="509"/>
    </row>
    <row r="1107" spans="1:16" ht="21.75" customHeight="1" x14ac:dyDescent="0.3">
      <c r="A1107" s="504"/>
      <c r="B1107" s="504"/>
      <c r="C1107" s="504"/>
      <c r="D1107" s="504"/>
      <c r="E1107" s="506"/>
      <c r="F1107" s="506"/>
      <c r="G1107" s="506"/>
      <c r="H1107" s="506"/>
      <c r="I1107" s="506"/>
      <c r="J1107" s="506"/>
      <c r="K1107" s="507"/>
      <c r="L1107" s="508"/>
      <c r="M1107" s="508"/>
      <c r="N1107" s="508"/>
      <c r="O1107" s="509"/>
      <c r="P1107" s="509"/>
    </row>
    <row r="1108" spans="1:16" ht="21.75" customHeight="1" x14ac:dyDescent="0.3">
      <c r="A1108" s="504"/>
      <c r="B1108" s="504"/>
      <c r="C1108" s="504"/>
      <c r="D1108" s="504"/>
      <c r="E1108" s="506"/>
      <c r="F1108" s="506"/>
      <c r="G1108" s="506"/>
      <c r="H1108" s="506"/>
      <c r="I1108" s="506"/>
      <c r="J1108" s="506"/>
      <c r="K1108" s="507"/>
      <c r="L1108" s="508"/>
      <c r="M1108" s="508"/>
      <c r="N1108" s="508"/>
      <c r="O1108" s="509"/>
      <c r="P1108" s="509"/>
    </row>
    <row r="1109" spans="1:16" ht="21.75" customHeight="1" x14ac:dyDescent="0.3">
      <c r="A1109" s="504"/>
      <c r="B1109" s="504"/>
      <c r="C1109" s="504"/>
      <c r="D1109" s="504"/>
      <c r="E1109" s="506"/>
      <c r="F1109" s="506"/>
      <c r="G1109" s="506"/>
      <c r="H1109" s="506"/>
      <c r="I1109" s="506"/>
      <c r="J1109" s="506"/>
      <c r="K1109" s="507"/>
      <c r="L1109" s="508"/>
      <c r="M1109" s="508"/>
      <c r="N1109" s="508"/>
      <c r="O1109" s="509"/>
      <c r="P1109" s="509"/>
    </row>
    <row r="1110" spans="1:16" ht="21.75" customHeight="1" x14ac:dyDescent="0.3">
      <c r="A1110" s="504"/>
      <c r="B1110" s="504"/>
      <c r="C1110" s="504"/>
      <c r="D1110" s="504"/>
      <c r="E1110" s="506"/>
      <c r="F1110" s="506"/>
      <c r="G1110" s="506"/>
      <c r="H1110" s="506"/>
      <c r="I1110" s="506"/>
      <c r="J1110" s="506"/>
      <c r="K1110" s="507"/>
      <c r="L1110" s="508"/>
      <c r="M1110" s="508"/>
      <c r="N1110" s="508"/>
      <c r="O1110" s="509"/>
      <c r="P1110" s="509"/>
    </row>
    <row r="1111" spans="1:16" ht="21.75" customHeight="1" x14ac:dyDescent="0.3">
      <c r="A1111" s="504"/>
      <c r="B1111" s="504"/>
      <c r="C1111" s="504"/>
      <c r="D1111" s="504"/>
      <c r="E1111" s="506"/>
      <c r="F1111" s="506"/>
      <c r="G1111" s="506"/>
      <c r="H1111" s="506"/>
      <c r="I1111" s="506"/>
      <c r="J1111" s="506"/>
      <c r="K1111" s="507"/>
      <c r="L1111" s="508"/>
      <c r="M1111" s="508"/>
      <c r="N1111" s="508"/>
      <c r="O1111" s="509"/>
      <c r="P1111" s="509"/>
    </row>
    <row r="1112" spans="1:16" ht="21.75" customHeight="1" x14ac:dyDescent="0.3">
      <c r="A1112" s="504"/>
      <c r="B1112" s="504"/>
      <c r="C1112" s="504"/>
      <c r="D1112" s="504"/>
      <c r="E1112" s="506"/>
      <c r="F1112" s="506"/>
      <c r="G1112" s="506"/>
      <c r="H1112" s="506"/>
      <c r="I1112" s="506"/>
      <c r="J1112" s="506"/>
      <c r="K1112" s="507"/>
      <c r="L1112" s="508"/>
      <c r="M1112" s="508"/>
      <c r="N1112" s="508"/>
      <c r="O1112" s="509"/>
      <c r="P1112" s="509"/>
    </row>
    <row r="1113" spans="1:16" ht="21.75" customHeight="1" x14ac:dyDescent="0.3">
      <c r="A1113" s="504"/>
      <c r="B1113" s="504"/>
      <c r="C1113" s="504"/>
      <c r="D1113" s="504"/>
      <c r="E1113" s="506"/>
      <c r="F1113" s="506"/>
      <c r="G1113" s="506"/>
      <c r="H1113" s="506"/>
      <c r="I1113" s="506"/>
      <c r="J1113" s="506"/>
      <c r="K1113" s="507"/>
      <c r="L1113" s="508"/>
      <c r="M1113" s="508"/>
      <c r="N1113" s="508"/>
      <c r="O1113" s="509"/>
      <c r="P1113" s="509"/>
    </row>
    <row r="1114" spans="1:16" ht="21.75" customHeight="1" x14ac:dyDescent="0.3">
      <c r="A1114" s="504"/>
      <c r="B1114" s="504"/>
      <c r="C1114" s="504"/>
      <c r="D1114" s="504"/>
      <c r="E1114" s="506"/>
      <c r="F1114" s="506"/>
      <c r="G1114" s="506"/>
      <c r="H1114" s="506"/>
      <c r="I1114" s="506"/>
      <c r="J1114" s="506"/>
      <c r="K1114" s="507"/>
      <c r="L1114" s="508"/>
      <c r="M1114" s="508"/>
      <c r="N1114" s="508"/>
      <c r="O1114" s="509"/>
      <c r="P1114" s="509"/>
    </row>
    <row r="1115" spans="1:16" ht="21.75" customHeight="1" x14ac:dyDescent="0.3">
      <c r="A1115" s="504"/>
      <c r="B1115" s="504"/>
      <c r="C1115" s="504"/>
      <c r="D1115" s="504"/>
      <c r="E1115" s="506"/>
      <c r="F1115" s="506"/>
      <c r="G1115" s="506"/>
      <c r="H1115" s="506"/>
      <c r="I1115" s="506"/>
      <c r="J1115" s="506"/>
      <c r="K1115" s="507"/>
      <c r="L1115" s="508"/>
      <c r="M1115" s="508"/>
      <c r="N1115" s="508"/>
      <c r="O1115" s="509"/>
      <c r="P1115" s="509"/>
    </row>
    <row r="1116" spans="1:16" ht="21.75" customHeight="1" x14ac:dyDescent="0.3">
      <c r="A1116" s="504"/>
      <c r="B1116" s="504"/>
      <c r="C1116" s="504"/>
      <c r="D1116" s="504"/>
      <c r="E1116" s="506"/>
      <c r="F1116" s="506"/>
      <c r="G1116" s="506"/>
      <c r="H1116" s="506"/>
      <c r="I1116" s="506"/>
      <c r="J1116" s="506"/>
      <c r="K1116" s="507"/>
      <c r="L1116" s="508"/>
      <c r="M1116" s="508"/>
      <c r="N1116" s="508"/>
      <c r="O1116" s="509"/>
      <c r="P1116" s="509"/>
    </row>
    <row r="1117" spans="1:16" ht="21.75" customHeight="1" x14ac:dyDescent="0.3">
      <c r="A1117" s="504"/>
      <c r="B1117" s="504"/>
      <c r="C1117" s="504"/>
      <c r="D1117" s="504"/>
      <c r="E1117" s="506"/>
      <c r="F1117" s="506"/>
      <c r="G1117" s="506"/>
      <c r="H1117" s="506"/>
      <c r="I1117" s="506"/>
      <c r="J1117" s="506"/>
      <c r="K1117" s="507"/>
      <c r="L1117" s="508"/>
      <c r="M1117" s="508"/>
      <c r="N1117" s="508"/>
      <c r="O1117" s="509"/>
      <c r="P1117" s="509"/>
    </row>
    <row r="1118" spans="1:16" ht="21.75" customHeight="1" x14ac:dyDescent="0.3">
      <c r="A1118" s="504"/>
      <c r="B1118" s="504"/>
      <c r="C1118" s="504"/>
      <c r="D1118" s="504"/>
      <c r="E1118" s="506"/>
      <c r="F1118" s="506"/>
      <c r="G1118" s="506"/>
      <c r="H1118" s="506"/>
      <c r="I1118" s="506"/>
      <c r="J1118" s="506"/>
      <c r="K1118" s="507"/>
      <c r="L1118" s="508"/>
      <c r="M1118" s="508"/>
      <c r="N1118" s="508"/>
      <c r="O1118" s="509"/>
      <c r="P1118" s="509"/>
    </row>
    <row r="1119" spans="1:16" ht="21.75" customHeight="1" x14ac:dyDescent="0.3">
      <c r="A1119" s="504"/>
      <c r="B1119" s="504"/>
      <c r="C1119" s="504"/>
      <c r="D1119" s="504"/>
      <c r="E1119" s="506"/>
      <c r="F1119" s="506"/>
      <c r="G1119" s="506"/>
      <c r="H1119" s="506"/>
      <c r="I1119" s="506"/>
      <c r="J1119" s="506"/>
      <c r="K1119" s="507"/>
      <c r="L1119" s="508"/>
      <c r="M1119" s="508"/>
      <c r="N1119" s="508"/>
      <c r="O1119" s="509"/>
      <c r="P1119" s="509"/>
    </row>
    <row r="1120" spans="1:16" ht="21.75" customHeight="1" x14ac:dyDescent="0.3">
      <c r="A1120" s="504"/>
      <c r="B1120" s="504"/>
      <c r="C1120" s="504"/>
      <c r="D1120" s="504"/>
      <c r="E1120" s="506"/>
      <c r="F1120" s="506"/>
      <c r="G1120" s="506"/>
      <c r="H1120" s="506"/>
      <c r="I1120" s="506"/>
      <c r="J1120" s="506"/>
      <c r="K1120" s="507"/>
      <c r="L1120" s="508"/>
      <c r="M1120" s="508"/>
      <c r="N1120" s="508"/>
      <c r="O1120" s="509"/>
      <c r="P1120" s="509"/>
    </row>
    <row r="1121" spans="1:16" ht="21.75" customHeight="1" x14ac:dyDescent="0.3">
      <c r="A1121" s="504"/>
      <c r="B1121" s="504"/>
      <c r="C1121" s="504"/>
      <c r="D1121" s="504"/>
      <c r="E1121" s="506"/>
      <c r="F1121" s="506"/>
      <c r="G1121" s="506"/>
      <c r="H1121" s="506"/>
      <c r="I1121" s="506"/>
      <c r="J1121" s="506"/>
      <c r="K1121" s="507"/>
      <c r="L1121" s="508"/>
      <c r="M1121" s="508"/>
      <c r="N1121" s="508"/>
      <c r="O1121" s="509"/>
      <c r="P1121" s="509"/>
    </row>
    <row r="1122" spans="1:16" ht="21.75" customHeight="1" x14ac:dyDescent="0.3">
      <c r="A1122" s="504"/>
      <c r="B1122" s="504"/>
      <c r="C1122" s="504"/>
      <c r="D1122" s="504"/>
      <c r="E1122" s="506"/>
      <c r="F1122" s="506"/>
      <c r="G1122" s="506"/>
      <c r="H1122" s="506"/>
      <c r="I1122" s="506"/>
      <c r="J1122" s="506"/>
      <c r="K1122" s="507"/>
      <c r="L1122" s="508"/>
      <c r="M1122" s="508"/>
      <c r="N1122" s="508"/>
      <c r="O1122" s="509"/>
      <c r="P1122" s="509"/>
    </row>
    <row r="1123" spans="1:16" ht="21.75" customHeight="1" x14ac:dyDescent="0.3">
      <c r="A1123" s="504"/>
      <c r="B1123" s="504"/>
      <c r="C1123" s="504"/>
      <c r="D1123" s="504"/>
      <c r="E1123" s="506"/>
      <c r="F1123" s="506"/>
      <c r="G1123" s="506"/>
      <c r="H1123" s="506"/>
      <c r="I1123" s="506"/>
      <c r="J1123" s="506"/>
      <c r="K1123" s="507"/>
      <c r="L1123" s="508"/>
      <c r="M1123" s="508"/>
      <c r="N1123" s="508"/>
      <c r="O1123" s="509"/>
      <c r="P1123" s="509"/>
    </row>
    <row r="1124" spans="1:16" ht="21.75" customHeight="1" x14ac:dyDescent="0.3">
      <c r="A1124" s="504"/>
      <c r="B1124" s="504"/>
      <c r="C1124" s="504"/>
      <c r="D1124" s="504"/>
      <c r="E1124" s="506"/>
      <c r="F1124" s="506"/>
      <c r="G1124" s="506"/>
      <c r="H1124" s="506"/>
      <c r="I1124" s="506"/>
      <c r="J1124" s="506"/>
      <c r="K1124" s="507"/>
      <c r="L1124" s="508"/>
      <c r="M1124" s="508"/>
      <c r="N1124" s="508"/>
      <c r="O1124" s="509"/>
      <c r="P1124" s="509"/>
    </row>
    <row r="1125" spans="1:16" ht="21.75" customHeight="1" x14ac:dyDescent="0.3">
      <c r="A1125" s="504"/>
      <c r="B1125" s="504"/>
      <c r="C1125" s="504"/>
      <c r="D1125" s="504"/>
      <c r="E1125" s="506"/>
      <c r="F1125" s="506"/>
      <c r="G1125" s="506"/>
      <c r="H1125" s="506"/>
      <c r="I1125" s="506"/>
      <c r="J1125" s="506"/>
      <c r="K1125" s="507"/>
      <c r="L1125" s="508"/>
      <c r="M1125" s="508"/>
      <c r="N1125" s="508"/>
      <c r="O1125" s="509"/>
      <c r="P1125" s="509"/>
    </row>
    <row r="1126" spans="1:16" ht="21.75" customHeight="1" x14ac:dyDescent="0.3">
      <c r="A1126" s="504"/>
      <c r="B1126" s="504"/>
      <c r="C1126" s="504"/>
      <c r="D1126" s="504"/>
      <c r="E1126" s="506"/>
      <c r="F1126" s="506"/>
      <c r="G1126" s="506"/>
      <c r="H1126" s="506"/>
      <c r="I1126" s="506"/>
      <c r="J1126" s="506"/>
      <c r="K1126" s="507"/>
      <c r="L1126" s="508"/>
      <c r="M1126" s="508"/>
      <c r="N1126" s="508"/>
      <c r="O1126" s="509"/>
      <c r="P1126" s="509"/>
    </row>
    <row r="1127" spans="1:16" ht="21.75" customHeight="1" x14ac:dyDescent="0.3">
      <c r="A1127" s="504"/>
      <c r="B1127" s="504"/>
      <c r="C1127" s="504"/>
      <c r="D1127" s="504"/>
      <c r="E1127" s="506"/>
      <c r="F1127" s="506"/>
      <c r="G1127" s="506"/>
      <c r="H1127" s="506"/>
      <c r="I1127" s="506"/>
      <c r="J1127" s="506"/>
      <c r="K1127" s="507"/>
      <c r="L1127" s="508"/>
      <c r="M1127" s="508"/>
      <c r="N1127" s="508"/>
      <c r="O1127" s="509"/>
      <c r="P1127" s="509"/>
    </row>
    <row r="1128" spans="1:16" ht="21.75" customHeight="1" x14ac:dyDescent="0.3">
      <c r="A1128" s="504"/>
      <c r="B1128" s="504"/>
      <c r="C1128" s="504"/>
      <c r="D1128" s="504"/>
      <c r="E1128" s="506"/>
      <c r="F1128" s="506"/>
      <c r="G1128" s="506"/>
      <c r="H1128" s="506"/>
      <c r="I1128" s="506"/>
      <c r="J1128" s="506"/>
      <c r="K1128" s="507"/>
      <c r="L1128" s="508"/>
      <c r="M1128" s="508"/>
      <c r="N1128" s="508"/>
      <c r="O1128" s="509"/>
      <c r="P1128" s="509"/>
    </row>
    <row r="1129" spans="1:16" ht="21.75" customHeight="1" x14ac:dyDescent="0.3">
      <c r="A1129" s="504"/>
      <c r="B1129" s="504"/>
      <c r="C1129" s="504"/>
      <c r="D1129" s="504"/>
      <c r="E1129" s="506"/>
      <c r="F1129" s="506"/>
      <c r="G1129" s="506"/>
      <c r="H1129" s="506"/>
      <c r="I1129" s="506"/>
      <c r="J1129" s="506"/>
      <c r="K1129" s="507"/>
      <c r="L1129" s="508"/>
      <c r="M1129" s="508"/>
      <c r="N1129" s="508"/>
      <c r="O1129" s="509"/>
      <c r="P1129" s="509"/>
    </row>
    <row r="1130" spans="1:16" ht="21.75" customHeight="1" x14ac:dyDescent="0.3">
      <c r="A1130" s="504"/>
      <c r="B1130" s="504"/>
      <c r="C1130" s="504"/>
      <c r="D1130" s="504"/>
      <c r="E1130" s="506"/>
      <c r="F1130" s="506"/>
      <c r="G1130" s="506"/>
      <c r="H1130" s="506"/>
      <c r="I1130" s="506"/>
      <c r="J1130" s="506"/>
      <c r="K1130" s="507"/>
      <c r="L1130" s="508"/>
      <c r="M1130" s="508"/>
      <c r="N1130" s="508"/>
      <c r="O1130" s="509"/>
      <c r="P1130" s="509"/>
    </row>
    <row r="1131" spans="1:16" ht="21.75" customHeight="1" x14ac:dyDescent="0.3">
      <c r="A1131" s="504"/>
      <c r="B1131" s="504"/>
      <c r="C1131" s="504"/>
      <c r="D1131" s="504"/>
      <c r="E1131" s="506"/>
      <c r="F1131" s="506"/>
      <c r="G1131" s="506"/>
      <c r="H1131" s="506"/>
      <c r="I1131" s="506"/>
      <c r="J1131" s="506"/>
      <c r="K1131" s="507"/>
      <c r="L1131" s="508"/>
      <c r="M1131" s="508"/>
      <c r="N1131" s="508"/>
      <c r="O1131" s="509"/>
      <c r="P1131" s="509"/>
    </row>
    <row r="1132" spans="1:16" ht="21.75" customHeight="1" x14ac:dyDescent="0.3">
      <c r="A1132" s="504"/>
      <c r="B1132" s="504"/>
      <c r="C1132" s="504"/>
      <c r="D1132" s="504"/>
      <c r="E1132" s="506"/>
      <c r="F1132" s="506"/>
      <c r="G1132" s="506"/>
      <c r="H1132" s="506"/>
      <c r="I1132" s="506"/>
      <c r="J1132" s="506"/>
      <c r="K1132" s="507"/>
      <c r="L1132" s="508"/>
      <c r="M1132" s="508"/>
      <c r="N1132" s="508"/>
      <c r="O1132" s="509"/>
      <c r="P1132" s="509"/>
    </row>
    <row r="1133" spans="1:16" ht="21.75" customHeight="1" x14ac:dyDescent="0.3">
      <c r="A1133" s="504"/>
      <c r="B1133" s="504"/>
      <c r="C1133" s="504"/>
      <c r="D1133" s="504"/>
      <c r="E1133" s="506"/>
      <c r="F1133" s="506"/>
      <c r="G1133" s="506"/>
      <c r="H1133" s="506"/>
      <c r="I1133" s="506"/>
      <c r="J1133" s="506"/>
      <c r="K1133" s="507"/>
      <c r="L1133" s="508"/>
      <c r="M1133" s="508"/>
      <c r="N1133" s="508"/>
      <c r="O1133" s="509"/>
      <c r="P1133" s="509"/>
    </row>
    <row r="1134" spans="1:16" ht="21.75" customHeight="1" x14ac:dyDescent="0.3">
      <c r="A1134" s="504"/>
      <c r="B1134" s="504"/>
      <c r="C1134" s="504"/>
      <c r="D1134" s="504"/>
      <c r="E1134" s="506"/>
      <c r="F1134" s="506"/>
      <c r="G1134" s="506"/>
      <c r="H1134" s="506"/>
      <c r="I1134" s="506"/>
      <c r="J1134" s="506"/>
      <c r="K1134" s="507"/>
      <c r="L1134" s="508"/>
      <c r="M1134" s="508"/>
      <c r="N1134" s="508"/>
      <c r="O1134" s="509"/>
      <c r="P1134" s="509"/>
    </row>
    <row r="1135" spans="1:16" ht="21.75" customHeight="1" x14ac:dyDescent="0.3">
      <c r="A1135" s="504"/>
      <c r="B1135" s="504"/>
      <c r="C1135" s="504"/>
      <c r="D1135" s="504"/>
      <c r="E1135" s="506"/>
      <c r="F1135" s="506"/>
      <c r="G1135" s="506"/>
      <c r="H1135" s="506"/>
      <c r="I1135" s="506"/>
      <c r="J1135" s="506"/>
      <c r="K1135" s="507"/>
      <c r="L1135" s="508"/>
      <c r="M1135" s="508"/>
      <c r="N1135" s="508"/>
      <c r="O1135" s="509"/>
      <c r="P1135" s="509"/>
    </row>
    <row r="1136" spans="1:16" ht="21.75" customHeight="1" x14ac:dyDescent="0.3">
      <c r="A1136" s="504"/>
      <c r="B1136" s="504"/>
      <c r="C1136" s="504"/>
      <c r="D1136" s="504"/>
      <c r="E1136" s="506"/>
      <c r="F1136" s="506"/>
      <c r="G1136" s="506"/>
      <c r="H1136" s="506"/>
      <c r="I1136" s="506"/>
      <c r="J1136" s="506"/>
      <c r="K1136" s="507"/>
      <c r="L1136" s="508"/>
      <c r="M1136" s="508"/>
      <c r="N1136" s="508"/>
      <c r="O1136" s="509"/>
      <c r="P1136" s="509"/>
    </row>
    <row r="1137" spans="1:16" ht="21.75" customHeight="1" x14ac:dyDescent="0.3">
      <c r="A1137" s="504"/>
      <c r="B1137" s="504"/>
      <c r="C1137" s="504"/>
      <c r="D1137" s="504"/>
      <c r="E1137" s="506"/>
      <c r="F1137" s="506"/>
      <c r="G1137" s="506"/>
      <c r="H1137" s="506"/>
      <c r="I1137" s="506"/>
      <c r="J1137" s="506"/>
      <c r="K1137" s="507"/>
      <c r="L1137" s="508"/>
      <c r="M1137" s="508"/>
      <c r="N1137" s="508"/>
      <c r="O1137" s="509"/>
      <c r="P1137" s="509"/>
    </row>
    <row r="1138" spans="1:16" ht="21.75" customHeight="1" x14ac:dyDescent="0.3">
      <c r="A1138" s="504"/>
      <c r="B1138" s="504"/>
      <c r="C1138" s="504"/>
      <c r="D1138" s="504"/>
      <c r="E1138" s="506"/>
      <c r="F1138" s="506"/>
      <c r="G1138" s="506"/>
      <c r="H1138" s="506"/>
      <c r="I1138" s="506"/>
      <c r="J1138" s="506"/>
      <c r="K1138" s="507"/>
      <c r="L1138" s="508"/>
      <c r="M1138" s="508"/>
      <c r="N1138" s="508"/>
      <c r="O1138" s="509"/>
      <c r="P1138" s="509"/>
    </row>
    <row r="1139" spans="1:16" ht="21.75" customHeight="1" x14ac:dyDescent="0.3">
      <c r="A1139" s="504"/>
      <c r="B1139" s="504"/>
      <c r="C1139" s="504"/>
      <c r="D1139" s="504"/>
      <c r="E1139" s="506"/>
      <c r="F1139" s="506"/>
      <c r="G1139" s="506"/>
      <c r="H1139" s="506"/>
      <c r="I1139" s="506"/>
      <c r="J1139" s="506"/>
      <c r="K1139" s="507"/>
      <c r="L1139" s="508"/>
      <c r="M1139" s="508"/>
      <c r="N1139" s="508"/>
      <c r="O1139" s="509"/>
      <c r="P1139" s="509"/>
    </row>
    <row r="1140" spans="1:16" ht="21.75" customHeight="1" x14ac:dyDescent="0.3">
      <c r="A1140" s="504"/>
      <c r="B1140" s="504"/>
      <c r="C1140" s="504"/>
      <c r="D1140" s="504"/>
      <c r="E1140" s="506"/>
      <c r="F1140" s="506"/>
      <c r="G1140" s="506"/>
      <c r="H1140" s="506"/>
      <c r="I1140" s="506"/>
      <c r="J1140" s="506"/>
      <c r="K1140" s="507"/>
      <c r="L1140" s="508"/>
      <c r="M1140" s="508"/>
      <c r="N1140" s="508"/>
      <c r="O1140" s="509"/>
      <c r="P1140" s="509"/>
    </row>
    <row r="1141" spans="1:16" ht="21.75" customHeight="1" x14ac:dyDescent="0.3">
      <c r="A1141" s="504"/>
      <c r="B1141" s="504"/>
      <c r="C1141" s="504"/>
      <c r="D1141" s="504"/>
      <c r="E1141" s="506"/>
      <c r="F1141" s="506"/>
      <c r="G1141" s="506"/>
      <c r="H1141" s="506"/>
      <c r="I1141" s="506"/>
      <c r="J1141" s="506"/>
      <c r="K1141" s="507"/>
      <c r="L1141" s="508"/>
      <c r="M1141" s="508"/>
      <c r="N1141" s="508"/>
      <c r="O1141" s="509"/>
      <c r="P1141" s="509"/>
    </row>
    <row r="1142" spans="1:16" ht="21.75" customHeight="1" x14ac:dyDescent="0.3">
      <c r="A1142" s="504"/>
      <c r="B1142" s="504"/>
      <c r="C1142" s="504"/>
      <c r="D1142" s="504"/>
      <c r="E1142" s="506"/>
      <c r="F1142" s="506"/>
      <c r="G1142" s="506"/>
      <c r="H1142" s="506"/>
      <c r="I1142" s="506"/>
      <c r="J1142" s="506"/>
      <c r="K1142" s="507"/>
      <c r="L1142" s="508"/>
      <c r="M1142" s="508"/>
      <c r="N1142" s="508"/>
      <c r="O1142" s="509"/>
      <c r="P1142" s="509"/>
    </row>
    <row r="1143" spans="1:16" ht="21.75" customHeight="1" x14ac:dyDescent="0.3">
      <c r="A1143" s="504"/>
      <c r="B1143" s="504"/>
      <c r="C1143" s="504"/>
      <c r="D1143" s="504"/>
      <c r="E1143" s="506"/>
      <c r="F1143" s="506"/>
      <c r="G1143" s="506"/>
      <c r="H1143" s="506"/>
      <c r="I1143" s="506"/>
      <c r="J1143" s="506"/>
      <c r="K1143" s="507"/>
      <c r="L1143" s="508"/>
      <c r="M1143" s="508"/>
      <c r="N1143" s="508"/>
      <c r="O1143" s="509"/>
      <c r="P1143" s="509"/>
    </row>
  </sheetData>
  <mergeCells count="49">
    <mergeCell ref="D310:G310"/>
    <mergeCell ref="D317:E317"/>
    <mergeCell ref="D329:G329"/>
    <mergeCell ref="D336:E336"/>
    <mergeCell ref="D140:G140"/>
    <mergeCell ref="D147:E147"/>
    <mergeCell ref="D220:G220"/>
    <mergeCell ref="D227:E227"/>
    <mergeCell ref="D250:G250"/>
    <mergeCell ref="D257:E257"/>
    <mergeCell ref="D271:G271"/>
    <mergeCell ref="D118:G118"/>
    <mergeCell ref="D125:E125"/>
    <mergeCell ref="D278:E278"/>
    <mergeCell ref="D290:G290"/>
    <mergeCell ref="D297:E297"/>
    <mergeCell ref="D60:E60"/>
    <mergeCell ref="D66:G66"/>
    <mergeCell ref="D73:E73"/>
    <mergeCell ref="D94:G94"/>
    <mergeCell ref="D101:E101"/>
    <mergeCell ref="D44:F44"/>
    <mergeCell ref="D48:E48"/>
    <mergeCell ref="B52:G52"/>
    <mergeCell ref="D53:G53"/>
    <mergeCell ref="D56:F56"/>
    <mergeCell ref="D31:F31"/>
    <mergeCell ref="D35:E35"/>
    <mergeCell ref="A38:G38"/>
    <mergeCell ref="B39:G39"/>
    <mergeCell ref="D41:G41"/>
    <mergeCell ref="D18:G18"/>
    <mergeCell ref="D21:F21"/>
    <mergeCell ref="D25:E25"/>
    <mergeCell ref="A27:G27"/>
    <mergeCell ref="D28:G28"/>
    <mergeCell ref="A7:G7"/>
    <mergeCell ref="D8:G8"/>
    <mergeCell ref="D11:F11"/>
    <mergeCell ref="D15:E15"/>
    <mergeCell ref="A17:G17"/>
    <mergeCell ref="H5:H6"/>
    <mergeCell ref="I5:K5"/>
    <mergeCell ref="L5:M5"/>
    <mergeCell ref="N5:P5"/>
    <mergeCell ref="A5:G6"/>
    <mergeCell ref="A1:P1"/>
    <mergeCell ref="A2:P2"/>
    <mergeCell ref="A3:P3"/>
  </mergeCells>
  <printOptions horizontalCentered="1"/>
  <pageMargins left="0.23622047244094491" right="0.27559055118110237" top="0.31496062992125984" bottom="0.39370078740157483" header="0" footer="0"/>
  <pageSetup paperSize="9" scale="39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46" max="16383" man="1"/>
    <brk id="326" max="16383" man="1"/>
    <brk id="400" max="16383" man="1"/>
    <brk id="486" max="16383" man="1"/>
    <brk id="563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J7" sqref="J7"/>
      <selection pane="bottomLeft" activeCell="J568" sqref="J568"/>
    </sheetView>
  </sheetViews>
  <sheetFormatPr defaultColWidth="12.6640625" defaultRowHeight="15" customHeight="1" x14ac:dyDescent="0.3"/>
  <cols>
    <col min="1" max="3" width="2.75" customWidth="1"/>
    <col min="4" max="6" width="5" customWidth="1"/>
    <col min="7" max="7" width="70.9140625" customWidth="1"/>
    <col min="8" max="8" width="9.5" customWidth="1"/>
    <col min="9" max="10" width="13.9140625" customWidth="1"/>
    <col min="11" max="11" width="10.08203125" bestFit="1" customWidth="1"/>
    <col min="12" max="12" width="16.33203125" bestFit="1" customWidth="1"/>
    <col min="13" max="13" width="17.6640625" customWidth="1"/>
    <col min="14" max="14" width="19.5" customWidth="1"/>
    <col min="15" max="15" width="16.5" customWidth="1"/>
    <col min="16" max="16" width="18" customWidth="1"/>
  </cols>
  <sheetData>
    <row r="1" spans="1:16" ht="18" customHeight="1" x14ac:dyDescent="0.3">
      <c r="A1" s="512" t="s">
        <v>0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</row>
    <row r="2" spans="1:16" ht="18" customHeight="1" x14ac:dyDescent="0.3">
      <c r="A2" s="512" t="s">
        <v>246</v>
      </c>
      <c r="B2" s="512"/>
      <c r="C2" s="512"/>
      <c r="D2" s="512"/>
      <c r="E2" s="512"/>
      <c r="F2" s="512"/>
      <c r="G2" s="512"/>
      <c r="H2" s="512"/>
      <c r="I2" s="512"/>
      <c r="J2" s="512"/>
      <c r="K2" s="512"/>
      <c r="L2" s="512"/>
      <c r="M2" s="512"/>
      <c r="N2" s="512"/>
      <c r="O2" s="512"/>
      <c r="P2" s="512"/>
    </row>
    <row r="3" spans="1:16" ht="18" customHeight="1" x14ac:dyDescent="0.3">
      <c r="A3" s="512" t="s">
        <v>272</v>
      </c>
      <c r="B3" s="512"/>
      <c r="C3" s="512"/>
      <c r="D3" s="512"/>
      <c r="E3" s="512"/>
      <c r="F3" s="512"/>
      <c r="G3" s="512"/>
      <c r="H3" s="512"/>
      <c r="I3" s="512"/>
      <c r="J3" s="512"/>
      <c r="K3" s="512"/>
      <c r="L3" s="512"/>
      <c r="M3" s="512"/>
      <c r="N3" s="512"/>
      <c r="O3" s="512"/>
      <c r="P3" s="512"/>
    </row>
    <row r="4" spans="1:16" ht="33.75" customHeight="1" x14ac:dyDescent="0.3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3">
      <c r="A5" s="520" t="s">
        <v>2</v>
      </c>
      <c r="B5" s="521"/>
      <c r="C5" s="521"/>
      <c r="D5" s="521"/>
      <c r="E5" s="521"/>
      <c r="F5" s="521"/>
      <c r="G5" s="522"/>
      <c r="H5" s="513" t="s">
        <v>3</v>
      </c>
      <c r="I5" s="515" t="s">
        <v>4</v>
      </c>
      <c r="J5" s="516"/>
      <c r="K5" s="517"/>
      <c r="L5" s="518" t="s">
        <v>5</v>
      </c>
      <c r="M5" s="517"/>
      <c r="N5" s="519" t="s">
        <v>6</v>
      </c>
      <c r="O5" s="516"/>
      <c r="P5" s="517"/>
    </row>
    <row r="6" spans="1:16" ht="21.75" customHeight="1" x14ac:dyDescent="0.3">
      <c r="A6" s="523"/>
      <c r="B6" s="524"/>
      <c r="C6" s="524"/>
      <c r="D6" s="524"/>
      <c r="E6" s="524"/>
      <c r="F6" s="524"/>
      <c r="G6" s="525"/>
      <c r="H6" s="514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45">
      <c r="A7" s="526" t="s">
        <v>15</v>
      </c>
      <c r="B7" s="516"/>
      <c r="C7" s="516"/>
      <c r="D7" s="516"/>
      <c r="E7" s="516"/>
      <c r="F7" s="516"/>
      <c r="G7" s="517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45">
      <c r="A8" s="17"/>
      <c r="B8" s="18"/>
      <c r="C8" s="19" t="s">
        <v>16</v>
      </c>
      <c r="D8" s="527" t="s">
        <v>17</v>
      </c>
      <c r="E8" s="528"/>
      <c r="F8" s="528"/>
      <c r="G8" s="528"/>
      <c r="H8" s="20" t="s">
        <v>12</v>
      </c>
      <c r="I8" s="21"/>
      <c r="J8" s="21"/>
      <c r="K8" s="22"/>
      <c r="L8" s="23">
        <f t="shared" ref="L8:N8" ca="1" si="0">L9+L10</f>
        <v>6202228</v>
      </c>
      <c r="M8" s="23">
        <f t="shared" ca="1" si="0"/>
        <v>2372765</v>
      </c>
      <c r="N8" s="23">
        <f t="shared" ca="1" si="0"/>
        <v>2166627</v>
      </c>
      <c r="O8" s="22">
        <f t="shared" ref="O8:O16" ca="1" si="1">IF(L8&gt;0,N8*100/L8,0)</f>
        <v>34.933043416011152</v>
      </c>
      <c r="P8" s="22">
        <f t="shared" ref="P8:P16" ca="1" si="2">IF(M8&gt;0,N8*100/M8,0)</f>
        <v>91.312329708167482</v>
      </c>
    </row>
    <row r="9" spans="1:16" ht="21.75" customHeight="1" x14ac:dyDescent="0.45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45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6202228</v>
      </c>
      <c r="M10" s="30">
        <f t="shared" ca="1" si="4"/>
        <v>2372765</v>
      </c>
      <c r="N10" s="30">
        <f t="shared" ca="1" si="4"/>
        <v>2166627</v>
      </c>
      <c r="O10" s="29">
        <f t="shared" ca="1" si="1"/>
        <v>34.933043416011152</v>
      </c>
      <c r="P10" s="29">
        <f t="shared" ca="1" si="2"/>
        <v>91.312329708167482</v>
      </c>
    </row>
    <row r="11" spans="1:16" ht="21.75" customHeight="1" x14ac:dyDescent="0.45">
      <c r="A11" s="31"/>
      <c r="B11" s="32"/>
      <c r="C11" s="33" t="s">
        <v>16</v>
      </c>
      <c r="D11" s="529" t="s">
        <v>20</v>
      </c>
      <c r="E11" s="530"/>
      <c r="F11" s="530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45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6004828</v>
      </c>
      <c r="M12" s="38">
        <f t="shared" ca="1" si="6"/>
        <v>2175365</v>
      </c>
      <c r="N12" s="38">
        <f t="shared" ca="1" si="6"/>
        <v>1969227</v>
      </c>
      <c r="O12" s="38">
        <f t="shared" ca="1" si="1"/>
        <v>32.794061711676008</v>
      </c>
      <c r="P12" s="38">
        <f t="shared" ca="1" si="2"/>
        <v>90.523981033068011</v>
      </c>
    </row>
    <row r="13" spans="1:16" ht="21.75" customHeight="1" x14ac:dyDescent="0.45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2242900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45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3761928</v>
      </c>
      <c r="M14" s="38">
        <f t="shared" si="8"/>
        <v>0</v>
      </c>
      <c r="N14" s="38">
        <f t="shared" ca="1" si="8"/>
        <v>484647</v>
      </c>
      <c r="O14" s="38">
        <f t="shared" ca="1" si="1"/>
        <v>12.882941938282711</v>
      </c>
      <c r="P14" s="38">
        <f t="shared" si="2"/>
        <v>0</v>
      </c>
    </row>
    <row r="15" spans="1:16" ht="21.75" customHeight="1" x14ac:dyDescent="0.45">
      <c r="A15" s="31"/>
      <c r="B15" s="32"/>
      <c r="C15" s="33" t="s">
        <v>16</v>
      </c>
      <c r="D15" s="529" t="s">
        <v>23</v>
      </c>
      <c r="E15" s="530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45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197400</v>
      </c>
      <c r="M16" s="38">
        <f t="shared" ca="1" si="10"/>
        <v>197400</v>
      </c>
      <c r="N16" s="38">
        <f t="shared" ca="1" si="10"/>
        <v>197400</v>
      </c>
      <c r="O16" s="49">
        <f t="shared" ca="1" si="1"/>
        <v>100</v>
      </c>
      <c r="P16" s="49">
        <f t="shared" ca="1" si="2"/>
        <v>100</v>
      </c>
    </row>
    <row r="17" spans="1:16" ht="21.75" customHeight="1" x14ac:dyDescent="0.45">
      <c r="A17" s="526" t="s">
        <v>24</v>
      </c>
      <c r="B17" s="516"/>
      <c r="C17" s="516"/>
      <c r="D17" s="516"/>
      <c r="E17" s="516"/>
      <c r="F17" s="516"/>
      <c r="G17" s="517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45">
      <c r="A18" s="17"/>
      <c r="B18" s="18"/>
      <c r="C18" s="19" t="s">
        <v>16</v>
      </c>
      <c r="D18" s="527" t="s">
        <v>17</v>
      </c>
      <c r="E18" s="528"/>
      <c r="F18" s="528"/>
      <c r="G18" s="528"/>
      <c r="H18" s="20" t="s">
        <v>12</v>
      </c>
      <c r="I18" s="21"/>
      <c r="J18" s="21"/>
      <c r="K18" s="22"/>
      <c r="L18" s="23">
        <f t="shared" ref="L18:N18" ca="1" si="11">L19+L20</f>
        <v>4126815</v>
      </c>
      <c r="M18" s="23">
        <f t="shared" ca="1" si="11"/>
        <v>2372765</v>
      </c>
      <c r="N18" s="23">
        <f t="shared" ca="1" si="11"/>
        <v>1681980</v>
      </c>
      <c r="O18" s="22">
        <f t="shared" ref="O18:O20" ca="1" si="12">IF(L18&gt;0,N18*100/L18,0)</f>
        <v>40.757339497893653</v>
      </c>
      <c r="P18" s="22">
        <f t="shared" ref="P18:P26" ca="1" si="13">IF(M18&gt;0,N18*100/M18,0)</f>
        <v>70.886918847842068</v>
      </c>
    </row>
    <row r="19" spans="1:16" ht="21.75" customHeight="1" x14ac:dyDescent="0.45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45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4126815</v>
      </c>
      <c r="M20" s="30">
        <f t="shared" ca="1" si="15"/>
        <v>2372765</v>
      </c>
      <c r="N20" s="30">
        <f t="shared" ca="1" si="15"/>
        <v>1681980</v>
      </c>
      <c r="O20" s="29">
        <f t="shared" ca="1" si="12"/>
        <v>40.757339497893653</v>
      </c>
      <c r="P20" s="29">
        <f t="shared" ca="1" si="13"/>
        <v>70.886918847842068</v>
      </c>
    </row>
    <row r="21" spans="1:16" ht="21.75" customHeight="1" x14ac:dyDescent="0.45">
      <c r="A21" s="31"/>
      <c r="B21" s="32"/>
      <c r="C21" s="33" t="s">
        <v>16</v>
      </c>
      <c r="D21" s="529" t="s">
        <v>20</v>
      </c>
      <c r="E21" s="530"/>
      <c r="F21" s="530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45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3929415</v>
      </c>
      <c r="M22" s="41">
        <f t="shared" ca="1" si="18"/>
        <v>2175365</v>
      </c>
      <c r="N22" s="38">
        <f t="shared" ca="1" si="18"/>
        <v>1484580</v>
      </c>
      <c r="O22" s="38">
        <f t="shared" ca="1" si="17"/>
        <v>37.781196437637661</v>
      </c>
      <c r="P22" s="38">
        <f t="shared" ca="1" si="13"/>
        <v>68.245099098312238</v>
      </c>
    </row>
    <row r="23" spans="1:16" ht="21.75" customHeight="1" x14ac:dyDescent="0.45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2242900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45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1686515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45">
      <c r="A25" s="31"/>
      <c r="B25" s="32"/>
      <c r="C25" s="33" t="s">
        <v>16</v>
      </c>
      <c r="D25" s="529" t="s">
        <v>23</v>
      </c>
      <c r="E25" s="530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45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197400</v>
      </c>
      <c r="M26" s="49">
        <f t="shared" ca="1" si="22"/>
        <v>197400</v>
      </c>
      <c r="N26" s="49">
        <f t="shared" ca="1" si="22"/>
        <v>197400</v>
      </c>
      <c r="O26" s="49">
        <f t="shared" ca="1" si="17"/>
        <v>100</v>
      </c>
      <c r="P26" s="49">
        <f t="shared" ca="1" si="13"/>
        <v>100</v>
      </c>
    </row>
    <row r="27" spans="1:16" ht="21.75" customHeight="1" x14ac:dyDescent="0.45">
      <c r="A27" s="526" t="s">
        <v>25</v>
      </c>
      <c r="B27" s="516"/>
      <c r="C27" s="516"/>
      <c r="D27" s="516"/>
      <c r="E27" s="516"/>
      <c r="F27" s="516"/>
      <c r="G27" s="517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45">
      <c r="A28" s="17"/>
      <c r="B28" s="18"/>
      <c r="C28" s="19" t="s">
        <v>16</v>
      </c>
      <c r="D28" s="527" t="s">
        <v>17</v>
      </c>
      <c r="E28" s="528"/>
      <c r="F28" s="528"/>
      <c r="G28" s="528"/>
      <c r="H28" s="20" t="s">
        <v>12</v>
      </c>
      <c r="I28" s="21"/>
      <c r="J28" s="21"/>
      <c r="K28" s="22"/>
      <c r="L28" s="23">
        <f t="shared" ref="L28:N28" ca="1" si="23">L29+L30</f>
        <v>2075413</v>
      </c>
      <c r="M28" s="23">
        <f t="shared" si="23"/>
        <v>0</v>
      </c>
      <c r="N28" s="23">
        <f t="shared" ca="1" si="23"/>
        <v>484647</v>
      </c>
      <c r="O28" s="22">
        <f t="shared" ref="O28:O30" ca="1" si="24">IF(L28&gt;0,N28*100/L28,0)</f>
        <v>23.35183406868898</v>
      </c>
      <c r="P28" s="22">
        <f t="shared" ref="P28:P37" si="25">IF(M28&gt;0,N28*100/M28,0)</f>
        <v>0</v>
      </c>
    </row>
    <row r="29" spans="1:16" ht="21.75" customHeight="1" x14ac:dyDescent="0.45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45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2075413</v>
      </c>
      <c r="M30" s="30">
        <f t="shared" si="27"/>
        <v>0</v>
      </c>
      <c r="N30" s="30">
        <f t="shared" ca="1" si="27"/>
        <v>484647</v>
      </c>
      <c r="O30" s="29">
        <f t="shared" ca="1" si="24"/>
        <v>23.35183406868898</v>
      </c>
      <c r="P30" s="29">
        <f t="shared" si="25"/>
        <v>0</v>
      </c>
    </row>
    <row r="31" spans="1:16" ht="21.75" customHeight="1" x14ac:dyDescent="0.45">
      <c r="A31" s="31"/>
      <c r="B31" s="32"/>
      <c r="C31" s="33" t="s">
        <v>16</v>
      </c>
      <c r="D31" s="529" t="s">
        <v>20</v>
      </c>
      <c r="E31" s="530"/>
      <c r="F31" s="530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45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2075413</v>
      </c>
      <c r="M32" s="38">
        <f t="shared" si="30"/>
        <v>0</v>
      </c>
      <c r="N32" s="38">
        <f t="shared" ca="1" si="30"/>
        <v>484647</v>
      </c>
      <c r="O32" s="38">
        <f t="shared" ca="1" si="29"/>
        <v>23.35183406868898</v>
      </c>
      <c r="P32" s="38">
        <f t="shared" si="25"/>
        <v>0</v>
      </c>
    </row>
    <row r="33" spans="1:16" ht="21.75" customHeight="1" x14ac:dyDescent="0.45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45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2075413</v>
      </c>
      <c r="M34" s="38">
        <f t="shared" si="32"/>
        <v>0</v>
      </c>
      <c r="N34" s="38">
        <f t="shared" ca="1" si="32"/>
        <v>484647</v>
      </c>
      <c r="O34" s="38">
        <f t="shared" ca="1" si="29"/>
        <v>23.35183406868898</v>
      </c>
      <c r="P34" s="38">
        <f t="shared" si="25"/>
        <v>0</v>
      </c>
    </row>
    <row r="35" spans="1:16" ht="21.75" customHeight="1" x14ac:dyDescent="0.45">
      <c r="A35" s="31"/>
      <c r="B35" s="32"/>
      <c r="C35" s="33" t="s">
        <v>16</v>
      </c>
      <c r="D35" s="529" t="s">
        <v>23</v>
      </c>
      <c r="E35" s="530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45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3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4126815</v>
      </c>
      <c r="M37" s="54">
        <f t="shared" ca="1" si="33"/>
        <v>2372765</v>
      </c>
      <c r="N37" s="54">
        <f t="shared" ca="1" si="33"/>
        <v>1681980</v>
      </c>
      <c r="O37" s="55">
        <f t="shared" ca="1" si="29"/>
        <v>40.757339497893653</v>
      </c>
      <c r="P37" s="55">
        <f t="shared" ca="1" si="25"/>
        <v>70.886918847842068</v>
      </c>
    </row>
    <row r="38" spans="1:16" ht="21.75" customHeight="1" x14ac:dyDescent="0.45">
      <c r="A38" s="531" t="s">
        <v>27</v>
      </c>
      <c r="B38" s="516"/>
      <c r="C38" s="516"/>
      <c r="D38" s="516"/>
      <c r="E38" s="516"/>
      <c r="F38" s="516"/>
      <c r="G38" s="517"/>
      <c r="H38" s="56"/>
      <c r="I38" s="57"/>
      <c r="J38" s="57"/>
      <c r="K38" s="58"/>
      <c r="L38" s="59"/>
      <c r="M38" s="59"/>
      <c r="N38" s="59"/>
      <c r="O38" s="59"/>
      <c r="P38" s="59"/>
    </row>
    <row r="39" spans="1:16" ht="21.75" customHeight="1" x14ac:dyDescent="0.45">
      <c r="A39" s="60"/>
      <c r="B39" s="532" t="s">
        <v>28</v>
      </c>
      <c r="C39" s="528"/>
      <c r="D39" s="528"/>
      <c r="E39" s="528"/>
      <c r="F39" s="528"/>
      <c r="G39" s="528"/>
      <c r="H39" s="61"/>
      <c r="I39" s="62"/>
      <c r="J39" s="62"/>
      <c r="K39" s="63"/>
      <c r="L39" s="64"/>
      <c r="M39" s="64"/>
      <c r="N39" s="64"/>
      <c r="O39" s="63"/>
      <c r="P39" s="63"/>
    </row>
    <row r="40" spans="1:16" ht="21.75" customHeight="1" x14ac:dyDescent="0.45">
      <c r="A40" s="65"/>
      <c r="B40" s="66" t="s">
        <v>29</v>
      </c>
      <c r="C40" s="67"/>
      <c r="D40" s="67"/>
      <c r="E40" s="67"/>
      <c r="F40" s="67"/>
      <c r="G40" s="67"/>
      <c r="H40" s="68"/>
      <c r="I40" s="69"/>
      <c r="J40" s="69"/>
      <c r="K40" s="70"/>
      <c r="L40" s="71"/>
      <c r="M40" s="71"/>
      <c r="N40" s="71"/>
      <c r="O40" s="70"/>
      <c r="P40" s="70"/>
    </row>
    <row r="41" spans="1:16" ht="21.75" customHeight="1" x14ac:dyDescent="0.45">
      <c r="A41" s="72"/>
      <c r="B41" s="73"/>
      <c r="C41" s="74" t="s">
        <v>16</v>
      </c>
      <c r="D41" s="533" t="s">
        <v>17</v>
      </c>
      <c r="E41" s="530"/>
      <c r="F41" s="530"/>
      <c r="G41" s="530"/>
      <c r="H41" s="75" t="s">
        <v>12</v>
      </c>
      <c r="I41" s="76"/>
      <c r="J41" s="76"/>
      <c r="K41" s="77"/>
      <c r="L41" s="78">
        <f t="shared" ref="L41:N41" ca="1" si="34">L42+L43</f>
        <v>952200</v>
      </c>
      <c r="M41" s="78">
        <f t="shared" ca="1" si="34"/>
        <v>522120</v>
      </c>
      <c r="N41" s="78">
        <f t="shared" ca="1" si="34"/>
        <v>410102</v>
      </c>
      <c r="O41" s="77">
        <f t="shared" ref="O41:O43" ca="1" si="35">IF(L41&gt;0,N41*100/L41,0)</f>
        <v>43.068893089687037</v>
      </c>
      <c r="P41" s="77">
        <f t="shared" ref="P41:P43" ca="1" si="36">IF(M41&gt;0,N41*100/M41,0)</f>
        <v>78.545545085420983</v>
      </c>
    </row>
    <row r="42" spans="1:16" ht="21.75" customHeight="1" x14ac:dyDescent="0.45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45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952200</v>
      </c>
      <c r="M43" s="78">
        <f t="shared" ca="1" si="38"/>
        <v>522120</v>
      </c>
      <c r="N43" s="78">
        <f t="shared" ca="1" si="38"/>
        <v>410102</v>
      </c>
      <c r="O43" s="77">
        <f t="shared" ca="1" si="35"/>
        <v>43.068893089687037</v>
      </c>
      <c r="P43" s="77">
        <f t="shared" ca="1" si="36"/>
        <v>78.545545085420983</v>
      </c>
    </row>
    <row r="44" spans="1:16" ht="21.75" customHeight="1" x14ac:dyDescent="0.45">
      <c r="A44" s="79"/>
      <c r="B44" s="80"/>
      <c r="C44" s="81" t="s">
        <v>16</v>
      </c>
      <c r="D44" s="534" t="s">
        <v>20</v>
      </c>
      <c r="E44" s="530"/>
      <c r="F44" s="530"/>
      <c r="G44" s="82" t="s">
        <v>18</v>
      </c>
      <c r="H44" s="83" t="s">
        <v>12</v>
      </c>
      <c r="I44" s="84"/>
      <c r="J44" s="84"/>
      <c r="K44" s="85"/>
      <c r="L44" s="86">
        <v>0</v>
      </c>
      <c r="M44" s="510"/>
      <c r="N44" s="511"/>
      <c r="O44" s="511"/>
      <c r="P44" s="511"/>
    </row>
    <row r="45" spans="1:16" ht="21.75" customHeight="1" x14ac:dyDescent="0.45">
      <c r="A45" s="79"/>
      <c r="B45" s="80"/>
      <c r="C45" s="80"/>
      <c r="D45" s="80"/>
      <c r="E45" s="88"/>
      <c r="F45" s="89"/>
      <c r="G45" s="82" t="s">
        <v>19</v>
      </c>
      <c r="H45" s="83" t="s">
        <v>12</v>
      </c>
      <c r="I45" s="84"/>
      <c r="J45" s="84"/>
      <c r="K45" s="85"/>
      <c r="L45" s="38">
        <f ca="1">L46+L47</f>
        <v>952200</v>
      </c>
      <c r="M45" s="49">
        <f ca="1">IFERROR(__xludf.DUMMYFUNCTION("IMPORTRANGE(""https://docs.google.com/spreadsheets/d/1Yj_ptqi66GCucihVvJfMjLAmec39IyEx_6qawtMGysU/edit?usp=sharing"",""สบก!Q24"")"),522120)</f>
        <v>522120</v>
      </c>
      <c r="N45" s="49">
        <f ca="1">IFERROR(__xludf.DUMMYFUNCTION("IMPORTRANGE(""https://docs.google.com/spreadsheets/d/1Yj_ptqi66GCucihVvJfMjLAmec39IyEx_6qawtMGysU/edit?usp=sharing"",""สบก!R24"")"),410102)</f>
        <v>410102</v>
      </c>
      <c r="O45" s="38">
        <f ca="1">IF(L45&gt;0,N45*100/L45,0)</f>
        <v>43.068893089687037</v>
      </c>
      <c r="P45" s="38">
        <f ca="1">IF(M45&gt;0,N45*100/M45,0)</f>
        <v>78.545545085420983</v>
      </c>
    </row>
    <row r="46" spans="1:16" ht="21.75" customHeight="1" x14ac:dyDescent="0.45">
      <c r="A46" s="79"/>
      <c r="B46" s="80"/>
      <c r="C46" s="80"/>
      <c r="D46" s="80"/>
      <c r="E46" s="88"/>
      <c r="F46" s="88"/>
      <c r="G46" s="82" t="s">
        <v>21</v>
      </c>
      <c r="H46" s="83" t="s">
        <v>12</v>
      </c>
      <c r="I46" s="84"/>
      <c r="J46" s="84"/>
      <c r="K46" s="85"/>
      <c r="L46" s="49">
        <f ca="1">IFERROR(__xludf.DUMMYFUNCTION("IMPORTRANGE(""https://docs.google.com/spreadsheets/d/1Yj_ptqi66GCucihVvJfMjLAmec39IyEx_6qawtMGysU/edit?usp=sharing"",""สบก!M24"")"),952200)</f>
        <v>952200</v>
      </c>
      <c r="M46" s="41"/>
      <c r="N46" s="38"/>
      <c r="O46" s="38"/>
      <c r="P46" s="38"/>
    </row>
    <row r="47" spans="1:16" ht="21.75" customHeight="1" x14ac:dyDescent="0.45">
      <c r="A47" s="79"/>
      <c r="B47" s="80"/>
      <c r="C47" s="80"/>
      <c r="D47" s="80"/>
      <c r="E47" s="88"/>
      <c r="F47" s="88"/>
      <c r="G47" s="82" t="s">
        <v>22</v>
      </c>
      <c r="H47" s="83" t="s">
        <v>12</v>
      </c>
      <c r="I47" s="84"/>
      <c r="J47" s="84"/>
      <c r="K47" s="85"/>
      <c r="L47" s="49">
        <f ca="1">IFERROR(__xludf.DUMMYFUNCTION("IMPORTRANGE(""https://docs.google.com/spreadsheets/d/1Yj_ptqi66GCucihVvJfMjLAmec39IyEx_6qawtMGysU/edit?usp=sharing"",""สบก!N24"")"),0)</f>
        <v>0</v>
      </c>
      <c r="M47" s="41"/>
      <c r="N47" s="38"/>
      <c r="O47" s="38"/>
      <c r="P47" s="38"/>
    </row>
    <row r="48" spans="1:16" ht="21.75" customHeight="1" x14ac:dyDescent="0.45">
      <c r="A48" s="79"/>
      <c r="B48" s="80"/>
      <c r="C48" s="81" t="s">
        <v>16</v>
      </c>
      <c r="D48" s="534" t="s">
        <v>23</v>
      </c>
      <c r="E48" s="530"/>
      <c r="F48" s="88"/>
      <c r="G48" s="82" t="s">
        <v>18</v>
      </c>
      <c r="H48" s="83" t="s">
        <v>12</v>
      </c>
      <c r="I48" s="84"/>
      <c r="J48" s="84"/>
      <c r="K48" s="85"/>
      <c r="L48" s="50">
        <v>0</v>
      </c>
      <c r="M48" s="41"/>
      <c r="N48" s="41"/>
      <c r="O48" s="41"/>
      <c r="P48" s="41"/>
    </row>
    <row r="49" spans="1:16" ht="21.75" customHeight="1" x14ac:dyDescent="0.45">
      <c r="A49" s="90"/>
      <c r="B49" s="91"/>
      <c r="C49" s="91"/>
      <c r="D49" s="91"/>
      <c r="E49" s="92"/>
      <c r="F49" s="92"/>
      <c r="G49" s="93" t="s">
        <v>19</v>
      </c>
      <c r="H49" s="94" t="s">
        <v>12</v>
      </c>
      <c r="I49" s="95"/>
      <c r="J49" s="95"/>
      <c r="K49" s="96"/>
      <c r="L49" s="49">
        <f ca="1">IFERROR(__xludf.DUMMYFUNCTION("IMPORTRANGE(""https://docs.google.com/spreadsheets/d/1Yj_ptqi66GCucihVvJfMjLAmec39IyEx_6qawtMGysU/edit?usp=sharing"",""สบก!O24"")"),0)</f>
        <v>0</v>
      </c>
      <c r="M49" s="49"/>
      <c r="N49" s="49">
        <f ca="1">IFERROR(__xludf.DUMMYFUNCTION("IMPORTRANGE(""https://docs.google.com/spreadsheets/d/1Yj_ptqi66GCucihVvJfMjLAmec39IyEx_6qawtMGysU/edit?usp=sharing"",""สบก!S24"")"),0)</f>
        <v>0</v>
      </c>
      <c r="O49" s="49">
        <f ca="1">IF(L49&gt;0,N49*100/L49,0)</f>
        <v>0</v>
      </c>
      <c r="P49" s="49"/>
    </row>
    <row r="50" spans="1:16" ht="21.75" customHeight="1" x14ac:dyDescent="0.45">
      <c r="A50" s="97" t="s">
        <v>30</v>
      </c>
      <c r="B50" s="98"/>
      <c r="C50" s="98"/>
      <c r="D50" s="98"/>
      <c r="E50" s="98"/>
      <c r="F50" s="98"/>
      <c r="G50" s="98"/>
      <c r="H50" s="99"/>
      <c r="I50" s="100"/>
      <c r="J50" s="100"/>
      <c r="K50" s="101"/>
      <c r="L50" s="102"/>
      <c r="M50" s="102"/>
      <c r="N50" s="102"/>
      <c r="O50" s="101"/>
      <c r="P50" s="101"/>
    </row>
    <row r="51" spans="1:16" ht="21.75" customHeight="1" x14ac:dyDescent="0.45">
      <c r="A51" s="103"/>
      <c r="B51" s="104" t="s">
        <v>31</v>
      </c>
      <c r="C51" s="104"/>
      <c r="D51" s="104"/>
      <c r="E51" s="104"/>
      <c r="F51" s="104"/>
      <c r="G51" s="104"/>
      <c r="H51" s="105"/>
      <c r="I51" s="106"/>
      <c r="J51" s="106"/>
      <c r="K51" s="107"/>
      <c r="L51" s="108"/>
      <c r="M51" s="108"/>
      <c r="N51" s="108"/>
      <c r="O51" s="107"/>
      <c r="P51" s="107"/>
    </row>
    <row r="52" spans="1:16" ht="21.75" customHeight="1" x14ac:dyDescent="0.45">
      <c r="A52" s="109"/>
      <c r="B52" s="535" t="s">
        <v>32</v>
      </c>
      <c r="C52" s="530"/>
      <c r="D52" s="530"/>
      <c r="E52" s="530"/>
      <c r="F52" s="530"/>
      <c r="G52" s="530"/>
      <c r="H52" s="110"/>
      <c r="I52" s="111"/>
      <c r="J52" s="111"/>
      <c r="K52" s="112"/>
      <c r="L52" s="113"/>
      <c r="M52" s="113"/>
      <c r="N52" s="113"/>
      <c r="O52" s="112"/>
      <c r="P52" s="112"/>
    </row>
    <row r="53" spans="1:16" ht="21.75" customHeight="1" x14ac:dyDescent="0.45">
      <c r="A53" s="114"/>
      <c r="B53" s="115"/>
      <c r="C53" s="116" t="s">
        <v>16</v>
      </c>
      <c r="D53" s="536" t="s">
        <v>17</v>
      </c>
      <c r="E53" s="530"/>
      <c r="F53" s="530"/>
      <c r="G53" s="530"/>
      <c r="H53" s="117" t="s">
        <v>12</v>
      </c>
      <c r="I53" s="118"/>
      <c r="J53" s="118"/>
      <c r="K53" s="119"/>
      <c r="L53" s="120">
        <f t="shared" ref="L53:N53" ca="1" si="39">L54+L55</f>
        <v>450000</v>
      </c>
      <c r="M53" s="120">
        <f t="shared" ca="1" si="39"/>
        <v>243000</v>
      </c>
      <c r="N53" s="120">
        <f t="shared" ca="1" si="39"/>
        <v>233490</v>
      </c>
      <c r="O53" s="119">
        <f t="shared" ref="O53:O55" ca="1" si="40">IF(L53&gt;0,N53*100/L53,0)</f>
        <v>51.886666666666663</v>
      </c>
      <c r="P53" s="119">
        <f t="shared" ref="P53:P55" ca="1" si="41">IF(M53&gt;0,N53*100/M53,0)</f>
        <v>96.086419753086417</v>
      </c>
    </row>
    <row r="54" spans="1:16" ht="21.75" customHeight="1" x14ac:dyDescent="0.45">
      <c r="A54" s="114"/>
      <c r="B54" s="115"/>
      <c r="C54" s="115"/>
      <c r="D54" s="115"/>
      <c r="E54" s="115"/>
      <c r="F54" s="115"/>
      <c r="G54" s="116" t="s">
        <v>18</v>
      </c>
      <c r="H54" s="117" t="s">
        <v>12</v>
      </c>
      <c r="I54" s="118"/>
      <c r="J54" s="118"/>
      <c r="K54" s="119"/>
      <c r="L54" s="120">
        <f t="shared" ref="L54:N54" si="42">L56+L60</f>
        <v>0</v>
      </c>
      <c r="M54" s="120">
        <f t="shared" si="42"/>
        <v>0</v>
      </c>
      <c r="N54" s="120">
        <f t="shared" si="42"/>
        <v>0</v>
      </c>
      <c r="O54" s="119">
        <f t="shared" si="40"/>
        <v>0</v>
      </c>
      <c r="P54" s="119">
        <f t="shared" si="41"/>
        <v>0</v>
      </c>
    </row>
    <row r="55" spans="1:16" ht="21.75" customHeight="1" x14ac:dyDescent="0.45">
      <c r="A55" s="114"/>
      <c r="B55" s="115"/>
      <c r="C55" s="115"/>
      <c r="D55" s="115"/>
      <c r="E55" s="115"/>
      <c r="F55" s="115"/>
      <c r="G55" s="116" t="s">
        <v>19</v>
      </c>
      <c r="H55" s="117" t="s">
        <v>12</v>
      </c>
      <c r="I55" s="118"/>
      <c r="J55" s="118"/>
      <c r="K55" s="119"/>
      <c r="L55" s="120">
        <f t="shared" ref="L55:N55" ca="1" si="43">L57+L61</f>
        <v>450000</v>
      </c>
      <c r="M55" s="120">
        <f t="shared" ca="1" si="43"/>
        <v>243000</v>
      </c>
      <c r="N55" s="120">
        <f t="shared" ca="1" si="43"/>
        <v>233490</v>
      </c>
      <c r="O55" s="119">
        <f t="shared" ca="1" si="40"/>
        <v>51.886666666666663</v>
      </c>
      <c r="P55" s="119">
        <f t="shared" ca="1" si="41"/>
        <v>96.086419753086417</v>
      </c>
    </row>
    <row r="56" spans="1:16" ht="21.75" customHeight="1" x14ac:dyDescent="0.45">
      <c r="A56" s="79"/>
      <c r="B56" s="80"/>
      <c r="C56" s="81" t="s">
        <v>16</v>
      </c>
      <c r="D56" s="534" t="s">
        <v>20</v>
      </c>
      <c r="E56" s="530"/>
      <c r="F56" s="530"/>
      <c r="G56" s="82" t="s">
        <v>18</v>
      </c>
      <c r="H56" s="83" t="s">
        <v>12</v>
      </c>
      <c r="I56" s="84"/>
      <c r="J56" s="84"/>
      <c r="K56" s="85"/>
      <c r="L56" s="511">
        <v>0</v>
      </c>
      <c r="M56" s="510"/>
      <c r="N56" s="511"/>
      <c r="O56" s="511"/>
      <c r="P56" s="511"/>
    </row>
    <row r="57" spans="1:16" ht="21.75" customHeight="1" x14ac:dyDescent="0.45">
      <c r="A57" s="79"/>
      <c r="B57" s="80"/>
      <c r="C57" s="80"/>
      <c r="D57" s="80"/>
      <c r="E57" s="88"/>
      <c r="F57" s="89"/>
      <c r="G57" s="82" t="s">
        <v>19</v>
      </c>
      <c r="H57" s="83" t="s">
        <v>12</v>
      </c>
      <c r="I57" s="84"/>
      <c r="J57" s="84"/>
      <c r="K57" s="85"/>
      <c r="L57" s="38">
        <f ca="1">L58+L59</f>
        <v>450000</v>
      </c>
      <c r="M57" s="49">
        <f ca="1">IFERROR(__xludf.DUMMYFUNCTION("IMPORTRANGE(""https://docs.google.com/spreadsheets/d/1Yj_ptqi66GCucihVvJfMjLAmec39IyEx_6qawtMGysU/edit?usp=sharing"",""สบก!Z24"")"),243000)</f>
        <v>243000</v>
      </c>
      <c r="N57" s="49">
        <f ca="1">IFERROR(__xludf.DUMMYFUNCTION("IMPORTRANGE(""https://docs.google.com/spreadsheets/d/1Yj_ptqi66GCucihVvJfMjLAmec39IyEx_6qawtMGysU/edit?usp=sharing"",""สบก!AA24"")"),233490)</f>
        <v>233490</v>
      </c>
      <c r="O57" s="38">
        <f ca="1">IF(L57&gt;0,N57*100/L57,0)</f>
        <v>51.886666666666663</v>
      </c>
      <c r="P57" s="38">
        <f ca="1">IF(M57&gt;0,N57*100/M57,0)</f>
        <v>96.086419753086417</v>
      </c>
    </row>
    <row r="58" spans="1:16" ht="21.75" customHeight="1" x14ac:dyDescent="0.45">
      <c r="A58" s="79"/>
      <c r="B58" s="80"/>
      <c r="C58" s="80"/>
      <c r="D58" s="80"/>
      <c r="E58" s="88"/>
      <c r="F58" s="88"/>
      <c r="G58" s="82" t="s">
        <v>21</v>
      </c>
      <c r="H58" s="83" t="s">
        <v>12</v>
      </c>
      <c r="I58" s="84"/>
      <c r="J58" s="84"/>
      <c r="K58" s="85"/>
      <c r="L58" s="49">
        <f ca="1">IFERROR(__xludf.DUMMYFUNCTION("IMPORTRANGE(""https://docs.google.com/spreadsheets/d/1Yj_ptqi66GCucihVvJfMjLAmec39IyEx_6qawtMGysU/edit?usp=sharing"",""สบก!V24"")"),450000)</f>
        <v>450000</v>
      </c>
      <c r="M58" s="41"/>
      <c r="N58" s="38"/>
      <c r="O58" s="38"/>
      <c r="P58" s="38"/>
    </row>
    <row r="59" spans="1:16" ht="21.75" customHeight="1" x14ac:dyDescent="0.45">
      <c r="A59" s="79"/>
      <c r="B59" s="80"/>
      <c r="C59" s="80"/>
      <c r="D59" s="80"/>
      <c r="E59" s="88"/>
      <c r="F59" s="88"/>
      <c r="G59" s="82" t="s">
        <v>22</v>
      </c>
      <c r="H59" s="83" t="s">
        <v>12</v>
      </c>
      <c r="I59" s="84"/>
      <c r="J59" s="84"/>
      <c r="K59" s="85"/>
      <c r="L59" s="49">
        <f ca="1">IFERROR(__xludf.DUMMYFUNCTION("IMPORTRANGE(""https://docs.google.com/spreadsheets/d/1Yj_ptqi66GCucihVvJfMjLAmec39IyEx_6qawtMGysU/edit?usp=sharing"",""สบก!W24"")"),0)</f>
        <v>0</v>
      </c>
      <c r="M59" s="41"/>
      <c r="N59" s="38"/>
      <c r="O59" s="38"/>
      <c r="P59" s="38"/>
    </row>
    <row r="60" spans="1:16" ht="21.75" customHeight="1" x14ac:dyDescent="0.45">
      <c r="A60" s="79"/>
      <c r="B60" s="80"/>
      <c r="C60" s="81" t="s">
        <v>16</v>
      </c>
      <c r="D60" s="534" t="s">
        <v>23</v>
      </c>
      <c r="E60" s="530"/>
      <c r="F60" s="88"/>
      <c r="G60" s="82" t="s">
        <v>18</v>
      </c>
      <c r="H60" s="83" t="s">
        <v>12</v>
      </c>
      <c r="I60" s="84"/>
      <c r="J60" s="84"/>
      <c r="K60" s="85"/>
      <c r="L60" s="50">
        <v>0</v>
      </c>
      <c r="M60" s="41"/>
      <c r="N60" s="41"/>
      <c r="O60" s="41"/>
      <c r="P60" s="41"/>
    </row>
    <row r="61" spans="1:16" ht="21.75" customHeight="1" x14ac:dyDescent="0.45">
      <c r="A61" s="90"/>
      <c r="B61" s="91"/>
      <c r="C61" s="91"/>
      <c r="D61" s="91"/>
      <c r="E61" s="92"/>
      <c r="F61" s="92"/>
      <c r="G61" s="93" t="s">
        <v>19</v>
      </c>
      <c r="H61" s="94" t="s">
        <v>12</v>
      </c>
      <c r="I61" s="95"/>
      <c r="J61" s="95"/>
      <c r="K61" s="96"/>
      <c r="L61" s="49">
        <f ca="1">IFERROR(__xludf.DUMMYFUNCTION("IMPORTRANGE(""https://docs.google.com/spreadsheets/d/1Yj_ptqi66GCucihVvJfMjLAmec39IyEx_6qawtMGysU/edit?usp=sharing"",""สบก!X24"")"),0)</f>
        <v>0</v>
      </c>
      <c r="M61" s="49"/>
      <c r="N61" s="49">
        <f ca="1">IFERROR(__xludf.DUMMYFUNCTION("IMPORTRANGE(""https://docs.google.com/spreadsheets/d/1Yj_ptqi66GCucihVvJfMjLAmec39IyEx_6qawtMGysU/edit?usp=sharing"",""สบก!AB24"")"),0)</f>
        <v>0</v>
      </c>
      <c r="O61" s="49">
        <f ca="1">IF(L61&gt;0,N61*100/L61,0)</f>
        <v>0</v>
      </c>
      <c r="P61" s="49"/>
    </row>
    <row r="62" spans="1:16" ht="21.75" customHeight="1" x14ac:dyDescent="0.3">
      <c r="A62" s="121" t="s">
        <v>33</v>
      </c>
      <c r="B62" s="122"/>
      <c r="C62" s="122"/>
      <c r="D62" s="122"/>
      <c r="E62" s="123"/>
      <c r="F62" s="123"/>
      <c r="G62" s="123"/>
      <c r="H62" s="124"/>
      <c r="I62" s="125"/>
      <c r="J62" s="125"/>
      <c r="K62" s="126"/>
      <c r="L62" s="127"/>
      <c r="M62" s="127"/>
      <c r="N62" s="127"/>
      <c r="O62" s="127"/>
      <c r="P62" s="127"/>
    </row>
    <row r="63" spans="1:16" ht="21.75" customHeight="1" x14ac:dyDescent="0.3">
      <c r="A63" s="128" t="s">
        <v>34</v>
      </c>
      <c r="B63" s="129"/>
      <c r="C63" s="130"/>
      <c r="D63" s="129"/>
      <c r="E63" s="131"/>
      <c r="F63" s="131"/>
      <c r="G63" s="131"/>
      <c r="H63" s="132"/>
      <c r="I63" s="133"/>
      <c r="J63" s="133"/>
      <c r="K63" s="134"/>
      <c r="L63" s="135"/>
      <c r="M63" s="135"/>
      <c r="N63" s="135"/>
      <c r="O63" s="136"/>
      <c r="P63" s="136"/>
    </row>
    <row r="64" spans="1:16" ht="21.75" customHeight="1" x14ac:dyDescent="0.3">
      <c r="A64" s="137"/>
      <c r="B64" s="138" t="s">
        <v>35</v>
      </c>
      <c r="C64" s="138"/>
      <c r="D64" s="139"/>
      <c r="E64" s="138"/>
      <c r="F64" s="138"/>
      <c r="G64" s="138"/>
      <c r="H64" s="140" t="s">
        <v>36</v>
      </c>
      <c r="I64" s="141">
        <f ca="1">IFERROR(__xludf.DUMMYFUNCTION("IMPORTRANGE(""https://docs.google.com/spreadsheets/d/11923uPwbBZFjjGgGUA6NLw09EwE0CqkOc4q9oUmW1yo/edit?usp=sharing"",""นครสวรรค์!I9"")"),1)</f>
        <v>1</v>
      </c>
      <c r="J64" s="141">
        <f ca="1">IFERROR(__xludf.DUMMYFUNCTION("IMPORTRANGE(""https://docs.google.com/spreadsheets/d/11923uPwbBZFjjGgGUA6NLw09EwE0CqkOc4q9oUmW1yo/edit?usp=sharing"",""นครสวรรค์!J9"")"),1)</f>
        <v>1</v>
      </c>
      <c r="K64" s="142">
        <f t="shared" ref="K64:K65" ca="1" si="44">IF(I64&gt;0,J64*100/I64,0)</f>
        <v>100</v>
      </c>
      <c r="L64" s="143"/>
      <c r="M64" s="143"/>
      <c r="N64" s="144"/>
      <c r="O64" s="142"/>
      <c r="P64" s="142"/>
    </row>
    <row r="65" spans="1:16" ht="21.75" customHeight="1" x14ac:dyDescent="0.3">
      <c r="A65" s="137"/>
      <c r="B65" s="138"/>
      <c r="C65" s="138"/>
      <c r="D65" s="139"/>
      <c r="E65" s="138"/>
      <c r="F65" s="138"/>
      <c r="G65" s="138"/>
      <c r="H65" s="140" t="s">
        <v>37</v>
      </c>
      <c r="I65" s="141">
        <f ca="1">IFERROR(__xludf.DUMMYFUNCTION("IMPORTRANGE(""https://docs.google.com/spreadsheets/d/11923uPwbBZFjjGgGUA6NLw09EwE0CqkOc4q9oUmW1yo/edit?usp=sharing"",""นครสวรรค์!I10"")"),40)</f>
        <v>40</v>
      </c>
      <c r="J65" s="141">
        <f ca="1">IFERROR(__xludf.DUMMYFUNCTION("IMPORTRANGE(""https://docs.google.com/spreadsheets/d/11923uPwbBZFjjGgGUA6NLw09EwE0CqkOc4q9oUmW1yo/edit?usp=sharing"",""นครสวรรค์!J10"")"),35)</f>
        <v>35</v>
      </c>
      <c r="K65" s="142">
        <f t="shared" ca="1" si="44"/>
        <v>87.5</v>
      </c>
      <c r="L65" s="144"/>
      <c r="M65" s="144"/>
      <c r="N65" s="144"/>
      <c r="O65" s="142"/>
      <c r="P65" s="142"/>
    </row>
    <row r="66" spans="1:16" ht="21.75" customHeight="1" x14ac:dyDescent="0.45">
      <c r="A66" s="145"/>
      <c r="B66" s="146"/>
      <c r="C66" s="147" t="s">
        <v>16</v>
      </c>
      <c r="D66" s="537" t="s">
        <v>17</v>
      </c>
      <c r="E66" s="528"/>
      <c r="F66" s="528"/>
      <c r="G66" s="528"/>
      <c r="H66" s="148" t="s">
        <v>12</v>
      </c>
      <c r="I66" s="149"/>
      <c r="J66" s="149"/>
      <c r="K66" s="150"/>
      <c r="L66" s="151">
        <f t="shared" ref="L66:N66" ca="1" si="45">L67+L68</f>
        <v>745500</v>
      </c>
      <c r="M66" s="151">
        <f t="shared" ca="1" si="45"/>
        <v>409320</v>
      </c>
      <c r="N66" s="151">
        <f t="shared" ca="1" si="45"/>
        <v>282251</v>
      </c>
      <c r="O66" s="150">
        <f t="shared" ref="O66:O68" ca="1" si="46">IF(L66&gt;0,N66*100/L66,0)</f>
        <v>37.860630449362844</v>
      </c>
      <c r="P66" s="150">
        <f t="shared" ref="P66:P68" ca="1" si="47">IF(M66&gt;0,N66*100/M66,0)</f>
        <v>68.95607348773575</v>
      </c>
    </row>
    <row r="67" spans="1:16" ht="21.75" customHeight="1" x14ac:dyDescent="0.45">
      <c r="A67" s="152"/>
      <c r="B67" s="32"/>
      <c r="C67" s="32"/>
      <c r="D67" s="32"/>
      <c r="E67" s="32"/>
      <c r="F67" s="32"/>
      <c r="G67" s="33" t="s">
        <v>18</v>
      </c>
      <c r="H67" s="153" t="s">
        <v>12</v>
      </c>
      <c r="I67" s="154"/>
      <c r="J67" s="154"/>
      <c r="K67" s="155"/>
      <c r="L67" s="87">
        <f t="shared" ref="L67:N67" si="48">L69+L73</f>
        <v>0</v>
      </c>
      <c r="M67" s="87">
        <f t="shared" si="48"/>
        <v>0</v>
      </c>
      <c r="N67" s="87">
        <f t="shared" si="48"/>
        <v>0</v>
      </c>
      <c r="O67" s="155">
        <f t="shared" si="46"/>
        <v>0</v>
      </c>
      <c r="P67" s="155">
        <f t="shared" si="47"/>
        <v>0</v>
      </c>
    </row>
    <row r="68" spans="1:16" ht="21.75" customHeight="1" x14ac:dyDescent="0.45">
      <c r="A68" s="152"/>
      <c r="B68" s="32"/>
      <c r="C68" s="32"/>
      <c r="D68" s="32"/>
      <c r="E68" s="32"/>
      <c r="F68" s="32"/>
      <c r="G68" s="33" t="s">
        <v>19</v>
      </c>
      <c r="H68" s="153" t="s">
        <v>12</v>
      </c>
      <c r="I68" s="154"/>
      <c r="J68" s="154"/>
      <c r="K68" s="155"/>
      <c r="L68" s="87">
        <f t="shared" ref="L68:N68" ca="1" si="49">L70+L74</f>
        <v>745500</v>
      </c>
      <c r="M68" s="87">
        <f t="shared" ca="1" si="49"/>
        <v>409320</v>
      </c>
      <c r="N68" s="87">
        <f t="shared" ca="1" si="49"/>
        <v>282251</v>
      </c>
      <c r="O68" s="155">
        <f t="shared" ca="1" si="46"/>
        <v>37.860630449362844</v>
      </c>
      <c r="P68" s="155">
        <f t="shared" ca="1" si="47"/>
        <v>68.95607348773575</v>
      </c>
    </row>
    <row r="69" spans="1:16" ht="21.75" customHeight="1" x14ac:dyDescent="0.3">
      <c r="A69" s="156"/>
      <c r="B69" s="157"/>
      <c r="C69" s="157" t="s">
        <v>16</v>
      </c>
      <c r="D69" s="158" t="s">
        <v>38</v>
      </c>
      <c r="E69" s="159"/>
      <c r="F69" s="159"/>
      <c r="G69" s="160" t="s">
        <v>39</v>
      </c>
      <c r="H69" s="161" t="s">
        <v>12</v>
      </c>
      <c r="I69" s="162" t="s">
        <v>40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3">
      <c r="A70" s="156"/>
      <c r="B70" s="157"/>
      <c r="C70" s="157"/>
      <c r="D70" s="166"/>
      <c r="E70" s="159"/>
      <c r="F70" s="159" t="s">
        <v>40</v>
      </c>
      <c r="G70" s="160" t="s">
        <v>41</v>
      </c>
      <c r="H70" s="161" t="s">
        <v>12</v>
      </c>
      <c r="I70" s="162"/>
      <c r="J70" s="162"/>
      <c r="K70" s="163"/>
      <c r="L70" s="167">
        <f ca="1">L71+L72</f>
        <v>745500</v>
      </c>
      <c r="M70" s="167">
        <f ca="1">IFERROR(__xludf.DUMMYFUNCTION("IMPORTRANGE(""https://docs.google.com/spreadsheets/d/1Yj_ptqi66GCucihVvJfMjLAmec39IyEx_6qawtMGysU/edit?usp=sharing"",""สบก!AI24"")"),409320)</f>
        <v>409320</v>
      </c>
      <c r="N70" s="168">
        <f ca="1">IFERROR(__xludf.DUMMYFUNCTION("IMPORTRANGE(""https://docs.google.com/spreadsheets/d/1Yj_ptqi66GCucihVvJfMjLAmec39IyEx_6qawtMGysU/edit?usp=sharing"",""สบก!AJ24"")"),282251)</f>
        <v>282251</v>
      </c>
      <c r="O70" s="168">
        <f ca="1">IF(L70&gt;0,N70*100/L70,0)</f>
        <v>37.860630449362844</v>
      </c>
      <c r="P70" s="168">
        <f ca="1">IF(M70&gt;0,N70*100/M70,0)</f>
        <v>68.95607348773575</v>
      </c>
    </row>
    <row r="71" spans="1:16" ht="21.75" customHeight="1" x14ac:dyDescent="0.3">
      <c r="A71" s="156"/>
      <c r="B71" s="157"/>
      <c r="C71" s="157"/>
      <c r="D71" s="166"/>
      <c r="E71" s="159"/>
      <c r="F71" s="159"/>
      <c r="G71" s="169" t="s">
        <v>42</v>
      </c>
      <c r="H71" s="161" t="s">
        <v>12</v>
      </c>
      <c r="I71" s="162"/>
      <c r="J71" s="162"/>
      <c r="K71" s="163"/>
      <c r="L71" s="167">
        <f ca="1">IFERROR(__xludf.DUMMYFUNCTION("IMPORTRANGE(""https://docs.google.com/spreadsheets/d/1Yj_ptqi66GCucihVvJfMjLAmec39IyEx_6qawtMGysU/edit?usp=sharing"",""สบก!AE24"")"),311500)</f>
        <v>311500</v>
      </c>
      <c r="M71" s="167"/>
      <c r="N71" s="167"/>
      <c r="O71" s="168"/>
      <c r="P71" s="168"/>
    </row>
    <row r="72" spans="1:16" ht="21.75" customHeight="1" x14ac:dyDescent="0.3">
      <c r="A72" s="156"/>
      <c r="B72" s="157"/>
      <c r="C72" s="157"/>
      <c r="D72" s="166"/>
      <c r="E72" s="159"/>
      <c r="F72" s="159"/>
      <c r="G72" s="169" t="s">
        <v>43</v>
      </c>
      <c r="H72" s="161" t="s">
        <v>12</v>
      </c>
      <c r="I72" s="162"/>
      <c r="J72" s="162"/>
      <c r="K72" s="163"/>
      <c r="L72" s="167">
        <f ca="1">IFERROR(__xludf.DUMMYFUNCTION("IMPORTRANGE(""https://docs.google.com/spreadsheets/d/1Yj_ptqi66GCucihVvJfMjLAmec39IyEx_6qawtMGysU/edit?usp=sharing"",""สบก!AF24"")"),434000)</f>
        <v>434000</v>
      </c>
      <c r="M72" s="167"/>
      <c r="N72" s="167"/>
      <c r="O72" s="168"/>
      <c r="P72" s="168"/>
    </row>
    <row r="73" spans="1:16" ht="21.75" customHeight="1" x14ac:dyDescent="0.45">
      <c r="A73" s="170"/>
      <c r="B73" s="80"/>
      <c r="C73" s="81" t="s">
        <v>16</v>
      </c>
      <c r="D73" s="534" t="s">
        <v>23</v>
      </c>
      <c r="E73" s="530"/>
      <c r="F73" s="88"/>
      <c r="G73" s="82" t="s">
        <v>18</v>
      </c>
      <c r="H73" s="171" t="s">
        <v>12</v>
      </c>
      <c r="I73" s="84"/>
      <c r="J73" s="84"/>
      <c r="K73" s="85"/>
      <c r="L73" s="41">
        <v>0</v>
      </c>
      <c r="M73" s="41"/>
      <c r="N73" s="41"/>
      <c r="O73" s="41"/>
      <c r="P73" s="41"/>
    </row>
    <row r="74" spans="1:16" ht="21.75" customHeight="1" x14ac:dyDescent="0.45">
      <c r="A74" s="172"/>
      <c r="B74" s="91"/>
      <c r="C74" s="91"/>
      <c r="D74" s="173"/>
      <c r="E74" s="92"/>
      <c r="F74" s="92"/>
      <c r="G74" s="93" t="s">
        <v>19</v>
      </c>
      <c r="H74" s="174" t="s">
        <v>12</v>
      </c>
      <c r="I74" s="95"/>
      <c r="J74" s="95"/>
      <c r="K74" s="96"/>
      <c r="L74" s="49">
        <f ca="1">IFERROR(__xludf.DUMMYFUNCTION("IMPORTRANGE(""https://docs.google.com/spreadsheets/d/1Yj_ptqi66GCucihVvJfMjLAmec39IyEx_6qawtMGysU/edit?usp=sharing"",""สบก!AG24"")"),0)</f>
        <v>0</v>
      </c>
      <c r="M74" s="49"/>
      <c r="N74" s="49">
        <f ca="1">IFERROR(__xludf.DUMMYFUNCTION("IMPORTRANGE(""https://docs.google.com/spreadsheets/d/1Yj_ptqi66GCucihVvJfMjLAmec39IyEx_6qawtMGysU/edit?usp=sharing"",""สบก!AK24"")"),0)</f>
        <v>0</v>
      </c>
      <c r="O74" s="49">
        <f ca="1">IF(L74&gt;0,N74*100/L74,0)</f>
        <v>0</v>
      </c>
      <c r="P74" s="49"/>
    </row>
    <row r="75" spans="1:16" ht="21.75" customHeight="1" x14ac:dyDescent="0.3">
      <c r="A75" s="175"/>
      <c r="B75" s="176"/>
      <c r="C75" s="157" t="s">
        <v>16</v>
      </c>
      <c r="D75" s="177" t="s">
        <v>44</v>
      </c>
      <c r="E75" s="178"/>
      <c r="F75" s="178"/>
      <c r="G75" s="179"/>
      <c r="H75" s="180"/>
      <c r="I75" s="162"/>
      <c r="J75" s="162"/>
      <c r="K75" s="163"/>
      <c r="L75" s="181"/>
      <c r="M75" s="181"/>
      <c r="N75" s="181"/>
      <c r="O75" s="181"/>
      <c r="P75" s="181"/>
    </row>
    <row r="76" spans="1:16" ht="21.75" customHeight="1" x14ac:dyDescent="0.3">
      <c r="A76" s="175"/>
      <c r="B76" s="176"/>
      <c r="C76" s="176"/>
      <c r="D76" s="182">
        <v>1</v>
      </c>
      <c r="E76" s="183" t="s">
        <v>45</v>
      </c>
      <c r="F76" s="184"/>
      <c r="G76" s="185"/>
      <c r="H76" s="186"/>
      <c r="I76" s="187"/>
      <c r="J76" s="188">
        <f ca="1">IFERROR(__xludf.DUMMYFUNCTION("IMPORTRANGE(""https://docs.google.com/spreadsheets/d/11923uPwbBZFjjGgGUA6NLw09EwE0CqkOc4q9oUmW1yo/edit?usp=sharing"",""นครสวรรค์!J16"")"),0)</f>
        <v>0</v>
      </c>
      <c r="K76" s="163"/>
      <c r="L76" s="181"/>
      <c r="M76" s="181"/>
      <c r="N76" s="181"/>
      <c r="O76" s="181"/>
      <c r="P76" s="181"/>
    </row>
    <row r="77" spans="1:16" ht="21.75" customHeight="1" x14ac:dyDescent="0.3">
      <c r="A77" s="175"/>
      <c r="B77" s="176"/>
      <c r="C77" s="176"/>
      <c r="D77" s="189">
        <v>2</v>
      </c>
      <c r="E77" s="190" t="s">
        <v>46</v>
      </c>
      <c r="F77" s="191"/>
      <c r="G77" s="192"/>
      <c r="H77" s="186"/>
      <c r="I77" s="187"/>
      <c r="J77" s="188">
        <f ca="1">IFERROR(__xludf.DUMMYFUNCTION("IMPORTRANGE(""https://docs.google.com/spreadsheets/d/11923uPwbBZFjjGgGUA6NLw09EwE0CqkOc4q9oUmW1yo/edit?usp=sharing"",""นครสวรรค์!J17"")"),1)</f>
        <v>1</v>
      </c>
      <c r="K77" s="163"/>
      <c r="L77" s="181" t="s">
        <v>40</v>
      </c>
      <c r="M77" s="181"/>
      <c r="N77" s="181" t="s">
        <v>40</v>
      </c>
      <c r="O77" s="181"/>
      <c r="P77" s="181"/>
    </row>
    <row r="78" spans="1:16" ht="21.75" customHeight="1" x14ac:dyDescent="0.3">
      <c r="A78" s="175"/>
      <c r="B78" s="176"/>
      <c r="C78" s="176"/>
      <c r="D78" s="193"/>
      <c r="E78" s="194" t="s">
        <v>47</v>
      </c>
      <c r="F78" s="195"/>
      <c r="G78" s="196"/>
      <c r="H78" s="186"/>
      <c r="I78" s="187"/>
      <c r="J78" s="188">
        <f ca="1">IFERROR(__xludf.DUMMYFUNCTION("IMPORTRANGE(""https://docs.google.com/spreadsheets/d/11923uPwbBZFjjGgGUA6NLw09EwE0CqkOc4q9oUmW1yo/edit?usp=sharing"",""นครสวรรค์!J18"")"),1)</f>
        <v>1</v>
      </c>
      <c r="K78" s="163"/>
      <c r="L78" s="181"/>
      <c r="M78" s="181"/>
      <c r="N78" s="181"/>
      <c r="O78" s="181"/>
      <c r="P78" s="181"/>
    </row>
    <row r="79" spans="1:16" ht="21.75" customHeight="1" x14ac:dyDescent="0.3">
      <c r="A79" s="175"/>
      <c r="B79" s="176"/>
      <c r="C79" s="176"/>
      <c r="D79" s="193"/>
      <c r="E79" s="194" t="s">
        <v>48</v>
      </c>
      <c r="F79" s="195"/>
      <c r="G79" s="196"/>
      <c r="H79" s="186"/>
      <c r="I79" s="187"/>
      <c r="J79" s="197">
        <f ca="1">IFERROR(__xludf.DUMMYFUNCTION("IMPORTRANGE(""https://docs.google.com/spreadsheets/d/11923uPwbBZFjjGgGUA6NLw09EwE0CqkOc4q9oUmW1yo/edit?usp=sharing"",""นครสวรรค์!J19"")"),1)</f>
        <v>1</v>
      </c>
      <c r="K79" s="163"/>
      <c r="L79" s="181"/>
      <c r="M79" s="181"/>
      <c r="N79" s="181"/>
      <c r="O79" s="181"/>
      <c r="P79" s="181"/>
    </row>
    <row r="80" spans="1:16" ht="21.75" customHeight="1" x14ac:dyDescent="0.3">
      <c r="A80" s="175"/>
      <c r="B80" s="176"/>
      <c r="C80" s="176"/>
      <c r="D80" s="193"/>
      <c r="E80" s="198"/>
      <c r="F80" s="194" t="s">
        <v>49</v>
      </c>
      <c r="G80" s="195"/>
      <c r="H80" s="199" t="s">
        <v>36</v>
      </c>
      <c r="I80" s="200">
        <f ca="1">IFERROR(__xludf.DUMMYFUNCTION("IMPORTRANGE(""https://docs.google.com/spreadsheets/d/11923uPwbBZFjjGgGUA6NLw09EwE0CqkOc4q9oUmW1yo/edit?usp=sharing"",""นครสวรรค์!I20"")"),1)</f>
        <v>1</v>
      </c>
      <c r="J80" s="200">
        <f ca="1">IFERROR(__xludf.DUMMYFUNCTION("IMPORTRANGE(""https://docs.google.com/spreadsheets/d/11923uPwbBZFjjGgGUA6NLw09EwE0CqkOc4q9oUmW1yo/edit?usp=sharing"",""นครสวรรค์!J20"")"),1)</f>
        <v>1</v>
      </c>
      <c r="K80" s="201">
        <f t="shared" ref="K80:K88" ca="1" si="50">IF(I80&gt;0,J80*100/I80,0)</f>
        <v>100</v>
      </c>
      <c r="L80" s="181"/>
      <c r="M80" s="181"/>
      <c r="N80" s="181"/>
      <c r="O80" s="181"/>
      <c r="P80" s="181"/>
    </row>
    <row r="81" spans="1:16" ht="21.75" customHeight="1" x14ac:dyDescent="0.3">
      <c r="A81" s="175"/>
      <c r="B81" s="176"/>
      <c r="C81" s="176"/>
      <c r="D81" s="193"/>
      <c r="E81" s="198"/>
      <c r="F81" s="195"/>
      <c r="G81" s="196"/>
      <c r="H81" s="199" t="s">
        <v>37</v>
      </c>
      <c r="I81" s="200">
        <f ca="1">IFERROR(__xludf.DUMMYFUNCTION("IMPORTRANGE(""https://docs.google.com/spreadsheets/d/11923uPwbBZFjjGgGUA6NLw09EwE0CqkOc4q9oUmW1yo/edit?usp=sharing"",""นครสวรรค์!I21"")"),40)</f>
        <v>40</v>
      </c>
      <c r="J81" s="200">
        <f ca="1">IFERROR(__xludf.DUMMYFUNCTION("IMPORTRANGE(""https://docs.google.com/spreadsheets/d/11923uPwbBZFjjGgGUA6NLw09EwE0CqkOc4q9oUmW1yo/edit?usp=sharing"",""นครสวรรค์!J21"")"),35)</f>
        <v>35</v>
      </c>
      <c r="K81" s="201">
        <f t="shared" ca="1" si="50"/>
        <v>87.5</v>
      </c>
      <c r="L81" s="181"/>
      <c r="M81" s="181"/>
      <c r="N81" s="181"/>
      <c r="O81" s="181"/>
      <c r="P81" s="181"/>
    </row>
    <row r="82" spans="1:16" ht="21.75" customHeight="1" x14ac:dyDescent="0.3">
      <c r="A82" s="175"/>
      <c r="B82" s="176"/>
      <c r="C82" s="176"/>
      <c r="D82" s="193"/>
      <c r="E82" s="198"/>
      <c r="F82" s="195"/>
      <c r="G82" s="195" t="s">
        <v>50</v>
      </c>
      <c r="H82" s="180" t="s">
        <v>36</v>
      </c>
      <c r="I82" s="202">
        <f ca="1">IFERROR(__xludf.DUMMYFUNCTION("IMPORTRANGE(""https://docs.google.com/spreadsheets/d/11923uPwbBZFjjGgGUA6NLw09EwE0CqkOc4q9oUmW1yo/edit?usp=sharing"",""นครสวรรค์!I22"")"),0)</f>
        <v>0</v>
      </c>
      <c r="J82" s="203">
        <f ca="1">IFERROR(__xludf.DUMMYFUNCTION("IMPORTRANGE(""https://docs.google.com/spreadsheets/d/11923uPwbBZFjjGgGUA6NLw09EwE0CqkOc4q9oUmW1yo/edit?usp=sharing"",""นครสวรรค์!J22"")"),0)</f>
        <v>0</v>
      </c>
      <c r="K82" s="163">
        <f t="shared" ca="1" si="50"/>
        <v>0</v>
      </c>
      <c r="L82" s="181"/>
      <c r="M82" s="181"/>
      <c r="N82" s="181"/>
      <c r="O82" s="181"/>
      <c r="P82" s="181"/>
    </row>
    <row r="83" spans="1:16" ht="21.75" customHeight="1" x14ac:dyDescent="0.3">
      <c r="A83" s="175"/>
      <c r="B83" s="176"/>
      <c r="C83" s="176"/>
      <c r="D83" s="193"/>
      <c r="E83" s="198"/>
      <c r="F83" s="195"/>
      <c r="G83" s="196"/>
      <c r="H83" s="180" t="s">
        <v>37</v>
      </c>
      <c r="I83" s="202">
        <f ca="1">IFERROR(__xludf.DUMMYFUNCTION("IMPORTRANGE(""https://docs.google.com/spreadsheets/d/11923uPwbBZFjjGgGUA6NLw09EwE0CqkOc4q9oUmW1yo/edit?usp=sharing"",""นครสวรรค์!I23"")"),0)</f>
        <v>0</v>
      </c>
      <c r="J83" s="203">
        <f ca="1">IFERROR(__xludf.DUMMYFUNCTION("IMPORTRANGE(""https://docs.google.com/spreadsheets/d/11923uPwbBZFjjGgGUA6NLw09EwE0CqkOc4q9oUmW1yo/edit?usp=sharing"",""นครสวรรค์!J23"")"),0)</f>
        <v>0</v>
      </c>
      <c r="K83" s="163">
        <f t="shared" ca="1" si="50"/>
        <v>0</v>
      </c>
      <c r="L83" s="181"/>
      <c r="M83" s="181"/>
      <c r="N83" s="181"/>
      <c r="O83" s="181"/>
      <c r="P83" s="181"/>
    </row>
    <row r="84" spans="1:16" ht="21.75" customHeight="1" x14ac:dyDescent="0.3">
      <c r="A84" s="175"/>
      <c r="B84" s="176"/>
      <c r="C84" s="176"/>
      <c r="D84" s="193"/>
      <c r="E84" s="198"/>
      <c r="F84" s="195"/>
      <c r="G84" s="195" t="s">
        <v>51</v>
      </c>
      <c r="H84" s="180" t="s">
        <v>36</v>
      </c>
      <c r="I84" s="202">
        <f ca="1">IFERROR(__xludf.DUMMYFUNCTION("IMPORTRANGE(""https://docs.google.com/spreadsheets/d/11923uPwbBZFjjGgGUA6NLw09EwE0CqkOc4q9oUmW1yo/edit?usp=sharing"",""นครสวรรค์!I24"")"),1)</f>
        <v>1</v>
      </c>
      <c r="J84" s="188">
        <f ca="1">IFERROR(__xludf.DUMMYFUNCTION("IMPORTRANGE(""https://docs.google.com/spreadsheets/d/11923uPwbBZFjjGgGUA6NLw09EwE0CqkOc4q9oUmW1yo/edit?usp=sharing"",""นครสวรรค์!J24"")"),1)</f>
        <v>1</v>
      </c>
      <c r="K84" s="163">
        <f t="shared" ca="1" si="50"/>
        <v>100</v>
      </c>
      <c r="L84" s="181"/>
      <c r="M84" s="181"/>
      <c r="N84" s="181"/>
      <c r="O84" s="181"/>
      <c r="P84" s="181"/>
    </row>
    <row r="85" spans="1:16" ht="21.75" customHeight="1" x14ac:dyDescent="0.3">
      <c r="A85" s="175"/>
      <c r="B85" s="176"/>
      <c r="C85" s="176"/>
      <c r="D85" s="193"/>
      <c r="E85" s="198"/>
      <c r="F85" s="195"/>
      <c r="G85" s="196"/>
      <c r="H85" s="180" t="s">
        <v>37</v>
      </c>
      <c r="I85" s="202">
        <f ca="1">IFERROR(__xludf.DUMMYFUNCTION("IMPORTRANGE(""https://docs.google.com/spreadsheets/d/11923uPwbBZFjjGgGUA6NLw09EwE0CqkOc4q9oUmW1yo/edit?usp=sharing"",""นครสวรรค์!I25"")"),40)</f>
        <v>40</v>
      </c>
      <c r="J85" s="188">
        <f ca="1">IFERROR(__xludf.DUMMYFUNCTION("IMPORTRANGE(""https://docs.google.com/spreadsheets/d/11923uPwbBZFjjGgGUA6NLw09EwE0CqkOc4q9oUmW1yo/edit?usp=sharing"",""นครสวรรค์!J25"")"),35)</f>
        <v>35</v>
      </c>
      <c r="K85" s="163">
        <f t="shared" ca="1" si="50"/>
        <v>87.5</v>
      </c>
      <c r="L85" s="181"/>
      <c r="M85" s="181"/>
      <c r="N85" s="181"/>
      <c r="O85" s="181"/>
      <c r="P85" s="181"/>
    </row>
    <row r="86" spans="1:16" ht="21.75" customHeight="1" x14ac:dyDescent="0.3">
      <c r="A86" s="175"/>
      <c r="B86" s="176"/>
      <c r="C86" s="176"/>
      <c r="D86" s="193"/>
      <c r="E86" s="198"/>
      <c r="F86" s="195"/>
      <c r="G86" s="195" t="s">
        <v>52</v>
      </c>
      <c r="H86" s="180" t="s">
        <v>36</v>
      </c>
      <c r="I86" s="202">
        <f ca="1">IFERROR(__xludf.DUMMYFUNCTION("IMPORTRANGE(""https://docs.google.com/spreadsheets/d/11923uPwbBZFjjGgGUA6NLw09EwE0CqkOc4q9oUmW1yo/edit?usp=sharing"",""นครสวรรค์!I26"")"),0)</f>
        <v>0</v>
      </c>
      <c r="J86" s="203">
        <f ca="1">IFERROR(__xludf.DUMMYFUNCTION("IMPORTRANGE(""https://docs.google.com/spreadsheets/d/11923uPwbBZFjjGgGUA6NLw09EwE0CqkOc4q9oUmW1yo/edit?usp=sharing"",""นครสวรรค์!J26"")"),0)</f>
        <v>0</v>
      </c>
      <c r="K86" s="163">
        <f t="shared" ca="1" si="50"/>
        <v>0</v>
      </c>
      <c r="L86" s="181"/>
      <c r="M86" s="181"/>
      <c r="N86" s="181"/>
      <c r="O86" s="181"/>
      <c r="P86" s="181"/>
    </row>
    <row r="87" spans="1:16" ht="21.75" customHeight="1" x14ac:dyDescent="0.3">
      <c r="A87" s="175"/>
      <c r="B87" s="176"/>
      <c r="C87" s="176"/>
      <c r="D87" s="193"/>
      <c r="E87" s="198"/>
      <c r="F87" s="195"/>
      <c r="G87" s="196"/>
      <c r="H87" s="180" t="s">
        <v>37</v>
      </c>
      <c r="I87" s="202">
        <f ca="1">IFERROR(__xludf.DUMMYFUNCTION("IMPORTRANGE(""https://docs.google.com/spreadsheets/d/11923uPwbBZFjjGgGUA6NLw09EwE0CqkOc4q9oUmW1yo/edit?usp=sharing"",""นครสวรรค์!I27"")"),0)</f>
        <v>0</v>
      </c>
      <c r="J87" s="203">
        <f ca="1">IFERROR(__xludf.DUMMYFUNCTION("IMPORTRANGE(""https://docs.google.com/spreadsheets/d/11923uPwbBZFjjGgGUA6NLw09EwE0CqkOc4q9oUmW1yo/edit?usp=sharing"",""นครสวรรค์!J27"")"),0)</f>
        <v>0</v>
      </c>
      <c r="K87" s="163">
        <f t="shared" ca="1" si="50"/>
        <v>0</v>
      </c>
      <c r="L87" s="181"/>
      <c r="M87" s="181"/>
      <c r="N87" s="181"/>
      <c r="O87" s="181"/>
      <c r="P87" s="181"/>
    </row>
    <row r="88" spans="1:16" ht="21.75" customHeight="1" x14ac:dyDescent="0.3">
      <c r="A88" s="175"/>
      <c r="B88" s="176"/>
      <c r="C88" s="176"/>
      <c r="D88" s="193"/>
      <c r="E88" s="198"/>
      <c r="F88" s="204" t="s">
        <v>53</v>
      </c>
      <c r="G88" s="195"/>
      <c r="H88" s="180" t="s">
        <v>37</v>
      </c>
      <c r="I88" s="202">
        <f ca="1">IFERROR(__xludf.DUMMYFUNCTION("IMPORTRANGE(""https://docs.google.com/spreadsheets/d/11923uPwbBZFjjGgGUA6NLw09EwE0CqkOc4q9oUmW1yo/edit?usp=sharing"",""นครสวรรค์!I28"")"),0)</f>
        <v>0</v>
      </c>
      <c r="J88" s="203">
        <f ca="1">IFERROR(__xludf.DUMMYFUNCTION("IMPORTRANGE(""https://docs.google.com/spreadsheets/d/11923uPwbBZFjjGgGUA6NLw09EwE0CqkOc4q9oUmW1yo/edit?usp=sharing"",""นครสวรรค์!J28"")"),0)</f>
        <v>0</v>
      </c>
      <c r="K88" s="163">
        <f t="shared" ca="1" si="50"/>
        <v>0</v>
      </c>
      <c r="L88" s="181"/>
      <c r="M88" s="181"/>
      <c r="N88" s="181"/>
      <c r="O88" s="181"/>
      <c r="P88" s="181"/>
    </row>
    <row r="89" spans="1:16" ht="21.75" customHeight="1" x14ac:dyDescent="0.3">
      <c r="A89" s="175"/>
      <c r="B89" s="176"/>
      <c r="C89" s="176"/>
      <c r="D89" s="193"/>
      <c r="E89" s="194" t="s">
        <v>54</v>
      </c>
      <c r="F89" s="195"/>
      <c r="G89" s="196"/>
      <c r="H89" s="186"/>
      <c r="I89" s="187"/>
      <c r="J89" s="197">
        <f ca="1">IFERROR(__xludf.DUMMYFUNCTION("IMPORTRANGE(""https://docs.google.com/spreadsheets/d/11923uPwbBZFjjGgGUA6NLw09EwE0CqkOc4q9oUmW1yo/edit?usp=sharing"",""นครสวรรค์!J29"")"),0)</f>
        <v>0</v>
      </c>
      <c r="K89" s="163"/>
      <c r="L89" s="181"/>
      <c r="M89" s="181"/>
      <c r="N89" s="181"/>
      <c r="O89" s="181"/>
      <c r="P89" s="181"/>
    </row>
    <row r="90" spans="1:16" ht="21.75" customHeight="1" x14ac:dyDescent="0.3">
      <c r="A90" s="175"/>
      <c r="B90" s="176"/>
      <c r="C90" s="176"/>
      <c r="D90" s="205">
        <v>3</v>
      </c>
      <c r="E90" s="206" t="s">
        <v>55</v>
      </c>
      <c r="F90" s="207"/>
      <c r="G90" s="208"/>
      <c r="H90" s="186"/>
      <c r="I90" s="187"/>
      <c r="J90" s="209">
        <f ca="1">IFERROR(__xludf.DUMMYFUNCTION("IMPORTRANGE(""https://docs.google.com/spreadsheets/d/11923uPwbBZFjjGgGUA6NLw09EwE0CqkOc4q9oUmW1yo/edit?usp=sharing"",""นครสวรรค์!J30"")"),0)</f>
        <v>0</v>
      </c>
      <c r="K90" s="163"/>
      <c r="L90" s="181"/>
      <c r="M90" s="181"/>
      <c r="N90" s="181"/>
      <c r="O90" s="181"/>
      <c r="P90" s="181"/>
    </row>
    <row r="91" spans="1:16" ht="21.75" customHeight="1" x14ac:dyDescent="0.3">
      <c r="A91" s="210" t="s">
        <v>56</v>
      </c>
      <c r="B91" s="211"/>
      <c r="C91" s="212"/>
      <c r="D91" s="211"/>
      <c r="E91" s="213"/>
      <c r="F91" s="213"/>
      <c r="G91" s="214"/>
      <c r="H91" s="215"/>
      <c r="I91" s="216"/>
      <c r="J91" s="216"/>
      <c r="K91" s="217"/>
      <c r="L91" s="218"/>
      <c r="M91" s="218"/>
      <c r="N91" s="218"/>
      <c r="O91" s="219"/>
      <c r="P91" s="219"/>
    </row>
    <row r="92" spans="1:16" ht="21.75" customHeight="1" x14ac:dyDescent="0.3">
      <c r="A92" s="137"/>
      <c r="B92" s="138" t="s">
        <v>57</v>
      </c>
      <c r="C92" s="138"/>
      <c r="D92" s="139"/>
      <c r="E92" s="138"/>
      <c r="F92" s="138"/>
      <c r="G92" s="220"/>
      <c r="H92" s="140" t="s">
        <v>37</v>
      </c>
      <c r="I92" s="141">
        <f ca="1">IFERROR(__xludf.DUMMYFUNCTION("IMPORTRANGE(""https://docs.google.com/spreadsheets/d/11923uPwbBZFjjGgGUA6NLw09EwE0CqkOc4q9oUmW1yo/edit?usp=sharing"",""นครสวรรค์!I32"")"),4)</f>
        <v>4</v>
      </c>
      <c r="J92" s="141">
        <f ca="1">IFERROR(__xludf.DUMMYFUNCTION("IMPORTRANGE(""https://docs.google.com/spreadsheets/d/11923uPwbBZFjjGgGUA6NLw09EwE0CqkOc4q9oUmW1yo/edit?usp=sharing"",""นครสวรรค์!J32"")"),0)</f>
        <v>0</v>
      </c>
      <c r="K92" s="142">
        <f t="shared" ref="K92:K93" ca="1" si="51">IF(I92&gt;0,J92*100/I92,0)</f>
        <v>0</v>
      </c>
      <c r="L92" s="221"/>
      <c r="M92" s="221"/>
      <c r="N92" s="222"/>
      <c r="O92" s="142"/>
      <c r="P92" s="142"/>
    </row>
    <row r="93" spans="1:16" ht="21.75" customHeight="1" x14ac:dyDescent="0.3">
      <c r="A93" s="137"/>
      <c r="B93" s="138"/>
      <c r="C93" s="138"/>
      <c r="D93" s="139" t="s">
        <v>58</v>
      </c>
      <c r="E93" s="138"/>
      <c r="F93" s="138"/>
      <c r="G93" s="220"/>
      <c r="H93" s="140" t="s">
        <v>59</v>
      </c>
      <c r="I93" s="141">
        <f ca="1">IFERROR(__xludf.DUMMYFUNCTION("IMPORTRANGE(""https://docs.google.com/spreadsheets/d/11923uPwbBZFjjGgGUA6NLw09EwE0CqkOc4q9oUmW1yo/edit?usp=sharing"",""นครสวรรค์!I33"")"),1)</f>
        <v>1</v>
      </c>
      <c r="J93" s="141">
        <f ca="1">IFERROR(__xludf.DUMMYFUNCTION("IMPORTRANGE(""https://docs.google.com/spreadsheets/d/11923uPwbBZFjjGgGUA6NLw09EwE0CqkOc4q9oUmW1yo/edit?usp=sharing"",""นครสวรรค์!J33"")"),0)</f>
        <v>0</v>
      </c>
      <c r="K93" s="142">
        <f t="shared" ca="1" si="51"/>
        <v>0</v>
      </c>
      <c r="L93" s="222"/>
      <c r="M93" s="222"/>
      <c r="N93" s="222"/>
      <c r="O93" s="142"/>
      <c r="P93" s="142"/>
    </row>
    <row r="94" spans="1:16" ht="21.75" customHeight="1" x14ac:dyDescent="0.45">
      <c r="A94" s="145"/>
      <c r="B94" s="146"/>
      <c r="C94" s="147" t="s">
        <v>16</v>
      </c>
      <c r="D94" s="537" t="s">
        <v>17</v>
      </c>
      <c r="E94" s="528"/>
      <c r="F94" s="528"/>
      <c r="G94" s="528"/>
      <c r="H94" s="148" t="s">
        <v>12</v>
      </c>
      <c r="I94" s="162"/>
      <c r="J94" s="162"/>
      <c r="K94" s="163"/>
      <c r="L94" s="151">
        <f t="shared" ref="L94:N94" ca="1" si="52">L95+L96</f>
        <v>214500</v>
      </c>
      <c r="M94" s="151">
        <f t="shared" ca="1" si="52"/>
        <v>161130</v>
      </c>
      <c r="N94" s="151">
        <f t="shared" ca="1" si="52"/>
        <v>95080</v>
      </c>
      <c r="O94" s="150">
        <f t="shared" ref="O94:O96" ca="1" si="53">IF(L94&gt;0,N94*100/L94,0)</f>
        <v>44.326340326340329</v>
      </c>
      <c r="P94" s="150">
        <f t="shared" ref="P94:P96" ca="1" si="54">IF(M94&gt;0,N94*100/M94,0)</f>
        <v>59.008254204679453</v>
      </c>
    </row>
    <row r="95" spans="1:16" ht="21.75" customHeight="1" x14ac:dyDescent="0.45">
      <c r="A95" s="152"/>
      <c r="B95" s="32"/>
      <c r="C95" s="32"/>
      <c r="D95" s="32"/>
      <c r="E95" s="32"/>
      <c r="F95" s="32"/>
      <c r="G95" s="33" t="s">
        <v>18</v>
      </c>
      <c r="H95" s="153" t="s">
        <v>12</v>
      </c>
      <c r="I95" s="162"/>
      <c r="J95" s="162"/>
      <c r="K95" s="163"/>
      <c r="L95" s="87">
        <f t="shared" ref="L95:N95" si="55">L97+L101</f>
        <v>0</v>
      </c>
      <c r="M95" s="87">
        <f t="shared" si="55"/>
        <v>0</v>
      </c>
      <c r="N95" s="87">
        <f t="shared" si="55"/>
        <v>0</v>
      </c>
      <c r="O95" s="155">
        <f t="shared" si="53"/>
        <v>0</v>
      </c>
      <c r="P95" s="155">
        <f t="shared" si="54"/>
        <v>0</v>
      </c>
    </row>
    <row r="96" spans="1:16" ht="21.75" customHeight="1" x14ac:dyDescent="0.45">
      <c r="A96" s="152"/>
      <c r="B96" s="32"/>
      <c r="C96" s="32"/>
      <c r="D96" s="32"/>
      <c r="E96" s="32"/>
      <c r="F96" s="32"/>
      <c r="G96" s="33" t="s">
        <v>19</v>
      </c>
      <c r="H96" s="153" t="s">
        <v>12</v>
      </c>
      <c r="I96" s="162"/>
      <c r="J96" s="162"/>
      <c r="K96" s="163"/>
      <c r="L96" s="87">
        <f t="shared" ref="L96:N96" ca="1" si="56">L98+L102</f>
        <v>214500</v>
      </c>
      <c r="M96" s="87">
        <f t="shared" ca="1" si="56"/>
        <v>161130</v>
      </c>
      <c r="N96" s="87">
        <f t="shared" ca="1" si="56"/>
        <v>95080</v>
      </c>
      <c r="O96" s="155">
        <f t="shared" ca="1" si="53"/>
        <v>44.326340326340329</v>
      </c>
      <c r="P96" s="155">
        <f t="shared" ca="1" si="54"/>
        <v>59.008254204679453</v>
      </c>
    </row>
    <row r="97" spans="1:16" ht="21.75" customHeight="1" x14ac:dyDescent="0.3">
      <c r="A97" s="156"/>
      <c r="B97" s="157"/>
      <c r="C97" s="157" t="s">
        <v>16</v>
      </c>
      <c r="D97" s="158" t="s">
        <v>38</v>
      </c>
      <c r="E97" s="159"/>
      <c r="F97" s="159"/>
      <c r="G97" s="160" t="s">
        <v>39</v>
      </c>
      <c r="H97" s="161" t="s">
        <v>12</v>
      </c>
      <c r="I97" s="162" t="s">
        <v>40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3">
      <c r="A98" s="156"/>
      <c r="B98" s="157"/>
      <c r="C98" s="157"/>
      <c r="D98" s="166"/>
      <c r="E98" s="159"/>
      <c r="F98" s="159" t="s">
        <v>40</v>
      </c>
      <c r="G98" s="160" t="s">
        <v>41</v>
      </c>
      <c r="H98" s="161" t="s">
        <v>12</v>
      </c>
      <c r="I98" s="162"/>
      <c r="J98" s="162"/>
      <c r="K98" s="163"/>
      <c r="L98" s="167">
        <f ca="1">L99+L100</f>
        <v>122100</v>
      </c>
      <c r="M98" s="167">
        <f ca="1">IFERROR(__xludf.DUMMYFUNCTION("IMPORTRANGE(""https://docs.google.com/spreadsheets/d/1Yj_ptqi66GCucihVvJfMjLAmec39IyEx_6qawtMGysU/edit?usp=sharing"",""สบก!AR24"")"),68730)</f>
        <v>68730</v>
      </c>
      <c r="N98" s="168">
        <f ca="1">IFERROR(__xludf.DUMMYFUNCTION("IMPORTRANGE(""https://docs.google.com/spreadsheets/d/1Yj_ptqi66GCucihVvJfMjLAmec39IyEx_6qawtMGysU/edit?usp=sharing"",""สบก!AS24"")"),2680)</f>
        <v>2680</v>
      </c>
      <c r="O98" s="168">
        <f ca="1">IF(L98&gt;0,N98*100/L98,0)</f>
        <v>2.1949221949221949</v>
      </c>
      <c r="P98" s="168">
        <f ca="1">IF(M98&gt;0,N98*100/M98,0)</f>
        <v>3.899316164702459</v>
      </c>
    </row>
    <row r="99" spans="1:16" ht="21.75" customHeight="1" x14ac:dyDescent="0.3">
      <c r="A99" s="156"/>
      <c r="B99" s="157"/>
      <c r="C99" s="157"/>
      <c r="D99" s="166"/>
      <c r="E99" s="159"/>
      <c r="F99" s="159"/>
      <c r="G99" s="169" t="s">
        <v>42</v>
      </c>
      <c r="H99" s="161" t="s">
        <v>12</v>
      </c>
      <c r="I99" s="162"/>
      <c r="J99" s="162"/>
      <c r="K99" s="163"/>
      <c r="L99" s="167">
        <f ca="1">IFERROR(__xludf.DUMMYFUNCTION("IMPORTRANGE(""https://docs.google.com/spreadsheets/d/1Yj_ptqi66GCucihVvJfMjLAmec39IyEx_6qawtMGysU/edit?usp=sharing"",""สบก!AN24"")"),0)</f>
        <v>0</v>
      </c>
      <c r="M99" s="167"/>
      <c r="N99" s="167"/>
      <c r="O99" s="168"/>
      <c r="P99" s="168"/>
    </row>
    <row r="100" spans="1:16" ht="21.75" customHeight="1" x14ac:dyDescent="0.3">
      <c r="A100" s="156"/>
      <c r="B100" s="157"/>
      <c r="C100" s="157"/>
      <c r="D100" s="166"/>
      <c r="E100" s="159"/>
      <c r="F100" s="159"/>
      <c r="G100" s="169" t="s">
        <v>43</v>
      </c>
      <c r="H100" s="161" t="s">
        <v>12</v>
      </c>
      <c r="I100" s="162"/>
      <c r="J100" s="187"/>
      <c r="K100" s="223"/>
      <c r="L100" s="167">
        <f ca="1">IFERROR(__xludf.DUMMYFUNCTION("IMPORTRANGE(""https://docs.google.com/spreadsheets/d/1Yj_ptqi66GCucihVvJfMjLAmec39IyEx_6qawtMGysU/edit?usp=sharing"",""สบก!AO24"")"),122100)</f>
        <v>122100</v>
      </c>
      <c r="M100" s="167"/>
      <c r="N100" s="167"/>
      <c r="O100" s="168"/>
      <c r="P100" s="168"/>
    </row>
    <row r="101" spans="1:16" ht="21.75" customHeight="1" x14ac:dyDescent="0.45">
      <c r="A101" s="170"/>
      <c r="B101" s="80"/>
      <c r="C101" s="81" t="s">
        <v>16</v>
      </c>
      <c r="D101" s="534" t="s">
        <v>23</v>
      </c>
      <c r="E101" s="530"/>
      <c r="F101" s="88"/>
      <c r="G101" s="82" t="s">
        <v>18</v>
      </c>
      <c r="H101" s="171" t="s">
        <v>12</v>
      </c>
      <c r="I101" s="187"/>
      <c r="J101" s="187"/>
      <c r="K101" s="223"/>
      <c r="L101" s="41">
        <v>0</v>
      </c>
      <c r="M101" s="41"/>
      <c r="N101" s="41"/>
      <c r="O101" s="41"/>
      <c r="P101" s="41"/>
    </row>
    <row r="102" spans="1:16" ht="21.75" customHeight="1" x14ac:dyDescent="0.45">
      <c r="A102" s="172"/>
      <c r="B102" s="91"/>
      <c r="C102" s="91"/>
      <c r="D102" s="173"/>
      <c r="E102" s="92"/>
      <c r="F102" s="92"/>
      <c r="G102" s="93" t="s">
        <v>19</v>
      </c>
      <c r="H102" s="174" t="s">
        <v>12</v>
      </c>
      <c r="I102" s="187"/>
      <c r="J102" s="187"/>
      <c r="K102" s="223"/>
      <c r="L102" s="49">
        <f ca="1">IFERROR(__xludf.DUMMYFUNCTION("IMPORTRANGE(""https://docs.google.com/spreadsheets/d/1Yj_ptqi66GCucihVvJfMjLAmec39IyEx_6qawtMGysU/edit?usp=sharing"",""สบก!AP24"")"),92400)</f>
        <v>92400</v>
      </c>
      <c r="M102" s="49">
        <f ca="1">L102</f>
        <v>92400</v>
      </c>
      <c r="N102" s="49">
        <f ca="1">IFERROR(__xludf.DUMMYFUNCTION("IMPORTRANGE(""https://docs.google.com/spreadsheets/d/1Yj_ptqi66GCucihVvJfMjLAmec39IyEx_6qawtMGysU/edit?usp=sharing"",""สบก!AT24"")"),92400)</f>
        <v>92400</v>
      </c>
      <c r="O102" s="49">
        <f ca="1">IF(L102&gt;0,N102*100/L102,0)</f>
        <v>100</v>
      </c>
      <c r="P102" s="49">
        <f ca="1">IF(M102&gt;0,N102*100/M102,0)</f>
        <v>100</v>
      </c>
    </row>
    <row r="103" spans="1:16" ht="21.75" customHeight="1" x14ac:dyDescent="0.3">
      <c r="A103" s="175"/>
      <c r="B103" s="176"/>
      <c r="C103" s="157" t="s">
        <v>16</v>
      </c>
      <c r="D103" s="177" t="s">
        <v>44</v>
      </c>
      <c r="E103" s="178"/>
      <c r="F103" s="178"/>
      <c r="G103" s="179"/>
      <c r="H103" s="180"/>
      <c r="I103" s="162"/>
      <c r="J103" s="187"/>
      <c r="K103" s="223"/>
      <c r="L103" s="168"/>
      <c r="M103" s="168"/>
      <c r="N103" s="168"/>
      <c r="O103" s="181"/>
      <c r="P103" s="181"/>
    </row>
    <row r="104" spans="1:16" ht="21.75" customHeight="1" x14ac:dyDescent="0.3">
      <c r="A104" s="175"/>
      <c r="B104" s="176"/>
      <c r="C104" s="176"/>
      <c r="D104" s="182">
        <v>1</v>
      </c>
      <c r="E104" s="183" t="s">
        <v>45</v>
      </c>
      <c r="F104" s="184"/>
      <c r="G104" s="185"/>
      <c r="H104" s="186"/>
      <c r="I104" s="187"/>
      <c r="J104" s="187">
        <f ca="1">IFERROR(__xludf.DUMMYFUNCTION("IMPORTRANGE(""https://docs.google.com/spreadsheets/d/11923uPwbBZFjjGgGUA6NLw09EwE0CqkOc4q9oUmW1yo/edit?usp=sharing"",""นครสวรรค์!J39"")"),0)</f>
        <v>0</v>
      </c>
      <c r="K104" s="223"/>
      <c r="L104" s="168"/>
      <c r="M104" s="168"/>
      <c r="N104" s="168"/>
      <c r="O104" s="181"/>
      <c r="P104" s="181"/>
    </row>
    <row r="105" spans="1:16" ht="21.75" customHeight="1" x14ac:dyDescent="0.3">
      <c r="A105" s="175"/>
      <c r="B105" s="176"/>
      <c r="C105" s="176"/>
      <c r="D105" s="189">
        <v>2</v>
      </c>
      <c r="E105" s="190" t="s">
        <v>46</v>
      </c>
      <c r="F105" s="191"/>
      <c r="G105" s="192"/>
      <c r="H105" s="186"/>
      <c r="I105" s="187"/>
      <c r="J105" s="187">
        <f ca="1">IFERROR(__xludf.DUMMYFUNCTION("IMPORTRANGE(""https://docs.google.com/spreadsheets/d/11923uPwbBZFjjGgGUA6NLw09EwE0CqkOc4q9oUmW1yo/edit?usp=sharing"",""นครสวรรค์!J40"")"),1)</f>
        <v>1</v>
      </c>
      <c r="K105" s="223"/>
      <c r="L105" s="168" t="s">
        <v>40</v>
      </c>
      <c r="M105" s="168"/>
      <c r="N105" s="168" t="s">
        <v>40</v>
      </c>
      <c r="O105" s="181"/>
      <c r="P105" s="181"/>
    </row>
    <row r="106" spans="1:16" ht="21.75" customHeight="1" x14ac:dyDescent="0.3">
      <c r="A106" s="175"/>
      <c r="B106" s="176"/>
      <c r="C106" s="176"/>
      <c r="D106" s="193"/>
      <c r="E106" s="194" t="s">
        <v>47</v>
      </c>
      <c r="F106" s="195"/>
      <c r="G106" s="196"/>
      <c r="H106" s="186"/>
      <c r="I106" s="187"/>
      <c r="J106" s="187">
        <f ca="1">IFERROR(__xludf.DUMMYFUNCTION("IMPORTRANGE(""https://docs.google.com/spreadsheets/d/11923uPwbBZFjjGgGUA6NLw09EwE0CqkOc4q9oUmW1yo/edit?usp=sharing"",""นครสวรรค์!J41"")"),1)</f>
        <v>1</v>
      </c>
      <c r="K106" s="223"/>
      <c r="L106" s="168"/>
      <c r="M106" s="168"/>
      <c r="N106" s="168"/>
      <c r="O106" s="181"/>
      <c r="P106" s="181"/>
    </row>
    <row r="107" spans="1:16" ht="21.75" customHeight="1" x14ac:dyDescent="0.3">
      <c r="A107" s="175"/>
      <c r="B107" s="176"/>
      <c r="C107" s="176"/>
      <c r="D107" s="193"/>
      <c r="E107" s="194" t="s">
        <v>48</v>
      </c>
      <c r="F107" s="195"/>
      <c r="G107" s="196"/>
      <c r="H107" s="186"/>
      <c r="I107" s="187"/>
      <c r="J107" s="187">
        <f ca="1">IFERROR(__xludf.DUMMYFUNCTION("IMPORTRANGE(""https://docs.google.com/spreadsheets/d/11923uPwbBZFjjGgGUA6NLw09EwE0CqkOc4q9oUmW1yo/edit?usp=sharing"",""นครสวรรค์!J42"")"),1)</f>
        <v>1</v>
      </c>
      <c r="K107" s="223"/>
      <c r="L107" s="168"/>
      <c r="M107" s="168"/>
      <c r="N107" s="168"/>
      <c r="O107" s="181"/>
      <c r="P107" s="181"/>
    </row>
    <row r="108" spans="1:16" ht="21.75" customHeight="1" x14ac:dyDescent="0.3">
      <c r="A108" s="175"/>
      <c r="B108" s="176"/>
      <c r="C108" s="176"/>
      <c r="D108" s="193"/>
      <c r="E108" s="195"/>
      <c r="F108" s="195" t="s">
        <v>60</v>
      </c>
      <c r="G108" s="195"/>
      <c r="H108" s="180" t="s">
        <v>61</v>
      </c>
      <c r="I108" s="202">
        <f ca="1">IFERROR(__xludf.DUMMYFUNCTION("IMPORTRANGE(""https://docs.google.com/spreadsheets/d/11923uPwbBZFjjGgGUA6NLw09EwE0CqkOc4q9oUmW1yo/edit?usp=sharing"",""นครสวรรค์!I43"")"),1)</f>
        <v>1</v>
      </c>
      <c r="J108" s="203">
        <f ca="1">IFERROR(__xludf.DUMMYFUNCTION("IMPORTRANGE(""https://docs.google.com/spreadsheets/d/11923uPwbBZFjjGgGUA6NLw09EwE0CqkOc4q9oUmW1yo/edit?usp=sharing"",""นครสวรรค์!J43"")"),0)</f>
        <v>0</v>
      </c>
      <c r="K108" s="223">
        <f t="shared" ref="K108:K113" ca="1" si="57">IF(I108&gt;0,J108*100/I108,0)</f>
        <v>0</v>
      </c>
      <c r="L108" s="168"/>
      <c r="M108" s="168"/>
      <c r="N108" s="168"/>
      <c r="O108" s="181"/>
      <c r="P108" s="181"/>
    </row>
    <row r="109" spans="1:16" ht="21.75" customHeight="1" x14ac:dyDescent="0.3">
      <c r="A109" s="175"/>
      <c r="B109" s="176"/>
      <c r="C109" s="176"/>
      <c r="D109" s="193"/>
      <c r="E109" s="198"/>
      <c r="F109" s="194" t="s">
        <v>62</v>
      </c>
      <c r="G109" s="195"/>
      <c r="H109" s="180" t="s">
        <v>37</v>
      </c>
      <c r="I109" s="202">
        <f ca="1">IFERROR(__xludf.DUMMYFUNCTION("IMPORTRANGE(""https://docs.google.com/spreadsheets/d/11923uPwbBZFjjGgGUA6NLw09EwE0CqkOc4q9oUmW1yo/edit?usp=sharing"",""นครสวรรค์!I44"")"),4)</f>
        <v>4</v>
      </c>
      <c r="J109" s="203">
        <f ca="1">IFERROR(__xludf.DUMMYFUNCTION("IMPORTRANGE(""https://docs.google.com/spreadsheets/d/11923uPwbBZFjjGgGUA6NLw09EwE0CqkOc4q9oUmW1yo/edit?usp=sharing"",""นครสวรรค์!J44"")"),0)</f>
        <v>0</v>
      </c>
      <c r="K109" s="223">
        <f t="shared" ca="1" si="57"/>
        <v>0</v>
      </c>
      <c r="L109" s="168"/>
      <c r="M109" s="168"/>
      <c r="N109" s="168"/>
      <c r="O109" s="181"/>
      <c r="P109" s="181"/>
    </row>
    <row r="110" spans="1:16" ht="21.75" customHeight="1" x14ac:dyDescent="0.3">
      <c r="A110" s="175"/>
      <c r="B110" s="176"/>
      <c r="C110" s="176"/>
      <c r="D110" s="193"/>
      <c r="E110" s="198"/>
      <c r="F110" s="195"/>
      <c r="G110" s="224" t="s">
        <v>63</v>
      </c>
      <c r="H110" s="180" t="s">
        <v>37</v>
      </c>
      <c r="I110" s="202">
        <f ca="1">IFERROR(__xludf.DUMMYFUNCTION("IMPORTRANGE(""https://docs.google.com/spreadsheets/d/11923uPwbBZFjjGgGUA6NLw09EwE0CqkOc4q9oUmW1yo/edit?usp=sharing"",""นครสวรรค์!I45"")"),4)</f>
        <v>4</v>
      </c>
      <c r="J110" s="203">
        <f ca="1">IFERROR(__xludf.DUMMYFUNCTION("IMPORTRANGE(""https://docs.google.com/spreadsheets/d/11923uPwbBZFjjGgGUA6NLw09EwE0CqkOc4q9oUmW1yo/edit?usp=sharing"",""นครสวรรค์!J45"")"),4)</f>
        <v>4</v>
      </c>
      <c r="K110" s="223">
        <f t="shared" ca="1" si="57"/>
        <v>100</v>
      </c>
      <c r="L110" s="168"/>
      <c r="M110" s="168"/>
      <c r="N110" s="168"/>
      <c r="O110" s="181"/>
      <c r="P110" s="181"/>
    </row>
    <row r="111" spans="1:16" ht="21.75" customHeight="1" x14ac:dyDescent="0.3">
      <c r="A111" s="175"/>
      <c r="B111" s="176"/>
      <c r="C111" s="176"/>
      <c r="D111" s="193"/>
      <c r="E111" s="198"/>
      <c r="F111" s="195"/>
      <c r="G111" s="224" t="s">
        <v>64</v>
      </c>
      <c r="H111" s="180" t="s">
        <v>37</v>
      </c>
      <c r="I111" s="202">
        <f ca="1">IFERROR(__xludf.DUMMYFUNCTION("IMPORTRANGE(""https://docs.google.com/spreadsheets/d/11923uPwbBZFjjGgGUA6NLw09EwE0CqkOc4q9oUmW1yo/edit?usp=sharing"",""นครสวรรค์!I46"")"),4)</f>
        <v>4</v>
      </c>
      <c r="J111" s="203">
        <f ca="1">IFERROR(__xludf.DUMMYFUNCTION("IMPORTRANGE(""https://docs.google.com/spreadsheets/d/11923uPwbBZFjjGgGUA6NLw09EwE0CqkOc4q9oUmW1yo/edit?usp=sharing"",""นครสวรรค์!J46"")"),0)</f>
        <v>0</v>
      </c>
      <c r="K111" s="223">
        <f t="shared" ca="1" si="57"/>
        <v>0</v>
      </c>
      <c r="L111" s="168"/>
      <c r="M111" s="168"/>
      <c r="N111" s="168"/>
      <c r="O111" s="181"/>
      <c r="P111" s="181"/>
    </row>
    <row r="112" spans="1:16" ht="21.75" customHeight="1" x14ac:dyDescent="0.3">
      <c r="A112" s="175"/>
      <c r="B112" s="176"/>
      <c r="C112" s="176"/>
      <c r="D112" s="193"/>
      <c r="E112" s="198"/>
      <c r="F112" s="195"/>
      <c r="G112" s="225" t="s">
        <v>65</v>
      </c>
      <c r="H112" s="180" t="s">
        <v>37</v>
      </c>
      <c r="I112" s="202">
        <f ca="1">IFERROR(__xludf.DUMMYFUNCTION("IMPORTRANGE(""https://docs.google.com/spreadsheets/d/11923uPwbBZFjjGgGUA6NLw09EwE0CqkOc4q9oUmW1yo/edit?usp=sharing"",""นครสวรรค์!I47"")"),4)</f>
        <v>4</v>
      </c>
      <c r="J112" s="203">
        <f ca="1">IFERROR(__xludf.DUMMYFUNCTION("IMPORTRANGE(""https://docs.google.com/spreadsheets/d/11923uPwbBZFjjGgGUA6NLw09EwE0CqkOc4q9oUmW1yo/edit?usp=sharing"",""นครสวรรค์!J47"")"),0)</f>
        <v>0</v>
      </c>
      <c r="K112" s="223">
        <f t="shared" ca="1" si="57"/>
        <v>0</v>
      </c>
      <c r="L112" s="168"/>
      <c r="M112" s="168"/>
      <c r="N112" s="168"/>
      <c r="O112" s="181"/>
      <c r="P112" s="181"/>
    </row>
    <row r="113" spans="1:16" ht="21.75" customHeight="1" x14ac:dyDescent="0.3">
      <c r="A113" s="175"/>
      <c r="B113" s="176"/>
      <c r="C113" s="176"/>
      <c r="D113" s="193"/>
      <c r="E113" s="198"/>
      <c r="F113" s="195" t="s">
        <v>66</v>
      </c>
      <c r="G113" s="195"/>
      <c r="H113" s="180" t="s">
        <v>59</v>
      </c>
      <c r="I113" s="202">
        <f ca="1">IFERROR(__xludf.DUMMYFUNCTION("IMPORTRANGE(""https://docs.google.com/spreadsheets/d/11923uPwbBZFjjGgGUA6NLw09EwE0CqkOc4q9oUmW1yo/edit?usp=sharing"",""นครสวรรค์!I48"")"),1)</f>
        <v>1</v>
      </c>
      <c r="J113" s="203">
        <f ca="1">IFERROR(__xludf.DUMMYFUNCTION("IMPORTRANGE(""https://docs.google.com/spreadsheets/d/11923uPwbBZFjjGgGUA6NLw09EwE0CqkOc4q9oUmW1yo/edit?usp=sharing"",""นครสวรรค์!J48"")"),0)</f>
        <v>0</v>
      </c>
      <c r="K113" s="223">
        <f t="shared" ca="1" si="57"/>
        <v>0</v>
      </c>
      <c r="L113" s="168"/>
      <c r="M113" s="168"/>
      <c r="N113" s="168"/>
      <c r="O113" s="181"/>
      <c r="P113" s="181"/>
    </row>
    <row r="114" spans="1:16" ht="21.75" customHeight="1" x14ac:dyDescent="0.3">
      <c r="A114" s="175"/>
      <c r="B114" s="176"/>
      <c r="C114" s="176"/>
      <c r="D114" s="193"/>
      <c r="E114" s="194" t="s">
        <v>54</v>
      </c>
      <c r="F114" s="195"/>
      <c r="G114" s="196"/>
      <c r="H114" s="186"/>
      <c r="I114" s="187"/>
      <c r="J114" s="187">
        <f ca="1">IFERROR(__xludf.DUMMYFUNCTION("IMPORTRANGE(""https://docs.google.com/spreadsheets/d/11923uPwbBZFjjGgGUA6NLw09EwE0CqkOc4q9oUmW1yo/edit?usp=sharing"",""นครสวรรค์!J49"")"),0)</f>
        <v>0</v>
      </c>
      <c r="K114" s="223"/>
      <c r="L114" s="168"/>
      <c r="M114" s="168"/>
      <c r="N114" s="168"/>
      <c r="O114" s="181"/>
      <c r="P114" s="181"/>
    </row>
    <row r="115" spans="1:16" ht="21.75" customHeight="1" x14ac:dyDescent="0.3">
      <c r="A115" s="175"/>
      <c r="B115" s="176"/>
      <c r="C115" s="176"/>
      <c r="D115" s="205">
        <v>3</v>
      </c>
      <c r="E115" s="206" t="s">
        <v>55</v>
      </c>
      <c r="F115" s="207"/>
      <c r="G115" s="208"/>
      <c r="H115" s="186"/>
      <c r="I115" s="187"/>
      <c r="J115" s="226">
        <f ca="1">IFERROR(__xludf.DUMMYFUNCTION("IMPORTRANGE(""https://docs.google.com/spreadsheets/d/11923uPwbBZFjjGgGUA6NLw09EwE0CqkOc4q9oUmW1yo/edit?usp=sharing"",""นครสวรรค์!J50"")"),0)</f>
        <v>0</v>
      </c>
      <c r="K115" s="223"/>
      <c r="L115" s="168"/>
      <c r="M115" s="168"/>
      <c r="N115" s="168"/>
      <c r="O115" s="181"/>
      <c r="P115" s="181"/>
    </row>
    <row r="116" spans="1:16" ht="21.75" customHeight="1" x14ac:dyDescent="0.3">
      <c r="A116" s="210" t="s">
        <v>67</v>
      </c>
      <c r="B116" s="227"/>
      <c r="C116" s="228"/>
      <c r="D116" s="227"/>
      <c r="E116" s="229"/>
      <c r="F116" s="229"/>
      <c r="G116" s="230"/>
      <c r="H116" s="215"/>
      <c r="I116" s="216"/>
      <c r="J116" s="216"/>
      <c r="K116" s="217"/>
      <c r="L116" s="218"/>
      <c r="M116" s="218"/>
      <c r="N116" s="218"/>
      <c r="O116" s="219"/>
      <c r="P116" s="219"/>
    </row>
    <row r="117" spans="1:16" ht="21.75" customHeight="1" x14ac:dyDescent="0.3">
      <c r="A117" s="137"/>
      <c r="B117" s="138" t="s">
        <v>68</v>
      </c>
      <c r="C117" s="231"/>
      <c r="D117" s="139"/>
      <c r="E117" s="138"/>
      <c r="F117" s="138"/>
      <c r="G117" s="220"/>
      <c r="H117" s="140" t="s">
        <v>37</v>
      </c>
      <c r="I117" s="141">
        <f ca="1">IFERROR(__xludf.DUMMYFUNCTION("IMPORTRANGE(""https://docs.google.com/spreadsheets/d/11923uPwbBZFjjGgGUA6NLw09EwE0CqkOc4q9oUmW1yo/edit?usp=sharing"",""นครสวรรค์!I52"")"),20)</f>
        <v>20</v>
      </c>
      <c r="J117" s="141">
        <f ca="1">IFERROR(__xludf.DUMMYFUNCTION("IMPORTRANGE(""https://docs.google.com/spreadsheets/d/11923uPwbBZFjjGgGUA6NLw09EwE0CqkOc4q9oUmW1yo/edit?usp=sharing"",""นครสวรรค์!J52"")"),20)</f>
        <v>20</v>
      </c>
      <c r="K117" s="142">
        <f ca="1">IF(I117&gt;0,J117*100/I117,0)</f>
        <v>100</v>
      </c>
      <c r="L117" s="143"/>
      <c r="M117" s="143"/>
      <c r="N117" s="144"/>
      <c r="O117" s="142"/>
      <c r="P117" s="142"/>
    </row>
    <row r="118" spans="1:16" ht="21.75" customHeight="1" x14ac:dyDescent="0.45">
      <c r="A118" s="145"/>
      <c r="B118" s="146"/>
      <c r="C118" s="147" t="s">
        <v>16</v>
      </c>
      <c r="D118" s="537" t="s">
        <v>17</v>
      </c>
      <c r="E118" s="528"/>
      <c r="F118" s="528"/>
      <c r="G118" s="528"/>
      <c r="H118" s="148" t="s">
        <v>12</v>
      </c>
      <c r="I118" s="162"/>
      <c r="J118" s="162"/>
      <c r="K118" s="163"/>
      <c r="L118" s="151">
        <f t="shared" ref="L118:N118" ca="1" si="58">L119+L120</f>
        <v>82440</v>
      </c>
      <c r="M118" s="151">
        <f t="shared" ca="1" si="58"/>
        <v>66440</v>
      </c>
      <c r="N118" s="151">
        <f t="shared" ca="1" si="58"/>
        <v>41870</v>
      </c>
      <c r="O118" s="150">
        <f t="shared" ref="O118:O120" ca="1" si="59">IF(L118&gt;0,N118*100/L118,0)</f>
        <v>50.788452207666182</v>
      </c>
      <c r="P118" s="150">
        <f t="shared" ref="P118:P120" ca="1" si="60">IF(M118&gt;0,N118*100/M118,0)</f>
        <v>63.01926550270921</v>
      </c>
    </row>
    <row r="119" spans="1:16" ht="21.75" customHeight="1" x14ac:dyDescent="0.45">
      <c r="A119" s="152"/>
      <c r="B119" s="32"/>
      <c r="C119" s="32"/>
      <c r="D119" s="32"/>
      <c r="E119" s="32"/>
      <c r="F119" s="32"/>
      <c r="G119" s="33" t="s">
        <v>18</v>
      </c>
      <c r="H119" s="153" t="s">
        <v>12</v>
      </c>
      <c r="I119" s="162"/>
      <c r="J119" s="162"/>
      <c r="K119" s="163"/>
      <c r="L119" s="87">
        <f t="shared" ref="L119:N119" si="61">L121+L125</f>
        <v>0</v>
      </c>
      <c r="M119" s="87">
        <f t="shared" si="61"/>
        <v>0</v>
      </c>
      <c r="N119" s="87">
        <f t="shared" si="61"/>
        <v>0</v>
      </c>
      <c r="O119" s="155">
        <f t="shared" si="59"/>
        <v>0</v>
      </c>
      <c r="P119" s="155">
        <f t="shared" si="60"/>
        <v>0</v>
      </c>
    </row>
    <row r="120" spans="1:16" ht="21.75" customHeight="1" x14ac:dyDescent="0.45">
      <c r="A120" s="152"/>
      <c r="B120" s="32"/>
      <c r="C120" s="32"/>
      <c r="D120" s="32"/>
      <c r="E120" s="32"/>
      <c r="F120" s="32"/>
      <c r="G120" s="33" t="s">
        <v>19</v>
      </c>
      <c r="H120" s="153" t="s">
        <v>12</v>
      </c>
      <c r="I120" s="162"/>
      <c r="J120" s="162"/>
      <c r="K120" s="163"/>
      <c r="L120" s="87">
        <f t="shared" ref="L120:N120" ca="1" si="62">L122+L126</f>
        <v>82440</v>
      </c>
      <c r="M120" s="87">
        <f t="shared" ca="1" si="62"/>
        <v>66440</v>
      </c>
      <c r="N120" s="87">
        <f t="shared" ca="1" si="62"/>
        <v>41870</v>
      </c>
      <c r="O120" s="155">
        <f t="shared" ca="1" si="59"/>
        <v>50.788452207666182</v>
      </c>
      <c r="P120" s="155">
        <f t="shared" ca="1" si="60"/>
        <v>63.01926550270921</v>
      </c>
    </row>
    <row r="121" spans="1:16" ht="21.75" customHeight="1" x14ac:dyDescent="0.3">
      <c r="A121" s="156"/>
      <c r="B121" s="157"/>
      <c r="C121" s="157" t="s">
        <v>16</v>
      </c>
      <c r="D121" s="158" t="s">
        <v>38</v>
      </c>
      <c r="E121" s="159"/>
      <c r="F121" s="159"/>
      <c r="G121" s="160" t="s">
        <v>39</v>
      </c>
      <c r="H121" s="161" t="s">
        <v>12</v>
      </c>
      <c r="I121" s="162" t="s">
        <v>40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3">
      <c r="A122" s="156"/>
      <c r="B122" s="157"/>
      <c r="C122" s="157"/>
      <c r="D122" s="166"/>
      <c r="E122" s="159"/>
      <c r="F122" s="159" t="s">
        <v>40</v>
      </c>
      <c r="G122" s="160" t="s">
        <v>41</v>
      </c>
      <c r="H122" s="161" t="s">
        <v>12</v>
      </c>
      <c r="I122" s="162"/>
      <c r="J122" s="162"/>
      <c r="K122" s="163"/>
      <c r="L122" s="167">
        <f ca="1">L123+L124</f>
        <v>82440</v>
      </c>
      <c r="M122" s="167">
        <f ca="1">IFERROR(__xludf.DUMMYFUNCTION("IMPORTRANGE(""https://docs.google.com/spreadsheets/d/1Yj_ptqi66GCucihVvJfMjLAmec39IyEx_6qawtMGysU/edit?usp=sharing"",""สบก!BA24"")"),66440)</f>
        <v>66440</v>
      </c>
      <c r="N122" s="168">
        <f ca="1">IFERROR(__xludf.DUMMYFUNCTION("IMPORTRANGE(""https://docs.google.com/spreadsheets/d/1Yj_ptqi66GCucihVvJfMjLAmec39IyEx_6qawtMGysU/edit?usp=sharing"",""สบก!BB24"")"),41870)</f>
        <v>41870</v>
      </c>
      <c r="O122" s="168">
        <f ca="1">IF(L122&gt;0,N122*100/L122,0)</f>
        <v>50.788452207666182</v>
      </c>
      <c r="P122" s="168">
        <f ca="1">IF(M122&gt;0,N122*100/M122,0)</f>
        <v>63.01926550270921</v>
      </c>
    </row>
    <row r="123" spans="1:16" ht="21.75" customHeight="1" x14ac:dyDescent="0.3">
      <c r="A123" s="156"/>
      <c r="B123" s="157"/>
      <c r="C123" s="157"/>
      <c r="D123" s="166"/>
      <c r="E123" s="159"/>
      <c r="F123" s="159"/>
      <c r="G123" s="169" t="s">
        <v>42</v>
      </c>
      <c r="H123" s="161" t="s">
        <v>12</v>
      </c>
      <c r="I123" s="162"/>
      <c r="J123" s="162"/>
      <c r="K123" s="163"/>
      <c r="L123" s="167">
        <f ca="1">IFERROR(__xludf.DUMMYFUNCTION("IMPORTRANGE(""https://docs.google.com/spreadsheets/d/1Yj_ptqi66GCucihVvJfMjLAmec39IyEx_6qawtMGysU/edit?usp=sharing"",""สบก!AW24"")"),0)</f>
        <v>0</v>
      </c>
      <c r="M123" s="167"/>
      <c r="N123" s="167"/>
      <c r="O123" s="168"/>
      <c r="P123" s="168"/>
    </row>
    <row r="124" spans="1:16" ht="21.75" customHeight="1" x14ac:dyDescent="0.3">
      <c r="A124" s="156"/>
      <c r="B124" s="157"/>
      <c r="C124" s="157"/>
      <c r="D124" s="166"/>
      <c r="E124" s="159"/>
      <c r="F124" s="159"/>
      <c r="G124" s="169" t="s">
        <v>43</v>
      </c>
      <c r="H124" s="161" t="s">
        <v>12</v>
      </c>
      <c r="I124" s="162"/>
      <c r="J124" s="187"/>
      <c r="K124" s="223"/>
      <c r="L124" s="167">
        <f ca="1">IFERROR(__xludf.DUMMYFUNCTION("IMPORTRANGE(""https://docs.google.com/spreadsheets/d/1Yj_ptqi66GCucihVvJfMjLAmec39IyEx_6qawtMGysU/edit?usp=sharing"",""สบก!AX24"")"),82440)</f>
        <v>82440</v>
      </c>
      <c r="M124" s="167"/>
      <c r="N124" s="167"/>
      <c r="O124" s="168"/>
      <c r="P124" s="168"/>
    </row>
    <row r="125" spans="1:16" ht="21.75" customHeight="1" x14ac:dyDescent="0.45">
      <c r="A125" s="170"/>
      <c r="B125" s="80"/>
      <c r="C125" s="81" t="s">
        <v>16</v>
      </c>
      <c r="D125" s="534" t="s">
        <v>23</v>
      </c>
      <c r="E125" s="530"/>
      <c r="F125" s="88"/>
      <c r="G125" s="82" t="s">
        <v>18</v>
      </c>
      <c r="H125" s="171" t="s">
        <v>12</v>
      </c>
      <c r="I125" s="187"/>
      <c r="J125" s="187"/>
      <c r="K125" s="223"/>
      <c r="L125" s="41">
        <v>0</v>
      </c>
      <c r="M125" s="41"/>
      <c r="N125" s="41"/>
      <c r="O125" s="41"/>
      <c r="P125" s="41"/>
    </row>
    <row r="126" spans="1:16" ht="21.75" customHeight="1" x14ac:dyDescent="0.45">
      <c r="A126" s="172"/>
      <c r="B126" s="91"/>
      <c r="C126" s="91"/>
      <c r="D126" s="173"/>
      <c r="E126" s="92"/>
      <c r="F126" s="92"/>
      <c r="G126" s="93" t="s">
        <v>19</v>
      </c>
      <c r="H126" s="174" t="s">
        <v>12</v>
      </c>
      <c r="I126" s="187"/>
      <c r="J126" s="187"/>
      <c r="K126" s="223"/>
      <c r="L126" s="49">
        <f ca="1">IFERROR(__xludf.DUMMYFUNCTION("IMPORTRANGE(""https://docs.google.com/spreadsheets/d/1Yj_ptqi66GCucihVvJfMjLAmec39IyEx_6qawtMGysU/edit?usp=sharing"",""สบก!AY24"")"),0)</f>
        <v>0</v>
      </c>
      <c r="M126" s="49"/>
      <c r="N126" s="49">
        <f ca="1">IFERROR(__xludf.DUMMYFUNCTION("IMPORTRANGE(""https://docs.google.com/spreadsheets/d/1Yj_ptqi66GCucihVvJfMjLAmec39IyEx_6qawtMGysU/edit?usp=sharing"",""สบก!BC24"")"),0)</f>
        <v>0</v>
      </c>
      <c r="O126" s="49">
        <f ca="1">IF(L126&gt;0,N126*100/L126,0)</f>
        <v>0</v>
      </c>
      <c r="P126" s="49"/>
    </row>
    <row r="127" spans="1:16" ht="21.75" customHeight="1" x14ac:dyDescent="0.3">
      <c r="A127" s="175"/>
      <c r="B127" s="176"/>
      <c r="C127" s="157" t="s">
        <v>16</v>
      </c>
      <c r="D127" s="232" t="s">
        <v>247</v>
      </c>
      <c r="E127" s="178"/>
      <c r="F127" s="178"/>
      <c r="G127" s="179"/>
      <c r="H127" s="180"/>
      <c r="I127" s="162"/>
      <c r="J127" s="187"/>
      <c r="K127" s="223"/>
      <c r="L127" s="168"/>
      <c r="M127" s="168"/>
      <c r="N127" s="168"/>
      <c r="O127" s="181"/>
      <c r="P127" s="181"/>
    </row>
    <row r="128" spans="1:16" ht="21.75" customHeight="1" x14ac:dyDescent="0.3">
      <c r="A128" s="175"/>
      <c r="B128" s="176"/>
      <c r="C128" s="176"/>
      <c r="D128" s="182">
        <v>1</v>
      </c>
      <c r="E128" s="183" t="s">
        <v>45</v>
      </c>
      <c r="F128" s="184"/>
      <c r="G128" s="185"/>
      <c r="H128" s="186"/>
      <c r="I128" s="187"/>
      <c r="J128" s="203">
        <f ca="1">IFERROR(__xludf.DUMMYFUNCTION("IMPORTRANGE(""https://docs.google.com/spreadsheets/d/11923uPwbBZFjjGgGUA6NLw09EwE0CqkOc4q9oUmW1yo/edit?usp=sharing"",""นครสวรรค์!J58"")"),0)</f>
        <v>0</v>
      </c>
      <c r="K128" s="223"/>
      <c r="L128" s="168"/>
      <c r="M128" s="168"/>
      <c r="N128" s="168"/>
      <c r="O128" s="181"/>
      <c r="P128" s="181"/>
    </row>
    <row r="129" spans="1:16" ht="21.75" customHeight="1" x14ac:dyDescent="0.3">
      <c r="A129" s="175"/>
      <c r="B129" s="176"/>
      <c r="C129" s="176"/>
      <c r="D129" s="189">
        <v>2</v>
      </c>
      <c r="E129" s="190" t="s">
        <v>46</v>
      </c>
      <c r="F129" s="191"/>
      <c r="G129" s="192"/>
      <c r="H129" s="186"/>
      <c r="I129" s="187"/>
      <c r="J129" s="187">
        <f ca="1">IFERROR(__xludf.DUMMYFUNCTION("IMPORTRANGE(""https://docs.google.com/spreadsheets/d/11923uPwbBZFjjGgGUA6NLw09EwE0CqkOc4q9oUmW1yo/edit?usp=sharing"",""นครสวรรค์!J59"")"),1)</f>
        <v>1</v>
      </c>
      <c r="K129" s="223"/>
      <c r="L129" s="168" t="s">
        <v>40</v>
      </c>
      <c r="M129" s="168"/>
      <c r="N129" s="168" t="s">
        <v>40</v>
      </c>
      <c r="O129" s="181"/>
      <c r="P129" s="181"/>
    </row>
    <row r="130" spans="1:16" ht="21.75" customHeight="1" x14ac:dyDescent="0.3">
      <c r="A130" s="175"/>
      <c r="B130" s="176"/>
      <c r="C130" s="176"/>
      <c r="D130" s="193"/>
      <c r="E130" s="194" t="s">
        <v>47</v>
      </c>
      <c r="F130" s="195"/>
      <c r="G130" s="196"/>
      <c r="H130" s="186"/>
      <c r="I130" s="187"/>
      <c r="J130" s="187">
        <f ca="1">IFERROR(__xludf.DUMMYFUNCTION("IMPORTRANGE(""https://docs.google.com/spreadsheets/d/11923uPwbBZFjjGgGUA6NLw09EwE0CqkOc4q9oUmW1yo/edit?usp=sharing"",""นครสวรรค์!J60"")"),1)</f>
        <v>1</v>
      </c>
      <c r="K130" s="223"/>
      <c r="L130" s="168"/>
      <c r="M130" s="168"/>
      <c r="N130" s="168"/>
      <c r="O130" s="181"/>
      <c r="P130" s="181"/>
    </row>
    <row r="131" spans="1:16" ht="21.75" customHeight="1" x14ac:dyDescent="0.3">
      <c r="A131" s="175"/>
      <c r="B131" s="176"/>
      <c r="C131" s="176"/>
      <c r="D131" s="193"/>
      <c r="E131" s="194" t="s">
        <v>48</v>
      </c>
      <c r="F131" s="195"/>
      <c r="G131" s="196"/>
      <c r="H131" s="186"/>
      <c r="I131" s="187"/>
      <c r="J131" s="187">
        <f ca="1">IFERROR(__xludf.DUMMYFUNCTION("IMPORTRANGE(""https://docs.google.com/spreadsheets/d/11923uPwbBZFjjGgGUA6NLw09EwE0CqkOc4q9oUmW1yo/edit?usp=sharing"",""นครสวรรค์!J61"")"),1)</f>
        <v>1</v>
      </c>
      <c r="K131" s="223"/>
      <c r="L131" s="168"/>
      <c r="M131" s="168"/>
      <c r="N131" s="168"/>
      <c r="O131" s="181"/>
      <c r="P131" s="181"/>
    </row>
    <row r="132" spans="1:16" ht="21.75" customHeight="1" x14ac:dyDescent="0.3">
      <c r="A132" s="175"/>
      <c r="B132" s="176"/>
      <c r="C132" s="176"/>
      <c r="D132" s="193"/>
      <c r="E132" s="198"/>
      <c r="F132" s="194" t="s">
        <v>70</v>
      </c>
      <c r="G132" s="196"/>
      <c r="H132" s="180" t="s">
        <v>37</v>
      </c>
      <c r="I132" s="187">
        <f ca="1">IFERROR(__xludf.DUMMYFUNCTION("IMPORTRANGE(""https://docs.google.com/spreadsheets/d/11923uPwbBZFjjGgGUA6NLw09EwE0CqkOc4q9oUmW1yo/edit?usp=sharing"",""นครสวรรค์!I62"")"),20)</f>
        <v>20</v>
      </c>
      <c r="J132" s="203">
        <f ca="1">IFERROR(__xludf.DUMMYFUNCTION("IMPORTRANGE(""https://docs.google.com/spreadsheets/d/11923uPwbBZFjjGgGUA6NLw09EwE0CqkOc4q9oUmW1yo/edit?usp=sharing"",""นครสวรรค์!J62"")"),20)</f>
        <v>20</v>
      </c>
      <c r="K132" s="223">
        <f t="shared" ref="K132:K133" ca="1" si="63">IF(I132&gt;0,J132*100/I132,0)</f>
        <v>100</v>
      </c>
      <c r="L132" s="168"/>
      <c r="M132" s="168"/>
      <c r="N132" s="168"/>
      <c r="O132" s="181"/>
      <c r="P132" s="181"/>
    </row>
    <row r="133" spans="1:16" ht="21.75" customHeight="1" x14ac:dyDescent="0.3">
      <c r="A133" s="175"/>
      <c r="B133" s="176"/>
      <c r="C133" s="176"/>
      <c r="D133" s="193"/>
      <c r="E133" s="198"/>
      <c r="F133" s="194" t="s">
        <v>71</v>
      </c>
      <c r="G133" s="196"/>
      <c r="H133" s="180" t="s">
        <v>37</v>
      </c>
      <c r="I133" s="187">
        <f ca="1">IFERROR(__xludf.DUMMYFUNCTION("IMPORTRANGE(""https://docs.google.com/spreadsheets/d/11923uPwbBZFjjGgGUA6NLw09EwE0CqkOc4q9oUmW1yo/edit?usp=sharing"",""นครสวรรค์!I63"")"),20)</f>
        <v>20</v>
      </c>
      <c r="J133" s="203">
        <f ca="1">IFERROR(__xludf.DUMMYFUNCTION("IMPORTRANGE(""https://docs.google.com/spreadsheets/d/11923uPwbBZFjjGgGUA6NLw09EwE0CqkOc4q9oUmW1yo/edit?usp=sharing"",""นครสวรรค์!J63"")"),0)</f>
        <v>0</v>
      </c>
      <c r="K133" s="223">
        <f t="shared" ca="1" si="63"/>
        <v>0</v>
      </c>
      <c r="L133" s="168"/>
      <c r="M133" s="168"/>
      <c r="N133" s="168"/>
      <c r="O133" s="181"/>
      <c r="P133" s="181"/>
    </row>
    <row r="134" spans="1:16" ht="21.75" customHeight="1" x14ac:dyDescent="0.3">
      <c r="A134" s="175"/>
      <c r="B134" s="176"/>
      <c r="C134" s="176"/>
      <c r="D134" s="193"/>
      <c r="E134" s="194" t="s">
        <v>54</v>
      </c>
      <c r="F134" s="195"/>
      <c r="G134" s="196"/>
      <c r="H134" s="186"/>
      <c r="I134" s="187"/>
      <c r="J134" s="187">
        <f ca="1">IFERROR(__xludf.DUMMYFUNCTION("IMPORTRANGE(""https://docs.google.com/spreadsheets/d/11923uPwbBZFjjGgGUA6NLw09EwE0CqkOc4q9oUmW1yo/edit?usp=sharing"",""นครสวรรค์!J64"")"),0)</f>
        <v>0</v>
      </c>
      <c r="K134" s="223"/>
      <c r="L134" s="168"/>
      <c r="M134" s="168"/>
      <c r="N134" s="168"/>
      <c r="O134" s="181"/>
      <c r="P134" s="181"/>
    </row>
    <row r="135" spans="1:16" ht="21.75" customHeight="1" x14ac:dyDescent="0.3">
      <c r="A135" s="233"/>
      <c r="B135" s="234"/>
      <c r="C135" s="234"/>
      <c r="D135" s="235">
        <v>3</v>
      </c>
      <c r="E135" s="236" t="s">
        <v>55</v>
      </c>
      <c r="F135" s="237"/>
      <c r="G135" s="238"/>
      <c r="H135" s="239"/>
      <c r="I135" s="240"/>
      <c r="J135" s="241">
        <f ca="1">IFERROR(__xludf.DUMMYFUNCTION("IMPORTRANGE(""https://docs.google.com/spreadsheets/d/11923uPwbBZFjjGgGUA6NLw09EwE0CqkOc4q9oUmW1yo/edit?usp=sharing"",""นครสวรรค์!J65"")"),0)</f>
        <v>0</v>
      </c>
      <c r="K135" s="242"/>
      <c r="L135" s="243"/>
      <c r="M135" s="243"/>
      <c r="N135" s="243"/>
      <c r="O135" s="244"/>
      <c r="P135" s="244"/>
    </row>
    <row r="136" spans="1:16" ht="21.75" customHeight="1" x14ac:dyDescent="0.3">
      <c r="A136" s="245" t="s">
        <v>72</v>
      </c>
      <c r="B136" s="246"/>
      <c r="C136" s="246"/>
      <c r="D136" s="246"/>
      <c r="E136" s="247"/>
      <c r="F136" s="247"/>
      <c r="G136" s="248"/>
      <c r="H136" s="249"/>
      <c r="I136" s="250"/>
      <c r="J136" s="250"/>
      <c r="K136" s="251"/>
      <c r="L136" s="252"/>
      <c r="M136" s="252"/>
      <c r="N136" s="252"/>
      <c r="O136" s="252"/>
      <c r="P136" s="252"/>
    </row>
    <row r="137" spans="1:16" ht="21.75" customHeight="1" x14ac:dyDescent="0.3">
      <c r="A137" s="253" t="s">
        <v>73</v>
      </c>
      <c r="B137" s="254"/>
      <c r="C137" s="254"/>
      <c r="D137" s="255"/>
      <c r="E137" s="255"/>
      <c r="F137" s="255"/>
      <c r="G137" s="256"/>
      <c r="H137" s="257"/>
      <c r="I137" s="258"/>
      <c r="J137" s="258"/>
      <c r="K137" s="259"/>
      <c r="L137" s="259"/>
      <c r="M137" s="259"/>
      <c r="N137" s="259"/>
      <c r="O137" s="260"/>
      <c r="P137" s="260"/>
    </row>
    <row r="138" spans="1:16" ht="21.75" customHeight="1" x14ac:dyDescent="0.3">
      <c r="A138" s="261"/>
      <c r="B138" s="262" t="s">
        <v>74</v>
      </c>
      <c r="C138" s="263"/>
      <c r="D138" s="262"/>
      <c r="E138" s="262"/>
      <c r="F138" s="262"/>
      <c r="G138" s="264"/>
      <c r="H138" s="265" t="s">
        <v>37</v>
      </c>
      <c r="I138" s="266">
        <f ca="1">IFERROR(__xludf.DUMMYFUNCTION("IMPORTRANGE(""https://docs.google.com/spreadsheets/d/11923uPwbBZFjjGgGUA6NLw09EwE0CqkOc4q9oUmW1yo/edit?usp=sharing"",""นครสวรรค์!I68"")"),0)</f>
        <v>0</v>
      </c>
      <c r="J138" s="266">
        <f ca="1">IFERROR(__xludf.DUMMYFUNCTION("IMPORTRANGE(""https://docs.google.com/spreadsheets/d/11923uPwbBZFjjGgGUA6NLw09EwE0CqkOc4q9oUmW1yo/edit?usp=sharing"",""นครสวรรค์!J68"")"),0)</f>
        <v>0</v>
      </c>
      <c r="K138" s="267">
        <f ca="1">IF(I138&gt;0,J138*100/I138,0)</f>
        <v>0</v>
      </c>
      <c r="L138" s="268"/>
      <c r="M138" s="268"/>
      <c r="N138" s="268"/>
      <c r="O138" s="267"/>
      <c r="P138" s="267"/>
    </row>
    <row r="139" spans="1:16" ht="21.75" customHeight="1" x14ac:dyDescent="0.3">
      <c r="A139" s="261"/>
      <c r="B139" s="262" t="s">
        <v>75</v>
      </c>
      <c r="C139" s="263"/>
      <c r="D139" s="262"/>
      <c r="E139" s="262"/>
      <c r="F139" s="262"/>
      <c r="G139" s="264"/>
      <c r="H139" s="265"/>
      <c r="I139" s="266"/>
      <c r="J139" s="266"/>
      <c r="K139" s="267"/>
      <c r="L139" s="268"/>
      <c r="M139" s="268"/>
      <c r="N139" s="268"/>
      <c r="O139" s="267"/>
      <c r="P139" s="267"/>
    </row>
    <row r="140" spans="1:16" ht="21.75" customHeight="1" x14ac:dyDescent="0.45">
      <c r="A140" s="145"/>
      <c r="B140" s="146"/>
      <c r="C140" s="147" t="s">
        <v>16</v>
      </c>
      <c r="D140" s="537" t="s">
        <v>17</v>
      </c>
      <c r="E140" s="528"/>
      <c r="F140" s="528"/>
      <c r="G140" s="528"/>
      <c r="H140" s="148" t="s">
        <v>12</v>
      </c>
      <c r="I140" s="162"/>
      <c r="J140" s="162"/>
      <c r="K140" s="163"/>
      <c r="L140" s="151">
        <f t="shared" ref="L140:N140" ca="1" si="64">L141+L142</f>
        <v>163500</v>
      </c>
      <c r="M140" s="151">
        <f t="shared" ca="1" si="64"/>
        <v>81750</v>
      </c>
      <c r="N140" s="151">
        <f t="shared" ca="1" si="64"/>
        <v>34290</v>
      </c>
      <c r="O140" s="150">
        <f t="shared" ref="O140:O142" ca="1" si="65">IF(L140&gt;0,N140*100/L140,0)</f>
        <v>20.972477064220183</v>
      </c>
      <c r="P140" s="150">
        <f t="shared" ref="P140:P142" ca="1" si="66">IF(M140&gt;0,N140*100/M140,0)</f>
        <v>41.944954128440365</v>
      </c>
    </row>
    <row r="141" spans="1:16" ht="21.75" customHeight="1" x14ac:dyDescent="0.45">
      <c r="A141" s="152"/>
      <c r="B141" s="32"/>
      <c r="C141" s="32"/>
      <c r="D141" s="32"/>
      <c r="E141" s="32"/>
      <c r="F141" s="32"/>
      <c r="G141" s="33" t="s">
        <v>18</v>
      </c>
      <c r="H141" s="153" t="s">
        <v>12</v>
      </c>
      <c r="I141" s="162"/>
      <c r="J141" s="162"/>
      <c r="K141" s="163"/>
      <c r="L141" s="87">
        <f t="shared" ref="L141:N141" si="67">L143+L147</f>
        <v>0</v>
      </c>
      <c r="M141" s="87">
        <f t="shared" si="67"/>
        <v>0</v>
      </c>
      <c r="N141" s="87">
        <f t="shared" si="67"/>
        <v>0</v>
      </c>
      <c r="O141" s="155">
        <f t="shared" si="65"/>
        <v>0</v>
      </c>
      <c r="P141" s="155">
        <f t="shared" si="66"/>
        <v>0</v>
      </c>
    </row>
    <row r="142" spans="1:16" ht="21.75" customHeight="1" x14ac:dyDescent="0.45">
      <c r="A142" s="152"/>
      <c r="B142" s="32"/>
      <c r="C142" s="32"/>
      <c r="D142" s="32"/>
      <c r="E142" s="32"/>
      <c r="F142" s="32"/>
      <c r="G142" s="33" t="s">
        <v>19</v>
      </c>
      <c r="H142" s="153" t="s">
        <v>12</v>
      </c>
      <c r="I142" s="162"/>
      <c r="J142" s="162"/>
      <c r="K142" s="163"/>
      <c r="L142" s="87">
        <f t="shared" ref="L142:N142" ca="1" si="68">L144+L148</f>
        <v>163500</v>
      </c>
      <c r="M142" s="87">
        <f t="shared" ca="1" si="68"/>
        <v>81750</v>
      </c>
      <c r="N142" s="87">
        <f t="shared" ca="1" si="68"/>
        <v>34290</v>
      </c>
      <c r="O142" s="155">
        <f t="shared" ca="1" si="65"/>
        <v>20.972477064220183</v>
      </c>
      <c r="P142" s="155">
        <f t="shared" ca="1" si="66"/>
        <v>41.944954128440365</v>
      </c>
    </row>
    <row r="143" spans="1:16" ht="21.75" customHeight="1" x14ac:dyDescent="0.3">
      <c r="A143" s="156"/>
      <c r="B143" s="157"/>
      <c r="C143" s="157" t="s">
        <v>16</v>
      </c>
      <c r="D143" s="158" t="s">
        <v>38</v>
      </c>
      <c r="E143" s="159"/>
      <c r="F143" s="159"/>
      <c r="G143" s="160" t="s">
        <v>39</v>
      </c>
      <c r="H143" s="161" t="s">
        <v>12</v>
      </c>
      <c r="I143" s="162" t="s">
        <v>40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3">
      <c r="A144" s="156"/>
      <c r="B144" s="157"/>
      <c r="C144" s="157"/>
      <c r="D144" s="166"/>
      <c r="E144" s="159"/>
      <c r="F144" s="159" t="s">
        <v>40</v>
      </c>
      <c r="G144" s="160" t="s">
        <v>41</v>
      </c>
      <c r="H144" s="161" t="s">
        <v>12</v>
      </c>
      <c r="I144" s="162"/>
      <c r="J144" s="162"/>
      <c r="K144" s="163"/>
      <c r="L144" s="167">
        <f ca="1">L145+L146</f>
        <v>163500</v>
      </c>
      <c r="M144" s="167">
        <f ca="1">IFERROR(__xludf.DUMMYFUNCTION("IMPORTRANGE(""https://docs.google.com/spreadsheets/d/1Yj_ptqi66GCucihVvJfMjLAmec39IyEx_6qawtMGysU/edit?usp=sharing"",""สบก!BJ24"")"),81750)</f>
        <v>81750</v>
      </c>
      <c r="N144" s="168">
        <f ca="1">IFERROR(__xludf.DUMMYFUNCTION("IMPORTRANGE(""https://docs.google.com/spreadsheets/d/1Yj_ptqi66GCucihVvJfMjLAmec39IyEx_6qawtMGysU/edit?usp=sharing"",""สบก!BK24"")"),34290)</f>
        <v>34290</v>
      </c>
      <c r="O144" s="168">
        <f ca="1">IF(L144&gt;0,N144*100/L144,0)</f>
        <v>20.972477064220183</v>
      </c>
      <c r="P144" s="168">
        <f ca="1">IF(M144&gt;0,N144*100/M144,0)</f>
        <v>41.944954128440365</v>
      </c>
    </row>
    <row r="145" spans="1:16" ht="21.75" customHeight="1" x14ac:dyDescent="0.3">
      <c r="A145" s="156"/>
      <c r="B145" s="157"/>
      <c r="C145" s="157"/>
      <c r="D145" s="166"/>
      <c r="E145" s="159"/>
      <c r="F145" s="159"/>
      <c r="G145" s="169" t="s">
        <v>42</v>
      </c>
      <c r="H145" s="161" t="s">
        <v>12</v>
      </c>
      <c r="I145" s="162"/>
      <c r="J145" s="162"/>
      <c r="K145" s="163"/>
      <c r="L145" s="167">
        <f ca="1">IFERROR(__xludf.DUMMYFUNCTION("IMPORTRANGE(""https://docs.google.com/spreadsheets/d/1Yj_ptqi66GCucihVvJfMjLAmec39IyEx_6qawtMGysU/edit?usp=sharing"",""สบก!BF24"")"),0)</f>
        <v>0</v>
      </c>
      <c r="M145" s="167"/>
      <c r="N145" s="167"/>
      <c r="O145" s="168"/>
      <c r="P145" s="168"/>
    </row>
    <row r="146" spans="1:16" ht="21.75" customHeight="1" x14ac:dyDescent="0.3">
      <c r="A146" s="156"/>
      <c r="B146" s="157"/>
      <c r="C146" s="157"/>
      <c r="D146" s="166"/>
      <c r="E146" s="159"/>
      <c r="F146" s="159"/>
      <c r="G146" s="169" t="s">
        <v>43</v>
      </c>
      <c r="H146" s="161" t="s">
        <v>12</v>
      </c>
      <c r="I146" s="162"/>
      <c r="J146" s="162"/>
      <c r="K146" s="163"/>
      <c r="L146" s="167">
        <f ca="1">IFERROR(__xludf.DUMMYFUNCTION("IMPORTRANGE(""https://docs.google.com/spreadsheets/d/1Yj_ptqi66GCucihVvJfMjLAmec39IyEx_6qawtMGysU/edit?usp=sharing"",""สบก!BG24"")"),163500)</f>
        <v>163500</v>
      </c>
      <c r="M146" s="167"/>
      <c r="N146" s="167"/>
      <c r="O146" s="168"/>
      <c r="P146" s="168"/>
    </row>
    <row r="147" spans="1:16" ht="21.75" customHeight="1" x14ac:dyDescent="0.45">
      <c r="A147" s="170"/>
      <c r="B147" s="80"/>
      <c r="C147" s="81" t="s">
        <v>16</v>
      </c>
      <c r="D147" s="534" t="s">
        <v>23</v>
      </c>
      <c r="E147" s="530"/>
      <c r="F147" s="88"/>
      <c r="G147" s="82" t="s">
        <v>18</v>
      </c>
      <c r="H147" s="171" t="s">
        <v>12</v>
      </c>
      <c r="I147" s="187"/>
      <c r="J147" s="187"/>
      <c r="K147" s="223"/>
      <c r="L147" s="41">
        <v>0</v>
      </c>
      <c r="M147" s="41"/>
      <c r="N147" s="41"/>
      <c r="O147" s="41"/>
      <c r="P147" s="41"/>
    </row>
    <row r="148" spans="1:16" ht="21.75" customHeight="1" x14ac:dyDescent="0.45">
      <c r="A148" s="172"/>
      <c r="B148" s="91"/>
      <c r="C148" s="91"/>
      <c r="D148" s="173"/>
      <c r="E148" s="92"/>
      <c r="F148" s="92"/>
      <c r="G148" s="93" t="s">
        <v>19</v>
      </c>
      <c r="H148" s="174" t="s">
        <v>12</v>
      </c>
      <c r="I148" s="187"/>
      <c r="J148" s="187"/>
      <c r="K148" s="223"/>
      <c r="L148" s="49">
        <f ca="1">IFERROR(__xludf.DUMMYFUNCTION("IMPORTRANGE(""https://docs.google.com/spreadsheets/d/1Yj_ptqi66GCucihVvJfMjLAmec39IyEx_6qawtMGysU/edit?usp=sharing"",""สบก!BH24"")"),0)</f>
        <v>0</v>
      </c>
      <c r="M148" s="49"/>
      <c r="N148" s="49">
        <f ca="1">IFERROR(__xludf.DUMMYFUNCTION("IMPORTRANGE(""https://docs.google.com/spreadsheets/d/1Yj_ptqi66GCucihVvJfMjLAmec39IyEx_6qawtMGysU/edit?usp=sharing"",""สบก!BL24"")"),0)</f>
        <v>0</v>
      </c>
      <c r="O148" s="49">
        <f ca="1">IF(L148&gt;0,N148*100/L148,0)</f>
        <v>0</v>
      </c>
      <c r="P148" s="49"/>
    </row>
    <row r="149" spans="1:16" ht="21.75" customHeight="1" x14ac:dyDescent="0.3">
      <c r="A149" s="269"/>
      <c r="B149" s="270"/>
      <c r="C149" s="271" t="s">
        <v>76</v>
      </c>
      <c r="D149" s="271"/>
      <c r="E149" s="271"/>
      <c r="F149" s="271"/>
      <c r="G149" s="272"/>
      <c r="H149" s="273" t="s">
        <v>77</v>
      </c>
      <c r="I149" s="274">
        <f ca="1">IFERROR(__xludf.DUMMYFUNCTION("IMPORTRANGE(""https://docs.google.com/spreadsheets/d/11923uPwbBZFjjGgGUA6NLw09EwE0CqkOc4q9oUmW1yo/edit?usp=sharing"",""นครสวรรค์!I74"")"),4)</f>
        <v>4</v>
      </c>
      <c r="J149" s="274">
        <f ca="1">IFERROR(__xludf.DUMMYFUNCTION("IMPORTRANGE(""https://docs.google.com/spreadsheets/d/11923uPwbBZFjjGgGUA6NLw09EwE0CqkOc4q9oUmW1yo/edit?usp=sharing"",""นครสวรรค์!J74"")"),2)</f>
        <v>2</v>
      </c>
      <c r="K149" s="275">
        <f ca="1">IF(I149&gt;0,J149*100/I149,0)</f>
        <v>50</v>
      </c>
      <c r="L149" s="276"/>
      <c r="M149" s="276"/>
      <c r="N149" s="276"/>
      <c r="O149" s="276"/>
      <c r="P149" s="276"/>
    </row>
    <row r="150" spans="1:16" ht="21.75" customHeight="1" x14ac:dyDescent="0.3">
      <c r="A150" s="156"/>
      <c r="B150" s="157"/>
      <c r="C150" s="157" t="s">
        <v>16</v>
      </c>
      <c r="D150" s="158" t="s">
        <v>38</v>
      </c>
      <c r="E150" s="159"/>
      <c r="F150" s="159"/>
      <c r="G150" s="160" t="s">
        <v>39</v>
      </c>
      <c r="H150" s="161" t="s">
        <v>12</v>
      </c>
      <c r="I150" s="162" t="s">
        <v>40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3">
      <c r="A151" s="156"/>
      <c r="B151" s="157"/>
      <c r="C151" s="157"/>
      <c r="D151" s="166"/>
      <c r="E151" s="159"/>
      <c r="F151" s="159" t="s">
        <v>40</v>
      </c>
      <c r="G151" s="160" t="s">
        <v>41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3">
      <c r="A152" s="156"/>
      <c r="B152" s="157"/>
      <c r="C152" s="157"/>
      <c r="D152" s="166"/>
      <c r="E152" s="159"/>
      <c r="F152" s="159"/>
      <c r="G152" s="169" t="s">
        <v>43</v>
      </c>
      <c r="H152" s="161" t="s">
        <v>12</v>
      </c>
      <c r="I152" s="162"/>
      <c r="J152" s="162"/>
      <c r="K152" s="163"/>
      <c r="L152" s="168"/>
      <c r="M152" s="168"/>
      <c r="N152" s="167"/>
      <c r="O152" s="168"/>
      <c r="P152" s="168"/>
    </row>
    <row r="153" spans="1:16" ht="21.75" customHeight="1" x14ac:dyDescent="0.3">
      <c r="A153" s="175"/>
      <c r="B153" s="176"/>
      <c r="C153" s="157" t="s">
        <v>16</v>
      </c>
      <c r="D153" s="177" t="s">
        <v>44</v>
      </c>
      <c r="E153" s="178"/>
      <c r="F153" s="178"/>
      <c r="G153" s="179"/>
      <c r="H153" s="180"/>
      <c r="I153" s="162"/>
      <c r="J153" s="162"/>
      <c r="K153" s="163"/>
      <c r="L153" s="181"/>
      <c r="M153" s="181"/>
      <c r="N153" s="181"/>
      <c r="O153" s="181"/>
      <c r="P153" s="181"/>
    </row>
    <row r="154" spans="1:16" ht="21.75" customHeight="1" x14ac:dyDescent="0.3">
      <c r="A154" s="175"/>
      <c r="B154" s="176"/>
      <c r="C154" s="176"/>
      <c r="D154" s="182">
        <v>1</v>
      </c>
      <c r="E154" s="183" t="s">
        <v>45</v>
      </c>
      <c r="F154" s="184"/>
      <c r="G154" s="185"/>
      <c r="H154" s="186"/>
      <c r="I154" s="187"/>
      <c r="J154" s="188">
        <f ca="1">IFERROR(__xludf.DUMMYFUNCTION("IMPORTRANGE(""https://docs.google.com/spreadsheets/d/11923uPwbBZFjjGgGUA6NLw09EwE0CqkOc4q9oUmW1yo/edit?usp=sharing"",""นครสวรรค์!J79"")"),0)</f>
        <v>0</v>
      </c>
      <c r="K154" s="163"/>
      <c r="L154" s="181"/>
      <c r="M154" s="181"/>
      <c r="N154" s="181"/>
      <c r="O154" s="181"/>
      <c r="P154" s="181"/>
    </row>
    <row r="155" spans="1:16" ht="21.75" customHeight="1" x14ac:dyDescent="0.3">
      <c r="A155" s="175"/>
      <c r="B155" s="176"/>
      <c r="C155" s="176"/>
      <c r="D155" s="189">
        <v>2</v>
      </c>
      <c r="E155" s="190" t="s">
        <v>46</v>
      </c>
      <c r="F155" s="191"/>
      <c r="G155" s="192"/>
      <c r="H155" s="186"/>
      <c r="I155" s="187"/>
      <c r="J155" s="197">
        <f ca="1">IFERROR(__xludf.DUMMYFUNCTION("IMPORTRANGE(""https://docs.google.com/spreadsheets/d/11923uPwbBZFjjGgGUA6NLw09EwE0CqkOc4q9oUmW1yo/edit?usp=sharing"",""นครสวรรค์!J80"")"),1)</f>
        <v>1</v>
      </c>
      <c r="K155" s="163"/>
      <c r="L155" s="181"/>
      <c r="M155" s="181"/>
      <c r="N155" s="181"/>
      <c r="O155" s="181"/>
      <c r="P155" s="181"/>
    </row>
    <row r="156" spans="1:16" ht="21.75" customHeight="1" x14ac:dyDescent="0.3">
      <c r="A156" s="175"/>
      <c r="B156" s="176"/>
      <c r="C156" s="176"/>
      <c r="D156" s="193"/>
      <c r="E156" s="194" t="s">
        <v>47</v>
      </c>
      <c r="F156" s="195"/>
      <c r="G156" s="196"/>
      <c r="H156" s="186"/>
      <c r="I156" s="187"/>
      <c r="J156" s="197">
        <f ca="1">IFERROR(__xludf.DUMMYFUNCTION("IMPORTRANGE(""https://docs.google.com/spreadsheets/d/11923uPwbBZFjjGgGUA6NLw09EwE0CqkOc4q9oUmW1yo/edit?usp=sharing"",""นครสวรรค์!J81"")"),1)</f>
        <v>1</v>
      </c>
      <c r="K156" s="163"/>
      <c r="L156" s="181"/>
      <c r="M156" s="181"/>
      <c r="N156" s="181"/>
      <c r="O156" s="181"/>
      <c r="P156" s="181"/>
    </row>
    <row r="157" spans="1:16" ht="21.75" customHeight="1" x14ac:dyDescent="0.3">
      <c r="A157" s="175"/>
      <c r="B157" s="176"/>
      <c r="C157" s="176"/>
      <c r="D157" s="193"/>
      <c r="E157" s="194" t="s">
        <v>48</v>
      </c>
      <c r="F157" s="195"/>
      <c r="G157" s="196"/>
      <c r="H157" s="186"/>
      <c r="I157" s="187"/>
      <c r="J157" s="197">
        <f ca="1">IFERROR(__xludf.DUMMYFUNCTION("IMPORTRANGE(""https://docs.google.com/spreadsheets/d/11923uPwbBZFjjGgGUA6NLw09EwE0CqkOc4q9oUmW1yo/edit?usp=sharing"",""นครสวรรค์!J82"")"),1)</f>
        <v>1</v>
      </c>
      <c r="K157" s="163"/>
      <c r="L157" s="181"/>
      <c r="M157" s="181"/>
      <c r="N157" s="181"/>
      <c r="O157" s="181"/>
      <c r="P157" s="181"/>
    </row>
    <row r="158" spans="1:16" ht="21.75" customHeight="1" x14ac:dyDescent="0.3">
      <c r="A158" s="175"/>
      <c r="B158" s="176"/>
      <c r="C158" s="176"/>
      <c r="D158" s="193"/>
      <c r="E158" s="198"/>
      <c r="F158" s="194" t="s">
        <v>78</v>
      </c>
      <c r="G158" s="196"/>
      <c r="H158" s="180" t="s">
        <v>77</v>
      </c>
      <c r="I158" s="187">
        <f ca="1">IFERROR(__xludf.DUMMYFUNCTION("IMPORTRANGE(""https://docs.google.com/spreadsheets/d/11923uPwbBZFjjGgGUA6NLw09EwE0CqkOc4q9oUmW1yo/edit?usp=sharing"",""นครสวรรค์!I83"")"),4)</f>
        <v>4</v>
      </c>
      <c r="J158" s="188">
        <f ca="1">IFERROR(__xludf.DUMMYFUNCTION("IMPORTRANGE(""https://docs.google.com/spreadsheets/d/11923uPwbBZFjjGgGUA6NLw09EwE0CqkOc4q9oUmW1yo/edit?usp=sharing"",""นครสวรรค์!J83"")"),2)</f>
        <v>2</v>
      </c>
      <c r="K158" s="163">
        <f ca="1">IF(I158&gt;0,J158*100/I158,0)</f>
        <v>50</v>
      </c>
      <c r="L158" s="181"/>
      <c r="M158" s="181"/>
      <c r="N158" s="181"/>
      <c r="O158" s="181"/>
      <c r="P158" s="181"/>
    </row>
    <row r="159" spans="1:16" ht="21.75" customHeight="1" x14ac:dyDescent="0.3">
      <c r="A159" s="175"/>
      <c r="B159" s="176"/>
      <c r="C159" s="176"/>
      <c r="D159" s="193"/>
      <c r="E159" s="195"/>
      <c r="F159" s="277" t="s">
        <v>79</v>
      </c>
      <c r="G159" s="196"/>
      <c r="H159" s="278" t="s">
        <v>37</v>
      </c>
      <c r="I159" s="187"/>
      <c r="J159" s="203">
        <f ca="1">IFERROR(__xludf.DUMMYFUNCTION("IMPORTRANGE(""https://docs.google.com/spreadsheets/d/11923uPwbBZFjjGgGUA6NLw09EwE0CqkOc4q9oUmW1yo/edit?usp=sharing"",""นครสวรรค์!J84"")"),66)</f>
        <v>66</v>
      </c>
      <c r="K159" s="163"/>
      <c r="L159" s="181"/>
      <c r="M159" s="181"/>
      <c r="N159" s="181"/>
      <c r="O159" s="181"/>
      <c r="P159" s="181"/>
    </row>
    <row r="160" spans="1:16" ht="21.75" customHeight="1" x14ac:dyDescent="0.45">
      <c r="A160" s="175"/>
      <c r="B160" s="176"/>
      <c r="C160" s="176"/>
      <c r="D160" s="193"/>
      <c r="E160" s="195"/>
      <c r="F160" s="195"/>
      <c r="G160" s="279" t="s">
        <v>80</v>
      </c>
      <c r="H160" s="278" t="s">
        <v>37</v>
      </c>
      <c r="I160" s="187"/>
      <c r="J160" s="280">
        <f ca="1">IFERROR(__xludf.DUMMYFUNCTION("IMPORTRANGE(""https://docs.google.com/spreadsheets/d/11923uPwbBZFjjGgGUA6NLw09EwE0CqkOc4q9oUmW1yo/edit?usp=sharing"",""นครสวรรค์!J85"")"),66)</f>
        <v>66</v>
      </c>
      <c r="K160" s="163"/>
      <c r="L160" s="181"/>
      <c r="M160" s="181"/>
      <c r="N160" s="181"/>
      <c r="O160" s="181"/>
      <c r="P160" s="181"/>
    </row>
    <row r="161" spans="1:16" ht="21.75" customHeight="1" x14ac:dyDescent="0.45">
      <c r="A161" s="175"/>
      <c r="B161" s="176"/>
      <c r="C161" s="176"/>
      <c r="D161" s="193"/>
      <c r="E161" s="195"/>
      <c r="F161" s="195"/>
      <c r="G161" s="279" t="s">
        <v>81</v>
      </c>
      <c r="H161" s="278" t="s">
        <v>37</v>
      </c>
      <c r="I161" s="187"/>
      <c r="J161" s="280">
        <f ca="1">IFERROR(__xludf.DUMMYFUNCTION("IMPORTRANGE(""https://docs.google.com/spreadsheets/d/11923uPwbBZFjjGgGUA6NLw09EwE0CqkOc4q9oUmW1yo/edit?usp=sharing"",""นครสวรรค์!J86"")"),0)</f>
        <v>0</v>
      </c>
      <c r="K161" s="163"/>
      <c r="L161" s="181"/>
      <c r="M161" s="181"/>
      <c r="N161" s="181"/>
      <c r="O161" s="181"/>
      <c r="P161" s="181"/>
    </row>
    <row r="162" spans="1:16" ht="21.75" customHeight="1" x14ac:dyDescent="0.3">
      <c r="A162" s="175"/>
      <c r="B162" s="176"/>
      <c r="C162" s="176"/>
      <c r="D162" s="193"/>
      <c r="E162" s="194" t="s">
        <v>54</v>
      </c>
      <c r="F162" s="195"/>
      <c r="G162" s="196"/>
      <c r="H162" s="186"/>
      <c r="I162" s="187"/>
      <c r="J162" s="197">
        <f ca="1">IFERROR(__xludf.DUMMYFUNCTION("IMPORTRANGE(""https://docs.google.com/spreadsheets/d/11923uPwbBZFjjGgGUA6NLw09EwE0CqkOc4q9oUmW1yo/edit?usp=sharing"",""นครสวรรค์!J87"")"),0)</f>
        <v>0</v>
      </c>
      <c r="K162" s="163"/>
      <c r="L162" s="181"/>
      <c r="M162" s="181"/>
      <c r="N162" s="181"/>
      <c r="O162" s="181"/>
      <c r="P162" s="181"/>
    </row>
    <row r="163" spans="1:16" ht="21.75" customHeight="1" x14ac:dyDescent="0.3">
      <c r="A163" s="175"/>
      <c r="B163" s="176"/>
      <c r="C163" s="176"/>
      <c r="D163" s="205">
        <v>3</v>
      </c>
      <c r="E163" s="206" t="s">
        <v>55</v>
      </c>
      <c r="F163" s="207"/>
      <c r="G163" s="208"/>
      <c r="H163" s="186"/>
      <c r="I163" s="187"/>
      <c r="J163" s="209">
        <f ca="1">IFERROR(__xludf.DUMMYFUNCTION("IMPORTRANGE(""https://docs.google.com/spreadsheets/d/11923uPwbBZFjjGgGUA6NLw09EwE0CqkOc4q9oUmW1yo/edit?usp=sharing"",""นครสวรรค์!J88"")"),0)</f>
        <v>0</v>
      </c>
      <c r="K163" s="163"/>
      <c r="L163" s="181"/>
      <c r="M163" s="181"/>
      <c r="N163" s="181"/>
      <c r="O163" s="181"/>
      <c r="P163" s="181"/>
    </row>
    <row r="164" spans="1:16" ht="21.75" customHeight="1" x14ac:dyDescent="0.3">
      <c r="A164" s="269"/>
      <c r="B164" s="270"/>
      <c r="C164" s="271" t="s">
        <v>82</v>
      </c>
      <c r="D164" s="271"/>
      <c r="E164" s="271"/>
      <c r="F164" s="271"/>
      <c r="G164" s="272"/>
      <c r="H164" s="281" t="s">
        <v>83</v>
      </c>
      <c r="I164" s="282">
        <f ca="1">IFERROR(__xludf.DUMMYFUNCTION("IMPORTRANGE(""https://docs.google.com/spreadsheets/d/11923uPwbBZFjjGgGUA6NLw09EwE0CqkOc4q9oUmW1yo/edit?usp=sharing"",""นครสวรรค์!I89"")"),5)</f>
        <v>5</v>
      </c>
      <c r="J164" s="282">
        <f ca="1">IFERROR(__xludf.DUMMYFUNCTION("IMPORTRANGE(""https://docs.google.com/spreadsheets/d/11923uPwbBZFjjGgGUA6NLw09EwE0CqkOc4q9oUmW1yo/edit?usp=sharing"",""นครสวรรค์!J89"")"),0)</f>
        <v>0</v>
      </c>
      <c r="K164" s="283">
        <f ca="1">IF(I164&gt;0,J164*100/I164,0)</f>
        <v>0</v>
      </c>
      <c r="L164" s="276"/>
      <c r="M164" s="276"/>
      <c r="N164" s="276"/>
      <c r="O164" s="276"/>
      <c r="P164" s="276"/>
    </row>
    <row r="165" spans="1:16" ht="21.75" customHeight="1" x14ac:dyDescent="0.3">
      <c r="A165" s="156"/>
      <c r="B165" s="157"/>
      <c r="C165" s="157" t="s">
        <v>16</v>
      </c>
      <c r="D165" s="158" t="s">
        <v>38</v>
      </c>
      <c r="E165" s="159"/>
      <c r="F165" s="159"/>
      <c r="G165" s="160" t="s">
        <v>39</v>
      </c>
      <c r="H165" s="161" t="s">
        <v>12</v>
      </c>
      <c r="I165" s="162" t="s">
        <v>40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3">
      <c r="A166" s="156"/>
      <c r="B166" s="157"/>
      <c r="C166" s="157"/>
      <c r="D166" s="166"/>
      <c r="E166" s="159"/>
      <c r="F166" s="159" t="s">
        <v>40</v>
      </c>
      <c r="G166" s="160" t="s">
        <v>41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3">
      <c r="A167" s="156"/>
      <c r="B167" s="157"/>
      <c r="C167" s="157"/>
      <c r="D167" s="166"/>
      <c r="E167" s="159"/>
      <c r="F167" s="159"/>
      <c r="G167" s="169" t="s">
        <v>43</v>
      </c>
      <c r="H167" s="161" t="s">
        <v>12</v>
      </c>
      <c r="I167" s="162"/>
      <c r="J167" s="162"/>
      <c r="K167" s="163"/>
      <c r="L167" s="168"/>
      <c r="M167" s="168"/>
      <c r="N167" s="167"/>
      <c r="O167" s="168"/>
      <c r="P167" s="168"/>
    </row>
    <row r="168" spans="1:16" ht="21.75" customHeight="1" x14ac:dyDescent="0.3">
      <c r="A168" s="175"/>
      <c r="B168" s="176"/>
      <c r="C168" s="157" t="s">
        <v>16</v>
      </c>
      <c r="D168" s="177" t="s">
        <v>44</v>
      </c>
      <c r="E168" s="178"/>
      <c r="F168" s="178"/>
      <c r="G168" s="179"/>
      <c r="H168" s="180"/>
      <c r="I168" s="162"/>
      <c r="J168" s="162"/>
      <c r="K168" s="163"/>
      <c r="L168" s="181"/>
      <c r="M168" s="181"/>
      <c r="N168" s="181"/>
      <c r="O168" s="181"/>
      <c r="P168" s="181"/>
    </row>
    <row r="169" spans="1:16" ht="21.75" customHeight="1" x14ac:dyDescent="0.3">
      <c r="A169" s="175"/>
      <c r="B169" s="176"/>
      <c r="C169" s="176"/>
      <c r="D169" s="182">
        <v>1</v>
      </c>
      <c r="E169" s="183" t="s">
        <v>45</v>
      </c>
      <c r="F169" s="184"/>
      <c r="G169" s="185"/>
      <c r="H169" s="186"/>
      <c r="I169" s="187"/>
      <c r="J169" s="188">
        <f ca="1">IFERROR(__xludf.DUMMYFUNCTION("IMPORTRANGE(""https://docs.google.com/spreadsheets/d/11923uPwbBZFjjGgGUA6NLw09EwE0CqkOc4q9oUmW1yo/edit?usp=sharing"",""นครสวรรค์!J94"")"),0)</f>
        <v>0</v>
      </c>
      <c r="K169" s="163"/>
      <c r="L169" s="181"/>
      <c r="M169" s="181"/>
      <c r="N169" s="181"/>
      <c r="O169" s="181"/>
      <c r="P169" s="181"/>
    </row>
    <row r="170" spans="1:16" ht="21.75" customHeight="1" x14ac:dyDescent="0.3">
      <c r="A170" s="175"/>
      <c r="B170" s="176"/>
      <c r="C170" s="176"/>
      <c r="D170" s="189">
        <v>2</v>
      </c>
      <c r="E170" s="190" t="s">
        <v>46</v>
      </c>
      <c r="F170" s="191"/>
      <c r="G170" s="192"/>
      <c r="H170" s="186"/>
      <c r="I170" s="187"/>
      <c r="J170" s="197">
        <f ca="1">IFERROR(__xludf.DUMMYFUNCTION("IMPORTRANGE(""https://docs.google.com/spreadsheets/d/11923uPwbBZFjjGgGUA6NLw09EwE0CqkOc4q9oUmW1yo/edit?usp=sharing"",""นครสวรรค์!J95"")"),1)</f>
        <v>1</v>
      </c>
      <c r="K170" s="163"/>
      <c r="L170" s="181"/>
      <c r="M170" s="181"/>
      <c r="N170" s="181"/>
      <c r="O170" s="181"/>
      <c r="P170" s="181"/>
    </row>
    <row r="171" spans="1:16" ht="21.75" customHeight="1" x14ac:dyDescent="0.3">
      <c r="A171" s="175"/>
      <c r="B171" s="176"/>
      <c r="C171" s="176"/>
      <c r="D171" s="193"/>
      <c r="E171" s="194" t="s">
        <v>47</v>
      </c>
      <c r="F171" s="195"/>
      <c r="G171" s="196"/>
      <c r="H171" s="186"/>
      <c r="I171" s="187"/>
      <c r="J171" s="197">
        <f ca="1">IFERROR(__xludf.DUMMYFUNCTION("IMPORTRANGE(""https://docs.google.com/spreadsheets/d/11923uPwbBZFjjGgGUA6NLw09EwE0CqkOc4q9oUmW1yo/edit?usp=sharing"",""นครสวรรค์!J96"")"),1)</f>
        <v>1</v>
      </c>
      <c r="K171" s="163"/>
      <c r="L171" s="181"/>
      <c r="M171" s="181"/>
      <c r="N171" s="181"/>
      <c r="O171" s="181"/>
      <c r="P171" s="181"/>
    </row>
    <row r="172" spans="1:16" ht="21.75" customHeight="1" x14ac:dyDescent="0.3">
      <c r="A172" s="175"/>
      <c r="B172" s="176"/>
      <c r="C172" s="176"/>
      <c r="D172" s="193"/>
      <c r="E172" s="194" t="s">
        <v>48</v>
      </c>
      <c r="F172" s="195"/>
      <c r="G172" s="196"/>
      <c r="H172" s="186"/>
      <c r="I172" s="187"/>
      <c r="J172" s="197">
        <f ca="1">IFERROR(__xludf.DUMMYFUNCTION("IMPORTRANGE(""https://docs.google.com/spreadsheets/d/11923uPwbBZFjjGgGUA6NLw09EwE0CqkOc4q9oUmW1yo/edit?usp=sharing"",""นครสวรรค์!J97"")"),1)</f>
        <v>1</v>
      </c>
      <c r="K172" s="163"/>
      <c r="L172" s="181"/>
      <c r="M172" s="181"/>
      <c r="N172" s="181"/>
      <c r="O172" s="181"/>
      <c r="P172" s="181"/>
    </row>
    <row r="173" spans="1:16" ht="21.75" customHeight="1" x14ac:dyDescent="0.3">
      <c r="A173" s="175"/>
      <c r="B173" s="176"/>
      <c r="C173" s="176"/>
      <c r="D173" s="193"/>
      <c r="E173" s="198"/>
      <c r="F173" s="204" t="s">
        <v>84</v>
      </c>
      <c r="G173" s="196"/>
      <c r="H173" s="180" t="s">
        <v>83</v>
      </c>
      <c r="I173" s="187">
        <f ca="1">IFERROR(__xludf.DUMMYFUNCTION("IMPORTRANGE(""https://docs.google.com/spreadsheets/d/11923uPwbBZFjjGgGUA6NLw09EwE0CqkOc4q9oUmW1yo/edit?usp=sharing"",""นครสวรรค์!I98"")"),5)</f>
        <v>5</v>
      </c>
      <c r="J173" s="188">
        <f ca="1">IFERROR(__xludf.DUMMYFUNCTION("IMPORTRANGE(""https://docs.google.com/spreadsheets/d/11923uPwbBZFjjGgGUA6NLw09EwE0CqkOc4q9oUmW1yo/edit?usp=sharing"",""นครสวรรค์!J98"")"),0)</f>
        <v>0</v>
      </c>
      <c r="K173" s="163">
        <f ca="1">IF(I173&gt;0,J173*100/I173,0)</f>
        <v>0</v>
      </c>
      <c r="L173" s="168"/>
      <c r="M173" s="168"/>
      <c r="N173" s="167"/>
      <c r="O173" s="168"/>
      <c r="P173" s="168"/>
    </row>
    <row r="174" spans="1:16" ht="21.75" customHeight="1" x14ac:dyDescent="0.3">
      <c r="A174" s="175"/>
      <c r="B174" s="176"/>
      <c r="C174" s="176"/>
      <c r="D174" s="193"/>
      <c r="E174" s="194" t="s">
        <v>54</v>
      </c>
      <c r="F174" s="195"/>
      <c r="G174" s="196"/>
      <c r="H174" s="186"/>
      <c r="I174" s="187"/>
      <c r="J174" s="197">
        <f ca="1">IFERROR(__xludf.DUMMYFUNCTION("IMPORTRANGE(""https://docs.google.com/spreadsheets/d/11923uPwbBZFjjGgGUA6NLw09EwE0CqkOc4q9oUmW1yo/edit?usp=sharing"",""นครสวรรค์!J99"")"),0)</f>
        <v>0</v>
      </c>
      <c r="K174" s="163"/>
      <c r="L174" s="181"/>
      <c r="M174" s="181"/>
      <c r="N174" s="181"/>
      <c r="O174" s="181"/>
      <c r="P174" s="181"/>
    </row>
    <row r="175" spans="1:16" ht="21.75" customHeight="1" x14ac:dyDescent="0.3">
      <c r="A175" s="175"/>
      <c r="B175" s="176"/>
      <c r="C175" s="176"/>
      <c r="D175" s="205">
        <v>3</v>
      </c>
      <c r="E175" s="206" t="s">
        <v>55</v>
      </c>
      <c r="F175" s="207"/>
      <c r="G175" s="208"/>
      <c r="H175" s="186"/>
      <c r="I175" s="187"/>
      <c r="J175" s="209">
        <f ca="1">IFERROR(__xludf.DUMMYFUNCTION("IMPORTRANGE(""https://docs.google.com/spreadsheets/d/11923uPwbBZFjjGgGUA6NLw09EwE0CqkOc4q9oUmW1yo/edit?usp=sharing"",""นครสวรรค์!J100"")"),0)</f>
        <v>0</v>
      </c>
      <c r="K175" s="163"/>
      <c r="L175" s="181"/>
      <c r="M175" s="181"/>
      <c r="N175" s="181"/>
      <c r="O175" s="181"/>
      <c r="P175" s="181"/>
    </row>
    <row r="176" spans="1:16" ht="21.75" customHeight="1" x14ac:dyDescent="0.3">
      <c r="A176" s="269"/>
      <c r="B176" s="270"/>
      <c r="C176" s="271" t="s">
        <v>85</v>
      </c>
      <c r="D176" s="271"/>
      <c r="E176" s="271"/>
      <c r="F176" s="271"/>
      <c r="G176" s="272"/>
      <c r="H176" s="281" t="s">
        <v>83</v>
      </c>
      <c r="I176" s="282">
        <f ca="1">IFERROR(__xludf.DUMMYFUNCTION("IMPORTRANGE(""https://docs.google.com/spreadsheets/d/11923uPwbBZFjjGgGUA6NLw09EwE0CqkOc4q9oUmW1yo/edit?usp=sharing"",""นครสวรรค์!I101"")"),0)</f>
        <v>0</v>
      </c>
      <c r="J176" s="282">
        <f ca="1">IFERROR(__xludf.DUMMYFUNCTION("IMPORTRANGE(""https://docs.google.com/spreadsheets/d/11923uPwbBZFjjGgGUA6NLw09EwE0CqkOc4q9oUmW1yo/edit?usp=sharing"",""นครสวรรค์!J101"")"),0)</f>
        <v>0</v>
      </c>
      <c r="K176" s="283">
        <f ca="1">IF(I176&gt;0,J176*100/I176,0)</f>
        <v>0</v>
      </c>
      <c r="L176" s="276"/>
      <c r="M176" s="276"/>
      <c r="N176" s="276"/>
      <c r="O176" s="276"/>
      <c r="P176" s="276"/>
    </row>
    <row r="177" spans="1:16" ht="21.75" customHeight="1" x14ac:dyDescent="0.3">
      <c r="A177" s="156"/>
      <c r="B177" s="157"/>
      <c r="C177" s="157" t="s">
        <v>16</v>
      </c>
      <c r="D177" s="158" t="s">
        <v>38</v>
      </c>
      <c r="E177" s="159"/>
      <c r="F177" s="159"/>
      <c r="G177" s="160" t="s">
        <v>39</v>
      </c>
      <c r="H177" s="161" t="s">
        <v>12</v>
      </c>
      <c r="I177" s="162" t="s">
        <v>40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3">
      <c r="A178" s="156"/>
      <c r="B178" s="157"/>
      <c r="C178" s="157"/>
      <c r="D178" s="166"/>
      <c r="E178" s="159"/>
      <c r="F178" s="159" t="s">
        <v>40</v>
      </c>
      <c r="G178" s="160" t="s">
        <v>41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3">
      <c r="A179" s="156"/>
      <c r="B179" s="157"/>
      <c r="C179" s="157"/>
      <c r="D179" s="166"/>
      <c r="E179" s="159"/>
      <c r="F179" s="159"/>
      <c r="G179" s="169" t="s">
        <v>43</v>
      </c>
      <c r="H179" s="161" t="s">
        <v>12</v>
      </c>
      <c r="I179" s="162"/>
      <c r="J179" s="187"/>
      <c r="K179" s="223"/>
      <c r="L179" s="168"/>
      <c r="M179" s="168"/>
      <c r="N179" s="167"/>
      <c r="O179" s="168"/>
      <c r="P179" s="168"/>
    </row>
    <row r="180" spans="1:16" ht="21.75" customHeight="1" x14ac:dyDescent="0.3">
      <c r="A180" s="175"/>
      <c r="B180" s="176"/>
      <c r="C180" s="157" t="s">
        <v>16</v>
      </c>
      <c r="D180" s="177" t="s">
        <v>44</v>
      </c>
      <c r="E180" s="178"/>
      <c r="F180" s="178"/>
      <c r="G180" s="179"/>
      <c r="H180" s="180"/>
      <c r="I180" s="162"/>
      <c r="J180" s="187"/>
      <c r="K180" s="223"/>
      <c r="L180" s="168"/>
      <c r="M180" s="168"/>
      <c r="N180" s="168"/>
      <c r="O180" s="181"/>
      <c r="P180" s="181"/>
    </row>
    <row r="181" spans="1:16" ht="21.75" customHeight="1" x14ac:dyDescent="0.3">
      <c r="A181" s="175"/>
      <c r="B181" s="176"/>
      <c r="C181" s="176"/>
      <c r="D181" s="182">
        <v>1</v>
      </c>
      <c r="E181" s="183" t="s">
        <v>45</v>
      </c>
      <c r="F181" s="184"/>
      <c r="G181" s="185"/>
      <c r="H181" s="186"/>
      <c r="I181" s="187"/>
      <c r="J181" s="187">
        <f ca="1">IFERROR(__xludf.DUMMYFUNCTION("IMPORTRANGE(""https://docs.google.com/spreadsheets/d/11923uPwbBZFjjGgGUA6NLw09EwE0CqkOc4q9oUmW1yo/edit?usp=sharing"",""นครสวรรค์!J106"")"),0)</f>
        <v>0</v>
      </c>
      <c r="K181" s="223"/>
      <c r="L181" s="168"/>
      <c r="M181" s="168"/>
      <c r="N181" s="168"/>
      <c r="O181" s="181"/>
      <c r="P181" s="181"/>
    </row>
    <row r="182" spans="1:16" ht="21.75" customHeight="1" x14ac:dyDescent="0.3">
      <c r="A182" s="175"/>
      <c r="B182" s="176"/>
      <c r="C182" s="176"/>
      <c r="D182" s="189">
        <v>2</v>
      </c>
      <c r="E182" s="190" t="s">
        <v>46</v>
      </c>
      <c r="F182" s="191"/>
      <c r="G182" s="192"/>
      <c r="H182" s="186"/>
      <c r="I182" s="187"/>
      <c r="J182" s="187">
        <f ca="1">IFERROR(__xludf.DUMMYFUNCTION("IMPORTRANGE(""https://docs.google.com/spreadsheets/d/11923uPwbBZFjjGgGUA6NLw09EwE0CqkOc4q9oUmW1yo/edit?usp=sharing"",""นครสวรรค์!J107"")"),0)</f>
        <v>0</v>
      </c>
      <c r="K182" s="223"/>
      <c r="L182" s="168"/>
      <c r="M182" s="168"/>
      <c r="N182" s="168"/>
      <c r="O182" s="181"/>
      <c r="P182" s="181"/>
    </row>
    <row r="183" spans="1:16" ht="21.75" customHeight="1" x14ac:dyDescent="0.3">
      <c r="A183" s="175"/>
      <c r="B183" s="176"/>
      <c r="C183" s="176"/>
      <c r="D183" s="193"/>
      <c r="E183" s="194" t="s">
        <v>47</v>
      </c>
      <c r="F183" s="195"/>
      <c r="G183" s="196"/>
      <c r="H183" s="186"/>
      <c r="I183" s="187"/>
      <c r="J183" s="187">
        <f ca="1">IFERROR(__xludf.DUMMYFUNCTION("IMPORTRANGE(""https://docs.google.com/spreadsheets/d/11923uPwbBZFjjGgGUA6NLw09EwE0CqkOc4q9oUmW1yo/edit?usp=sharing"",""นครสวรรค์!J108"")"),0)</f>
        <v>0</v>
      </c>
      <c r="K183" s="223"/>
      <c r="L183" s="168"/>
      <c r="M183" s="168"/>
      <c r="N183" s="168"/>
      <c r="O183" s="181"/>
      <c r="P183" s="181"/>
    </row>
    <row r="184" spans="1:16" ht="21.75" customHeight="1" x14ac:dyDescent="0.3">
      <c r="A184" s="175"/>
      <c r="B184" s="176"/>
      <c r="C184" s="176"/>
      <c r="D184" s="193"/>
      <c r="E184" s="194" t="s">
        <v>48</v>
      </c>
      <c r="F184" s="195"/>
      <c r="G184" s="196"/>
      <c r="H184" s="186"/>
      <c r="I184" s="187"/>
      <c r="J184" s="187">
        <f ca="1">IFERROR(__xludf.DUMMYFUNCTION("IMPORTRANGE(""https://docs.google.com/spreadsheets/d/11923uPwbBZFjjGgGUA6NLw09EwE0CqkOc4q9oUmW1yo/edit?usp=sharing"",""นครสวรรค์!J109"")"),0)</f>
        <v>0</v>
      </c>
      <c r="K184" s="223"/>
      <c r="L184" s="168"/>
      <c r="M184" s="168"/>
      <c r="N184" s="168"/>
      <c r="O184" s="181"/>
      <c r="P184" s="181"/>
    </row>
    <row r="185" spans="1:16" ht="21.75" customHeight="1" x14ac:dyDescent="0.3">
      <c r="A185" s="175"/>
      <c r="B185" s="176"/>
      <c r="C185" s="176"/>
      <c r="D185" s="193"/>
      <c r="E185" s="198"/>
      <c r="F185" s="194" t="s">
        <v>86</v>
      </c>
      <c r="G185" s="196"/>
      <c r="H185" s="180" t="s">
        <v>83</v>
      </c>
      <c r="I185" s="187">
        <f ca="1">IFERROR(__xludf.DUMMYFUNCTION("IMPORTRANGE(""https://docs.google.com/spreadsheets/d/11923uPwbBZFjjGgGUA6NLw09EwE0CqkOc4q9oUmW1yo/edit?usp=sharing"",""นครสวรรค์!I110"")"),0)</f>
        <v>0</v>
      </c>
      <c r="J185" s="203">
        <f ca="1">IFERROR(__xludf.DUMMYFUNCTION("IMPORTRANGE(""https://docs.google.com/spreadsheets/d/11923uPwbBZFjjGgGUA6NLw09EwE0CqkOc4q9oUmW1yo/edit?usp=sharing"",""นครสวรรค์!J110"")"),0)</f>
        <v>0</v>
      </c>
      <c r="K185" s="223">
        <f t="shared" ref="K185:K186" ca="1" si="69">IF(I185&gt;0,J185*100/I185,0)</f>
        <v>0</v>
      </c>
      <c r="L185" s="168"/>
      <c r="M185" s="168"/>
      <c r="N185" s="167"/>
      <c r="O185" s="168"/>
      <c r="P185" s="168"/>
    </row>
    <row r="186" spans="1:16" ht="21.75" customHeight="1" x14ac:dyDescent="0.3">
      <c r="A186" s="175"/>
      <c r="B186" s="176"/>
      <c r="C186" s="176"/>
      <c r="D186" s="193"/>
      <c r="E186" s="198"/>
      <c r="F186" s="194" t="s">
        <v>87</v>
      </c>
      <c r="G186" s="196"/>
      <c r="H186" s="180" t="s">
        <v>83</v>
      </c>
      <c r="I186" s="187">
        <f ca="1">IFERROR(__xludf.DUMMYFUNCTION("IMPORTRANGE(""https://docs.google.com/spreadsheets/d/11923uPwbBZFjjGgGUA6NLw09EwE0CqkOc4q9oUmW1yo/edit?usp=sharing"",""นครสวรรค์!I111"")"),0)</f>
        <v>0</v>
      </c>
      <c r="J186" s="203">
        <f ca="1">IFERROR(__xludf.DUMMYFUNCTION("IMPORTRANGE(""https://docs.google.com/spreadsheets/d/11923uPwbBZFjjGgGUA6NLw09EwE0CqkOc4q9oUmW1yo/edit?usp=sharing"",""นครสวรรค์!J111"")"),0)</f>
        <v>0</v>
      </c>
      <c r="K186" s="223">
        <f t="shared" ca="1" si="69"/>
        <v>0</v>
      </c>
      <c r="L186" s="168"/>
      <c r="M186" s="168"/>
      <c r="N186" s="167"/>
      <c r="O186" s="168"/>
      <c r="P186" s="168"/>
    </row>
    <row r="187" spans="1:16" ht="21.75" customHeight="1" x14ac:dyDescent="0.3">
      <c r="A187" s="175"/>
      <c r="B187" s="176"/>
      <c r="C187" s="176"/>
      <c r="D187" s="193"/>
      <c r="E187" s="194" t="s">
        <v>54</v>
      </c>
      <c r="F187" s="195"/>
      <c r="G187" s="196"/>
      <c r="H187" s="186"/>
      <c r="I187" s="187"/>
      <c r="J187" s="187">
        <f ca="1">IFERROR(__xludf.DUMMYFUNCTION("IMPORTRANGE(""https://docs.google.com/spreadsheets/d/11923uPwbBZFjjGgGUA6NLw09EwE0CqkOc4q9oUmW1yo/edit?usp=sharing"",""นครสวรรค์!J112"")"),0)</f>
        <v>0</v>
      </c>
      <c r="K187" s="223"/>
      <c r="L187" s="168"/>
      <c r="M187" s="168"/>
      <c r="N187" s="168"/>
      <c r="O187" s="181"/>
      <c r="P187" s="181"/>
    </row>
    <row r="188" spans="1:16" ht="21.75" customHeight="1" x14ac:dyDescent="0.3">
      <c r="A188" s="175"/>
      <c r="B188" s="176"/>
      <c r="C188" s="176"/>
      <c r="D188" s="205">
        <v>3</v>
      </c>
      <c r="E188" s="206" t="s">
        <v>55</v>
      </c>
      <c r="F188" s="207"/>
      <c r="G188" s="208"/>
      <c r="H188" s="186"/>
      <c r="I188" s="187"/>
      <c r="J188" s="226">
        <f ca="1">IFERROR(__xludf.DUMMYFUNCTION("IMPORTRANGE(""https://docs.google.com/spreadsheets/d/11923uPwbBZFjjGgGUA6NLw09EwE0CqkOc4q9oUmW1yo/edit?usp=sharing"",""นครสวรรค์!J113"")"),0)</f>
        <v>0</v>
      </c>
      <c r="K188" s="223"/>
      <c r="L188" s="168"/>
      <c r="M188" s="168"/>
      <c r="N188" s="168"/>
      <c r="O188" s="181"/>
      <c r="P188" s="181"/>
    </row>
    <row r="189" spans="1:16" ht="21.75" customHeight="1" x14ac:dyDescent="0.3">
      <c r="A189" s="269"/>
      <c r="B189" s="270"/>
      <c r="C189" s="271" t="s">
        <v>88</v>
      </c>
      <c r="D189" s="271"/>
      <c r="E189" s="271"/>
      <c r="F189" s="271"/>
      <c r="G189" s="272"/>
      <c r="H189" s="284" t="s">
        <v>89</v>
      </c>
      <c r="I189" s="282">
        <f ca="1">IFERROR(__xludf.DUMMYFUNCTION("IMPORTRANGE(""https://docs.google.com/spreadsheets/d/11923uPwbBZFjjGgGUA6NLw09EwE0CqkOc4q9oUmW1yo/edit?usp=sharing"",""นครสวรรค์!I114"")"),300000)</f>
        <v>300000</v>
      </c>
      <c r="J189" s="282">
        <f ca="1">IFERROR(__xludf.DUMMYFUNCTION("IMPORTRANGE(""https://docs.google.com/spreadsheets/d/11923uPwbBZFjjGgGUA6NLw09EwE0CqkOc4q9oUmW1yo/edit?usp=sharing"",""นครสวรรค์!J114"")"),0)</f>
        <v>0</v>
      </c>
      <c r="K189" s="283">
        <f ca="1">IF(I189&gt;0,J189*100/I189,0)</f>
        <v>0</v>
      </c>
      <c r="L189" s="276"/>
      <c r="M189" s="276"/>
      <c r="N189" s="276"/>
      <c r="O189" s="276"/>
      <c r="P189" s="276"/>
    </row>
    <row r="190" spans="1:16" ht="21.75" customHeight="1" x14ac:dyDescent="0.3">
      <c r="A190" s="156"/>
      <c r="B190" s="157"/>
      <c r="C190" s="157" t="s">
        <v>16</v>
      </c>
      <c r="D190" s="158" t="s">
        <v>38</v>
      </c>
      <c r="E190" s="159"/>
      <c r="F190" s="159"/>
      <c r="G190" s="160" t="s">
        <v>39</v>
      </c>
      <c r="H190" s="161" t="s">
        <v>12</v>
      </c>
      <c r="I190" s="162" t="s">
        <v>40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3">
      <c r="A191" s="156"/>
      <c r="B191" s="157"/>
      <c r="C191" s="157"/>
      <c r="D191" s="166"/>
      <c r="E191" s="159"/>
      <c r="F191" s="159" t="s">
        <v>40</v>
      </c>
      <c r="G191" s="160" t="s">
        <v>41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3">
      <c r="A192" s="156"/>
      <c r="B192" s="157"/>
      <c r="C192" s="157"/>
      <c r="D192" s="166"/>
      <c r="E192" s="159"/>
      <c r="F192" s="159"/>
      <c r="G192" s="169" t="s">
        <v>43</v>
      </c>
      <c r="H192" s="161" t="s">
        <v>12</v>
      </c>
      <c r="I192" s="162"/>
      <c r="J192" s="162"/>
      <c r="K192" s="163"/>
      <c r="L192" s="168"/>
      <c r="M192" s="168"/>
      <c r="N192" s="167"/>
      <c r="O192" s="168"/>
      <c r="P192" s="168"/>
    </row>
    <row r="193" spans="1:16" ht="21.75" customHeight="1" x14ac:dyDescent="0.3">
      <c r="A193" s="175"/>
      <c r="B193" s="176"/>
      <c r="C193" s="157" t="s">
        <v>16</v>
      </c>
      <c r="D193" s="177" t="s">
        <v>44</v>
      </c>
      <c r="E193" s="178"/>
      <c r="F193" s="178"/>
      <c r="G193" s="179"/>
      <c r="H193" s="180"/>
      <c r="I193" s="162"/>
      <c r="J193" s="162"/>
      <c r="K193" s="163"/>
      <c r="L193" s="181"/>
      <c r="M193" s="181"/>
      <c r="N193" s="181"/>
      <c r="O193" s="181"/>
      <c r="P193" s="181"/>
    </row>
    <row r="194" spans="1:16" ht="21.75" customHeight="1" x14ac:dyDescent="0.3">
      <c r="A194" s="175"/>
      <c r="B194" s="176"/>
      <c r="C194" s="176"/>
      <c r="D194" s="182">
        <v>1</v>
      </c>
      <c r="E194" s="183" t="s">
        <v>45</v>
      </c>
      <c r="F194" s="184"/>
      <c r="G194" s="185"/>
      <c r="H194" s="186"/>
      <c r="I194" s="187"/>
      <c r="J194" s="197">
        <f ca="1">IFERROR(__xludf.DUMMYFUNCTION("IMPORTRANGE(""https://docs.google.com/spreadsheets/d/11923uPwbBZFjjGgGUA6NLw09EwE0CqkOc4q9oUmW1yo/edit?usp=sharing"",""นครสวรรค์!J119"")"),0)</f>
        <v>0</v>
      </c>
      <c r="K194" s="163"/>
      <c r="L194" s="181"/>
      <c r="M194" s="181"/>
      <c r="N194" s="181"/>
      <c r="O194" s="181"/>
      <c r="P194" s="181"/>
    </row>
    <row r="195" spans="1:16" ht="21.75" customHeight="1" x14ac:dyDescent="0.3">
      <c r="A195" s="175"/>
      <c r="B195" s="176"/>
      <c r="C195" s="176"/>
      <c r="D195" s="189">
        <v>2</v>
      </c>
      <c r="E195" s="190" t="s">
        <v>46</v>
      </c>
      <c r="F195" s="191"/>
      <c r="G195" s="192"/>
      <c r="H195" s="186"/>
      <c r="I195" s="187"/>
      <c r="J195" s="188">
        <f ca="1">IFERROR(__xludf.DUMMYFUNCTION("IMPORTRANGE(""https://docs.google.com/spreadsheets/d/11923uPwbBZFjjGgGUA6NLw09EwE0CqkOc4q9oUmW1yo/edit?usp=sharing"",""นครสวรรค์!J120"")"),1)</f>
        <v>1</v>
      </c>
      <c r="K195" s="163"/>
      <c r="L195" s="181"/>
      <c r="M195" s="181"/>
      <c r="N195" s="181"/>
      <c r="O195" s="181"/>
      <c r="P195" s="181"/>
    </row>
    <row r="196" spans="1:16" ht="21.75" customHeight="1" x14ac:dyDescent="0.3">
      <c r="A196" s="175"/>
      <c r="B196" s="176"/>
      <c r="C196" s="176"/>
      <c r="D196" s="193"/>
      <c r="E196" s="194" t="s">
        <v>47</v>
      </c>
      <c r="F196" s="195"/>
      <c r="G196" s="196"/>
      <c r="H196" s="186"/>
      <c r="I196" s="187"/>
      <c r="J196" s="188">
        <f ca="1">IFERROR(__xludf.DUMMYFUNCTION("IMPORTRANGE(""https://docs.google.com/spreadsheets/d/11923uPwbBZFjjGgGUA6NLw09EwE0CqkOc4q9oUmW1yo/edit?usp=sharing"",""นครสวรรค์!J121"")"),1)</f>
        <v>1</v>
      </c>
      <c r="K196" s="163"/>
      <c r="L196" s="181"/>
      <c r="M196" s="181"/>
      <c r="N196" s="181"/>
      <c r="O196" s="181"/>
      <c r="P196" s="181"/>
    </row>
    <row r="197" spans="1:16" ht="21.75" customHeight="1" x14ac:dyDescent="0.3">
      <c r="A197" s="175"/>
      <c r="B197" s="176"/>
      <c r="C197" s="176"/>
      <c r="D197" s="193"/>
      <c r="E197" s="194" t="s">
        <v>48</v>
      </c>
      <c r="F197" s="195"/>
      <c r="G197" s="196"/>
      <c r="H197" s="186"/>
      <c r="I197" s="187"/>
      <c r="J197" s="197">
        <f ca="1">IFERROR(__xludf.DUMMYFUNCTION("IMPORTRANGE(""https://docs.google.com/spreadsheets/d/11923uPwbBZFjjGgGUA6NLw09EwE0CqkOc4q9oUmW1yo/edit?usp=sharing"",""นครสวรรค์!J122"")"),1)</f>
        <v>1</v>
      </c>
      <c r="K197" s="163"/>
      <c r="L197" s="181"/>
      <c r="M197" s="181"/>
      <c r="N197" s="181"/>
      <c r="O197" s="181"/>
      <c r="P197" s="181"/>
    </row>
    <row r="198" spans="1:16" ht="21.75" customHeight="1" x14ac:dyDescent="0.3">
      <c r="A198" s="175"/>
      <c r="B198" s="176"/>
      <c r="C198" s="176"/>
      <c r="D198" s="193"/>
      <c r="E198" s="195"/>
      <c r="F198" s="195" t="s">
        <v>90</v>
      </c>
      <c r="G198" s="196"/>
      <c r="H198" s="180"/>
      <c r="I198" s="187"/>
      <c r="J198" s="187"/>
      <c r="K198" s="163"/>
      <c r="L198" s="181"/>
      <c r="M198" s="181"/>
      <c r="N198" s="181"/>
      <c r="O198" s="181"/>
      <c r="P198" s="181"/>
    </row>
    <row r="199" spans="1:16" ht="21.75" customHeight="1" x14ac:dyDescent="0.3">
      <c r="A199" s="175"/>
      <c r="B199" s="176"/>
      <c r="C199" s="176"/>
      <c r="D199" s="193"/>
      <c r="E199" s="198"/>
      <c r="F199" s="195"/>
      <c r="G199" s="194" t="s">
        <v>91</v>
      </c>
      <c r="H199" s="180" t="s">
        <v>89</v>
      </c>
      <c r="I199" s="187">
        <f ca="1">IFERROR(__xludf.DUMMYFUNCTION("IMPORTRANGE(""https://docs.google.com/spreadsheets/d/11923uPwbBZFjjGgGUA6NLw09EwE0CqkOc4q9oUmW1yo/edit?usp=sharing"",""นครสวรรค์!I124"")"),300000)</f>
        <v>300000</v>
      </c>
      <c r="J199" s="188">
        <f ca="1">IFERROR(__xludf.DUMMYFUNCTION("IMPORTRANGE(""https://docs.google.com/spreadsheets/d/11923uPwbBZFjjGgGUA6NLw09EwE0CqkOc4q9oUmW1yo/edit?usp=sharing"",""นครสวรรค์!J124"")"),300000)</f>
        <v>300000</v>
      </c>
      <c r="K199" s="163">
        <f t="shared" ref="K199:K201" ca="1" si="70">IF(I199&gt;0,J199*100/I199,0)</f>
        <v>100</v>
      </c>
      <c r="L199" s="181"/>
      <c r="M199" s="181"/>
      <c r="N199" s="181"/>
      <c r="O199" s="181"/>
      <c r="P199" s="181"/>
    </row>
    <row r="200" spans="1:16" ht="21.75" customHeight="1" x14ac:dyDescent="0.3">
      <c r="A200" s="175"/>
      <c r="B200" s="176"/>
      <c r="C200" s="176"/>
      <c r="D200" s="193"/>
      <c r="E200" s="198"/>
      <c r="F200" s="195"/>
      <c r="G200" s="194" t="s">
        <v>92</v>
      </c>
      <c r="H200" s="180" t="s">
        <v>89</v>
      </c>
      <c r="I200" s="187">
        <f ca="1">IFERROR(__xludf.DUMMYFUNCTION("IMPORTRANGE(""https://docs.google.com/spreadsheets/d/11923uPwbBZFjjGgGUA6NLw09EwE0CqkOc4q9oUmW1yo/edit?usp=sharing"",""นครสวรรค์!I125"")"),300000)</f>
        <v>300000</v>
      </c>
      <c r="J200" s="188">
        <f ca="1">IFERROR(__xludf.DUMMYFUNCTION("IMPORTRANGE(""https://docs.google.com/spreadsheets/d/11923uPwbBZFjjGgGUA6NLw09EwE0CqkOc4q9oUmW1yo/edit?usp=sharing"",""นครสวรรค์!J125"")"),0)</f>
        <v>0</v>
      </c>
      <c r="K200" s="163">
        <f t="shared" ca="1" si="70"/>
        <v>0</v>
      </c>
      <c r="L200" s="168"/>
      <c r="M200" s="168"/>
      <c r="N200" s="167"/>
      <c r="O200" s="168"/>
      <c r="P200" s="168"/>
    </row>
    <row r="201" spans="1:16" ht="21.75" customHeight="1" x14ac:dyDescent="0.3">
      <c r="A201" s="175"/>
      <c r="B201" s="176"/>
      <c r="C201" s="176"/>
      <c r="D201" s="193"/>
      <c r="E201" s="198"/>
      <c r="F201" s="195" t="s">
        <v>93</v>
      </c>
      <c r="G201" s="196"/>
      <c r="H201" s="180" t="s">
        <v>37</v>
      </c>
      <c r="I201" s="187">
        <f ca="1">IFERROR(__xludf.DUMMYFUNCTION("IMPORTRANGE(""https://docs.google.com/spreadsheets/d/11923uPwbBZFjjGgGUA6NLw09EwE0CqkOc4q9oUmW1yo/edit?usp=sharing"",""นครสวรรค์!I126"")"),0)</f>
        <v>0</v>
      </c>
      <c r="J201" s="188">
        <f ca="1">IFERROR(__xludf.DUMMYFUNCTION("IMPORTRANGE(""https://docs.google.com/spreadsheets/d/11923uPwbBZFjjGgGUA6NLw09EwE0CqkOc4q9oUmW1yo/edit?usp=sharing"",""นครสวรรค์!J126"")"),0)</f>
        <v>0</v>
      </c>
      <c r="K201" s="163">
        <f t="shared" ca="1" si="70"/>
        <v>0</v>
      </c>
      <c r="L201" s="168"/>
      <c r="M201" s="168"/>
      <c r="N201" s="167"/>
      <c r="O201" s="168"/>
      <c r="P201" s="168"/>
    </row>
    <row r="202" spans="1:16" ht="21.75" customHeight="1" x14ac:dyDescent="0.3">
      <c r="A202" s="175"/>
      <c r="B202" s="176"/>
      <c r="C202" s="176"/>
      <c r="D202" s="193"/>
      <c r="E202" s="194" t="s">
        <v>54</v>
      </c>
      <c r="F202" s="195"/>
      <c r="G202" s="196"/>
      <c r="H202" s="186"/>
      <c r="I202" s="187"/>
      <c r="J202" s="197">
        <f ca="1">IFERROR(__xludf.DUMMYFUNCTION("IMPORTRANGE(""https://docs.google.com/spreadsheets/d/11923uPwbBZFjjGgGUA6NLw09EwE0CqkOc4q9oUmW1yo/edit?usp=sharing"",""นครสวรรค์!J127"")"),0)</f>
        <v>0</v>
      </c>
      <c r="K202" s="163"/>
      <c r="L202" s="181"/>
      <c r="M202" s="181"/>
      <c r="N202" s="181"/>
      <c r="O202" s="181"/>
      <c r="P202" s="181"/>
    </row>
    <row r="203" spans="1:16" ht="21.75" customHeight="1" x14ac:dyDescent="0.3">
      <c r="A203" s="233"/>
      <c r="B203" s="234"/>
      <c r="C203" s="234"/>
      <c r="D203" s="235">
        <v>3</v>
      </c>
      <c r="E203" s="236" t="s">
        <v>55</v>
      </c>
      <c r="F203" s="237"/>
      <c r="G203" s="238"/>
      <c r="H203" s="239"/>
      <c r="I203" s="240"/>
      <c r="J203" s="285">
        <f ca="1">IFERROR(__xludf.DUMMYFUNCTION("IMPORTRANGE(""https://docs.google.com/spreadsheets/d/11923uPwbBZFjjGgGUA6NLw09EwE0CqkOc4q9oUmW1yo/edit?usp=sharing"",""นครสวรรค์!J128"")"),0)</f>
        <v>0</v>
      </c>
      <c r="K203" s="286"/>
      <c r="L203" s="244"/>
      <c r="M203" s="244"/>
      <c r="N203" s="244"/>
      <c r="O203" s="244"/>
      <c r="P203" s="244"/>
    </row>
    <row r="204" spans="1:16" ht="21.75" customHeight="1" x14ac:dyDescent="0.3">
      <c r="A204" s="269"/>
      <c r="B204" s="270"/>
      <c r="C204" s="287" t="s">
        <v>94</v>
      </c>
      <c r="D204" s="271"/>
      <c r="E204" s="271"/>
      <c r="F204" s="271"/>
      <c r="G204" s="272"/>
      <c r="H204" s="284" t="s">
        <v>37</v>
      </c>
      <c r="I204" s="282">
        <f ca="1">IFERROR(__xludf.DUMMYFUNCTION("IMPORTRANGE(""https://docs.google.com/spreadsheets/d/11923uPwbBZFjjGgGUA6NLw09EwE0CqkOc4q9oUmW1yo/edit?usp=sharing"",""นครสวรรค์!I129"")"),0)</f>
        <v>0</v>
      </c>
      <c r="J204" s="282">
        <f ca="1">IFERROR(__xludf.DUMMYFUNCTION("IMPORTRANGE(""https://docs.google.com/spreadsheets/d/11923uPwbBZFjjGgGUA6NLw09EwE0CqkOc4q9oUmW1yo/edit?usp=sharing"",""นครสวรรค์!J129"")"),0)</f>
        <v>0</v>
      </c>
      <c r="K204" s="283">
        <f ca="1">IF(I204&gt;0,J204*100/I204,0)</f>
        <v>0</v>
      </c>
      <c r="L204" s="276"/>
      <c r="M204" s="276"/>
      <c r="N204" s="276"/>
      <c r="O204" s="276"/>
      <c r="P204" s="276"/>
    </row>
    <row r="205" spans="1:16" ht="21.75" customHeight="1" x14ac:dyDescent="0.3">
      <c r="A205" s="156"/>
      <c r="B205" s="157"/>
      <c r="C205" s="157" t="s">
        <v>16</v>
      </c>
      <c r="D205" s="158" t="s">
        <v>38</v>
      </c>
      <c r="E205" s="159"/>
      <c r="F205" s="159"/>
      <c r="G205" s="160" t="s">
        <v>39</v>
      </c>
      <c r="H205" s="161" t="s">
        <v>12</v>
      </c>
      <c r="I205" s="162" t="s">
        <v>40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3">
      <c r="A206" s="156"/>
      <c r="B206" s="157"/>
      <c r="C206" s="157"/>
      <c r="D206" s="166"/>
      <c r="E206" s="159"/>
      <c r="F206" s="159" t="s">
        <v>40</v>
      </c>
      <c r="G206" s="160" t="s">
        <v>41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3">
      <c r="A207" s="156"/>
      <c r="B207" s="157"/>
      <c r="C207" s="157"/>
      <c r="D207" s="166"/>
      <c r="E207" s="159"/>
      <c r="F207" s="159"/>
      <c r="G207" s="169" t="s">
        <v>43</v>
      </c>
      <c r="H207" s="161" t="s">
        <v>12</v>
      </c>
      <c r="I207" s="162"/>
      <c r="J207" s="187"/>
      <c r="K207" s="223"/>
      <c r="L207" s="168"/>
      <c r="M207" s="168"/>
      <c r="N207" s="167"/>
      <c r="O207" s="168"/>
      <c r="P207" s="168"/>
    </row>
    <row r="208" spans="1:16" ht="21.75" customHeight="1" x14ac:dyDescent="0.3">
      <c r="A208" s="175"/>
      <c r="B208" s="176"/>
      <c r="C208" s="157" t="s">
        <v>16</v>
      </c>
      <c r="D208" s="177" t="s">
        <v>44</v>
      </c>
      <c r="E208" s="178"/>
      <c r="F208" s="178"/>
      <c r="G208" s="179"/>
      <c r="H208" s="180"/>
      <c r="I208" s="162"/>
      <c r="J208" s="187"/>
      <c r="K208" s="223"/>
      <c r="L208" s="168"/>
      <c r="M208" s="168"/>
      <c r="N208" s="168"/>
      <c r="O208" s="181"/>
      <c r="P208" s="181"/>
    </row>
    <row r="209" spans="1:16" ht="21.75" customHeight="1" x14ac:dyDescent="0.3">
      <c r="A209" s="175"/>
      <c r="B209" s="176"/>
      <c r="C209" s="176"/>
      <c r="D209" s="182">
        <v>1</v>
      </c>
      <c r="E209" s="183" t="s">
        <v>45</v>
      </c>
      <c r="F209" s="184"/>
      <c r="G209" s="185"/>
      <c r="H209" s="186"/>
      <c r="I209" s="187"/>
      <c r="J209" s="187">
        <f ca="1">IFERROR(__xludf.DUMMYFUNCTION("IMPORTRANGE(""https://docs.google.com/spreadsheets/d/11923uPwbBZFjjGgGUA6NLw09EwE0CqkOc4q9oUmW1yo/edit?usp=sharing"",""นครสวรรค์!J134"")"),0)</f>
        <v>0</v>
      </c>
      <c r="K209" s="223"/>
      <c r="L209" s="168"/>
      <c r="M209" s="168"/>
      <c r="N209" s="168"/>
      <c r="O209" s="181"/>
      <c r="P209" s="181"/>
    </row>
    <row r="210" spans="1:16" ht="21.75" customHeight="1" x14ac:dyDescent="0.3">
      <c r="A210" s="175"/>
      <c r="B210" s="176"/>
      <c r="C210" s="176"/>
      <c r="D210" s="189">
        <v>2</v>
      </c>
      <c r="E210" s="190" t="s">
        <v>46</v>
      </c>
      <c r="F210" s="191"/>
      <c r="G210" s="192"/>
      <c r="H210" s="186"/>
      <c r="I210" s="187"/>
      <c r="J210" s="187">
        <f ca="1">IFERROR(__xludf.DUMMYFUNCTION("IMPORTRANGE(""https://docs.google.com/spreadsheets/d/11923uPwbBZFjjGgGUA6NLw09EwE0CqkOc4q9oUmW1yo/edit?usp=sharing"",""นครสวรรค์!J135"")"),0)</f>
        <v>0</v>
      </c>
      <c r="K210" s="223"/>
      <c r="L210" s="168"/>
      <c r="M210" s="168"/>
      <c r="N210" s="168"/>
      <c r="O210" s="181"/>
      <c r="P210" s="181"/>
    </row>
    <row r="211" spans="1:16" ht="21.75" customHeight="1" x14ac:dyDescent="0.3">
      <c r="A211" s="175"/>
      <c r="B211" s="176"/>
      <c r="C211" s="176"/>
      <c r="D211" s="193"/>
      <c r="E211" s="194" t="s">
        <v>47</v>
      </c>
      <c r="F211" s="195"/>
      <c r="G211" s="196"/>
      <c r="H211" s="186"/>
      <c r="I211" s="187"/>
      <c r="J211" s="187">
        <f ca="1">IFERROR(__xludf.DUMMYFUNCTION("IMPORTRANGE(""https://docs.google.com/spreadsheets/d/11923uPwbBZFjjGgGUA6NLw09EwE0CqkOc4q9oUmW1yo/edit?usp=sharing"",""นครสวรรค์!J136"")"),0)</f>
        <v>0</v>
      </c>
      <c r="K211" s="223"/>
      <c r="L211" s="168"/>
      <c r="M211" s="168"/>
      <c r="N211" s="168"/>
      <c r="O211" s="181"/>
      <c r="P211" s="181"/>
    </row>
    <row r="212" spans="1:16" ht="21.75" customHeight="1" x14ac:dyDescent="0.3">
      <c r="A212" s="175"/>
      <c r="B212" s="176"/>
      <c r="C212" s="176"/>
      <c r="D212" s="193"/>
      <c r="E212" s="194" t="s">
        <v>48</v>
      </c>
      <c r="F212" s="195"/>
      <c r="G212" s="196"/>
      <c r="H212" s="186"/>
      <c r="I212" s="187"/>
      <c r="J212" s="187">
        <f ca="1">IFERROR(__xludf.DUMMYFUNCTION("IMPORTRANGE(""https://docs.google.com/spreadsheets/d/11923uPwbBZFjjGgGUA6NLw09EwE0CqkOc4q9oUmW1yo/edit?usp=sharing"",""นครสวรรค์!J137"")"),0)</f>
        <v>0</v>
      </c>
      <c r="K212" s="223"/>
      <c r="L212" s="168"/>
      <c r="M212" s="168"/>
      <c r="N212" s="168"/>
      <c r="O212" s="181"/>
      <c r="P212" s="181"/>
    </row>
    <row r="213" spans="1:16" ht="21.75" customHeight="1" x14ac:dyDescent="0.3">
      <c r="A213" s="175"/>
      <c r="B213" s="176"/>
      <c r="C213" s="176"/>
      <c r="D213" s="193"/>
      <c r="E213" s="198"/>
      <c r="F213" s="195" t="s">
        <v>95</v>
      </c>
      <c r="G213" s="196"/>
      <c r="H213" s="180" t="s">
        <v>37</v>
      </c>
      <c r="I213" s="187">
        <f ca="1">IFERROR(__xludf.DUMMYFUNCTION("IMPORTRANGE(""https://docs.google.com/spreadsheets/d/11923uPwbBZFjjGgGUA6NLw09EwE0CqkOc4q9oUmW1yo/edit?usp=sharing"",""นครสวรรค์!I138"")"),0)</f>
        <v>0</v>
      </c>
      <c r="J213" s="203">
        <f ca="1">IFERROR(__xludf.DUMMYFUNCTION("IMPORTRANGE(""https://docs.google.com/spreadsheets/d/11923uPwbBZFjjGgGUA6NLw09EwE0CqkOc4q9oUmW1yo/edit?usp=sharing"",""นครสวรรค์!J138"")"),0)</f>
        <v>0</v>
      </c>
      <c r="K213" s="223">
        <f ca="1">IF(I213&gt;0,J213*100/I213,0)</f>
        <v>0</v>
      </c>
      <c r="L213" s="168"/>
      <c r="M213" s="168"/>
      <c r="N213" s="167"/>
      <c r="O213" s="168"/>
      <c r="P213" s="168"/>
    </row>
    <row r="214" spans="1:16" ht="21.75" customHeight="1" x14ac:dyDescent="0.3">
      <c r="A214" s="175"/>
      <c r="B214" s="176"/>
      <c r="C214" s="176"/>
      <c r="D214" s="193"/>
      <c r="E214" s="198"/>
      <c r="F214" s="194" t="s">
        <v>53</v>
      </c>
      <c r="G214" s="196"/>
      <c r="H214" s="180"/>
      <c r="I214" s="187"/>
      <c r="J214" s="187"/>
      <c r="K214" s="223"/>
      <c r="L214" s="168"/>
      <c r="M214" s="168"/>
      <c r="N214" s="168"/>
      <c r="O214" s="181"/>
      <c r="P214" s="181"/>
    </row>
    <row r="215" spans="1:16" ht="21.75" customHeight="1" x14ac:dyDescent="0.3">
      <c r="A215" s="175"/>
      <c r="B215" s="176"/>
      <c r="C215" s="176"/>
      <c r="D215" s="193"/>
      <c r="E215" s="198"/>
      <c r="F215" s="195"/>
      <c r="G215" s="225" t="s">
        <v>96</v>
      </c>
      <c r="H215" s="180" t="s">
        <v>37</v>
      </c>
      <c r="I215" s="187">
        <f ca="1">IFERROR(__xludf.DUMMYFUNCTION("IMPORTRANGE(""https://docs.google.com/spreadsheets/d/11923uPwbBZFjjGgGUA6NLw09EwE0CqkOc4q9oUmW1yo/edit?usp=sharing"",""นครสวรรค์!I140"")"),0)</f>
        <v>0</v>
      </c>
      <c r="J215" s="203">
        <f ca="1">IFERROR(__xludf.DUMMYFUNCTION("IMPORTRANGE(""https://docs.google.com/spreadsheets/d/11923uPwbBZFjjGgGUA6NLw09EwE0CqkOc4q9oUmW1yo/edit?usp=sharing"",""นครสวรรค์!J140"")"),0)</f>
        <v>0</v>
      </c>
      <c r="K215" s="223">
        <f t="shared" ref="K215:K216" ca="1" si="71">IF(I215&gt;0,J215*100/I215,0)</f>
        <v>0</v>
      </c>
      <c r="L215" s="168"/>
      <c r="M215" s="168"/>
      <c r="N215" s="167"/>
      <c r="O215" s="168"/>
      <c r="P215" s="168"/>
    </row>
    <row r="216" spans="1:16" ht="21.75" customHeight="1" x14ac:dyDescent="0.3">
      <c r="A216" s="175"/>
      <c r="B216" s="176"/>
      <c r="C216" s="176"/>
      <c r="D216" s="193"/>
      <c r="E216" s="198"/>
      <c r="F216" s="195"/>
      <c r="G216" s="225" t="s">
        <v>97</v>
      </c>
      <c r="H216" s="180" t="s">
        <v>59</v>
      </c>
      <c r="I216" s="187">
        <f ca="1">IFERROR(__xludf.DUMMYFUNCTION("IMPORTRANGE(""https://docs.google.com/spreadsheets/d/11923uPwbBZFjjGgGUA6NLw09EwE0CqkOc4q9oUmW1yo/edit?usp=sharing"",""นครสวรรค์!I141"")"),0)</f>
        <v>0</v>
      </c>
      <c r="J216" s="203">
        <f ca="1">IFERROR(__xludf.DUMMYFUNCTION("IMPORTRANGE(""https://docs.google.com/spreadsheets/d/11923uPwbBZFjjGgGUA6NLw09EwE0CqkOc4q9oUmW1yo/edit?usp=sharing"",""นครสวรรค์!J141"")"),0)</f>
        <v>0</v>
      </c>
      <c r="K216" s="223">
        <f t="shared" ca="1" si="71"/>
        <v>0</v>
      </c>
      <c r="L216" s="168"/>
      <c r="M216" s="168"/>
      <c r="N216" s="167"/>
      <c r="O216" s="168"/>
      <c r="P216" s="168"/>
    </row>
    <row r="217" spans="1:16" ht="21.75" customHeight="1" x14ac:dyDescent="0.3">
      <c r="A217" s="175"/>
      <c r="B217" s="176"/>
      <c r="C217" s="176"/>
      <c r="D217" s="193"/>
      <c r="E217" s="194" t="s">
        <v>54</v>
      </c>
      <c r="F217" s="195"/>
      <c r="G217" s="196"/>
      <c r="H217" s="186"/>
      <c r="I217" s="187"/>
      <c r="J217" s="187">
        <f ca="1">IFERROR(__xludf.DUMMYFUNCTION("IMPORTRANGE(""https://docs.google.com/spreadsheets/d/11923uPwbBZFjjGgGUA6NLw09EwE0CqkOc4q9oUmW1yo/edit?usp=sharing"",""นครสวรรค์!J142"")"),0)</f>
        <v>0</v>
      </c>
      <c r="K217" s="223"/>
      <c r="L217" s="168"/>
      <c r="M217" s="168"/>
      <c r="N217" s="168"/>
      <c r="O217" s="181"/>
      <c r="P217" s="181"/>
    </row>
    <row r="218" spans="1:16" ht="21.75" customHeight="1" x14ac:dyDescent="0.3">
      <c r="A218" s="233"/>
      <c r="B218" s="234"/>
      <c r="C218" s="234"/>
      <c r="D218" s="235">
        <v>3</v>
      </c>
      <c r="E218" s="236" t="s">
        <v>55</v>
      </c>
      <c r="F218" s="237"/>
      <c r="G218" s="238"/>
      <c r="H218" s="239"/>
      <c r="I218" s="240"/>
      <c r="J218" s="241">
        <f ca="1">IFERROR(__xludf.DUMMYFUNCTION("IMPORTRANGE(""https://docs.google.com/spreadsheets/d/11923uPwbBZFjjGgGUA6NLw09EwE0CqkOc4q9oUmW1yo/edit?usp=sharing"",""นครสวรรค์!J143"")"),0)</f>
        <v>0</v>
      </c>
      <c r="K218" s="242"/>
      <c r="L218" s="243"/>
      <c r="M218" s="243"/>
      <c r="N218" s="243"/>
      <c r="O218" s="244"/>
      <c r="P218" s="244"/>
    </row>
    <row r="219" spans="1:16" ht="21.75" customHeight="1" x14ac:dyDescent="0.3">
      <c r="A219" s="261"/>
      <c r="B219" s="262" t="s">
        <v>98</v>
      </c>
      <c r="C219" s="263"/>
      <c r="D219" s="262"/>
      <c r="E219" s="262"/>
      <c r="F219" s="262"/>
      <c r="G219" s="264"/>
      <c r="H219" s="265" t="s">
        <v>37</v>
      </c>
      <c r="I219" s="266">
        <f ca="1">IFERROR(__xludf.DUMMYFUNCTION("IMPORTRANGE(""https://docs.google.com/spreadsheets/d/11923uPwbBZFjjGgGUA6NLw09EwE0CqkOc4q9oUmW1yo/edit?usp=sharing"",""นครสวรรค์!I144"")"),15)</f>
        <v>15</v>
      </c>
      <c r="J219" s="266">
        <f ca="1">IFERROR(__xludf.DUMMYFUNCTION("IMPORTRANGE(""https://docs.google.com/spreadsheets/d/11923uPwbBZFjjGgGUA6NLw09EwE0CqkOc4q9oUmW1yo/edit?usp=sharing"",""นครสวรรค์!J144"")"),15)</f>
        <v>15</v>
      </c>
      <c r="K219" s="267">
        <f ca="1">IF(I219&gt;0,J219*100/I219,0)</f>
        <v>100</v>
      </c>
      <c r="L219" s="268"/>
      <c r="M219" s="268"/>
      <c r="N219" s="268"/>
      <c r="O219" s="267"/>
      <c r="P219" s="267"/>
    </row>
    <row r="220" spans="1:16" ht="21.75" customHeight="1" x14ac:dyDescent="0.45">
      <c r="A220" s="145"/>
      <c r="B220" s="146"/>
      <c r="C220" s="147" t="s">
        <v>16</v>
      </c>
      <c r="D220" s="537" t="s">
        <v>17</v>
      </c>
      <c r="E220" s="528"/>
      <c r="F220" s="528"/>
      <c r="G220" s="528"/>
      <c r="H220" s="148" t="s">
        <v>12</v>
      </c>
      <c r="I220" s="162"/>
      <c r="J220" s="162"/>
      <c r="K220" s="163"/>
      <c r="L220" s="151">
        <f t="shared" ref="L220:N220" ca="1" si="72">L221+L222</f>
        <v>21125</v>
      </c>
      <c r="M220" s="151">
        <f t="shared" ca="1" si="72"/>
        <v>21125</v>
      </c>
      <c r="N220" s="151">
        <f t="shared" ca="1" si="72"/>
        <v>21125</v>
      </c>
      <c r="O220" s="150">
        <f t="shared" ref="O220:O222" ca="1" si="73">IF(L220&gt;0,N220*100/L220,0)</f>
        <v>100</v>
      </c>
      <c r="P220" s="150">
        <f t="shared" ref="P220:P222" ca="1" si="74">IF(M220&gt;0,N220*100/M220,0)</f>
        <v>100</v>
      </c>
    </row>
    <row r="221" spans="1:16" ht="21.75" customHeight="1" x14ac:dyDescent="0.45">
      <c r="A221" s="152"/>
      <c r="B221" s="32"/>
      <c r="C221" s="32"/>
      <c r="D221" s="32"/>
      <c r="E221" s="32"/>
      <c r="F221" s="32"/>
      <c r="G221" s="33" t="s">
        <v>18</v>
      </c>
      <c r="H221" s="153" t="s">
        <v>12</v>
      </c>
      <c r="I221" s="162"/>
      <c r="J221" s="162"/>
      <c r="K221" s="163"/>
      <c r="L221" s="87">
        <f t="shared" ref="L221:N221" si="75">L223+L227</f>
        <v>0</v>
      </c>
      <c r="M221" s="87">
        <f t="shared" si="75"/>
        <v>0</v>
      </c>
      <c r="N221" s="87">
        <f t="shared" si="75"/>
        <v>0</v>
      </c>
      <c r="O221" s="155">
        <f t="shared" si="73"/>
        <v>0</v>
      </c>
      <c r="P221" s="155">
        <f t="shared" si="74"/>
        <v>0</v>
      </c>
    </row>
    <row r="222" spans="1:16" ht="21.75" customHeight="1" x14ac:dyDescent="0.45">
      <c r="A222" s="152"/>
      <c r="B222" s="32"/>
      <c r="C222" s="32"/>
      <c r="D222" s="32"/>
      <c r="E222" s="32"/>
      <c r="F222" s="32"/>
      <c r="G222" s="33" t="s">
        <v>19</v>
      </c>
      <c r="H222" s="153" t="s">
        <v>12</v>
      </c>
      <c r="I222" s="162"/>
      <c r="J222" s="162"/>
      <c r="K222" s="163"/>
      <c r="L222" s="87">
        <f t="shared" ref="L222:N222" ca="1" si="76">L224+L228</f>
        <v>21125</v>
      </c>
      <c r="M222" s="87">
        <f t="shared" ca="1" si="76"/>
        <v>21125</v>
      </c>
      <c r="N222" s="87">
        <f t="shared" ca="1" si="76"/>
        <v>21125</v>
      </c>
      <c r="O222" s="155">
        <f t="shared" ca="1" si="73"/>
        <v>100</v>
      </c>
      <c r="P222" s="155">
        <f t="shared" ca="1" si="74"/>
        <v>100</v>
      </c>
    </row>
    <row r="223" spans="1:16" ht="21.75" customHeight="1" x14ac:dyDescent="0.3">
      <c r="A223" s="156"/>
      <c r="B223" s="157"/>
      <c r="C223" s="157" t="s">
        <v>16</v>
      </c>
      <c r="D223" s="158" t="s">
        <v>38</v>
      </c>
      <c r="E223" s="159"/>
      <c r="F223" s="159"/>
      <c r="G223" s="160" t="s">
        <v>39</v>
      </c>
      <c r="H223" s="161" t="s">
        <v>12</v>
      </c>
      <c r="I223" s="162" t="s">
        <v>40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3">
      <c r="A224" s="156"/>
      <c r="B224" s="157"/>
      <c r="C224" s="157"/>
      <c r="D224" s="166"/>
      <c r="E224" s="159"/>
      <c r="F224" s="159" t="s">
        <v>40</v>
      </c>
      <c r="G224" s="160" t="s">
        <v>41</v>
      </c>
      <c r="H224" s="161" t="s">
        <v>12</v>
      </c>
      <c r="I224" s="162"/>
      <c r="J224" s="162"/>
      <c r="K224" s="163"/>
      <c r="L224" s="167">
        <f ca="1">L225+L226</f>
        <v>21125</v>
      </c>
      <c r="M224" s="167">
        <f ca="1">IFERROR(__xludf.DUMMYFUNCTION("IMPORTRANGE(""https://docs.google.com/spreadsheets/d/1Yj_ptqi66GCucihVvJfMjLAmec39IyEx_6qawtMGysU/edit?usp=sharing"",""สบก!BS24"")"),21125)</f>
        <v>21125</v>
      </c>
      <c r="N224" s="168">
        <f ca="1">IFERROR(__xludf.DUMMYFUNCTION("IMPORTRANGE(""https://docs.google.com/spreadsheets/d/1Yj_ptqi66GCucihVvJfMjLAmec39IyEx_6qawtMGysU/edit?usp=sharing"",""สบก!BT24"")"),21125)</f>
        <v>21125</v>
      </c>
      <c r="O224" s="168">
        <f ca="1">IF(L224&gt;0,N224*100/L224,0)</f>
        <v>100</v>
      </c>
      <c r="P224" s="168">
        <f ca="1">IF(M224&gt;0,N224*100/M224,0)</f>
        <v>100</v>
      </c>
    </row>
    <row r="225" spans="1:16" ht="21.75" customHeight="1" x14ac:dyDescent="0.3">
      <c r="A225" s="156"/>
      <c r="B225" s="157"/>
      <c r="C225" s="157"/>
      <c r="D225" s="166"/>
      <c r="E225" s="159"/>
      <c r="F225" s="159"/>
      <c r="G225" s="169" t="s">
        <v>42</v>
      </c>
      <c r="H225" s="161" t="s">
        <v>12</v>
      </c>
      <c r="I225" s="162"/>
      <c r="J225" s="162"/>
      <c r="K225" s="163"/>
      <c r="L225" s="167">
        <f ca="1">IFERROR(__xludf.DUMMYFUNCTION("IMPORTRANGE(""https://docs.google.com/spreadsheets/d/1Yj_ptqi66GCucihVvJfMjLAmec39IyEx_6qawtMGysU/edit?usp=sharing"",""สบก!BO24"")"),0)</f>
        <v>0</v>
      </c>
      <c r="M225" s="167"/>
      <c r="N225" s="167"/>
      <c r="O225" s="168"/>
      <c r="P225" s="168"/>
    </row>
    <row r="226" spans="1:16" ht="21.75" customHeight="1" x14ac:dyDescent="0.3">
      <c r="A226" s="156"/>
      <c r="B226" s="157"/>
      <c r="C226" s="157"/>
      <c r="D226" s="166"/>
      <c r="E226" s="159"/>
      <c r="F226" s="159"/>
      <c r="G226" s="169" t="s">
        <v>43</v>
      </c>
      <c r="H226" s="161" t="s">
        <v>12</v>
      </c>
      <c r="I226" s="162"/>
      <c r="J226" s="162"/>
      <c r="K226" s="163"/>
      <c r="L226" s="167">
        <f ca="1">IFERROR(__xludf.DUMMYFUNCTION("IMPORTRANGE(""https://docs.google.com/spreadsheets/d/1Yj_ptqi66GCucihVvJfMjLAmec39IyEx_6qawtMGysU/edit?usp=sharing"",""สบก!BP24"")"),21125)</f>
        <v>21125</v>
      </c>
      <c r="M226" s="167"/>
      <c r="N226" s="167"/>
      <c r="O226" s="168"/>
      <c r="P226" s="168"/>
    </row>
    <row r="227" spans="1:16" ht="21.75" customHeight="1" x14ac:dyDescent="0.45">
      <c r="A227" s="170"/>
      <c r="B227" s="80"/>
      <c r="C227" s="81" t="s">
        <v>16</v>
      </c>
      <c r="D227" s="534" t="s">
        <v>23</v>
      </c>
      <c r="E227" s="530"/>
      <c r="F227" s="88"/>
      <c r="G227" s="82" t="s">
        <v>18</v>
      </c>
      <c r="H227" s="171" t="s">
        <v>12</v>
      </c>
      <c r="I227" s="200"/>
      <c r="J227" s="200"/>
      <c r="K227" s="288"/>
      <c r="L227" s="41">
        <v>0</v>
      </c>
      <c r="M227" s="41"/>
      <c r="N227" s="41"/>
      <c r="O227" s="41"/>
      <c r="P227" s="41"/>
    </row>
    <row r="228" spans="1:16" ht="21.75" customHeight="1" x14ac:dyDescent="0.45">
      <c r="A228" s="172"/>
      <c r="B228" s="91"/>
      <c r="C228" s="91"/>
      <c r="D228" s="173"/>
      <c r="E228" s="92"/>
      <c r="F228" s="92"/>
      <c r="G228" s="93" t="s">
        <v>19</v>
      </c>
      <c r="H228" s="174" t="s">
        <v>12</v>
      </c>
      <c r="I228" s="200"/>
      <c r="J228" s="200"/>
      <c r="K228" s="288"/>
      <c r="L228" s="49">
        <f ca="1">IFERROR(__xludf.DUMMYFUNCTION("IMPORTRANGE(""https://docs.google.com/spreadsheets/d/1Yj_ptqi66GCucihVvJfMjLAmec39IyEx_6qawtMGysU/edit?usp=sharing"",""สบก!BQ24"")"),0)</f>
        <v>0</v>
      </c>
      <c r="M228" s="49"/>
      <c r="N228" s="49">
        <f ca="1">IFERROR(__xludf.DUMMYFUNCTION("IMPORTRANGE(""https://docs.google.com/spreadsheets/d/1Yj_ptqi66GCucihVvJfMjLAmec39IyEx_6qawtMGysU/edit?usp=sharing"",""สบก!BU24"")"),0)</f>
        <v>0</v>
      </c>
      <c r="O228" s="49">
        <f ca="1">IF(L228&gt;0,N228*100/L228,0)</f>
        <v>0</v>
      </c>
      <c r="P228" s="49"/>
    </row>
    <row r="229" spans="1:16" ht="21.75" customHeight="1" x14ac:dyDescent="0.3">
      <c r="A229" s="175"/>
      <c r="B229" s="289"/>
      <c r="C229" s="263" t="s">
        <v>99</v>
      </c>
      <c r="D229" s="262"/>
      <c r="E229" s="262"/>
      <c r="F229" s="262"/>
      <c r="G229" s="264"/>
      <c r="H229" s="265" t="s">
        <v>37</v>
      </c>
      <c r="I229" s="266">
        <f ca="1">IFERROR(__xludf.DUMMYFUNCTION("IMPORTRANGE(""https://docs.google.com/spreadsheets/d/11923uPwbBZFjjGgGUA6NLw09EwE0CqkOc4q9oUmW1yo/edit?usp=sharing"",""นครสวรรค์!I149"")"),15)</f>
        <v>15</v>
      </c>
      <c r="J229" s="266">
        <f ca="1">IFERROR(__xludf.DUMMYFUNCTION("IMPORTRANGE(""https://docs.google.com/spreadsheets/d/11923uPwbBZFjjGgGUA6NLw09EwE0CqkOc4q9oUmW1yo/edit?usp=sharing"",""นครสวรรค์!J149"")"),15)</f>
        <v>15</v>
      </c>
      <c r="K229" s="267">
        <f ca="1">IF(I229&gt;0,J229*100/I229,0)</f>
        <v>100</v>
      </c>
      <c r="L229" s="290"/>
      <c r="M229" s="290"/>
      <c r="N229" s="290"/>
      <c r="O229" s="290"/>
      <c r="P229" s="290"/>
    </row>
    <row r="230" spans="1:16" ht="21.75" customHeight="1" x14ac:dyDescent="0.3">
      <c r="A230" s="175"/>
      <c r="B230" s="176"/>
      <c r="C230" s="157" t="s">
        <v>16</v>
      </c>
      <c r="D230" s="177" t="s">
        <v>44</v>
      </c>
      <c r="E230" s="178"/>
      <c r="F230" s="178"/>
      <c r="G230" s="179"/>
      <c r="H230" s="180"/>
      <c r="I230" s="162"/>
      <c r="J230" s="162"/>
      <c r="K230" s="163"/>
      <c r="L230" s="181"/>
      <c r="M230" s="181"/>
      <c r="N230" s="181"/>
      <c r="O230" s="181"/>
      <c r="P230" s="181"/>
    </row>
    <row r="231" spans="1:16" ht="21.75" customHeight="1" x14ac:dyDescent="0.3">
      <c r="A231" s="175"/>
      <c r="B231" s="176"/>
      <c r="C231" s="176"/>
      <c r="D231" s="182">
        <v>1</v>
      </c>
      <c r="E231" s="183" t="s">
        <v>45</v>
      </c>
      <c r="F231" s="184"/>
      <c r="G231" s="185"/>
      <c r="H231" s="186"/>
      <c r="I231" s="187"/>
      <c r="J231" s="197">
        <f ca="1">IFERROR(__xludf.DUMMYFUNCTION("IMPORTRANGE(""https://docs.google.com/spreadsheets/d/11923uPwbBZFjjGgGUA6NLw09EwE0CqkOc4q9oUmW1yo/edit?usp=sharing"",""นครสวรรค์!J151"")"),0)</f>
        <v>0</v>
      </c>
      <c r="K231" s="163"/>
      <c r="L231" s="181"/>
      <c r="M231" s="181"/>
      <c r="N231" s="181"/>
      <c r="O231" s="181"/>
      <c r="P231" s="181"/>
    </row>
    <row r="232" spans="1:16" ht="21.75" customHeight="1" x14ac:dyDescent="0.3">
      <c r="A232" s="175"/>
      <c r="B232" s="176"/>
      <c r="C232" s="176"/>
      <c r="D232" s="189">
        <v>2</v>
      </c>
      <c r="E232" s="190" t="s">
        <v>46</v>
      </c>
      <c r="F232" s="191"/>
      <c r="G232" s="192"/>
      <c r="H232" s="186"/>
      <c r="I232" s="187"/>
      <c r="J232" s="188">
        <f ca="1">IFERROR(__xludf.DUMMYFUNCTION("IMPORTRANGE(""https://docs.google.com/spreadsheets/d/11923uPwbBZFjjGgGUA6NLw09EwE0CqkOc4q9oUmW1yo/edit?usp=sharing"",""นครสวรรค์!J152"")"),1)</f>
        <v>1</v>
      </c>
      <c r="K232" s="163"/>
      <c r="L232" s="181" t="s">
        <v>40</v>
      </c>
      <c r="M232" s="181"/>
      <c r="N232" s="181" t="s">
        <v>40</v>
      </c>
      <c r="O232" s="181"/>
      <c r="P232" s="181"/>
    </row>
    <row r="233" spans="1:16" ht="21.75" customHeight="1" x14ac:dyDescent="0.3">
      <c r="A233" s="175"/>
      <c r="B233" s="176"/>
      <c r="C233" s="176"/>
      <c r="D233" s="193"/>
      <c r="E233" s="194" t="s">
        <v>47</v>
      </c>
      <c r="F233" s="195"/>
      <c r="G233" s="196"/>
      <c r="H233" s="186"/>
      <c r="I233" s="187"/>
      <c r="J233" s="188">
        <f ca="1">IFERROR(__xludf.DUMMYFUNCTION("IMPORTRANGE(""https://docs.google.com/spreadsheets/d/11923uPwbBZFjjGgGUA6NLw09EwE0CqkOc4q9oUmW1yo/edit?usp=sharing"",""นครสวรรค์!J153"")"),1)</f>
        <v>1</v>
      </c>
      <c r="K233" s="163"/>
      <c r="L233" s="181"/>
      <c r="M233" s="181"/>
      <c r="N233" s="181"/>
      <c r="O233" s="181"/>
      <c r="P233" s="181"/>
    </row>
    <row r="234" spans="1:16" ht="21.75" customHeight="1" x14ac:dyDescent="0.3">
      <c r="A234" s="175"/>
      <c r="B234" s="176"/>
      <c r="C234" s="176"/>
      <c r="D234" s="193"/>
      <c r="E234" s="194" t="s">
        <v>48</v>
      </c>
      <c r="F234" s="195"/>
      <c r="G234" s="196"/>
      <c r="H234" s="186"/>
      <c r="I234" s="187"/>
      <c r="J234" s="197">
        <f ca="1">IFERROR(__xludf.DUMMYFUNCTION("IMPORTRANGE(""https://docs.google.com/spreadsheets/d/11923uPwbBZFjjGgGUA6NLw09EwE0CqkOc4q9oUmW1yo/edit?usp=sharing"",""นครสวรรค์!J154"")"),1)</f>
        <v>1</v>
      </c>
      <c r="K234" s="163"/>
      <c r="L234" s="181"/>
      <c r="M234" s="181"/>
      <c r="N234" s="181"/>
      <c r="O234" s="181"/>
      <c r="P234" s="181"/>
    </row>
    <row r="235" spans="1:16" ht="21.75" customHeight="1" x14ac:dyDescent="0.3">
      <c r="A235" s="175"/>
      <c r="B235" s="176"/>
      <c r="C235" s="176"/>
      <c r="D235" s="193"/>
      <c r="E235" s="198"/>
      <c r="F235" s="195"/>
      <c r="G235" s="291" t="s">
        <v>70</v>
      </c>
      <c r="H235" s="186" t="s">
        <v>37</v>
      </c>
      <c r="I235" s="187">
        <f ca="1">IFERROR(__xludf.DUMMYFUNCTION("IMPORTRANGE(""https://docs.google.com/spreadsheets/d/11923uPwbBZFjjGgGUA6NLw09EwE0CqkOc4q9oUmW1yo/edit?usp=sharing"",""นครสวรรค์!I155"")"),15)</f>
        <v>15</v>
      </c>
      <c r="J235" s="188">
        <f ca="1">IFERROR(__xludf.DUMMYFUNCTION("IMPORTRANGE(""https://docs.google.com/spreadsheets/d/11923uPwbBZFjjGgGUA6NLw09EwE0CqkOc4q9oUmW1yo/edit?usp=sharing"",""นครสวรรค์!J155"")"),15)</f>
        <v>15</v>
      </c>
      <c r="K235" s="163">
        <f ca="1">IF(I235&gt;0,J235*100/I235,0)</f>
        <v>100</v>
      </c>
      <c r="L235" s="181"/>
      <c r="M235" s="181"/>
      <c r="N235" s="181"/>
      <c r="O235" s="181"/>
      <c r="P235" s="181"/>
    </row>
    <row r="236" spans="1:16" ht="21.75" customHeight="1" x14ac:dyDescent="0.3">
      <c r="A236" s="175"/>
      <c r="B236" s="176"/>
      <c r="C236" s="176"/>
      <c r="D236" s="193"/>
      <c r="E236" s="194" t="s">
        <v>54</v>
      </c>
      <c r="F236" s="195"/>
      <c r="G236" s="196"/>
      <c r="H236" s="186"/>
      <c r="I236" s="187"/>
      <c r="J236" s="197">
        <f ca="1">IFERROR(__xludf.DUMMYFUNCTION("IMPORTRANGE(""https://docs.google.com/spreadsheets/d/11923uPwbBZFjjGgGUA6NLw09EwE0CqkOc4q9oUmW1yo/edit?usp=sharing"",""นครสวรรค์!J156"")"),0)</f>
        <v>0</v>
      </c>
      <c r="K236" s="163"/>
      <c r="L236" s="181"/>
      <c r="M236" s="181"/>
      <c r="N236" s="181"/>
      <c r="O236" s="181"/>
      <c r="P236" s="181"/>
    </row>
    <row r="237" spans="1:16" ht="21.75" customHeight="1" x14ac:dyDescent="0.3">
      <c r="A237" s="175"/>
      <c r="B237" s="176"/>
      <c r="C237" s="176"/>
      <c r="D237" s="205">
        <v>3</v>
      </c>
      <c r="E237" s="206" t="s">
        <v>55</v>
      </c>
      <c r="F237" s="207"/>
      <c r="G237" s="208"/>
      <c r="H237" s="186"/>
      <c r="I237" s="187"/>
      <c r="J237" s="209">
        <f ca="1">IFERROR(__xludf.DUMMYFUNCTION("IMPORTRANGE(""https://docs.google.com/spreadsheets/d/11923uPwbBZFjjGgGUA6NLw09EwE0CqkOc4q9oUmW1yo/edit?usp=sharing"",""นครสวรรค์!J157"")"),0)</f>
        <v>0</v>
      </c>
      <c r="K237" s="163"/>
      <c r="L237" s="181"/>
      <c r="M237" s="181"/>
      <c r="N237" s="181"/>
      <c r="O237" s="181"/>
      <c r="P237" s="181"/>
    </row>
    <row r="238" spans="1:16" ht="21.75" customHeight="1" x14ac:dyDescent="0.3">
      <c r="A238" s="175"/>
      <c r="B238" s="176"/>
      <c r="C238" s="263" t="s">
        <v>100</v>
      </c>
      <c r="D238" s="292"/>
      <c r="E238" s="262"/>
      <c r="F238" s="262"/>
      <c r="G238" s="264"/>
      <c r="H238" s="265" t="s">
        <v>37</v>
      </c>
      <c r="I238" s="266">
        <f ca="1">IFERROR(__xludf.DUMMYFUNCTION("IMPORTRANGE(""https://docs.google.com/spreadsheets/d/11923uPwbBZFjjGgGUA6NLw09EwE0CqkOc4q9oUmW1yo/edit?usp=sharing"",""นครสวรรค์!I158"")"),0)</f>
        <v>0</v>
      </c>
      <c r="J238" s="266">
        <f ca="1">IFERROR(__xludf.DUMMYFUNCTION("IMPORTRANGE(""https://docs.google.com/spreadsheets/d/11923uPwbBZFjjGgGUA6NLw09EwE0CqkOc4q9oUmW1yo/edit?usp=sharing"",""นครสวรรค์!J158"")"),0)</f>
        <v>0</v>
      </c>
      <c r="K238" s="267">
        <f ca="1">IF(I238&gt;0,J238*100/I238,0)</f>
        <v>0</v>
      </c>
      <c r="L238" s="181"/>
      <c r="M238" s="181"/>
      <c r="N238" s="181"/>
      <c r="O238" s="181"/>
      <c r="P238" s="181"/>
    </row>
    <row r="239" spans="1:16" ht="21.75" customHeight="1" x14ac:dyDescent="0.3">
      <c r="A239" s="175"/>
      <c r="B239" s="176"/>
      <c r="C239" s="157" t="s">
        <v>16</v>
      </c>
      <c r="D239" s="177" t="s">
        <v>44</v>
      </c>
      <c r="E239" s="178"/>
      <c r="F239" s="178"/>
      <c r="G239" s="179"/>
      <c r="H239" s="180"/>
      <c r="I239" s="162"/>
      <c r="J239" s="162"/>
      <c r="K239" s="163"/>
      <c r="L239" s="181"/>
      <c r="M239" s="181"/>
      <c r="N239" s="181"/>
      <c r="O239" s="181"/>
      <c r="P239" s="181"/>
    </row>
    <row r="240" spans="1:16" ht="21.75" customHeight="1" x14ac:dyDescent="0.3">
      <c r="A240" s="175"/>
      <c r="B240" s="176"/>
      <c r="C240" s="176"/>
      <c r="D240" s="182">
        <v>1</v>
      </c>
      <c r="E240" s="183" t="s">
        <v>45</v>
      </c>
      <c r="F240" s="184"/>
      <c r="G240" s="185"/>
      <c r="H240" s="186"/>
      <c r="I240" s="187"/>
      <c r="J240" s="187" t="str">
        <f ca="1">IFERROR(__xludf.DUMMYFUNCTION("IMPORTRANGE(""https://docs.google.com/spreadsheets/d/11923uPwbBZFjjGgGUA6NLw09EwE0CqkOc4q9oUmW1yo/edit?usp=sharing"",""นครสวรรค์!J159"")"),"")</f>
        <v/>
      </c>
      <c r="K240" s="163"/>
      <c r="L240" s="181"/>
      <c r="M240" s="181"/>
      <c r="N240" s="181"/>
      <c r="O240" s="181"/>
      <c r="P240" s="181"/>
    </row>
    <row r="241" spans="1:16" ht="21.75" customHeight="1" x14ac:dyDescent="0.3">
      <c r="A241" s="175"/>
      <c r="B241" s="176"/>
      <c r="C241" s="176"/>
      <c r="D241" s="189">
        <v>2</v>
      </c>
      <c r="E241" s="190" t="s">
        <v>46</v>
      </c>
      <c r="F241" s="191"/>
      <c r="G241" s="192"/>
      <c r="H241" s="186"/>
      <c r="I241" s="187"/>
      <c r="J241" s="187">
        <f ca="1">IFERROR(__xludf.DUMMYFUNCTION("IMPORTRANGE(""https://docs.google.com/spreadsheets/d/11923uPwbBZFjjGgGUA6NLw09EwE0CqkOc4q9oUmW1yo/edit?usp=sharing"",""นครสวรรค์!J161"")"),0)</f>
        <v>0</v>
      </c>
      <c r="K241" s="163"/>
      <c r="L241" s="181" t="s">
        <v>40</v>
      </c>
      <c r="M241" s="181"/>
      <c r="N241" s="181" t="s">
        <v>40</v>
      </c>
      <c r="O241" s="181"/>
      <c r="P241" s="181"/>
    </row>
    <row r="242" spans="1:16" ht="21.75" customHeight="1" x14ac:dyDescent="0.3">
      <c r="A242" s="175"/>
      <c r="B242" s="176"/>
      <c r="C242" s="176"/>
      <c r="D242" s="193"/>
      <c r="E242" s="194" t="s">
        <v>47</v>
      </c>
      <c r="F242" s="195"/>
      <c r="G242" s="196"/>
      <c r="H242" s="186"/>
      <c r="I242" s="187"/>
      <c r="J242" s="187">
        <f ca="1">IFERROR(__xludf.DUMMYFUNCTION("IMPORTRANGE(""https://docs.google.com/spreadsheets/d/11923uPwbBZFjjGgGUA6NLw09EwE0CqkOc4q9oUmW1yo/edit?usp=sharing"",""นครสวรรค์!J162"")"),0)</f>
        <v>0</v>
      </c>
      <c r="K242" s="163"/>
      <c r="L242" s="181"/>
      <c r="M242" s="181"/>
      <c r="N242" s="181"/>
      <c r="O242" s="181"/>
      <c r="P242" s="181"/>
    </row>
    <row r="243" spans="1:16" ht="21.75" customHeight="1" x14ac:dyDescent="0.3">
      <c r="A243" s="175"/>
      <c r="B243" s="176"/>
      <c r="C243" s="176"/>
      <c r="D243" s="193"/>
      <c r="E243" s="194" t="s">
        <v>48</v>
      </c>
      <c r="F243" s="195"/>
      <c r="G243" s="196"/>
      <c r="H243" s="186"/>
      <c r="I243" s="187"/>
      <c r="J243" s="187">
        <f ca="1">IFERROR(__xludf.DUMMYFUNCTION("IMPORTRANGE(""https://docs.google.com/spreadsheets/d/11923uPwbBZFjjGgGUA6NLw09EwE0CqkOc4q9oUmW1yo/edit?usp=sharing"",""นครสวรรค์!J163"")"),0)</f>
        <v>0</v>
      </c>
      <c r="K243" s="163"/>
      <c r="L243" s="181"/>
      <c r="M243" s="181"/>
      <c r="N243" s="181"/>
      <c r="O243" s="181"/>
      <c r="P243" s="181"/>
    </row>
    <row r="244" spans="1:16" ht="21.75" customHeight="1" x14ac:dyDescent="0.3">
      <c r="A244" s="175"/>
      <c r="B244" s="176"/>
      <c r="C244" s="176"/>
      <c r="D244" s="193"/>
      <c r="E244" s="195"/>
      <c r="F244" s="194" t="s">
        <v>101</v>
      </c>
      <c r="G244" s="195"/>
      <c r="H244" s="186" t="s">
        <v>37</v>
      </c>
      <c r="I244" s="203">
        <f ca="1">IFERROR(__xludf.DUMMYFUNCTION("IMPORTRANGE(""https://docs.google.com/spreadsheets/d/11923uPwbBZFjjGgGUA6NLw09EwE0CqkOc4q9oUmW1yo/edit?usp=sharing"",""นครสวรรค์!I164"")"),0)</f>
        <v>0</v>
      </c>
      <c r="J244" s="187">
        <f ca="1">IFERROR(__xludf.DUMMYFUNCTION("IMPORTRANGE(""https://docs.google.com/spreadsheets/d/11923uPwbBZFjjGgGUA6NLw09EwE0CqkOc4q9oUmW1yo/edit?usp=sharing"",""นครสวรรค์!J164"")"),0)</f>
        <v>0</v>
      </c>
      <c r="K244" s="163">
        <f ca="1">IF(I244&gt;0,J244*100/I244,0)</f>
        <v>0</v>
      </c>
      <c r="L244" s="181"/>
      <c r="M244" s="181"/>
      <c r="N244" s="181"/>
      <c r="O244" s="181"/>
      <c r="P244" s="181"/>
    </row>
    <row r="245" spans="1:16" ht="21.75" customHeight="1" x14ac:dyDescent="0.3">
      <c r="A245" s="175"/>
      <c r="B245" s="176"/>
      <c r="C245" s="176"/>
      <c r="D245" s="193"/>
      <c r="E245" s="194" t="s">
        <v>54</v>
      </c>
      <c r="F245" s="195"/>
      <c r="G245" s="196"/>
      <c r="H245" s="186"/>
      <c r="I245" s="187"/>
      <c r="J245" s="187">
        <f ca="1">IFERROR(__xludf.DUMMYFUNCTION("IMPORTRANGE(""https://docs.google.com/spreadsheets/d/11923uPwbBZFjjGgGUA6NLw09EwE0CqkOc4q9oUmW1yo/edit?usp=sharing"",""นครสวรรค์!J165"")"),0)</f>
        <v>0</v>
      </c>
      <c r="K245" s="163"/>
      <c r="L245" s="181"/>
      <c r="M245" s="181"/>
      <c r="N245" s="181"/>
      <c r="O245" s="181"/>
      <c r="P245" s="181"/>
    </row>
    <row r="246" spans="1:16" ht="21.75" customHeight="1" x14ac:dyDescent="0.3">
      <c r="A246" s="233"/>
      <c r="B246" s="234"/>
      <c r="C246" s="234"/>
      <c r="D246" s="235">
        <v>3</v>
      </c>
      <c r="E246" s="236" t="s">
        <v>55</v>
      </c>
      <c r="F246" s="237"/>
      <c r="G246" s="238"/>
      <c r="H246" s="239"/>
      <c r="I246" s="240"/>
      <c r="J246" s="241">
        <f ca="1">IFERROR(__xludf.DUMMYFUNCTION("IMPORTRANGE(""https://docs.google.com/spreadsheets/d/11923uPwbBZFjjGgGUA6NLw09EwE0CqkOc4q9oUmW1yo/edit?usp=sharing"",""นครสวรรค์!J166"")"),0)</f>
        <v>0</v>
      </c>
      <c r="K246" s="286"/>
      <c r="L246" s="244"/>
      <c r="M246" s="244"/>
      <c r="N246" s="244"/>
      <c r="O246" s="244"/>
      <c r="P246" s="244"/>
    </row>
    <row r="247" spans="1:16" ht="21.75" customHeight="1" x14ac:dyDescent="0.3">
      <c r="A247" s="293" t="s">
        <v>102</v>
      </c>
      <c r="B247" s="294"/>
      <c r="C247" s="294"/>
      <c r="D247" s="294"/>
      <c r="E247" s="295"/>
      <c r="F247" s="295"/>
      <c r="G247" s="296"/>
      <c r="H247" s="297"/>
      <c r="I247" s="298"/>
      <c r="J247" s="298"/>
      <c r="K247" s="299"/>
      <c r="L247" s="300"/>
      <c r="M247" s="300"/>
      <c r="N247" s="300"/>
      <c r="O247" s="301"/>
      <c r="P247" s="301"/>
    </row>
    <row r="248" spans="1:16" ht="21.75" customHeight="1" x14ac:dyDescent="0.3">
      <c r="A248" s="302" t="s">
        <v>103</v>
      </c>
      <c r="B248" s="303"/>
      <c r="C248" s="303"/>
      <c r="D248" s="304"/>
      <c r="E248" s="304"/>
      <c r="F248" s="304"/>
      <c r="G248" s="305"/>
      <c r="H248" s="306"/>
      <c r="I248" s="307"/>
      <c r="J248" s="307"/>
      <c r="K248" s="308"/>
      <c r="L248" s="308"/>
      <c r="M248" s="308"/>
      <c r="N248" s="308"/>
      <c r="O248" s="309"/>
      <c r="P248" s="309"/>
    </row>
    <row r="249" spans="1:16" ht="21.75" customHeight="1" x14ac:dyDescent="0.3">
      <c r="A249" s="310"/>
      <c r="B249" s="311" t="s">
        <v>104</v>
      </c>
      <c r="C249" s="311"/>
      <c r="D249" s="311"/>
      <c r="E249" s="311"/>
      <c r="F249" s="311"/>
      <c r="G249" s="312"/>
      <c r="H249" s="313" t="s">
        <v>37</v>
      </c>
      <c r="I249" s="314">
        <f ca="1">IFERROR(__xludf.DUMMYFUNCTION("IMPORTRANGE(""https://docs.google.com/spreadsheets/d/11923uPwbBZFjjGgGUA6NLw09EwE0CqkOc4q9oUmW1yo/edit?usp=sharing"",""นครสวรรค์!I169"")"),25)</f>
        <v>25</v>
      </c>
      <c r="J249" s="314">
        <f ca="1">IFERROR(__xludf.DUMMYFUNCTION("IMPORTRANGE(""https://docs.google.com/spreadsheets/d/11923uPwbBZFjjGgGUA6NLw09EwE0CqkOc4q9oUmW1yo/edit?usp=sharing"",""นครสวรรค์!J169"")"),25)</f>
        <v>25</v>
      </c>
      <c r="K249" s="315">
        <f ca="1">IF(I249&gt;0,J249*100/I249,0)</f>
        <v>100</v>
      </c>
      <c r="L249" s="316"/>
      <c r="M249" s="316"/>
      <c r="N249" s="316"/>
      <c r="O249" s="315"/>
      <c r="P249" s="315"/>
    </row>
    <row r="250" spans="1:16" ht="21.75" customHeight="1" x14ac:dyDescent="0.45">
      <c r="A250" s="145"/>
      <c r="B250" s="146"/>
      <c r="C250" s="147" t="s">
        <v>16</v>
      </c>
      <c r="D250" s="537" t="s">
        <v>17</v>
      </c>
      <c r="E250" s="528"/>
      <c r="F250" s="528"/>
      <c r="G250" s="528"/>
      <c r="H250" s="148" t="s">
        <v>12</v>
      </c>
      <c r="I250" s="162"/>
      <c r="J250" s="162"/>
      <c r="K250" s="163"/>
      <c r="L250" s="151">
        <f t="shared" ref="L250:N250" ca="1" si="77">L251+L252</f>
        <v>89000</v>
      </c>
      <c r="M250" s="151">
        <f t="shared" ca="1" si="77"/>
        <v>42500</v>
      </c>
      <c r="N250" s="151">
        <f t="shared" ca="1" si="77"/>
        <v>42144</v>
      </c>
      <c r="O250" s="150">
        <f t="shared" ref="O250:O252" ca="1" si="78">IF(L250&gt;0,N250*100/L250,0)</f>
        <v>47.352808988764046</v>
      </c>
      <c r="P250" s="150">
        <f t="shared" ref="P250:P252" ca="1" si="79">IF(M250&gt;0,N250*100/M250,0)</f>
        <v>99.162352941176465</v>
      </c>
    </row>
    <row r="251" spans="1:16" ht="21.75" customHeight="1" x14ac:dyDescent="0.45">
      <c r="A251" s="152"/>
      <c r="B251" s="32"/>
      <c r="C251" s="32"/>
      <c r="D251" s="32"/>
      <c r="E251" s="32"/>
      <c r="F251" s="32"/>
      <c r="G251" s="33" t="s">
        <v>18</v>
      </c>
      <c r="H251" s="153" t="s">
        <v>12</v>
      </c>
      <c r="I251" s="162"/>
      <c r="J251" s="162"/>
      <c r="K251" s="163"/>
      <c r="L251" s="87">
        <f t="shared" ref="L251:N251" si="80">L253+L257</f>
        <v>0</v>
      </c>
      <c r="M251" s="87">
        <f t="shared" si="80"/>
        <v>0</v>
      </c>
      <c r="N251" s="87">
        <f t="shared" si="80"/>
        <v>0</v>
      </c>
      <c r="O251" s="155">
        <f t="shared" si="78"/>
        <v>0</v>
      </c>
      <c r="P251" s="155">
        <f t="shared" si="79"/>
        <v>0</v>
      </c>
    </row>
    <row r="252" spans="1:16" ht="21.75" customHeight="1" x14ac:dyDescent="0.45">
      <c r="A252" s="152"/>
      <c r="B252" s="32"/>
      <c r="C252" s="32"/>
      <c r="D252" s="32"/>
      <c r="E252" s="32"/>
      <c r="F252" s="32"/>
      <c r="G252" s="33" t="s">
        <v>19</v>
      </c>
      <c r="H252" s="153" t="s">
        <v>12</v>
      </c>
      <c r="I252" s="162"/>
      <c r="J252" s="162"/>
      <c r="K252" s="163"/>
      <c r="L252" s="87">
        <f t="shared" ref="L252:N252" ca="1" si="81">L254+L258</f>
        <v>89000</v>
      </c>
      <c r="M252" s="87">
        <f t="shared" ca="1" si="81"/>
        <v>42500</v>
      </c>
      <c r="N252" s="87">
        <f t="shared" ca="1" si="81"/>
        <v>42144</v>
      </c>
      <c r="O252" s="155">
        <f t="shared" ca="1" si="78"/>
        <v>47.352808988764046</v>
      </c>
      <c r="P252" s="155">
        <f t="shared" ca="1" si="79"/>
        <v>99.162352941176465</v>
      </c>
    </row>
    <row r="253" spans="1:16" ht="21.75" customHeight="1" x14ac:dyDescent="0.3">
      <c r="A253" s="156"/>
      <c r="B253" s="157"/>
      <c r="C253" s="157" t="s">
        <v>16</v>
      </c>
      <c r="D253" s="158" t="s">
        <v>38</v>
      </c>
      <c r="E253" s="159"/>
      <c r="F253" s="159"/>
      <c r="G253" s="160" t="s">
        <v>39</v>
      </c>
      <c r="H253" s="161" t="s">
        <v>12</v>
      </c>
      <c r="I253" s="162" t="s">
        <v>40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3">
      <c r="A254" s="156"/>
      <c r="B254" s="157"/>
      <c r="C254" s="157"/>
      <c r="D254" s="166"/>
      <c r="E254" s="159"/>
      <c r="F254" s="159" t="s">
        <v>40</v>
      </c>
      <c r="G254" s="160" t="s">
        <v>41</v>
      </c>
      <c r="H254" s="161" t="s">
        <v>12</v>
      </c>
      <c r="I254" s="162"/>
      <c r="J254" s="162"/>
      <c r="K254" s="163"/>
      <c r="L254" s="167">
        <f ca="1">L255+L256</f>
        <v>89000</v>
      </c>
      <c r="M254" s="167">
        <f ca="1">IFERROR(__xludf.DUMMYFUNCTION("IMPORTRANGE(""https://docs.google.com/spreadsheets/d/1Yj_ptqi66GCucihVvJfMjLAmec39IyEx_6qawtMGysU/edit?usp=sharing"",""สบก!CB24"")"),42500)</f>
        <v>42500</v>
      </c>
      <c r="N254" s="168">
        <f ca="1">IFERROR(__xludf.DUMMYFUNCTION("IMPORTRANGE(""https://docs.google.com/spreadsheets/d/1Yj_ptqi66GCucihVvJfMjLAmec39IyEx_6qawtMGysU/edit?usp=sharing"",""สบก!CC24"")"),42144)</f>
        <v>42144</v>
      </c>
      <c r="O254" s="168">
        <f ca="1">IF(L254&gt;0,N254*100/L254,0)</f>
        <v>47.352808988764046</v>
      </c>
      <c r="P254" s="168">
        <f ca="1">IF(M254&gt;0,N254*100/M254,0)</f>
        <v>99.162352941176465</v>
      </c>
    </row>
    <row r="255" spans="1:16" ht="21.75" customHeight="1" x14ac:dyDescent="0.3">
      <c r="A255" s="156"/>
      <c r="B255" s="157"/>
      <c r="C255" s="157"/>
      <c r="D255" s="166"/>
      <c r="E255" s="159"/>
      <c r="F255" s="159"/>
      <c r="G255" s="169" t="s">
        <v>42</v>
      </c>
      <c r="H255" s="161" t="s">
        <v>12</v>
      </c>
      <c r="I255" s="162"/>
      <c r="J255" s="162"/>
      <c r="K255" s="163"/>
      <c r="L255" s="167">
        <f ca="1">IFERROR(__xludf.DUMMYFUNCTION("IMPORTRANGE(""https://docs.google.com/spreadsheets/d/1Yj_ptqi66GCucihVvJfMjLAmec39IyEx_6qawtMGysU/edit?usp=sharing"",""สบก!BX24"")"),0)</f>
        <v>0</v>
      </c>
      <c r="M255" s="167"/>
      <c r="N255" s="167"/>
      <c r="O255" s="168"/>
      <c r="P255" s="168"/>
    </row>
    <row r="256" spans="1:16" ht="21.75" customHeight="1" x14ac:dyDescent="0.3">
      <c r="A256" s="156"/>
      <c r="B256" s="157"/>
      <c r="C256" s="157"/>
      <c r="D256" s="166"/>
      <c r="E256" s="159"/>
      <c r="F256" s="159"/>
      <c r="G256" s="169" t="s">
        <v>43</v>
      </c>
      <c r="H256" s="161" t="s">
        <v>12</v>
      </c>
      <c r="I256" s="162"/>
      <c r="J256" s="162"/>
      <c r="K256" s="163"/>
      <c r="L256" s="167">
        <f ca="1">IFERROR(__xludf.DUMMYFUNCTION("IMPORTRANGE(""https://docs.google.com/spreadsheets/d/1Yj_ptqi66GCucihVvJfMjLAmec39IyEx_6qawtMGysU/edit?usp=sharing"",""สบก!BY24"")"),89000)</f>
        <v>89000</v>
      </c>
      <c r="M256" s="167"/>
      <c r="N256" s="167"/>
      <c r="O256" s="168"/>
      <c r="P256" s="168"/>
    </row>
    <row r="257" spans="1:16" ht="21.75" customHeight="1" x14ac:dyDescent="0.45">
      <c r="A257" s="170"/>
      <c r="B257" s="80"/>
      <c r="C257" s="81" t="s">
        <v>16</v>
      </c>
      <c r="D257" s="534" t="s">
        <v>23</v>
      </c>
      <c r="E257" s="530"/>
      <c r="F257" s="88"/>
      <c r="G257" s="82" t="s">
        <v>18</v>
      </c>
      <c r="H257" s="171" t="s">
        <v>12</v>
      </c>
      <c r="I257" s="162"/>
      <c r="J257" s="162"/>
      <c r="K257" s="163"/>
      <c r="L257" s="41">
        <v>0</v>
      </c>
      <c r="M257" s="41"/>
      <c r="N257" s="41"/>
      <c r="O257" s="41"/>
      <c r="P257" s="41"/>
    </row>
    <row r="258" spans="1:16" ht="21.75" customHeight="1" x14ac:dyDescent="0.45">
      <c r="A258" s="172"/>
      <c r="B258" s="91"/>
      <c r="C258" s="91"/>
      <c r="D258" s="173"/>
      <c r="E258" s="92"/>
      <c r="F258" s="92"/>
      <c r="G258" s="93" t="s">
        <v>19</v>
      </c>
      <c r="H258" s="174" t="s">
        <v>12</v>
      </c>
      <c r="I258" s="162"/>
      <c r="J258" s="162"/>
      <c r="K258" s="163"/>
      <c r="L258" s="49">
        <f ca="1">IFERROR(__xludf.DUMMYFUNCTION("IMPORTRANGE(""https://docs.google.com/spreadsheets/d/1Yj_ptqi66GCucihVvJfMjLAmec39IyEx_6qawtMGysU/edit?usp=sharing"",""สบก!BZ24"")"),0)</f>
        <v>0</v>
      </c>
      <c r="M258" s="49"/>
      <c r="N258" s="49">
        <f ca="1">IFERROR(__xludf.DUMMYFUNCTION("IMPORTRANGE(""https://docs.google.com/spreadsheets/d/1Yj_ptqi66GCucihVvJfMjLAmec39IyEx_6qawtMGysU/edit?usp=sharing"",""สบก!CD24"")"),0)</f>
        <v>0</v>
      </c>
      <c r="O258" s="49">
        <f ca="1">IF(L258&gt;0,N258*100/L258,0)</f>
        <v>0</v>
      </c>
      <c r="P258" s="49"/>
    </row>
    <row r="259" spans="1:16" ht="21.75" customHeight="1" x14ac:dyDescent="0.3">
      <c r="A259" s="175"/>
      <c r="B259" s="176"/>
      <c r="C259" s="157" t="s">
        <v>16</v>
      </c>
      <c r="D259" s="177" t="s">
        <v>44</v>
      </c>
      <c r="E259" s="178"/>
      <c r="F259" s="178"/>
      <c r="G259" s="179"/>
      <c r="H259" s="180"/>
      <c r="I259" s="162"/>
      <c r="J259" s="162"/>
      <c r="K259" s="163"/>
      <c r="L259" s="181"/>
      <c r="M259" s="181"/>
      <c r="N259" s="181"/>
      <c r="O259" s="181"/>
      <c r="P259" s="181"/>
    </row>
    <row r="260" spans="1:16" ht="21.75" customHeight="1" x14ac:dyDescent="0.3">
      <c r="A260" s="175"/>
      <c r="B260" s="176"/>
      <c r="C260" s="176"/>
      <c r="D260" s="182">
        <v>1</v>
      </c>
      <c r="E260" s="183" t="s">
        <v>45</v>
      </c>
      <c r="F260" s="184"/>
      <c r="G260" s="185"/>
      <c r="H260" s="186"/>
      <c r="I260" s="187"/>
      <c r="J260" s="188">
        <f ca="1">IFERROR(__xludf.DUMMYFUNCTION("IMPORTRANGE(""https://docs.google.com/spreadsheets/d/11923uPwbBZFjjGgGUA6NLw09EwE0CqkOc4q9oUmW1yo/edit?usp=sharing"",""นครสวรรค์!J175"")"),0)</f>
        <v>0</v>
      </c>
      <c r="K260" s="163"/>
      <c r="L260" s="181"/>
      <c r="M260" s="181"/>
      <c r="N260" s="181"/>
      <c r="O260" s="181"/>
      <c r="P260" s="181"/>
    </row>
    <row r="261" spans="1:16" ht="21.75" customHeight="1" x14ac:dyDescent="0.3">
      <c r="A261" s="175"/>
      <c r="B261" s="176"/>
      <c r="C261" s="176"/>
      <c r="D261" s="189">
        <v>2</v>
      </c>
      <c r="E261" s="190" t="s">
        <v>46</v>
      </c>
      <c r="F261" s="191"/>
      <c r="G261" s="192"/>
      <c r="H261" s="186"/>
      <c r="I261" s="187"/>
      <c r="J261" s="197">
        <f ca="1">IFERROR(__xludf.DUMMYFUNCTION("IMPORTRANGE(""https://docs.google.com/spreadsheets/d/11923uPwbBZFjjGgGUA6NLw09EwE0CqkOc4q9oUmW1yo/edit?usp=sharing"",""นครสวรรค์!J176"")"),1)</f>
        <v>1</v>
      </c>
      <c r="K261" s="163"/>
      <c r="L261" s="181" t="s">
        <v>40</v>
      </c>
      <c r="M261" s="181"/>
      <c r="N261" s="181" t="s">
        <v>40</v>
      </c>
      <c r="O261" s="181"/>
      <c r="P261" s="181"/>
    </row>
    <row r="262" spans="1:16" ht="21.75" customHeight="1" x14ac:dyDescent="0.3">
      <c r="A262" s="175"/>
      <c r="B262" s="176"/>
      <c r="C262" s="176"/>
      <c r="D262" s="193"/>
      <c r="E262" s="194" t="s">
        <v>47</v>
      </c>
      <c r="F262" s="195"/>
      <c r="G262" s="196"/>
      <c r="H262" s="186"/>
      <c r="I262" s="187"/>
      <c r="J262" s="197">
        <f ca="1">IFERROR(__xludf.DUMMYFUNCTION("IMPORTRANGE(""https://docs.google.com/spreadsheets/d/11923uPwbBZFjjGgGUA6NLw09EwE0CqkOc4q9oUmW1yo/edit?usp=sharing"",""นครสวรรค์!J177"")"),1)</f>
        <v>1</v>
      </c>
      <c r="K262" s="163"/>
      <c r="L262" s="181"/>
      <c r="M262" s="181"/>
      <c r="N262" s="181"/>
      <c r="O262" s="181"/>
      <c r="P262" s="181"/>
    </row>
    <row r="263" spans="1:16" ht="21.75" customHeight="1" x14ac:dyDescent="0.3">
      <c r="A263" s="175"/>
      <c r="B263" s="176"/>
      <c r="C263" s="176"/>
      <c r="D263" s="193"/>
      <c r="E263" s="194" t="s">
        <v>48</v>
      </c>
      <c r="F263" s="195"/>
      <c r="G263" s="196"/>
      <c r="H263" s="186"/>
      <c r="I263" s="187"/>
      <c r="J263" s="197">
        <f ca="1">IFERROR(__xludf.DUMMYFUNCTION("IMPORTRANGE(""https://docs.google.com/spreadsheets/d/11923uPwbBZFjjGgGUA6NLw09EwE0CqkOc4q9oUmW1yo/edit?usp=sharing"",""นครสวรรค์!J178"")"),1)</f>
        <v>1</v>
      </c>
      <c r="K263" s="163"/>
      <c r="L263" s="181"/>
      <c r="M263" s="181"/>
      <c r="N263" s="181"/>
      <c r="O263" s="181"/>
      <c r="P263" s="181"/>
    </row>
    <row r="264" spans="1:16" ht="21.75" customHeight="1" x14ac:dyDescent="0.3">
      <c r="A264" s="175"/>
      <c r="B264" s="176"/>
      <c r="C264" s="176"/>
      <c r="D264" s="193"/>
      <c r="E264" s="198"/>
      <c r="F264" s="194" t="s">
        <v>105</v>
      </c>
      <c r="G264" s="196"/>
      <c r="H264" s="180" t="s">
        <v>59</v>
      </c>
      <c r="I264" s="187">
        <f ca="1">IFERROR(__xludf.DUMMYFUNCTION("IMPORTRANGE(""https://docs.google.com/spreadsheets/d/11923uPwbBZFjjGgGUA6NLw09EwE0CqkOc4q9oUmW1yo/edit?usp=sharing"",""นครสวรรค์!I179"")"),1)</f>
        <v>1</v>
      </c>
      <c r="J264" s="188">
        <f ca="1">IFERROR(__xludf.DUMMYFUNCTION("IMPORTRANGE(""https://docs.google.com/spreadsheets/d/11923uPwbBZFjjGgGUA6NLw09EwE0CqkOc4q9oUmW1yo/edit?usp=sharing"",""นครสวรรค์!J179"")"),2)</f>
        <v>2</v>
      </c>
      <c r="K264" s="163">
        <f t="shared" ref="K264:K267" ca="1" si="82">IF(I264&gt;0,J264*100/I264,0)</f>
        <v>200</v>
      </c>
      <c r="L264" s="181"/>
      <c r="M264" s="181"/>
      <c r="N264" s="181"/>
      <c r="O264" s="181"/>
      <c r="P264" s="181"/>
    </row>
    <row r="265" spans="1:16" ht="21.75" customHeight="1" x14ac:dyDescent="0.3">
      <c r="A265" s="175"/>
      <c r="B265" s="176"/>
      <c r="C265" s="176"/>
      <c r="D265" s="193"/>
      <c r="E265" s="198"/>
      <c r="F265" s="194" t="s">
        <v>106</v>
      </c>
      <c r="G265" s="196"/>
      <c r="H265" s="180" t="s">
        <v>37</v>
      </c>
      <c r="I265" s="187">
        <f ca="1">IFERROR(__xludf.DUMMYFUNCTION("IMPORTRANGE(""https://docs.google.com/spreadsheets/d/11923uPwbBZFjjGgGUA6NLw09EwE0CqkOc4q9oUmW1yo/edit?usp=sharing"",""นครสวรรค์!I180"")"),25)</f>
        <v>25</v>
      </c>
      <c r="J265" s="188">
        <f ca="1">IFERROR(__xludf.DUMMYFUNCTION("IMPORTRANGE(""https://docs.google.com/spreadsheets/d/11923uPwbBZFjjGgGUA6NLw09EwE0CqkOc4q9oUmW1yo/edit?usp=sharing"",""นครสวรรค์!J180"")"),25)</f>
        <v>25</v>
      </c>
      <c r="K265" s="163">
        <f t="shared" ca="1" si="82"/>
        <v>100</v>
      </c>
      <c r="L265" s="181"/>
      <c r="M265" s="181"/>
      <c r="N265" s="181"/>
      <c r="O265" s="181"/>
      <c r="P265" s="181"/>
    </row>
    <row r="266" spans="1:16" ht="21.75" customHeight="1" x14ac:dyDescent="0.3">
      <c r="A266" s="175"/>
      <c r="B266" s="176"/>
      <c r="C266" s="176"/>
      <c r="D266" s="193"/>
      <c r="E266" s="198"/>
      <c r="F266" s="194" t="s">
        <v>107</v>
      </c>
      <c r="G266" s="196"/>
      <c r="H266" s="180" t="s">
        <v>37</v>
      </c>
      <c r="I266" s="187">
        <f ca="1">IFERROR(__xludf.DUMMYFUNCTION("IMPORTRANGE(""https://docs.google.com/spreadsheets/d/11923uPwbBZFjjGgGUA6NLw09EwE0CqkOc4q9oUmW1yo/edit?usp=sharing"",""นครสวรรค์!I181"")"),25)</f>
        <v>25</v>
      </c>
      <c r="J266" s="188">
        <f ca="1">IFERROR(__xludf.DUMMYFUNCTION("IMPORTRANGE(""https://docs.google.com/spreadsheets/d/11923uPwbBZFjjGgGUA6NLw09EwE0CqkOc4q9oUmW1yo/edit?usp=sharing"",""นครสวรรค์!J181"")"),0)</f>
        <v>0</v>
      </c>
      <c r="K266" s="163">
        <f t="shared" ca="1" si="82"/>
        <v>0</v>
      </c>
      <c r="L266" s="181"/>
      <c r="M266" s="181"/>
      <c r="N266" s="181"/>
      <c r="O266" s="181"/>
      <c r="P266" s="181"/>
    </row>
    <row r="267" spans="1:16" ht="21.75" customHeight="1" x14ac:dyDescent="0.3">
      <c r="A267" s="175"/>
      <c r="B267" s="176"/>
      <c r="C267" s="176"/>
      <c r="D267" s="193"/>
      <c r="E267" s="198"/>
      <c r="F267" s="194" t="s">
        <v>108</v>
      </c>
      <c r="G267" s="196"/>
      <c r="H267" s="180" t="s">
        <v>37</v>
      </c>
      <c r="I267" s="187">
        <f ca="1">IFERROR(__xludf.DUMMYFUNCTION("IMPORTRANGE(""https://docs.google.com/spreadsheets/d/11923uPwbBZFjjGgGUA6NLw09EwE0CqkOc4q9oUmW1yo/edit?usp=sharing"",""นครสวรรค์!I182"")"),1)</f>
        <v>1</v>
      </c>
      <c r="J267" s="188">
        <f ca="1">IFERROR(__xludf.DUMMYFUNCTION("IMPORTRANGE(""https://docs.google.com/spreadsheets/d/11923uPwbBZFjjGgGUA6NLw09EwE0CqkOc4q9oUmW1yo/edit?usp=sharing"",""นครสวรรค์!J182"")"),2)</f>
        <v>2</v>
      </c>
      <c r="K267" s="163">
        <f t="shared" ca="1" si="82"/>
        <v>200</v>
      </c>
      <c r="L267" s="181"/>
      <c r="M267" s="181"/>
      <c r="N267" s="181"/>
      <c r="O267" s="181"/>
      <c r="P267" s="181"/>
    </row>
    <row r="268" spans="1:16" ht="21.75" customHeight="1" x14ac:dyDescent="0.3">
      <c r="A268" s="175"/>
      <c r="B268" s="176"/>
      <c r="C268" s="176"/>
      <c r="D268" s="193"/>
      <c r="E268" s="194" t="s">
        <v>54</v>
      </c>
      <c r="F268" s="195"/>
      <c r="G268" s="196"/>
      <c r="H268" s="186"/>
      <c r="I268" s="187"/>
      <c r="J268" s="197">
        <f ca="1">IFERROR(__xludf.DUMMYFUNCTION("IMPORTRANGE(""https://docs.google.com/spreadsheets/d/11923uPwbBZFjjGgGUA6NLw09EwE0CqkOc4q9oUmW1yo/edit?usp=sharing"",""นครสวรรค์!J183"")"),0)</f>
        <v>0</v>
      </c>
      <c r="K268" s="163"/>
      <c r="L268" s="181"/>
      <c r="M268" s="181"/>
      <c r="N268" s="181"/>
      <c r="O268" s="181"/>
      <c r="P268" s="181"/>
    </row>
    <row r="269" spans="1:16" ht="21.75" customHeight="1" x14ac:dyDescent="0.3">
      <c r="A269" s="233"/>
      <c r="B269" s="234"/>
      <c r="C269" s="234"/>
      <c r="D269" s="235">
        <v>3</v>
      </c>
      <c r="E269" s="236" t="s">
        <v>55</v>
      </c>
      <c r="F269" s="237"/>
      <c r="G269" s="238"/>
      <c r="H269" s="239"/>
      <c r="I269" s="240"/>
      <c r="J269" s="285">
        <f ca="1">IFERROR(__xludf.DUMMYFUNCTION("IMPORTRANGE(""https://docs.google.com/spreadsheets/d/11923uPwbBZFjjGgGUA6NLw09EwE0CqkOc4q9oUmW1yo/edit?usp=sharing"",""นครสวรรค์!J184"")"),0)</f>
        <v>0</v>
      </c>
      <c r="K269" s="286"/>
      <c r="L269" s="244"/>
      <c r="M269" s="244"/>
      <c r="N269" s="244"/>
      <c r="O269" s="244"/>
      <c r="P269" s="244"/>
    </row>
    <row r="270" spans="1:16" ht="21.75" customHeight="1" x14ac:dyDescent="0.3">
      <c r="A270" s="310"/>
      <c r="B270" s="311" t="s">
        <v>109</v>
      </c>
      <c r="C270" s="311"/>
      <c r="D270" s="311"/>
      <c r="E270" s="311"/>
      <c r="F270" s="311"/>
      <c r="G270" s="312"/>
      <c r="H270" s="313" t="s">
        <v>37</v>
      </c>
      <c r="I270" s="314">
        <f ca="1">IFERROR(__xludf.DUMMYFUNCTION("IMPORTRANGE(""https://docs.google.com/spreadsheets/d/11923uPwbBZFjjGgGUA6NLw09EwE0CqkOc4q9oUmW1yo/edit?usp=sharing"",""นครสวรรค์!I185"")"),20)</f>
        <v>20</v>
      </c>
      <c r="J270" s="314">
        <f ca="1">IFERROR(__xludf.DUMMYFUNCTION("IMPORTRANGE(""https://docs.google.com/spreadsheets/d/11923uPwbBZFjjGgGUA6NLw09EwE0CqkOc4q9oUmW1yo/edit?usp=sharing"",""นครสวรรค์!J185"")"),20)</f>
        <v>20</v>
      </c>
      <c r="K270" s="315">
        <f ca="1">IF(I270&gt;0,J270*100/I270,0)</f>
        <v>100</v>
      </c>
      <c r="L270" s="316"/>
      <c r="M270" s="316"/>
      <c r="N270" s="316"/>
      <c r="O270" s="315"/>
      <c r="P270" s="315"/>
    </row>
    <row r="271" spans="1:16" ht="21.75" customHeight="1" x14ac:dyDescent="0.45">
      <c r="A271" s="145"/>
      <c r="B271" s="146"/>
      <c r="C271" s="147" t="s">
        <v>16</v>
      </c>
      <c r="D271" s="537" t="s">
        <v>17</v>
      </c>
      <c r="E271" s="528"/>
      <c r="F271" s="528"/>
      <c r="G271" s="528"/>
      <c r="H271" s="148" t="s">
        <v>12</v>
      </c>
      <c r="I271" s="162"/>
      <c r="J271" s="162"/>
      <c r="K271" s="163"/>
      <c r="L271" s="151">
        <f t="shared" ref="L271:N271" ca="1" si="83">L272+L273</f>
        <v>183600</v>
      </c>
      <c r="M271" s="151">
        <f t="shared" ca="1" si="83"/>
        <v>93000</v>
      </c>
      <c r="N271" s="151">
        <f t="shared" ca="1" si="83"/>
        <v>74029</v>
      </c>
      <c r="O271" s="150">
        <f t="shared" ref="O271:O273" ca="1" si="84">IF(L271&gt;0,N271*100/L271,0)</f>
        <v>40.320806100217865</v>
      </c>
      <c r="P271" s="150">
        <f t="shared" ref="P271:P273" ca="1" si="85">IF(M271&gt;0,N271*100/M271,0)</f>
        <v>79.601075268817198</v>
      </c>
    </row>
    <row r="272" spans="1:16" ht="21.75" customHeight="1" x14ac:dyDescent="0.45">
      <c r="A272" s="152"/>
      <c r="B272" s="32"/>
      <c r="C272" s="32"/>
      <c r="D272" s="32"/>
      <c r="E272" s="32"/>
      <c r="F272" s="32"/>
      <c r="G272" s="33" t="s">
        <v>18</v>
      </c>
      <c r="H272" s="153" t="s">
        <v>12</v>
      </c>
      <c r="I272" s="162"/>
      <c r="J272" s="162"/>
      <c r="K272" s="163"/>
      <c r="L272" s="87">
        <f t="shared" ref="L272:N272" si="86">L274+L278</f>
        <v>0</v>
      </c>
      <c r="M272" s="87">
        <f t="shared" si="86"/>
        <v>0</v>
      </c>
      <c r="N272" s="87">
        <f t="shared" si="86"/>
        <v>0</v>
      </c>
      <c r="O272" s="155">
        <f t="shared" si="84"/>
        <v>0</v>
      </c>
      <c r="P272" s="155">
        <f t="shared" si="85"/>
        <v>0</v>
      </c>
    </row>
    <row r="273" spans="1:16" ht="21.75" customHeight="1" x14ac:dyDescent="0.45">
      <c r="A273" s="152"/>
      <c r="B273" s="32"/>
      <c r="C273" s="32"/>
      <c r="D273" s="32"/>
      <c r="E273" s="32"/>
      <c r="F273" s="32"/>
      <c r="G273" s="33" t="s">
        <v>19</v>
      </c>
      <c r="H273" s="153" t="s">
        <v>12</v>
      </c>
      <c r="I273" s="162"/>
      <c r="J273" s="162"/>
      <c r="K273" s="163"/>
      <c r="L273" s="87">
        <f t="shared" ref="L273:N273" ca="1" si="87">L275+L279</f>
        <v>183600</v>
      </c>
      <c r="M273" s="87">
        <f t="shared" ca="1" si="87"/>
        <v>93000</v>
      </c>
      <c r="N273" s="87">
        <f t="shared" ca="1" si="87"/>
        <v>74029</v>
      </c>
      <c r="O273" s="155">
        <f t="shared" ca="1" si="84"/>
        <v>40.320806100217865</v>
      </c>
      <c r="P273" s="155">
        <f t="shared" ca="1" si="85"/>
        <v>79.601075268817198</v>
      </c>
    </row>
    <row r="274" spans="1:16" ht="21.75" customHeight="1" x14ac:dyDescent="0.3">
      <c r="A274" s="156"/>
      <c r="B274" s="157"/>
      <c r="C274" s="157" t="s">
        <v>16</v>
      </c>
      <c r="D274" s="158" t="s">
        <v>38</v>
      </c>
      <c r="E274" s="159"/>
      <c r="F274" s="159"/>
      <c r="G274" s="160" t="s">
        <v>39</v>
      </c>
      <c r="H274" s="161" t="s">
        <v>12</v>
      </c>
      <c r="I274" s="162" t="s">
        <v>40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3">
      <c r="A275" s="156"/>
      <c r="B275" s="157"/>
      <c r="C275" s="157"/>
      <c r="D275" s="166"/>
      <c r="E275" s="159"/>
      <c r="F275" s="159" t="s">
        <v>40</v>
      </c>
      <c r="G275" s="160" t="s">
        <v>41</v>
      </c>
      <c r="H275" s="161" t="s">
        <v>12</v>
      </c>
      <c r="I275" s="162"/>
      <c r="J275" s="162"/>
      <c r="K275" s="163"/>
      <c r="L275" s="167">
        <f ca="1">L276+L277</f>
        <v>183600</v>
      </c>
      <c r="M275" s="167">
        <f ca="1">IFERROR(__xludf.DUMMYFUNCTION("IMPORTRANGE(""https://docs.google.com/spreadsheets/d/1Yj_ptqi66GCucihVvJfMjLAmec39IyEx_6qawtMGysU/edit?usp=sharing"",""สบก!CK24"")"),93000)</f>
        <v>93000</v>
      </c>
      <c r="N275" s="168">
        <f ca="1">IFERROR(__xludf.DUMMYFUNCTION("IMPORTRANGE(""https://docs.google.com/spreadsheets/d/1Yj_ptqi66GCucihVvJfMjLAmec39IyEx_6qawtMGysU/edit?usp=sharing"",""สบก!CL24"")"),74029)</f>
        <v>74029</v>
      </c>
      <c r="O275" s="168">
        <f ca="1">IF(L275&gt;0,N275*100/L275,0)</f>
        <v>40.320806100217865</v>
      </c>
      <c r="P275" s="168">
        <f ca="1">IF(M275&gt;0,N275*100/M275,0)</f>
        <v>79.601075268817198</v>
      </c>
    </row>
    <row r="276" spans="1:16" ht="21.75" customHeight="1" x14ac:dyDescent="0.3">
      <c r="A276" s="156"/>
      <c r="B276" s="157"/>
      <c r="C276" s="157"/>
      <c r="D276" s="166"/>
      <c r="E276" s="159"/>
      <c r="F276" s="159"/>
      <c r="G276" s="169" t="s">
        <v>42</v>
      </c>
      <c r="H276" s="161" t="s">
        <v>12</v>
      </c>
      <c r="I276" s="162"/>
      <c r="J276" s="162"/>
      <c r="K276" s="163"/>
      <c r="L276" s="167">
        <f ca="1">IFERROR(__xludf.DUMMYFUNCTION("IMPORTRANGE(""https://docs.google.com/spreadsheets/d/1Yj_ptqi66GCucihVvJfMjLAmec39IyEx_6qawtMGysU/edit?usp=sharing"",""สบก!CG24"")"),0)</f>
        <v>0</v>
      </c>
      <c r="M276" s="167"/>
      <c r="N276" s="167"/>
      <c r="O276" s="168"/>
      <c r="P276" s="168"/>
    </row>
    <row r="277" spans="1:16" ht="21.75" customHeight="1" x14ac:dyDescent="0.3">
      <c r="A277" s="156"/>
      <c r="B277" s="157"/>
      <c r="C277" s="157"/>
      <c r="D277" s="166"/>
      <c r="E277" s="159"/>
      <c r="F277" s="159"/>
      <c r="G277" s="169" t="s">
        <v>43</v>
      </c>
      <c r="H277" s="161" t="s">
        <v>12</v>
      </c>
      <c r="I277" s="162"/>
      <c r="J277" s="162"/>
      <c r="K277" s="163"/>
      <c r="L277" s="167">
        <f ca="1">IFERROR(__xludf.DUMMYFUNCTION("IMPORTRANGE(""https://docs.google.com/spreadsheets/d/1Yj_ptqi66GCucihVvJfMjLAmec39IyEx_6qawtMGysU/edit?usp=sharing"",""สบก!CH24"")"),183600)</f>
        <v>183600</v>
      </c>
      <c r="M277" s="167"/>
      <c r="N277" s="167"/>
      <c r="O277" s="168"/>
      <c r="P277" s="168"/>
    </row>
    <row r="278" spans="1:16" ht="21.75" customHeight="1" x14ac:dyDescent="0.45">
      <c r="A278" s="170"/>
      <c r="B278" s="80"/>
      <c r="C278" s="81" t="s">
        <v>16</v>
      </c>
      <c r="D278" s="534" t="s">
        <v>23</v>
      </c>
      <c r="E278" s="530"/>
      <c r="F278" s="88"/>
      <c r="G278" s="82" t="s">
        <v>18</v>
      </c>
      <c r="H278" s="171" t="s">
        <v>12</v>
      </c>
      <c r="I278" s="162"/>
      <c r="J278" s="162"/>
      <c r="K278" s="163"/>
      <c r="L278" s="41">
        <v>0</v>
      </c>
      <c r="M278" s="41"/>
      <c r="N278" s="41"/>
      <c r="O278" s="41"/>
      <c r="P278" s="41"/>
    </row>
    <row r="279" spans="1:16" ht="21.75" customHeight="1" x14ac:dyDescent="0.45">
      <c r="A279" s="172"/>
      <c r="B279" s="91"/>
      <c r="C279" s="91"/>
      <c r="D279" s="173"/>
      <c r="E279" s="92"/>
      <c r="F279" s="92"/>
      <c r="G279" s="93" t="s">
        <v>19</v>
      </c>
      <c r="H279" s="174" t="s">
        <v>12</v>
      </c>
      <c r="I279" s="162"/>
      <c r="J279" s="162"/>
      <c r="K279" s="163"/>
      <c r="L279" s="49">
        <f ca="1">IFERROR(__xludf.DUMMYFUNCTION("IMPORTRANGE(""https://docs.google.com/spreadsheets/d/1Yj_ptqi66GCucihVvJfMjLAmec39IyEx_6qawtMGysU/edit?usp=sharing"",""สบก!CI24"")"),0)</f>
        <v>0</v>
      </c>
      <c r="M279" s="49"/>
      <c r="N279" s="49">
        <f ca="1">IFERROR(__xludf.DUMMYFUNCTION("IMPORTRANGE(""https://docs.google.com/spreadsheets/d/1Yj_ptqi66GCucihVvJfMjLAmec39IyEx_6qawtMGysU/edit?usp=sharing"",""สบก!CM24"")"),0)</f>
        <v>0</v>
      </c>
      <c r="O279" s="49">
        <f ca="1">IF(L279&gt;0,N279*100/L279,0)</f>
        <v>0</v>
      </c>
      <c r="P279" s="49"/>
    </row>
    <row r="280" spans="1:16" ht="21.75" customHeight="1" x14ac:dyDescent="0.3">
      <c r="A280" s="175"/>
      <c r="B280" s="176"/>
      <c r="C280" s="157" t="s">
        <v>16</v>
      </c>
      <c r="D280" s="177" t="s">
        <v>44</v>
      </c>
      <c r="E280" s="178"/>
      <c r="F280" s="178"/>
      <c r="G280" s="179"/>
      <c r="H280" s="180"/>
      <c r="I280" s="162"/>
      <c r="J280" s="162"/>
      <c r="K280" s="163"/>
      <c r="L280" s="181"/>
      <c r="M280" s="181"/>
      <c r="N280" s="181"/>
      <c r="O280" s="181"/>
      <c r="P280" s="181"/>
    </row>
    <row r="281" spans="1:16" ht="21.75" customHeight="1" x14ac:dyDescent="0.3">
      <c r="A281" s="175"/>
      <c r="B281" s="176"/>
      <c r="C281" s="176"/>
      <c r="D281" s="182">
        <v>1</v>
      </c>
      <c r="E281" s="183" t="s">
        <v>45</v>
      </c>
      <c r="F281" s="184"/>
      <c r="G281" s="185"/>
      <c r="H281" s="186"/>
      <c r="I281" s="187"/>
      <c r="J281" s="188">
        <f ca="1">IFERROR(__xludf.DUMMYFUNCTION("IMPORTRANGE(""https://docs.google.com/spreadsheets/d/11923uPwbBZFjjGgGUA6NLw09EwE0CqkOc4q9oUmW1yo/edit?usp=sharing"",""นครสวรรค์!J191"")"),0)</f>
        <v>0</v>
      </c>
      <c r="K281" s="163"/>
      <c r="L281" s="181"/>
      <c r="M281" s="181"/>
      <c r="N281" s="181"/>
      <c r="O281" s="181"/>
      <c r="P281" s="181"/>
    </row>
    <row r="282" spans="1:16" ht="21.75" customHeight="1" x14ac:dyDescent="0.3">
      <c r="A282" s="175"/>
      <c r="B282" s="176"/>
      <c r="C282" s="176"/>
      <c r="D282" s="189">
        <v>2</v>
      </c>
      <c r="E282" s="190" t="s">
        <v>46</v>
      </c>
      <c r="F282" s="191"/>
      <c r="G282" s="192"/>
      <c r="H282" s="186"/>
      <c r="I282" s="187"/>
      <c r="J282" s="197">
        <f ca="1">IFERROR(__xludf.DUMMYFUNCTION("IMPORTRANGE(""https://docs.google.com/spreadsheets/d/11923uPwbBZFjjGgGUA6NLw09EwE0CqkOc4q9oUmW1yo/edit?usp=sharing"",""นครสวรรค์!J192"")"),1)</f>
        <v>1</v>
      </c>
      <c r="K282" s="163"/>
      <c r="L282" s="181"/>
      <c r="M282" s="181"/>
      <c r="N282" s="181"/>
      <c r="O282" s="181"/>
      <c r="P282" s="181"/>
    </row>
    <row r="283" spans="1:16" ht="21.75" customHeight="1" x14ac:dyDescent="0.3">
      <c r="A283" s="175"/>
      <c r="B283" s="176"/>
      <c r="C283" s="176"/>
      <c r="D283" s="193"/>
      <c r="E283" s="194" t="s">
        <v>47</v>
      </c>
      <c r="F283" s="195"/>
      <c r="G283" s="196"/>
      <c r="H283" s="186"/>
      <c r="I283" s="187"/>
      <c r="J283" s="197">
        <f ca="1">IFERROR(__xludf.DUMMYFUNCTION("IMPORTRANGE(""https://docs.google.com/spreadsheets/d/11923uPwbBZFjjGgGUA6NLw09EwE0CqkOc4q9oUmW1yo/edit?usp=sharing"",""นครสวรรค์!J193"")"),1)</f>
        <v>1</v>
      </c>
      <c r="K283" s="163"/>
      <c r="L283" s="181"/>
      <c r="M283" s="181"/>
      <c r="N283" s="181"/>
      <c r="O283" s="181"/>
      <c r="P283" s="181"/>
    </row>
    <row r="284" spans="1:16" ht="21.75" customHeight="1" x14ac:dyDescent="0.3">
      <c r="A284" s="175"/>
      <c r="B284" s="176"/>
      <c r="C284" s="176"/>
      <c r="D284" s="193"/>
      <c r="E284" s="194" t="s">
        <v>48</v>
      </c>
      <c r="F284" s="195"/>
      <c r="G284" s="196"/>
      <c r="H284" s="186"/>
      <c r="I284" s="187"/>
      <c r="J284" s="197">
        <f ca="1">IFERROR(__xludf.DUMMYFUNCTION("IMPORTRANGE(""https://docs.google.com/spreadsheets/d/11923uPwbBZFjjGgGUA6NLw09EwE0CqkOc4q9oUmW1yo/edit?usp=sharing"",""นครสวรรค์!J194"")"),1)</f>
        <v>1</v>
      </c>
      <c r="K284" s="163"/>
      <c r="L284" s="181"/>
      <c r="M284" s="181"/>
      <c r="N284" s="181"/>
      <c r="O284" s="181"/>
      <c r="P284" s="181"/>
    </row>
    <row r="285" spans="1:16" ht="21.75" customHeight="1" x14ac:dyDescent="0.3">
      <c r="A285" s="175"/>
      <c r="B285" s="176"/>
      <c r="C285" s="176"/>
      <c r="D285" s="193"/>
      <c r="E285" s="195"/>
      <c r="F285" s="194" t="s">
        <v>110</v>
      </c>
      <c r="G285" s="196"/>
      <c r="H285" s="186" t="s">
        <v>37</v>
      </c>
      <c r="I285" s="187">
        <f ca="1">IFERROR(__xludf.DUMMYFUNCTION("IMPORTRANGE(""https://docs.google.com/spreadsheets/d/11923uPwbBZFjjGgGUA6NLw09EwE0CqkOc4q9oUmW1yo/edit?usp=sharing"",""นครสวรรค์!I195"")"),20)</f>
        <v>20</v>
      </c>
      <c r="J285" s="188">
        <f ca="1">IFERROR(__xludf.DUMMYFUNCTION("IMPORTRANGE(""https://docs.google.com/spreadsheets/d/11923uPwbBZFjjGgGUA6NLw09EwE0CqkOc4q9oUmW1yo/edit?usp=sharing"",""นครสวรรค์!J195"")"),20)</f>
        <v>20</v>
      </c>
      <c r="K285" s="163">
        <f ca="1">IF(I285&gt;0,J285*100/I285,0)</f>
        <v>100</v>
      </c>
      <c r="L285" s="181"/>
      <c r="M285" s="181"/>
      <c r="N285" s="181"/>
      <c r="O285" s="181"/>
      <c r="P285" s="181"/>
    </row>
    <row r="286" spans="1:16" ht="21.75" customHeight="1" x14ac:dyDescent="0.3">
      <c r="A286" s="175"/>
      <c r="B286" s="176"/>
      <c r="C286" s="176"/>
      <c r="D286" s="193"/>
      <c r="E286" s="194" t="s">
        <v>54</v>
      </c>
      <c r="F286" s="195"/>
      <c r="G286" s="196"/>
      <c r="H286" s="186"/>
      <c r="I286" s="187"/>
      <c r="J286" s="197">
        <f ca="1">IFERROR(__xludf.DUMMYFUNCTION("IMPORTRANGE(""https://docs.google.com/spreadsheets/d/11923uPwbBZFjjGgGUA6NLw09EwE0CqkOc4q9oUmW1yo/edit?usp=sharing"",""นครสวรรค์!J196"")"),0)</f>
        <v>0</v>
      </c>
      <c r="K286" s="163"/>
      <c r="L286" s="181"/>
      <c r="M286" s="181"/>
      <c r="N286" s="181"/>
      <c r="O286" s="181"/>
      <c r="P286" s="181"/>
    </row>
    <row r="287" spans="1:16" ht="21.75" customHeight="1" x14ac:dyDescent="0.3">
      <c r="A287" s="175"/>
      <c r="B287" s="176"/>
      <c r="C287" s="176"/>
      <c r="D287" s="205">
        <v>3</v>
      </c>
      <c r="E287" s="206" t="s">
        <v>55</v>
      </c>
      <c r="F287" s="207"/>
      <c r="G287" s="208"/>
      <c r="H287" s="186"/>
      <c r="I287" s="187"/>
      <c r="J287" s="209">
        <f ca="1">IFERROR(__xludf.DUMMYFUNCTION("IMPORTRANGE(""https://docs.google.com/spreadsheets/d/11923uPwbBZFjjGgGUA6NLw09EwE0CqkOc4q9oUmW1yo/edit?usp=sharing"",""นครสวรรค์!J197"")"),0)</f>
        <v>0</v>
      </c>
      <c r="K287" s="163"/>
      <c r="L287" s="181"/>
      <c r="M287" s="181"/>
      <c r="N287" s="181"/>
      <c r="O287" s="181"/>
      <c r="P287" s="181"/>
    </row>
    <row r="288" spans="1:16" ht="21.75" customHeight="1" x14ac:dyDescent="0.3">
      <c r="A288" s="302" t="s">
        <v>111</v>
      </c>
      <c r="B288" s="303"/>
      <c r="C288" s="303"/>
      <c r="D288" s="304"/>
      <c r="E288" s="303"/>
      <c r="F288" s="303"/>
      <c r="G288" s="317"/>
      <c r="H288" s="318"/>
      <c r="I288" s="319"/>
      <c r="J288" s="319"/>
      <c r="K288" s="320"/>
      <c r="L288" s="320"/>
      <c r="M288" s="320"/>
      <c r="N288" s="320"/>
      <c r="O288" s="309"/>
      <c r="P288" s="309"/>
    </row>
    <row r="289" spans="1:16" ht="21.75" customHeight="1" x14ac:dyDescent="0.3">
      <c r="A289" s="321"/>
      <c r="B289" s="311" t="s">
        <v>112</v>
      </c>
      <c r="C289" s="322"/>
      <c r="D289" s="323"/>
      <c r="E289" s="311"/>
      <c r="F289" s="311"/>
      <c r="G289" s="312"/>
      <c r="H289" s="313" t="s">
        <v>37</v>
      </c>
      <c r="I289" s="314">
        <f ca="1">IFERROR(__xludf.DUMMYFUNCTION("IMPORTRANGE(""https://docs.google.com/spreadsheets/d/11923uPwbBZFjjGgGUA6NLw09EwE0CqkOc4q9oUmW1yo/edit?usp=sharing"",""นครสวรรค์!I199"")"),0)</f>
        <v>0</v>
      </c>
      <c r="J289" s="314">
        <f ca="1">IFERROR(__xludf.DUMMYFUNCTION("IMPORTRANGE(""https://docs.google.com/spreadsheets/d/11923uPwbBZFjjGgGUA6NLw09EwE0CqkOc4q9oUmW1yo/edit?usp=sharing"",""นครสวรรค์!J199"")"),0)</f>
        <v>0</v>
      </c>
      <c r="K289" s="315">
        <f ca="1">IF(I289&gt;0,J289*100/I289,0)</f>
        <v>0</v>
      </c>
      <c r="L289" s="316"/>
      <c r="M289" s="316"/>
      <c r="N289" s="316"/>
      <c r="O289" s="315"/>
      <c r="P289" s="315"/>
    </row>
    <row r="290" spans="1:16" ht="21.75" customHeight="1" x14ac:dyDescent="0.45">
      <c r="A290" s="145"/>
      <c r="B290" s="146"/>
      <c r="C290" s="147" t="s">
        <v>16</v>
      </c>
      <c r="D290" s="537" t="s">
        <v>17</v>
      </c>
      <c r="E290" s="528"/>
      <c r="F290" s="528"/>
      <c r="G290" s="528"/>
      <c r="H290" s="148" t="s">
        <v>12</v>
      </c>
      <c r="I290" s="187"/>
      <c r="J290" s="187"/>
      <c r="K290" s="223"/>
      <c r="L290" s="151">
        <f t="shared" ref="L290:N290" ca="1" si="88">L291+L292</f>
        <v>0</v>
      </c>
      <c r="M290" s="151">
        <f t="shared" ca="1" si="88"/>
        <v>0</v>
      </c>
      <c r="N290" s="151">
        <f t="shared" ca="1" si="88"/>
        <v>0</v>
      </c>
      <c r="O290" s="150">
        <f t="shared" ref="O290:O292" ca="1" si="89">IF(L290&gt;0,N290*100/L290,0)</f>
        <v>0</v>
      </c>
      <c r="P290" s="150">
        <f t="shared" ref="P290:P292" ca="1" si="90">IF(M290&gt;0,N290*100/M290,0)</f>
        <v>0</v>
      </c>
    </row>
    <row r="291" spans="1:16" ht="21.75" customHeight="1" x14ac:dyDescent="0.45">
      <c r="A291" s="152"/>
      <c r="B291" s="32"/>
      <c r="C291" s="32"/>
      <c r="D291" s="32"/>
      <c r="E291" s="32"/>
      <c r="F291" s="32"/>
      <c r="G291" s="33" t="s">
        <v>18</v>
      </c>
      <c r="H291" s="153" t="s">
        <v>12</v>
      </c>
      <c r="I291" s="187"/>
      <c r="J291" s="187"/>
      <c r="K291" s="223"/>
      <c r="L291" s="87">
        <f t="shared" ref="L291:N291" si="91">L293+L297</f>
        <v>0</v>
      </c>
      <c r="M291" s="87">
        <f t="shared" si="91"/>
        <v>0</v>
      </c>
      <c r="N291" s="87">
        <f t="shared" si="91"/>
        <v>0</v>
      </c>
      <c r="O291" s="155">
        <f t="shared" si="89"/>
        <v>0</v>
      </c>
      <c r="P291" s="155">
        <f t="shared" si="90"/>
        <v>0</v>
      </c>
    </row>
    <row r="292" spans="1:16" ht="21.75" customHeight="1" x14ac:dyDescent="0.45">
      <c r="A292" s="152"/>
      <c r="B292" s="32"/>
      <c r="C292" s="32"/>
      <c r="D292" s="32"/>
      <c r="E292" s="32"/>
      <c r="F292" s="32"/>
      <c r="G292" s="33" t="s">
        <v>19</v>
      </c>
      <c r="H292" s="153" t="s">
        <v>12</v>
      </c>
      <c r="I292" s="187"/>
      <c r="J292" s="187"/>
      <c r="K292" s="223"/>
      <c r="L292" s="87">
        <f t="shared" ref="L292:N292" ca="1" si="92">L294+L298</f>
        <v>0</v>
      </c>
      <c r="M292" s="87">
        <f t="shared" ca="1" si="92"/>
        <v>0</v>
      </c>
      <c r="N292" s="87">
        <f t="shared" ca="1" si="92"/>
        <v>0</v>
      </c>
      <c r="O292" s="155">
        <f t="shared" ca="1" si="89"/>
        <v>0</v>
      </c>
      <c r="P292" s="155">
        <f t="shared" ca="1" si="90"/>
        <v>0</v>
      </c>
    </row>
    <row r="293" spans="1:16" ht="21.75" customHeight="1" x14ac:dyDescent="0.3">
      <c r="A293" s="156"/>
      <c r="B293" s="157"/>
      <c r="C293" s="157" t="s">
        <v>16</v>
      </c>
      <c r="D293" s="158" t="s">
        <v>38</v>
      </c>
      <c r="E293" s="159"/>
      <c r="F293" s="159"/>
      <c r="G293" s="160" t="s">
        <v>39</v>
      </c>
      <c r="H293" s="161" t="s">
        <v>12</v>
      </c>
      <c r="I293" s="187" t="s">
        <v>40</v>
      </c>
      <c r="J293" s="187"/>
      <c r="K293" s="223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3">
      <c r="A294" s="156"/>
      <c r="B294" s="157"/>
      <c r="C294" s="157"/>
      <c r="D294" s="166"/>
      <c r="E294" s="159"/>
      <c r="F294" s="159" t="s">
        <v>40</v>
      </c>
      <c r="G294" s="160" t="s">
        <v>41</v>
      </c>
      <c r="H294" s="161" t="s">
        <v>12</v>
      </c>
      <c r="I294" s="187"/>
      <c r="J294" s="187"/>
      <c r="K294" s="223"/>
      <c r="L294" s="167">
        <f ca="1">L295+L296</f>
        <v>0</v>
      </c>
      <c r="M294" s="167">
        <f ca="1">IFERROR(__xludf.DUMMYFUNCTION("IMPORTRANGE(""https://docs.google.com/spreadsheets/d/1Yj_ptqi66GCucihVvJfMjLAmec39IyEx_6qawtMGysU/edit?usp=sharing"",""สบก!CT24"")"),0)</f>
        <v>0</v>
      </c>
      <c r="N294" s="168">
        <f ca="1">IFERROR(__xludf.DUMMYFUNCTION("IMPORTRANGE(""https://docs.google.com/spreadsheets/d/1Yj_ptqi66GCucihVvJfMjLAmec39IyEx_6qawtMGysU/edit?usp=sharing"",""สบก!CU24"")"),0)</f>
        <v>0</v>
      </c>
      <c r="O294" s="168">
        <f ca="1">IF(L294&gt;0,N294*100/L294,0)</f>
        <v>0</v>
      </c>
      <c r="P294" s="168">
        <f ca="1">IF(M294&gt;0,N294*100/M294,0)</f>
        <v>0</v>
      </c>
    </row>
    <row r="295" spans="1:16" ht="21.75" customHeight="1" x14ac:dyDescent="0.3">
      <c r="A295" s="156"/>
      <c r="B295" s="157"/>
      <c r="C295" s="157"/>
      <c r="D295" s="166"/>
      <c r="E295" s="159"/>
      <c r="F295" s="159"/>
      <c r="G295" s="169" t="s">
        <v>42</v>
      </c>
      <c r="H295" s="161" t="s">
        <v>12</v>
      </c>
      <c r="I295" s="187"/>
      <c r="J295" s="187"/>
      <c r="K295" s="223"/>
      <c r="L295" s="167">
        <f ca="1">IFERROR(__xludf.DUMMYFUNCTION("IMPORTRANGE(""https://docs.google.com/spreadsheets/d/1Yj_ptqi66GCucihVvJfMjLAmec39IyEx_6qawtMGysU/edit?usp=sharing"",""สบก!CP24"")"),0)</f>
        <v>0</v>
      </c>
      <c r="M295" s="167"/>
      <c r="N295" s="167"/>
      <c r="O295" s="168"/>
      <c r="P295" s="168"/>
    </row>
    <row r="296" spans="1:16" ht="21.75" customHeight="1" x14ac:dyDescent="0.3">
      <c r="A296" s="156"/>
      <c r="B296" s="157"/>
      <c r="C296" s="157"/>
      <c r="D296" s="166"/>
      <c r="E296" s="159"/>
      <c r="F296" s="159"/>
      <c r="G296" s="169" t="s">
        <v>43</v>
      </c>
      <c r="H296" s="161" t="s">
        <v>12</v>
      </c>
      <c r="I296" s="187"/>
      <c r="J296" s="187"/>
      <c r="K296" s="223"/>
      <c r="L296" s="167">
        <f ca="1">IFERROR(__xludf.DUMMYFUNCTION("IMPORTRANGE(""https://docs.google.com/spreadsheets/d/1Yj_ptqi66GCucihVvJfMjLAmec39IyEx_6qawtMGysU/edit?usp=sharing"",""สบก!CQ24"")"),0)</f>
        <v>0</v>
      </c>
      <c r="M296" s="167"/>
      <c r="N296" s="167"/>
      <c r="O296" s="168"/>
      <c r="P296" s="168"/>
    </row>
    <row r="297" spans="1:16" ht="21.75" customHeight="1" x14ac:dyDescent="0.45">
      <c r="A297" s="170"/>
      <c r="B297" s="80"/>
      <c r="C297" s="81" t="s">
        <v>16</v>
      </c>
      <c r="D297" s="534" t="s">
        <v>23</v>
      </c>
      <c r="E297" s="530"/>
      <c r="F297" s="88"/>
      <c r="G297" s="82" t="s">
        <v>18</v>
      </c>
      <c r="H297" s="171" t="s">
        <v>12</v>
      </c>
      <c r="I297" s="187"/>
      <c r="J297" s="187"/>
      <c r="K297" s="223"/>
      <c r="L297" s="41">
        <v>0</v>
      </c>
      <c r="M297" s="41"/>
      <c r="N297" s="41"/>
      <c r="O297" s="41"/>
      <c r="P297" s="41"/>
    </row>
    <row r="298" spans="1:16" ht="21.75" customHeight="1" x14ac:dyDescent="0.45">
      <c r="A298" s="172"/>
      <c r="B298" s="91"/>
      <c r="C298" s="91"/>
      <c r="D298" s="173"/>
      <c r="E298" s="92"/>
      <c r="F298" s="92"/>
      <c r="G298" s="93" t="s">
        <v>19</v>
      </c>
      <c r="H298" s="174" t="s">
        <v>12</v>
      </c>
      <c r="I298" s="187"/>
      <c r="J298" s="187"/>
      <c r="K298" s="223"/>
      <c r="L298" s="49">
        <f ca="1">IFERROR(__xludf.DUMMYFUNCTION("IMPORTRANGE(""https://docs.google.com/spreadsheets/d/1Yj_ptqi66GCucihVvJfMjLAmec39IyEx_6qawtMGysU/edit?usp=sharing"",""สบก!CR24"")"),0)</f>
        <v>0</v>
      </c>
      <c r="M298" s="49"/>
      <c r="N298" s="49">
        <f ca="1">IFERROR(__xludf.DUMMYFUNCTION("IMPORTRANGE(""https://docs.google.com/spreadsheets/d/1Yj_ptqi66GCucihVvJfMjLAmec39IyEx_6qawtMGysU/edit?usp=sharing"",""สบก!CV24"")"),0)</f>
        <v>0</v>
      </c>
      <c r="O298" s="49">
        <f ca="1">IF(L298&gt;0,N298*100/L298,0)</f>
        <v>0</v>
      </c>
      <c r="P298" s="49"/>
    </row>
    <row r="299" spans="1:16" ht="21.75" customHeight="1" x14ac:dyDescent="0.3">
      <c r="A299" s="175"/>
      <c r="B299" s="176"/>
      <c r="C299" s="157" t="s">
        <v>16</v>
      </c>
      <c r="D299" s="177" t="s">
        <v>44</v>
      </c>
      <c r="E299" s="178"/>
      <c r="F299" s="178"/>
      <c r="G299" s="179"/>
      <c r="H299" s="180"/>
      <c r="I299" s="187"/>
      <c r="J299" s="187"/>
      <c r="K299" s="223"/>
      <c r="L299" s="168"/>
      <c r="M299" s="168"/>
      <c r="N299" s="168"/>
      <c r="O299" s="181"/>
      <c r="P299" s="181"/>
    </row>
    <row r="300" spans="1:16" ht="21.75" customHeight="1" x14ac:dyDescent="0.3">
      <c r="A300" s="175"/>
      <c r="B300" s="176"/>
      <c r="C300" s="176"/>
      <c r="D300" s="182">
        <v>1</v>
      </c>
      <c r="E300" s="183" t="s">
        <v>45</v>
      </c>
      <c r="F300" s="184"/>
      <c r="G300" s="185"/>
      <c r="H300" s="186"/>
      <c r="I300" s="187"/>
      <c r="J300" s="187">
        <f ca="1">IFERROR(__xludf.DUMMYFUNCTION("IMPORTRANGE(""https://docs.google.com/spreadsheets/d/11923uPwbBZFjjGgGUA6NLw09EwE0CqkOc4q9oUmW1yo/edit?usp=sharing"",""นครสวรรค์!J205"")"),0)</f>
        <v>0</v>
      </c>
      <c r="K300" s="223"/>
      <c r="L300" s="168"/>
      <c r="M300" s="168"/>
      <c r="N300" s="168"/>
      <c r="O300" s="181"/>
      <c r="P300" s="181"/>
    </row>
    <row r="301" spans="1:16" ht="21.75" customHeight="1" x14ac:dyDescent="0.3">
      <c r="A301" s="175"/>
      <c r="B301" s="176"/>
      <c r="C301" s="176"/>
      <c r="D301" s="189">
        <v>2</v>
      </c>
      <c r="E301" s="190" t="s">
        <v>46</v>
      </c>
      <c r="F301" s="191"/>
      <c r="G301" s="192"/>
      <c r="H301" s="186"/>
      <c r="I301" s="187"/>
      <c r="J301" s="187">
        <f ca="1">IFERROR(__xludf.DUMMYFUNCTION("IMPORTRANGE(""https://docs.google.com/spreadsheets/d/11923uPwbBZFjjGgGUA6NLw09EwE0CqkOc4q9oUmW1yo/edit?usp=sharing"",""นครสวรรค์!J206"")"),0)</f>
        <v>0</v>
      </c>
      <c r="K301" s="223"/>
      <c r="L301" s="168" t="s">
        <v>40</v>
      </c>
      <c r="M301" s="168"/>
      <c r="N301" s="168" t="s">
        <v>40</v>
      </c>
      <c r="O301" s="181"/>
      <c r="P301" s="181"/>
    </row>
    <row r="302" spans="1:16" ht="21.75" customHeight="1" x14ac:dyDescent="0.3">
      <c r="A302" s="175"/>
      <c r="B302" s="176"/>
      <c r="C302" s="176"/>
      <c r="D302" s="193"/>
      <c r="E302" s="194" t="s">
        <v>47</v>
      </c>
      <c r="F302" s="195"/>
      <c r="G302" s="196"/>
      <c r="H302" s="186"/>
      <c r="I302" s="187"/>
      <c r="J302" s="187">
        <f ca="1">IFERROR(__xludf.DUMMYFUNCTION("IMPORTRANGE(""https://docs.google.com/spreadsheets/d/11923uPwbBZFjjGgGUA6NLw09EwE0CqkOc4q9oUmW1yo/edit?usp=sharing"",""นครสวรรค์!J207"")"),0)</f>
        <v>0</v>
      </c>
      <c r="K302" s="223"/>
      <c r="L302" s="168"/>
      <c r="M302" s="168"/>
      <c r="N302" s="168"/>
      <c r="O302" s="181"/>
      <c r="P302" s="181"/>
    </row>
    <row r="303" spans="1:16" ht="21.75" customHeight="1" x14ac:dyDescent="0.3">
      <c r="A303" s="175"/>
      <c r="B303" s="176"/>
      <c r="C303" s="176"/>
      <c r="D303" s="193"/>
      <c r="E303" s="194" t="s">
        <v>48</v>
      </c>
      <c r="F303" s="195"/>
      <c r="G303" s="196"/>
      <c r="H303" s="186"/>
      <c r="I303" s="187"/>
      <c r="J303" s="187">
        <f ca="1">IFERROR(__xludf.DUMMYFUNCTION("IMPORTRANGE(""https://docs.google.com/spreadsheets/d/11923uPwbBZFjjGgGUA6NLw09EwE0CqkOc4q9oUmW1yo/edit?usp=sharing"",""นครสวรรค์!J208"")"),0)</f>
        <v>0</v>
      </c>
      <c r="K303" s="223"/>
      <c r="L303" s="168"/>
      <c r="M303" s="168"/>
      <c r="N303" s="168"/>
      <c r="O303" s="181"/>
      <c r="P303" s="181"/>
    </row>
    <row r="304" spans="1:16" ht="21.75" customHeight="1" x14ac:dyDescent="0.3">
      <c r="A304" s="175"/>
      <c r="B304" s="176"/>
      <c r="C304" s="176"/>
      <c r="D304" s="193"/>
      <c r="E304" s="198"/>
      <c r="F304" s="194" t="s">
        <v>113</v>
      </c>
      <c r="G304" s="196"/>
      <c r="H304" s="180" t="s">
        <v>37</v>
      </c>
      <c r="I304" s="187">
        <f ca="1">IFERROR(__xludf.DUMMYFUNCTION("IMPORTRANGE(""https://docs.google.com/spreadsheets/d/11923uPwbBZFjjGgGUA6NLw09EwE0CqkOc4q9oUmW1yo/edit?usp=sharing"",""นครสวรรค์!I209"")"),0)</f>
        <v>0</v>
      </c>
      <c r="J304" s="203">
        <f ca="1">IFERROR(__xludf.DUMMYFUNCTION("IMPORTRANGE(""https://docs.google.com/spreadsheets/d/11923uPwbBZFjjGgGUA6NLw09EwE0CqkOc4q9oUmW1yo/edit?usp=sharing"",""นครสวรรค์!J209"")"),0)</f>
        <v>0</v>
      </c>
      <c r="K304" s="223">
        <f ca="1">IF(I304&gt;0,J304*100/I304,0)</f>
        <v>0</v>
      </c>
      <c r="L304" s="168"/>
      <c r="M304" s="168"/>
      <c r="N304" s="168"/>
      <c r="O304" s="181"/>
      <c r="P304" s="181"/>
    </row>
    <row r="305" spans="1:16" ht="21.75" customHeight="1" x14ac:dyDescent="0.3">
      <c r="A305" s="175"/>
      <c r="B305" s="176"/>
      <c r="C305" s="176"/>
      <c r="D305" s="193"/>
      <c r="E305" s="198"/>
      <c r="F305" s="194" t="s">
        <v>114</v>
      </c>
      <c r="G305" s="196"/>
      <c r="H305" s="180"/>
      <c r="I305" s="187"/>
      <c r="J305" s="187"/>
      <c r="K305" s="223"/>
      <c r="L305" s="168"/>
      <c r="M305" s="168"/>
      <c r="N305" s="168"/>
      <c r="O305" s="181"/>
      <c r="P305" s="181"/>
    </row>
    <row r="306" spans="1:16" ht="21.75" customHeight="1" x14ac:dyDescent="0.3">
      <c r="A306" s="175"/>
      <c r="B306" s="176"/>
      <c r="C306" s="176"/>
      <c r="D306" s="193"/>
      <c r="E306" s="198"/>
      <c r="F306" s="195" t="s">
        <v>53</v>
      </c>
      <c r="G306" s="196"/>
      <c r="H306" s="180" t="s">
        <v>37</v>
      </c>
      <c r="I306" s="187">
        <f ca="1">IFERROR(__xludf.DUMMYFUNCTION("IMPORTRANGE(""https://docs.google.com/spreadsheets/d/11923uPwbBZFjjGgGUA6NLw09EwE0CqkOc4q9oUmW1yo/edit?usp=sharing"",""นครสวรรค์!I211"")"),0)</f>
        <v>0</v>
      </c>
      <c r="J306" s="203">
        <f ca="1">IFERROR(__xludf.DUMMYFUNCTION("IMPORTRANGE(""https://docs.google.com/spreadsheets/d/11923uPwbBZFjjGgGUA6NLw09EwE0CqkOc4q9oUmW1yo/edit?usp=sharing"",""นครสวรรค์!J211"")"),0)</f>
        <v>0</v>
      </c>
      <c r="K306" s="223">
        <f ca="1">IF(I306&gt;0,J306*100/I306,0)</f>
        <v>0</v>
      </c>
      <c r="L306" s="168"/>
      <c r="M306" s="168"/>
      <c r="N306" s="168"/>
      <c r="O306" s="181"/>
      <c r="P306" s="181"/>
    </row>
    <row r="307" spans="1:16" ht="21.75" customHeight="1" x14ac:dyDescent="0.3">
      <c r="A307" s="175"/>
      <c r="B307" s="176"/>
      <c r="C307" s="176"/>
      <c r="D307" s="193"/>
      <c r="E307" s="194" t="s">
        <v>54</v>
      </c>
      <c r="F307" s="195"/>
      <c r="G307" s="196"/>
      <c r="H307" s="186"/>
      <c r="I307" s="187"/>
      <c r="J307" s="187">
        <f ca="1">IFERROR(__xludf.DUMMYFUNCTION("IMPORTRANGE(""https://docs.google.com/spreadsheets/d/11923uPwbBZFjjGgGUA6NLw09EwE0CqkOc4q9oUmW1yo/edit?usp=sharing"",""นครสวรรค์!J212"")"),0)</f>
        <v>0</v>
      </c>
      <c r="K307" s="223"/>
      <c r="L307" s="168"/>
      <c r="M307" s="168"/>
      <c r="N307" s="168"/>
      <c r="O307" s="181"/>
      <c r="P307" s="181"/>
    </row>
    <row r="308" spans="1:16" ht="21.75" customHeight="1" x14ac:dyDescent="0.3">
      <c r="A308" s="175"/>
      <c r="B308" s="176"/>
      <c r="C308" s="176"/>
      <c r="D308" s="205">
        <v>3</v>
      </c>
      <c r="E308" s="206" t="s">
        <v>55</v>
      </c>
      <c r="F308" s="207"/>
      <c r="G308" s="208"/>
      <c r="H308" s="186"/>
      <c r="I308" s="187"/>
      <c r="J308" s="324">
        <f ca="1">IFERROR(__xludf.DUMMYFUNCTION("IMPORTRANGE(""https://docs.google.com/spreadsheets/d/11923uPwbBZFjjGgGUA6NLw09EwE0CqkOc4q9oUmW1yo/edit?usp=sharing"",""นครสวรรค์!J213"")"),0)</f>
        <v>0</v>
      </c>
      <c r="K308" s="223"/>
      <c r="L308" s="168"/>
      <c r="M308" s="168"/>
      <c r="N308" s="168"/>
      <c r="O308" s="181"/>
      <c r="P308" s="181"/>
    </row>
    <row r="309" spans="1:16" ht="21.75" customHeight="1" x14ac:dyDescent="0.3">
      <c r="A309" s="325"/>
      <c r="B309" s="326" t="s">
        <v>115</v>
      </c>
      <c r="C309" s="327"/>
      <c r="D309" s="328"/>
      <c r="E309" s="326"/>
      <c r="F309" s="326"/>
      <c r="G309" s="329"/>
      <c r="H309" s="330" t="s">
        <v>116</v>
      </c>
      <c r="I309" s="331">
        <f ca="1">IFERROR(__xludf.DUMMYFUNCTION("IMPORTRANGE(""https://docs.google.com/spreadsheets/d/11923uPwbBZFjjGgGUA6NLw09EwE0CqkOc4q9oUmW1yo/edit?usp=sharing"",""นครสวรรค์!I214"")"),0)</f>
        <v>0</v>
      </c>
      <c r="J309" s="331">
        <f ca="1">IFERROR(__xludf.DUMMYFUNCTION("IMPORTRANGE(""https://docs.google.com/spreadsheets/d/11923uPwbBZFjjGgGUA6NLw09EwE0CqkOc4q9oUmW1yo/edit?usp=sharing"",""นครสวรรค์!J214"")"),0)</f>
        <v>0</v>
      </c>
      <c r="K309" s="332">
        <f ca="1">IF(I309&gt;0,J309*100/I309,0)</f>
        <v>0</v>
      </c>
      <c r="L309" s="333"/>
      <c r="M309" s="333"/>
      <c r="N309" s="333"/>
      <c r="O309" s="332"/>
      <c r="P309" s="332"/>
    </row>
    <row r="310" spans="1:16" ht="21.75" customHeight="1" x14ac:dyDescent="0.45">
      <c r="A310" s="145"/>
      <c r="B310" s="146"/>
      <c r="C310" s="147" t="s">
        <v>16</v>
      </c>
      <c r="D310" s="537" t="s">
        <v>17</v>
      </c>
      <c r="E310" s="528"/>
      <c r="F310" s="528"/>
      <c r="G310" s="528"/>
      <c r="H310" s="148" t="s">
        <v>12</v>
      </c>
      <c r="I310" s="334"/>
      <c r="J310" s="334"/>
      <c r="K310" s="335"/>
      <c r="L310" s="151">
        <f t="shared" ref="L310:N310" ca="1" si="93">L311+L312</f>
        <v>0</v>
      </c>
      <c r="M310" s="151">
        <f t="shared" ca="1" si="93"/>
        <v>0</v>
      </c>
      <c r="N310" s="151">
        <f t="shared" ca="1" si="93"/>
        <v>0</v>
      </c>
      <c r="O310" s="150">
        <f t="shared" ref="O310:O312" ca="1" si="94">IF(L310&gt;0,N310*100/L310,0)</f>
        <v>0</v>
      </c>
      <c r="P310" s="150">
        <f t="shared" ref="P310:P312" ca="1" si="95">IF(M310&gt;0,N310*100/M310,0)</f>
        <v>0</v>
      </c>
    </row>
    <row r="311" spans="1:16" ht="21.75" customHeight="1" x14ac:dyDescent="0.45">
      <c r="A311" s="152"/>
      <c r="B311" s="32"/>
      <c r="C311" s="32"/>
      <c r="D311" s="32"/>
      <c r="E311" s="32"/>
      <c r="F311" s="32"/>
      <c r="G311" s="33" t="s">
        <v>18</v>
      </c>
      <c r="H311" s="153" t="s">
        <v>12</v>
      </c>
      <c r="I311" s="334"/>
      <c r="J311" s="334"/>
      <c r="K311" s="335"/>
      <c r="L311" s="87">
        <f t="shared" ref="L311:N311" si="96">L313+L317</f>
        <v>0</v>
      </c>
      <c r="M311" s="87">
        <f t="shared" si="96"/>
        <v>0</v>
      </c>
      <c r="N311" s="87">
        <f t="shared" si="96"/>
        <v>0</v>
      </c>
      <c r="O311" s="155">
        <f t="shared" si="94"/>
        <v>0</v>
      </c>
      <c r="P311" s="155">
        <f t="shared" si="95"/>
        <v>0</v>
      </c>
    </row>
    <row r="312" spans="1:16" ht="21.75" customHeight="1" x14ac:dyDescent="0.45">
      <c r="A312" s="152"/>
      <c r="B312" s="32"/>
      <c r="C312" s="32"/>
      <c r="D312" s="32"/>
      <c r="E312" s="32"/>
      <c r="F312" s="32"/>
      <c r="G312" s="33" t="s">
        <v>19</v>
      </c>
      <c r="H312" s="153" t="s">
        <v>12</v>
      </c>
      <c r="I312" s="334"/>
      <c r="J312" s="334"/>
      <c r="K312" s="335"/>
      <c r="L312" s="87">
        <f t="shared" ref="L312:N312" ca="1" si="97">L314+L318</f>
        <v>0</v>
      </c>
      <c r="M312" s="87">
        <f t="shared" ca="1" si="97"/>
        <v>0</v>
      </c>
      <c r="N312" s="87">
        <f t="shared" ca="1" si="97"/>
        <v>0</v>
      </c>
      <c r="O312" s="155">
        <f t="shared" ca="1" si="94"/>
        <v>0</v>
      </c>
      <c r="P312" s="155">
        <f t="shared" ca="1" si="95"/>
        <v>0</v>
      </c>
    </row>
    <row r="313" spans="1:16" ht="21.75" customHeight="1" x14ac:dyDescent="0.3">
      <c r="A313" s="156"/>
      <c r="B313" s="157"/>
      <c r="C313" s="157" t="s">
        <v>16</v>
      </c>
      <c r="D313" s="158" t="s">
        <v>38</v>
      </c>
      <c r="E313" s="159"/>
      <c r="F313" s="159"/>
      <c r="G313" s="160" t="s">
        <v>39</v>
      </c>
      <c r="H313" s="161" t="s">
        <v>12</v>
      </c>
      <c r="I313" s="162" t="s">
        <v>40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3">
      <c r="A314" s="156"/>
      <c r="B314" s="157"/>
      <c r="C314" s="157"/>
      <c r="D314" s="166"/>
      <c r="E314" s="159"/>
      <c r="F314" s="159" t="s">
        <v>40</v>
      </c>
      <c r="G314" s="160" t="s">
        <v>41</v>
      </c>
      <c r="H314" s="161" t="s">
        <v>12</v>
      </c>
      <c r="I314" s="162"/>
      <c r="J314" s="162"/>
      <c r="K314" s="163"/>
      <c r="L314" s="167">
        <f ca="1">L315+L316</f>
        <v>0</v>
      </c>
      <c r="M314" s="167">
        <f ca="1">IFERROR(__xludf.DUMMYFUNCTION("IMPORTRANGE(""https://docs.google.com/spreadsheets/d/1Yj_ptqi66GCucihVvJfMjLAmec39IyEx_6qawtMGysU/edit?usp=sharing"",""สบก!DC24"")"),0)</f>
        <v>0</v>
      </c>
      <c r="N314" s="168">
        <f ca="1">IFERROR(__xludf.DUMMYFUNCTION("IMPORTRANGE(""https://docs.google.com/spreadsheets/d/1Yj_ptqi66GCucihVvJfMjLAmec39IyEx_6qawtMGysU/edit?usp=sharing"",""สบก!DD24"")"),0)</f>
        <v>0</v>
      </c>
      <c r="O314" s="168">
        <f ca="1">IF(L314&gt;0,N314*100/L314,0)</f>
        <v>0</v>
      </c>
      <c r="P314" s="168">
        <f ca="1">IF(M314&gt;0,N314*100/M314,0)</f>
        <v>0</v>
      </c>
    </row>
    <row r="315" spans="1:16" ht="21.75" customHeight="1" x14ac:dyDescent="0.3">
      <c r="A315" s="156"/>
      <c r="B315" s="157"/>
      <c r="C315" s="157"/>
      <c r="D315" s="166"/>
      <c r="E315" s="159"/>
      <c r="F315" s="159"/>
      <c r="G315" s="169" t="s">
        <v>42</v>
      </c>
      <c r="H315" s="161" t="s">
        <v>12</v>
      </c>
      <c r="I315" s="162"/>
      <c r="J315" s="162"/>
      <c r="K315" s="163"/>
      <c r="L315" s="167">
        <f ca="1">IFERROR(__xludf.DUMMYFUNCTION("IMPORTRANGE(""https://docs.google.com/spreadsheets/d/1Yj_ptqi66GCucihVvJfMjLAmec39IyEx_6qawtMGysU/edit?usp=sharing"",""สบก!CY24"")"),0)</f>
        <v>0</v>
      </c>
      <c r="M315" s="167"/>
      <c r="N315" s="167"/>
      <c r="O315" s="168"/>
      <c r="P315" s="168"/>
    </row>
    <row r="316" spans="1:16" ht="21.75" customHeight="1" x14ac:dyDescent="0.3">
      <c r="A316" s="156"/>
      <c r="B316" s="157"/>
      <c r="C316" s="157"/>
      <c r="D316" s="166"/>
      <c r="E316" s="159"/>
      <c r="F316" s="159"/>
      <c r="G316" s="169" t="s">
        <v>43</v>
      </c>
      <c r="H316" s="161" t="s">
        <v>12</v>
      </c>
      <c r="I316" s="162"/>
      <c r="J316" s="187"/>
      <c r="K316" s="223"/>
      <c r="L316" s="167">
        <f ca="1">IFERROR(__xludf.DUMMYFUNCTION("IMPORTRANGE(""https://docs.google.com/spreadsheets/d/1Yj_ptqi66GCucihVvJfMjLAmec39IyEx_6qawtMGysU/edit?usp=sharing"",""สบก!CZ24"")"),0)</f>
        <v>0</v>
      </c>
      <c r="M316" s="167"/>
      <c r="N316" s="167"/>
      <c r="O316" s="168"/>
      <c r="P316" s="168"/>
    </row>
    <row r="317" spans="1:16" ht="21.75" customHeight="1" x14ac:dyDescent="0.45">
      <c r="A317" s="170"/>
      <c r="B317" s="80"/>
      <c r="C317" s="81" t="s">
        <v>16</v>
      </c>
      <c r="D317" s="534" t="s">
        <v>23</v>
      </c>
      <c r="E317" s="530"/>
      <c r="F317" s="88"/>
      <c r="G317" s="82" t="s">
        <v>18</v>
      </c>
      <c r="H317" s="171" t="s">
        <v>12</v>
      </c>
      <c r="I317" s="162"/>
      <c r="J317" s="187"/>
      <c r="K317" s="223"/>
      <c r="L317" s="41">
        <v>0</v>
      </c>
      <c r="M317" s="41"/>
      <c r="N317" s="41"/>
      <c r="O317" s="41"/>
      <c r="P317" s="41"/>
    </row>
    <row r="318" spans="1:16" ht="21.75" customHeight="1" x14ac:dyDescent="0.45">
      <c r="A318" s="172"/>
      <c r="B318" s="91"/>
      <c r="C318" s="91"/>
      <c r="D318" s="173"/>
      <c r="E318" s="92"/>
      <c r="F318" s="92"/>
      <c r="G318" s="93" t="s">
        <v>19</v>
      </c>
      <c r="H318" s="174" t="s">
        <v>12</v>
      </c>
      <c r="I318" s="162"/>
      <c r="J318" s="187"/>
      <c r="K318" s="223"/>
      <c r="L318" s="49">
        <f ca="1">IFERROR(__xludf.DUMMYFUNCTION("IMPORTRANGE(""https://docs.google.com/spreadsheets/d/1Yj_ptqi66GCucihVvJfMjLAmec39IyEx_6qawtMGysU/edit?usp=sharing"",""สบก!DA24"")"),0)</f>
        <v>0</v>
      </c>
      <c r="M318" s="49"/>
      <c r="N318" s="49">
        <f ca="1">IFERROR(__xludf.DUMMYFUNCTION("IMPORTRANGE(""https://docs.google.com/spreadsheets/d/1Yj_ptqi66GCucihVvJfMjLAmec39IyEx_6qawtMGysU/edit?usp=sharing"",""สบก!DE24"")"),0)</f>
        <v>0</v>
      </c>
      <c r="O318" s="49">
        <f ca="1">IF(L318&gt;0,N318*100/L318,0)</f>
        <v>0</v>
      </c>
      <c r="P318" s="49"/>
    </row>
    <row r="319" spans="1:16" ht="21.75" customHeight="1" x14ac:dyDescent="0.3">
      <c r="A319" s="175"/>
      <c r="B319" s="176"/>
      <c r="C319" s="157" t="s">
        <v>16</v>
      </c>
      <c r="D319" s="177" t="s">
        <v>44</v>
      </c>
      <c r="E319" s="178"/>
      <c r="F319" s="178"/>
      <c r="G319" s="179"/>
      <c r="H319" s="180"/>
      <c r="I319" s="162"/>
      <c r="J319" s="187"/>
      <c r="K319" s="223"/>
      <c r="L319" s="168"/>
      <c r="M319" s="168"/>
      <c r="N319" s="168"/>
      <c r="O319" s="181"/>
      <c r="P319" s="181"/>
    </row>
    <row r="320" spans="1:16" ht="21.75" customHeight="1" x14ac:dyDescent="0.3">
      <c r="A320" s="175"/>
      <c r="B320" s="176"/>
      <c r="C320" s="176"/>
      <c r="D320" s="182">
        <v>1</v>
      </c>
      <c r="E320" s="183" t="s">
        <v>45</v>
      </c>
      <c r="F320" s="184"/>
      <c r="G320" s="185"/>
      <c r="H320" s="186"/>
      <c r="I320" s="187"/>
      <c r="J320" s="187">
        <f ca="1">IFERROR(__xludf.DUMMYFUNCTION("IMPORTRANGE(""https://docs.google.com/spreadsheets/d/11923uPwbBZFjjGgGUA6NLw09EwE0CqkOc4q9oUmW1yo/edit?usp=sharing"",""นครสวรรค์!J220"")"),0)</f>
        <v>0</v>
      </c>
      <c r="K320" s="223"/>
      <c r="L320" s="168"/>
      <c r="M320" s="168"/>
      <c r="N320" s="168"/>
      <c r="O320" s="181"/>
      <c r="P320" s="181"/>
    </row>
    <row r="321" spans="1:16" ht="21.75" customHeight="1" x14ac:dyDescent="0.3">
      <c r="A321" s="175"/>
      <c r="B321" s="176"/>
      <c r="C321" s="176"/>
      <c r="D321" s="189">
        <v>2</v>
      </c>
      <c r="E321" s="190" t="s">
        <v>46</v>
      </c>
      <c r="F321" s="191"/>
      <c r="G321" s="192"/>
      <c r="H321" s="186"/>
      <c r="I321" s="187"/>
      <c r="J321" s="187">
        <f ca="1">IFERROR(__xludf.DUMMYFUNCTION("IMPORTRANGE(""https://docs.google.com/spreadsheets/d/11923uPwbBZFjjGgGUA6NLw09EwE0CqkOc4q9oUmW1yo/edit?usp=sharing"",""นครสวรรค์!J221"")"),0)</f>
        <v>0</v>
      </c>
      <c r="K321" s="223"/>
      <c r="L321" s="168" t="s">
        <v>40</v>
      </c>
      <c r="M321" s="168"/>
      <c r="N321" s="168" t="s">
        <v>40</v>
      </c>
      <c r="O321" s="181"/>
      <c r="P321" s="181"/>
    </row>
    <row r="322" spans="1:16" ht="21.75" customHeight="1" x14ac:dyDescent="0.3">
      <c r="A322" s="175"/>
      <c r="B322" s="176"/>
      <c r="C322" s="176"/>
      <c r="D322" s="193"/>
      <c r="E322" s="194" t="s">
        <v>47</v>
      </c>
      <c r="F322" s="195"/>
      <c r="G322" s="196"/>
      <c r="H322" s="186"/>
      <c r="I322" s="187"/>
      <c r="J322" s="187">
        <f ca="1">IFERROR(__xludf.DUMMYFUNCTION("IMPORTRANGE(""https://docs.google.com/spreadsheets/d/11923uPwbBZFjjGgGUA6NLw09EwE0CqkOc4q9oUmW1yo/edit?usp=sharing"",""นครสวรรค์!J222"")"),0)</f>
        <v>0</v>
      </c>
      <c r="K322" s="223"/>
      <c r="L322" s="168"/>
      <c r="M322" s="168"/>
      <c r="N322" s="168"/>
      <c r="O322" s="181"/>
      <c r="P322" s="181"/>
    </row>
    <row r="323" spans="1:16" ht="21.75" customHeight="1" x14ac:dyDescent="0.3">
      <c r="A323" s="175"/>
      <c r="B323" s="176"/>
      <c r="C323" s="176"/>
      <c r="D323" s="193"/>
      <c r="E323" s="194" t="s">
        <v>48</v>
      </c>
      <c r="F323" s="195"/>
      <c r="G323" s="196"/>
      <c r="H323" s="186"/>
      <c r="I323" s="187"/>
      <c r="J323" s="187">
        <f ca="1">IFERROR(__xludf.DUMMYFUNCTION("IMPORTRANGE(""https://docs.google.com/spreadsheets/d/11923uPwbBZFjjGgGUA6NLw09EwE0CqkOc4q9oUmW1yo/edit?usp=sharing"",""นครสวรรค์!J223"")"),0)</f>
        <v>0</v>
      </c>
      <c r="K323" s="223"/>
      <c r="L323" s="168"/>
      <c r="M323" s="168"/>
      <c r="N323" s="168"/>
      <c r="O323" s="181"/>
      <c r="P323" s="181"/>
    </row>
    <row r="324" spans="1:16" ht="21.75" customHeight="1" x14ac:dyDescent="0.3">
      <c r="A324" s="175"/>
      <c r="B324" s="176"/>
      <c r="C324" s="176"/>
      <c r="D324" s="193"/>
      <c r="E324" s="198"/>
      <c r="F324" s="194" t="s">
        <v>117</v>
      </c>
      <c r="G324" s="196"/>
      <c r="H324" s="186" t="s">
        <v>116</v>
      </c>
      <c r="I324" s="187">
        <f ca="1">IFERROR(__xludf.DUMMYFUNCTION("IMPORTRANGE(""https://docs.google.com/spreadsheets/d/11923uPwbBZFjjGgGUA6NLw09EwE0CqkOc4q9oUmW1yo/edit?usp=sharing"",""นครสวรรค์!I224"")"),0)</f>
        <v>0</v>
      </c>
      <c r="J324" s="203">
        <f ca="1">IFERROR(__xludf.DUMMYFUNCTION("IMPORTRANGE(""https://docs.google.com/spreadsheets/d/11923uPwbBZFjjGgGUA6NLw09EwE0CqkOc4q9oUmW1yo/edit?usp=sharing"",""นครสวรรค์!J224"")"),0)</f>
        <v>0</v>
      </c>
      <c r="K324" s="223">
        <f ca="1">IF(I324&gt;0,J324*100/I324,0)</f>
        <v>0</v>
      </c>
      <c r="L324" s="168"/>
      <c r="M324" s="168"/>
      <c r="N324" s="168"/>
      <c r="O324" s="181"/>
      <c r="P324" s="181"/>
    </row>
    <row r="325" spans="1:16" ht="21.75" customHeight="1" x14ac:dyDescent="0.3">
      <c r="A325" s="175"/>
      <c r="B325" s="176"/>
      <c r="C325" s="176"/>
      <c r="D325" s="193"/>
      <c r="E325" s="194" t="s">
        <v>54</v>
      </c>
      <c r="F325" s="195"/>
      <c r="G325" s="196"/>
      <c r="H325" s="186"/>
      <c r="I325" s="187"/>
      <c r="J325" s="187">
        <f ca="1">IFERROR(__xludf.DUMMYFUNCTION("IMPORTRANGE(""https://docs.google.com/spreadsheets/d/11923uPwbBZFjjGgGUA6NLw09EwE0CqkOc4q9oUmW1yo/edit?usp=sharing"",""นครสวรรค์!J225"")"),0)</f>
        <v>0</v>
      </c>
      <c r="K325" s="223"/>
      <c r="L325" s="168"/>
      <c r="M325" s="168"/>
      <c r="N325" s="168"/>
      <c r="O325" s="181"/>
      <c r="P325" s="181"/>
    </row>
    <row r="326" spans="1:16" ht="21.75" customHeight="1" x14ac:dyDescent="0.3">
      <c r="A326" s="175"/>
      <c r="B326" s="176"/>
      <c r="C326" s="176"/>
      <c r="D326" s="205">
        <v>3</v>
      </c>
      <c r="E326" s="206" t="s">
        <v>55</v>
      </c>
      <c r="F326" s="207"/>
      <c r="G326" s="208"/>
      <c r="H326" s="186"/>
      <c r="I326" s="187"/>
      <c r="J326" s="226">
        <f ca="1">IFERROR(__xludf.DUMMYFUNCTION("IMPORTRANGE(""https://docs.google.com/spreadsheets/d/11923uPwbBZFjjGgGUA6NLw09EwE0CqkOc4q9oUmW1yo/edit?usp=sharing"",""นครสวรรค์!J226"")"),0)</f>
        <v>0</v>
      </c>
      <c r="K326" s="223"/>
      <c r="L326" s="168"/>
      <c r="M326" s="168"/>
      <c r="N326" s="168"/>
      <c r="O326" s="181"/>
      <c r="P326" s="181"/>
    </row>
    <row r="327" spans="1:16" ht="21.75" customHeight="1" x14ac:dyDescent="0.3">
      <c r="A327" s="302" t="s">
        <v>118</v>
      </c>
      <c r="B327" s="303"/>
      <c r="C327" s="303"/>
      <c r="D327" s="304"/>
      <c r="E327" s="303"/>
      <c r="F327" s="303"/>
      <c r="G327" s="317"/>
      <c r="H327" s="306"/>
      <c r="I327" s="307"/>
      <c r="J327" s="307"/>
      <c r="K327" s="308"/>
      <c r="L327" s="308"/>
      <c r="M327" s="308"/>
      <c r="N327" s="308"/>
      <c r="O327" s="309"/>
      <c r="P327" s="309"/>
    </row>
    <row r="328" spans="1:16" ht="21.75" customHeight="1" x14ac:dyDescent="0.3">
      <c r="A328" s="310"/>
      <c r="B328" s="336" t="s">
        <v>119</v>
      </c>
      <c r="C328" s="323"/>
      <c r="D328" s="311"/>
      <c r="E328" s="311"/>
      <c r="F328" s="311"/>
      <c r="G328" s="312"/>
      <c r="H328" s="313" t="s">
        <v>37</v>
      </c>
      <c r="I328" s="337">
        <f ca="1">IFERROR(__xludf.DUMMYFUNCTION("IMPORTRANGE(""https://docs.google.com/spreadsheets/d/11923uPwbBZFjjGgGUA6NLw09EwE0CqkOc4q9oUmW1yo/edit?usp=sharing"",""นครสวรรค์!I228"")"),430)</f>
        <v>430</v>
      </c>
      <c r="J328" s="337">
        <f ca="1">IFERROR(__xludf.DUMMYFUNCTION("IMPORTRANGE(""https://docs.google.com/spreadsheets/d/11923uPwbBZFjjGgGUA6NLw09EwE0CqkOc4q9oUmW1yo/edit?usp=sharing"",""นครสวรรค์!J228"")"),25)</f>
        <v>25</v>
      </c>
      <c r="K328" s="315">
        <f ca="1">IF(I328&gt;0,J328*100/I328,0)</f>
        <v>5.8139534883720927</v>
      </c>
      <c r="L328" s="316"/>
      <c r="M328" s="316"/>
      <c r="N328" s="316"/>
      <c r="O328" s="315"/>
      <c r="P328" s="315"/>
    </row>
    <row r="329" spans="1:16" ht="21.75" customHeight="1" x14ac:dyDescent="0.45">
      <c r="A329" s="145"/>
      <c r="B329" s="146"/>
      <c r="C329" s="147" t="s">
        <v>16</v>
      </c>
      <c r="D329" s="537" t="s">
        <v>17</v>
      </c>
      <c r="E329" s="528"/>
      <c r="F329" s="528"/>
      <c r="G329" s="528"/>
      <c r="H329" s="148" t="s">
        <v>12</v>
      </c>
      <c r="I329" s="162"/>
      <c r="J329" s="162"/>
      <c r="K329" s="163"/>
      <c r="L329" s="151">
        <f t="shared" ref="L329:N329" ca="1" si="98">L330+L331</f>
        <v>1224950</v>
      </c>
      <c r="M329" s="151">
        <f t="shared" ca="1" si="98"/>
        <v>732380</v>
      </c>
      <c r="N329" s="151">
        <f t="shared" ca="1" si="98"/>
        <v>447599</v>
      </c>
      <c r="O329" s="150">
        <f t="shared" ref="O329:O331" ca="1" si="99">IF(L329&gt;0,N329*100/L329,0)</f>
        <v>36.540185313686273</v>
      </c>
      <c r="P329" s="150">
        <f t="shared" ref="P329:P331" ca="1" si="100">IF(M329&gt;0,N329*100/M329,0)</f>
        <v>61.115677653677054</v>
      </c>
    </row>
    <row r="330" spans="1:16" ht="21.75" customHeight="1" x14ac:dyDescent="0.45">
      <c r="A330" s="152"/>
      <c r="B330" s="32"/>
      <c r="C330" s="32"/>
      <c r="D330" s="32"/>
      <c r="E330" s="32"/>
      <c r="F330" s="32"/>
      <c r="G330" s="33" t="s">
        <v>18</v>
      </c>
      <c r="H330" s="153" t="s">
        <v>12</v>
      </c>
      <c r="I330" s="162"/>
      <c r="J330" s="162"/>
      <c r="K330" s="163"/>
      <c r="L330" s="87">
        <f t="shared" ref="L330:N330" si="101">L332+L336</f>
        <v>0</v>
      </c>
      <c r="M330" s="87">
        <f t="shared" si="101"/>
        <v>0</v>
      </c>
      <c r="N330" s="87">
        <f t="shared" si="101"/>
        <v>0</v>
      </c>
      <c r="O330" s="155">
        <f t="shared" si="99"/>
        <v>0</v>
      </c>
      <c r="P330" s="155">
        <f t="shared" si="100"/>
        <v>0</v>
      </c>
    </row>
    <row r="331" spans="1:16" ht="21.75" customHeight="1" x14ac:dyDescent="0.45">
      <c r="A331" s="152"/>
      <c r="B331" s="32"/>
      <c r="C331" s="32"/>
      <c r="D331" s="32"/>
      <c r="E331" s="32"/>
      <c r="F331" s="32"/>
      <c r="G331" s="33" t="s">
        <v>19</v>
      </c>
      <c r="H331" s="153" t="s">
        <v>12</v>
      </c>
      <c r="I331" s="162"/>
      <c r="J331" s="162"/>
      <c r="K331" s="163"/>
      <c r="L331" s="87">
        <f t="shared" ref="L331:N331" ca="1" si="102">L333+L337</f>
        <v>1224950</v>
      </c>
      <c r="M331" s="87">
        <f t="shared" ca="1" si="102"/>
        <v>732380</v>
      </c>
      <c r="N331" s="87">
        <f t="shared" ca="1" si="102"/>
        <v>447599</v>
      </c>
      <c r="O331" s="155">
        <f t="shared" ca="1" si="99"/>
        <v>36.540185313686273</v>
      </c>
      <c r="P331" s="155">
        <f t="shared" ca="1" si="100"/>
        <v>61.115677653677054</v>
      </c>
    </row>
    <row r="332" spans="1:16" ht="21.75" customHeight="1" x14ac:dyDescent="0.3">
      <c r="A332" s="156"/>
      <c r="B332" s="157"/>
      <c r="C332" s="157" t="s">
        <v>16</v>
      </c>
      <c r="D332" s="158" t="s">
        <v>38</v>
      </c>
      <c r="E332" s="159"/>
      <c r="F332" s="159"/>
      <c r="G332" s="160" t="s">
        <v>39</v>
      </c>
      <c r="H332" s="161" t="s">
        <v>12</v>
      </c>
      <c r="I332" s="162" t="s">
        <v>40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3">
      <c r="A333" s="156"/>
      <c r="B333" s="157"/>
      <c r="C333" s="157"/>
      <c r="D333" s="166"/>
      <c r="E333" s="159"/>
      <c r="F333" s="159" t="s">
        <v>40</v>
      </c>
      <c r="G333" s="160" t="s">
        <v>41</v>
      </c>
      <c r="H333" s="161" t="s">
        <v>12</v>
      </c>
      <c r="I333" s="162"/>
      <c r="J333" s="162"/>
      <c r="K333" s="163"/>
      <c r="L333" s="167">
        <f ca="1">L334+L335</f>
        <v>1119950</v>
      </c>
      <c r="M333" s="167">
        <f ca="1">IFERROR(__xludf.DUMMYFUNCTION("IMPORTRANGE(""https://docs.google.com/spreadsheets/d/1Yj_ptqi66GCucihVvJfMjLAmec39IyEx_6qawtMGysU/edit?usp=sharing"",""สบก!DL24"")"),627380)</f>
        <v>627380</v>
      </c>
      <c r="N333" s="168">
        <f ca="1">IFERROR(__xludf.DUMMYFUNCTION("IMPORTRANGE(""https://docs.google.com/spreadsheets/d/1Yj_ptqi66GCucihVvJfMjLAmec39IyEx_6qawtMGysU/edit?usp=sharing"",""สบก!DM24"")"),342599)</f>
        <v>342599</v>
      </c>
      <c r="O333" s="168">
        <f ca="1">IF(L333&gt;0,N333*100/L333,0)</f>
        <v>30.590562078664227</v>
      </c>
      <c r="P333" s="168">
        <f ca="1">IF(M333&gt;0,N333*100/M333,0)</f>
        <v>54.607893142911792</v>
      </c>
    </row>
    <row r="334" spans="1:16" ht="21.75" customHeight="1" x14ac:dyDescent="0.3">
      <c r="A334" s="156"/>
      <c r="B334" s="157"/>
      <c r="C334" s="157"/>
      <c r="D334" s="166"/>
      <c r="E334" s="159"/>
      <c r="F334" s="159"/>
      <c r="G334" s="169" t="s">
        <v>42</v>
      </c>
      <c r="H334" s="161" t="s">
        <v>12</v>
      </c>
      <c r="I334" s="162"/>
      <c r="J334" s="162"/>
      <c r="K334" s="163"/>
      <c r="L334" s="167">
        <f ca="1">IFERROR(__xludf.DUMMYFUNCTION("IMPORTRANGE(""https://docs.google.com/spreadsheets/d/1Yj_ptqi66GCucihVvJfMjLAmec39IyEx_6qawtMGysU/edit?usp=sharing"",""สบก!DH24"")"),529200)</f>
        <v>529200</v>
      </c>
      <c r="M334" s="167"/>
      <c r="N334" s="167"/>
      <c r="O334" s="168"/>
      <c r="P334" s="168"/>
    </row>
    <row r="335" spans="1:16" ht="21.75" customHeight="1" x14ac:dyDescent="0.3">
      <c r="A335" s="156"/>
      <c r="B335" s="157"/>
      <c r="C335" s="157"/>
      <c r="D335" s="166"/>
      <c r="E335" s="159"/>
      <c r="F335" s="159"/>
      <c r="G335" s="169" t="s">
        <v>43</v>
      </c>
      <c r="H335" s="161" t="s">
        <v>12</v>
      </c>
      <c r="I335" s="162"/>
      <c r="J335" s="162"/>
      <c r="K335" s="163"/>
      <c r="L335" s="167">
        <f ca="1">IFERROR(__xludf.DUMMYFUNCTION("IMPORTRANGE(""https://docs.google.com/spreadsheets/d/1Yj_ptqi66GCucihVvJfMjLAmec39IyEx_6qawtMGysU/edit?usp=sharing"",""สบก!DI24"")"),590750)</f>
        <v>590750</v>
      </c>
      <c r="M335" s="167"/>
      <c r="N335" s="167"/>
      <c r="O335" s="168"/>
      <c r="P335" s="168"/>
    </row>
    <row r="336" spans="1:16" ht="21.75" customHeight="1" x14ac:dyDescent="0.45">
      <c r="A336" s="170"/>
      <c r="B336" s="80"/>
      <c r="C336" s="81" t="s">
        <v>16</v>
      </c>
      <c r="D336" s="534" t="s">
        <v>23</v>
      </c>
      <c r="E336" s="530"/>
      <c r="F336" s="88"/>
      <c r="G336" s="82" t="s">
        <v>18</v>
      </c>
      <c r="H336" s="171" t="s">
        <v>12</v>
      </c>
      <c r="I336" s="162"/>
      <c r="J336" s="162"/>
      <c r="K336" s="163"/>
      <c r="L336" s="41">
        <v>0</v>
      </c>
      <c r="M336" s="41"/>
      <c r="N336" s="41"/>
      <c r="O336" s="41"/>
      <c r="P336" s="41"/>
    </row>
    <row r="337" spans="1:16" ht="21.75" customHeight="1" x14ac:dyDescent="0.45">
      <c r="A337" s="172"/>
      <c r="B337" s="91"/>
      <c r="C337" s="91"/>
      <c r="D337" s="173"/>
      <c r="E337" s="92"/>
      <c r="F337" s="92"/>
      <c r="G337" s="93" t="s">
        <v>19</v>
      </c>
      <c r="H337" s="174" t="s">
        <v>12</v>
      </c>
      <c r="I337" s="162"/>
      <c r="J337" s="162"/>
      <c r="K337" s="163"/>
      <c r="L337" s="49">
        <f ca="1">IFERROR(__xludf.DUMMYFUNCTION("IMPORTRANGE(""https://docs.google.com/spreadsheets/d/1Yj_ptqi66GCucihVvJfMjLAmec39IyEx_6qawtMGysU/edit?usp=sharing"",""สบก!DJ24"")"),105000)</f>
        <v>105000</v>
      </c>
      <c r="M337" s="49">
        <f ca="1">L337</f>
        <v>105000</v>
      </c>
      <c r="N337" s="49">
        <f ca="1">IFERROR(__xludf.DUMMYFUNCTION("IMPORTRANGE(""https://docs.google.com/spreadsheets/d/1Yj_ptqi66GCucihVvJfMjLAmec39IyEx_6qawtMGysU/edit?usp=sharing"",""สบก!DN24"")"),105000)</f>
        <v>105000</v>
      </c>
      <c r="O337" s="49">
        <f ca="1">IF(L337&gt;0,N337*100/L337,0)</f>
        <v>100</v>
      </c>
      <c r="P337" s="49">
        <f ca="1">IF(M337&gt;0,N337*100/M337,0)</f>
        <v>100</v>
      </c>
    </row>
    <row r="338" spans="1:16" ht="21.75" customHeight="1" x14ac:dyDescent="0.3">
      <c r="A338" s="175"/>
      <c r="B338" s="289"/>
      <c r="C338" s="338" t="s">
        <v>120</v>
      </c>
      <c r="D338" s="195"/>
      <c r="E338" s="195"/>
      <c r="F338" s="195"/>
      <c r="G338" s="196"/>
      <c r="H338" s="180"/>
      <c r="I338" s="339"/>
      <c r="J338" s="339"/>
      <c r="K338" s="340"/>
      <c r="L338" s="181"/>
      <c r="M338" s="181"/>
      <c r="N338" s="181"/>
      <c r="O338" s="341"/>
      <c r="P338" s="341"/>
    </row>
    <row r="339" spans="1:16" ht="21.75" customHeight="1" x14ac:dyDescent="0.3">
      <c r="A339" s="175"/>
      <c r="B339" s="289"/>
      <c r="C339" s="176"/>
      <c r="D339" s="195"/>
      <c r="E339" s="194" t="s">
        <v>121</v>
      </c>
      <c r="F339" s="195"/>
      <c r="G339" s="196"/>
      <c r="H339" s="342" t="s">
        <v>37</v>
      </c>
      <c r="I339" s="203">
        <f ca="1">IFERROR(__xludf.DUMMYFUNCTION("IMPORTRANGE(""https://docs.google.com/spreadsheets/d/11923uPwbBZFjjGgGUA6NLw09EwE0CqkOc4q9oUmW1yo/edit?usp=sharing"",""นครสวรรค์!I234"")"),0)</f>
        <v>0</v>
      </c>
      <c r="J339" s="187">
        <f ca="1">IFERROR(__xludf.DUMMYFUNCTION("IMPORTRANGE(""https://docs.google.com/spreadsheets/d/11923uPwbBZFjjGgGUA6NLw09EwE0CqkOc4q9oUmW1yo/edit?usp=sharing"",""นครสวรรค์!J234"")"),208)</f>
        <v>208</v>
      </c>
      <c r="K339" s="340">
        <f t="shared" ref="K339:K346" ca="1" si="103">IF(I339&gt;0,J339*100/I339,0)</f>
        <v>0</v>
      </c>
      <c r="L339" s="181"/>
      <c r="M339" s="181"/>
      <c r="N339" s="181"/>
      <c r="O339" s="341"/>
      <c r="P339" s="341"/>
    </row>
    <row r="340" spans="1:16" ht="21.75" customHeight="1" x14ac:dyDescent="0.3">
      <c r="A340" s="175"/>
      <c r="B340" s="289"/>
      <c r="C340" s="176"/>
      <c r="D340" s="195"/>
      <c r="E340" s="195"/>
      <c r="F340" s="195"/>
      <c r="G340" s="196"/>
      <c r="H340" s="342" t="s">
        <v>122</v>
      </c>
      <c r="I340" s="187">
        <f ca="1">IFERROR(__xludf.DUMMYFUNCTION("IMPORTRANGE(""https://docs.google.com/spreadsheets/d/11923uPwbBZFjjGgGUA6NLw09EwE0CqkOc4q9oUmW1yo/edit?usp=sharing"",""นครสวรรค์!I235"")"),4200)</f>
        <v>4200</v>
      </c>
      <c r="J340" s="187">
        <f ca="1">IFERROR(__xludf.DUMMYFUNCTION("IMPORTRANGE(""https://docs.google.com/spreadsheets/d/11923uPwbBZFjjGgGUA6NLw09EwE0CqkOc4q9oUmW1yo/edit?usp=sharing"",""นครสวรรค์!J235"")"),2008.8)</f>
        <v>2008.8</v>
      </c>
      <c r="K340" s="340">
        <f t="shared" ca="1" si="103"/>
        <v>47.828571428571429</v>
      </c>
      <c r="L340" s="181"/>
      <c r="M340" s="181"/>
      <c r="N340" s="181"/>
      <c r="O340" s="341"/>
      <c r="P340" s="341"/>
    </row>
    <row r="341" spans="1:16" ht="21.75" customHeight="1" x14ac:dyDescent="0.3">
      <c r="A341" s="175"/>
      <c r="B341" s="289"/>
      <c r="C341" s="176"/>
      <c r="D341" s="195"/>
      <c r="E341" s="194" t="s">
        <v>123</v>
      </c>
      <c r="F341" s="195"/>
      <c r="G341" s="196"/>
      <c r="H341" s="180" t="s">
        <v>37</v>
      </c>
      <c r="I341" s="187">
        <f ca="1">IFERROR(__xludf.DUMMYFUNCTION("IMPORTRANGE(""https://docs.google.com/spreadsheets/d/11923uPwbBZFjjGgGUA6NLw09EwE0CqkOc4q9oUmW1yo/edit?usp=sharing"",""นครสวรรค์!I236"")"),430)</f>
        <v>430</v>
      </c>
      <c r="J341" s="187">
        <f ca="1">IFERROR(__xludf.DUMMYFUNCTION("IMPORTRANGE(""https://docs.google.com/spreadsheets/d/11923uPwbBZFjjGgGUA6NLw09EwE0CqkOc4q9oUmW1yo/edit?usp=sharing"",""นครสวรรค์!J236"")"),77)</f>
        <v>77</v>
      </c>
      <c r="K341" s="340">
        <f t="shared" ca="1" si="103"/>
        <v>17.906976744186046</v>
      </c>
      <c r="L341" s="181"/>
      <c r="M341" s="181"/>
      <c r="N341" s="181"/>
      <c r="O341" s="341"/>
      <c r="P341" s="341"/>
    </row>
    <row r="342" spans="1:16" ht="21.75" customHeight="1" x14ac:dyDescent="0.3">
      <c r="A342" s="175"/>
      <c r="B342" s="289"/>
      <c r="C342" s="176"/>
      <c r="D342" s="195"/>
      <c r="E342" s="195"/>
      <c r="F342" s="195"/>
      <c r="G342" s="196"/>
      <c r="H342" s="180" t="s">
        <v>122</v>
      </c>
      <c r="I342" s="343">
        <f ca="1">IFERROR(__xludf.DUMMYFUNCTION("IMPORTRANGE(""https://docs.google.com/spreadsheets/d/11923uPwbBZFjjGgGUA6NLw09EwE0CqkOc4q9oUmW1yo/edit?usp=sharing"",""นครสวรรค์!I237"")"),0)</f>
        <v>0</v>
      </c>
      <c r="J342" s="187">
        <f ca="1">IFERROR(__xludf.DUMMYFUNCTION("IMPORTRANGE(""https://docs.google.com/spreadsheets/d/11923uPwbBZFjjGgGUA6NLw09EwE0CqkOc4q9oUmW1yo/edit?usp=sharing"",""นครสวรรค์!J237"")"),929.49)</f>
        <v>929.49</v>
      </c>
      <c r="K342" s="340">
        <f t="shared" ca="1" si="103"/>
        <v>0</v>
      </c>
      <c r="L342" s="181"/>
      <c r="M342" s="181"/>
      <c r="N342" s="181"/>
      <c r="O342" s="341"/>
      <c r="P342" s="341"/>
    </row>
    <row r="343" spans="1:16" ht="21.75" customHeight="1" x14ac:dyDescent="0.3">
      <c r="A343" s="175"/>
      <c r="B343" s="289"/>
      <c r="C343" s="176"/>
      <c r="D343" s="195"/>
      <c r="E343" s="194" t="s">
        <v>124</v>
      </c>
      <c r="F343" s="195"/>
      <c r="G343" s="196"/>
      <c r="H343" s="180" t="s">
        <v>37</v>
      </c>
      <c r="I343" s="187">
        <f ca="1">IFERROR(__xludf.DUMMYFUNCTION("IMPORTRANGE(""https://docs.google.com/spreadsheets/d/11923uPwbBZFjjGgGUA6NLw09EwE0CqkOc4q9oUmW1yo/edit?usp=sharing"",""นครสวรรค์!I238"")"),430)</f>
        <v>430</v>
      </c>
      <c r="J343" s="187">
        <f ca="1">IFERROR(__xludf.DUMMYFUNCTION("IMPORTRANGE(""https://docs.google.com/spreadsheets/d/11923uPwbBZFjjGgGUA6NLw09EwE0CqkOc4q9oUmW1yo/edit?usp=sharing"",""นครสวรรค์!J238"")"),0)</f>
        <v>0</v>
      </c>
      <c r="K343" s="340">
        <f t="shared" ca="1" si="103"/>
        <v>0</v>
      </c>
      <c r="L343" s="181"/>
      <c r="M343" s="181"/>
      <c r="N343" s="181"/>
      <c r="O343" s="341"/>
      <c r="P343" s="341"/>
    </row>
    <row r="344" spans="1:16" ht="21.75" customHeight="1" x14ac:dyDescent="0.3">
      <c r="A344" s="175"/>
      <c r="B344" s="289"/>
      <c r="C344" s="176"/>
      <c r="D344" s="195"/>
      <c r="E344" s="195"/>
      <c r="F344" s="195"/>
      <c r="G344" s="196"/>
      <c r="H344" s="180" t="s">
        <v>122</v>
      </c>
      <c r="I344" s="343">
        <f ca="1">IFERROR(__xludf.DUMMYFUNCTION("IMPORTRANGE(""https://docs.google.com/spreadsheets/d/11923uPwbBZFjjGgGUA6NLw09EwE0CqkOc4q9oUmW1yo/edit?usp=sharing"",""นครสวรรค์!I239"")"),0)</f>
        <v>0</v>
      </c>
      <c r="J344" s="187">
        <f ca="1">IFERROR(__xludf.DUMMYFUNCTION("IMPORTRANGE(""https://docs.google.com/spreadsheets/d/11923uPwbBZFjjGgGUA6NLw09EwE0CqkOc4q9oUmW1yo/edit?usp=sharing"",""นครสวรรค์!J239"")"),0)</f>
        <v>0</v>
      </c>
      <c r="K344" s="340">
        <f t="shared" ca="1" si="103"/>
        <v>0</v>
      </c>
      <c r="L344" s="181"/>
      <c r="M344" s="181"/>
      <c r="N344" s="181"/>
      <c r="O344" s="341"/>
      <c r="P344" s="341"/>
    </row>
    <row r="345" spans="1:16" ht="21.75" customHeight="1" x14ac:dyDescent="0.3">
      <c r="A345" s="175"/>
      <c r="B345" s="289"/>
      <c r="C345" s="176"/>
      <c r="D345" s="195"/>
      <c r="E345" s="194" t="s">
        <v>125</v>
      </c>
      <c r="F345" s="195"/>
      <c r="G345" s="196"/>
      <c r="H345" s="180" t="s">
        <v>37</v>
      </c>
      <c r="I345" s="187">
        <f ca="1">IFERROR(__xludf.DUMMYFUNCTION("IMPORTRANGE(""https://docs.google.com/spreadsheets/d/11923uPwbBZFjjGgGUA6NLw09EwE0CqkOc4q9oUmW1yo/edit?usp=sharing"",""นครสวรรค์!I240"")"),430)</f>
        <v>430</v>
      </c>
      <c r="J345" s="187">
        <f ca="1">IFERROR(__xludf.DUMMYFUNCTION("IMPORTRANGE(""https://docs.google.com/spreadsheets/d/11923uPwbBZFjjGgGUA6NLw09EwE0CqkOc4q9oUmW1yo/edit?usp=sharing"",""นครสวรรค์!J240"")"),25)</f>
        <v>25</v>
      </c>
      <c r="K345" s="340">
        <f t="shared" ca="1" si="103"/>
        <v>5.8139534883720927</v>
      </c>
      <c r="L345" s="181"/>
      <c r="M345" s="181"/>
      <c r="N345" s="181"/>
      <c r="O345" s="341"/>
      <c r="P345" s="341"/>
    </row>
    <row r="346" spans="1:16" ht="21.75" customHeight="1" x14ac:dyDescent="0.3">
      <c r="A346" s="233"/>
      <c r="B346" s="344"/>
      <c r="C346" s="234"/>
      <c r="D346" s="344"/>
      <c r="E346" s="345"/>
      <c r="F346" s="345"/>
      <c r="G346" s="346"/>
      <c r="H346" s="347" t="s">
        <v>122</v>
      </c>
      <c r="I346" s="348">
        <f ca="1">IFERROR(__xludf.DUMMYFUNCTION("IMPORTRANGE(""https://docs.google.com/spreadsheets/d/11923uPwbBZFjjGgGUA6NLw09EwE0CqkOc4q9oUmW1yo/edit?usp=sharing"",""นครสวรรค์!I241"")"),0)</f>
        <v>0</v>
      </c>
      <c r="J346" s="187">
        <f ca="1">IFERROR(__xludf.DUMMYFUNCTION("IMPORTRANGE(""https://docs.google.com/spreadsheets/d/11923uPwbBZFjjGgGUA6NLw09EwE0CqkOc4q9oUmW1yo/edit?usp=sharing"",""นครสวรรค์!J241"")"),485.88)</f>
        <v>485.88</v>
      </c>
      <c r="K346" s="349">
        <f t="shared" ca="1" si="103"/>
        <v>0</v>
      </c>
      <c r="L346" s="244"/>
      <c r="M346" s="244"/>
      <c r="N346" s="244"/>
      <c r="O346" s="350"/>
      <c r="P346" s="350"/>
    </row>
    <row r="347" spans="1:16" ht="21.75" customHeight="1" x14ac:dyDescent="0.3">
      <c r="A347" s="351" t="s">
        <v>126</v>
      </c>
      <c r="B347" s="352"/>
      <c r="C347" s="352"/>
      <c r="D347" s="352"/>
      <c r="E347" s="352"/>
      <c r="F347" s="352"/>
      <c r="G347" s="353"/>
      <c r="H347" s="354"/>
      <c r="I347" s="355"/>
      <c r="J347" s="355"/>
      <c r="K347" s="356"/>
      <c r="L347" s="356">
        <f ca="1">IFERROR(__xludf.DUMMYFUNCTION("IMPORTRANGE(""https://docs.google.com/spreadsheets/d/11923uPwbBZFjjGgGUA6NLw09EwE0CqkOc4q9oUmW1yo/edit?usp=sharing"",""นครสวรรค์!L242"")"),2075413)</f>
        <v>2075413</v>
      </c>
      <c r="M347" s="356"/>
      <c r="N347" s="356">
        <f ca="1">IFERROR(__xludf.DUMMYFUNCTION("IMPORTRANGE(""https://docs.google.com/spreadsheets/d/11923uPwbBZFjjGgGUA6NLw09EwE0CqkOc4q9oUmW1yo/edit?usp=sharing"",""นครสวรรค์!M242"")"),484647)</f>
        <v>484647</v>
      </c>
      <c r="O347" s="356">
        <f ca="1">+IF(L347&gt;0,N347*100/L347,0)</f>
        <v>23.35183406868898</v>
      </c>
      <c r="P347" s="356"/>
    </row>
    <row r="348" spans="1:16" ht="21.75" customHeight="1" x14ac:dyDescent="0.3">
      <c r="A348" s="357" t="s">
        <v>127</v>
      </c>
      <c r="B348" s="358"/>
      <c r="C348" s="358"/>
      <c r="D348" s="358"/>
      <c r="E348" s="358"/>
      <c r="F348" s="358"/>
      <c r="G348" s="359"/>
      <c r="H348" s="360"/>
      <c r="I348" s="361"/>
      <c r="J348" s="361"/>
      <c r="K348" s="362"/>
      <c r="L348" s="362"/>
      <c r="M348" s="362"/>
      <c r="N348" s="362"/>
      <c r="O348" s="363"/>
      <c r="P348" s="363"/>
    </row>
    <row r="349" spans="1:16" ht="21.75" customHeight="1" x14ac:dyDescent="0.3">
      <c r="A349" s="364"/>
      <c r="B349" s="365">
        <v>1</v>
      </c>
      <c r="C349" s="366" t="s">
        <v>128</v>
      </c>
      <c r="D349" s="366"/>
      <c r="E349" s="366"/>
      <c r="F349" s="366"/>
      <c r="G349" s="367"/>
      <c r="H349" s="368" t="s">
        <v>122</v>
      </c>
      <c r="I349" s="369">
        <f ca="1">IFERROR(__xludf.DUMMYFUNCTION("IMPORTRANGE(""https://docs.google.com/spreadsheets/d/11923uPwbBZFjjGgGUA6NLw09EwE0CqkOc4q9oUmW1yo/edit?usp=sharing"",""นครสวรรค์!I244"")"),110)</f>
        <v>110</v>
      </c>
      <c r="J349" s="369">
        <f ca="1">IFERROR(__xludf.DUMMYFUNCTION("IMPORTRANGE(""https://docs.google.com/spreadsheets/d/11923uPwbBZFjjGgGUA6NLw09EwE0CqkOc4q9oUmW1yo/edit?usp=sharing"",""นครสวรรค์!J244"")"),40)</f>
        <v>40</v>
      </c>
      <c r="K349" s="370">
        <f t="shared" ref="K349:K350" ca="1" si="104">IF(I349&gt;0,J349*100/I349,0)</f>
        <v>36.363636363636367</v>
      </c>
      <c r="L349" s="371">
        <f ca="1">IFERROR(__xludf.DUMMYFUNCTION("IMPORTRANGE(""https://docs.google.com/spreadsheets/d/11923uPwbBZFjjGgGUA6NLw09EwE0CqkOc4q9oUmW1yo/edit?usp=sharing"",""นครสวรรค์!L244"")"),354030)</f>
        <v>354030</v>
      </c>
      <c r="M349" s="371"/>
      <c r="N349" s="371">
        <f ca="1">IFERROR(__xludf.DUMMYFUNCTION("IMPORTRANGE(""https://docs.google.com/spreadsheets/d/11923uPwbBZFjjGgGUA6NLw09EwE0CqkOc4q9oUmW1yo/edit?usp=sharing"",""นครสวรรค์!M244"")"),145385)</f>
        <v>145385</v>
      </c>
      <c r="O349" s="371">
        <f ca="1">+IF(L349&gt;0,N349*100/L349,0)</f>
        <v>41.065728893031661</v>
      </c>
      <c r="P349" s="371"/>
    </row>
    <row r="350" spans="1:16" ht="21.75" customHeight="1" x14ac:dyDescent="0.3">
      <c r="A350" s="364"/>
      <c r="B350" s="365"/>
      <c r="C350" s="366"/>
      <c r="D350" s="366"/>
      <c r="E350" s="366"/>
      <c r="F350" s="366"/>
      <c r="G350" s="367"/>
      <c r="H350" s="368" t="s">
        <v>37</v>
      </c>
      <c r="I350" s="369">
        <f ca="1">IFERROR(__xludf.DUMMYFUNCTION("IMPORTRANGE(""https://docs.google.com/spreadsheets/d/11923uPwbBZFjjGgGUA6NLw09EwE0CqkOc4q9oUmW1yo/edit?usp=sharing"",""นครสวรรค์!I245"")"),55)</f>
        <v>55</v>
      </c>
      <c r="J350" s="369">
        <f ca="1">IFERROR(__xludf.DUMMYFUNCTION("IMPORTRANGE(""https://docs.google.com/spreadsheets/d/11923uPwbBZFjjGgGUA6NLw09EwE0CqkOc4q9oUmW1yo/edit?usp=sharing"",""นครสวรรค์!J245"")"),55)</f>
        <v>55</v>
      </c>
      <c r="K350" s="370">
        <f t="shared" ca="1" si="104"/>
        <v>100</v>
      </c>
      <c r="L350" s="371"/>
      <c r="M350" s="371"/>
      <c r="N350" s="371"/>
      <c r="O350" s="371"/>
      <c r="P350" s="371"/>
    </row>
    <row r="351" spans="1:16" ht="21.75" customHeight="1" x14ac:dyDescent="0.3">
      <c r="A351" s="156"/>
      <c r="B351" s="157"/>
      <c r="C351" s="157" t="s">
        <v>16</v>
      </c>
      <c r="D351" s="158" t="s">
        <v>38</v>
      </c>
      <c r="E351" s="159"/>
      <c r="F351" s="159"/>
      <c r="G351" s="160" t="s">
        <v>39</v>
      </c>
      <c r="H351" s="161" t="s">
        <v>12</v>
      </c>
      <c r="I351" s="162" t="s">
        <v>40</v>
      </c>
      <c r="J351" s="162"/>
      <c r="K351" s="163"/>
      <c r="L351" s="164">
        <f ca="1">IFERROR(__xludf.DUMMYFUNCTION("IMPORTRANGE(""https://docs.google.com/spreadsheets/d/11923uPwbBZFjjGgGUA6NLw09EwE0CqkOc4q9oUmW1yo/edit?usp=sharing"",""นครสวรรค์!L246"")"),0)</f>
        <v>0</v>
      </c>
      <c r="M351" s="164"/>
      <c r="N351" s="164">
        <f ca="1">IFERROR(__xludf.DUMMYFUNCTION("IMPORTRANGE(""https://docs.google.com/spreadsheets/d/11923uPwbBZFjjGgGUA6NLw09EwE0CqkOc4q9oUmW1yo/edit?usp=sharing"",""นครสวรรค์!M246"")"),0)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3">
      <c r="A352" s="156"/>
      <c r="B352" s="157"/>
      <c r="C352" s="157"/>
      <c r="D352" s="166"/>
      <c r="E352" s="159"/>
      <c r="F352" s="159" t="s">
        <v>40</v>
      </c>
      <c r="G352" s="160" t="s">
        <v>41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IFERROR(__xludf.DUMMYFUNCTION("IMPORTRANGE(""https://docs.google.com/spreadsheets/d/11923uPwbBZFjjGgGUA6NLw09EwE0CqkOc4q9oUmW1yo/edit?usp=sharing"",""นครสวรรค์!L247"")"),354030)</f>
        <v>354030</v>
      </c>
      <c r="M352" s="165"/>
      <c r="N352" s="164">
        <f ca="1">IFERROR(__xludf.DUMMYFUNCTION("IMPORTRANGE(""https://docs.google.com/spreadsheets/d/11923uPwbBZFjjGgGUA6NLw09EwE0CqkOc4q9oUmW1yo/edit?usp=sharing"",""นครสวรรค์!M247"")"),145385)</f>
        <v>145385</v>
      </c>
      <c r="O352" s="165">
        <f t="shared" ca="1" si="105"/>
        <v>41.065728893031661</v>
      </c>
      <c r="P352" s="165"/>
    </row>
    <row r="353" spans="1:16" ht="21.75" customHeight="1" x14ac:dyDescent="0.3">
      <c r="A353" s="156"/>
      <c r="B353" s="157"/>
      <c r="C353" s="157"/>
      <c r="D353" s="166"/>
      <c r="E353" s="159"/>
      <c r="F353" s="159"/>
      <c r="G353" s="372" t="s">
        <v>129</v>
      </c>
      <c r="H353" s="161" t="s">
        <v>12</v>
      </c>
      <c r="I353" s="162"/>
      <c r="J353" s="162"/>
      <c r="K353" s="163"/>
      <c r="L353" s="168">
        <f ca="1">IFERROR(__xludf.DUMMYFUNCTION("IMPORTRANGE(""https://docs.google.com/spreadsheets/d/11923uPwbBZFjjGgGUA6NLw09EwE0CqkOc4q9oUmW1yo/edit?usp=sharing"",""นครสวรรค์!L248"")"),0)</f>
        <v>0</v>
      </c>
      <c r="M353" s="168"/>
      <c r="N353" s="168">
        <f ca="1">IFERROR(__xludf.DUMMYFUNCTION("IMPORTRANGE(""https://docs.google.com/spreadsheets/d/11923uPwbBZFjjGgGUA6NLw09EwE0CqkOc4q9oUmW1yo/edit?usp=sharing"",""นครสวรรค์!M248"")"),0)</f>
        <v>0</v>
      </c>
      <c r="O353" s="168">
        <f t="shared" ca="1" si="105"/>
        <v>0</v>
      </c>
      <c r="P353" s="168"/>
    </row>
    <row r="354" spans="1:16" ht="21.75" customHeight="1" x14ac:dyDescent="0.3">
      <c r="A354" s="156"/>
      <c r="B354" s="157"/>
      <c r="C354" s="157"/>
      <c r="D354" s="166"/>
      <c r="E354" s="159"/>
      <c r="F354" s="159"/>
      <c r="G354" s="372" t="s">
        <v>130</v>
      </c>
      <c r="H354" s="161" t="s">
        <v>12</v>
      </c>
      <c r="I354" s="162"/>
      <c r="J354" s="162"/>
      <c r="K354" s="163"/>
      <c r="L354" s="168">
        <f ca="1">IFERROR(__xludf.DUMMYFUNCTION("IMPORTRANGE(""https://docs.google.com/spreadsheets/d/11923uPwbBZFjjGgGUA6NLw09EwE0CqkOc4q9oUmW1yo/edit?usp=sharing"",""นครสวรรค์!L249"")"),354030)</f>
        <v>354030</v>
      </c>
      <c r="M354" s="168"/>
      <c r="N354" s="167">
        <f ca="1">IFERROR(__xludf.DUMMYFUNCTION("IMPORTRANGE(""https://docs.google.com/spreadsheets/d/11923uPwbBZFjjGgGUA6NLw09EwE0CqkOc4q9oUmW1yo/edit?usp=sharing"",""นครสวรรค์!M249"")"),145385)</f>
        <v>145385</v>
      </c>
      <c r="O354" s="168">
        <f t="shared" ca="1" si="105"/>
        <v>41.065728893031661</v>
      </c>
      <c r="P354" s="168"/>
    </row>
    <row r="355" spans="1:16" ht="21.75" customHeight="1" x14ac:dyDescent="0.3">
      <c r="A355" s="373"/>
      <c r="B355" s="374"/>
      <c r="C355" s="157"/>
      <c r="D355" s="375"/>
      <c r="E355" s="159"/>
      <c r="F355" s="159"/>
      <c r="G355" s="376" t="s">
        <v>131</v>
      </c>
      <c r="H355" s="161" t="s">
        <v>12</v>
      </c>
      <c r="I355" s="187"/>
      <c r="J355" s="187"/>
      <c r="K355" s="223"/>
      <c r="L355" s="168"/>
      <c r="M355" s="168"/>
      <c r="N355" s="377">
        <f ca="1">IFERROR(__xludf.DUMMYFUNCTION("IMPORTRANGE(""https://docs.google.com/spreadsheets/d/11923uPwbBZFjjGgGUA6NLw09EwE0CqkOc4q9oUmW1yo/edit?usp=sharing"",""นครสวรรค์!M250"")"),71585)</f>
        <v>71585</v>
      </c>
      <c r="O355" s="168"/>
      <c r="P355" s="168"/>
    </row>
    <row r="356" spans="1:16" ht="21.75" customHeight="1" x14ac:dyDescent="0.3">
      <c r="A356" s="373"/>
      <c r="B356" s="374"/>
      <c r="C356" s="157"/>
      <c r="D356" s="375"/>
      <c r="E356" s="159"/>
      <c r="F356" s="159"/>
      <c r="G356" s="376" t="s">
        <v>132</v>
      </c>
      <c r="H356" s="161" t="s">
        <v>12</v>
      </c>
      <c r="I356" s="187"/>
      <c r="J356" s="187"/>
      <c r="K356" s="223"/>
      <c r="L356" s="168"/>
      <c r="M356" s="168"/>
      <c r="N356" s="377">
        <f ca="1">IFERROR(__xludf.DUMMYFUNCTION("IMPORTRANGE(""https://docs.google.com/spreadsheets/d/11923uPwbBZFjjGgGUA6NLw09EwE0CqkOc4q9oUmW1yo/edit?usp=sharing"",""นครสวรรค์!M251"")"),35400)</f>
        <v>35400</v>
      </c>
      <c r="O356" s="168"/>
      <c r="P356" s="168"/>
    </row>
    <row r="357" spans="1:16" ht="21.75" customHeight="1" x14ac:dyDescent="0.3">
      <c r="A357" s="373"/>
      <c r="B357" s="374"/>
      <c r="C357" s="157"/>
      <c r="D357" s="375"/>
      <c r="E357" s="159"/>
      <c r="F357" s="159"/>
      <c r="G357" s="376" t="s">
        <v>133</v>
      </c>
      <c r="H357" s="161" t="s">
        <v>12</v>
      </c>
      <c r="I357" s="187"/>
      <c r="J357" s="187"/>
      <c r="K357" s="223"/>
      <c r="L357" s="168"/>
      <c r="M357" s="168"/>
      <c r="N357" s="377">
        <f ca="1">IFERROR(__xludf.DUMMYFUNCTION("IMPORTRANGE(""https://docs.google.com/spreadsheets/d/11923uPwbBZFjjGgGUA6NLw09EwE0CqkOc4q9oUmW1yo/edit?usp=sharing"",""นครสวรรค์!M252"")"),33000)</f>
        <v>33000</v>
      </c>
      <c r="O357" s="168"/>
      <c r="P357" s="168"/>
    </row>
    <row r="358" spans="1:16" ht="21.75" customHeight="1" x14ac:dyDescent="0.3">
      <c r="A358" s="373"/>
      <c r="B358" s="374"/>
      <c r="C358" s="157"/>
      <c r="D358" s="375"/>
      <c r="E358" s="159"/>
      <c r="F358" s="159"/>
      <c r="G358" s="376" t="s">
        <v>134</v>
      </c>
      <c r="H358" s="161" t="s">
        <v>12</v>
      </c>
      <c r="I358" s="187"/>
      <c r="J358" s="187"/>
      <c r="K358" s="223"/>
      <c r="L358" s="168"/>
      <c r="M358" s="168"/>
      <c r="N358" s="377">
        <f ca="1">IFERROR(__xludf.DUMMYFUNCTION("IMPORTRANGE(""https://docs.google.com/spreadsheets/d/11923uPwbBZFjjGgGUA6NLw09EwE0CqkOc4q9oUmW1yo/edit?usp=sharing"",""นครสวรรค์!M253"")"),5400)</f>
        <v>5400</v>
      </c>
      <c r="O358" s="168"/>
      <c r="P358" s="168"/>
    </row>
    <row r="359" spans="1:16" ht="21.75" customHeight="1" x14ac:dyDescent="0.3">
      <c r="A359" s="175"/>
      <c r="B359" s="176"/>
      <c r="C359" s="157" t="s">
        <v>16</v>
      </c>
      <c r="D359" s="177" t="s">
        <v>44</v>
      </c>
      <c r="E359" s="178"/>
      <c r="F359" s="178"/>
      <c r="G359" s="179"/>
      <c r="H359" s="180"/>
      <c r="I359" s="162"/>
      <c r="J359" s="162"/>
      <c r="K359" s="163"/>
      <c r="L359" s="181"/>
      <c r="M359" s="181"/>
      <c r="N359" s="181"/>
      <c r="O359" s="181"/>
      <c r="P359" s="181"/>
    </row>
    <row r="360" spans="1:16" ht="21.75" customHeight="1" x14ac:dyDescent="0.3">
      <c r="A360" s="175"/>
      <c r="B360" s="176"/>
      <c r="C360" s="176"/>
      <c r="D360" s="182">
        <v>1</v>
      </c>
      <c r="E360" s="183" t="s">
        <v>45</v>
      </c>
      <c r="F360" s="184"/>
      <c r="G360" s="185"/>
      <c r="H360" s="186"/>
      <c r="I360" s="187"/>
      <c r="J360" s="197">
        <f ca="1">IFERROR(__xludf.DUMMYFUNCTION("IMPORTRANGE(""https://docs.google.com/spreadsheets/d/11923uPwbBZFjjGgGUA6NLw09EwE0CqkOc4q9oUmW1yo/edit?usp=sharing"",""นครสวรรค์!J255"")"),0)</f>
        <v>0</v>
      </c>
      <c r="K360" s="163"/>
      <c r="L360" s="181"/>
      <c r="M360" s="181"/>
      <c r="N360" s="181"/>
      <c r="O360" s="181"/>
      <c r="P360" s="181"/>
    </row>
    <row r="361" spans="1:16" ht="21.75" customHeight="1" x14ac:dyDescent="0.3">
      <c r="A361" s="175"/>
      <c r="B361" s="176"/>
      <c r="C361" s="176"/>
      <c r="D361" s="189">
        <v>2</v>
      </c>
      <c r="E361" s="190" t="s">
        <v>46</v>
      </c>
      <c r="F361" s="191"/>
      <c r="G361" s="192"/>
      <c r="H361" s="186"/>
      <c r="I361" s="187"/>
      <c r="J361" s="188">
        <f ca="1">IFERROR(__xludf.DUMMYFUNCTION("IMPORTRANGE(""https://docs.google.com/spreadsheets/d/11923uPwbBZFjjGgGUA6NLw09EwE0CqkOc4q9oUmW1yo/edit?usp=sharing"",""นครสวรรค์!J256"")"),1)</f>
        <v>1</v>
      </c>
      <c r="K361" s="163"/>
      <c r="L361" s="181" t="s">
        <v>40</v>
      </c>
      <c r="M361" s="181"/>
      <c r="N361" s="181" t="s">
        <v>40</v>
      </c>
      <c r="O361" s="181"/>
      <c r="P361" s="181"/>
    </row>
    <row r="362" spans="1:16" ht="21.75" customHeight="1" x14ac:dyDescent="0.3">
      <c r="A362" s="175"/>
      <c r="B362" s="176"/>
      <c r="C362" s="176"/>
      <c r="D362" s="193"/>
      <c r="E362" s="194" t="s">
        <v>47</v>
      </c>
      <c r="F362" s="195"/>
      <c r="G362" s="196"/>
      <c r="H362" s="186"/>
      <c r="I362" s="187"/>
      <c r="J362" s="188">
        <f ca="1">IFERROR(__xludf.DUMMYFUNCTION("IMPORTRANGE(""https://docs.google.com/spreadsheets/d/11923uPwbBZFjjGgGUA6NLw09EwE0CqkOc4q9oUmW1yo/edit?usp=sharing"",""นครสวรรค์!J257"")"),1)</f>
        <v>1</v>
      </c>
      <c r="K362" s="163"/>
      <c r="L362" s="181"/>
      <c r="M362" s="181"/>
      <c r="N362" s="181"/>
      <c r="O362" s="181"/>
      <c r="P362" s="181"/>
    </row>
    <row r="363" spans="1:16" ht="21.75" customHeight="1" x14ac:dyDescent="0.3">
      <c r="A363" s="175"/>
      <c r="B363" s="176"/>
      <c r="C363" s="176"/>
      <c r="D363" s="193"/>
      <c r="E363" s="194" t="s">
        <v>48</v>
      </c>
      <c r="F363" s="195"/>
      <c r="G363" s="196"/>
      <c r="H363" s="186"/>
      <c r="I363" s="187"/>
      <c r="J363" s="197">
        <f ca="1">IFERROR(__xludf.DUMMYFUNCTION("IMPORTRANGE(""https://docs.google.com/spreadsheets/d/11923uPwbBZFjjGgGUA6NLw09EwE0CqkOc4q9oUmW1yo/edit?usp=sharing"",""นครสวรรค์!J258"")"),1)</f>
        <v>1</v>
      </c>
      <c r="K363" s="163"/>
      <c r="L363" s="181"/>
      <c r="M363" s="181"/>
      <c r="N363" s="181"/>
      <c r="O363" s="181"/>
      <c r="P363" s="181"/>
    </row>
    <row r="364" spans="1:16" ht="21.75" hidden="1" customHeight="1" x14ac:dyDescent="0.3">
      <c r="A364" s="175"/>
      <c r="B364" s="176"/>
      <c r="C364" s="176"/>
      <c r="D364" s="193"/>
      <c r="E364" s="198"/>
      <c r="F364" s="194" t="s">
        <v>70</v>
      </c>
      <c r="G364" s="196"/>
      <c r="H364" s="180"/>
      <c r="I364" s="187"/>
      <c r="J364" s="187">
        <f ca="1">IFERROR(__xludf.DUMMYFUNCTION("IMPORTRANGE(""https://docs.google.com/spreadsheets/d/11923uPwbBZFjjGgGUA6NLw09EwE0CqkOc4q9oUmW1yo/edit?usp=sharing"",""นครสวรรค์!J166"")"),0)</f>
        <v>0</v>
      </c>
      <c r="K364" s="163"/>
      <c r="L364" s="181"/>
      <c r="M364" s="181"/>
      <c r="N364" s="181"/>
      <c r="O364" s="181"/>
      <c r="P364" s="181"/>
    </row>
    <row r="365" spans="1:16" ht="21.75" hidden="1" customHeight="1" x14ac:dyDescent="0.3">
      <c r="A365" s="175"/>
      <c r="B365" s="176"/>
      <c r="C365" s="176"/>
      <c r="D365" s="193"/>
      <c r="E365" s="198"/>
      <c r="F365" s="195"/>
      <c r="G365" s="225" t="s">
        <v>135</v>
      </c>
      <c r="H365" s="180" t="s">
        <v>37</v>
      </c>
      <c r="I365" s="187">
        <f ca="1">IFERROR(__xludf.DUMMYFUNCTION("IMPORTRANGE(""https://docs.google.com/spreadsheets/d/1C3CXT74ZlgGe6_JY_1olB1XN4rF0dxEuIIF-xsYjHgg/edit?usp=sharing"",""งบกองทุน!f63"")"),0)</f>
        <v>0</v>
      </c>
      <c r="J365" s="187">
        <f ca="1">IFERROR(__xludf.DUMMYFUNCTION("IMPORTRANGE(""https://docs.google.com/spreadsheets/d/11923uPwbBZFjjGgGUA6NLw09EwE0CqkOc4q9oUmW1yo/edit?usp=sharing"",""นครสวรรค์!J166"")"),0)</f>
        <v>0</v>
      </c>
      <c r="K365" s="163">
        <f ca="1">IF(I365&gt;0,J365*100/I365,0)</f>
        <v>0</v>
      </c>
      <c r="L365" s="181"/>
      <c r="M365" s="181"/>
      <c r="N365" s="181"/>
      <c r="O365" s="181"/>
      <c r="P365" s="181"/>
    </row>
    <row r="366" spans="1:16" ht="21.75" hidden="1" customHeight="1" x14ac:dyDescent="0.3">
      <c r="A366" s="175"/>
      <c r="B366" s="176"/>
      <c r="C366" s="176"/>
      <c r="D366" s="193"/>
      <c r="E366" s="198"/>
      <c r="F366" s="195"/>
      <c r="G366" s="196" t="s">
        <v>136</v>
      </c>
      <c r="H366" s="180"/>
      <c r="I366" s="162"/>
      <c r="J366" s="187">
        <f ca="1">IFERROR(__xludf.DUMMYFUNCTION("IMPORTRANGE(""https://docs.google.com/spreadsheets/d/11923uPwbBZFjjGgGUA6NLw09EwE0CqkOc4q9oUmW1yo/edit?usp=sharing"",""นครสวรรค์!J166"")"),0)</f>
        <v>0</v>
      </c>
      <c r="K366" s="163"/>
      <c r="L366" s="181"/>
      <c r="M366" s="181"/>
      <c r="N366" s="181"/>
      <c r="O366" s="181"/>
      <c r="P366" s="181"/>
    </row>
    <row r="367" spans="1:16" ht="21.75" hidden="1" customHeight="1" x14ac:dyDescent="0.3">
      <c r="A367" s="175"/>
      <c r="B367" s="176"/>
      <c r="C367" s="176"/>
      <c r="D367" s="193"/>
      <c r="E367" s="198"/>
      <c r="F367" s="195"/>
      <c r="G367" s="225" t="s">
        <v>137</v>
      </c>
      <c r="H367" s="186" t="s">
        <v>122</v>
      </c>
      <c r="I367" s="187">
        <f ca="1">SUM(I369,I371)</f>
        <v>0</v>
      </c>
      <c r="J367" s="187">
        <f ca="1">IFERROR(__xludf.DUMMYFUNCTION("IMPORTRANGE(""https://docs.google.com/spreadsheets/d/11923uPwbBZFjjGgGUA6NLw09EwE0CqkOc4q9oUmW1yo/edit?usp=sharing"",""นครสวรรค์!J166"")"),0)</f>
        <v>0</v>
      </c>
      <c r="K367" s="163">
        <f t="shared" ref="K367:K373" ca="1" si="106">IF(I367&gt;0,J367*100/I367,0)</f>
        <v>0</v>
      </c>
      <c r="L367" s="181"/>
      <c r="M367" s="181"/>
      <c r="N367" s="181"/>
      <c r="O367" s="181"/>
      <c r="P367" s="181"/>
    </row>
    <row r="368" spans="1:16" ht="21.75" customHeight="1" x14ac:dyDescent="0.3">
      <c r="A368" s="175"/>
      <c r="B368" s="176"/>
      <c r="C368" s="176"/>
      <c r="D368" s="193"/>
      <c r="E368" s="198"/>
      <c r="F368" s="378" t="s">
        <v>138</v>
      </c>
      <c r="G368" s="379"/>
      <c r="H368" s="186" t="s">
        <v>37</v>
      </c>
      <c r="I368" s="162">
        <f ca="1">IFERROR(__xludf.DUMMYFUNCTION("IMPORTRANGE(""https://docs.google.com/spreadsheets/d/11923uPwbBZFjjGgGUA6NLw09EwE0CqkOc4q9oUmW1yo/edit?usp=sharing"",""นครสวรรค์!I263"")"),55)</f>
        <v>55</v>
      </c>
      <c r="J368" s="187">
        <f ca="1">IFERROR(__xludf.DUMMYFUNCTION("IMPORTRANGE(""https://docs.google.com/spreadsheets/d/11923uPwbBZFjjGgGUA6NLw09EwE0CqkOc4q9oUmW1yo/edit?usp=sharing"",""นครสวรรค์!J263"")"),55)</f>
        <v>55</v>
      </c>
      <c r="K368" s="163">
        <f t="shared" ca="1" si="106"/>
        <v>100</v>
      </c>
      <c r="L368" s="181"/>
      <c r="M368" s="181"/>
      <c r="N368" s="181"/>
      <c r="O368" s="181"/>
      <c r="P368" s="181"/>
    </row>
    <row r="369" spans="1:16" ht="21.75" hidden="1" customHeight="1" x14ac:dyDescent="0.3">
      <c r="A369" s="175"/>
      <c r="B369" s="176"/>
      <c r="C369" s="176"/>
      <c r="D369" s="193"/>
      <c r="E369" s="198"/>
      <c r="F369" s="195"/>
      <c r="G369" s="379"/>
      <c r="H369" s="180" t="s">
        <v>122</v>
      </c>
      <c r="I369" s="162">
        <f ca="1">IFERROR(__xludf.DUMMYFUNCTION("IMPORTRANGE(""https://docs.google.com/spreadsheets/d/11923uPwbBZFjjGgGUA6NLw09EwE0CqkOc4q9oUmW1yo/edit?usp=sharing"",""นครสวรรค์!I164"")"),0)</f>
        <v>0</v>
      </c>
      <c r="J369" s="203">
        <f ca="1">IFERROR(__xludf.DUMMYFUNCTION("IMPORTRANGE(""https://docs.google.com/spreadsheets/d/11923uPwbBZFjjGgGUA6NLw09EwE0CqkOc4q9oUmW1yo/edit?usp=sharing"",""นครสวรรค์!J164"")"),0)</f>
        <v>0</v>
      </c>
      <c r="K369" s="163">
        <f t="shared" ca="1" si="106"/>
        <v>0</v>
      </c>
      <c r="L369" s="181"/>
      <c r="M369" s="181"/>
      <c r="N369" s="181"/>
      <c r="O369" s="181"/>
      <c r="P369" s="181"/>
    </row>
    <row r="370" spans="1:16" ht="21.75" customHeight="1" x14ac:dyDescent="0.3">
      <c r="A370" s="175"/>
      <c r="B370" s="176"/>
      <c r="C370" s="176"/>
      <c r="D370" s="193"/>
      <c r="E370" s="198"/>
      <c r="F370" s="195"/>
      <c r="G370" s="378" t="s">
        <v>139</v>
      </c>
      <c r="H370" s="180" t="s">
        <v>37</v>
      </c>
      <c r="I370" s="162">
        <f ca="1">IFERROR(__xludf.DUMMYFUNCTION("IMPORTRANGE(""https://docs.google.com/spreadsheets/d/11923uPwbBZFjjGgGUA6NLw09EwE0CqkOc4q9oUmW1yo/edit?usp=sharing"",""นครสวรรค์!I265"")"),55)</f>
        <v>55</v>
      </c>
      <c r="J370" s="203">
        <f ca="1">IFERROR(__xludf.DUMMYFUNCTION("IMPORTRANGE(""https://docs.google.com/spreadsheets/d/11923uPwbBZFjjGgGUA6NLw09EwE0CqkOc4q9oUmW1yo/edit?usp=sharing"",""นครสวรรค์!J265"")"),55)</f>
        <v>55</v>
      </c>
      <c r="K370" s="163">
        <f t="shared" ca="1" si="106"/>
        <v>100</v>
      </c>
      <c r="L370" s="181"/>
      <c r="M370" s="181"/>
      <c r="N370" s="181"/>
      <c r="O370" s="181"/>
      <c r="P370" s="181"/>
    </row>
    <row r="371" spans="1:16" ht="21.75" hidden="1" customHeight="1" x14ac:dyDescent="0.3">
      <c r="A371" s="175"/>
      <c r="B371" s="176"/>
      <c r="C371" s="176"/>
      <c r="D371" s="193"/>
      <c r="E371" s="198"/>
      <c r="F371" s="195"/>
      <c r="G371" s="379"/>
      <c r="H371" s="180" t="s">
        <v>122</v>
      </c>
      <c r="I371" s="162">
        <f ca="1">IFERROR(__xludf.DUMMYFUNCTION("IMPORTRANGE(""https://docs.google.com/spreadsheets/d/11923uPwbBZFjjGgGUA6NLw09EwE0CqkOc4q9oUmW1yo/edit?usp=sharing"",""นครสวรรค์!I164"")"),0)</f>
        <v>0</v>
      </c>
      <c r="J371" s="188">
        <f ca="1">IFERROR(__xludf.DUMMYFUNCTION("IMPORTRANGE(""https://docs.google.com/spreadsheets/d/11923uPwbBZFjjGgGUA6NLw09EwE0CqkOc4q9oUmW1yo/edit?usp=sharing"",""นครสวรรค์!J164"")"),0)</f>
        <v>0</v>
      </c>
      <c r="K371" s="163">
        <f t="shared" ca="1" si="106"/>
        <v>0</v>
      </c>
      <c r="L371" s="181"/>
      <c r="M371" s="181"/>
      <c r="N371" s="181"/>
      <c r="O371" s="181"/>
      <c r="P371" s="181"/>
    </row>
    <row r="372" spans="1:16" ht="21.75" customHeight="1" x14ac:dyDescent="0.3">
      <c r="A372" s="175"/>
      <c r="B372" s="176"/>
      <c r="C372" s="176"/>
      <c r="D372" s="193"/>
      <c r="E372" s="198"/>
      <c r="F372" s="195"/>
      <c r="G372" s="378" t="s">
        <v>140</v>
      </c>
      <c r="H372" s="180" t="s">
        <v>37</v>
      </c>
      <c r="I372" s="162">
        <f ca="1">IFERROR(__xludf.DUMMYFUNCTION("IMPORTRANGE(""https://docs.google.com/spreadsheets/d/11923uPwbBZFjjGgGUA6NLw09EwE0CqkOc4q9oUmW1yo/edit?usp=sharing"",""นครสวรรค์!I267"")"),55)</f>
        <v>55</v>
      </c>
      <c r="J372" s="188">
        <f ca="1">IFERROR(__xludf.DUMMYFUNCTION("IMPORTRANGE(""https://docs.google.com/spreadsheets/d/11923uPwbBZFjjGgGUA6NLw09EwE0CqkOc4q9oUmW1yo/edit?usp=sharing"",""นครสวรรค์!J267"")"),55)</f>
        <v>55</v>
      </c>
      <c r="K372" s="163">
        <f t="shared" ca="1" si="106"/>
        <v>100</v>
      </c>
      <c r="L372" s="181"/>
      <c r="M372" s="181"/>
      <c r="N372" s="181"/>
      <c r="O372" s="181"/>
      <c r="P372" s="181"/>
    </row>
    <row r="373" spans="1:16" ht="21.75" hidden="1" customHeight="1" x14ac:dyDescent="0.3">
      <c r="A373" s="175"/>
      <c r="B373" s="176"/>
      <c r="C373" s="176"/>
      <c r="D373" s="193"/>
      <c r="E373" s="198"/>
      <c r="F373" s="195"/>
      <c r="G373" s="225" t="s">
        <v>141</v>
      </c>
      <c r="H373" s="180" t="s">
        <v>37</v>
      </c>
      <c r="I373" s="187">
        <f ca="1">IFERROR(__xludf.DUMMYFUNCTION("IMPORTRANGE(""https://docs.google.com/spreadsheets/d/11923uPwbBZFjjGgGUA6NLw09EwE0CqkOc4q9oUmW1yo/edit?usp=sharing"",""นครสวรรค์!I164"")"),0)</f>
        <v>0</v>
      </c>
      <c r="J373" s="203">
        <f ca="1">IFERROR(__xludf.DUMMYFUNCTION("IMPORTRANGE(""https://docs.google.com/spreadsheets/d/11923uPwbBZFjjGgGUA6NLw09EwE0CqkOc4q9oUmW1yo/edit?usp=sharing"",""นครสวรรค์!J164"")"),0)</f>
        <v>0</v>
      </c>
      <c r="K373" s="163">
        <f t="shared" ca="1" si="106"/>
        <v>0</v>
      </c>
      <c r="L373" s="181"/>
      <c r="M373" s="181"/>
      <c r="N373" s="181"/>
      <c r="O373" s="181"/>
      <c r="P373" s="181"/>
    </row>
    <row r="374" spans="1:16" ht="21.75" hidden="1" customHeight="1" x14ac:dyDescent="0.3">
      <c r="A374" s="175"/>
      <c r="B374" s="176"/>
      <c r="C374" s="176"/>
      <c r="D374" s="193"/>
      <c r="E374" s="198"/>
      <c r="F374" s="195"/>
      <c r="G374" s="196" t="s">
        <v>142</v>
      </c>
      <c r="H374" s="180"/>
      <c r="I374" s="187">
        <f ca="1">IFERROR(__xludf.DUMMYFUNCTION("IMPORTRANGE(""https://docs.google.com/spreadsheets/d/11923uPwbBZFjjGgGUA6NLw09EwE0CqkOc4q9oUmW1yo/edit?usp=sharing"",""นครสวรรค์!I164"")"),0)</f>
        <v>0</v>
      </c>
      <c r="J374" s="187">
        <f ca="1">IFERROR(__xludf.DUMMYFUNCTION("IMPORTRANGE(""https://docs.google.com/spreadsheets/d/11923uPwbBZFjjGgGUA6NLw09EwE0CqkOc4q9oUmW1yo/edit?usp=sharing"",""นครสวรรค์!J164"")"),0)</f>
        <v>0</v>
      </c>
      <c r="K374" s="163"/>
      <c r="L374" s="181"/>
      <c r="M374" s="181"/>
      <c r="N374" s="181"/>
      <c r="O374" s="181"/>
      <c r="P374" s="181"/>
    </row>
    <row r="375" spans="1:16" ht="21.75" customHeight="1" x14ac:dyDescent="0.3">
      <c r="A375" s="175"/>
      <c r="B375" s="176"/>
      <c r="C375" s="176"/>
      <c r="D375" s="193"/>
      <c r="E375" s="195"/>
      <c r="F375" s="204" t="s">
        <v>53</v>
      </c>
      <c r="G375" s="196"/>
      <c r="H375" s="278" t="s">
        <v>122</v>
      </c>
      <c r="I375" s="187">
        <f ca="1">IFERROR(__xludf.DUMMYFUNCTION("IMPORTRANGE(""https://docs.google.com/spreadsheets/d/11923uPwbBZFjjGgGUA6NLw09EwE0CqkOc4q9oUmW1yo/edit?usp=sharing"",""นครสวรรค์!I270"")"),110)</f>
        <v>110</v>
      </c>
      <c r="J375" s="187">
        <f ca="1">IFERROR(__xludf.DUMMYFUNCTION("IMPORTRANGE(""https://docs.google.com/spreadsheets/d/11923uPwbBZFjjGgGUA6NLw09EwE0CqkOc4q9oUmW1yo/edit?usp=sharing"",""นครสวรรค์!J270"")"),40)</f>
        <v>40</v>
      </c>
      <c r="K375" s="163">
        <f t="shared" ref="K375:K377" ca="1" si="107">IF(I375&gt;0,J375*100/I375,0)</f>
        <v>36.363636363636367</v>
      </c>
      <c r="L375" s="181"/>
      <c r="M375" s="181"/>
      <c r="N375" s="181"/>
      <c r="O375" s="181"/>
      <c r="P375" s="181"/>
    </row>
    <row r="376" spans="1:16" ht="21.75" customHeight="1" x14ac:dyDescent="0.3">
      <c r="A376" s="175"/>
      <c r="B376" s="176"/>
      <c r="C376" s="176"/>
      <c r="D376" s="193"/>
      <c r="E376" s="195"/>
      <c r="F376" s="195"/>
      <c r="G376" s="279" t="s">
        <v>143</v>
      </c>
      <c r="H376" s="278" t="s">
        <v>122</v>
      </c>
      <c r="I376" s="187">
        <f ca="1">IFERROR(__xludf.DUMMYFUNCTION("IMPORTRANGE(""https://docs.google.com/spreadsheets/d/11923uPwbBZFjjGgGUA6NLw09EwE0CqkOc4q9oUmW1yo/edit?usp=sharing"",""นครสวรรค์!I271"")"),40)</f>
        <v>40</v>
      </c>
      <c r="J376" s="188">
        <f ca="1">IFERROR(__xludf.DUMMYFUNCTION("IMPORTRANGE(""https://docs.google.com/spreadsheets/d/11923uPwbBZFjjGgGUA6NLw09EwE0CqkOc4q9oUmW1yo/edit?usp=sharing"",""นครสวรรค์!J271"")"),40)</f>
        <v>40</v>
      </c>
      <c r="K376" s="163">
        <f t="shared" ca="1" si="107"/>
        <v>100</v>
      </c>
      <c r="L376" s="181"/>
      <c r="M376" s="181"/>
      <c r="N376" s="181"/>
      <c r="O376" s="181"/>
      <c r="P376" s="181"/>
    </row>
    <row r="377" spans="1:16" ht="21.75" customHeight="1" x14ac:dyDescent="0.3">
      <c r="A377" s="175"/>
      <c r="B377" s="176"/>
      <c r="C377" s="176"/>
      <c r="D377" s="193"/>
      <c r="E377" s="195"/>
      <c r="F377" s="195"/>
      <c r="G377" s="279" t="s">
        <v>144</v>
      </c>
      <c r="H377" s="278" t="s">
        <v>122</v>
      </c>
      <c r="I377" s="187">
        <f ca="1">IFERROR(__xludf.DUMMYFUNCTION("IMPORTRANGE(""https://docs.google.com/spreadsheets/d/11923uPwbBZFjjGgGUA6NLw09EwE0CqkOc4q9oUmW1yo/edit?usp=sharing"",""นครสวรรค์!I272"")"),70)</f>
        <v>70</v>
      </c>
      <c r="J377" s="203">
        <f ca="1">IFERROR(__xludf.DUMMYFUNCTION("IMPORTRANGE(""https://docs.google.com/spreadsheets/d/11923uPwbBZFjjGgGUA6NLw09EwE0CqkOc4q9oUmW1yo/edit?usp=sharing"",""นครสวรรค์!J272"")"),0)</f>
        <v>0</v>
      </c>
      <c r="K377" s="163">
        <f t="shared" ca="1" si="107"/>
        <v>0</v>
      </c>
      <c r="L377" s="181"/>
      <c r="M377" s="181"/>
      <c r="N377" s="181"/>
      <c r="O377" s="181"/>
      <c r="P377" s="181"/>
    </row>
    <row r="378" spans="1:16" ht="21.75" customHeight="1" x14ac:dyDescent="0.3">
      <c r="A378" s="175"/>
      <c r="B378" s="176"/>
      <c r="C378" s="176"/>
      <c r="D378" s="193"/>
      <c r="E378" s="194" t="s">
        <v>54</v>
      </c>
      <c r="F378" s="195"/>
      <c r="G378" s="196"/>
      <c r="H378" s="186"/>
      <c r="I378" s="187"/>
      <c r="J378" s="197">
        <f ca="1">IFERROR(__xludf.DUMMYFUNCTION("IMPORTRANGE(""https://docs.google.com/spreadsheets/d/11923uPwbBZFjjGgGUA6NLw09EwE0CqkOc4q9oUmW1yo/edit?usp=sharing"",""นครสวรรค์!J273"")"),0)</f>
        <v>0</v>
      </c>
      <c r="K378" s="163"/>
      <c r="L378" s="181"/>
      <c r="M378" s="181"/>
      <c r="N378" s="181"/>
      <c r="O378" s="181"/>
      <c r="P378" s="181"/>
    </row>
    <row r="379" spans="1:16" ht="21.75" customHeight="1" x14ac:dyDescent="0.3">
      <c r="A379" s="175"/>
      <c r="B379" s="176"/>
      <c r="C379" s="176"/>
      <c r="D379" s="205">
        <v>3</v>
      </c>
      <c r="E379" s="206" t="s">
        <v>55</v>
      </c>
      <c r="F379" s="207"/>
      <c r="G379" s="208"/>
      <c r="H379" s="186"/>
      <c r="I379" s="187"/>
      <c r="J379" s="209">
        <f ca="1">IFERROR(__xludf.DUMMYFUNCTION("IMPORTRANGE(""https://docs.google.com/spreadsheets/d/11923uPwbBZFjjGgGUA6NLw09EwE0CqkOc4q9oUmW1yo/edit?usp=sharing"",""นครสวรรค์!J274"")"),0)</f>
        <v>0</v>
      </c>
      <c r="K379" s="163"/>
      <c r="L379" s="181"/>
      <c r="M379" s="181"/>
      <c r="N379" s="181"/>
      <c r="O379" s="181"/>
      <c r="P379" s="181"/>
    </row>
    <row r="380" spans="1:16" ht="21.75" customHeight="1" x14ac:dyDescent="0.3">
      <c r="A380" s="364"/>
      <c r="B380" s="365">
        <v>2</v>
      </c>
      <c r="C380" s="366" t="s">
        <v>145</v>
      </c>
      <c r="D380" s="366"/>
      <c r="E380" s="380"/>
      <c r="F380" s="380"/>
      <c r="G380" s="381"/>
      <c r="H380" s="368" t="s">
        <v>122</v>
      </c>
      <c r="I380" s="369">
        <f ca="1">IFERROR(__xludf.DUMMYFUNCTION("IMPORTRANGE(""https://docs.google.com/spreadsheets/d/11923uPwbBZFjjGgGUA6NLw09EwE0CqkOc4q9oUmW1yo/edit?usp=sharing"",""นครสวรรค์!I275"")"),1000)</f>
        <v>1000</v>
      </c>
      <c r="J380" s="369">
        <f ca="1">IFERROR(__xludf.DUMMYFUNCTION("IMPORTRANGE(""https://docs.google.com/spreadsheets/d/11923uPwbBZFjjGgGUA6NLw09EwE0CqkOc4q9oUmW1yo/edit?usp=sharing"",""นครสวรรค์!J275"")"),0)</f>
        <v>0</v>
      </c>
      <c r="K380" s="370">
        <f t="shared" ref="K380:K381" ca="1" si="108">IF(I380&gt;0,J380*100/I380,0)</f>
        <v>0</v>
      </c>
      <c r="L380" s="371">
        <f ca="1">IFERROR(__xludf.DUMMYFUNCTION("IMPORTRANGE(""https://docs.google.com/spreadsheets/d/11923uPwbBZFjjGgGUA6NLw09EwE0CqkOc4q9oUmW1yo/edit?usp=sharing"",""นครสวรรค์!L275"")"),1028520)</f>
        <v>1028520</v>
      </c>
      <c r="M380" s="371"/>
      <c r="N380" s="371">
        <f ca="1">IFERROR(__xludf.DUMMYFUNCTION("IMPORTRANGE(""https://docs.google.com/spreadsheets/d/11923uPwbBZFjjGgGUA6NLw09EwE0CqkOc4q9oUmW1yo/edit?usp=sharing"",""นครสวรรค์!M275"")"),34533)</f>
        <v>34533</v>
      </c>
      <c r="O380" s="371">
        <f ca="1">+IF(L380&gt;0,N380*100/L380,0)</f>
        <v>3.3575428771438571</v>
      </c>
      <c r="P380" s="371"/>
    </row>
    <row r="381" spans="1:16" ht="21.75" customHeight="1" x14ac:dyDescent="0.3">
      <c r="A381" s="364"/>
      <c r="B381" s="365"/>
      <c r="C381" s="366"/>
      <c r="D381" s="382"/>
      <c r="E381" s="383"/>
      <c r="F381" s="383"/>
      <c r="G381" s="384"/>
      <c r="H381" s="368" t="s">
        <v>37</v>
      </c>
      <c r="I381" s="369">
        <f ca="1">IFERROR(__xludf.DUMMYFUNCTION("IMPORTRANGE(""https://docs.google.com/spreadsheets/d/11923uPwbBZFjjGgGUA6NLw09EwE0CqkOc4q9oUmW1yo/edit?usp=sharing"",""นครสวรรค์!I276"")"),100)</f>
        <v>100</v>
      </c>
      <c r="J381" s="369">
        <f ca="1">IFERROR(__xludf.DUMMYFUNCTION("IMPORTRANGE(""https://docs.google.com/spreadsheets/d/11923uPwbBZFjjGgGUA6NLw09EwE0CqkOc4q9oUmW1yo/edit?usp=sharing"",""นครสวรรค์!J276"")"),0)</f>
        <v>0</v>
      </c>
      <c r="K381" s="370">
        <f t="shared" ca="1" si="108"/>
        <v>0</v>
      </c>
      <c r="L381" s="371"/>
      <c r="M381" s="371"/>
      <c r="N381" s="371"/>
      <c r="O381" s="371"/>
      <c r="P381" s="371"/>
    </row>
    <row r="382" spans="1:16" ht="21.75" customHeight="1" x14ac:dyDescent="0.3">
      <c r="A382" s="156"/>
      <c r="B382" s="157"/>
      <c r="C382" s="157" t="s">
        <v>16</v>
      </c>
      <c r="D382" s="158" t="s">
        <v>38</v>
      </c>
      <c r="E382" s="159"/>
      <c r="F382" s="159"/>
      <c r="G382" s="160" t="s">
        <v>39</v>
      </c>
      <c r="H382" s="161" t="s">
        <v>12</v>
      </c>
      <c r="I382" s="162" t="s">
        <v>40</v>
      </c>
      <c r="J382" s="162"/>
      <c r="K382" s="163"/>
      <c r="L382" s="164">
        <f ca="1">IFERROR(__xludf.DUMMYFUNCTION("IMPORTRANGE(""https://docs.google.com/spreadsheets/d/11923uPwbBZFjjGgGUA6NLw09EwE0CqkOc4q9oUmW1yo/edit?usp=sharing"",""นครสวรรค์!L277"")"),0)</f>
        <v>0</v>
      </c>
      <c r="M382" s="164"/>
      <c r="N382" s="164">
        <f ca="1">IFERROR(__xludf.DUMMYFUNCTION("IMPORTRANGE(""https://docs.google.com/spreadsheets/d/11923uPwbBZFjjGgGUA6NLw09EwE0CqkOc4q9oUmW1yo/edit?usp=sharing"",""นครสวรรค์!M277"")"),0)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3">
      <c r="A383" s="156"/>
      <c r="B383" s="157"/>
      <c r="C383" s="157"/>
      <c r="D383" s="166"/>
      <c r="E383" s="159"/>
      <c r="F383" s="159" t="s">
        <v>40</v>
      </c>
      <c r="G383" s="160" t="s">
        <v>41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IFERROR(__xludf.DUMMYFUNCTION("IMPORTRANGE(""https://docs.google.com/spreadsheets/d/11923uPwbBZFjjGgGUA6NLw09EwE0CqkOc4q9oUmW1yo/edit?usp=sharing"",""นครสวรรค์!L278"")"),1028520)</f>
        <v>1028520</v>
      </c>
      <c r="M383" s="165"/>
      <c r="N383" s="165">
        <f ca="1">IFERROR(__xludf.DUMMYFUNCTION("IMPORTRANGE(""https://docs.google.com/spreadsheets/d/11923uPwbBZFjjGgGUA6NLw09EwE0CqkOc4q9oUmW1yo/edit?usp=sharing"",""นครสวรรค์!M278"")"),34533)</f>
        <v>34533</v>
      </c>
      <c r="O383" s="165">
        <f t="shared" ca="1" si="109"/>
        <v>3.3575428771438571</v>
      </c>
      <c r="P383" s="165"/>
    </row>
    <row r="384" spans="1:16" ht="21.75" customHeight="1" x14ac:dyDescent="0.3">
      <c r="A384" s="156"/>
      <c r="B384" s="157"/>
      <c r="C384" s="157"/>
      <c r="D384" s="166"/>
      <c r="E384" s="159"/>
      <c r="F384" s="159"/>
      <c r="G384" s="372" t="s">
        <v>129</v>
      </c>
      <c r="H384" s="161" t="s">
        <v>12</v>
      </c>
      <c r="I384" s="162"/>
      <c r="J384" s="162"/>
      <c r="K384" s="163"/>
      <c r="L384" s="168">
        <f ca="1">IFERROR(__xludf.DUMMYFUNCTION("IMPORTRANGE(""https://docs.google.com/spreadsheets/d/11923uPwbBZFjjGgGUA6NLw09EwE0CqkOc4q9oUmW1yo/edit?usp=sharing"",""นครสวรรค์!L279"")"),0)</f>
        <v>0</v>
      </c>
      <c r="M384" s="168"/>
      <c r="N384" s="168">
        <f ca="1">IFERROR(__xludf.DUMMYFUNCTION("IMPORTRANGE(""https://docs.google.com/spreadsheets/d/11923uPwbBZFjjGgGUA6NLw09EwE0CqkOc4q9oUmW1yo/edit?usp=sharing"",""นครสวรรค์!M279"")"),0)</f>
        <v>0</v>
      </c>
      <c r="O384" s="168">
        <f t="shared" ca="1" si="109"/>
        <v>0</v>
      </c>
      <c r="P384" s="168"/>
    </row>
    <row r="385" spans="1:16" ht="21.75" customHeight="1" x14ac:dyDescent="0.3">
      <c r="A385" s="156"/>
      <c r="B385" s="157"/>
      <c r="C385" s="157"/>
      <c r="D385" s="166"/>
      <c r="E385" s="159"/>
      <c r="F385" s="159"/>
      <c r="G385" s="372" t="s">
        <v>130</v>
      </c>
      <c r="H385" s="161" t="s">
        <v>12</v>
      </c>
      <c r="I385" s="162"/>
      <c r="J385" s="162"/>
      <c r="K385" s="163"/>
      <c r="L385" s="168">
        <f ca="1">IFERROR(__xludf.DUMMYFUNCTION("IMPORTRANGE(""https://docs.google.com/spreadsheets/d/11923uPwbBZFjjGgGUA6NLw09EwE0CqkOc4q9oUmW1yo/edit?usp=sharing"",""นครสวรรค์!L280"")"),1028520)</f>
        <v>1028520</v>
      </c>
      <c r="M385" s="168"/>
      <c r="N385" s="167">
        <f ca="1">IFERROR(__xludf.DUMMYFUNCTION("IMPORTRANGE(""https://docs.google.com/spreadsheets/d/11923uPwbBZFjjGgGUA6NLw09EwE0CqkOc4q9oUmW1yo/edit?usp=sharing"",""นครสวรรค์!M280"")"),34533)</f>
        <v>34533</v>
      </c>
      <c r="O385" s="168">
        <f t="shared" ca="1" si="109"/>
        <v>3.3575428771438571</v>
      </c>
      <c r="P385" s="168"/>
    </row>
    <row r="386" spans="1:16" ht="21.75" customHeight="1" x14ac:dyDescent="0.3">
      <c r="A386" s="373"/>
      <c r="B386" s="374"/>
      <c r="C386" s="157"/>
      <c r="D386" s="375"/>
      <c r="E386" s="159"/>
      <c r="F386" s="159"/>
      <c r="G386" s="376" t="s">
        <v>131</v>
      </c>
      <c r="H386" s="161" t="s">
        <v>12</v>
      </c>
      <c r="I386" s="187"/>
      <c r="J386" s="187"/>
      <c r="K386" s="223"/>
      <c r="L386" s="168"/>
      <c r="M386" s="168"/>
      <c r="N386" s="377">
        <f ca="1">IFERROR(__xludf.DUMMYFUNCTION("IMPORTRANGE(""https://docs.google.com/spreadsheets/d/11923uPwbBZFjjGgGUA6NLw09EwE0CqkOc4q9oUmW1yo/edit?usp=sharing"",""นครสวรรค์!M281"")"),0)</f>
        <v>0</v>
      </c>
      <c r="O386" s="168"/>
      <c r="P386" s="168"/>
    </row>
    <row r="387" spans="1:16" ht="21.75" customHeight="1" x14ac:dyDescent="0.3">
      <c r="A387" s="373"/>
      <c r="B387" s="374"/>
      <c r="C387" s="157"/>
      <c r="D387" s="375"/>
      <c r="E387" s="159"/>
      <c r="F387" s="159"/>
      <c r="G387" s="376" t="s">
        <v>132</v>
      </c>
      <c r="H387" s="161" t="s">
        <v>12</v>
      </c>
      <c r="I387" s="187"/>
      <c r="J387" s="187"/>
      <c r="K387" s="223"/>
      <c r="L387" s="168"/>
      <c r="M387" s="168"/>
      <c r="N387" s="377">
        <f ca="1">IFERROR(__xludf.DUMMYFUNCTION("IMPORTRANGE(""https://docs.google.com/spreadsheets/d/11923uPwbBZFjjGgGUA6NLw09EwE0CqkOc4q9oUmW1yo/edit?usp=sharing"",""นครสวรรค์!M282"")"),0)</f>
        <v>0</v>
      </c>
      <c r="O387" s="168"/>
      <c r="P387" s="168"/>
    </row>
    <row r="388" spans="1:16" ht="21.75" customHeight="1" x14ac:dyDescent="0.3">
      <c r="A388" s="373"/>
      <c r="B388" s="374"/>
      <c r="C388" s="157"/>
      <c r="D388" s="375"/>
      <c r="E388" s="159"/>
      <c r="F388" s="159"/>
      <c r="G388" s="376" t="s">
        <v>133</v>
      </c>
      <c r="H388" s="161" t="s">
        <v>12</v>
      </c>
      <c r="I388" s="187"/>
      <c r="J388" s="187"/>
      <c r="K388" s="223"/>
      <c r="L388" s="168"/>
      <c r="M388" s="168"/>
      <c r="N388" s="377">
        <f ca="1">IFERROR(__xludf.DUMMYFUNCTION("IMPORTRANGE(""https://docs.google.com/spreadsheets/d/11923uPwbBZFjjGgGUA6NLw09EwE0CqkOc4q9oUmW1yo/edit?usp=sharing"",""นครสวรรค์!M283"")"),32633)</f>
        <v>32633</v>
      </c>
      <c r="O388" s="168"/>
      <c r="P388" s="168"/>
    </row>
    <row r="389" spans="1:16" ht="21.75" customHeight="1" x14ac:dyDescent="0.3">
      <c r="A389" s="373"/>
      <c r="B389" s="374"/>
      <c r="C389" s="157"/>
      <c r="D389" s="375"/>
      <c r="E389" s="159"/>
      <c r="F389" s="159"/>
      <c r="G389" s="376" t="s">
        <v>134</v>
      </c>
      <c r="H389" s="161" t="s">
        <v>12</v>
      </c>
      <c r="I389" s="187"/>
      <c r="J389" s="187"/>
      <c r="K389" s="223"/>
      <c r="L389" s="168"/>
      <c r="M389" s="168"/>
      <c r="N389" s="377">
        <f ca="1">IFERROR(__xludf.DUMMYFUNCTION("IMPORTRANGE(""https://docs.google.com/spreadsheets/d/11923uPwbBZFjjGgGUA6NLw09EwE0CqkOc4q9oUmW1yo/edit?usp=sharing"",""นครสวรรค์!M284"")"),1900)</f>
        <v>1900</v>
      </c>
      <c r="O389" s="168"/>
      <c r="P389" s="168"/>
    </row>
    <row r="390" spans="1:16" ht="21.75" customHeight="1" x14ac:dyDescent="0.3">
      <c r="A390" s="175"/>
      <c r="B390" s="176"/>
      <c r="C390" s="157" t="s">
        <v>16</v>
      </c>
      <c r="D390" s="177" t="s">
        <v>44</v>
      </c>
      <c r="E390" s="178"/>
      <c r="F390" s="178"/>
      <c r="G390" s="179"/>
      <c r="H390" s="180"/>
      <c r="I390" s="162"/>
      <c r="J390" s="162"/>
      <c r="K390" s="163"/>
      <c r="L390" s="181"/>
      <c r="M390" s="181"/>
      <c r="N390" s="181"/>
      <c r="O390" s="181"/>
      <c r="P390" s="181"/>
    </row>
    <row r="391" spans="1:16" ht="21.75" customHeight="1" x14ac:dyDescent="0.3">
      <c r="A391" s="175"/>
      <c r="B391" s="176"/>
      <c r="C391" s="176"/>
      <c r="D391" s="182">
        <v>1</v>
      </c>
      <c r="E391" s="183" t="s">
        <v>45</v>
      </c>
      <c r="F391" s="184"/>
      <c r="G391" s="185"/>
      <c r="H391" s="186"/>
      <c r="I391" s="187"/>
      <c r="J391" s="197">
        <f ca="1">IFERROR(__xludf.DUMMYFUNCTION("IMPORTRANGE(""https://docs.google.com/spreadsheets/d/11923uPwbBZFjjGgGUA6NLw09EwE0CqkOc4q9oUmW1yo/edit?usp=sharing"",""นครสวรรค์!J286"")"),0)</f>
        <v>0</v>
      </c>
      <c r="K391" s="163"/>
      <c r="L391" s="181"/>
      <c r="M391" s="181"/>
      <c r="N391" s="181"/>
      <c r="O391" s="181"/>
      <c r="P391" s="181"/>
    </row>
    <row r="392" spans="1:16" ht="21.75" customHeight="1" x14ac:dyDescent="0.3">
      <c r="A392" s="175"/>
      <c r="B392" s="176"/>
      <c r="C392" s="176"/>
      <c r="D392" s="189">
        <v>2</v>
      </c>
      <c r="E392" s="190" t="s">
        <v>46</v>
      </c>
      <c r="F392" s="191"/>
      <c r="G392" s="192"/>
      <c r="H392" s="186"/>
      <c r="I392" s="187"/>
      <c r="J392" s="188">
        <f ca="1">IFERROR(__xludf.DUMMYFUNCTION("IMPORTRANGE(""https://docs.google.com/spreadsheets/d/11923uPwbBZFjjGgGUA6NLw09EwE0CqkOc4q9oUmW1yo/edit?usp=sharing"",""นครสวรรค์!J287"")"),1)</f>
        <v>1</v>
      </c>
      <c r="K392" s="163"/>
      <c r="L392" s="181" t="s">
        <v>40</v>
      </c>
      <c r="M392" s="181"/>
      <c r="N392" s="181" t="s">
        <v>40</v>
      </c>
      <c r="O392" s="181"/>
      <c r="P392" s="181"/>
    </row>
    <row r="393" spans="1:16" ht="21.75" customHeight="1" x14ac:dyDescent="0.3">
      <c r="A393" s="175"/>
      <c r="B393" s="176"/>
      <c r="C393" s="176"/>
      <c r="D393" s="193"/>
      <c r="E393" s="194" t="s">
        <v>47</v>
      </c>
      <c r="F393" s="195"/>
      <c r="G393" s="196"/>
      <c r="H393" s="186"/>
      <c r="I393" s="187"/>
      <c r="J393" s="188">
        <f ca="1">IFERROR(__xludf.DUMMYFUNCTION("IMPORTRANGE(""https://docs.google.com/spreadsheets/d/11923uPwbBZFjjGgGUA6NLw09EwE0CqkOc4q9oUmW1yo/edit?usp=sharing"",""นครสวรรค์!J288"")"),1)</f>
        <v>1</v>
      </c>
      <c r="K393" s="163"/>
      <c r="L393" s="181"/>
      <c r="M393" s="181"/>
      <c r="N393" s="181"/>
      <c r="O393" s="181"/>
      <c r="P393" s="181"/>
    </row>
    <row r="394" spans="1:16" ht="21.75" customHeight="1" x14ac:dyDescent="0.3">
      <c r="A394" s="175"/>
      <c r="B394" s="176"/>
      <c r="C394" s="176"/>
      <c r="D394" s="193"/>
      <c r="E394" s="194" t="s">
        <v>48</v>
      </c>
      <c r="F394" s="195"/>
      <c r="G394" s="196"/>
      <c r="H394" s="186"/>
      <c r="I394" s="187"/>
      <c r="J394" s="197">
        <f ca="1">IFERROR(__xludf.DUMMYFUNCTION("IMPORTRANGE(""https://docs.google.com/spreadsheets/d/11923uPwbBZFjjGgGUA6NLw09EwE0CqkOc4q9oUmW1yo/edit?usp=sharing"",""นครสวรรค์!J289"")"),1)</f>
        <v>1</v>
      </c>
      <c r="K394" s="163"/>
      <c r="L394" s="181"/>
      <c r="M394" s="181"/>
      <c r="N394" s="181"/>
      <c r="O394" s="181"/>
      <c r="P394" s="181"/>
    </row>
    <row r="395" spans="1:16" ht="21.75" customHeight="1" x14ac:dyDescent="0.3">
      <c r="A395" s="175"/>
      <c r="B395" s="176"/>
      <c r="C395" s="176"/>
      <c r="D395" s="193"/>
      <c r="E395" s="198"/>
      <c r="F395" s="194" t="s">
        <v>146</v>
      </c>
      <c r="G395" s="195"/>
      <c r="H395" s="186"/>
      <c r="I395" s="187"/>
      <c r="J395" s="187"/>
      <c r="K395" s="163"/>
      <c r="L395" s="181"/>
      <c r="M395" s="181"/>
      <c r="N395" s="181"/>
      <c r="O395" s="181"/>
      <c r="P395" s="181"/>
    </row>
    <row r="396" spans="1:16" ht="21.75" customHeight="1" x14ac:dyDescent="0.3">
      <c r="A396" s="175"/>
      <c r="B396" s="176"/>
      <c r="C396" s="176"/>
      <c r="D396" s="193"/>
      <c r="E396" s="198"/>
      <c r="F396" s="195"/>
      <c r="G396" s="291" t="s">
        <v>70</v>
      </c>
      <c r="H396" s="186" t="s">
        <v>37</v>
      </c>
      <c r="I396" s="187">
        <f ca="1">IFERROR(__xludf.DUMMYFUNCTION("IMPORTRANGE(""https://docs.google.com/spreadsheets/d/11923uPwbBZFjjGgGUA6NLw09EwE0CqkOc4q9oUmW1yo/edit?usp=sharing"",""นครสวรรค์!I291"")"),100)</f>
        <v>100</v>
      </c>
      <c r="J396" s="197">
        <f ca="1">IFERROR(__xludf.DUMMYFUNCTION("IMPORTRANGE(""https://docs.google.com/spreadsheets/d/11923uPwbBZFjjGgGUA6NLw09EwE0CqkOc4q9oUmW1yo/edit?usp=sharing"",""นครสวรรค์!J291"")"),0)</f>
        <v>0</v>
      </c>
      <c r="K396" s="163">
        <f t="shared" ref="K396:K398" ca="1" si="110">IF(I396&gt;0,J396*100/I396,0)</f>
        <v>0</v>
      </c>
      <c r="L396" s="181"/>
      <c r="M396" s="181"/>
      <c r="N396" s="181"/>
      <c r="O396" s="181"/>
      <c r="P396" s="181"/>
    </row>
    <row r="397" spans="1:16" ht="21.75" customHeight="1" x14ac:dyDescent="0.3">
      <c r="A397" s="175"/>
      <c r="B397" s="176"/>
      <c r="C397" s="176"/>
      <c r="D397" s="193"/>
      <c r="E397" s="198"/>
      <c r="F397" s="195"/>
      <c r="G397" s="196" t="s">
        <v>53</v>
      </c>
      <c r="H397" s="186" t="s">
        <v>122</v>
      </c>
      <c r="I397" s="187">
        <f ca="1">IFERROR(__xludf.DUMMYFUNCTION("IMPORTRANGE(""https://docs.google.com/spreadsheets/d/11923uPwbBZFjjGgGUA6NLw09EwE0CqkOc4q9oUmW1yo/edit?usp=sharing"",""นครสวรรค์!I292"")"),1000)</f>
        <v>1000</v>
      </c>
      <c r="J397" s="197">
        <f ca="1">IFERROR(__xludf.DUMMYFUNCTION("IMPORTRANGE(""https://docs.google.com/spreadsheets/d/11923uPwbBZFjjGgGUA6NLw09EwE0CqkOc4q9oUmW1yo/edit?usp=sharing"",""นครสวรรค์!J292"")"),0)</f>
        <v>0</v>
      </c>
      <c r="K397" s="163">
        <f t="shared" ca="1" si="110"/>
        <v>0</v>
      </c>
      <c r="L397" s="181"/>
      <c r="M397" s="181"/>
      <c r="N397" s="181"/>
      <c r="O397" s="181"/>
      <c r="P397" s="181"/>
    </row>
    <row r="398" spans="1:16" ht="21.75" customHeight="1" x14ac:dyDescent="0.3">
      <c r="A398" s="175"/>
      <c r="B398" s="176"/>
      <c r="C398" s="176"/>
      <c r="D398" s="193"/>
      <c r="E398" s="198"/>
      <c r="F398" s="195"/>
      <c r="G398" s="196"/>
      <c r="H398" s="186" t="s">
        <v>37</v>
      </c>
      <c r="I398" s="187">
        <f ca="1">IFERROR(__xludf.DUMMYFUNCTION("IMPORTRANGE(""https://docs.google.com/spreadsheets/d/11923uPwbBZFjjGgGUA6NLw09EwE0CqkOc4q9oUmW1yo/edit?usp=sharing"",""นครสวรรค์!I293"")"),100)</f>
        <v>100</v>
      </c>
      <c r="J398" s="197">
        <f ca="1">IFERROR(__xludf.DUMMYFUNCTION("IMPORTRANGE(""https://docs.google.com/spreadsheets/d/11923uPwbBZFjjGgGUA6NLw09EwE0CqkOc4q9oUmW1yo/edit?usp=sharing"",""นครสวรรค์!J293"")"),0)</f>
        <v>0</v>
      </c>
      <c r="K398" s="163">
        <f t="shared" ca="1" si="110"/>
        <v>0</v>
      </c>
      <c r="L398" s="181"/>
      <c r="M398" s="181"/>
      <c r="N398" s="181"/>
      <c r="O398" s="181"/>
      <c r="P398" s="181"/>
    </row>
    <row r="399" spans="1:16" ht="21.75" customHeight="1" x14ac:dyDescent="0.3">
      <c r="A399" s="175"/>
      <c r="B399" s="176"/>
      <c r="C399" s="176"/>
      <c r="D399" s="193"/>
      <c r="E399" s="194" t="s">
        <v>54</v>
      </c>
      <c r="F399" s="195"/>
      <c r="G399" s="196"/>
      <c r="H399" s="186"/>
      <c r="I399" s="187"/>
      <c r="J399" s="197">
        <f ca="1">IFERROR(__xludf.DUMMYFUNCTION("IMPORTRANGE(""https://docs.google.com/spreadsheets/d/11923uPwbBZFjjGgGUA6NLw09EwE0CqkOc4q9oUmW1yo/edit?usp=sharing"",""นครสวรรค์!J294"")"),0)</f>
        <v>0</v>
      </c>
      <c r="K399" s="163"/>
      <c r="L399" s="181"/>
      <c r="M399" s="181"/>
      <c r="N399" s="181"/>
      <c r="O399" s="181"/>
      <c r="P399" s="181"/>
    </row>
    <row r="400" spans="1:16" ht="21.75" customHeight="1" x14ac:dyDescent="0.3">
      <c r="A400" s="175"/>
      <c r="B400" s="176"/>
      <c r="C400" s="176"/>
      <c r="D400" s="205">
        <v>3</v>
      </c>
      <c r="E400" s="206" t="s">
        <v>55</v>
      </c>
      <c r="F400" s="207"/>
      <c r="G400" s="208"/>
      <c r="H400" s="186"/>
      <c r="I400" s="187"/>
      <c r="J400" s="209">
        <f ca="1">IFERROR(__xludf.DUMMYFUNCTION("IMPORTRANGE(""https://docs.google.com/spreadsheets/d/11923uPwbBZFjjGgGUA6NLw09EwE0CqkOc4q9oUmW1yo/edit?usp=sharing"",""นครสวรรค์!J295"")"),0)</f>
        <v>0</v>
      </c>
      <c r="K400" s="163"/>
      <c r="L400" s="181"/>
      <c r="M400" s="181"/>
      <c r="N400" s="181"/>
      <c r="O400" s="181"/>
      <c r="P400" s="181"/>
    </row>
    <row r="401" spans="1:16" ht="21.75" customHeight="1" x14ac:dyDescent="0.3">
      <c r="A401" s="364"/>
      <c r="B401" s="365">
        <v>3</v>
      </c>
      <c r="C401" s="365" t="s">
        <v>147</v>
      </c>
      <c r="D401" s="366"/>
      <c r="E401" s="366"/>
      <c r="F401" s="366"/>
      <c r="G401" s="367"/>
      <c r="H401" s="368" t="s">
        <v>122</v>
      </c>
      <c r="I401" s="369">
        <f ca="1">IFERROR(__xludf.DUMMYFUNCTION("IMPORTRANGE(""https://docs.google.com/spreadsheets/d/11923uPwbBZFjjGgGUA6NLw09EwE0CqkOc4q9oUmW1yo/edit?usp=sharing"",""นครสวรรค์!I296"")"),135)</f>
        <v>135</v>
      </c>
      <c r="J401" s="369">
        <f ca="1">IFERROR(__xludf.DUMMYFUNCTION("IMPORTRANGE(""https://docs.google.com/spreadsheets/d/11923uPwbBZFjjGgGUA6NLw09EwE0CqkOc4q9oUmW1yo/edit?usp=sharing"",""นครสวรรค์!J296"")"),141)</f>
        <v>141</v>
      </c>
      <c r="K401" s="370">
        <f t="shared" ref="K401:K402" ca="1" si="111">IF(I401&gt;0,J401*100/I401,0)</f>
        <v>104.44444444444444</v>
      </c>
      <c r="L401" s="371">
        <f ca="1">IFERROR(__xludf.DUMMYFUNCTION("IMPORTRANGE(""https://docs.google.com/spreadsheets/d/11923uPwbBZFjjGgGUA6NLw09EwE0CqkOc4q9oUmW1yo/edit?usp=sharing"",""นครสวรรค์!L296"")"),159950)</f>
        <v>159950</v>
      </c>
      <c r="M401" s="371"/>
      <c r="N401" s="371">
        <f ca="1">IFERROR(__xludf.DUMMYFUNCTION("IMPORTRANGE(""https://docs.google.com/spreadsheets/d/11923uPwbBZFjjGgGUA6NLw09EwE0CqkOc4q9oUmW1yo/edit?usp=sharing"",""นครสวรรค์!M296"")"),132250)</f>
        <v>132250</v>
      </c>
      <c r="O401" s="371">
        <f ca="1">+IF(L401&gt;0,N401*100/L401,0)</f>
        <v>82.682088152547678</v>
      </c>
      <c r="P401" s="371"/>
    </row>
    <row r="402" spans="1:16" ht="21.75" customHeight="1" x14ac:dyDescent="0.3">
      <c r="A402" s="364"/>
      <c r="B402" s="365"/>
      <c r="C402" s="365"/>
      <c r="D402" s="382"/>
      <c r="E402" s="382"/>
      <c r="F402" s="382"/>
      <c r="G402" s="385"/>
      <c r="H402" s="368" t="s">
        <v>37</v>
      </c>
      <c r="I402" s="369">
        <f ca="1">IFERROR(__xludf.DUMMYFUNCTION("IMPORTRANGE(""https://docs.google.com/spreadsheets/d/11923uPwbBZFjjGgGUA6NLw09EwE0CqkOc4q9oUmW1yo/edit?usp=sharing"",""นครสวรรค์!I297"")"),45)</f>
        <v>45</v>
      </c>
      <c r="J402" s="369">
        <f ca="1">IFERROR(__xludf.DUMMYFUNCTION("IMPORTRANGE(""https://docs.google.com/spreadsheets/d/11923uPwbBZFjjGgGUA6NLw09EwE0CqkOc4q9oUmW1yo/edit?usp=sharing"",""นครสวรรค์!J297"")"),47)</f>
        <v>47</v>
      </c>
      <c r="K402" s="370">
        <f t="shared" ca="1" si="111"/>
        <v>104.44444444444444</v>
      </c>
      <c r="L402" s="371"/>
      <c r="M402" s="371"/>
      <c r="N402" s="371"/>
      <c r="O402" s="371"/>
      <c r="P402" s="371"/>
    </row>
    <row r="403" spans="1:16" ht="21.75" customHeight="1" x14ac:dyDescent="0.3">
      <c r="A403" s="156"/>
      <c r="B403" s="157"/>
      <c r="C403" s="157" t="s">
        <v>16</v>
      </c>
      <c r="D403" s="158" t="s">
        <v>38</v>
      </c>
      <c r="E403" s="159"/>
      <c r="F403" s="159"/>
      <c r="G403" s="160" t="s">
        <v>39</v>
      </c>
      <c r="H403" s="161" t="s">
        <v>12</v>
      </c>
      <c r="I403" s="162" t="s">
        <v>40</v>
      </c>
      <c r="J403" s="162"/>
      <c r="K403" s="163"/>
      <c r="L403" s="164">
        <f ca="1">IFERROR(__xludf.DUMMYFUNCTION("IMPORTRANGE(""https://docs.google.com/spreadsheets/d/11923uPwbBZFjjGgGUA6NLw09EwE0CqkOc4q9oUmW1yo/edit?usp=sharing"",""นครสวรรค์!L298"")"),0)</f>
        <v>0</v>
      </c>
      <c r="M403" s="164"/>
      <c r="N403" s="168">
        <f ca="1">IFERROR(__xludf.DUMMYFUNCTION("IMPORTRANGE(""https://docs.google.com/spreadsheets/d/11923uPwbBZFjjGgGUA6NLw09EwE0CqkOc4q9oUmW1yo/edit?usp=sharing"",""นครสวรรค์!M298"")"),0)</f>
        <v>0</v>
      </c>
      <c r="O403" s="168">
        <f t="shared" ref="O403:O406" ca="1" si="112">+IF(L403&gt;0,N403*100/L403,0)</f>
        <v>0</v>
      </c>
      <c r="P403" s="168"/>
    </row>
    <row r="404" spans="1:16" ht="21.75" customHeight="1" x14ac:dyDescent="0.3">
      <c r="A404" s="156"/>
      <c r="B404" s="157"/>
      <c r="C404" s="157"/>
      <c r="D404" s="166"/>
      <c r="E404" s="159"/>
      <c r="F404" s="159" t="s">
        <v>40</v>
      </c>
      <c r="G404" s="160" t="s">
        <v>41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IFERROR(__xludf.DUMMYFUNCTION("IMPORTRANGE(""https://docs.google.com/spreadsheets/d/11923uPwbBZFjjGgGUA6NLw09EwE0CqkOc4q9oUmW1yo/edit?usp=sharing"",""นครสวรรค์!L299"")"),159950)</f>
        <v>159950</v>
      </c>
      <c r="M404" s="165"/>
      <c r="N404" s="168">
        <f ca="1">IFERROR(__xludf.DUMMYFUNCTION("IMPORTRANGE(""https://docs.google.com/spreadsheets/d/11923uPwbBZFjjGgGUA6NLw09EwE0CqkOc4q9oUmW1yo/edit?usp=sharing"",""นครสวรรค์!M299"")"),132250)</f>
        <v>132250</v>
      </c>
      <c r="O404" s="168">
        <f t="shared" ca="1" si="112"/>
        <v>82.682088152547678</v>
      </c>
      <c r="P404" s="168"/>
    </row>
    <row r="405" spans="1:16" ht="21.75" customHeight="1" x14ac:dyDescent="0.3">
      <c r="A405" s="156"/>
      <c r="B405" s="157"/>
      <c r="C405" s="157"/>
      <c r="D405" s="166"/>
      <c r="E405" s="159"/>
      <c r="F405" s="159"/>
      <c r="G405" s="372" t="s">
        <v>129</v>
      </c>
      <c r="H405" s="161" t="s">
        <v>12</v>
      </c>
      <c r="I405" s="162"/>
      <c r="J405" s="162"/>
      <c r="K405" s="163"/>
      <c r="L405" s="168">
        <f ca="1">IFERROR(__xludf.DUMMYFUNCTION("IMPORTRANGE(""https://docs.google.com/spreadsheets/d/11923uPwbBZFjjGgGUA6NLw09EwE0CqkOc4q9oUmW1yo/edit?usp=sharing"",""นครสวรรค์!L300"")"),0)</f>
        <v>0</v>
      </c>
      <c r="M405" s="168"/>
      <c r="N405" s="168">
        <f ca="1">IFERROR(__xludf.DUMMYFUNCTION("IMPORTRANGE(""https://docs.google.com/spreadsheets/d/11923uPwbBZFjjGgGUA6NLw09EwE0CqkOc4q9oUmW1yo/edit?usp=sharing"",""นครสวรรค์!M300"")"),0)</f>
        <v>0</v>
      </c>
      <c r="O405" s="168">
        <f t="shared" ca="1" si="112"/>
        <v>0</v>
      </c>
      <c r="P405" s="168"/>
    </row>
    <row r="406" spans="1:16" ht="21.75" customHeight="1" x14ac:dyDescent="0.3">
      <c r="A406" s="156"/>
      <c r="B406" s="157"/>
      <c r="C406" s="157"/>
      <c r="D406" s="166"/>
      <c r="E406" s="159"/>
      <c r="F406" s="159"/>
      <c r="G406" s="372" t="s">
        <v>130</v>
      </c>
      <c r="H406" s="161" t="s">
        <v>12</v>
      </c>
      <c r="I406" s="162"/>
      <c r="J406" s="162"/>
      <c r="K406" s="163"/>
      <c r="L406" s="168">
        <f ca="1">IFERROR(__xludf.DUMMYFUNCTION("IMPORTRANGE(""https://docs.google.com/spreadsheets/d/11923uPwbBZFjjGgGUA6NLw09EwE0CqkOc4q9oUmW1yo/edit?usp=sharing"",""นครสวรรค์!L301"")"),159950)</f>
        <v>159950</v>
      </c>
      <c r="M406" s="168"/>
      <c r="N406" s="168">
        <f ca="1">IFERROR(__xludf.DUMMYFUNCTION("IMPORTRANGE(""https://docs.google.com/spreadsheets/d/11923uPwbBZFjjGgGUA6NLw09EwE0CqkOc4q9oUmW1yo/edit?usp=sharing"",""นครสวรรค์!M301"")"),132250)</f>
        <v>132250</v>
      </c>
      <c r="O406" s="168">
        <f t="shared" ca="1" si="112"/>
        <v>82.682088152547678</v>
      </c>
      <c r="P406" s="168"/>
    </row>
    <row r="407" spans="1:16" ht="21.75" customHeight="1" x14ac:dyDescent="0.3">
      <c r="A407" s="373"/>
      <c r="B407" s="374"/>
      <c r="C407" s="157"/>
      <c r="D407" s="375"/>
      <c r="E407" s="159"/>
      <c r="F407" s="159"/>
      <c r="G407" s="376" t="s">
        <v>131</v>
      </c>
      <c r="H407" s="161" t="s">
        <v>12</v>
      </c>
      <c r="I407" s="187"/>
      <c r="J407" s="187"/>
      <c r="K407" s="223"/>
      <c r="L407" s="168"/>
      <c r="M407" s="168"/>
      <c r="N407" s="377">
        <f ca="1">IFERROR(__xludf.DUMMYFUNCTION("IMPORTRANGE(""https://docs.google.com/spreadsheets/d/11923uPwbBZFjjGgGUA6NLw09EwE0CqkOc4q9oUmW1yo/edit?usp=sharing"",""นครสวรรค์!M302"")"),97550)</f>
        <v>97550</v>
      </c>
      <c r="O407" s="168"/>
      <c r="P407" s="168"/>
    </row>
    <row r="408" spans="1:16" ht="21.75" customHeight="1" x14ac:dyDescent="0.3">
      <c r="A408" s="373"/>
      <c r="B408" s="374"/>
      <c r="C408" s="157"/>
      <c r="D408" s="375"/>
      <c r="E408" s="159"/>
      <c r="F408" s="159"/>
      <c r="G408" s="376" t="s">
        <v>132</v>
      </c>
      <c r="H408" s="161" t="s">
        <v>12</v>
      </c>
      <c r="I408" s="187"/>
      <c r="J408" s="187"/>
      <c r="K408" s="223"/>
      <c r="L408" s="168"/>
      <c r="M408" s="168"/>
      <c r="N408" s="377">
        <f ca="1">IFERROR(__xludf.DUMMYFUNCTION("IMPORTRANGE(""https://docs.google.com/spreadsheets/d/11923uPwbBZFjjGgGUA6NLw09EwE0CqkOc4q9oUmW1yo/edit?usp=sharing"",""นครสวรรค์!M303"")"),32500)</f>
        <v>32500</v>
      </c>
      <c r="O408" s="168"/>
      <c r="P408" s="168"/>
    </row>
    <row r="409" spans="1:16" ht="21.75" customHeight="1" x14ac:dyDescent="0.3">
      <c r="A409" s="373"/>
      <c r="B409" s="374"/>
      <c r="C409" s="157"/>
      <c r="D409" s="375"/>
      <c r="E409" s="159"/>
      <c r="F409" s="159"/>
      <c r="G409" s="376" t="s">
        <v>133</v>
      </c>
      <c r="H409" s="161" t="s">
        <v>12</v>
      </c>
      <c r="I409" s="187"/>
      <c r="J409" s="187"/>
      <c r="K409" s="223"/>
      <c r="L409" s="168"/>
      <c r="M409" s="168"/>
      <c r="N409" s="377">
        <f ca="1">IFERROR(__xludf.DUMMYFUNCTION("IMPORTRANGE(""https://docs.google.com/spreadsheets/d/11923uPwbBZFjjGgGUA6NLw09EwE0CqkOc4q9oUmW1yo/edit?usp=sharing"",""นครสวรรค์!M304"")"),0)</f>
        <v>0</v>
      </c>
      <c r="O409" s="168"/>
      <c r="P409" s="168"/>
    </row>
    <row r="410" spans="1:16" ht="21.75" customHeight="1" x14ac:dyDescent="0.3">
      <c r="A410" s="373"/>
      <c r="B410" s="374"/>
      <c r="C410" s="157"/>
      <c r="D410" s="375"/>
      <c r="E410" s="159"/>
      <c r="F410" s="159"/>
      <c r="G410" s="376" t="s">
        <v>134</v>
      </c>
      <c r="H410" s="161" t="s">
        <v>12</v>
      </c>
      <c r="I410" s="187"/>
      <c r="J410" s="187"/>
      <c r="K410" s="223"/>
      <c r="L410" s="168"/>
      <c r="M410" s="168"/>
      <c r="N410" s="377">
        <f ca="1">IFERROR(__xludf.DUMMYFUNCTION("IMPORTRANGE(""https://docs.google.com/spreadsheets/d/11923uPwbBZFjjGgGUA6NLw09EwE0CqkOc4q9oUmW1yo/edit?usp=sharing"",""นครสวรรค์!M305"")"),2200)</f>
        <v>2200</v>
      </c>
      <c r="O410" s="168"/>
      <c r="P410" s="168"/>
    </row>
    <row r="411" spans="1:16" ht="21.75" customHeight="1" x14ac:dyDescent="0.3">
      <c r="A411" s="175"/>
      <c r="B411" s="176"/>
      <c r="C411" s="157" t="s">
        <v>16</v>
      </c>
      <c r="D411" s="177" t="s">
        <v>44</v>
      </c>
      <c r="E411" s="178"/>
      <c r="F411" s="178"/>
      <c r="G411" s="179"/>
      <c r="H411" s="180"/>
      <c r="I411" s="162"/>
      <c r="J411" s="162"/>
      <c r="K411" s="163"/>
      <c r="L411" s="181"/>
      <c r="M411" s="181"/>
      <c r="N411" s="181"/>
      <c r="O411" s="181"/>
      <c r="P411" s="181"/>
    </row>
    <row r="412" spans="1:16" ht="21.75" customHeight="1" x14ac:dyDescent="0.3">
      <c r="A412" s="175"/>
      <c r="B412" s="176"/>
      <c r="C412" s="176"/>
      <c r="D412" s="182">
        <v>1</v>
      </c>
      <c r="E412" s="183" t="s">
        <v>45</v>
      </c>
      <c r="F412" s="184"/>
      <c r="G412" s="185"/>
      <c r="H412" s="186"/>
      <c r="I412" s="187"/>
      <c r="J412" s="197">
        <f ca="1">IFERROR(__xludf.DUMMYFUNCTION("IMPORTRANGE(""https://docs.google.com/spreadsheets/d/11923uPwbBZFjjGgGUA6NLw09EwE0CqkOc4q9oUmW1yo/edit?usp=sharing"",""นครสวรรค์!J307"")"),0)</f>
        <v>0</v>
      </c>
      <c r="K412" s="163"/>
      <c r="L412" s="181"/>
      <c r="M412" s="181"/>
      <c r="N412" s="181"/>
      <c r="O412" s="181"/>
      <c r="P412" s="181"/>
    </row>
    <row r="413" spans="1:16" ht="21.75" customHeight="1" x14ac:dyDescent="0.3">
      <c r="A413" s="175"/>
      <c r="B413" s="176"/>
      <c r="C413" s="176"/>
      <c r="D413" s="189">
        <v>2</v>
      </c>
      <c r="E413" s="190" t="s">
        <v>46</v>
      </c>
      <c r="F413" s="191"/>
      <c r="G413" s="192"/>
      <c r="H413" s="186"/>
      <c r="I413" s="187"/>
      <c r="J413" s="188">
        <f ca="1">IFERROR(__xludf.DUMMYFUNCTION("IMPORTRANGE(""https://docs.google.com/spreadsheets/d/11923uPwbBZFjjGgGUA6NLw09EwE0CqkOc4q9oUmW1yo/edit?usp=sharing"",""นครสวรรค์!J308"")"),1)</f>
        <v>1</v>
      </c>
      <c r="K413" s="163"/>
      <c r="L413" s="181" t="s">
        <v>40</v>
      </c>
      <c r="M413" s="181"/>
      <c r="N413" s="181" t="s">
        <v>40</v>
      </c>
      <c r="O413" s="181"/>
      <c r="P413" s="181"/>
    </row>
    <row r="414" spans="1:16" ht="21.75" customHeight="1" x14ac:dyDescent="0.3">
      <c r="A414" s="175"/>
      <c r="B414" s="176"/>
      <c r="C414" s="176"/>
      <c r="D414" s="193"/>
      <c r="E414" s="194" t="s">
        <v>47</v>
      </c>
      <c r="F414" s="195"/>
      <c r="G414" s="196"/>
      <c r="H414" s="186"/>
      <c r="I414" s="187"/>
      <c r="J414" s="188">
        <f ca="1">IFERROR(__xludf.DUMMYFUNCTION("IMPORTRANGE(""https://docs.google.com/spreadsheets/d/11923uPwbBZFjjGgGUA6NLw09EwE0CqkOc4q9oUmW1yo/edit?usp=sharing"",""นครสวรรค์!J309"")"),1)</f>
        <v>1</v>
      </c>
      <c r="K414" s="163"/>
      <c r="L414" s="181"/>
      <c r="M414" s="181"/>
      <c r="N414" s="181"/>
      <c r="O414" s="181"/>
      <c r="P414" s="181"/>
    </row>
    <row r="415" spans="1:16" ht="21.75" customHeight="1" x14ac:dyDescent="0.3">
      <c r="A415" s="175"/>
      <c r="B415" s="176"/>
      <c r="C415" s="176"/>
      <c r="D415" s="193"/>
      <c r="E415" s="194" t="s">
        <v>48</v>
      </c>
      <c r="F415" s="195"/>
      <c r="G415" s="196"/>
      <c r="H415" s="186"/>
      <c r="I415" s="187"/>
      <c r="J415" s="197">
        <f ca="1">IFERROR(__xludf.DUMMYFUNCTION("IMPORTRANGE(""https://docs.google.com/spreadsheets/d/11923uPwbBZFjjGgGUA6NLw09EwE0CqkOc4q9oUmW1yo/edit?usp=sharing"",""นครสวรรค์!J310"")"),0)</f>
        <v>0</v>
      </c>
      <c r="K415" s="163"/>
      <c r="L415" s="181"/>
      <c r="M415" s="181"/>
      <c r="N415" s="181"/>
      <c r="O415" s="181"/>
      <c r="P415" s="181"/>
    </row>
    <row r="416" spans="1:16" ht="21.75" customHeight="1" x14ac:dyDescent="0.3">
      <c r="A416" s="175"/>
      <c r="B416" s="176"/>
      <c r="C416" s="176"/>
      <c r="D416" s="193"/>
      <c r="E416" s="198"/>
      <c r="F416" s="194" t="s">
        <v>70</v>
      </c>
      <c r="G416" s="386"/>
      <c r="H416" s="387" t="s">
        <v>37</v>
      </c>
      <c r="I416" s="200">
        <f ca="1">IFERROR(__xludf.DUMMYFUNCTION("IMPORTRANGE(""https://docs.google.com/spreadsheets/d/11923uPwbBZFjjGgGUA6NLw09EwE0CqkOc4q9oUmW1yo/edit?usp=sharing"",""นครสวรรค์!I311"")"),45)</f>
        <v>45</v>
      </c>
      <c r="J416" s="200">
        <f ca="1">IFERROR(__xludf.DUMMYFUNCTION("IMPORTRANGE(""https://docs.google.com/spreadsheets/d/11923uPwbBZFjjGgGUA6NLw09EwE0CqkOc4q9oUmW1yo/edit?usp=sharing"",""นครสวรรค์!J311"")"),47)</f>
        <v>47</v>
      </c>
      <c r="K416" s="201">
        <f t="shared" ref="K416:K432" ca="1" si="113">IF(I416&gt;0,J416*100/I416,0)</f>
        <v>104.44444444444444</v>
      </c>
      <c r="L416" s="181"/>
      <c r="M416" s="181"/>
      <c r="N416" s="181"/>
      <c r="O416" s="181"/>
      <c r="P416" s="181"/>
    </row>
    <row r="417" spans="1:16" ht="21.75" customHeight="1" x14ac:dyDescent="0.45">
      <c r="A417" s="175"/>
      <c r="B417" s="176"/>
      <c r="C417" s="176"/>
      <c r="D417" s="193"/>
      <c r="E417" s="198"/>
      <c r="F417" s="388" t="s">
        <v>148</v>
      </c>
      <c r="G417" s="196"/>
      <c r="H417" s="199" t="s">
        <v>37</v>
      </c>
      <c r="I417" s="389">
        <f ca="1">IFERROR(__xludf.DUMMYFUNCTION("IMPORTRANGE(""https://docs.google.com/spreadsheets/d/11923uPwbBZFjjGgGUA6NLw09EwE0CqkOc4q9oUmW1yo/edit?usp=sharing"",""นครสวรรค์!I312"")"),10)</f>
        <v>10</v>
      </c>
      <c r="J417" s="390">
        <f ca="1">IFERROR(__xludf.DUMMYFUNCTION("IMPORTRANGE(""https://docs.google.com/spreadsheets/d/11923uPwbBZFjjGgGUA6NLw09EwE0CqkOc4q9oUmW1yo/edit?usp=sharing"",""นครสวรรค์!J312"")"),10)</f>
        <v>10</v>
      </c>
      <c r="K417" s="201">
        <f t="shared" ca="1" si="113"/>
        <v>100</v>
      </c>
      <c r="L417" s="181"/>
      <c r="M417" s="181"/>
      <c r="N417" s="181"/>
      <c r="O417" s="181"/>
      <c r="P417" s="181"/>
    </row>
    <row r="418" spans="1:16" ht="21.75" customHeight="1" x14ac:dyDescent="0.45">
      <c r="A418" s="175"/>
      <c r="B418" s="176"/>
      <c r="C418" s="176"/>
      <c r="D418" s="193"/>
      <c r="E418" s="198"/>
      <c r="F418" s="195"/>
      <c r="G418" s="196"/>
      <c r="H418" s="199" t="s">
        <v>122</v>
      </c>
      <c r="I418" s="389">
        <f ca="1">IFERROR(__xludf.DUMMYFUNCTION("IMPORTRANGE(""https://docs.google.com/spreadsheets/d/11923uPwbBZFjjGgGUA6NLw09EwE0CqkOc4q9oUmW1yo/edit?usp=sharing"",""นครสวรรค์!I313"")"),30)</f>
        <v>30</v>
      </c>
      <c r="J418" s="391">
        <f ca="1">IFERROR(__xludf.DUMMYFUNCTION("IMPORTRANGE(""https://docs.google.com/spreadsheets/d/11923uPwbBZFjjGgGUA6NLw09EwE0CqkOc4q9oUmW1yo/edit?usp=sharing"",""นครสวรรค์!J313"")"),30)</f>
        <v>30</v>
      </c>
      <c r="K418" s="201">
        <f t="shared" ca="1" si="113"/>
        <v>100</v>
      </c>
      <c r="L418" s="181"/>
      <c r="M418" s="181"/>
      <c r="N418" s="181"/>
      <c r="O418" s="181"/>
      <c r="P418" s="181"/>
    </row>
    <row r="419" spans="1:16" ht="21.75" customHeight="1" x14ac:dyDescent="0.45">
      <c r="A419" s="175"/>
      <c r="B419" s="176"/>
      <c r="C419" s="176"/>
      <c r="D419" s="193"/>
      <c r="E419" s="198"/>
      <c r="F419" s="195"/>
      <c r="G419" s="225" t="s">
        <v>149</v>
      </c>
      <c r="H419" s="180" t="s">
        <v>37</v>
      </c>
      <c r="I419" s="339">
        <f ca="1">IFERROR(__xludf.DUMMYFUNCTION("IMPORTRANGE(""https://docs.google.com/spreadsheets/d/11923uPwbBZFjjGgGUA6NLw09EwE0CqkOc4q9oUmW1yo/edit?usp=sharing"",""นครสวรรค์!I314"")"),10)</f>
        <v>10</v>
      </c>
      <c r="J419" s="392">
        <f ca="1">IFERROR(__xludf.DUMMYFUNCTION("IMPORTRANGE(""https://docs.google.com/spreadsheets/d/11923uPwbBZFjjGgGUA6NLw09EwE0CqkOc4q9oUmW1yo/edit?usp=sharing"",""นครสวรรค์!J314"")"),10)</f>
        <v>10</v>
      </c>
      <c r="K419" s="163">
        <f t="shared" ca="1" si="113"/>
        <v>100</v>
      </c>
      <c r="L419" s="181"/>
      <c r="M419" s="181"/>
      <c r="N419" s="181"/>
      <c r="O419" s="181"/>
      <c r="P419" s="181"/>
    </row>
    <row r="420" spans="1:16" ht="21.75" customHeight="1" x14ac:dyDescent="0.45">
      <c r="A420" s="233"/>
      <c r="B420" s="234"/>
      <c r="C420" s="234"/>
      <c r="D420" s="393"/>
      <c r="E420" s="394"/>
      <c r="F420" s="345"/>
      <c r="G420" s="395" t="s">
        <v>150</v>
      </c>
      <c r="H420" s="347" t="s">
        <v>37</v>
      </c>
      <c r="I420" s="396">
        <f ca="1">IFERROR(__xludf.DUMMYFUNCTION("IMPORTRANGE(""https://docs.google.com/spreadsheets/d/11923uPwbBZFjjGgGUA6NLw09EwE0CqkOc4q9oUmW1yo/edit?usp=sharing"",""นครสวรรค์!I315"")"),10)</f>
        <v>10</v>
      </c>
      <c r="J420" s="392">
        <f ca="1">IFERROR(__xludf.DUMMYFUNCTION("IMPORTRANGE(""https://docs.google.com/spreadsheets/d/11923uPwbBZFjjGgGUA6NLw09EwE0CqkOc4q9oUmW1yo/edit?usp=sharing"",""นครสวรรค์!J315"")"),10)</f>
        <v>10</v>
      </c>
      <c r="K420" s="286">
        <f t="shared" ca="1" si="113"/>
        <v>100</v>
      </c>
      <c r="L420" s="244"/>
      <c r="M420" s="244"/>
      <c r="N420" s="244"/>
      <c r="O420" s="244"/>
      <c r="P420" s="244"/>
    </row>
    <row r="421" spans="1:16" ht="21.75" customHeight="1" x14ac:dyDescent="0.45">
      <c r="A421" s="175"/>
      <c r="B421" s="176"/>
      <c r="C421" s="176"/>
      <c r="D421" s="193"/>
      <c r="E421" s="198"/>
      <c r="F421" s="388" t="s">
        <v>151</v>
      </c>
      <c r="G421" s="196"/>
      <c r="H421" s="199" t="s">
        <v>37</v>
      </c>
      <c r="I421" s="389">
        <f ca="1">IFERROR(__xludf.DUMMYFUNCTION("IMPORTRANGE(""https://docs.google.com/spreadsheets/d/11923uPwbBZFjjGgGUA6NLw09EwE0CqkOc4q9oUmW1yo/edit?usp=sharing"",""นครสวรรค์!I316"")"),25)</f>
        <v>25</v>
      </c>
      <c r="J421" s="390">
        <f ca="1">IFERROR(__xludf.DUMMYFUNCTION("IMPORTRANGE(""https://docs.google.com/spreadsheets/d/11923uPwbBZFjjGgGUA6NLw09EwE0CqkOc4q9oUmW1yo/edit?usp=sharing"",""นครสวรรค์!J316"")"),25)</f>
        <v>25</v>
      </c>
      <c r="K421" s="201">
        <f t="shared" ca="1" si="113"/>
        <v>100</v>
      </c>
      <c r="L421" s="181"/>
      <c r="M421" s="181"/>
      <c r="N421" s="181"/>
      <c r="O421" s="181"/>
      <c r="P421" s="181"/>
    </row>
    <row r="422" spans="1:16" ht="21.75" customHeight="1" x14ac:dyDescent="0.45">
      <c r="A422" s="175"/>
      <c r="B422" s="176"/>
      <c r="C422" s="176"/>
      <c r="D422" s="193"/>
      <c r="E422" s="198"/>
      <c r="F422" s="195"/>
      <c r="G422" s="196"/>
      <c r="H422" s="199" t="s">
        <v>122</v>
      </c>
      <c r="I422" s="389">
        <f ca="1">IFERROR(__xludf.DUMMYFUNCTION("IMPORTRANGE(""https://docs.google.com/spreadsheets/d/11923uPwbBZFjjGgGUA6NLw09EwE0CqkOc4q9oUmW1yo/edit?usp=sharing"",""นครสวรรค์!I317"")"),75)</f>
        <v>75</v>
      </c>
      <c r="J422" s="391">
        <f ca="1">IFERROR(__xludf.DUMMYFUNCTION("IMPORTRANGE(""https://docs.google.com/spreadsheets/d/11923uPwbBZFjjGgGUA6NLw09EwE0CqkOc4q9oUmW1yo/edit?usp=sharing"",""นครสวรรค์!J317"")"),75)</f>
        <v>75</v>
      </c>
      <c r="K422" s="201">
        <f t="shared" ca="1" si="113"/>
        <v>100</v>
      </c>
      <c r="L422" s="181"/>
      <c r="M422" s="181"/>
      <c r="N422" s="181"/>
      <c r="O422" s="181"/>
      <c r="P422" s="181"/>
    </row>
    <row r="423" spans="1:16" ht="21.75" customHeight="1" x14ac:dyDescent="0.45">
      <c r="A423" s="175"/>
      <c r="B423" s="176"/>
      <c r="C423" s="176"/>
      <c r="D423" s="193"/>
      <c r="E423" s="198"/>
      <c r="F423" s="195"/>
      <c r="G423" s="225" t="s">
        <v>152</v>
      </c>
      <c r="H423" s="180" t="s">
        <v>37</v>
      </c>
      <c r="I423" s="339">
        <f ca="1">IFERROR(__xludf.DUMMYFUNCTION("IMPORTRANGE(""https://docs.google.com/spreadsheets/d/11923uPwbBZFjjGgGUA6NLw09EwE0CqkOc4q9oUmW1yo/edit?usp=sharing"",""นครสวรรค์!I318"")"),25)</f>
        <v>25</v>
      </c>
      <c r="J423" s="392">
        <f ca="1">IFERROR(__xludf.DUMMYFUNCTION("IMPORTRANGE(""https://docs.google.com/spreadsheets/d/11923uPwbBZFjjGgGUA6NLw09EwE0CqkOc4q9oUmW1yo/edit?usp=sharing"",""นครสวรรค์!J318"")"),25)</f>
        <v>25</v>
      </c>
      <c r="K423" s="163">
        <f t="shared" ca="1" si="113"/>
        <v>100</v>
      </c>
      <c r="L423" s="181"/>
      <c r="M423" s="181"/>
      <c r="N423" s="181"/>
      <c r="O423" s="181"/>
      <c r="P423" s="181"/>
    </row>
    <row r="424" spans="1:16" ht="21.75" customHeight="1" x14ac:dyDescent="0.45">
      <c r="A424" s="175"/>
      <c r="B424" s="176"/>
      <c r="C424" s="176"/>
      <c r="D424" s="193"/>
      <c r="E424" s="198"/>
      <c r="F424" s="195"/>
      <c r="G424" s="225" t="s">
        <v>153</v>
      </c>
      <c r="H424" s="180" t="s">
        <v>37</v>
      </c>
      <c r="I424" s="339">
        <f ca="1">IFERROR(__xludf.DUMMYFUNCTION("IMPORTRANGE(""https://docs.google.com/spreadsheets/d/11923uPwbBZFjjGgGUA6NLw09EwE0CqkOc4q9oUmW1yo/edit?usp=sharing"",""นครสวรรค์!I319"")"),25)</f>
        <v>25</v>
      </c>
      <c r="J424" s="392">
        <f ca="1">IFERROR(__xludf.DUMMYFUNCTION("IMPORTRANGE(""https://docs.google.com/spreadsheets/d/11923uPwbBZFjjGgGUA6NLw09EwE0CqkOc4q9oUmW1yo/edit?usp=sharing"",""นครสวรรค์!J319"")"),25)</f>
        <v>25</v>
      </c>
      <c r="K424" s="163">
        <f t="shared" ca="1" si="113"/>
        <v>100</v>
      </c>
      <c r="L424" s="181"/>
      <c r="M424" s="181"/>
      <c r="N424" s="181"/>
      <c r="O424" s="181"/>
      <c r="P424" s="181"/>
    </row>
    <row r="425" spans="1:16" ht="21.75" customHeight="1" x14ac:dyDescent="0.45">
      <c r="A425" s="175"/>
      <c r="B425" s="176"/>
      <c r="C425" s="176"/>
      <c r="D425" s="193"/>
      <c r="E425" s="198"/>
      <c r="F425" s="195"/>
      <c r="G425" s="225" t="s">
        <v>154</v>
      </c>
      <c r="H425" s="180" t="s">
        <v>37</v>
      </c>
      <c r="I425" s="339">
        <f ca="1">IFERROR(__xludf.DUMMYFUNCTION("IMPORTRANGE(""https://docs.google.com/spreadsheets/d/11923uPwbBZFjjGgGUA6NLw09EwE0CqkOc4q9oUmW1yo/edit?usp=sharing"",""นครสวรรค์!I320"")"),25)</f>
        <v>25</v>
      </c>
      <c r="J425" s="392">
        <f ca="1">IFERROR(__xludf.DUMMYFUNCTION("IMPORTRANGE(""https://docs.google.com/spreadsheets/d/11923uPwbBZFjjGgGUA6NLw09EwE0CqkOc4q9oUmW1yo/edit?usp=sharing"",""นครสวรรค์!J320"")"),25)</f>
        <v>25</v>
      </c>
      <c r="K425" s="163">
        <f t="shared" ca="1" si="113"/>
        <v>100</v>
      </c>
      <c r="L425" s="181"/>
      <c r="M425" s="181"/>
      <c r="N425" s="181"/>
      <c r="O425" s="181"/>
      <c r="P425" s="181"/>
    </row>
    <row r="426" spans="1:16" ht="21.75" customHeight="1" x14ac:dyDescent="0.45">
      <c r="A426" s="175"/>
      <c r="B426" s="176"/>
      <c r="C426" s="176"/>
      <c r="D426" s="193"/>
      <c r="E426" s="198"/>
      <c r="F426" s="397" t="s">
        <v>155</v>
      </c>
      <c r="G426" s="196"/>
      <c r="H426" s="199" t="s">
        <v>37</v>
      </c>
      <c r="I426" s="389">
        <f ca="1">IFERROR(__xludf.DUMMYFUNCTION("IMPORTRANGE(""https://docs.google.com/spreadsheets/d/11923uPwbBZFjjGgGUA6NLw09EwE0CqkOc4q9oUmW1yo/edit?usp=sharing"",""นครสวรรค์!I321"")"),10)</f>
        <v>10</v>
      </c>
      <c r="J426" s="390">
        <f ca="1">IFERROR(__xludf.DUMMYFUNCTION("IMPORTRANGE(""https://docs.google.com/spreadsheets/d/11923uPwbBZFjjGgGUA6NLw09EwE0CqkOc4q9oUmW1yo/edit?usp=sharing"",""นครสวรรค์!J321"")"),12)</f>
        <v>12</v>
      </c>
      <c r="K426" s="201">
        <f t="shared" ca="1" si="113"/>
        <v>120</v>
      </c>
      <c r="L426" s="181"/>
      <c r="M426" s="181"/>
      <c r="N426" s="181"/>
      <c r="O426" s="181"/>
      <c r="P426" s="181"/>
    </row>
    <row r="427" spans="1:16" ht="21.75" customHeight="1" x14ac:dyDescent="0.45">
      <c r="A427" s="175"/>
      <c r="B427" s="176"/>
      <c r="C427" s="176"/>
      <c r="D427" s="193"/>
      <c r="E427" s="198"/>
      <c r="F427" s="195"/>
      <c r="G427" s="196"/>
      <c r="H427" s="199" t="s">
        <v>122</v>
      </c>
      <c r="I427" s="389">
        <f ca="1">IFERROR(__xludf.DUMMYFUNCTION("IMPORTRANGE(""https://docs.google.com/spreadsheets/d/11923uPwbBZFjjGgGUA6NLw09EwE0CqkOc4q9oUmW1yo/edit?usp=sharing"",""นครสวรรค์!I322"")"),30)</f>
        <v>30</v>
      </c>
      <c r="J427" s="391">
        <f ca="1">IFERROR(__xludf.DUMMYFUNCTION("IMPORTRANGE(""https://docs.google.com/spreadsheets/d/11923uPwbBZFjjGgGUA6NLw09EwE0CqkOc4q9oUmW1yo/edit?usp=sharing"",""นครสวรรค์!J322"")"),36)</f>
        <v>36</v>
      </c>
      <c r="K427" s="201">
        <f t="shared" ca="1" si="113"/>
        <v>120</v>
      </c>
      <c r="L427" s="181"/>
      <c r="M427" s="181"/>
      <c r="N427" s="181"/>
      <c r="O427" s="181"/>
      <c r="P427" s="181"/>
    </row>
    <row r="428" spans="1:16" ht="21.75" customHeight="1" x14ac:dyDescent="0.45">
      <c r="A428" s="175"/>
      <c r="B428" s="176"/>
      <c r="C428" s="176"/>
      <c r="D428" s="193"/>
      <c r="E428" s="198"/>
      <c r="F428" s="195"/>
      <c r="G428" s="225" t="s">
        <v>156</v>
      </c>
      <c r="H428" s="180" t="s">
        <v>37</v>
      </c>
      <c r="I428" s="398">
        <f ca="1">IFERROR(__xludf.DUMMYFUNCTION("IMPORTRANGE(""https://docs.google.com/spreadsheets/d/11923uPwbBZFjjGgGUA6NLw09EwE0CqkOc4q9oUmW1yo/edit?usp=sharing"",""นครสวรรค์!I323"")"),10)</f>
        <v>10</v>
      </c>
      <c r="J428" s="392">
        <f ca="1">IFERROR(__xludf.DUMMYFUNCTION("IMPORTRANGE(""https://docs.google.com/spreadsheets/d/11923uPwbBZFjjGgGUA6NLw09EwE0CqkOc4q9oUmW1yo/edit?usp=sharing"",""นครสวรรค์!J323"")"),12)</f>
        <v>12</v>
      </c>
      <c r="K428" s="163">
        <f t="shared" ca="1" si="113"/>
        <v>120</v>
      </c>
      <c r="L428" s="181"/>
      <c r="M428" s="181"/>
      <c r="N428" s="181"/>
      <c r="O428" s="181"/>
      <c r="P428" s="181"/>
    </row>
    <row r="429" spans="1:16" ht="21.75" customHeight="1" x14ac:dyDescent="0.45">
      <c r="A429" s="175"/>
      <c r="B429" s="176"/>
      <c r="C429" s="176"/>
      <c r="D429" s="193"/>
      <c r="E429" s="198"/>
      <c r="F429" s="195"/>
      <c r="G429" s="225" t="s">
        <v>157</v>
      </c>
      <c r="H429" s="180" t="s">
        <v>37</v>
      </c>
      <c r="I429" s="398">
        <f ca="1">IFERROR(__xludf.DUMMYFUNCTION("IMPORTRANGE(""https://docs.google.com/spreadsheets/d/11923uPwbBZFjjGgGUA6NLw09EwE0CqkOc4q9oUmW1yo/edit?usp=sharing"",""นครสวรรค์!I324"")"),10)</f>
        <v>10</v>
      </c>
      <c r="J429" s="392">
        <f ca="1">IFERROR(__xludf.DUMMYFUNCTION("IMPORTRANGE(""https://docs.google.com/spreadsheets/d/11923uPwbBZFjjGgGUA6NLw09EwE0CqkOc4q9oUmW1yo/edit?usp=sharing"",""นครสวรรค์!J324"")"),12)</f>
        <v>12</v>
      </c>
      <c r="K429" s="163">
        <f t="shared" ca="1" si="113"/>
        <v>120</v>
      </c>
      <c r="L429" s="181"/>
      <c r="M429" s="181"/>
      <c r="N429" s="181"/>
      <c r="O429" s="181"/>
      <c r="P429" s="181"/>
    </row>
    <row r="430" spans="1:16" ht="21.75" customHeight="1" x14ac:dyDescent="0.45">
      <c r="A430" s="175"/>
      <c r="B430" s="176"/>
      <c r="C430" s="176"/>
      <c r="D430" s="193"/>
      <c r="E430" s="198"/>
      <c r="F430" s="194" t="s">
        <v>53</v>
      </c>
      <c r="G430" s="386"/>
      <c r="H430" s="399" t="s">
        <v>37</v>
      </c>
      <c r="I430" s="200">
        <f ca="1">IFERROR(__xludf.DUMMYFUNCTION("IMPORTRANGE(""https://docs.google.com/spreadsheets/d/11923uPwbBZFjjGgGUA6NLw09EwE0CqkOc4q9oUmW1yo/edit?usp=sharing"",""นครสวรรค์!I325"")"),35)</f>
        <v>35</v>
      </c>
      <c r="J430" s="390">
        <f ca="1">IFERROR(__xludf.DUMMYFUNCTION("IMPORTRANGE(""https://docs.google.com/spreadsheets/d/11923uPwbBZFjjGgGUA6NLw09EwE0CqkOc4q9oUmW1yo/edit?usp=sharing"",""นครสวรรค์!J325"")"),35)</f>
        <v>35</v>
      </c>
      <c r="K430" s="201">
        <f t="shared" ca="1" si="113"/>
        <v>100</v>
      </c>
      <c r="L430" s="181"/>
      <c r="M430" s="181"/>
      <c r="N430" s="181"/>
      <c r="O430" s="181"/>
      <c r="P430" s="181"/>
    </row>
    <row r="431" spans="1:16" ht="21.75" customHeight="1" x14ac:dyDescent="0.45">
      <c r="A431" s="400"/>
      <c r="B431" s="401"/>
      <c r="C431" s="401"/>
      <c r="D431" s="402"/>
      <c r="E431" s="198"/>
      <c r="F431" s="195"/>
      <c r="G431" s="225" t="s">
        <v>158</v>
      </c>
      <c r="H431" s="180" t="s">
        <v>37</v>
      </c>
      <c r="I431" s="398">
        <f ca="1">IFERROR(__xludf.DUMMYFUNCTION("IMPORTRANGE(""https://docs.google.com/spreadsheets/d/11923uPwbBZFjjGgGUA6NLw09EwE0CqkOc4q9oUmW1yo/edit?usp=sharing"",""นครสวรรค์!I326"")"),10)</f>
        <v>10</v>
      </c>
      <c r="J431" s="392">
        <f ca="1">IFERROR(__xludf.DUMMYFUNCTION("IMPORTRANGE(""https://docs.google.com/spreadsheets/d/11923uPwbBZFjjGgGUA6NLw09EwE0CqkOc4q9oUmW1yo/edit?usp=sharing"",""นครสวรรค์!J326"")"),10)</f>
        <v>10</v>
      </c>
      <c r="K431" s="163">
        <f t="shared" ca="1" si="113"/>
        <v>100</v>
      </c>
      <c r="L431" s="181"/>
      <c r="M431" s="181"/>
      <c r="N431" s="181"/>
      <c r="O431" s="181"/>
      <c r="P431" s="181"/>
    </row>
    <row r="432" spans="1:16" ht="21.75" customHeight="1" x14ac:dyDescent="0.45">
      <c r="A432" s="400"/>
      <c r="B432" s="401"/>
      <c r="C432" s="401"/>
      <c r="D432" s="402"/>
      <c r="E432" s="198"/>
      <c r="F432" s="195"/>
      <c r="G432" s="225" t="s">
        <v>159</v>
      </c>
      <c r="H432" s="180" t="s">
        <v>37</v>
      </c>
      <c r="I432" s="398">
        <f ca="1">IFERROR(__xludf.DUMMYFUNCTION("IMPORTRANGE(""https://docs.google.com/spreadsheets/d/11923uPwbBZFjjGgGUA6NLw09EwE0CqkOc4q9oUmW1yo/edit?usp=sharing"",""นครสวรรค์!I327"")"),25)</f>
        <v>25</v>
      </c>
      <c r="J432" s="392">
        <f ca="1">IFERROR(__xludf.DUMMYFUNCTION("IMPORTRANGE(""https://docs.google.com/spreadsheets/d/11923uPwbBZFjjGgGUA6NLw09EwE0CqkOc4q9oUmW1yo/edit?usp=sharing"",""นครสวรรค์!J327"")"),25)</f>
        <v>25</v>
      </c>
      <c r="K432" s="163">
        <f t="shared" ca="1" si="113"/>
        <v>100</v>
      </c>
      <c r="L432" s="181"/>
      <c r="M432" s="181"/>
      <c r="N432" s="181"/>
      <c r="O432" s="181"/>
      <c r="P432" s="181"/>
    </row>
    <row r="433" spans="1:16" ht="21.75" customHeight="1" x14ac:dyDescent="0.3">
      <c r="A433" s="175"/>
      <c r="B433" s="176"/>
      <c r="C433" s="176"/>
      <c r="D433" s="193"/>
      <c r="E433" s="194" t="s">
        <v>54</v>
      </c>
      <c r="F433" s="195"/>
      <c r="G433" s="196"/>
      <c r="H433" s="186"/>
      <c r="I433" s="187"/>
      <c r="J433" s="197">
        <f ca="1">IFERROR(__xludf.DUMMYFUNCTION("IMPORTRANGE(""https://docs.google.com/spreadsheets/d/11923uPwbBZFjjGgGUA6NLw09EwE0CqkOc4q9oUmW1yo/edit?usp=sharing"",""นครสวรรค์!J328"")"),0)</f>
        <v>0</v>
      </c>
      <c r="K433" s="163"/>
      <c r="L433" s="181"/>
      <c r="M433" s="181"/>
      <c r="N433" s="181"/>
      <c r="O433" s="181"/>
      <c r="P433" s="181"/>
    </row>
    <row r="434" spans="1:16" ht="21.75" customHeight="1" x14ac:dyDescent="0.3">
      <c r="A434" s="175"/>
      <c r="B434" s="176"/>
      <c r="C434" s="176"/>
      <c r="D434" s="205">
        <v>3</v>
      </c>
      <c r="E434" s="206" t="s">
        <v>55</v>
      </c>
      <c r="F434" s="207"/>
      <c r="G434" s="208"/>
      <c r="H434" s="186"/>
      <c r="I434" s="187"/>
      <c r="J434" s="209">
        <f ca="1">IFERROR(__xludf.DUMMYFUNCTION("IMPORTRANGE(""https://docs.google.com/spreadsheets/d/11923uPwbBZFjjGgGUA6NLw09EwE0CqkOc4q9oUmW1yo/edit?usp=sharing"",""นครสวรรค์!J329"")"),0)</f>
        <v>0</v>
      </c>
      <c r="K434" s="163"/>
      <c r="L434" s="181"/>
      <c r="M434" s="181"/>
      <c r="N434" s="181"/>
      <c r="O434" s="181"/>
      <c r="P434" s="181"/>
    </row>
    <row r="435" spans="1:16" ht="21.75" customHeight="1" x14ac:dyDescent="0.3">
      <c r="A435" s="403"/>
      <c r="B435" s="404">
        <v>4</v>
      </c>
      <c r="C435" s="404" t="s">
        <v>160</v>
      </c>
      <c r="D435" s="405"/>
      <c r="E435" s="405"/>
      <c r="F435" s="405"/>
      <c r="G435" s="406"/>
      <c r="H435" s="407" t="s">
        <v>37</v>
      </c>
      <c r="I435" s="408">
        <f ca="1">IFERROR(__xludf.DUMMYFUNCTION("IMPORTRANGE(""https://docs.google.com/spreadsheets/d/11923uPwbBZFjjGgGUA6NLw09EwE0CqkOc4q9oUmW1yo/edit?usp=sharing"",""นครสวรรค์!I330"")"),15)</f>
        <v>15</v>
      </c>
      <c r="J435" s="408">
        <f ca="1">IFERROR(__xludf.DUMMYFUNCTION("IMPORTRANGE(""https://docs.google.com/spreadsheets/d/11923uPwbBZFjjGgGUA6NLw09EwE0CqkOc4q9oUmW1yo/edit?usp=sharing"",""นครสวรรค์!J330"")"),15)</f>
        <v>15</v>
      </c>
      <c r="K435" s="409">
        <f ca="1">IF(I435&gt;0,J435*100/I435,0)</f>
        <v>100</v>
      </c>
      <c r="L435" s="410">
        <f ca="1">IFERROR(__xludf.DUMMYFUNCTION("IMPORTRANGE(""https://docs.google.com/spreadsheets/d/11923uPwbBZFjjGgGUA6NLw09EwE0CqkOc4q9oUmW1yo/edit?usp=sharing"",""นครสวรรค์!L330"")"),83000)</f>
        <v>83000</v>
      </c>
      <c r="M435" s="410"/>
      <c r="N435" s="410">
        <f ca="1">IFERROR(__xludf.DUMMYFUNCTION("IMPORTRANGE(""https://docs.google.com/spreadsheets/d/11923uPwbBZFjjGgGUA6NLw09EwE0CqkOc4q9oUmW1yo/edit?usp=sharing"",""นครสวรรค์!M330"")"),68902)</f>
        <v>68902</v>
      </c>
      <c r="O435" s="410">
        <f t="shared" ref="O435:O439" ca="1" si="114">+IF(L435&gt;0,N435*100/L435,0)</f>
        <v>83.014457831325302</v>
      </c>
      <c r="P435" s="410"/>
    </row>
    <row r="436" spans="1:16" ht="21.75" customHeight="1" x14ac:dyDescent="0.3">
      <c r="A436" s="156"/>
      <c r="B436" s="157"/>
      <c r="C436" s="157" t="s">
        <v>16</v>
      </c>
      <c r="D436" s="158" t="s">
        <v>38</v>
      </c>
      <c r="E436" s="159"/>
      <c r="F436" s="159"/>
      <c r="G436" s="160" t="s">
        <v>39</v>
      </c>
      <c r="H436" s="161" t="s">
        <v>12</v>
      </c>
      <c r="I436" s="162" t="s">
        <v>40</v>
      </c>
      <c r="J436" s="162"/>
      <c r="K436" s="163"/>
      <c r="L436" s="164">
        <f ca="1">IFERROR(__xludf.DUMMYFUNCTION("IMPORTRANGE(""https://docs.google.com/spreadsheets/d/11923uPwbBZFjjGgGUA6NLw09EwE0CqkOc4q9oUmW1yo/edit?usp=sharing"",""นครสวรรค์!L331"")"),0)</f>
        <v>0</v>
      </c>
      <c r="M436" s="164"/>
      <c r="N436" s="168">
        <f ca="1">IFERROR(__xludf.DUMMYFUNCTION("IMPORTRANGE(""https://docs.google.com/spreadsheets/d/11923uPwbBZFjjGgGUA6NLw09EwE0CqkOc4q9oUmW1yo/edit?usp=sharing"",""นครสวรรค์!M331"")"),0)</f>
        <v>0</v>
      </c>
      <c r="O436" s="168">
        <f t="shared" ca="1" si="114"/>
        <v>0</v>
      </c>
      <c r="P436" s="168"/>
    </row>
    <row r="437" spans="1:16" ht="21.75" customHeight="1" x14ac:dyDescent="0.3">
      <c r="A437" s="156"/>
      <c r="B437" s="157"/>
      <c r="C437" s="157"/>
      <c r="D437" s="166"/>
      <c r="E437" s="159"/>
      <c r="F437" s="159" t="s">
        <v>40</v>
      </c>
      <c r="G437" s="160" t="s">
        <v>41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IFERROR(__xludf.DUMMYFUNCTION("IMPORTRANGE(""https://docs.google.com/spreadsheets/d/11923uPwbBZFjjGgGUA6NLw09EwE0CqkOc4q9oUmW1yo/edit?usp=sharing"",""นครสวรรค์!L332"")"),83000)</f>
        <v>83000</v>
      </c>
      <c r="M437" s="165"/>
      <c r="N437" s="168">
        <f ca="1">IFERROR(__xludf.DUMMYFUNCTION("IMPORTRANGE(""https://docs.google.com/spreadsheets/d/11923uPwbBZFjjGgGUA6NLw09EwE0CqkOc4q9oUmW1yo/edit?usp=sharing"",""นครสวรรค์!M332"")"),68902)</f>
        <v>68902</v>
      </c>
      <c r="O437" s="168">
        <f t="shared" ca="1" si="114"/>
        <v>83.014457831325302</v>
      </c>
      <c r="P437" s="168"/>
    </row>
    <row r="438" spans="1:16" ht="21.75" customHeight="1" x14ac:dyDescent="0.3">
      <c r="A438" s="156"/>
      <c r="B438" s="157"/>
      <c r="C438" s="157"/>
      <c r="D438" s="166"/>
      <c r="E438" s="159"/>
      <c r="F438" s="159"/>
      <c r="G438" s="372" t="s">
        <v>129</v>
      </c>
      <c r="H438" s="161" t="s">
        <v>12</v>
      </c>
      <c r="I438" s="162"/>
      <c r="J438" s="162"/>
      <c r="K438" s="163"/>
      <c r="L438" s="168">
        <f ca="1">IFERROR(__xludf.DUMMYFUNCTION("IMPORTRANGE(""https://docs.google.com/spreadsheets/d/11923uPwbBZFjjGgGUA6NLw09EwE0CqkOc4q9oUmW1yo/edit?usp=sharing"",""นครสวรรค์!L333"")"),0)</f>
        <v>0</v>
      </c>
      <c r="M438" s="168"/>
      <c r="N438" s="168">
        <f ca="1">IFERROR(__xludf.DUMMYFUNCTION("IMPORTRANGE(""https://docs.google.com/spreadsheets/d/11923uPwbBZFjjGgGUA6NLw09EwE0CqkOc4q9oUmW1yo/edit?usp=sharing"",""นครสวรรค์!M333"")"),0)</f>
        <v>0</v>
      </c>
      <c r="O438" s="168">
        <f t="shared" ca="1" si="114"/>
        <v>0</v>
      </c>
      <c r="P438" s="168"/>
    </row>
    <row r="439" spans="1:16" ht="21.75" customHeight="1" x14ac:dyDescent="0.3">
      <c r="A439" s="156"/>
      <c r="B439" s="157"/>
      <c r="C439" s="157"/>
      <c r="D439" s="166"/>
      <c r="E439" s="159"/>
      <c r="F439" s="159"/>
      <c r="G439" s="372" t="s">
        <v>130</v>
      </c>
      <c r="H439" s="161" t="s">
        <v>12</v>
      </c>
      <c r="I439" s="162"/>
      <c r="J439" s="162"/>
      <c r="K439" s="163"/>
      <c r="L439" s="168">
        <f ca="1">IFERROR(__xludf.DUMMYFUNCTION("IMPORTRANGE(""https://docs.google.com/spreadsheets/d/11923uPwbBZFjjGgGUA6NLw09EwE0CqkOc4q9oUmW1yo/edit?usp=sharing"",""นครสวรรค์!L334"")"),83000)</f>
        <v>83000</v>
      </c>
      <c r="M439" s="168"/>
      <c r="N439" s="168">
        <f ca="1">IFERROR(__xludf.DUMMYFUNCTION("IMPORTRANGE(""https://docs.google.com/spreadsheets/d/11923uPwbBZFjjGgGUA6NLw09EwE0CqkOc4q9oUmW1yo/edit?usp=sharing"",""นครสวรรค์!M334"")"),68902)</f>
        <v>68902</v>
      </c>
      <c r="O439" s="168">
        <f t="shared" ca="1" si="114"/>
        <v>83.014457831325302</v>
      </c>
      <c r="P439" s="168"/>
    </row>
    <row r="440" spans="1:16" ht="21.75" customHeight="1" x14ac:dyDescent="0.3">
      <c r="A440" s="373"/>
      <c r="B440" s="374"/>
      <c r="C440" s="157"/>
      <c r="D440" s="375"/>
      <c r="E440" s="159"/>
      <c r="F440" s="159"/>
      <c r="G440" s="376" t="s">
        <v>131</v>
      </c>
      <c r="H440" s="161" t="s">
        <v>12</v>
      </c>
      <c r="I440" s="187"/>
      <c r="J440" s="187"/>
      <c r="K440" s="223"/>
      <c r="L440" s="168"/>
      <c r="M440" s="168"/>
      <c r="N440" s="377">
        <f ca="1">IFERROR(__xludf.DUMMYFUNCTION("IMPORTRANGE(""https://docs.google.com/spreadsheets/d/11923uPwbBZFjjGgGUA6NLw09EwE0CqkOc4q9oUmW1yo/edit?usp=sharing"",""นครสวรรค์!M335"")"),31782)</f>
        <v>31782</v>
      </c>
      <c r="O440" s="168"/>
      <c r="P440" s="168"/>
    </row>
    <row r="441" spans="1:16" ht="21.75" customHeight="1" x14ac:dyDescent="0.3">
      <c r="A441" s="373"/>
      <c r="B441" s="374"/>
      <c r="C441" s="157"/>
      <c r="D441" s="375"/>
      <c r="E441" s="159"/>
      <c r="F441" s="159"/>
      <c r="G441" s="376" t="s">
        <v>132</v>
      </c>
      <c r="H441" s="161" t="s">
        <v>12</v>
      </c>
      <c r="I441" s="187"/>
      <c r="J441" s="187"/>
      <c r="K441" s="223"/>
      <c r="L441" s="168"/>
      <c r="M441" s="168"/>
      <c r="N441" s="377">
        <f ca="1">IFERROR(__xludf.DUMMYFUNCTION("IMPORTRANGE(""https://docs.google.com/spreadsheets/d/11923uPwbBZFjjGgGUA6NLw09EwE0CqkOc4q9oUmW1yo/edit?usp=sharing"",""นครสวรรค์!M336"")"),0)</f>
        <v>0</v>
      </c>
      <c r="O441" s="168"/>
      <c r="P441" s="168"/>
    </row>
    <row r="442" spans="1:16" ht="21.75" customHeight="1" x14ac:dyDescent="0.3">
      <c r="A442" s="373"/>
      <c r="B442" s="374"/>
      <c r="C442" s="157"/>
      <c r="D442" s="375"/>
      <c r="E442" s="159"/>
      <c r="F442" s="159"/>
      <c r="G442" s="376" t="s">
        <v>133</v>
      </c>
      <c r="H442" s="161" t="s">
        <v>12</v>
      </c>
      <c r="I442" s="187"/>
      <c r="J442" s="187"/>
      <c r="K442" s="223"/>
      <c r="L442" s="168"/>
      <c r="M442" s="168"/>
      <c r="N442" s="377">
        <f ca="1">IFERROR(__xludf.DUMMYFUNCTION("IMPORTRANGE(""https://docs.google.com/spreadsheets/d/11923uPwbBZFjjGgGUA6NLw09EwE0CqkOc4q9oUmW1yo/edit?usp=sharing"",""นครสวรรค์!M337"")"),0)</f>
        <v>0</v>
      </c>
      <c r="O442" s="168"/>
      <c r="P442" s="168"/>
    </row>
    <row r="443" spans="1:16" ht="21.75" customHeight="1" x14ac:dyDescent="0.3">
      <c r="A443" s="373"/>
      <c r="B443" s="374"/>
      <c r="C443" s="157"/>
      <c r="D443" s="375"/>
      <c r="E443" s="159"/>
      <c r="F443" s="159"/>
      <c r="G443" s="376" t="s">
        <v>134</v>
      </c>
      <c r="H443" s="161" t="s">
        <v>12</v>
      </c>
      <c r="I443" s="187"/>
      <c r="J443" s="187"/>
      <c r="K443" s="223"/>
      <c r="L443" s="168"/>
      <c r="M443" s="168"/>
      <c r="N443" s="377">
        <f ca="1">IFERROR(__xludf.DUMMYFUNCTION("IMPORTRANGE(""https://docs.google.com/spreadsheets/d/11923uPwbBZFjjGgGUA6NLw09EwE0CqkOc4q9oUmW1yo/edit?usp=sharing"",""นครสวรรค์!M338"")"),37120)</f>
        <v>37120</v>
      </c>
      <c r="O443" s="168"/>
      <c r="P443" s="168"/>
    </row>
    <row r="444" spans="1:16" ht="21.75" customHeight="1" x14ac:dyDescent="0.3">
      <c r="A444" s="175"/>
      <c r="B444" s="176"/>
      <c r="C444" s="157" t="s">
        <v>16</v>
      </c>
      <c r="D444" s="177" t="s">
        <v>44</v>
      </c>
      <c r="E444" s="178"/>
      <c r="F444" s="178"/>
      <c r="G444" s="179"/>
      <c r="H444" s="180"/>
      <c r="I444" s="162"/>
      <c r="J444" s="162"/>
      <c r="K444" s="163"/>
      <c r="L444" s="181"/>
      <c r="M444" s="181"/>
      <c r="N444" s="181"/>
      <c r="O444" s="181"/>
      <c r="P444" s="181"/>
    </row>
    <row r="445" spans="1:16" ht="21.75" customHeight="1" x14ac:dyDescent="0.3">
      <c r="A445" s="175"/>
      <c r="B445" s="176"/>
      <c r="C445" s="176"/>
      <c r="D445" s="182">
        <v>1</v>
      </c>
      <c r="E445" s="183" t="s">
        <v>45</v>
      </c>
      <c r="F445" s="184"/>
      <c r="G445" s="185"/>
      <c r="H445" s="186"/>
      <c r="I445" s="187"/>
      <c r="J445" s="209">
        <f ca="1">IFERROR(__xludf.DUMMYFUNCTION("IMPORTRANGE(""https://docs.google.com/spreadsheets/d/11923uPwbBZFjjGgGUA6NLw09EwE0CqkOc4q9oUmW1yo/edit?usp=sharing"",""นครสวรรค์!J340"")"),0)</f>
        <v>0</v>
      </c>
      <c r="K445" s="163"/>
      <c r="L445" s="181"/>
      <c r="M445" s="181"/>
      <c r="N445" s="181"/>
      <c r="O445" s="181"/>
      <c r="P445" s="181"/>
    </row>
    <row r="446" spans="1:16" ht="21.75" customHeight="1" x14ac:dyDescent="0.3">
      <c r="A446" s="175"/>
      <c r="B446" s="176"/>
      <c r="C446" s="176"/>
      <c r="D446" s="189">
        <v>2</v>
      </c>
      <c r="E446" s="190" t="s">
        <v>46</v>
      </c>
      <c r="F446" s="191"/>
      <c r="G446" s="192"/>
      <c r="H446" s="186"/>
      <c r="I446" s="187"/>
      <c r="J446" s="411">
        <f ca="1">IFERROR(__xludf.DUMMYFUNCTION("IMPORTRANGE(""https://docs.google.com/spreadsheets/d/11923uPwbBZFjjGgGUA6NLw09EwE0CqkOc4q9oUmW1yo/edit?usp=sharing"",""นครสวรรค์!J341"")"),1)</f>
        <v>1</v>
      </c>
      <c r="K446" s="163"/>
      <c r="L446" s="181" t="s">
        <v>40</v>
      </c>
      <c r="M446" s="181"/>
      <c r="N446" s="181" t="s">
        <v>40</v>
      </c>
      <c r="O446" s="181"/>
      <c r="P446" s="181"/>
    </row>
    <row r="447" spans="1:16" ht="21.75" customHeight="1" x14ac:dyDescent="0.3">
      <c r="A447" s="175"/>
      <c r="B447" s="176"/>
      <c r="C447" s="176"/>
      <c r="D447" s="193"/>
      <c r="E447" s="194" t="s">
        <v>161</v>
      </c>
      <c r="F447" s="195"/>
      <c r="G447" s="196"/>
      <c r="H447" s="186"/>
      <c r="I447" s="187"/>
      <c r="J447" s="188">
        <f ca="1">IFERROR(__xludf.DUMMYFUNCTION("IMPORTRANGE(""https://docs.google.com/spreadsheets/d/11923uPwbBZFjjGgGUA6NLw09EwE0CqkOc4q9oUmW1yo/edit?usp=sharing"",""นครสวรรค์!J342"")"),1)</f>
        <v>1</v>
      </c>
      <c r="K447" s="163"/>
      <c r="L447" s="181"/>
      <c r="M447" s="181"/>
      <c r="N447" s="181"/>
      <c r="O447" s="181"/>
      <c r="P447" s="181"/>
    </row>
    <row r="448" spans="1:16" ht="21.75" customHeight="1" x14ac:dyDescent="0.3">
      <c r="A448" s="175"/>
      <c r="B448" s="176"/>
      <c r="C448" s="176"/>
      <c r="D448" s="193"/>
      <c r="E448" s="194" t="s">
        <v>48</v>
      </c>
      <c r="F448" s="195"/>
      <c r="G448" s="196"/>
      <c r="H448" s="186"/>
      <c r="I448" s="187"/>
      <c r="J448" s="188">
        <f ca="1">IFERROR(__xludf.DUMMYFUNCTION("IMPORTRANGE(""https://docs.google.com/spreadsheets/d/11923uPwbBZFjjGgGUA6NLw09EwE0CqkOc4q9oUmW1yo/edit?usp=sharing"",""นครสวรรค์!J343"")"),1)</f>
        <v>1</v>
      </c>
      <c r="K448" s="163"/>
      <c r="L448" s="181"/>
      <c r="M448" s="181"/>
      <c r="N448" s="181"/>
      <c r="O448" s="181"/>
      <c r="P448" s="181"/>
    </row>
    <row r="449" spans="1:16" ht="21.75" customHeight="1" x14ac:dyDescent="0.3">
      <c r="A449" s="175"/>
      <c r="B449" s="176"/>
      <c r="C449" s="176"/>
      <c r="D449" s="193"/>
      <c r="E449" s="198"/>
      <c r="F449" s="412" t="s">
        <v>101</v>
      </c>
      <c r="G449" s="196"/>
      <c r="H449" s="186" t="s">
        <v>37</v>
      </c>
      <c r="I449" s="389">
        <f ca="1">IFERROR(__xludf.DUMMYFUNCTION("IMPORTRANGE(""https://docs.google.com/spreadsheets/d/11923uPwbBZFjjGgGUA6NLw09EwE0CqkOc4q9oUmW1yo/edit?usp=sharing"",""นครสวรรค์!I344"")"),15)</f>
        <v>15</v>
      </c>
      <c r="J449" s="200">
        <f ca="1">IFERROR(__xludf.DUMMYFUNCTION("IMPORTRANGE(""https://docs.google.com/spreadsheets/d/11923uPwbBZFjjGgGUA6NLw09EwE0CqkOc4q9oUmW1yo/edit?usp=sharing"",""นครสวรรค์!J344"")"),15)</f>
        <v>15</v>
      </c>
      <c r="K449" s="163">
        <f t="shared" ref="K449:K452" ca="1" si="115">IF(I449&gt;0,J449*100/I449,0)</f>
        <v>100</v>
      </c>
      <c r="L449" s="181"/>
      <c r="M449" s="181"/>
      <c r="N449" s="181"/>
      <c r="O449" s="181"/>
      <c r="P449" s="181"/>
    </row>
    <row r="450" spans="1:16" ht="21.75" customHeight="1" x14ac:dyDescent="0.3">
      <c r="A450" s="175"/>
      <c r="B450" s="176"/>
      <c r="C450" s="176"/>
      <c r="D450" s="193"/>
      <c r="E450" s="198"/>
      <c r="F450" s="195"/>
      <c r="G450" s="225" t="s">
        <v>162</v>
      </c>
      <c r="H450" s="186" t="s">
        <v>37</v>
      </c>
      <c r="I450" s="339">
        <f ca="1">IFERROR(__xludf.DUMMYFUNCTION("IMPORTRANGE(""https://docs.google.com/spreadsheets/d/11923uPwbBZFjjGgGUA6NLw09EwE0CqkOc4q9oUmW1yo/edit?usp=sharing"",""นครสวรรค์!I345"")"),15)</f>
        <v>15</v>
      </c>
      <c r="J450" s="188">
        <f ca="1">IFERROR(__xludf.DUMMYFUNCTION("IMPORTRANGE(""https://docs.google.com/spreadsheets/d/11923uPwbBZFjjGgGUA6NLw09EwE0CqkOc4q9oUmW1yo/edit?usp=sharing"",""นครสวรรค์!J345"")"),15)</f>
        <v>15</v>
      </c>
      <c r="K450" s="163">
        <f t="shared" ca="1" si="115"/>
        <v>100</v>
      </c>
      <c r="L450" s="181"/>
      <c r="M450" s="181"/>
      <c r="N450" s="181"/>
      <c r="O450" s="181"/>
      <c r="P450" s="181"/>
    </row>
    <row r="451" spans="1:16" ht="21.75" customHeight="1" x14ac:dyDescent="0.3">
      <c r="A451" s="175"/>
      <c r="B451" s="176"/>
      <c r="C451" s="176"/>
      <c r="D451" s="193"/>
      <c r="E451" s="198"/>
      <c r="F451" s="195"/>
      <c r="G451" s="279" t="s">
        <v>163</v>
      </c>
      <c r="H451" s="186" t="s">
        <v>37</v>
      </c>
      <c r="I451" s="339">
        <f ca="1">IFERROR(__xludf.DUMMYFUNCTION("IMPORTRANGE(""https://docs.google.com/spreadsheets/d/11923uPwbBZFjjGgGUA6NLw09EwE0CqkOc4q9oUmW1yo/edit?usp=sharing"",""นครสวรรค์!I346"")"),0)</f>
        <v>0</v>
      </c>
      <c r="J451" s="187">
        <f ca="1">IFERROR(__xludf.DUMMYFUNCTION("IMPORTRANGE(""https://docs.google.com/spreadsheets/d/11923uPwbBZFjjGgGUA6NLw09EwE0CqkOc4q9oUmW1yo/edit?usp=sharing"",""นครสวรรค์!J346"")"),0)</f>
        <v>0</v>
      </c>
      <c r="K451" s="163">
        <f t="shared" ca="1" si="115"/>
        <v>0</v>
      </c>
      <c r="L451" s="181"/>
      <c r="M451" s="181"/>
      <c r="N451" s="181"/>
      <c r="O451" s="181"/>
      <c r="P451" s="181"/>
    </row>
    <row r="452" spans="1:16" ht="21.75" customHeight="1" x14ac:dyDescent="0.3">
      <c r="A452" s="175"/>
      <c r="B452" s="176"/>
      <c r="C452" s="176"/>
      <c r="D452" s="193"/>
      <c r="E452" s="198"/>
      <c r="F452" s="195"/>
      <c r="G452" s="196" t="s">
        <v>164</v>
      </c>
      <c r="H452" s="186" t="s">
        <v>37</v>
      </c>
      <c r="I452" s="187">
        <f ca="1">IFERROR(__xludf.DUMMYFUNCTION("IMPORTRANGE(""https://docs.google.com/spreadsheets/d/11923uPwbBZFjjGgGUA6NLw09EwE0CqkOc4q9oUmW1yo/edit?usp=sharing"",""นครสวรรค์!I347"")"),0)</f>
        <v>0</v>
      </c>
      <c r="J452" s="187">
        <f ca="1">IFERROR(__xludf.DUMMYFUNCTION("IMPORTRANGE(""https://docs.google.com/spreadsheets/d/11923uPwbBZFjjGgGUA6NLw09EwE0CqkOc4q9oUmW1yo/edit?usp=sharing"",""นครสวรรค์!J347"")"),0)</f>
        <v>0</v>
      </c>
      <c r="K452" s="163">
        <f t="shared" ca="1" si="115"/>
        <v>0</v>
      </c>
      <c r="L452" s="181"/>
      <c r="M452" s="181"/>
      <c r="N452" s="181"/>
      <c r="O452" s="181"/>
      <c r="P452" s="181"/>
    </row>
    <row r="453" spans="1:16" ht="21.75" customHeight="1" x14ac:dyDescent="0.3">
      <c r="A453" s="175"/>
      <c r="B453" s="176"/>
      <c r="C453" s="176"/>
      <c r="D453" s="193"/>
      <c r="E453" s="194" t="s">
        <v>54</v>
      </c>
      <c r="F453" s="195"/>
      <c r="G453" s="196"/>
      <c r="H453" s="186"/>
      <c r="I453" s="187"/>
      <c r="J453" s="197">
        <f ca="1">IFERROR(__xludf.DUMMYFUNCTION("IMPORTRANGE(""https://docs.google.com/spreadsheets/d/11923uPwbBZFjjGgGUA6NLw09EwE0CqkOc4q9oUmW1yo/edit?usp=sharing"",""นครสวรรค์!J348"")"),0)</f>
        <v>0</v>
      </c>
      <c r="K453" s="163"/>
      <c r="L453" s="181"/>
      <c r="M453" s="181"/>
      <c r="N453" s="181"/>
      <c r="O453" s="181"/>
      <c r="P453" s="181"/>
    </row>
    <row r="454" spans="1:16" ht="21.75" customHeight="1" x14ac:dyDescent="0.3">
      <c r="A454" s="175"/>
      <c r="B454" s="176"/>
      <c r="C454" s="176"/>
      <c r="D454" s="205">
        <v>3</v>
      </c>
      <c r="E454" s="206" t="s">
        <v>55</v>
      </c>
      <c r="F454" s="207"/>
      <c r="G454" s="208"/>
      <c r="H454" s="186"/>
      <c r="I454" s="187"/>
      <c r="J454" s="209">
        <f ca="1">IFERROR(__xludf.DUMMYFUNCTION("IMPORTRANGE(""https://docs.google.com/spreadsheets/d/11923uPwbBZFjjGgGUA6NLw09EwE0CqkOc4q9oUmW1yo/edit?usp=sharing"",""นครสวรรค์!J349"")"),0)</f>
        <v>0</v>
      </c>
      <c r="K454" s="163"/>
      <c r="L454" s="181"/>
      <c r="M454" s="181"/>
      <c r="N454" s="181"/>
      <c r="O454" s="181"/>
      <c r="P454" s="181"/>
    </row>
    <row r="455" spans="1:16" ht="21.75" customHeight="1" x14ac:dyDescent="0.3">
      <c r="A455" s="364"/>
      <c r="B455" s="365">
        <v>5</v>
      </c>
      <c r="C455" s="366" t="s">
        <v>165</v>
      </c>
      <c r="D455" s="366"/>
      <c r="E455" s="366"/>
      <c r="F455" s="366"/>
      <c r="G455" s="367"/>
      <c r="H455" s="368" t="s">
        <v>122</v>
      </c>
      <c r="I455" s="369">
        <f ca="1">IFERROR(__xludf.DUMMYFUNCTION("IMPORTRANGE(""https://docs.google.com/spreadsheets/d/11923uPwbBZFjjGgGUA6NLw09EwE0CqkOc4q9oUmW1yo/edit?usp=sharing"",""นครสวรรค์!I350"")"),45976)</f>
        <v>45976</v>
      </c>
      <c r="J455" s="369">
        <f ca="1">IFERROR(__xludf.DUMMYFUNCTION("IMPORTRANGE(""https://docs.google.com/spreadsheets/d/11923uPwbBZFjjGgGUA6NLw09EwE0CqkOc4q9oUmW1yo/edit?usp=sharing"",""นครสวรรค์!J350"")"),0)</f>
        <v>0</v>
      </c>
      <c r="K455" s="370">
        <f ca="1">IF(I455&gt;0,J455*100/I455,0)</f>
        <v>0</v>
      </c>
      <c r="L455" s="371">
        <f ca="1">IFERROR(__xludf.DUMMYFUNCTION("IMPORTRANGE(""https://docs.google.com/spreadsheets/d/11923uPwbBZFjjGgGUA6NLw09EwE0CqkOc4q9oUmW1yo/edit?usp=sharing"",""นครสวรรค์!L350"")"),270063)</f>
        <v>270063</v>
      </c>
      <c r="M455" s="371"/>
      <c r="N455" s="371">
        <f ca="1">IFERROR(__xludf.DUMMYFUNCTION("IMPORTRANGE(""https://docs.google.com/spreadsheets/d/11923uPwbBZFjjGgGUA6NLw09EwE0CqkOc4q9oUmW1yo/edit?usp=sharing"",""นครสวรรค์!M350"")"),38316)</f>
        <v>38316</v>
      </c>
      <c r="O455" s="371">
        <f t="shared" ref="O455:O459" ca="1" si="116">+IF(L455&gt;0,N455*100/L455,0)</f>
        <v>14.187800624298776</v>
      </c>
      <c r="P455" s="371"/>
    </row>
    <row r="456" spans="1:16" ht="21.75" customHeight="1" x14ac:dyDescent="0.3">
      <c r="A456" s="156"/>
      <c r="B456" s="157"/>
      <c r="C456" s="157" t="s">
        <v>16</v>
      </c>
      <c r="D456" s="158" t="s">
        <v>38</v>
      </c>
      <c r="E456" s="159"/>
      <c r="F456" s="159"/>
      <c r="G456" s="160" t="s">
        <v>39</v>
      </c>
      <c r="H456" s="161" t="s">
        <v>12</v>
      </c>
      <c r="I456" s="162" t="s">
        <v>40</v>
      </c>
      <c r="J456" s="162"/>
      <c r="K456" s="163"/>
      <c r="L456" s="164">
        <f ca="1">IFERROR(__xludf.DUMMYFUNCTION("IMPORTRANGE(""https://docs.google.com/spreadsheets/d/11923uPwbBZFjjGgGUA6NLw09EwE0CqkOc4q9oUmW1yo/edit?usp=sharing"",""นครสวรรค์!L351"")"),0)</f>
        <v>0</v>
      </c>
      <c r="M456" s="164"/>
      <c r="N456" s="168">
        <f ca="1">IFERROR(__xludf.DUMMYFUNCTION("IMPORTRANGE(""https://docs.google.com/spreadsheets/d/11923uPwbBZFjjGgGUA6NLw09EwE0CqkOc4q9oUmW1yo/edit?usp=sharing"",""นครสวรรค์!M351"")"),0)</f>
        <v>0</v>
      </c>
      <c r="O456" s="168">
        <f t="shared" ca="1" si="116"/>
        <v>0</v>
      </c>
      <c r="P456" s="168"/>
    </row>
    <row r="457" spans="1:16" ht="21.75" customHeight="1" x14ac:dyDescent="0.3">
      <c r="A457" s="156"/>
      <c r="B457" s="157"/>
      <c r="C457" s="157"/>
      <c r="D457" s="166"/>
      <c r="E457" s="159"/>
      <c r="F457" s="159" t="s">
        <v>40</v>
      </c>
      <c r="G457" s="160" t="s">
        <v>41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IFERROR(__xludf.DUMMYFUNCTION("IMPORTRANGE(""https://docs.google.com/spreadsheets/d/11923uPwbBZFjjGgGUA6NLw09EwE0CqkOc4q9oUmW1yo/edit?usp=sharing"",""นครสวรรค์!L352"")"),270063)</f>
        <v>270063</v>
      </c>
      <c r="M457" s="165"/>
      <c r="N457" s="168">
        <f ca="1">IFERROR(__xludf.DUMMYFUNCTION("IMPORTRANGE(""https://docs.google.com/spreadsheets/d/11923uPwbBZFjjGgGUA6NLw09EwE0CqkOc4q9oUmW1yo/edit?usp=sharing"",""นครสวรรค์!M352"")"),38316)</f>
        <v>38316</v>
      </c>
      <c r="O457" s="168">
        <f t="shared" ca="1" si="116"/>
        <v>14.187800624298776</v>
      </c>
      <c r="P457" s="168"/>
    </row>
    <row r="458" spans="1:16" ht="21.75" customHeight="1" x14ac:dyDescent="0.3">
      <c r="A458" s="156"/>
      <c r="B458" s="157"/>
      <c r="C458" s="157"/>
      <c r="D458" s="166"/>
      <c r="E458" s="159"/>
      <c r="F458" s="159"/>
      <c r="G458" s="372" t="s">
        <v>129</v>
      </c>
      <c r="H458" s="161" t="s">
        <v>12</v>
      </c>
      <c r="I458" s="162"/>
      <c r="J458" s="162"/>
      <c r="K458" s="163"/>
      <c r="L458" s="168">
        <f ca="1">IFERROR(__xludf.DUMMYFUNCTION("IMPORTRANGE(""https://docs.google.com/spreadsheets/d/11923uPwbBZFjjGgGUA6NLw09EwE0CqkOc4q9oUmW1yo/edit?usp=sharing"",""นครสวรรค์!L353"")"),0)</f>
        <v>0</v>
      </c>
      <c r="M458" s="168"/>
      <c r="N458" s="168">
        <f ca="1">IFERROR(__xludf.DUMMYFUNCTION("IMPORTRANGE(""https://docs.google.com/spreadsheets/d/11923uPwbBZFjjGgGUA6NLw09EwE0CqkOc4q9oUmW1yo/edit?usp=sharing"",""นครสวรรค์!M353"")"),0)</f>
        <v>0</v>
      </c>
      <c r="O458" s="168">
        <f t="shared" ca="1" si="116"/>
        <v>0</v>
      </c>
      <c r="P458" s="168"/>
    </row>
    <row r="459" spans="1:16" ht="21.75" customHeight="1" x14ac:dyDescent="0.3">
      <c r="A459" s="156"/>
      <c r="B459" s="157"/>
      <c r="C459" s="157"/>
      <c r="D459" s="166"/>
      <c r="E459" s="159"/>
      <c r="F459" s="159"/>
      <c r="G459" s="372" t="s">
        <v>130</v>
      </c>
      <c r="H459" s="161" t="s">
        <v>12</v>
      </c>
      <c r="I459" s="162"/>
      <c r="J459" s="162"/>
      <c r="K459" s="163"/>
      <c r="L459" s="168">
        <f ca="1">IFERROR(__xludf.DUMMYFUNCTION("IMPORTRANGE(""https://docs.google.com/spreadsheets/d/11923uPwbBZFjjGgGUA6NLw09EwE0CqkOc4q9oUmW1yo/edit?usp=sharing"",""นครสวรรค์!L354"")"),270063)</f>
        <v>270063</v>
      </c>
      <c r="M459" s="168"/>
      <c r="N459" s="168">
        <f ca="1">IFERROR(__xludf.DUMMYFUNCTION("IMPORTRANGE(""https://docs.google.com/spreadsheets/d/11923uPwbBZFjjGgGUA6NLw09EwE0CqkOc4q9oUmW1yo/edit?usp=sharing"",""นครสวรรค์!M354"")"),38316)</f>
        <v>38316</v>
      </c>
      <c r="O459" s="168">
        <f t="shared" ca="1" si="116"/>
        <v>14.187800624298776</v>
      </c>
      <c r="P459" s="168"/>
    </row>
    <row r="460" spans="1:16" ht="21.75" customHeight="1" x14ac:dyDescent="0.3">
      <c r="A460" s="373"/>
      <c r="B460" s="374"/>
      <c r="C460" s="157"/>
      <c r="D460" s="375"/>
      <c r="E460" s="159"/>
      <c r="F460" s="159"/>
      <c r="G460" s="376" t="s">
        <v>131</v>
      </c>
      <c r="H460" s="161" t="s">
        <v>12</v>
      </c>
      <c r="I460" s="187"/>
      <c r="J460" s="187"/>
      <c r="K460" s="223"/>
      <c r="L460" s="168"/>
      <c r="M460" s="168"/>
      <c r="N460" s="167">
        <f ca="1">IFERROR(__xludf.DUMMYFUNCTION("IMPORTRANGE(""https://docs.google.com/spreadsheets/d/11923uPwbBZFjjGgGUA6NLw09EwE0CqkOc4q9oUmW1yo/edit?usp=sharing"",""นครสวรรค์!M355"")"),0)</f>
        <v>0</v>
      </c>
      <c r="O460" s="168"/>
      <c r="P460" s="168"/>
    </row>
    <row r="461" spans="1:16" ht="21.75" customHeight="1" x14ac:dyDescent="0.3">
      <c r="A461" s="373"/>
      <c r="B461" s="374"/>
      <c r="C461" s="157"/>
      <c r="D461" s="375"/>
      <c r="E461" s="159"/>
      <c r="F461" s="159"/>
      <c r="G461" s="376" t="s">
        <v>132</v>
      </c>
      <c r="H461" s="161" t="s">
        <v>12</v>
      </c>
      <c r="I461" s="187"/>
      <c r="J461" s="187"/>
      <c r="K461" s="223"/>
      <c r="L461" s="168"/>
      <c r="M461" s="168"/>
      <c r="N461" s="167">
        <f ca="1">IFERROR(__xludf.DUMMYFUNCTION("IMPORTRANGE(""https://docs.google.com/spreadsheets/d/11923uPwbBZFjjGgGUA6NLw09EwE0CqkOc4q9oUmW1yo/edit?usp=sharing"",""นครสวรรค์!M356"")"),0)</f>
        <v>0</v>
      </c>
      <c r="O461" s="168"/>
      <c r="P461" s="168"/>
    </row>
    <row r="462" spans="1:16" ht="21.75" customHeight="1" x14ac:dyDescent="0.3">
      <c r="A462" s="373"/>
      <c r="B462" s="374"/>
      <c r="C462" s="157"/>
      <c r="D462" s="375"/>
      <c r="E462" s="159"/>
      <c r="F462" s="159"/>
      <c r="G462" s="376" t="s">
        <v>133</v>
      </c>
      <c r="H462" s="161" t="s">
        <v>12</v>
      </c>
      <c r="I462" s="187"/>
      <c r="J462" s="187"/>
      <c r="K462" s="223"/>
      <c r="L462" s="168"/>
      <c r="M462" s="168"/>
      <c r="N462" s="377">
        <f ca="1">IFERROR(__xludf.DUMMYFUNCTION("IMPORTRANGE(""https://docs.google.com/spreadsheets/d/11923uPwbBZFjjGgGUA6NLw09EwE0CqkOc4q9oUmW1yo/edit?usp=sharing"",""นครสวรรค์!M357"")"),0)</f>
        <v>0</v>
      </c>
      <c r="O462" s="168"/>
      <c r="P462" s="168"/>
    </row>
    <row r="463" spans="1:16" ht="21.75" customHeight="1" x14ac:dyDescent="0.3">
      <c r="A463" s="373"/>
      <c r="B463" s="374"/>
      <c r="C463" s="157"/>
      <c r="D463" s="375"/>
      <c r="E463" s="159"/>
      <c r="F463" s="159"/>
      <c r="G463" s="376" t="s">
        <v>134</v>
      </c>
      <c r="H463" s="161" t="s">
        <v>12</v>
      </c>
      <c r="I463" s="187"/>
      <c r="J463" s="187"/>
      <c r="K463" s="223"/>
      <c r="L463" s="168"/>
      <c r="M463" s="168"/>
      <c r="N463" s="377">
        <f ca="1">IFERROR(__xludf.DUMMYFUNCTION("IMPORTRANGE(""https://docs.google.com/spreadsheets/d/11923uPwbBZFjjGgGUA6NLw09EwE0CqkOc4q9oUmW1yo/edit?usp=sharing"",""นครสวรรค์!M358"")"),38316)</f>
        <v>38316</v>
      </c>
      <c r="O463" s="168"/>
      <c r="P463" s="168"/>
    </row>
    <row r="464" spans="1:16" ht="21.75" customHeight="1" x14ac:dyDescent="0.3">
      <c r="A464" s="175"/>
      <c r="B464" s="176"/>
      <c r="C464" s="413" t="s">
        <v>166</v>
      </c>
      <c r="D464" s="413"/>
      <c r="E464" s="414"/>
      <c r="F464" s="414"/>
      <c r="G464" s="415"/>
      <c r="H464" s="265" t="s">
        <v>122</v>
      </c>
      <c r="I464" s="266">
        <f ca="1">IFERROR(__xludf.DUMMYFUNCTION("IMPORTRANGE(""https://docs.google.com/spreadsheets/d/11923uPwbBZFjjGgGUA6NLw09EwE0CqkOc4q9oUmW1yo/edit?usp=sharing"",""นครสวรรค์!I359"")"),45976)</f>
        <v>45976</v>
      </c>
      <c r="J464" s="266">
        <f ca="1">IFERROR(__xludf.DUMMYFUNCTION("IMPORTRANGE(""https://docs.google.com/spreadsheets/d/11923uPwbBZFjjGgGUA6NLw09EwE0CqkOc4q9oUmW1yo/edit?usp=sharing"",""นครสวรรค์!J359"")"),0)</f>
        <v>0</v>
      </c>
      <c r="K464" s="267">
        <f t="shared" ref="K464:K515" ca="1" si="117">IF(I464&gt;0,J464*100/I464,0)</f>
        <v>0</v>
      </c>
      <c r="L464" s="290"/>
      <c r="M464" s="290"/>
      <c r="N464" s="290"/>
      <c r="O464" s="290"/>
      <c r="P464" s="290"/>
    </row>
    <row r="465" spans="1:16" ht="21.75" customHeight="1" x14ac:dyDescent="0.3">
      <c r="A465" s="400"/>
      <c r="B465" s="401"/>
      <c r="C465" s="401"/>
      <c r="D465" s="402"/>
      <c r="E465" s="193" t="s">
        <v>167</v>
      </c>
      <c r="F465" s="195"/>
      <c r="G465" s="196"/>
      <c r="H465" s="416" t="s">
        <v>122</v>
      </c>
      <c r="I465" s="417">
        <f ca="1">IFERROR(__xludf.DUMMYFUNCTION("IMPORTRANGE(""https://docs.google.com/spreadsheets/d/11923uPwbBZFjjGgGUA6NLw09EwE0CqkOc4q9oUmW1yo/edit?usp=sharing"",""นครสวรรค์!I360"")"),45976)</f>
        <v>45976</v>
      </c>
      <c r="J465" s="418">
        <f ca="1">IFERROR(__xludf.DUMMYFUNCTION("IMPORTRANGE(""https://docs.google.com/spreadsheets/d/11923uPwbBZFjjGgGUA6NLw09EwE0CqkOc4q9oUmW1yo/edit?usp=sharing"",""นครสวรรค์!J360"")"),45977)</f>
        <v>45977</v>
      </c>
      <c r="K465" s="201">
        <f t="shared" ca="1" si="117"/>
        <v>100.00217504785105</v>
      </c>
      <c r="L465" s="181"/>
      <c r="M465" s="181"/>
      <c r="N465" s="181"/>
      <c r="O465" s="181"/>
      <c r="P465" s="181"/>
    </row>
    <row r="466" spans="1:16" ht="21.75" customHeight="1" x14ac:dyDescent="0.3">
      <c r="A466" s="400"/>
      <c r="B466" s="401"/>
      <c r="C466" s="401"/>
      <c r="D466" s="402"/>
      <c r="E466" s="195"/>
      <c r="F466" s="195"/>
      <c r="G466" s="196"/>
      <c r="H466" s="416" t="s">
        <v>36</v>
      </c>
      <c r="I466" s="417">
        <f ca="1">IFERROR(__xludf.DUMMYFUNCTION("IMPORTRANGE(""https://docs.google.com/spreadsheets/d/11923uPwbBZFjjGgGUA6NLw09EwE0CqkOc4q9oUmW1yo/edit?usp=sharing"",""นครสวรรค์!I361"")"),3447)</f>
        <v>3447</v>
      </c>
      <c r="J466" s="418">
        <f ca="1">IFERROR(__xludf.DUMMYFUNCTION("IMPORTRANGE(""https://docs.google.com/spreadsheets/d/11923uPwbBZFjjGgGUA6NLw09EwE0CqkOc4q9oUmW1yo/edit?usp=sharing"",""นครสวรรค์!J361"")"),3447)</f>
        <v>3447</v>
      </c>
      <c r="K466" s="201">
        <f t="shared" ca="1" si="117"/>
        <v>100</v>
      </c>
      <c r="L466" s="181"/>
      <c r="M466" s="181"/>
      <c r="N466" s="181"/>
      <c r="O466" s="181"/>
      <c r="P466" s="181"/>
    </row>
    <row r="467" spans="1:16" ht="21.75" customHeight="1" x14ac:dyDescent="0.3">
      <c r="A467" s="400"/>
      <c r="B467" s="401"/>
      <c r="C467" s="401"/>
      <c r="D467" s="402"/>
      <c r="E467" s="195"/>
      <c r="F467" s="388" t="s">
        <v>168</v>
      </c>
      <c r="G467" s="419"/>
      <c r="H467" s="420" t="s">
        <v>122</v>
      </c>
      <c r="I467" s="202">
        <f ca="1">IFERROR(__xludf.DUMMYFUNCTION("IMPORTRANGE(""https://docs.google.com/spreadsheets/d/11923uPwbBZFjjGgGUA6NLw09EwE0CqkOc4q9oUmW1yo/edit?usp=sharing"",""นครสวรรค์!I362"")"),0)</f>
        <v>0</v>
      </c>
      <c r="J467" s="188">
        <f ca="1">IFERROR(__xludf.DUMMYFUNCTION("IMPORTRANGE(""https://docs.google.com/spreadsheets/d/11923uPwbBZFjjGgGUA6NLw09EwE0CqkOc4q9oUmW1yo/edit?usp=sharing"",""นครสวรรค์!J362"")"),33426)</f>
        <v>33426</v>
      </c>
      <c r="K467" s="163">
        <f t="shared" ca="1" si="117"/>
        <v>0</v>
      </c>
      <c r="L467" s="181"/>
      <c r="M467" s="181"/>
      <c r="N467" s="181"/>
      <c r="O467" s="181"/>
      <c r="P467" s="181"/>
    </row>
    <row r="468" spans="1:16" ht="21.75" customHeight="1" x14ac:dyDescent="0.3">
      <c r="A468" s="400"/>
      <c r="B468" s="401"/>
      <c r="C468" s="401"/>
      <c r="D468" s="402"/>
      <c r="E468" s="195"/>
      <c r="F468" s="195"/>
      <c r="G468" s="419"/>
      <c r="H468" s="420" t="s">
        <v>36</v>
      </c>
      <c r="I468" s="202">
        <f ca="1">IFERROR(__xludf.DUMMYFUNCTION("IMPORTRANGE(""https://docs.google.com/spreadsheets/d/11923uPwbBZFjjGgGUA6NLw09EwE0CqkOc4q9oUmW1yo/edit?usp=sharing"",""นครสวรรค์!I363"")"),0)</f>
        <v>0</v>
      </c>
      <c r="J468" s="188">
        <f ca="1">IFERROR(__xludf.DUMMYFUNCTION("IMPORTRANGE(""https://docs.google.com/spreadsheets/d/11923uPwbBZFjjGgGUA6NLw09EwE0CqkOc4q9oUmW1yo/edit?usp=sharing"",""นครสวรรค์!J363"")"),2614)</f>
        <v>2614</v>
      </c>
      <c r="K468" s="163">
        <f t="shared" ca="1" si="117"/>
        <v>0</v>
      </c>
      <c r="L468" s="181"/>
      <c r="M468" s="181"/>
      <c r="N468" s="181"/>
      <c r="O468" s="181"/>
      <c r="P468" s="181"/>
    </row>
    <row r="469" spans="1:16" ht="21.75" customHeight="1" x14ac:dyDescent="0.3">
      <c r="A469" s="400"/>
      <c r="B469" s="401"/>
      <c r="C469" s="401"/>
      <c r="D469" s="402"/>
      <c r="E469" s="195"/>
      <c r="F469" s="388" t="s">
        <v>169</v>
      </c>
      <c r="G469" s="419"/>
      <c r="H469" s="420" t="s">
        <v>122</v>
      </c>
      <c r="I469" s="202">
        <f ca="1">IFERROR(__xludf.DUMMYFUNCTION("IMPORTRANGE(""https://docs.google.com/spreadsheets/d/11923uPwbBZFjjGgGUA6NLw09EwE0CqkOc4q9oUmW1yo/edit?usp=sharing"",""นครสวรรค์!I364"")"),0)</f>
        <v>0</v>
      </c>
      <c r="J469" s="188">
        <f ca="1">IFERROR(__xludf.DUMMYFUNCTION("IMPORTRANGE(""https://docs.google.com/spreadsheets/d/11923uPwbBZFjjGgGUA6NLw09EwE0CqkOc4q9oUmW1yo/edit?usp=sharing"",""นครสวรรค์!J364"")"),11005)</f>
        <v>11005</v>
      </c>
      <c r="K469" s="163">
        <f t="shared" ca="1" si="117"/>
        <v>0</v>
      </c>
      <c r="L469" s="181"/>
      <c r="M469" s="181"/>
      <c r="N469" s="181"/>
      <c r="O469" s="181"/>
      <c r="P469" s="181"/>
    </row>
    <row r="470" spans="1:16" ht="21.75" customHeight="1" x14ac:dyDescent="0.3">
      <c r="A470" s="400"/>
      <c r="B470" s="401"/>
      <c r="C470" s="401"/>
      <c r="D470" s="402"/>
      <c r="E470" s="195"/>
      <c r="F470" s="195"/>
      <c r="G470" s="419"/>
      <c r="H470" s="420" t="s">
        <v>36</v>
      </c>
      <c r="I470" s="202">
        <f ca="1">IFERROR(__xludf.DUMMYFUNCTION("IMPORTRANGE(""https://docs.google.com/spreadsheets/d/11923uPwbBZFjjGgGUA6NLw09EwE0CqkOc4q9oUmW1yo/edit?usp=sharing"",""นครสวรรค์!I365"")"),0)</f>
        <v>0</v>
      </c>
      <c r="J470" s="188">
        <f ca="1">IFERROR(__xludf.DUMMYFUNCTION("IMPORTRANGE(""https://docs.google.com/spreadsheets/d/11923uPwbBZFjjGgGUA6NLw09EwE0CqkOc4q9oUmW1yo/edit?usp=sharing"",""นครสวรรค์!J365"")"),695)</f>
        <v>695</v>
      </c>
      <c r="K470" s="163">
        <f t="shared" ca="1" si="117"/>
        <v>0</v>
      </c>
      <c r="L470" s="181"/>
      <c r="M470" s="181"/>
      <c r="N470" s="181"/>
      <c r="O470" s="181"/>
      <c r="P470" s="181"/>
    </row>
    <row r="471" spans="1:16" ht="21.75" customHeight="1" x14ac:dyDescent="0.3">
      <c r="A471" s="400"/>
      <c r="B471" s="401"/>
      <c r="C471" s="401"/>
      <c r="D471" s="402"/>
      <c r="E471" s="195"/>
      <c r="F471" s="388" t="s">
        <v>170</v>
      </c>
      <c r="G471" s="419"/>
      <c r="H471" s="420" t="s">
        <v>122</v>
      </c>
      <c r="I471" s="202">
        <f ca="1">IFERROR(__xludf.DUMMYFUNCTION("IMPORTRANGE(""https://docs.google.com/spreadsheets/d/11923uPwbBZFjjGgGUA6NLw09EwE0CqkOc4q9oUmW1yo/edit?usp=sharing"",""นครสวรรค์!I366"")"),0)</f>
        <v>0</v>
      </c>
      <c r="J471" s="188">
        <f ca="1">IFERROR(__xludf.DUMMYFUNCTION("IMPORTRANGE(""https://docs.google.com/spreadsheets/d/11923uPwbBZFjjGgGUA6NLw09EwE0CqkOc4q9oUmW1yo/edit?usp=sharing"",""นครสวรรค์!J366"")"),1546)</f>
        <v>1546</v>
      </c>
      <c r="K471" s="163">
        <f t="shared" ca="1" si="117"/>
        <v>0</v>
      </c>
      <c r="L471" s="181"/>
      <c r="M471" s="181"/>
      <c r="N471" s="181"/>
      <c r="O471" s="181"/>
      <c r="P471" s="181"/>
    </row>
    <row r="472" spans="1:16" ht="21.75" customHeight="1" x14ac:dyDescent="0.3">
      <c r="A472" s="400"/>
      <c r="B472" s="401"/>
      <c r="C472" s="401"/>
      <c r="D472" s="402"/>
      <c r="E472" s="195"/>
      <c r="F472" s="195"/>
      <c r="G472" s="195"/>
      <c r="H472" s="420" t="s">
        <v>36</v>
      </c>
      <c r="I472" s="202">
        <f ca="1">IFERROR(__xludf.DUMMYFUNCTION("IMPORTRANGE(""https://docs.google.com/spreadsheets/d/11923uPwbBZFjjGgGUA6NLw09EwE0CqkOc4q9oUmW1yo/edit?usp=sharing"",""นครสวรรค์!I367"")"),0)</f>
        <v>0</v>
      </c>
      <c r="J472" s="188">
        <f ca="1">IFERROR(__xludf.DUMMYFUNCTION("IMPORTRANGE(""https://docs.google.com/spreadsheets/d/11923uPwbBZFjjGgGUA6NLw09EwE0CqkOc4q9oUmW1yo/edit?usp=sharing"",""นครสวรรค์!J367"")"),138)</f>
        <v>138</v>
      </c>
      <c r="K472" s="163">
        <f t="shared" ca="1" si="117"/>
        <v>0</v>
      </c>
      <c r="L472" s="181"/>
      <c r="M472" s="181"/>
      <c r="N472" s="181"/>
      <c r="O472" s="181"/>
      <c r="P472" s="181"/>
    </row>
    <row r="473" spans="1:16" ht="21.75" customHeight="1" x14ac:dyDescent="0.3">
      <c r="A473" s="400"/>
      <c r="B473" s="401"/>
      <c r="C473" s="401"/>
      <c r="D473" s="402"/>
      <c r="E473" s="289" t="s">
        <v>171</v>
      </c>
      <c r="F473" s="195"/>
      <c r="G473" s="196"/>
      <c r="H473" s="416" t="s">
        <v>122</v>
      </c>
      <c r="I473" s="418">
        <f ca="1">IFERROR(__xludf.DUMMYFUNCTION("IMPORTRANGE(""https://docs.google.com/spreadsheets/d/11923uPwbBZFjjGgGUA6NLw09EwE0CqkOc4q9oUmW1yo/edit?usp=sharing"",""นครสวรรค์!I368"")"),45976)</f>
        <v>45976</v>
      </c>
      <c r="J473" s="418">
        <f ca="1">IFERROR(__xludf.DUMMYFUNCTION("IMPORTRANGE(""https://docs.google.com/spreadsheets/d/11923uPwbBZFjjGgGUA6NLw09EwE0CqkOc4q9oUmW1yo/edit?usp=sharing"",""นครสวรรค์!J368"")"),0)</f>
        <v>0</v>
      </c>
      <c r="K473" s="201">
        <f t="shared" ca="1" si="117"/>
        <v>0</v>
      </c>
      <c r="L473" s="181"/>
      <c r="M473" s="181"/>
      <c r="N473" s="181"/>
      <c r="O473" s="181"/>
      <c r="P473" s="181"/>
    </row>
    <row r="474" spans="1:16" ht="21.75" customHeight="1" x14ac:dyDescent="0.3">
      <c r="A474" s="400"/>
      <c r="B474" s="401"/>
      <c r="C474" s="401"/>
      <c r="D474" s="402"/>
      <c r="E474" s="195"/>
      <c r="F474" s="195"/>
      <c r="G474" s="196"/>
      <c r="H474" s="416" t="s">
        <v>36</v>
      </c>
      <c r="I474" s="417">
        <f ca="1">IFERROR(__xludf.DUMMYFUNCTION("IMPORTRANGE(""https://docs.google.com/spreadsheets/d/11923uPwbBZFjjGgGUA6NLw09EwE0CqkOc4q9oUmW1yo/edit?usp=sharing"",""นครสวรรค์!I369"")"),3447)</f>
        <v>3447</v>
      </c>
      <c r="J474" s="418">
        <f ca="1">IFERROR(__xludf.DUMMYFUNCTION("IMPORTRANGE(""https://docs.google.com/spreadsheets/d/11923uPwbBZFjjGgGUA6NLw09EwE0CqkOc4q9oUmW1yo/edit?usp=sharing"",""นครสวรรค์!J369"")"),0)</f>
        <v>0</v>
      </c>
      <c r="K474" s="163">
        <f t="shared" ca="1" si="117"/>
        <v>0</v>
      </c>
      <c r="L474" s="181"/>
      <c r="M474" s="181"/>
      <c r="N474" s="181"/>
      <c r="O474" s="181"/>
      <c r="P474" s="181"/>
    </row>
    <row r="475" spans="1:16" ht="21.75" customHeight="1" x14ac:dyDescent="0.3">
      <c r="A475" s="400"/>
      <c r="B475" s="401"/>
      <c r="C475" s="401"/>
      <c r="D475" s="402"/>
      <c r="E475" s="195"/>
      <c r="F475" s="194" t="s">
        <v>172</v>
      </c>
      <c r="G475" s="419"/>
      <c r="H475" s="420" t="s">
        <v>122</v>
      </c>
      <c r="I475" s="202">
        <f ca="1">IFERROR(__xludf.DUMMYFUNCTION("IMPORTRANGE(""https://docs.google.com/spreadsheets/d/11923uPwbBZFjjGgGUA6NLw09EwE0CqkOc4q9oUmW1yo/edit?usp=sharing"",""นครสวรรค์!I370"")"),0)</f>
        <v>0</v>
      </c>
      <c r="J475" s="188">
        <f ca="1">IFERROR(__xludf.DUMMYFUNCTION("IMPORTRANGE(""https://docs.google.com/spreadsheets/d/11923uPwbBZFjjGgGUA6NLw09EwE0CqkOc4q9oUmW1yo/edit?usp=sharing"",""นครสวรรค์!J370"")"),0)</f>
        <v>0</v>
      </c>
      <c r="K475" s="163">
        <f t="shared" ca="1" si="117"/>
        <v>0</v>
      </c>
      <c r="L475" s="181"/>
      <c r="M475" s="181"/>
      <c r="N475" s="181"/>
      <c r="O475" s="181"/>
      <c r="P475" s="181"/>
    </row>
    <row r="476" spans="1:16" ht="21.75" customHeight="1" x14ac:dyDescent="0.3">
      <c r="A476" s="400"/>
      <c r="B476" s="401"/>
      <c r="C476" s="401"/>
      <c r="D476" s="402"/>
      <c r="E476" s="195"/>
      <c r="F476" s="195"/>
      <c r="G476" s="419"/>
      <c r="H476" s="420" t="s">
        <v>36</v>
      </c>
      <c r="I476" s="202">
        <f ca="1">IFERROR(__xludf.DUMMYFUNCTION("IMPORTRANGE(""https://docs.google.com/spreadsheets/d/11923uPwbBZFjjGgGUA6NLw09EwE0CqkOc4q9oUmW1yo/edit?usp=sharing"",""นครสวรรค์!I371"")"),0)</f>
        <v>0</v>
      </c>
      <c r="J476" s="188">
        <f ca="1">IFERROR(__xludf.DUMMYFUNCTION("IMPORTRANGE(""https://docs.google.com/spreadsheets/d/11923uPwbBZFjjGgGUA6NLw09EwE0CqkOc4q9oUmW1yo/edit?usp=sharing"",""นครสวรรค์!J371"")"),0)</f>
        <v>0</v>
      </c>
      <c r="K476" s="163">
        <f t="shared" ca="1" si="117"/>
        <v>0</v>
      </c>
      <c r="L476" s="181"/>
      <c r="M476" s="181"/>
      <c r="N476" s="181"/>
      <c r="O476" s="181"/>
      <c r="P476" s="181"/>
    </row>
    <row r="477" spans="1:16" ht="21.75" customHeight="1" x14ac:dyDescent="0.3">
      <c r="A477" s="400"/>
      <c r="B477" s="401"/>
      <c r="C477" s="401"/>
      <c r="D477" s="402"/>
      <c r="E477" s="195"/>
      <c r="F477" s="194" t="s">
        <v>173</v>
      </c>
      <c r="G477" s="419"/>
      <c r="H477" s="420" t="s">
        <v>122</v>
      </c>
      <c r="I477" s="202">
        <f ca="1">IFERROR(__xludf.DUMMYFUNCTION("IMPORTRANGE(""https://docs.google.com/spreadsheets/d/11923uPwbBZFjjGgGUA6NLw09EwE0CqkOc4q9oUmW1yo/edit?usp=sharing"",""นครสวรรค์!I372"")"),0)</f>
        <v>0</v>
      </c>
      <c r="J477" s="188">
        <f ca="1">IFERROR(__xludf.DUMMYFUNCTION("IMPORTRANGE(""https://docs.google.com/spreadsheets/d/11923uPwbBZFjjGgGUA6NLw09EwE0CqkOc4q9oUmW1yo/edit?usp=sharing"",""นครสวรรค์!J372"")"),0)</f>
        <v>0</v>
      </c>
      <c r="K477" s="163">
        <f t="shared" ca="1" si="117"/>
        <v>0</v>
      </c>
      <c r="L477" s="181"/>
      <c r="M477" s="181"/>
      <c r="N477" s="181"/>
      <c r="O477" s="181"/>
      <c r="P477" s="181"/>
    </row>
    <row r="478" spans="1:16" ht="21.75" customHeight="1" x14ac:dyDescent="0.3">
      <c r="A478" s="400"/>
      <c r="B478" s="401"/>
      <c r="C478" s="401"/>
      <c r="D478" s="402"/>
      <c r="E478" s="195"/>
      <c r="F478" s="195"/>
      <c r="G478" s="419"/>
      <c r="H478" s="420" t="s">
        <v>36</v>
      </c>
      <c r="I478" s="202">
        <f ca="1">IFERROR(__xludf.DUMMYFUNCTION("IMPORTRANGE(""https://docs.google.com/spreadsheets/d/11923uPwbBZFjjGgGUA6NLw09EwE0CqkOc4q9oUmW1yo/edit?usp=sharing"",""นครสวรรค์!I373"")"),0)</f>
        <v>0</v>
      </c>
      <c r="J478" s="188">
        <f ca="1">IFERROR(__xludf.DUMMYFUNCTION("IMPORTRANGE(""https://docs.google.com/spreadsheets/d/11923uPwbBZFjjGgGUA6NLw09EwE0CqkOc4q9oUmW1yo/edit?usp=sharing"",""นครสวรรค์!J373"")"),0)</f>
        <v>0</v>
      </c>
      <c r="K478" s="163">
        <f t="shared" ca="1" si="117"/>
        <v>0</v>
      </c>
      <c r="L478" s="181"/>
      <c r="M478" s="181"/>
      <c r="N478" s="181"/>
      <c r="O478" s="181"/>
      <c r="P478" s="181"/>
    </row>
    <row r="479" spans="1:16" ht="21.75" customHeight="1" x14ac:dyDescent="0.3">
      <c r="A479" s="400"/>
      <c r="B479" s="401"/>
      <c r="C479" s="401"/>
      <c r="D479" s="402"/>
      <c r="E479" s="195"/>
      <c r="F479" s="194" t="s">
        <v>174</v>
      </c>
      <c r="G479" s="419"/>
      <c r="H479" s="420" t="s">
        <v>122</v>
      </c>
      <c r="I479" s="202">
        <f ca="1">IFERROR(__xludf.DUMMYFUNCTION("IMPORTRANGE(""https://docs.google.com/spreadsheets/d/11923uPwbBZFjjGgGUA6NLw09EwE0CqkOc4q9oUmW1yo/edit?usp=sharing"",""นครสวรรค์!I374"")"),0)</f>
        <v>0</v>
      </c>
      <c r="J479" s="188">
        <f ca="1">IFERROR(__xludf.DUMMYFUNCTION("IMPORTRANGE(""https://docs.google.com/spreadsheets/d/11923uPwbBZFjjGgGUA6NLw09EwE0CqkOc4q9oUmW1yo/edit?usp=sharing"",""นครสวรรค์!J374"")"),0)</f>
        <v>0</v>
      </c>
      <c r="K479" s="163">
        <f t="shared" ca="1" si="117"/>
        <v>0</v>
      </c>
      <c r="L479" s="181"/>
      <c r="M479" s="181"/>
      <c r="N479" s="181"/>
      <c r="O479" s="181"/>
      <c r="P479" s="181"/>
    </row>
    <row r="480" spans="1:16" ht="21.75" customHeight="1" x14ac:dyDescent="0.3">
      <c r="A480" s="400"/>
      <c r="B480" s="401"/>
      <c r="C480" s="401"/>
      <c r="D480" s="402"/>
      <c r="E480" s="195"/>
      <c r="F480" s="195"/>
      <c r="G480" s="196"/>
      <c r="H480" s="420" t="s">
        <v>36</v>
      </c>
      <c r="I480" s="202">
        <f ca="1">IFERROR(__xludf.DUMMYFUNCTION("IMPORTRANGE(""https://docs.google.com/spreadsheets/d/11923uPwbBZFjjGgGUA6NLw09EwE0CqkOc4q9oUmW1yo/edit?usp=sharing"",""นครสวรรค์!I375"")"),0)</f>
        <v>0</v>
      </c>
      <c r="J480" s="188">
        <f ca="1">IFERROR(__xludf.DUMMYFUNCTION("IMPORTRANGE(""https://docs.google.com/spreadsheets/d/11923uPwbBZFjjGgGUA6NLw09EwE0CqkOc4q9oUmW1yo/edit?usp=sharing"",""นครสวรรค์!J375"")"),0)</f>
        <v>0</v>
      </c>
      <c r="K480" s="163">
        <f t="shared" ca="1" si="117"/>
        <v>0</v>
      </c>
      <c r="L480" s="181"/>
      <c r="M480" s="181"/>
      <c r="N480" s="181"/>
      <c r="O480" s="181"/>
      <c r="P480" s="181"/>
    </row>
    <row r="481" spans="1:16" ht="21.75" customHeight="1" x14ac:dyDescent="0.3">
      <c r="A481" s="421"/>
      <c r="B481" s="422"/>
      <c r="C481" s="422"/>
      <c r="D481" s="423"/>
      <c r="E481" s="424" t="s">
        <v>175</v>
      </c>
      <c r="F481" s="425"/>
      <c r="G481" s="426"/>
      <c r="H481" s="427" t="s">
        <v>122</v>
      </c>
      <c r="I481" s="418">
        <f ca="1">IFERROR(__xludf.DUMMYFUNCTION("IMPORTRANGE(""https://docs.google.com/spreadsheets/d/11923uPwbBZFjjGgGUA6NLw09EwE0CqkOc4q9oUmW1yo/edit?usp=sharing"",""นครสวรรค์!I376"")"),45976)</f>
        <v>45976</v>
      </c>
      <c r="J481" s="418">
        <f ca="1">IFERROR(__xludf.DUMMYFUNCTION("IMPORTRANGE(""https://docs.google.com/spreadsheets/d/11923uPwbBZFjjGgGUA6NLw09EwE0CqkOc4q9oUmW1yo/edit?usp=sharing"",""นครสวรรค์!J376"")"),0)</f>
        <v>0</v>
      </c>
      <c r="K481" s="201">
        <f t="shared" ca="1" si="117"/>
        <v>0</v>
      </c>
      <c r="L481" s="428"/>
      <c r="M481" s="428"/>
      <c r="N481" s="428"/>
      <c r="O481" s="428"/>
      <c r="P481" s="428"/>
    </row>
    <row r="482" spans="1:16" ht="21.75" customHeight="1" x14ac:dyDescent="0.3">
      <c r="A482" s="400"/>
      <c r="B482" s="401"/>
      <c r="C482" s="401"/>
      <c r="D482" s="402"/>
      <c r="E482" s="195"/>
      <c r="F482" s="195"/>
      <c r="G482" s="196"/>
      <c r="H482" s="416" t="s">
        <v>36</v>
      </c>
      <c r="I482" s="417">
        <f ca="1">IFERROR(__xludf.DUMMYFUNCTION("IMPORTRANGE(""https://docs.google.com/spreadsheets/d/11923uPwbBZFjjGgGUA6NLw09EwE0CqkOc4q9oUmW1yo/edit?usp=sharing"",""นครสวรรค์!I377"")"),3447)</f>
        <v>3447</v>
      </c>
      <c r="J482" s="418">
        <f ca="1">IFERROR(__xludf.DUMMYFUNCTION("IMPORTRANGE(""https://docs.google.com/spreadsheets/d/11923uPwbBZFjjGgGUA6NLw09EwE0CqkOc4q9oUmW1yo/edit?usp=sharing"",""นครสวรรค์!J377"")"),0)</f>
        <v>0</v>
      </c>
      <c r="K482" s="163">
        <f t="shared" ca="1" si="117"/>
        <v>0</v>
      </c>
      <c r="L482" s="181"/>
      <c r="M482" s="181"/>
      <c r="N482" s="181"/>
      <c r="O482" s="181"/>
      <c r="P482" s="181"/>
    </row>
    <row r="483" spans="1:16" ht="21.75" customHeight="1" x14ac:dyDescent="0.3">
      <c r="A483" s="400"/>
      <c r="B483" s="401"/>
      <c r="C483" s="401"/>
      <c r="D483" s="402"/>
      <c r="E483" s="195"/>
      <c r="F483" s="194" t="s">
        <v>176</v>
      </c>
      <c r="G483" s="419"/>
      <c r="H483" s="420" t="s">
        <v>122</v>
      </c>
      <c r="I483" s="202">
        <f ca="1">IFERROR(__xludf.DUMMYFUNCTION("IMPORTRANGE(""https://docs.google.com/spreadsheets/d/11923uPwbBZFjjGgGUA6NLw09EwE0CqkOc4q9oUmW1yo/edit?usp=sharing"",""นครสวรรค์!I378"")"),0)</f>
        <v>0</v>
      </c>
      <c r="J483" s="188">
        <f ca="1">IFERROR(__xludf.DUMMYFUNCTION("IMPORTRANGE(""https://docs.google.com/spreadsheets/d/11923uPwbBZFjjGgGUA6NLw09EwE0CqkOc4q9oUmW1yo/edit?usp=sharing"",""นครสวรรค์!J378"")"),0)</f>
        <v>0</v>
      </c>
      <c r="K483" s="163">
        <f t="shared" ca="1" si="117"/>
        <v>0</v>
      </c>
      <c r="L483" s="181"/>
      <c r="M483" s="181"/>
      <c r="N483" s="181"/>
      <c r="O483" s="181"/>
      <c r="P483" s="181"/>
    </row>
    <row r="484" spans="1:16" ht="21.75" customHeight="1" x14ac:dyDescent="0.3">
      <c r="A484" s="400"/>
      <c r="B484" s="401"/>
      <c r="C484" s="401"/>
      <c r="D484" s="402"/>
      <c r="E484" s="195"/>
      <c r="F484" s="195"/>
      <c r="G484" s="419"/>
      <c r="H484" s="420" t="s">
        <v>36</v>
      </c>
      <c r="I484" s="202">
        <f ca="1">IFERROR(__xludf.DUMMYFUNCTION("IMPORTRANGE(""https://docs.google.com/spreadsheets/d/11923uPwbBZFjjGgGUA6NLw09EwE0CqkOc4q9oUmW1yo/edit?usp=sharing"",""นครสวรรค์!I379"")"),0)</f>
        <v>0</v>
      </c>
      <c r="J484" s="188">
        <f ca="1">IFERROR(__xludf.DUMMYFUNCTION("IMPORTRANGE(""https://docs.google.com/spreadsheets/d/11923uPwbBZFjjGgGUA6NLw09EwE0CqkOc4q9oUmW1yo/edit?usp=sharing"",""นครสวรรค์!J379"")"),0)</f>
        <v>0</v>
      </c>
      <c r="K484" s="163">
        <f t="shared" ca="1" si="117"/>
        <v>0</v>
      </c>
      <c r="L484" s="181"/>
      <c r="M484" s="181"/>
      <c r="N484" s="181"/>
      <c r="O484" s="181"/>
      <c r="P484" s="181"/>
    </row>
    <row r="485" spans="1:16" ht="21.75" customHeight="1" x14ac:dyDescent="0.3">
      <c r="A485" s="400"/>
      <c r="B485" s="401"/>
      <c r="C485" s="401"/>
      <c r="D485" s="402"/>
      <c r="E485" s="195"/>
      <c r="F485" s="194" t="s">
        <v>177</v>
      </c>
      <c r="G485" s="419"/>
      <c r="H485" s="420" t="s">
        <v>122</v>
      </c>
      <c r="I485" s="202">
        <f ca="1">IFERROR(__xludf.DUMMYFUNCTION("IMPORTRANGE(""https://docs.google.com/spreadsheets/d/11923uPwbBZFjjGgGUA6NLw09EwE0CqkOc4q9oUmW1yo/edit?usp=sharing"",""นครสวรรค์!I380"")"),0)</f>
        <v>0</v>
      </c>
      <c r="J485" s="188">
        <f ca="1">IFERROR(__xludf.DUMMYFUNCTION("IMPORTRANGE(""https://docs.google.com/spreadsheets/d/11923uPwbBZFjjGgGUA6NLw09EwE0CqkOc4q9oUmW1yo/edit?usp=sharing"",""นครสวรรค์!J380"")"),0)</f>
        <v>0</v>
      </c>
      <c r="K485" s="163">
        <f t="shared" ca="1" si="117"/>
        <v>0</v>
      </c>
      <c r="L485" s="181"/>
      <c r="M485" s="181"/>
      <c r="N485" s="181"/>
      <c r="O485" s="181"/>
      <c r="P485" s="181"/>
    </row>
    <row r="486" spans="1:16" ht="21.75" customHeight="1" x14ac:dyDescent="0.3">
      <c r="A486" s="400"/>
      <c r="B486" s="401"/>
      <c r="C486" s="401"/>
      <c r="D486" s="402"/>
      <c r="E486" s="195"/>
      <c r="F486" s="195"/>
      <c r="G486" s="419"/>
      <c r="H486" s="420" t="s">
        <v>36</v>
      </c>
      <c r="I486" s="202">
        <f ca="1">IFERROR(__xludf.DUMMYFUNCTION("IMPORTRANGE(""https://docs.google.com/spreadsheets/d/11923uPwbBZFjjGgGUA6NLw09EwE0CqkOc4q9oUmW1yo/edit?usp=sharing"",""นครสวรรค์!I381"")"),0)</f>
        <v>0</v>
      </c>
      <c r="J486" s="188">
        <f ca="1">IFERROR(__xludf.DUMMYFUNCTION("IMPORTRANGE(""https://docs.google.com/spreadsheets/d/11923uPwbBZFjjGgGUA6NLw09EwE0CqkOc4q9oUmW1yo/edit?usp=sharing"",""นครสวรรค์!J381"")"),0)</f>
        <v>0</v>
      </c>
      <c r="K486" s="163">
        <f t="shared" ca="1" si="117"/>
        <v>0</v>
      </c>
      <c r="L486" s="181"/>
      <c r="M486" s="181"/>
      <c r="N486" s="181"/>
      <c r="O486" s="181"/>
      <c r="P486" s="181"/>
    </row>
    <row r="487" spans="1:16" ht="21.75" customHeight="1" x14ac:dyDescent="0.3">
      <c r="A487" s="400"/>
      <c r="B487" s="401"/>
      <c r="C487" s="401"/>
      <c r="D487" s="402"/>
      <c r="E487" s="195"/>
      <c r="F487" s="194" t="s">
        <v>178</v>
      </c>
      <c r="G487" s="419"/>
      <c r="H487" s="420" t="s">
        <v>122</v>
      </c>
      <c r="I487" s="202">
        <f ca="1">IFERROR(__xludf.DUMMYFUNCTION("IMPORTRANGE(""https://docs.google.com/spreadsheets/d/11923uPwbBZFjjGgGUA6NLw09EwE0CqkOc4q9oUmW1yo/edit?usp=sharing"",""นครสวรรค์!I382"")"),0)</f>
        <v>0</v>
      </c>
      <c r="J487" s="418">
        <f ca="1">IFERROR(__xludf.DUMMYFUNCTION("IMPORTRANGE(""https://docs.google.com/spreadsheets/d/11923uPwbBZFjjGgGUA6NLw09EwE0CqkOc4q9oUmW1yo/edit?usp=sharing"",""นครสวรรค์!J382"")"),0)</f>
        <v>0</v>
      </c>
      <c r="K487" s="163">
        <f t="shared" ca="1" si="117"/>
        <v>0</v>
      </c>
      <c r="L487" s="181"/>
      <c r="M487" s="181"/>
      <c r="N487" s="181"/>
      <c r="O487" s="181"/>
      <c r="P487" s="181"/>
    </row>
    <row r="488" spans="1:16" ht="21.75" customHeight="1" x14ac:dyDescent="0.3">
      <c r="A488" s="400"/>
      <c r="B488" s="401"/>
      <c r="C488" s="401"/>
      <c r="D488" s="402"/>
      <c r="E488" s="195"/>
      <c r="F488" s="195"/>
      <c r="G488" s="195"/>
      <c r="H488" s="420" t="s">
        <v>36</v>
      </c>
      <c r="I488" s="202">
        <f ca="1">IFERROR(__xludf.DUMMYFUNCTION("IMPORTRANGE(""https://docs.google.com/spreadsheets/d/11923uPwbBZFjjGgGUA6NLw09EwE0CqkOc4q9oUmW1yo/edit?usp=sharing"",""นครสวรรค์!I383"")"),0)</f>
        <v>0</v>
      </c>
      <c r="J488" s="418">
        <f ca="1">IFERROR(__xludf.DUMMYFUNCTION("IMPORTRANGE(""https://docs.google.com/spreadsheets/d/11923uPwbBZFjjGgGUA6NLw09EwE0CqkOc4q9oUmW1yo/edit?usp=sharing"",""นครสวรรค์!J383"")"),0)</f>
        <v>0</v>
      </c>
      <c r="K488" s="163">
        <f t="shared" ca="1" si="117"/>
        <v>0</v>
      </c>
      <c r="L488" s="181"/>
      <c r="M488" s="181"/>
      <c r="N488" s="181"/>
      <c r="O488" s="181"/>
      <c r="P488" s="181"/>
    </row>
    <row r="489" spans="1:16" ht="21.75" customHeight="1" x14ac:dyDescent="0.3">
      <c r="A489" s="400"/>
      <c r="B489" s="401"/>
      <c r="C489" s="401"/>
      <c r="D489" s="402"/>
      <c r="E489" s="195"/>
      <c r="F489" s="195"/>
      <c r="G489" s="194" t="s">
        <v>179</v>
      </c>
      <c r="H489" s="420" t="s">
        <v>122</v>
      </c>
      <c r="I489" s="202">
        <f ca="1">IFERROR(__xludf.DUMMYFUNCTION("IMPORTRANGE(""https://docs.google.com/spreadsheets/d/11923uPwbBZFjjGgGUA6NLw09EwE0CqkOc4q9oUmW1yo/edit?usp=sharing"",""นครสวรรค์!I384"")"),0)</f>
        <v>0</v>
      </c>
      <c r="J489" s="188">
        <f ca="1">IFERROR(__xludf.DUMMYFUNCTION("IMPORTRANGE(""https://docs.google.com/spreadsheets/d/11923uPwbBZFjjGgGUA6NLw09EwE0CqkOc4q9oUmW1yo/edit?usp=sharing"",""นครสวรรค์!J384"")"),0)</f>
        <v>0</v>
      </c>
      <c r="K489" s="163">
        <f t="shared" ca="1" si="117"/>
        <v>0</v>
      </c>
      <c r="L489" s="181"/>
      <c r="M489" s="181"/>
      <c r="N489" s="181"/>
      <c r="O489" s="181"/>
      <c r="P489" s="181"/>
    </row>
    <row r="490" spans="1:16" ht="21.75" customHeight="1" x14ac:dyDescent="0.3">
      <c r="A490" s="400"/>
      <c r="B490" s="401"/>
      <c r="C490" s="401"/>
      <c r="D490" s="402"/>
      <c r="E490" s="195"/>
      <c r="F490" s="195"/>
      <c r="G490" s="195"/>
      <c r="H490" s="420" t="s">
        <v>36</v>
      </c>
      <c r="I490" s="202">
        <f ca="1">IFERROR(__xludf.DUMMYFUNCTION("IMPORTRANGE(""https://docs.google.com/spreadsheets/d/11923uPwbBZFjjGgGUA6NLw09EwE0CqkOc4q9oUmW1yo/edit?usp=sharing"",""นครสวรรค์!I385"")"),0)</f>
        <v>0</v>
      </c>
      <c r="J490" s="188">
        <f ca="1">IFERROR(__xludf.DUMMYFUNCTION("IMPORTRANGE(""https://docs.google.com/spreadsheets/d/11923uPwbBZFjjGgGUA6NLw09EwE0CqkOc4q9oUmW1yo/edit?usp=sharing"",""นครสวรรค์!J385"")"),0)</f>
        <v>0</v>
      </c>
      <c r="K490" s="163">
        <f t="shared" ca="1" si="117"/>
        <v>0</v>
      </c>
      <c r="L490" s="181"/>
      <c r="M490" s="181"/>
      <c r="N490" s="181"/>
      <c r="O490" s="181"/>
      <c r="P490" s="181"/>
    </row>
    <row r="491" spans="1:16" ht="21.75" customHeight="1" x14ac:dyDescent="0.3">
      <c r="A491" s="400"/>
      <c r="B491" s="401"/>
      <c r="C491" s="401"/>
      <c r="D491" s="402"/>
      <c r="E491" s="195"/>
      <c r="F491" s="195"/>
      <c r="G491" s="194" t="s">
        <v>180</v>
      </c>
      <c r="H491" s="420" t="s">
        <v>122</v>
      </c>
      <c r="I491" s="202">
        <f ca="1">IFERROR(__xludf.DUMMYFUNCTION("IMPORTRANGE(""https://docs.google.com/spreadsheets/d/11923uPwbBZFjjGgGUA6NLw09EwE0CqkOc4q9oUmW1yo/edit?usp=sharing"",""นครสวรรค์!I386"")"),0)</f>
        <v>0</v>
      </c>
      <c r="J491" s="188">
        <f ca="1">IFERROR(__xludf.DUMMYFUNCTION("IMPORTRANGE(""https://docs.google.com/spreadsheets/d/11923uPwbBZFjjGgGUA6NLw09EwE0CqkOc4q9oUmW1yo/edit?usp=sharing"",""นครสวรรค์!J386"")"),0)</f>
        <v>0</v>
      </c>
      <c r="K491" s="163">
        <f t="shared" ca="1" si="117"/>
        <v>0</v>
      </c>
      <c r="L491" s="181"/>
      <c r="M491" s="181"/>
      <c r="N491" s="181"/>
      <c r="O491" s="181"/>
      <c r="P491" s="181"/>
    </row>
    <row r="492" spans="1:16" ht="21.75" customHeight="1" x14ac:dyDescent="0.3">
      <c r="A492" s="400"/>
      <c r="B492" s="401"/>
      <c r="C492" s="401"/>
      <c r="D492" s="402"/>
      <c r="E492" s="195"/>
      <c r="F492" s="195"/>
      <c r="G492" s="196"/>
      <c r="H492" s="420" t="s">
        <v>36</v>
      </c>
      <c r="I492" s="202">
        <f ca="1">IFERROR(__xludf.DUMMYFUNCTION("IMPORTRANGE(""https://docs.google.com/spreadsheets/d/11923uPwbBZFjjGgGUA6NLw09EwE0CqkOc4q9oUmW1yo/edit?usp=sharing"",""นครสวรรค์!I387"")"),0)</f>
        <v>0</v>
      </c>
      <c r="J492" s="188">
        <f ca="1">IFERROR(__xludf.DUMMYFUNCTION("IMPORTRANGE(""https://docs.google.com/spreadsheets/d/11923uPwbBZFjjGgGUA6NLw09EwE0CqkOc4q9oUmW1yo/edit?usp=sharing"",""นครสวรรค์!J387"")"),0)</f>
        <v>0</v>
      </c>
      <c r="K492" s="163">
        <f t="shared" ca="1" si="117"/>
        <v>0</v>
      </c>
      <c r="L492" s="181"/>
      <c r="M492" s="181"/>
      <c r="N492" s="181"/>
      <c r="O492" s="181"/>
      <c r="P492" s="181"/>
    </row>
    <row r="493" spans="1:16" ht="21.75" customHeight="1" x14ac:dyDescent="0.3">
      <c r="A493" s="400"/>
      <c r="B493" s="401"/>
      <c r="C493" s="401"/>
      <c r="D493" s="402"/>
      <c r="E493" s="195"/>
      <c r="F493" s="194" t="s">
        <v>181</v>
      </c>
      <c r="G493" s="419"/>
      <c r="H493" s="420" t="s">
        <v>122</v>
      </c>
      <c r="I493" s="202">
        <f ca="1">IFERROR(__xludf.DUMMYFUNCTION("IMPORTRANGE(""https://docs.google.com/spreadsheets/d/11923uPwbBZFjjGgGUA6NLw09EwE0CqkOc4q9oUmW1yo/edit?usp=sharing"",""นครสวรรค์!I388"")"),0)</f>
        <v>0</v>
      </c>
      <c r="J493" s="188">
        <f ca="1">IFERROR(__xludf.DUMMYFUNCTION("IMPORTRANGE(""https://docs.google.com/spreadsheets/d/11923uPwbBZFjjGgGUA6NLw09EwE0CqkOc4q9oUmW1yo/edit?usp=sharing"",""นครสวรรค์!J388"")"),0)</f>
        <v>0</v>
      </c>
      <c r="K493" s="163">
        <f t="shared" ca="1" si="117"/>
        <v>0</v>
      </c>
      <c r="L493" s="181"/>
      <c r="M493" s="181"/>
      <c r="N493" s="181"/>
      <c r="O493" s="181"/>
      <c r="P493" s="181"/>
    </row>
    <row r="494" spans="1:16" ht="21.75" customHeight="1" x14ac:dyDescent="0.3">
      <c r="A494" s="429"/>
      <c r="B494" s="430"/>
      <c r="C494" s="430"/>
      <c r="D494" s="431"/>
      <c r="E494" s="345"/>
      <c r="F494" s="345"/>
      <c r="G494" s="345"/>
      <c r="H494" s="432" t="s">
        <v>36</v>
      </c>
      <c r="I494" s="433">
        <f ca="1">IFERROR(__xludf.DUMMYFUNCTION("IMPORTRANGE(""https://docs.google.com/spreadsheets/d/11923uPwbBZFjjGgGUA6NLw09EwE0CqkOc4q9oUmW1yo/edit?usp=sharing"",""นครสวรรค์!I389"")"),0)</f>
        <v>0</v>
      </c>
      <c r="J494" s="434">
        <f ca="1">IFERROR(__xludf.DUMMYFUNCTION("IMPORTRANGE(""https://docs.google.com/spreadsheets/d/11923uPwbBZFjjGgGUA6NLw09EwE0CqkOc4q9oUmW1yo/edit?usp=sharing"",""นครสวรรค์!J389"")"),0)</f>
        <v>0</v>
      </c>
      <c r="K494" s="286">
        <f t="shared" ca="1" si="117"/>
        <v>0</v>
      </c>
      <c r="L494" s="244"/>
      <c r="M494" s="244"/>
      <c r="N494" s="244"/>
      <c r="O494" s="244"/>
      <c r="P494" s="244"/>
    </row>
    <row r="495" spans="1:16" ht="21.75" customHeight="1" x14ac:dyDescent="0.3">
      <c r="A495" s="400"/>
      <c r="B495" s="401"/>
      <c r="C495" s="401"/>
      <c r="D495" s="402"/>
      <c r="E495" s="195"/>
      <c r="F495" s="195">
        <v>3.5</v>
      </c>
      <c r="G495" s="419" t="s">
        <v>182</v>
      </c>
      <c r="H495" s="420" t="s">
        <v>122</v>
      </c>
      <c r="I495" s="433">
        <f ca="1">IFERROR(__xludf.DUMMYFUNCTION("IMPORTRANGE(""https://docs.google.com/spreadsheets/d/11923uPwbBZFjjGgGUA6NLw09EwE0CqkOc4q9oUmW1yo/edit?usp=sharing"",""นครสวรรค์!I390"")"),0)</f>
        <v>0</v>
      </c>
      <c r="J495" s="434">
        <f ca="1">IFERROR(__xludf.DUMMYFUNCTION("IMPORTRANGE(""https://docs.google.com/spreadsheets/d/11923uPwbBZFjjGgGUA6NLw09EwE0CqkOc4q9oUmW1yo/edit?usp=sharing"",""นครสวรรค์!J390"")"),0)</f>
        <v>0</v>
      </c>
      <c r="K495" s="163">
        <f t="shared" ca="1" si="117"/>
        <v>0</v>
      </c>
      <c r="L495" s="181"/>
      <c r="M495" s="181"/>
      <c r="N495" s="181"/>
      <c r="O495" s="181"/>
      <c r="P495" s="181"/>
    </row>
    <row r="496" spans="1:16" ht="21.75" customHeight="1" x14ac:dyDescent="0.3">
      <c r="A496" s="429"/>
      <c r="B496" s="430"/>
      <c r="C496" s="430"/>
      <c r="D496" s="431"/>
      <c r="E496" s="345"/>
      <c r="F496" s="345"/>
      <c r="G496" s="345"/>
      <c r="H496" s="432" t="s">
        <v>36</v>
      </c>
      <c r="I496" s="433">
        <f ca="1">IFERROR(__xludf.DUMMYFUNCTION("IMPORTRANGE(""https://docs.google.com/spreadsheets/d/11923uPwbBZFjjGgGUA6NLw09EwE0CqkOc4q9oUmW1yo/edit?usp=sharing"",""นครสวรรค์!I391"")"),0)</f>
        <v>0</v>
      </c>
      <c r="J496" s="434">
        <f ca="1">IFERROR(__xludf.DUMMYFUNCTION("IMPORTRANGE(""https://docs.google.com/spreadsheets/d/11923uPwbBZFjjGgGUA6NLw09EwE0CqkOc4q9oUmW1yo/edit?usp=sharing"",""นครสวรรค์!J391"")"),0)</f>
        <v>0</v>
      </c>
      <c r="K496" s="286">
        <f t="shared" ca="1" si="117"/>
        <v>0</v>
      </c>
      <c r="L496" s="244"/>
      <c r="M496" s="244"/>
      <c r="N496" s="244"/>
      <c r="O496" s="244"/>
      <c r="P496" s="244"/>
    </row>
    <row r="497" spans="1:16" ht="21.75" customHeight="1" x14ac:dyDescent="0.3">
      <c r="A497" s="435"/>
      <c r="B497" s="436"/>
      <c r="C497" s="437" t="s">
        <v>183</v>
      </c>
      <c r="D497" s="437"/>
      <c r="E497" s="438"/>
      <c r="F497" s="438"/>
      <c r="G497" s="439"/>
      <c r="H497" s="440" t="s">
        <v>122</v>
      </c>
      <c r="I497" s="441">
        <f ca="1">IFERROR(__xludf.DUMMYFUNCTION("IMPORTRANGE(""https://docs.google.com/spreadsheets/d/11923uPwbBZFjjGgGUA6NLw09EwE0CqkOc4q9oUmW1yo/edit?usp=sharing"",""นครสวรรค์!I392"")"),14261)</f>
        <v>14261</v>
      </c>
      <c r="J497" s="441">
        <f ca="1">IFERROR(__xludf.DUMMYFUNCTION("IMPORTRANGE(""https://docs.google.com/spreadsheets/d/11923uPwbBZFjjGgGUA6NLw09EwE0CqkOc4q9oUmW1yo/edit?usp=sharing"",""นครสวรรค์!J392"")"),0)</f>
        <v>0</v>
      </c>
      <c r="K497" s="442">
        <f t="shared" ca="1" si="117"/>
        <v>0</v>
      </c>
      <c r="L497" s="443"/>
      <c r="M497" s="443"/>
      <c r="N497" s="443"/>
      <c r="O497" s="443"/>
      <c r="P497" s="443"/>
    </row>
    <row r="498" spans="1:16" ht="21.75" customHeight="1" x14ac:dyDescent="0.3">
      <c r="A498" s="175"/>
      <c r="B498" s="176"/>
      <c r="C498" s="176"/>
      <c r="D498" s="402"/>
      <c r="E498" s="444" t="s">
        <v>184</v>
      </c>
      <c r="F498" s="445"/>
      <c r="G498" s="446"/>
      <c r="H498" s="447" t="s">
        <v>122</v>
      </c>
      <c r="I498" s="418">
        <f ca="1">IFERROR(__xludf.DUMMYFUNCTION("IMPORTRANGE(""https://docs.google.com/spreadsheets/d/11923uPwbBZFjjGgGUA6NLw09EwE0CqkOc4q9oUmW1yo/edit?usp=sharing"",""นครสวรรค์!I393"")"),14261)</f>
        <v>14261</v>
      </c>
      <c r="J498" s="418">
        <f ca="1">IFERROR(__xludf.DUMMYFUNCTION("IMPORTRANGE(""https://docs.google.com/spreadsheets/d/11923uPwbBZFjjGgGUA6NLw09EwE0CqkOc4q9oUmW1yo/edit?usp=sharing"",""นครสวรรค์!J393"")"),0)</f>
        <v>0</v>
      </c>
      <c r="K498" s="163">
        <f t="shared" ca="1" si="117"/>
        <v>0</v>
      </c>
      <c r="L498" s="181"/>
      <c r="M498" s="181"/>
      <c r="N498" s="181"/>
      <c r="O498" s="181"/>
      <c r="P498" s="181"/>
    </row>
    <row r="499" spans="1:16" ht="21.75" customHeight="1" x14ac:dyDescent="0.3">
      <c r="A499" s="175"/>
      <c r="B499" s="176"/>
      <c r="C499" s="176"/>
      <c r="D499" s="193"/>
      <c r="E499" s="445"/>
      <c r="F499" s="445"/>
      <c r="G499" s="446"/>
      <c r="H499" s="447" t="s">
        <v>36</v>
      </c>
      <c r="I499" s="418">
        <f ca="1">IFERROR(__xludf.DUMMYFUNCTION("IMPORTRANGE(""https://docs.google.com/spreadsheets/d/11923uPwbBZFjjGgGUA6NLw09EwE0CqkOc4q9oUmW1yo/edit?usp=sharing"",""นครสวรรค์!I394"")"),770)</f>
        <v>770</v>
      </c>
      <c r="J499" s="418">
        <f ca="1">IFERROR(__xludf.DUMMYFUNCTION("IMPORTRANGE(""https://docs.google.com/spreadsheets/d/11923uPwbBZFjjGgGUA6NLw09EwE0CqkOc4q9oUmW1yo/edit?usp=sharing"",""นครสวรรค์!J394"")"),0)</f>
        <v>0</v>
      </c>
      <c r="K499" s="201">
        <f t="shared" ca="1" si="117"/>
        <v>0</v>
      </c>
      <c r="L499" s="181"/>
      <c r="M499" s="181"/>
      <c r="N499" s="181"/>
      <c r="O499" s="181"/>
      <c r="P499" s="181"/>
    </row>
    <row r="500" spans="1:16" ht="21.75" customHeight="1" x14ac:dyDescent="0.3">
      <c r="A500" s="175"/>
      <c r="B500" s="176"/>
      <c r="C500" s="176"/>
      <c r="D500" s="402"/>
      <c r="E500" s="402" t="s">
        <v>185</v>
      </c>
      <c r="F500" s="195"/>
      <c r="G500" s="196"/>
      <c r="H500" s="420" t="s">
        <v>122</v>
      </c>
      <c r="I500" s="202">
        <f ca="1">IFERROR(__xludf.DUMMYFUNCTION("IMPORTRANGE(""https://docs.google.com/spreadsheets/d/11923uPwbBZFjjGgGUA6NLw09EwE0CqkOc4q9oUmW1yo/edit?usp=sharing"",""นครสวรรค์!I395"")"),0)</f>
        <v>0</v>
      </c>
      <c r="J500" s="162">
        <f ca="1">IFERROR(__xludf.DUMMYFUNCTION("IMPORTRANGE(""https://docs.google.com/spreadsheets/d/11923uPwbBZFjjGgGUA6NLw09EwE0CqkOc4q9oUmW1yo/edit?usp=sharing"",""นครสวรรค์!J395"")"),0)</f>
        <v>0</v>
      </c>
      <c r="K500" s="163">
        <f t="shared" ca="1" si="117"/>
        <v>0</v>
      </c>
      <c r="L500" s="181"/>
      <c r="M500" s="181"/>
      <c r="N500" s="181"/>
      <c r="O500" s="181"/>
      <c r="P500" s="181"/>
    </row>
    <row r="501" spans="1:16" ht="21.75" customHeight="1" x14ac:dyDescent="0.3">
      <c r="A501" s="175"/>
      <c r="B501" s="176"/>
      <c r="C501" s="176"/>
      <c r="D501" s="193"/>
      <c r="E501" s="195"/>
      <c r="F501" s="195"/>
      <c r="G501" s="196"/>
      <c r="H501" s="420" t="s">
        <v>36</v>
      </c>
      <c r="I501" s="202">
        <f ca="1">IFERROR(__xludf.DUMMYFUNCTION("IMPORTRANGE(""https://docs.google.com/spreadsheets/d/11923uPwbBZFjjGgGUA6NLw09EwE0CqkOc4q9oUmW1yo/edit?usp=sharing"",""นครสวรรค์!I396"")"),0)</f>
        <v>0</v>
      </c>
      <c r="J501" s="162">
        <f ca="1">IFERROR(__xludf.DUMMYFUNCTION("IMPORTRANGE(""https://docs.google.com/spreadsheets/d/11923uPwbBZFjjGgGUA6NLw09EwE0CqkOc4q9oUmW1yo/edit?usp=sharing"",""นครสวรรค์!J396"")"),0)</f>
        <v>0</v>
      </c>
      <c r="K501" s="163">
        <f t="shared" ca="1" si="117"/>
        <v>0</v>
      </c>
      <c r="L501" s="181"/>
      <c r="M501" s="181"/>
      <c r="N501" s="181"/>
      <c r="O501" s="181"/>
      <c r="P501" s="181"/>
    </row>
    <row r="502" spans="1:16" ht="21.75" customHeight="1" x14ac:dyDescent="0.3">
      <c r="A502" s="175"/>
      <c r="B502" s="176"/>
      <c r="C502" s="176"/>
      <c r="D502" s="193"/>
      <c r="E502" s="195"/>
      <c r="F502" s="397" t="s">
        <v>186</v>
      </c>
      <c r="G502" s="419"/>
      <c r="H502" s="420" t="s">
        <v>122</v>
      </c>
      <c r="I502" s="202">
        <f ca="1">IFERROR(__xludf.DUMMYFUNCTION("IMPORTRANGE(""https://docs.google.com/spreadsheets/d/11923uPwbBZFjjGgGUA6NLw09EwE0CqkOc4q9oUmW1yo/edit?usp=sharing"",""นครสวรรค์!I397"")"),0)</f>
        <v>0</v>
      </c>
      <c r="J502" s="188">
        <f ca="1">IFERROR(__xludf.DUMMYFUNCTION("IMPORTRANGE(""https://docs.google.com/spreadsheets/d/11923uPwbBZFjjGgGUA6NLw09EwE0CqkOc4q9oUmW1yo/edit?usp=sharing"",""นครสวรรค์!J397"")"),0)</f>
        <v>0</v>
      </c>
      <c r="K502" s="163">
        <f t="shared" ca="1" si="117"/>
        <v>0</v>
      </c>
      <c r="L502" s="181"/>
      <c r="M502" s="181"/>
      <c r="N502" s="181"/>
      <c r="O502" s="181"/>
      <c r="P502" s="181"/>
    </row>
    <row r="503" spans="1:16" ht="21.75" customHeight="1" x14ac:dyDescent="0.3">
      <c r="A503" s="175"/>
      <c r="B503" s="176"/>
      <c r="C503" s="176"/>
      <c r="D503" s="193"/>
      <c r="E503" s="195"/>
      <c r="F503" s="195"/>
      <c r="G503" s="419"/>
      <c r="H503" s="420" t="s">
        <v>36</v>
      </c>
      <c r="I503" s="187">
        <f ca="1">IFERROR(__xludf.DUMMYFUNCTION("IMPORTRANGE(""https://docs.google.com/spreadsheets/d/11923uPwbBZFjjGgGUA6NLw09EwE0CqkOc4q9oUmW1yo/edit?usp=sharing"",""นครสวรรค์!I398"")"),0)</f>
        <v>0</v>
      </c>
      <c r="J503" s="197">
        <f ca="1">IFERROR(__xludf.DUMMYFUNCTION("IMPORTRANGE(""https://docs.google.com/spreadsheets/d/11923uPwbBZFjjGgGUA6NLw09EwE0CqkOc4q9oUmW1yo/edit?usp=sharing"",""นครสวรรค์!J398"")"),0)</f>
        <v>0</v>
      </c>
      <c r="K503" s="163">
        <f t="shared" ca="1" si="117"/>
        <v>0</v>
      </c>
      <c r="L503" s="181"/>
      <c r="M503" s="181"/>
      <c r="N503" s="181"/>
      <c r="O503" s="181"/>
      <c r="P503" s="181"/>
    </row>
    <row r="504" spans="1:16" ht="21.75" customHeight="1" x14ac:dyDescent="0.3">
      <c r="A504" s="175"/>
      <c r="B504" s="176"/>
      <c r="C504" s="176"/>
      <c r="D504" s="193"/>
      <c r="E504" s="195"/>
      <c r="F504" s="388" t="s">
        <v>187</v>
      </c>
      <c r="G504" s="419"/>
      <c r="H504" s="420" t="s">
        <v>122</v>
      </c>
      <c r="I504" s="203">
        <f ca="1">IFERROR(__xludf.DUMMYFUNCTION("IMPORTRANGE(""https://docs.google.com/spreadsheets/d/11923uPwbBZFjjGgGUA6NLw09EwE0CqkOc4q9oUmW1yo/edit?usp=sharing"",""นครสวรรค์!I399"")"),0)</f>
        <v>0</v>
      </c>
      <c r="J504" s="188">
        <f ca="1">IFERROR(__xludf.DUMMYFUNCTION("IMPORTRANGE(""https://docs.google.com/spreadsheets/d/11923uPwbBZFjjGgGUA6NLw09EwE0CqkOc4q9oUmW1yo/edit?usp=sharing"",""นครสวรรค์!J399"")"),0)</f>
        <v>0</v>
      </c>
      <c r="K504" s="163">
        <f t="shared" ca="1" si="117"/>
        <v>0</v>
      </c>
      <c r="L504" s="181"/>
      <c r="M504" s="181"/>
      <c r="N504" s="181"/>
      <c r="O504" s="181"/>
      <c r="P504" s="181"/>
    </row>
    <row r="505" spans="1:16" ht="21.75" customHeight="1" x14ac:dyDescent="0.3">
      <c r="A505" s="175"/>
      <c r="B505" s="176"/>
      <c r="C505" s="176"/>
      <c r="D505" s="193"/>
      <c r="E505" s="195"/>
      <c r="F505" s="195"/>
      <c r="G505" s="419"/>
      <c r="H505" s="420" t="s">
        <v>36</v>
      </c>
      <c r="I505" s="187">
        <f ca="1">IFERROR(__xludf.DUMMYFUNCTION("IMPORTRANGE(""https://docs.google.com/spreadsheets/d/11923uPwbBZFjjGgGUA6NLw09EwE0CqkOc4q9oUmW1yo/edit?usp=sharing"",""นครสวรรค์!I400"")"),0)</f>
        <v>0</v>
      </c>
      <c r="J505" s="197">
        <f ca="1">IFERROR(__xludf.DUMMYFUNCTION("IMPORTRANGE(""https://docs.google.com/spreadsheets/d/11923uPwbBZFjjGgGUA6NLw09EwE0CqkOc4q9oUmW1yo/edit?usp=sharing"",""นครสวรรค์!J400"")"),0)</f>
        <v>0</v>
      </c>
      <c r="K505" s="163">
        <f t="shared" ca="1" si="117"/>
        <v>0</v>
      </c>
      <c r="L505" s="181"/>
      <c r="M505" s="181"/>
      <c r="N505" s="181"/>
      <c r="O505" s="181"/>
      <c r="P505" s="181"/>
    </row>
    <row r="506" spans="1:16" ht="21.75" customHeight="1" x14ac:dyDescent="0.3">
      <c r="A506" s="175"/>
      <c r="B506" s="176"/>
      <c r="C506" s="176"/>
      <c r="D506" s="193"/>
      <c r="E506" s="195"/>
      <c r="F506" s="397" t="s">
        <v>188</v>
      </c>
      <c r="G506" s="419"/>
      <c r="H506" s="420" t="s">
        <v>122</v>
      </c>
      <c r="I506" s="203">
        <f ca="1">IFERROR(__xludf.DUMMYFUNCTION("IMPORTRANGE(""https://docs.google.com/spreadsheets/d/11923uPwbBZFjjGgGUA6NLw09EwE0CqkOc4q9oUmW1yo/edit?usp=sharing"",""นครสวรรค์!I401"")"),0)</f>
        <v>0</v>
      </c>
      <c r="J506" s="188">
        <f ca="1">IFERROR(__xludf.DUMMYFUNCTION("IMPORTRANGE(""https://docs.google.com/spreadsheets/d/11923uPwbBZFjjGgGUA6NLw09EwE0CqkOc4q9oUmW1yo/edit?usp=sharing"",""นครสวรรค์!J401"")"),0)</f>
        <v>0</v>
      </c>
      <c r="K506" s="163">
        <f t="shared" ca="1" si="117"/>
        <v>0</v>
      </c>
      <c r="L506" s="181"/>
      <c r="M506" s="181"/>
      <c r="N506" s="181"/>
      <c r="O506" s="181"/>
      <c r="P506" s="181"/>
    </row>
    <row r="507" spans="1:16" ht="21.75" customHeight="1" x14ac:dyDescent="0.3">
      <c r="A507" s="175"/>
      <c r="B507" s="176"/>
      <c r="C507" s="176"/>
      <c r="D507" s="193"/>
      <c r="E507" s="195"/>
      <c r="F507" s="195"/>
      <c r="G507" s="195"/>
      <c r="H507" s="420" t="s">
        <v>36</v>
      </c>
      <c r="I507" s="187">
        <f ca="1">IFERROR(__xludf.DUMMYFUNCTION("IMPORTRANGE(""https://docs.google.com/spreadsheets/d/11923uPwbBZFjjGgGUA6NLw09EwE0CqkOc4q9oUmW1yo/edit?usp=sharing"",""นครสวรรค์!I402"")"),0)</f>
        <v>0</v>
      </c>
      <c r="J507" s="197">
        <f ca="1">IFERROR(__xludf.DUMMYFUNCTION("IMPORTRANGE(""https://docs.google.com/spreadsheets/d/11923uPwbBZFjjGgGUA6NLw09EwE0CqkOc4q9oUmW1yo/edit?usp=sharing"",""นครสวรรค์!J402"")"),0)</f>
        <v>0</v>
      </c>
      <c r="K507" s="163">
        <f t="shared" ca="1" si="117"/>
        <v>0</v>
      </c>
      <c r="L507" s="181"/>
      <c r="M507" s="181"/>
      <c r="N507" s="181"/>
      <c r="O507" s="181"/>
      <c r="P507" s="181"/>
    </row>
    <row r="508" spans="1:16" ht="21.75" customHeight="1" x14ac:dyDescent="0.3">
      <c r="A508" s="175"/>
      <c r="B508" s="176"/>
      <c r="C508" s="176"/>
      <c r="D508" s="193"/>
      <c r="E508" s="194" t="s">
        <v>189</v>
      </c>
      <c r="F508" s="195"/>
      <c r="G508" s="419"/>
      <c r="H508" s="420" t="s">
        <v>122</v>
      </c>
      <c r="I508" s="187">
        <f ca="1">IFERROR(__xludf.DUMMYFUNCTION("IMPORTRANGE(""https://docs.google.com/spreadsheets/d/11923uPwbBZFjjGgGUA6NLw09EwE0CqkOc4q9oUmW1yo/edit?usp=sharing"",""นครสวรรค์!I403"")"),0)</f>
        <v>0</v>
      </c>
      <c r="J508" s="162">
        <f ca="1">IFERROR(__xludf.DUMMYFUNCTION("IMPORTRANGE(""https://docs.google.com/spreadsheets/d/11923uPwbBZFjjGgGUA6NLw09EwE0CqkOc4q9oUmW1yo/edit?usp=sharing"",""นครสวรรค์!J403"")"),0)</f>
        <v>0</v>
      </c>
      <c r="K508" s="163">
        <f t="shared" ca="1" si="117"/>
        <v>0</v>
      </c>
      <c r="L508" s="181"/>
      <c r="M508" s="181"/>
      <c r="N508" s="181"/>
      <c r="O508" s="181"/>
      <c r="P508" s="181"/>
    </row>
    <row r="509" spans="1:16" ht="21.75" customHeight="1" x14ac:dyDescent="0.3">
      <c r="A509" s="175"/>
      <c r="B509" s="176"/>
      <c r="C509" s="176"/>
      <c r="D509" s="193"/>
      <c r="E509" s="195"/>
      <c r="F509" s="195"/>
      <c r="G509" s="195"/>
      <c r="H509" s="420" t="s">
        <v>36</v>
      </c>
      <c r="I509" s="187">
        <f ca="1">IFERROR(__xludf.DUMMYFUNCTION("IMPORTRANGE(""https://docs.google.com/spreadsheets/d/11923uPwbBZFjjGgGUA6NLw09EwE0CqkOc4q9oUmW1yo/edit?usp=sharing"",""นครสวรรค์!I404"")"),0)</f>
        <v>0</v>
      </c>
      <c r="J509" s="162">
        <f ca="1">IFERROR(__xludf.DUMMYFUNCTION("IMPORTRANGE(""https://docs.google.com/spreadsheets/d/11923uPwbBZFjjGgGUA6NLw09EwE0CqkOc4q9oUmW1yo/edit?usp=sharing"",""นครสวรรค์!J404"")"),0)</f>
        <v>0</v>
      </c>
      <c r="K509" s="163">
        <f t="shared" ca="1" si="117"/>
        <v>0</v>
      </c>
      <c r="L509" s="181"/>
      <c r="M509" s="181"/>
      <c r="N509" s="181"/>
      <c r="O509" s="181"/>
      <c r="P509" s="181"/>
    </row>
    <row r="510" spans="1:16" ht="21.75" customHeight="1" x14ac:dyDescent="0.3">
      <c r="A510" s="175"/>
      <c r="B510" s="176"/>
      <c r="C510" s="176"/>
      <c r="D510" s="193"/>
      <c r="E510" s="195"/>
      <c r="F510" s="194" t="s">
        <v>190</v>
      </c>
      <c r="G510" s="195"/>
      <c r="H510" s="420" t="s">
        <v>122</v>
      </c>
      <c r="I510" s="187">
        <f ca="1">IFERROR(__xludf.DUMMYFUNCTION("IMPORTRANGE(""https://docs.google.com/spreadsheets/d/11923uPwbBZFjjGgGUA6NLw09EwE0CqkOc4q9oUmW1yo/edit?usp=sharing"",""นครสวรรค์!I405"")"),0)</f>
        <v>0</v>
      </c>
      <c r="J510" s="197">
        <f ca="1">IFERROR(__xludf.DUMMYFUNCTION("IMPORTRANGE(""https://docs.google.com/spreadsheets/d/11923uPwbBZFjjGgGUA6NLw09EwE0CqkOc4q9oUmW1yo/edit?usp=sharing"",""นครสวรรค์!J405"")"),0)</f>
        <v>0</v>
      </c>
      <c r="K510" s="163">
        <f t="shared" ca="1" si="117"/>
        <v>0</v>
      </c>
      <c r="L510" s="181"/>
      <c r="M510" s="181"/>
      <c r="N510" s="181"/>
      <c r="O510" s="181"/>
      <c r="P510" s="181"/>
    </row>
    <row r="511" spans="1:16" ht="21.75" customHeight="1" x14ac:dyDescent="0.3">
      <c r="A511" s="175"/>
      <c r="B511" s="176"/>
      <c r="C511" s="176"/>
      <c r="D511" s="193"/>
      <c r="E511" s="195"/>
      <c r="F511" s="195"/>
      <c r="G511" s="195"/>
      <c r="H511" s="420" t="s">
        <v>36</v>
      </c>
      <c r="I511" s="187">
        <f ca="1">IFERROR(__xludf.DUMMYFUNCTION("IMPORTRANGE(""https://docs.google.com/spreadsheets/d/11923uPwbBZFjjGgGUA6NLw09EwE0CqkOc4q9oUmW1yo/edit?usp=sharing"",""นครสวรรค์!I406"")"),0)</f>
        <v>0</v>
      </c>
      <c r="J511" s="197">
        <f ca="1">IFERROR(__xludf.DUMMYFUNCTION("IMPORTRANGE(""https://docs.google.com/spreadsheets/d/11923uPwbBZFjjGgGUA6NLw09EwE0CqkOc4q9oUmW1yo/edit?usp=sharing"",""นครสวรรค์!J406"")"),0)</f>
        <v>0</v>
      </c>
      <c r="K511" s="163">
        <f t="shared" ca="1" si="117"/>
        <v>0</v>
      </c>
      <c r="L511" s="181"/>
      <c r="M511" s="181"/>
      <c r="N511" s="181"/>
      <c r="O511" s="181"/>
      <c r="P511" s="181"/>
    </row>
    <row r="512" spans="1:16" ht="21.75" customHeight="1" x14ac:dyDescent="0.3">
      <c r="A512" s="175"/>
      <c r="B512" s="176"/>
      <c r="C512" s="176"/>
      <c r="D512" s="193"/>
      <c r="E512" s="195"/>
      <c r="F512" s="194" t="s">
        <v>191</v>
      </c>
      <c r="G512" s="195"/>
      <c r="H512" s="420" t="s">
        <v>122</v>
      </c>
      <c r="I512" s="187">
        <f ca="1">IFERROR(__xludf.DUMMYFUNCTION("IMPORTRANGE(""https://docs.google.com/spreadsheets/d/11923uPwbBZFjjGgGUA6NLw09EwE0CqkOc4q9oUmW1yo/edit?usp=sharing"",""นครสวรรค์!I407"")"),0)</f>
        <v>0</v>
      </c>
      <c r="J512" s="197">
        <f ca="1">IFERROR(__xludf.DUMMYFUNCTION("IMPORTRANGE(""https://docs.google.com/spreadsheets/d/11923uPwbBZFjjGgGUA6NLw09EwE0CqkOc4q9oUmW1yo/edit?usp=sharing"",""นครสวรรค์!J407"")"),0)</f>
        <v>0</v>
      </c>
      <c r="K512" s="163">
        <f t="shared" ca="1" si="117"/>
        <v>0</v>
      </c>
      <c r="L512" s="181"/>
      <c r="M512" s="181"/>
      <c r="N512" s="181"/>
      <c r="O512" s="181"/>
      <c r="P512" s="181"/>
    </row>
    <row r="513" spans="1:16" ht="21.75" customHeight="1" x14ac:dyDescent="0.3">
      <c r="A513" s="175"/>
      <c r="B513" s="176"/>
      <c r="C513" s="176"/>
      <c r="D513" s="193"/>
      <c r="E513" s="195"/>
      <c r="F513" s="195"/>
      <c r="G513" s="196"/>
      <c r="H513" s="420" t="s">
        <v>36</v>
      </c>
      <c r="I513" s="187">
        <f ca="1">IFERROR(__xludf.DUMMYFUNCTION("IMPORTRANGE(""https://docs.google.com/spreadsheets/d/11923uPwbBZFjjGgGUA6NLw09EwE0CqkOc4q9oUmW1yo/edit?usp=sharing"",""นครสวรรค์!I408"")"),0)</f>
        <v>0</v>
      </c>
      <c r="J513" s="197">
        <f ca="1">IFERROR(__xludf.DUMMYFUNCTION("IMPORTRANGE(""https://docs.google.com/spreadsheets/d/11923uPwbBZFjjGgGUA6NLw09EwE0CqkOc4q9oUmW1yo/edit?usp=sharing"",""นครสวรรค์!J408"")"),0)</f>
        <v>0</v>
      </c>
      <c r="K513" s="163">
        <f t="shared" ca="1" si="117"/>
        <v>0</v>
      </c>
      <c r="L513" s="181"/>
      <c r="M513" s="181"/>
      <c r="N513" s="181"/>
      <c r="O513" s="181"/>
      <c r="P513" s="181"/>
    </row>
    <row r="514" spans="1:16" ht="21.75" customHeight="1" x14ac:dyDescent="0.3">
      <c r="A514" s="175"/>
      <c r="B514" s="176"/>
      <c r="C514" s="176"/>
      <c r="D514" s="402"/>
      <c r="E514" s="448" t="s">
        <v>192</v>
      </c>
      <c r="F514" s="195"/>
      <c r="G514" s="196"/>
      <c r="H514" s="420" t="s">
        <v>122</v>
      </c>
      <c r="I514" s="187">
        <f ca="1">IFERROR(__xludf.DUMMYFUNCTION("IMPORTRANGE(""https://docs.google.com/spreadsheets/d/11923uPwbBZFjjGgGUA6NLw09EwE0CqkOc4q9oUmW1yo/edit?usp=sharing"",""นครสวรรค์!I409"")"),0)</f>
        <v>0</v>
      </c>
      <c r="J514" s="197">
        <f ca="1">IFERROR(__xludf.DUMMYFUNCTION("IMPORTRANGE(""https://docs.google.com/spreadsheets/d/11923uPwbBZFjjGgGUA6NLw09EwE0CqkOc4q9oUmW1yo/edit?usp=sharing"",""นครสวรรค์!J409"")"),0)</f>
        <v>0</v>
      </c>
      <c r="K514" s="163">
        <f t="shared" ca="1" si="117"/>
        <v>0</v>
      </c>
      <c r="L514" s="181"/>
      <c r="M514" s="181"/>
      <c r="N514" s="181"/>
      <c r="O514" s="181"/>
      <c r="P514" s="181"/>
    </row>
    <row r="515" spans="1:16" ht="21.75" customHeight="1" x14ac:dyDescent="0.3">
      <c r="A515" s="175"/>
      <c r="B515" s="176"/>
      <c r="C515" s="176"/>
      <c r="D515" s="193"/>
      <c r="E515" s="195"/>
      <c r="F515" s="195"/>
      <c r="G515" s="196"/>
      <c r="H515" s="420" t="s">
        <v>36</v>
      </c>
      <c r="I515" s="187">
        <f ca="1">IFERROR(__xludf.DUMMYFUNCTION("IMPORTRANGE(""https://docs.google.com/spreadsheets/d/11923uPwbBZFjjGgGUA6NLw09EwE0CqkOc4q9oUmW1yo/edit?usp=sharing"",""นครสวรรค์!I410"")"),0)</f>
        <v>0</v>
      </c>
      <c r="J515" s="197">
        <f ca="1">IFERROR(__xludf.DUMMYFUNCTION("IMPORTRANGE(""https://docs.google.com/spreadsheets/d/11923uPwbBZFjjGgGUA6NLw09EwE0CqkOc4q9oUmW1yo/edit?usp=sharing"",""นครสวรรค์!J410"")"),0)</f>
        <v>0</v>
      </c>
      <c r="K515" s="163">
        <f t="shared" ca="1" si="117"/>
        <v>0</v>
      </c>
      <c r="L515" s="181"/>
      <c r="M515" s="181"/>
      <c r="N515" s="181"/>
      <c r="O515" s="181"/>
      <c r="P515" s="181"/>
    </row>
    <row r="516" spans="1:16" ht="21.75" customHeight="1" x14ac:dyDescent="0.3">
      <c r="A516" s="175"/>
      <c r="B516" s="176"/>
      <c r="C516" s="413" t="s">
        <v>193</v>
      </c>
      <c r="D516" s="413"/>
      <c r="E516" s="449"/>
      <c r="F516" s="449"/>
      <c r="G516" s="450"/>
      <c r="H516" s="451" t="s">
        <v>122</v>
      </c>
      <c r="I516" s="266">
        <f ca="1">IFERROR(__xludf.DUMMYFUNCTION("IMPORTRANGE(""https://docs.google.com/spreadsheets/d/11923uPwbBZFjjGgGUA6NLw09EwE0CqkOc4q9oUmW1yo/edit?usp=sharing"",""นครสวรรค์!I411"")"),0)</f>
        <v>0</v>
      </c>
      <c r="J516" s="266">
        <f ca="1">IFERROR(__xludf.DUMMYFUNCTION("IMPORTRANGE(""https://docs.google.com/spreadsheets/d/11923uPwbBZFjjGgGUA6NLw09EwE0CqkOc4q9oUmW1yo/edit?usp=sharing"",""นครสวรรค์!J411"")"),0)</f>
        <v>0</v>
      </c>
      <c r="K516" s="267">
        <v>0</v>
      </c>
      <c r="L516" s="181"/>
      <c r="M516" s="181"/>
      <c r="N516" s="181"/>
      <c r="O516" s="181"/>
      <c r="P516" s="181"/>
    </row>
    <row r="517" spans="1:16" ht="21.75" customHeight="1" x14ac:dyDescent="0.3">
      <c r="A517" s="175"/>
      <c r="B517" s="176"/>
      <c r="C517" s="452"/>
      <c r="D517" s="452"/>
      <c r="E517" s="452" t="s">
        <v>194</v>
      </c>
      <c r="F517" s="453"/>
      <c r="G517" s="454"/>
      <c r="H517" s="455" t="s">
        <v>122</v>
      </c>
      <c r="I517" s="282">
        <f ca="1">IFERROR(__xludf.DUMMYFUNCTION("IMPORTRANGE(""https://docs.google.com/spreadsheets/d/11923uPwbBZFjjGgGUA6NLw09EwE0CqkOc4q9oUmW1yo/edit?usp=sharing"",""นครสวรรค์!I412"")"),0)</f>
        <v>0</v>
      </c>
      <c r="J517" s="282">
        <f ca="1">IFERROR(__xludf.DUMMYFUNCTION("IMPORTRANGE(""https://docs.google.com/spreadsheets/d/11923uPwbBZFjjGgGUA6NLw09EwE0CqkOc4q9oUmW1yo/edit?usp=sharing"",""นครสวรรค์!J412"")"),0)</f>
        <v>0</v>
      </c>
      <c r="K517" s="283">
        <v>0</v>
      </c>
      <c r="L517" s="181"/>
      <c r="M517" s="181"/>
      <c r="N517" s="181"/>
      <c r="O517" s="181"/>
      <c r="P517" s="181"/>
    </row>
    <row r="518" spans="1:16" ht="21.75" customHeight="1" x14ac:dyDescent="0.3">
      <c r="A518" s="175"/>
      <c r="B518" s="176"/>
      <c r="C518" s="452"/>
      <c r="D518" s="452"/>
      <c r="E518" s="452" t="s">
        <v>195</v>
      </c>
      <c r="F518" s="453"/>
      <c r="G518" s="454"/>
      <c r="H518" s="455" t="s">
        <v>36</v>
      </c>
      <c r="I518" s="282">
        <f ca="1">IFERROR(__xludf.DUMMYFUNCTION("IMPORTRANGE(""https://docs.google.com/spreadsheets/d/11923uPwbBZFjjGgGUA6NLw09EwE0CqkOc4q9oUmW1yo/edit?usp=sharing"",""นครสวรรค์!I413"")"),0)</f>
        <v>0</v>
      </c>
      <c r="J518" s="282">
        <f ca="1">IFERROR(__xludf.DUMMYFUNCTION("IMPORTRANGE(""https://docs.google.com/spreadsheets/d/11923uPwbBZFjjGgGUA6NLw09EwE0CqkOc4q9oUmW1yo/edit?usp=sharing"",""นครสวรรค์!J413"")"),0)</f>
        <v>0</v>
      </c>
      <c r="K518" s="283">
        <v>0</v>
      </c>
      <c r="L518" s="181"/>
      <c r="M518" s="181"/>
      <c r="N518" s="181"/>
      <c r="O518" s="181"/>
      <c r="P518" s="181"/>
    </row>
    <row r="519" spans="1:16" ht="21.75" customHeight="1" x14ac:dyDescent="0.3">
      <c r="A519" s="175"/>
      <c r="B519" s="176"/>
      <c r="C519" s="176"/>
      <c r="D519" s="193"/>
      <c r="E519" s="195"/>
      <c r="F519" s="195"/>
      <c r="G519" s="225" t="s">
        <v>196</v>
      </c>
      <c r="H519" s="420" t="s">
        <v>122</v>
      </c>
      <c r="I519" s="187">
        <f ca="1">IFERROR(__xludf.DUMMYFUNCTION("IMPORTRANGE(""https://docs.google.com/spreadsheets/d/11923uPwbBZFjjGgGUA6NLw09EwE0CqkOc4q9oUmW1yo/edit?usp=sharing"",""นครสวรรค์!I414"")"),0)</f>
        <v>0</v>
      </c>
      <c r="J519" s="187">
        <f ca="1">IFERROR(__xludf.DUMMYFUNCTION("IMPORTRANGE(""https://docs.google.com/spreadsheets/d/11923uPwbBZFjjGgGUA6NLw09EwE0CqkOc4q9oUmW1yo/edit?usp=sharing"",""นครสวรรค์!J414"")"),0)</f>
        <v>0</v>
      </c>
      <c r="K519" s="163">
        <v>0</v>
      </c>
      <c r="L519" s="181"/>
      <c r="M519" s="181"/>
      <c r="N519" s="181"/>
      <c r="O519" s="181"/>
      <c r="P519" s="181"/>
    </row>
    <row r="520" spans="1:16" ht="21.75" customHeight="1" x14ac:dyDescent="0.3">
      <c r="A520" s="175"/>
      <c r="B520" s="176"/>
      <c r="C520" s="176"/>
      <c r="D520" s="193"/>
      <c r="E520" s="195"/>
      <c r="F520" s="195"/>
      <c r="G520" s="196"/>
      <c r="H520" s="420" t="s">
        <v>36</v>
      </c>
      <c r="I520" s="187">
        <f ca="1">IFERROR(__xludf.DUMMYFUNCTION("IMPORTRANGE(""https://docs.google.com/spreadsheets/d/11923uPwbBZFjjGgGUA6NLw09EwE0CqkOc4q9oUmW1yo/edit?usp=sharing"",""นครสวรรค์!I415"")"),0)</f>
        <v>0</v>
      </c>
      <c r="J520" s="187">
        <f ca="1">IFERROR(__xludf.DUMMYFUNCTION("IMPORTRANGE(""https://docs.google.com/spreadsheets/d/11923uPwbBZFjjGgGUA6NLw09EwE0CqkOc4q9oUmW1yo/edit?usp=sharing"",""นครสวรรค์!J415"")"),0)</f>
        <v>0</v>
      </c>
      <c r="K520" s="163">
        <v>0</v>
      </c>
      <c r="L520" s="181"/>
      <c r="M520" s="181"/>
      <c r="N520" s="181"/>
      <c r="O520" s="181"/>
      <c r="P520" s="181"/>
    </row>
    <row r="521" spans="1:16" ht="21.75" customHeight="1" x14ac:dyDescent="0.3">
      <c r="A521" s="175"/>
      <c r="B521" s="176"/>
      <c r="C521" s="176"/>
      <c r="D521" s="193"/>
      <c r="E521" s="195"/>
      <c r="F521" s="195"/>
      <c r="G521" s="225" t="s">
        <v>197</v>
      </c>
      <c r="H521" s="420" t="s">
        <v>122</v>
      </c>
      <c r="I521" s="187">
        <f ca="1">IFERROR(__xludf.DUMMYFUNCTION("IMPORTRANGE(""https://docs.google.com/spreadsheets/d/11923uPwbBZFjjGgGUA6NLw09EwE0CqkOc4q9oUmW1yo/edit?usp=sharing"",""นครสวรรค์!I416"")"),0)</f>
        <v>0</v>
      </c>
      <c r="J521" s="187">
        <f ca="1">IFERROR(__xludf.DUMMYFUNCTION("IMPORTRANGE(""https://docs.google.com/spreadsheets/d/11923uPwbBZFjjGgGUA6NLw09EwE0CqkOc4q9oUmW1yo/edit?usp=sharing"",""นครสวรรค์!J416"")"),0)</f>
        <v>0</v>
      </c>
      <c r="K521" s="163">
        <v>0</v>
      </c>
      <c r="L521" s="181"/>
      <c r="M521" s="181"/>
      <c r="N521" s="181"/>
      <c r="O521" s="181"/>
      <c r="P521" s="181"/>
    </row>
    <row r="522" spans="1:16" ht="21.75" customHeight="1" x14ac:dyDescent="0.3">
      <c r="A522" s="175"/>
      <c r="B522" s="176"/>
      <c r="C522" s="176"/>
      <c r="D522" s="193"/>
      <c r="E522" s="195"/>
      <c r="F522" s="195"/>
      <c r="G522" s="196"/>
      <c r="H522" s="420" t="s">
        <v>36</v>
      </c>
      <c r="I522" s="187">
        <f ca="1">IFERROR(__xludf.DUMMYFUNCTION("IMPORTRANGE(""https://docs.google.com/spreadsheets/d/11923uPwbBZFjjGgGUA6NLw09EwE0CqkOc4q9oUmW1yo/edit?usp=sharing"",""นครสวรรค์!I417"")"),0)</f>
        <v>0</v>
      </c>
      <c r="J522" s="187">
        <f ca="1">IFERROR(__xludf.DUMMYFUNCTION("IMPORTRANGE(""https://docs.google.com/spreadsheets/d/11923uPwbBZFjjGgGUA6NLw09EwE0CqkOc4q9oUmW1yo/edit?usp=sharing"",""นครสวรรค์!J417"")"),0)</f>
        <v>0</v>
      </c>
      <c r="K522" s="163">
        <v>0</v>
      </c>
      <c r="L522" s="181"/>
      <c r="M522" s="181"/>
      <c r="N522" s="181"/>
      <c r="O522" s="181"/>
      <c r="P522" s="181"/>
    </row>
    <row r="523" spans="1:16" ht="21.75" customHeight="1" x14ac:dyDescent="0.3">
      <c r="A523" s="175"/>
      <c r="B523" s="176"/>
      <c r="C523" s="176"/>
      <c r="D523" s="193"/>
      <c r="E523" s="195"/>
      <c r="F523" s="195"/>
      <c r="G523" s="456" t="s">
        <v>198</v>
      </c>
      <c r="H523" s="420" t="s">
        <v>122</v>
      </c>
      <c r="I523" s="187">
        <f ca="1">IFERROR(__xludf.DUMMYFUNCTION("IMPORTRANGE(""https://docs.google.com/spreadsheets/d/11923uPwbBZFjjGgGUA6NLw09EwE0CqkOc4q9oUmW1yo/edit?usp=sharing"",""นครสวรรค์!I418"")"),0)</f>
        <v>0</v>
      </c>
      <c r="J523" s="187">
        <f ca="1">IFERROR(__xludf.DUMMYFUNCTION("IMPORTRANGE(""https://docs.google.com/spreadsheets/d/11923uPwbBZFjjGgGUA6NLw09EwE0CqkOc4q9oUmW1yo/edit?usp=sharing"",""นครสวรรค์!J418"")"),0)</f>
        <v>0</v>
      </c>
      <c r="K523" s="163">
        <v>0</v>
      </c>
      <c r="L523" s="181"/>
      <c r="M523" s="181"/>
      <c r="N523" s="181"/>
      <c r="O523" s="181"/>
      <c r="P523" s="181"/>
    </row>
    <row r="524" spans="1:16" ht="21.75" customHeight="1" x14ac:dyDescent="0.3">
      <c r="A524" s="175"/>
      <c r="B524" s="176"/>
      <c r="C524" s="176"/>
      <c r="D524" s="193"/>
      <c r="E524" s="195"/>
      <c r="F524" s="195"/>
      <c r="G524" s="196"/>
      <c r="H524" s="420" t="s">
        <v>36</v>
      </c>
      <c r="I524" s="187">
        <f ca="1">IFERROR(__xludf.DUMMYFUNCTION("IMPORTRANGE(""https://docs.google.com/spreadsheets/d/11923uPwbBZFjjGgGUA6NLw09EwE0CqkOc4q9oUmW1yo/edit?usp=sharing"",""นครสวรรค์!I419"")"),0)</f>
        <v>0</v>
      </c>
      <c r="J524" s="187">
        <f ca="1">IFERROR(__xludf.DUMMYFUNCTION("IMPORTRANGE(""https://docs.google.com/spreadsheets/d/11923uPwbBZFjjGgGUA6NLw09EwE0CqkOc4q9oUmW1yo/edit?usp=sharing"",""นครสวรรค์!J419"")"),0)</f>
        <v>0</v>
      </c>
      <c r="K524" s="163">
        <v>0</v>
      </c>
      <c r="L524" s="181"/>
      <c r="M524" s="181"/>
      <c r="N524" s="181"/>
      <c r="O524" s="181"/>
      <c r="P524" s="181"/>
    </row>
    <row r="525" spans="1:16" ht="21.75" customHeight="1" x14ac:dyDescent="0.3">
      <c r="A525" s="175"/>
      <c r="B525" s="176"/>
      <c r="C525" s="452"/>
      <c r="D525" s="452"/>
      <c r="E525" s="452" t="s">
        <v>199</v>
      </c>
      <c r="F525" s="453"/>
      <c r="G525" s="454"/>
      <c r="H525" s="455" t="s">
        <v>122</v>
      </c>
      <c r="I525" s="282">
        <f ca="1">IFERROR(__xludf.DUMMYFUNCTION("IMPORTRANGE(""https://docs.google.com/spreadsheets/d/11923uPwbBZFjjGgGUA6NLw09EwE0CqkOc4q9oUmW1yo/edit?usp=sharing"",""นครสวรรค์!I420"")"),0)</f>
        <v>0</v>
      </c>
      <c r="J525" s="282">
        <f ca="1">IFERROR(__xludf.DUMMYFUNCTION("IMPORTRANGE(""https://docs.google.com/spreadsheets/d/11923uPwbBZFjjGgGUA6NLw09EwE0CqkOc4q9oUmW1yo/edit?usp=sharing"",""นครสวรรค์!J420"")"),0)</f>
        <v>0</v>
      </c>
      <c r="K525" s="283">
        <v>0</v>
      </c>
      <c r="L525" s="181"/>
      <c r="M525" s="181"/>
      <c r="N525" s="181"/>
      <c r="O525" s="181"/>
      <c r="P525" s="181"/>
    </row>
    <row r="526" spans="1:16" ht="21.75" customHeight="1" x14ac:dyDescent="0.3">
      <c r="A526" s="175"/>
      <c r="B526" s="176"/>
      <c r="C526" s="452"/>
      <c r="D526" s="452"/>
      <c r="E526" s="452" t="s">
        <v>200</v>
      </c>
      <c r="F526" s="453"/>
      <c r="G526" s="454"/>
      <c r="H526" s="455" t="s">
        <v>36</v>
      </c>
      <c r="I526" s="282">
        <f ca="1">IFERROR(__xludf.DUMMYFUNCTION("IMPORTRANGE(""https://docs.google.com/spreadsheets/d/11923uPwbBZFjjGgGUA6NLw09EwE0CqkOc4q9oUmW1yo/edit?usp=sharing"",""นครสวรรค์!I421"")"),0)</f>
        <v>0</v>
      </c>
      <c r="J526" s="282">
        <f ca="1">IFERROR(__xludf.DUMMYFUNCTION("IMPORTRANGE(""https://docs.google.com/spreadsheets/d/11923uPwbBZFjjGgGUA6NLw09EwE0CqkOc4q9oUmW1yo/edit?usp=sharing"",""นครสวรรค์!J421"")"),0)</f>
        <v>0</v>
      </c>
      <c r="K526" s="283">
        <v>0</v>
      </c>
      <c r="L526" s="181"/>
      <c r="M526" s="181"/>
      <c r="N526" s="181"/>
      <c r="O526" s="181"/>
      <c r="P526" s="181"/>
    </row>
    <row r="527" spans="1:16" ht="21.75" customHeight="1" x14ac:dyDescent="0.3">
      <c r="A527" s="175"/>
      <c r="B527" s="176"/>
      <c r="C527" s="176"/>
      <c r="D527" s="193"/>
      <c r="E527" s="195"/>
      <c r="F527" s="195"/>
      <c r="G527" s="225" t="s">
        <v>196</v>
      </c>
      <c r="H527" s="420" t="s">
        <v>122</v>
      </c>
      <c r="I527" s="187">
        <f ca="1">IFERROR(__xludf.DUMMYFUNCTION("IMPORTRANGE(""https://docs.google.com/spreadsheets/d/11923uPwbBZFjjGgGUA6NLw09EwE0CqkOc4q9oUmW1yo/edit?usp=sharing"",""นครสวรรค์!I422"")"),0)</f>
        <v>0</v>
      </c>
      <c r="J527" s="197">
        <f ca="1">IFERROR(__xludf.DUMMYFUNCTION("IMPORTRANGE(""https://docs.google.com/spreadsheets/d/11923uPwbBZFjjGgGUA6NLw09EwE0CqkOc4q9oUmW1yo/edit?usp=sharing"",""นครสวรรค์!J422"")"),0)</f>
        <v>0</v>
      </c>
      <c r="K527" s="163">
        <v>0</v>
      </c>
      <c r="L527" s="181"/>
      <c r="M527" s="181"/>
      <c r="N527" s="181"/>
      <c r="O527" s="181"/>
      <c r="P527" s="181"/>
    </row>
    <row r="528" spans="1:16" ht="21.75" customHeight="1" x14ac:dyDescent="0.3">
      <c r="A528" s="175"/>
      <c r="B528" s="176"/>
      <c r="C528" s="176"/>
      <c r="D528" s="193"/>
      <c r="E528" s="195"/>
      <c r="F528" s="195"/>
      <c r="G528" s="196"/>
      <c r="H528" s="420" t="s">
        <v>36</v>
      </c>
      <c r="I528" s="187">
        <f ca="1">IFERROR(__xludf.DUMMYFUNCTION("IMPORTRANGE(""https://docs.google.com/spreadsheets/d/11923uPwbBZFjjGgGUA6NLw09EwE0CqkOc4q9oUmW1yo/edit?usp=sharing"",""นครสวรรค์!I423"")"),0)</f>
        <v>0</v>
      </c>
      <c r="J528" s="197">
        <f ca="1">IFERROR(__xludf.DUMMYFUNCTION("IMPORTRANGE(""https://docs.google.com/spreadsheets/d/11923uPwbBZFjjGgGUA6NLw09EwE0CqkOc4q9oUmW1yo/edit?usp=sharing"",""นครสวรรค์!J423"")"),0)</f>
        <v>0</v>
      </c>
      <c r="K528" s="163">
        <v>0</v>
      </c>
      <c r="L528" s="181"/>
      <c r="M528" s="181"/>
      <c r="N528" s="181"/>
      <c r="O528" s="181"/>
      <c r="P528" s="181"/>
    </row>
    <row r="529" spans="1:16" ht="21.75" customHeight="1" x14ac:dyDescent="0.3">
      <c r="A529" s="175"/>
      <c r="B529" s="176"/>
      <c r="C529" s="176"/>
      <c r="D529" s="193"/>
      <c r="E529" s="195"/>
      <c r="F529" s="195"/>
      <c r="G529" s="225" t="s">
        <v>197</v>
      </c>
      <c r="H529" s="420" t="s">
        <v>122</v>
      </c>
      <c r="I529" s="187">
        <f ca="1">IFERROR(__xludf.DUMMYFUNCTION("IMPORTRANGE(""https://docs.google.com/spreadsheets/d/11923uPwbBZFjjGgGUA6NLw09EwE0CqkOc4q9oUmW1yo/edit?usp=sharing"",""นครสวรรค์!I424"")"),0)</f>
        <v>0</v>
      </c>
      <c r="J529" s="197">
        <f ca="1">IFERROR(__xludf.DUMMYFUNCTION("IMPORTRANGE(""https://docs.google.com/spreadsheets/d/11923uPwbBZFjjGgGUA6NLw09EwE0CqkOc4q9oUmW1yo/edit?usp=sharing"",""นครสวรรค์!J424"")"),0)</f>
        <v>0</v>
      </c>
      <c r="K529" s="163">
        <v>0</v>
      </c>
      <c r="L529" s="181"/>
      <c r="M529" s="181"/>
      <c r="N529" s="181"/>
      <c r="O529" s="181"/>
      <c r="P529" s="181"/>
    </row>
    <row r="530" spans="1:16" ht="21.75" customHeight="1" x14ac:dyDescent="0.3">
      <c r="A530" s="175"/>
      <c r="B530" s="176"/>
      <c r="C530" s="176"/>
      <c r="D530" s="193"/>
      <c r="E530" s="195"/>
      <c r="F530" s="195"/>
      <c r="G530" s="196"/>
      <c r="H530" s="420" t="s">
        <v>36</v>
      </c>
      <c r="I530" s="187">
        <f ca="1">IFERROR(__xludf.DUMMYFUNCTION("IMPORTRANGE(""https://docs.google.com/spreadsheets/d/11923uPwbBZFjjGgGUA6NLw09EwE0CqkOc4q9oUmW1yo/edit?usp=sharing"",""นครสวรรค์!I425"")"),0)</f>
        <v>0</v>
      </c>
      <c r="J530" s="197">
        <f ca="1">IFERROR(__xludf.DUMMYFUNCTION("IMPORTRANGE(""https://docs.google.com/spreadsheets/d/11923uPwbBZFjjGgGUA6NLw09EwE0CqkOc4q9oUmW1yo/edit?usp=sharing"",""นครสวรรค์!J425"")"),0)</f>
        <v>0</v>
      </c>
      <c r="K530" s="163">
        <v>0</v>
      </c>
      <c r="L530" s="181"/>
      <c r="M530" s="181"/>
      <c r="N530" s="181"/>
      <c r="O530" s="181"/>
      <c r="P530" s="181"/>
    </row>
    <row r="531" spans="1:16" ht="21.75" customHeight="1" x14ac:dyDescent="0.3">
      <c r="A531" s="175"/>
      <c r="B531" s="176"/>
      <c r="C531" s="176"/>
      <c r="D531" s="193"/>
      <c r="E531" s="195"/>
      <c r="F531" s="195"/>
      <c r="G531" s="225" t="s">
        <v>201</v>
      </c>
      <c r="H531" s="420" t="s">
        <v>122</v>
      </c>
      <c r="I531" s="187">
        <f ca="1">IFERROR(__xludf.DUMMYFUNCTION("IMPORTRANGE(""https://docs.google.com/spreadsheets/d/11923uPwbBZFjjGgGUA6NLw09EwE0CqkOc4q9oUmW1yo/edit?usp=sharing"",""นครสวรรค์!I426"")"),0)</f>
        <v>0</v>
      </c>
      <c r="J531" s="197">
        <f ca="1">IFERROR(__xludf.DUMMYFUNCTION("IMPORTRANGE(""https://docs.google.com/spreadsheets/d/11923uPwbBZFjjGgGUA6NLw09EwE0CqkOc4q9oUmW1yo/edit?usp=sharing"",""นครสวรรค์!J426"")"),0)</f>
        <v>0</v>
      </c>
      <c r="K531" s="163">
        <v>0</v>
      </c>
      <c r="L531" s="181"/>
      <c r="M531" s="181"/>
      <c r="N531" s="181"/>
      <c r="O531" s="181"/>
      <c r="P531" s="181"/>
    </row>
    <row r="532" spans="1:16" ht="21.75" customHeight="1" x14ac:dyDescent="0.3">
      <c r="A532" s="457"/>
      <c r="B532" s="458"/>
      <c r="C532" s="458"/>
      <c r="D532" s="459"/>
      <c r="E532" s="460"/>
      <c r="F532" s="460"/>
      <c r="G532" s="461"/>
      <c r="H532" s="462" t="s">
        <v>36</v>
      </c>
      <c r="I532" s="463">
        <f ca="1">IFERROR(__xludf.DUMMYFUNCTION("IMPORTRANGE(""https://docs.google.com/spreadsheets/d/11923uPwbBZFjjGgGUA6NLw09EwE0CqkOc4q9oUmW1yo/edit?usp=sharing"",""นครสวรรค์!I427"")"),0)</f>
        <v>0</v>
      </c>
      <c r="J532" s="464">
        <f ca="1">IFERROR(__xludf.DUMMYFUNCTION("IMPORTRANGE(""https://docs.google.com/spreadsheets/d/11923uPwbBZFjjGgGUA6NLw09EwE0CqkOc4q9oUmW1yo/edit?usp=sharing"",""นครสวรรค์!J427"")"),0)</f>
        <v>0</v>
      </c>
      <c r="K532" s="465">
        <v>0</v>
      </c>
      <c r="L532" s="466"/>
      <c r="M532" s="466"/>
      <c r="N532" s="466"/>
      <c r="O532" s="466"/>
      <c r="P532" s="466"/>
    </row>
    <row r="533" spans="1:16" ht="21.75" customHeight="1" x14ac:dyDescent="0.3">
      <c r="A533" s="403"/>
      <c r="B533" s="404">
        <v>6</v>
      </c>
      <c r="C533" s="405" t="s">
        <v>202</v>
      </c>
      <c r="D533" s="405"/>
      <c r="E533" s="405"/>
      <c r="F533" s="405"/>
      <c r="G533" s="406"/>
      <c r="H533" s="407" t="s">
        <v>37</v>
      </c>
      <c r="I533" s="408">
        <f ca="1">IFERROR(__xludf.DUMMYFUNCTION("IMPORTRANGE(""https://docs.google.com/spreadsheets/d/11923uPwbBZFjjGgGUA6NLw09EwE0CqkOc4q9oUmW1yo/edit?usp=sharing"",""นครสวรรค์!I428"")"),22)</f>
        <v>22</v>
      </c>
      <c r="J533" s="408">
        <f ca="1">IFERROR(__xludf.DUMMYFUNCTION("IMPORTRANGE(""https://docs.google.com/spreadsheets/d/11923uPwbBZFjjGgGUA6NLw09EwE0CqkOc4q9oUmW1yo/edit?usp=sharing"",""นครสวรรค์!J428"")"),22)</f>
        <v>22</v>
      </c>
      <c r="K533" s="409">
        <f ca="1">IF(I533&gt;0,J533*100/I533,0)</f>
        <v>100</v>
      </c>
      <c r="L533" s="410">
        <f ca="1">IFERROR(__xludf.DUMMYFUNCTION("IMPORTRANGE(""https://docs.google.com/spreadsheets/d/11923uPwbBZFjjGgGUA6NLw09EwE0CqkOc4q9oUmW1yo/edit?usp=sharing"",""นครสวรรค์!L428"")"),34340)</f>
        <v>34340</v>
      </c>
      <c r="M533" s="410"/>
      <c r="N533" s="410">
        <f ca="1">IFERROR(__xludf.DUMMYFUNCTION("IMPORTRANGE(""https://docs.google.com/spreadsheets/d/11923uPwbBZFjjGgGUA6NLw09EwE0CqkOc4q9oUmW1yo/edit?usp=sharing"",""นครสวรรค์!M428"")"),19715)</f>
        <v>19715</v>
      </c>
      <c r="O533" s="410">
        <f t="shared" ref="O533:O537" ca="1" si="118">+IF(L533&gt;0,N533*100/L533,0)</f>
        <v>57.411182294700055</v>
      </c>
      <c r="P533" s="410"/>
    </row>
    <row r="534" spans="1:16" ht="21.75" customHeight="1" x14ac:dyDescent="0.3">
      <c r="A534" s="156"/>
      <c r="B534" s="157"/>
      <c r="C534" s="157" t="s">
        <v>16</v>
      </c>
      <c r="D534" s="158" t="s">
        <v>38</v>
      </c>
      <c r="E534" s="159"/>
      <c r="F534" s="159"/>
      <c r="G534" s="160" t="s">
        <v>39</v>
      </c>
      <c r="H534" s="161" t="s">
        <v>12</v>
      </c>
      <c r="I534" s="162" t="s">
        <v>40</v>
      </c>
      <c r="J534" s="162"/>
      <c r="K534" s="163"/>
      <c r="L534" s="164">
        <f ca="1">IFERROR(__xludf.DUMMYFUNCTION("IMPORTRANGE(""https://docs.google.com/spreadsheets/d/11923uPwbBZFjjGgGUA6NLw09EwE0CqkOc4q9oUmW1yo/edit?usp=sharing"",""นครสวรรค์!L429"")"),0)</f>
        <v>0</v>
      </c>
      <c r="M534" s="164"/>
      <c r="N534" s="168">
        <f ca="1">IFERROR(__xludf.DUMMYFUNCTION("IMPORTRANGE(""https://docs.google.com/spreadsheets/d/11923uPwbBZFjjGgGUA6NLw09EwE0CqkOc4q9oUmW1yo/edit?usp=sharing"",""นครสวรรค์!M429"")"),0)</f>
        <v>0</v>
      </c>
      <c r="O534" s="168">
        <f t="shared" ca="1" si="118"/>
        <v>0</v>
      </c>
      <c r="P534" s="168"/>
    </row>
    <row r="535" spans="1:16" ht="21.75" customHeight="1" x14ac:dyDescent="0.3">
      <c r="A535" s="156"/>
      <c r="B535" s="157"/>
      <c r="C535" s="157"/>
      <c r="D535" s="166"/>
      <c r="E535" s="159"/>
      <c r="F535" s="159" t="s">
        <v>40</v>
      </c>
      <c r="G535" s="160" t="s">
        <v>41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IFERROR(__xludf.DUMMYFUNCTION("IMPORTRANGE(""https://docs.google.com/spreadsheets/d/11923uPwbBZFjjGgGUA6NLw09EwE0CqkOc4q9oUmW1yo/edit?usp=sharing"",""นครสวรรค์!L430"")"),34340)</f>
        <v>34340</v>
      </c>
      <c r="M535" s="165"/>
      <c r="N535" s="168">
        <f ca="1">IFERROR(__xludf.DUMMYFUNCTION("IMPORTRANGE(""https://docs.google.com/spreadsheets/d/11923uPwbBZFjjGgGUA6NLw09EwE0CqkOc4q9oUmW1yo/edit?usp=sharing"",""นครสวรรค์!M430"")"),19715)</f>
        <v>19715</v>
      </c>
      <c r="O535" s="168">
        <f t="shared" ca="1" si="118"/>
        <v>57.411182294700055</v>
      </c>
      <c r="P535" s="168"/>
    </row>
    <row r="536" spans="1:16" ht="21.75" customHeight="1" x14ac:dyDescent="0.3">
      <c r="A536" s="156"/>
      <c r="B536" s="157"/>
      <c r="C536" s="157"/>
      <c r="D536" s="166"/>
      <c r="E536" s="159"/>
      <c r="F536" s="159"/>
      <c r="G536" s="372" t="s">
        <v>129</v>
      </c>
      <c r="H536" s="161" t="s">
        <v>12</v>
      </c>
      <c r="I536" s="162"/>
      <c r="J536" s="162"/>
      <c r="K536" s="163"/>
      <c r="L536" s="168">
        <f ca="1">IFERROR(__xludf.DUMMYFUNCTION("IMPORTRANGE(""https://docs.google.com/spreadsheets/d/11923uPwbBZFjjGgGUA6NLw09EwE0CqkOc4q9oUmW1yo/edit?usp=sharing"",""นครสวรรค์!L431"")"),0)</f>
        <v>0</v>
      </c>
      <c r="M536" s="168"/>
      <c r="N536" s="168">
        <f ca="1">IFERROR(__xludf.DUMMYFUNCTION("IMPORTRANGE(""https://docs.google.com/spreadsheets/d/11923uPwbBZFjjGgGUA6NLw09EwE0CqkOc4q9oUmW1yo/edit?usp=sharing"",""นครสวรรค์!M431"")"),0)</f>
        <v>0</v>
      </c>
      <c r="O536" s="168">
        <f t="shared" ca="1" si="118"/>
        <v>0</v>
      </c>
      <c r="P536" s="168"/>
    </row>
    <row r="537" spans="1:16" ht="21.75" customHeight="1" x14ac:dyDescent="0.3">
      <c r="A537" s="156"/>
      <c r="B537" s="157"/>
      <c r="C537" s="157"/>
      <c r="D537" s="166"/>
      <c r="E537" s="159"/>
      <c r="F537" s="159"/>
      <c r="G537" s="372" t="s">
        <v>130</v>
      </c>
      <c r="H537" s="161" t="s">
        <v>12</v>
      </c>
      <c r="I537" s="162"/>
      <c r="J537" s="162"/>
      <c r="K537" s="163"/>
      <c r="L537" s="168">
        <f ca="1">IFERROR(__xludf.DUMMYFUNCTION("IMPORTRANGE(""https://docs.google.com/spreadsheets/d/11923uPwbBZFjjGgGUA6NLw09EwE0CqkOc4q9oUmW1yo/edit?usp=sharing"",""นครสวรรค์!L432"")"),34340)</f>
        <v>34340</v>
      </c>
      <c r="M537" s="168"/>
      <c r="N537" s="168">
        <f ca="1">IFERROR(__xludf.DUMMYFUNCTION("IMPORTRANGE(""https://docs.google.com/spreadsheets/d/11923uPwbBZFjjGgGUA6NLw09EwE0CqkOc4q9oUmW1yo/edit?usp=sharing"",""นครสวรรค์!M432"")"),19715)</f>
        <v>19715</v>
      </c>
      <c r="O537" s="168">
        <f t="shared" ca="1" si="118"/>
        <v>57.411182294700055</v>
      </c>
      <c r="P537" s="168"/>
    </row>
    <row r="538" spans="1:16" ht="21.75" customHeight="1" x14ac:dyDescent="0.3">
      <c r="A538" s="373"/>
      <c r="B538" s="374"/>
      <c r="C538" s="157"/>
      <c r="D538" s="375"/>
      <c r="E538" s="159"/>
      <c r="F538" s="159"/>
      <c r="G538" s="376" t="s">
        <v>131</v>
      </c>
      <c r="H538" s="161" t="s">
        <v>12</v>
      </c>
      <c r="I538" s="187"/>
      <c r="J538" s="187"/>
      <c r="K538" s="223"/>
      <c r="L538" s="168"/>
      <c r="M538" s="168"/>
      <c r="N538" s="377">
        <f ca="1">IFERROR(__xludf.DUMMYFUNCTION("IMPORTRANGE(""https://docs.google.com/spreadsheets/d/11923uPwbBZFjjGgGUA6NLw09EwE0CqkOc4q9oUmW1yo/edit?usp=sharing"",""นครสวรรค์!M433"")"),18740)</f>
        <v>18740</v>
      </c>
      <c r="O538" s="168"/>
      <c r="P538" s="168"/>
    </row>
    <row r="539" spans="1:16" ht="21.75" customHeight="1" x14ac:dyDescent="0.3">
      <c r="A539" s="373"/>
      <c r="B539" s="374"/>
      <c r="C539" s="157"/>
      <c r="D539" s="375"/>
      <c r="E539" s="159"/>
      <c r="F539" s="159"/>
      <c r="G539" s="376" t="s">
        <v>132</v>
      </c>
      <c r="H539" s="161" t="s">
        <v>12</v>
      </c>
      <c r="I539" s="187"/>
      <c r="J539" s="187"/>
      <c r="K539" s="223"/>
      <c r="L539" s="168"/>
      <c r="M539" s="168"/>
      <c r="N539" s="377">
        <f ca="1">IFERROR(__xludf.DUMMYFUNCTION("IMPORTRANGE(""https://docs.google.com/spreadsheets/d/11923uPwbBZFjjGgGUA6NLw09EwE0CqkOc4q9oUmW1yo/edit?usp=sharing"",""นครสวรรค์!M434"")"),0)</f>
        <v>0</v>
      </c>
      <c r="O539" s="168"/>
      <c r="P539" s="168"/>
    </row>
    <row r="540" spans="1:16" ht="21.75" customHeight="1" x14ac:dyDescent="0.3">
      <c r="A540" s="373"/>
      <c r="B540" s="374"/>
      <c r="C540" s="157"/>
      <c r="D540" s="375"/>
      <c r="E540" s="159"/>
      <c r="F540" s="159"/>
      <c r="G540" s="376" t="s">
        <v>133</v>
      </c>
      <c r="H540" s="161" t="s">
        <v>12</v>
      </c>
      <c r="I540" s="187"/>
      <c r="J540" s="187"/>
      <c r="K540" s="223"/>
      <c r="L540" s="168"/>
      <c r="M540" s="168"/>
      <c r="N540" s="377">
        <f ca="1">IFERROR(__xludf.DUMMYFUNCTION("IMPORTRANGE(""https://docs.google.com/spreadsheets/d/11923uPwbBZFjjGgGUA6NLw09EwE0CqkOc4q9oUmW1yo/edit?usp=sharing"",""นครสวรรค์!M435"")"),0)</f>
        <v>0</v>
      </c>
      <c r="O540" s="168"/>
      <c r="P540" s="168"/>
    </row>
    <row r="541" spans="1:16" ht="21.75" customHeight="1" x14ac:dyDescent="0.3">
      <c r="A541" s="373"/>
      <c r="B541" s="374"/>
      <c r="C541" s="157"/>
      <c r="D541" s="375"/>
      <c r="E541" s="159"/>
      <c r="F541" s="159"/>
      <c r="G541" s="376" t="s">
        <v>134</v>
      </c>
      <c r="H541" s="161" t="s">
        <v>12</v>
      </c>
      <c r="I541" s="187"/>
      <c r="J541" s="187"/>
      <c r="K541" s="223"/>
      <c r="L541" s="168"/>
      <c r="M541" s="168"/>
      <c r="N541" s="377">
        <f ca="1">IFERROR(__xludf.DUMMYFUNCTION("IMPORTRANGE(""https://docs.google.com/spreadsheets/d/11923uPwbBZFjjGgGUA6NLw09EwE0CqkOc4q9oUmW1yo/edit?usp=sharing"",""นครสวรรค์!M436"")"),975)</f>
        <v>975</v>
      </c>
      <c r="O541" s="168"/>
      <c r="P541" s="168"/>
    </row>
    <row r="542" spans="1:16" ht="21.75" customHeight="1" x14ac:dyDescent="0.3">
      <c r="A542" s="175"/>
      <c r="B542" s="176"/>
      <c r="C542" s="157" t="s">
        <v>16</v>
      </c>
      <c r="D542" s="177" t="s">
        <v>44</v>
      </c>
      <c r="E542" s="178"/>
      <c r="F542" s="178"/>
      <c r="G542" s="179"/>
      <c r="H542" s="180"/>
      <c r="I542" s="162"/>
      <c r="J542" s="162"/>
      <c r="K542" s="163"/>
      <c r="L542" s="181"/>
      <c r="M542" s="181"/>
      <c r="N542" s="181"/>
      <c r="O542" s="181"/>
      <c r="P542" s="181"/>
    </row>
    <row r="543" spans="1:16" ht="21.75" customHeight="1" x14ac:dyDescent="0.3">
      <c r="A543" s="175"/>
      <c r="B543" s="176"/>
      <c r="C543" s="176"/>
      <c r="D543" s="182">
        <v>1</v>
      </c>
      <c r="E543" s="183" t="s">
        <v>45</v>
      </c>
      <c r="F543" s="184"/>
      <c r="G543" s="185"/>
      <c r="H543" s="186"/>
      <c r="I543" s="187"/>
      <c r="J543" s="197">
        <f ca="1">IFERROR(__xludf.DUMMYFUNCTION("IMPORTRANGE(""https://docs.google.com/spreadsheets/d/11923uPwbBZFjjGgGUA6NLw09EwE0CqkOc4q9oUmW1yo/edit?usp=sharing"",""นครสวรรค์!J438"")"),0)</f>
        <v>0</v>
      </c>
      <c r="K543" s="163"/>
      <c r="L543" s="181"/>
      <c r="M543" s="181"/>
      <c r="N543" s="181"/>
      <c r="O543" s="181"/>
      <c r="P543" s="181"/>
    </row>
    <row r="544" spans="1:16" ht="21.75" customHeight="1" x14ac:dyDescent="0.3">
      <c r="A544" s="175"/>
      <c r="B544" s="176"/>
      <c r="C544" s="176"/>
      <c r="D544" s="189">
        <v>2</v>
      </c>
      <c r="E544" s="190" t="s">
        <v>46</v>
      </c>
      <c r="F544" s="191"/>
      <c r="G544" s="192"/>
      <c r="H544" s="186"/>
      <c r="I544" s="187"/>
      <c r="J544" s="188">
        <f ca="1">IFERROR(__xludf.DUMMYFUNCTION("IMPORTRANGE(""https://docs.google.com/spreadsheets/d/11923uPwbBZFjjGgGUA6NLw09EwE0CqkOc4q9oUmW1yo/edit?usp=sharing"",""นครสวรรค์!J439"")"),1)</f>
        <v>1</v>
      </c>
      <c r="K544" s="163"/>
      <c r="L544" s="181" t="s">
        <v>40</v>
      </c>
      <c r="M544" s="181"/>
      <c r="N544" s="181" t="s">
        <v>40</v>
      </c>
      <c r="O544" s="181"/>
      <c r="P544" s="181"/>
    </row>
    <row r="545" spans="1:16" ht="21.75" customHeight="1" x14ac:dyDescent="0.3">
      <c r="A545" s="175"/>
      <c r="B545" s="176"/>
      <c r="C545" s="176"/>
      <c r="D545" s="193"/>
      <c r="E545" s="194" t="s">
        <v>47</v>
      </c>
      <c r="F545" s="195"/>
      <c r="G545" s="196"/>
      <c r="H545" s="186"/>
      <c r="I545" s="187"/>
      <c r="J545" s="188">
        <f ca="1">IFERROR(__xludf.DUMMYFUNCTION("IMPORTRANGE(""https://docs.google.com/spreadsheets/d/11923uPwbBZFjjGgGUA6NLw09EwE0CqkOc4q9oUmW1yo/edit?usp=sharing"",""นครสวรรค์!J440"")"),1)</f>
        <v>1</v>
      </c>
      <c r="K545" s="163"/>
      <c r="L545" s="181"/>
      <c r="M545" s="181"/>
      <c r="N545" s="181"/>
      <c r="O545" s="181"/>
      <c r="P545" s="181"/>
    </row>
    <row r="546" spans="1:16" ht="21.75" customHeight="1" x14ac:dyDescent="0.3">
      <c r="A546" s="175"/>
      <c r="B546" s="176"/>
      <c r="C546" s="176"/>
      <c r="D546" s="193"/>
      <c r="E546" s="194" t="s">
        <v>48</v>
      </c>
      <c r="F546" s="195"/>
      <c r="G546" s="196"/>
      <c r="H546" s="186"/>
      <c r="I546" s="187"/>
      <c r="J546" s="197">
        <f ca="1">IFERROR(__xludf.DUMMYFUNCTION("IMPORTRANGE(""https://docs.google.com/spreadsheets/d/11923uPwbBZFjjGgGUA6NLw09EwE0CqkOc4q9oUmW1yo/edit?usp=sharing"",""นครสวรรค์!J441"")"),1)</f>
        <v>1</v>
      </c>
      <c r="K546" s="163"/>
      <c r="L546" s="181"/>
      <c r="M546" s="181"/>
      <c r="N546" s="181"/>
      <c r="O546" s="181"/>
      <c r="P546" s="181"/>
    </row>
    <row r="547" spans="1:16" ht="21.75" customHeight="1" x14ac:dyDescent="0.3">
      <c r="A547" s="175"/>
      <c r="B547" s="176"/>
      <c r="C547" s="176"/>
      <c r="D547" s="193"/>
      <c r="E547" s="198"/>
      <c r="F547" s="195"/>
      <c r="G547" s="225" t="s">
        <v>203</v>
      </c>
      <c r="H547" s="186" t="s">
        <v>37</v>
      </c>
      <c r="I547" s="203">
        <f ca="1">IFERROR(__xludf.DUMMYFUNCTION("IMPORTRANGE(""https://docs.google.com/spreadsheets/d/11923uPwbBZFjjGgGUA6NLw09EwE0CqkOc4q9oUmW1yo/edit?usp=sharing"",""นครสวรรค์!I442"")"),22)</f>
        <v>22</v>
      </c>
      <c r="J547" s="188">
        <f ca="1">IFERROR(__xludf.DUMMYFUNCTION("IMPORTRANGE(""https://docs.google.com/spreadsheets/d/11923uPwbBZFjjGgGUA6NLw09EwE0CqkOc4q9oUmW1yo/edit?usp=sharing"",""นครสวรรค์!J442"")"),22)</f>
        <v>22</v>
      </c>
      <c r="K547" s="163">
        <f t="shared" ref="K547:K548" ca="1" si="119">IF(I547&gt;0,J547*100/I547,0)</f>
        <v>100</v>
      </c>
      <c r="L547" s="181"/>
      <c r="M547" s="181"/>
      <c r="N547" s="181"/>
      <c r="O547" s="181"/>
      <c r="P547" s="181"/>
    </row>
    <row r="548" spans="1:16" ht="21.75" hidden="1" customHeight="1" x14ac:dyDescent="0.3">
      <c r="A548" s="175"/>
      <c r="B548" s="176"/>
      <c r="C548" s="176"/>
      <c r="D548" s="193"/>
      <c r="E548" s="198"/>
      <c r="F548" s="195"/>
      <c r="G548" s="225" t="s">
        <v>204</v>
      </c>
      <c r="H548" s="186" t="s">
        <v>37</v>
      </c>
      <c r="I548" s="339">
        <f ca="1">IFERROR(__xludf.DUMMYFUNCTION("IMPORTRANGE(""https://docs.google.com/spreadsheets/d/1C3CXT74ZlgGe6_JY_1olB1XN4rF0dxEuIIF-xsYjHgg/edit?usp=sharing"",""งบกองทุน!dr63"")"),0)</f>
        <v>0</v>
      </c>
      <c r="J548" s="197">
        <f ca="1">IFERROR(__xludf.DUMMYFUNCTION("IMPORTRANGE(""https://docs.google.com/spreadsheets/d/11923uPwbBZFjjGgGUA6NLw09EwE0CqkOc4q9oUmW1yo/edit?usp=sharing"",""นครสวรรค์!J166"")"),0)</f>
        <v>0</v>
      </c>
      <c r="K548" s="163">
        <f t="shared" ca="1" si="119"/>
        <v>0</v>
      </c>
      <c r="L548" s="181"/>
      <c r="M548" s="181"/>
      <c r="N548" s="181"/>
      <c r="O548" s="181"/>
      <c r="P548" s="181"/>
    </row>
    <row r="549" spans="1:16" ht="21.75" customHeight="1" x14ac:dyDescent="0.3">
      <c r="A549" s="175"/>
      <c r="B549" s="176"/>
      <c r="C549" s="176"/>
      <c r="D549" s="193"/>
      <c r="E549" s="194" t="s">
        <v>54</v>
      </c>
      <c r="F549" s="195"/>
      <c r="G549" s="196"/>
      <c r="H549" s="186"/>
      <c r="I549" s="187"/>
      <c r="J549" s="197">
        <f ca="1">IFERROR(__xludf.DUMMYFUNCTION("IMPORTRANGE(""https://docs.google.com/spreadsheets/d/11923uPwbBZFjjGgGUA6NLw09EwE0CqkOc4q9oUmW1yo/edit?usp=sharing"",""นครสวรรค์!J444"")"),0)</f>
        <v>0</v>
      </c>
      <c r="K549" s="163"/>
      <c r="L549" s="181"/>
      <c r="M549" s="181"/>
      <c r="N549" s="181"/>
      <c r="O549" s="181"/>
      <c r="P549" s="181"/>
    </row>
    <row r="550" spans="1:16" ht="21.75" customHeight="1" x14ac:dyDescent="0.3">
      <c r="A550" s="457"/>
      <c r="B550" s="458"/>
      <c r="C550" s="458"/>
      <c r="D550" s="467">
        <v>3</v>
      </c>
      <c r="E550" s="468" t="s">
        <v>55</v>
      </c>
      <c r="F550" s="469"/>
      <c r="G550" s="470"/>
      <c r="H550" s="471"/>
      <c r="I550" s="463"/>
      <c r="J550" s="472">
        <f ca="1">IFERROR(__xludf.DUMMYFUNCTION("IMPORTRANGE(""https://docs.google.com/spreadsheets/d/11923uPwbBZFjjGgGUA6NLw09EwE0CqkOc4q9oUmW1yo/edit?usp=sharing"",""นครสวรรค์!J445"")"),0)</f>
        <v>0</v>
      </c>
      <c r="K550" s="465"/>
      <c r="L550" s="466"/>
      <c r="M550" s="466"/>
      <c r="N550" s="466"/>
      <c r="O550" s="466"/>
      <c r="P550" s="466"/>
    </row>
    <row r="551" spans="1:16" ht="21.75" customHeight="1" x14ac:dyDescent="0.3">
      <c r="A551" s="403"/>
      <c r="B551" s="404">
        <v>7</v>
      </c>
      <c r="C551" s="405" t="s">
        <v>205</v>
      </c>
      <c r="D551" s="405"/>
      <c r="E551" s="405"/>
      <c r="F551" s="405"/>
      <c r="G551" s="406"/>
      <c r="H551" s="407" t="s">
        <v>122</v>
      </c>
      <c r="I551" s="408">
        <f ca="1">IFERROR(__xludf.DUMMYFUNCTION("IMPORTRANGE(""https://docs.google.com/spreadsheets/d/11923uPwbBZFjjGgGUA6NLw09EwE0CqkOc4q9oUmW1yo/edit?usp=sharing"",""นครสวรรค์!I446"")"),0)</f>
        <v>0</v>
      </c>
      <c r="J551" s="408">
        <f ca="1">IFERROR(__xludf.DUMMYFUNCTION("IMPORTRANGE(""https://docs.google.com/spreadsheets/d/11923uPwbBZFjjGgGUA6NLw09EwE0CqkOc4q9oUmW1yo/edit?usp=sharing"",""นครสวรรค์!J446"")"),0)</f>
        <v>0</v>
      </c>
      <c r="K551" s="409">
        <f ca="1">IF(I551&gt;0,J551*100/I551,0)</f>
        <v>0</v>
      </c>
      <c r="L551" s="410">
        <f ca="1">IFERROR(__xludf.DUMMYFUNCTION("IMPORTRANGE(""https://docs.google.com/spreadsheets/d/11923uPwbBZFjjGgGUA6NLw09EwE0CqkOc4q9oUmW1yo/edit?usp=sharing"",""นครสวรรค์!L446"")"),0)</f>
        <v>0</v>
      </c>
      <c r="M551" s="410"/>
      <c r="N551" s="410">
        <f ca="1">IFERROR(__xludf.DUMMYFUNCTION("IMPORTRANGE(""https://docs.google.com/spreadsheets/d/11923uPwbBZFjjGgGUA6NLw09EwE0CqkOc4q9oUmW1yo/edit?usp=sharing"",""นครสวรรค์!M446"")"),0)</f>
        <v>0</v>
      </c>
      <c r="O551" s="410">
        <f t="shared" ref="O551:O555" ca="1" si="120">+IF(L551&gt;0,N551*100/L551,0)</f>
        <v>0</v>
      </c>
      <c r="P551" s="410"/>
    </row>
    <row r="552" spans="1:16" ht="21.75" customHeight="1" x14ac:dyDescent="0.3">
      <c r="A552" s="156"/>
      <c r="B552" s="157"/>
      <c r="C552" s="157" t="s">
        <v>16</v>
      </c>
      <c r="D552" s="158" t="s">
        <v>38</v>
      </c>
      <c r="E552" s="159"/>
      <c r="F552" s="159"/>
      <c r="G552" s="160" t="s">
        <v>39</v>
      </c>
      <c r="H552" s="161" t="s">
        <v>12</v>
      </c>
      <c r="I552" s="162" t="s">
        <v>40</v>
      </c>
      <c r="J552" s="162"/>
      <c r="K552" s="163"/>
      <c r="L552" s="164">
        <f ca="1">IFERROR(__xludf.DUMMYFUNCTION("IMPORTRANGE(""https://docs.google.com/spreadsheets/d/11923uPwbBZFjjGgGUA6NLw09EwE0CqkOc4q9oUmW1yo/edit?usp=sharing"",""นครสวรรค์!L447"")"),0)</f>
        <v>0</v>
      </c>
      <c r="M552" s="164"/>
      <c r="N552" s="168">
        <f ca="1">IFERROR(__xludf.DUMMYFUNCTION("IMPORTRANGE(""https://docs.google.com/spreadsheets/d/11923uPwbBZFjjGgGUA6NLw09EwE0CqkOc4q9oUmW1yo/edit?usp=sharing"",""นครสวรรค์!M447"")"),0)</f>
        <v>0</v>
      </c>
      <c r="O552" s="168">
        <f t="shared" ca="1" si="120"/>
        <v>0</v>
      </c>
      <c r="P552" s="168"/>
    </row>
    <row r="553" spans="1:16" ht="21.75" customHeight="1" x14ac:dyDescent="0.3">
      <c r="A553" s="156"/>
      <c r="B553" s="157"/>
      <c r="C553" s="157"/>
      <c r="D553" s="166"/>
      <c r="E553" s="159"/>
      <c r="F553" s="159" t="s">
        <v>40</v>
      </c>
      <c r="G553" s="160" t="s">
        <v>41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IFERROR(__xludf.DUMMYFUNCTION("IMPORTRANGE(""https://docs.google.com/spreadsheets/d/11923uPwbBZFjjGgGUA6NLw09EwE0CqkOc4q9oUmW1yo/edit?usp=sharing"",""นครสวรรค์!L448"")"),0)</f>
        <v>0</v>
      </c>
      <c r="M553" s="165"/>
      <c r="N553" s="168">
        <f ca="1">IFERROR(__xludf.DUMMYFUNCTION("IMPORTRANGE(""https://docs.google.com/spreadsheets/d/11923uPwbBZFjjGgGUA6NLw09EwE0CqkOc4q9oUmW1yo/edit?usp=sharing"",""นครสวรรค์!M448"")"),0)</f>
        <v>0</v>
      </c>
      <c r="O553" s="168">
        <f t="shared" ca="1" si="120"/>
        <v>0</v>
      </c>
      <c r="P553" s="168"/>
    </row>
    <row r="554" spans="1:16" ht="21.75" customHeight="1" x14ac:dyDescent="0.3">
      <c r="A554" s="156"/>
      <c r="B554" s="157"/>
      <c r="C554" s="157"/>
      <c r="D554" s="166"/>
      <c r="E554" s="159"/>
      <c r="F554" s="159"/>
      <c r="G554" s="372" t="s">
        <v>129</v>
      </c>
      <c r="H554" s="161" t="s">
        <v>12</v>
      </c>
      <c r="I554" s="162"/>
      <c r="J554" s="162"/>
      <c r="K554" s="163"/>
      <c r="L554" s="168">
        <f ca="1">IFERROR(__xludf.DUMMYFUNCTION("IMPORTRANGE(""https://docs.google.com/spreadsheets/d/11923uPwbBZFjjGgGUA6NLw09EwE0CqkOc4q9oUmW1yo/edit?usp=sharing"",""นครสวรรค์!L449"")"),0)</f>
        <v>0</v>
      </c>
      <c r="M554" s="168"/>
      <c r="N554" s="168">
        <f ca="1">IFERROR(__xludf.DUMMYFUNCTION("IMPORTRANGE(""https://docs.google.com/spreadsheets/d/11923uPwbBZFjjGgGUA6NLw09EwE0CqkOc4q9oUmW1yo/edit?usp=sharing"",""นครสวรรค์!M449"")"),0)</f>
        <v>0</v>
      </c>
      <c r="O554" s="168">
        <f t="shared" ca="1" si="120"/>
        <v>0</v>
      </c>
      <c r="P554" s="168"/>
    </row>
    <row r="555" spans="1:16" ht="21.75" customHeight="1" x14ac:dyDescent="0.3">
      <c r="A555" s="156"/>
      <c r="B555" s="157"/>
      <c r="C555" s="157"/>
      <c r="D555" s="166"/>
      <c r="E555" s="159"/>
      <c r="F555" s="159"/>
      <c r="G555" s="372" t="s">
        <v>130</v>
      </c>
      <c r="H555" s="161" t="s">
        <v>12</v>
      </c>
      <c r="I555" s="162"/>
      <c r="J555" s="162"/>
      <c r="K555" s="163"/>
      <c r="L555" s="168">
        <f ca="1">IFERROR(__xludf.DUMMYFUNCTION("IMPORTRANGE(""https://docs.google.com/spreadsheets/d/11923uPwbBZFjjGgGUA6NLw09EwE0CqkOc4q9oUmW1yo/edit?usp=sharing"",""นครสวรรค์!L450"")"),0)</f>
        <v>0</v>
      </c>
      <c r="M555" s="168"/>
      <c r="N555" s="168">
        <f ca="1">IFERROR(__xludf.DUMMYFUNCTION("IMPORTRANGE(""https://docs.google.com/spreadsheets/d/11923uPwbBZFjjGgGUA6NLw09EwE0CqkOc4q9oUmW1yo/edit?usp=sharing"",""นครสวรรค์!M450"")"),0)</f>
        <v>0</v>
      </c>
      <c r="O555" s="168">
        <f t="shared" ca="1" si="120"/>
        <v>0</v>
      </c>
      <c r="P555" s="168"/>
    </row>
    <row r="556" spans="1:16" ht="21.75" customHeight="1" x14ac:dyDescent="0.3">
      <c r="A556" s="373"/>
      <c r="B556" s="374"/>
      <c r="C556" s="157"/>
      <c r="D556" s="375"/>
      <c r="E556" s="159"/>
      <c r="F556" s="159"/>
      <c r="G556" s="376" t="s">
        <v>131</v>
      </c>
      <c r="H556" s="161" t="s">
        <v>12</v>
      </c>
      <c r="I556" s="187"/>
      <c r="J556" s="187"/>
      <c r="K556" s="223"/>
      <c r="L556" s="168"/>
      <c r="M556" s="168"/>
      <c r="N556" s="167">
        <f ca="1">IFERROR(__xludf.DUMMYFUNCTION("IMPORTRANGE(""https://docs.google.com/spreadsheets/d/11923uPwbBZFjjGgGUA6NLw09EwE0CqkOc4q9oUmW1yo/edit?usp=sharing"",""นครสวรรค์!M451"")"),0)</f>
        <v>0</v>
      </c>
      <c r="O556" s="168"/>
      <c r="P556" s="168"/>
    </row>
    <row r="557" spans="1:16" ht="21.75" customHeight="1" x14ac:dyDescent="0.3">
      <c r="A557" s="373"/>
      <c r="B557" s="374"/>
      <c r="C557" s="157"/>
      <c r="D557" s="375"/>
      <c r="E557" s="159"/>
      <c r="F557" s="159"/>
      <c r="G557" s="376" t="s">
        <v>132</v>
      </c>
      <c r="H557" s="161" t="s">
        <v>12</v>
      </c>
      <c r="I557" s="187"/>
      <c r="J557" s="187"/>
      <c r="K557" s="223"/>
      <c r="L557" s="168"/>
      <c r="M557" s="168"/>
      <c r="N557" s="167">
        <f ca="1">IFERROR(__xludf.DUMMYFUNCTION("IMPORTRANGE(""https://docs.google.com/spreadsheets/d/11923uPwbBZFjjGgGUA6NLw09EwE0CqkOc4q9oUmW1yo/edit?usp=sharing"",""นครสวรรค์!M452"")"),0)</f>
        <v>0</v>
      </c>
      <c r="O557" s="168"/>
      <c r="P557" s="168"/>
    </row>
    <row r="558" spans="1:16" ht="21.75" customHeight="1" x14ac:dyDescent="0.3">
      <c r="A558" s="373"/>
      <c r="B558" s="374"/>
      <c r="C558" s="157"/>
      <c r="D558" s="375"/>
      <c r="E558" s="159"/>
      <c r="F558" s="159"/>
      <c r="G558" s="376" t="s">
        <v>133</v>
      </c>
      <c r="H558" s="161" t="s">
        <v>12</v>
      </c>
      <c r="I558" s="187"/>
      <c r="J558" s="187"/>
      <c r="K558" s="223"/>
      <c r="L558" s="168"/>
      <c r="M558" s="168"/>
      <c r="N558" s="167">
        <f ca="1">IFERROR(__xludf.DUMMYFUNCTION("IMPORTRANGE(""https://docs.google.com/spreadsheets/d/11923uPwbBZFjjGgGUA6NLw09EwE0CqkOc4q9oUmW1yo/edit?usp=sharing"",""นครสวรรค์!M453"")"),0)</f>
        <v>0</v>
      </c>
      <c r="O558" s="168"/>
      <c r="P558" s="168"/>
    </row>
    <row r="559" spans="1:16" ht="21.75" customHeight="1" x14ac:dyDescent="0.3">
      <c r="A559" s="373"/>
      <c r="B559" s="374"/>
      <c r="C559" s="157"/>
      <c r="D559" s="375"/>
      <c r="E559" s="159"/>
      <c r="F559" s="159"/>
      <c r="G559" s="376" t="s">
        <v>134</v>
      </c>
      <c r="H559" s="161" t="s">
        <v>12</v>
      </c>
      <c r="I559" s="187"/>
      <c r="J559" s="187"/>
      <c r="K559" s="223"/>
      <c r="L559" s="168"/>
      <c r="M559" s="168"/>
      <c r="N559" s="167">
        <f ca="1">IFERROR(__xludf.DUMMYFUNCTION("IMPORTRANGE(""https://docs.google.com/spreadsheets/d/11923uPwbBZFjjGgGUA6NLw09EwE0CqkOc4q9oUmW1yo/edit?usp=sharing"",""นครสวรรค์!M454"")"),0)</f>
        <v>0</v>
      </c>
      <c r="O559" s="168"/>
      <c r="P559" s="168"/>
    </row>
    <row r="560" spans="1:16" ht="21.75" customHeight="1" x14ac:dyDescent="0.3">
      <c r="A560" s="175"/>
      <c r="B560" s="176"/>
      <c r="C560" s="176"/>
      <c r="D560" s="193"/>
      <c r="E560" s="195"/>
      <c r="F560" s="277" t="s">
        <v>206</v>
      </c>
      <c r="G560" s="196"/>
      <c r="H560" s="473" t="s">
        <v>122</v>
      </c>
      <c r="I560" s="162">
        <f ca="1">IFERROR(__xludf.DUMMYFUNCTION("IMPORTRANGE(""https://docs.google.com/spreadsheets/d/11923uPwbBZFjjGgGUA6NLw09EwE0CqkOc4q9oUmW1yo/edit?usp=sharing"",""นครสวรรค์!I455"")"),0)</f>
        <v>0</v>
      </c>
      <c r="J560" s="162">
        <f ca="1">IFERROR(__xludf.DUMMYFUNCTION("IMPORTRANGE(""https://docs.google.com/spreadsheets/d/11923uPwbBZFjjGgGUA6NLw09EwE0CqkOc4q9oUmW1yo/edit?usp=sharing"",""นครสวรรค์!J455"")"),0)</f>
        <v>0</v>
      </c>
      <c r="K560" s="223">
        <f t="shared" ref="K560:K564" ca="1" si="121">IF(I560&gt;0,J560*100/I560,0)</f>
        <v>0</v>
      </c>
      <c r="L560" s="168"/>
      <c r="M560" s="168"/>
      <c r="N560" s="168"/>
      <c r="O560" s="181"/>
      <c r="P560" s="181"/>
    </row>
    <row r="561" spans="1:16" ht="21.75" customHeight="1" x14ac:dyDescent="0.3">
      <c r="A561" s="175"/>
      <c r="B561" s="176"/>
      <c r="C561" s="176"/>
      <c r="D561" s="193"/>
      <c r="E561" s="195"/>
      <c r="F561" s="195"/>
      <c r="G561" s="196"/>
      <c r="H561" s="473" t="s">
        <v>36</v>
      </c>
      <c r="I561" s="162">
        <f ca="1">IFERROR(__xludf.DUMMYFUNCTION("IMPORTRANGE(""https://docs.google.com/spreadsheets/d/11923uPwbBZFjjGgGUA6NLw09EwE0CqkOc4q9oUmW1yo/edit?usp=sharing"",""นครสวรรค์!I456"")"),0)</f>
        <v>0</v>
      </c>
      <c r="J561" s="203">
        <f ca="1">IFERROR(__xludf.DUMMYFUNCTION("IMPORTRANGE(""https://docs.google.com/spreadsheets/d/11923uPwbBZFjjGgGUA6NLw09EwE0CqkOc4q9oUmW1yo/edit?usp=sharing"",""นครสวรรค์!J456"")"),0)</f>
        <v>0</v>
      </c>
      <c r="K561" s="223">
        <f t="shared" ca="1" si="121"/>
        <v>0</v>
      </c>
      <c r="L561" s="168"/>
      <c r="M561" s="168"/>
      <c r="N561" s="168"/>
      <c r="O561" s="181"/>
      <c r="P561" s="181"/>
    </row>
    <row r="562" spans="1:16" ht="21.75" customHeight="1" x14ac:dyDescent="0.3">
      <c r="A562" s="175"/>
      <c r="B562" s="176"/>
      <c r="C562" s="176"/>
      <c r="D562" s="193"/>
      <c r="E562" s="195"/>
      <c r="F562" s="195" t="s">
        <v>207</v>
      </c>
      <c r="G562" s="196"/>
      <c r="H562" s="473" t="s">
        <v>122</v>
      </c>
      <c r="I562" s="162">
        <v>0</v>
      </c>
      <c r="J562" s="203" t="str">
        <f ca="1">IFERROR(__xludf.DUMMYFUNCTION("IMPORTRANGE(""https://docs.google.com/spreadsheets/d/11923uPwbBZFjjGgGUA6NLw09EwE0CqkOc4q9oUmW1yo/edit?usp=sharing"",""นครสวรรค์!J457"")"),"")</f>
        <v/>
      </c>
      <c r="K562" s="163">
        <f t="shared" si="121"/>
        <v>0</v>
      </c>
      <c r="L562" s="181"/>
      <c r="M562" s="181"/>
      <c r="N562" s="181"/>
      <c r="O562" s="181"/>
      <c r="P562" s="181"/>
    </row>
    <row r="563" spans="1:16" ht="21.75" customHeight="1" x14ac:dyDescent="0.3">
      <c r="A563" s="175"/>
      <c r="B563" s="176"/>
      <c r="C563" s="176"/>
      <c r="D563" s="193"/>
      <c r="E563" s="195"/>
      <c r="F563" s="195"/>
      <c r="G563" s="196"/>
      <c r="H563" s="473" t="s">
        <v>36</v>
      </c>
      <c r="I563" s="162">
        <v>0</v>
      </c>
      <c r="J563" s="187" t="str">
        <f ca="1">IFERROR(__xludf.DUMMYFUNCTION("IMPORTRANGE(""https://docs.google.com/spreadsheets/d/11923uPwbBZFjjGgGUA6NLw09EwE0CqkOc4q9oUmW1yo/edit?usp=sharing"",""นครสวรรค์!J458"")"),"")</f>
        <v/>
      </c>
      <c r="K563" s="163">
        <f t="shared" si="121"/>
        <v>0</v>
      </c>
      <c r="L563" s="181"/>
      <c r="M563" s="181"/>
      <c r="N563" s="181"/>
      <c r="O563" s="181"/>
      <c r="P563" s="181"/>
    </row>
    <row r="564" spans="1:16" ht="21.75" customHeight="1" x14ac:dyDescent="0.3">
      <c r="A564" s="364"/>
      <c r="B564" s="365">
        <v>8</v>
      </c>
      <c r="C564" s="366" t="s">
        <v>208</v>
      </c>
      <c r="D564" s="366"/>
      <c r="E564" s="366"/>
      <c r="F564" s="366"/>
      <c r="G564" s="367"/>
      <c r="H564" s="368" t="s">
        <v>37</v>
      </c>
      <c r="I564" s="369">
        <f ca="1">IFERROR(__xludf.DUMMYFUNCTION("IMPORTRANGE(""https://docs.google.com/spreadsheets/d/11923uPwbBZFjjGgGUA6NLw09EwE0CqkOc4q9oUmW1yo/edit?usp=sharing"",""นครสวรรค์!I459"")"),2750)</f>
        <v>2750</v>
      </c>
      <c r="J564" s="369">
        <f ca="1">IFERROR(__xludf.DUMMYFUNCTION("IMPORTRANGE(""https://docs.google.com/spreadsheets/d/11923uPwbBZFjjGgGUA6NLw09EwE0CqkOc4q9oUmW1yo/edit?usp=sharing"",""นครสวรรค์!J459"")"),1262)</f>
        <v>1262</v>
      </c>
      <c r="K564" s="370">
        <f t="shared" ca="1" si="121"/>
        <v>45.890909090909091</v>
      </c>
      <c r="L564" s="371">
        <f ca="1">IFERROR(__xludf.DUMMYFUNCTION("IMPORTRANGE(""https://docs.google.com/spreadsheets/d/11923uPwbBZFjjGgGUA6NLw09EwE0CqkOc4q9oUmW1yo/edit?usp=sharing"",""นครสวรรค์!L459"")"),140160)</f>
        <v>140160</v>
      </c>
      <c r="M564" s="371"/>
      <c r="N564" s="371">
        <f ca="1">IFERROR(__xludf.DUMMYFUNCTION("IMPORTRANGE(""https://docs.google.com/spreadsheets/d/11923uPwbBZFjjGgGUA6NLw09EwE0CqkOc4q9oUmW1yo/edit?usp=sharing"",""นครสวรรค์!M459"")"),44746)</f>
        <v>44746</v>
      </c>
      <c r="O564" s="371">
        <f t="shared" ref="O564:O568" ca="1" si="122">+IF(L564&gt;0,N564*100/L564,0)</f>
        <v>31.924942922374431</v>
      </c>
      <c r="P564" s="371"/>
    </row>
    <row r="565" spans="1:16" ht="21.75" customHeight="1" x14ac:dyDescent="0.3">
      <c r="A565" s="156"/>
      <c r="B565" s="157"/>
      <c r="C565" s="157" t="s">
        <v>16</v>
      </c>
      <c r="D565" s="158" t="s">
        <v>38</v>
      </c>
      <c r="E565" s="159"/>
      <c r="F565" s="159"/>
      <c r="G565" s="160" t="s">
        <v>39</v>
      </c>
      <c r="H565" s="161" t="s">
        <v>12</v>
      </c>
      <c r="I565" s="162" t="s">
        <v>40</v>
      </c>
      <c r="J565" s="162"/>
      <c r="K565" s="163"/>
      <c r="L565" s="164">
        <f ca="1">IFERROR(__xludf.DUMMYFUNCTION("IMPORTRANGE(""https://docs.google.com/spreadsheets/d/11923uPwbBZFjjGgGUA6NLw09EwE0CqkOc4q9oUmW1yo/edit?usp=sharing"",""นครสวรรค์!L460"")"),0)</f>
        <v>0</v>
      </c>
      <c r="M565" s="164"/>
      <c r="N565" s="168">
        <f ca="1">IFERROR(__xludf.DUMMYFUNCTION("IMPORTRANGE(""https://docs.google.com/spreadsheets/d/11923uPwbBZFjjGgGUA6NLw09EwE0CqkOc4q9oUmW1yo/edit?usp=sharing"",""นครสวรรค์!M460"")"),0)</f>
        <v>0</v>
      </c>
      <c r="O565" s="168">
        <f t="shared" ca="1" si="122"/>
        <v>0</v>
      </c>
      <c r="P565" s="168"/>
    </row>
    <row r="566" spans="1:16" ht="21.75" customHeight="1" x14ac:dyDescent="0.3">
      <c r="A566" s="156"/>
      <c r="B566" s="157"/>
      <c r="C566" s="157"/>
      <c r="D566" s="166"/>
      <c r="E566" s="159"/>
      <c r="F566" s="159" t="s">
        <v>40</v>
      </c>
      <c r="G566" s="160" t="s">
        <v>41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IFERROR(__xludf.DUMMYFUNCTION("IMPORTRANGE(""https://docs.google.com/spreadsheets/d/11923uPwbBZFjjGgGUA6NLw09EwE0CqkOc4q9oUmW1yo/edit?usp=sharing"",""นครสวรรค์!L461"")"),140160)</f>
        <v>140160</v>
      </c>
      <c r="M566" s="165"/>
      <c r="N566" s="168">
        <f ca="1">IFERROR(__xludf.DUMMYFUNCTION("IMPORTRANGE(""https://docs.google.com/spreadsheets/d/11923uPwbBZFjjGgGUA6NLw09EwE0CqkOc4q9oUmW1yo/edit?usp=sharing"",""นครสวรรค์!M461"")"),44746)</f>
        <v>44746</v>
      </c>
      <c r="O566" s="168">
        <f t="shared" ca="1" si="122"/>
        <v>31.924942922374431</v>
      </c>
      <c r="P566" s="168"/>
    </row>
    <row r="567" spans="1:16" ht="21.75" customHeight="1" x14ac:dyDescent="0.3">
      <c r="A567" s="156"/>
      <c r="B567" s="157"/>
      <c r="C567" s="157"/>
      <c r="D567" s="166"/>
      <c r="E567" s="159"/>
      <c r="F567" s="159"/>
      <c r="G567" s="372" t="s">
        <v>129</v>
      </c>
      <c r="H567" s="161" t="s">
        <v>12</v>
      </c>
      <c r="I567" s="162"/>
      <c r="J567" s="162"/>
      <c r="K567" s="163"/>
      <c r="L567" s="168">
        <f ca="1">IFERROR(__xludf.DUMMYFUNCTION("IMPORTRANGE(""https://docs.google.com/spreadsheets/d/11923uPwbBZFjjGgGUA6NLw09EwE0CqkOc4q9oUmW1yo/edit?usp=sharing"",""นครสวรรค์!L462"")"),0)</f>
        <v>0</v>
      </c>
      <c r="M567" s="168"/>
      <c r="N567" s="168">
        <f ca="1">IFERROR(__xludf.DUMMYFUNCTION("IMPORTRANGE(""https://docs.google.com/spreadsheets/d/11923uPwbBZFjjGgGUA6NLw09EwE0CqkOc4q9oUmW1yo/edit?usp=sharing"",""นครสวรรค์!M462"")"),0)</f>
        <v>0</v>
      </c>
      <c r="O567" s="168">
        <f t="shared" ca="1" si="122"/>
        <v>0</v>
      </c>
      <c r="P567" s="168"/>
    </row>
    <row r="568" spans="1:16" ht="21.75" customHeight="1" x14ac:dyDescent="0.3">
      <c r="A568" s="156"/>
      <c r="B568" s="157"/>
      <c r="C568" s="157"/>
      <c r="D568" s="166"/>
      <c r="E568" s="159"/>
      <c r="F568" s="159"/>
      <c r="G568" s="372" t="s">
        <v>130</v>
      </c>
      <c r="H568" s="161" t="s">
        <v>12</v>
      </c>
      <c r="I568" s="162"/>
      <c r="J568" s="162"/>
      <c r="K568" s="163"/>
      <c r="L568" s="168">
        <f ca="1">IFERROR(__xludf.DUMMYFUNCTION("IMPORTRANGE(""https://docs.google.com/spreadsheets/d/11923uPwbBZFjjGgGUA6NLw09EwE0CqkOc4q9oUmW1yo/edit?usp=sharing"",""นครสวรรค์!L463"")"),140160)</f>
        <v>140160</v>
      </c>
      <c r="M568" s="168"/>
      <c r="N568" s="168">
        <f ca="1">IFERROR(__xludf.DUMMYFUNCTION("IMPORTRANGE(""https://docs.google.com/spreadsheets/d/11923uPwbBZFjjGgGUA6NLw09EwE0CqkOc4q9oUmW1yo/edit?usp=sharing"",""นครสวรรค์!M463"")"),44746)</f>
        <v>44746</v>
      </c>
      <c r="O568" s="168">
        <f t="shared" ca="1" si="122"/>
        <v>31.924942922374431</v>
      </c>
      <c r="P568" s="168"/>
    </row>
    <row r="569" spans="1:16" ht="21.75" customHeight="1" x14ac:dyDescent="0.3">
      <c r="A569" s="373"/>
      <c r="B569" s="374"/>
      <c r="C569" s="157"/>
      <c r="D569" s="375"/>
      <c r="E569" s="159"/>
      <c r="F569" s="159"/>
      <c r="G569" s="376" t="s">
        <v>131</v>
      </c>
      <c r="H569" s="161" t="s">
        <v>12</v>
      </c>
      <c r="I569" s="187"/>
      <c r="J569" s="187"/>
      <c r="K569" s="223"/>
      <c r="L569" s="168"/>
      <c r="M569" s="168"/>
      <c r="N569" s="167">
        <f ca="1">IFERROR(__xludf.DUMMYFUNCTION("IMPORTRANGE(""https://docs.google.com/spreadsheets/d/11923uPwbBZFjjGgGUA6NLw09EwE0CqkOc4q9oUmW1yo/edit?usp=sharing"",""นครสวรรค์!M464"")"),0)</f>
        <v>0</v>
      </c>
      <c r="O569" s="168"/>
      <c r="P569" s="168"/>
    </row>
    <row r="570" spans="1:16" ht="21.75" customHeight="1" x14ac:dyDescent="0.3">
      <c r="A570" s="373"/>
      <c r="B570" s="374"/>
      <c r="C570" s="157"/>
      <c r="D570" s="375"/>
      <c r="E570" s="159"/>
      <c r="F570" s="159"/>
      <c r="G570" s="376" t="s">
        <v>132</v>
      </c>
      <c r="H570" s="161" t="s">
        <v>12</v>
      </c>
      <c r="I570" s="187"/>
      <c r="J570" s="187"/>
      <c r="K570" s="223"/>
      <c r="L570" s="168"/>
      <c r="M570" s="168"/>
      <c r="N570" s="167">
        <f ca="1">IFERROR(__xludf.DUMMYFUNCTION("IMPORTRANGE(""https://docs.google.com/spreadsheets/d/11923uPwbBZFjjGgGUA6NLw09EwE0CqkOc4q9oUmW1yo/edit?usp=sharing"",""นครสวรรค์!M465"")"),0)</f>
        <v>0</v>
      </c>
      <c r="O570" s="168"/>
      <c r="P570" s="168"/>
    </row>
    <row r="571" spans="1:16" ht="21.75" customHeight="1" x14ac:dyDescent="0.3">
      <c r="A571" s="373"/>
      <c r="B571" s="374"/>
      <c r="C571" s="157"/>
      <c r="D571" s="375"/>
      <c r="E571" s="159"/>
      <c r="F571" s="159"/>
      <c r="G571" s="376" t="s">
        <v>133</v>
      </c>
      <c r="H571" s="161" t="s">
        <v>12</v>
      </c>
      <c r="I571" s="187"/>
      <c r="J571" s="187"/>
      <c r="K571" s="223"/>
      <c r="L571" s="168"/>
      <c r="M571" s="168"/>
      <c r="N571" s="377">
        <f ca="1">IFERROR(__xludf.DUMMYFUNCTION("IMPORTRANGE(""https://docs.google.com/spreadsheets/d/11923uPwbBZFjjGgGUA6NLw09EwE0CqkOc4q9oUmW1yo/edit?usp=sharing"",""นครสวรรค์!M466"")"),32266)</f>
        <v>32266</v>
      </c>
      <c r="O571" s="168"/>
      <c r="P571" s="168"/>
    </row>
    <row r="572" spans="1:16" ht="21.75" customHeight="1" x14ac:dyDescent="0.3">
      <c r="A572" s="373"/>
      <c r="B572" s="374"/>
      <c r="C572" s="157"/>
      <c r="D572" s="375"/>
      <c r="E572" s="159"/>
      <c r="F572" s="159"/>
      <c r="G572" s="376" t="s">
        <v>134</v>
      </c>
      <c r="H572" s="161" t="s">
        <v>12</v>
      </c>
      <c r="I572" s="187"/>
      <c r="J572" s="187"/>
      <c r="K572" s="223"/>
      <c r="L572" s="168"/>
      <c r="M572" s="168"/>
      <c r="N572" s="377">
        <f ca="1">IFERROR(__xludf.DUMMYFUNCTION("IMPORTRANGE(""https://docs.google.com/spreadsheets/d/11923uPwbBZFjjGgGUA6NLw09EwE0CqkOc4q9oUmW1yo/edit?usp=sharing"",""นครสวรรค์!M467"")"),12480)</f>
        <v>12480</v>
      </c>
      <c r="O572" s="168"/>
      <c r="P572" s="168"/>
    </row>
    <row r="573" spans="1:16" ht="21.75" customHeight="1" x14ac:dyDescent="0.3">
      <c r="A573" s="175"/>
      <c r="B573" s="176"/>
      <c r="C573" s="176"/>
      <c r="D573" s="195"/>
      <c r="E573" s="194" t="s">
        <v>40</v>
      </c>
      <c r="F573" s="412" t="s">
        <v>209</v>
      </c>
      <c r="G573" s="386"/>
      <c r="H573" s="474" t="s">
        <v>37</v>
      </c>
      <c r="I573" s="418">
        <f ca="1">IFERROR(__xludf.DUMMYFUNCTION("IMPORTRANGE(""https://docs.google.com/spreadsheets/d/11923uPwbBZFjjGgGUA6NLw09EwE0CqkOc4q9oUmW1yo/edit?usp=sharing"",""นครสวรรค์!I468"")"),2750)</f>
        <v>2750</v>
      </c>
      <c r="J573" s="418">
        <f ca="1">IFERROR(__xludf.DUMMYFUNCTION("IMPORTRANGE(""https://docs.google.com/spreadsheets/d/11923uPwbBZFjjGgGUA6NLw09EwE0CqkOc4q9oUmW1yo/edit?usp=sharing"",""นครสวรรค์!J468"")"),1262)</f>
        <v>1262</v>
      </c>
      <c r="K573" s="201">
        <f ca="1">IF(I573&gt;0,J573*100/I573,0)</f>
        <v>45.890909090909091</v>
      </c>
      <c r="L573" s="181"/>
      <c r="M573" s="181"/>
      <c r="N573" s="181"/>
      <c r="O573" s="181"/>
      <c r="P573" s="181"/>
    </row>
    <row r="574" spans="1:16" ht="21.75" customHeight="1" x14ac:dyDescent="0.3">
      <c r="A574" s="175"/>
      <c r="B574" s="176"/>
      <c r="C574" s="176"/>
      <c r="D574" s="195"/>
      <c r="E574" s="195"/>
      <c r="F574" s="194" t="s">
        <v>210</v>
      </c>
      <c r="G574" s="196"/>
      <c r="H574" s="473"/>
      <c r="I574" s="162"/>
      <c r="J574" s="162"/>
      <c r="K574" s="163"/>
      <c r="L574" s="181"/>
      <c r="M574" s="181"/>
      <c r="N574" s="181"/>
      <c r="O574" s="181"/>
      <c r="P574" s="181"/>
    </row>
    <row r="575" spans="1:16" ht="21.75" customHeight="1" x14ac:dyDescent="0.3">
      <c r="A575" s="175"/>
      <c r="B575" s="176"/>
      <c r="C575" s="176"/>
      <c r="D575" s="195"/>
      <c r="E575" s="194" t="s">
        <v>40</v>
      </c>
      <c r="F575" s="194" t="s">
        <v>211</v>
      </c>
      <c r="G575" s="196"/>
      <c r="H575" s="473" t="s">
        <v>77</v>
      </c>
      <c r="I575" s="202">
        <f ca="1">IFERROR(__xludf.DUMMYFUNCTION("IMPORTRANGE(""https://docs.google.com/spreadsheets/d/11923uPwbBZFjjGgGUA6NLw09EwE0CqkOc4q9oUmW1yo/edit?usp=sharing"",""นครสวรรค์!I470"")"),7)</f>
        <v>7</v>
      </c>
      <c r="J575" s="197">
        <f ca="1">IFERROR(__xludf.DUMMYFUNCTION("IMPORTRANGE(""https://docs.google.com/spreadsheets/d/11923uPwbBZFjjGgGUA6NLw09EwE0CqkOc4q9oUmW1yo/edit?usp=sharing"",""นครสวรรค์!J470"")"),6)</f>
        <v>6</v>
      </c>
      <c r="K575" s="163">
        <f t="shared" ref="K575:K579" ca="1" si="123">IF(I575&gt;0,J575*100/I575,0)</f>
        <v>85.714285714285708</v>
      </c>
      <c r="L575" s="181"/>
      <c r="M575" s="181"/>
      <c r="N575" s="181"/>
      <c r="O575" s="181"/>
      <c r="P575" s="181"/>
    </row>
    <row r="576" spans="1:16" ht="21.75" customHeight="1" x14ac:dyDescent="0.3">
      <c r="A576" s="175"/>
      <c r="B576" s="176"/>
      <c r="C576" s="176"/>
      <c r="D576" s="195"/>
      <c r="E576" s="195"/>
      <c r="F576" s="194" t="s">
        <v>212</v>
      </c>
      <c r="G576" s="196"/>
      <c r="H576" s="473" t="s">
        <v>37</v>
      </c>
      <c r="I576" s="202">
        <f ca="1">IFERROR(__xludf.DUMMYFUNCTION("IMPORTRANGE(""https://docs.google.com/spreadsheets/d/11923uPwbBZFjjGgGUA6NLw09EwE0CqkOc4q9oUmW1yo/edit?usp=sharing"",""นครสวรรค์!I471"")"),0)</f>
        <v>0</v>
      </c>
      <c r="J576" s="197">
        <f ca="1">IFERROR(__xludf.DUMMYFUNCTION("IMPORTRANGE(""https://docs.google.com/spreadsheets/d/11923uPwbBZFjjGgGUA6NLw09EwE0CqkOc4q9oUmW1yo/edit?usp=sharing"",""นครสวรรค์!J471"")"),265)</f>
        <v>265</v>
      </c>
      <c r="K576" s="163">
        <f t="shared" ca="1" si="123"/>
        <v>0</v>
      </c>
      <c r="L576" s="181"/>
      <c r="M576" s="181"/>
      <c r="N576" s="181"/>
      <c r="O576" s="181"/>
      <c r="P576" s="181"/>
    </row>
    <row r="577" spans="1:16" ht="21.75" customHeight="1" x14ac:dyDescent="0.3">
      <c r="A577" s="175"/>
      <c r="B577" s="176"/>
      <c r="C577" s="176"/>
      <c r="D577" s="195"/>
      <c r="E577" s="195"/>
      <c r="F577" s="194" t="s">
        <v>213</v>
      </c>
      <c r="G577" s="196"/>
      <c r="H577" s="473" t="s">
        <v>37</v>
      </c>
      <c r="I577" s="202">
        <f ca="1">IFERROR(__xludf.DUMMYFUNCTION("IMPORTRANGE(""https://docs.google.com/spreadsheets/d/11923uPwbBZFjjGgGUA6NLw09EwE0CqkOc4q9oUmW1yo/edit?usp=sharing"",""นครสวรรค์!I472"")"),0)</f>
        <v>0</v>
      </c>
      <c r="J577" s="188">
        <f ca="1">IFERROR(__xludf.DUMMYFUNCTION("IMPORTRANGE(""https://docs.google.com/spreadsheets/d/11923uPwbBZFjjGgGUA6NLw09EwE0CqkOc4q9oUmW1yo/edit?usp=sharing"",""นครสวรรค์!J472"")"),989)</f>
        <v>989</v>
      </c>
      <c r="K577" s="163">
        <f t="shared" ca="1" si="123"/>
        <v>0</v>
      </c>
      <c r="L577" s="181"/>
      <c r="M577" s="181"/>
      <c r="N577" s="181"/>
      <c r="O577" s="181"/>
      <c r="P577" s="181"/>
    </row>
    <row r="578" spans="1:16" ht="21.75" customHeight="1" x14ac:dyDescent="0.3">
      <c r="A578" s="175"/>
      <c r="B578" s="176"/>
      <c r="C578" s="176"/>
      <c r="D578" s="195"/>
      <c r="E578" s="195"/>
      <c r="F578" s="194" t="s">
        <v>214</v>
      </c>
      <c r="G578" s="419"/>
      <c r="H578" s="473" t="s">
        <v>37</v>
      </c>
      <c r="I578" s="202">
        <f ca="1">IFERROR(__xludf.DUMMYFUNCTION("IMPORTRANGE(""https://docs.google.com/spreadsheets/d/11923uPwbBZFjjGgGUA6NLw09EwE0CqkOc4q9oUmW1yo/edit?usp=sharing"",""นครสวรรค์!I473"")"),0)</f>
        <v>0</v>
      </c>
      <c r="J578" s="197">
        <f ca="1">IFERROR(__xludf.DUMMYFUNCTION("IMPORTRANGE(""https://docs.google.com/spreadsheets/d/11923uPwbBZFjjGgGUA6NLw09EwE0CqkOc4q9oUmW1yo/edit?usp=sharing"",""นครสวรรค์!J473"")"),8)</f>
        <v>8</v>
      </c>
      <c r="K578" s="163">
        <f t="shared" ca="1" si="123"/>
        <v>0</v>
      </c>
      <c r="L578" s="181"/>
      <c r="M578" s="181"/>
      <c r="N578" s="181"/>
      <c r="O578" s="181"/>
      <c r="P578" s="181"/>
    </row>
    <row r="579" spans="1:16" ht="21.75" customHeight="1" x14ac:dyDescent="0.3">
      <c r="A579" s="175"/>
      <c r="B579" s="176"/>
      <c r="C579" s="176"/>
      <c r="D579" s="195"/>
      <c r="E579" s="195"/>
      <c r="F579" s="194" t="s">
        <v>215</v>
      </c>
      <c r="G579" s="419"/>
      <c r="H579" s="473" t="s">
        <v>37</v>
      </c>
      <c r="I579" s="202">
        <f ca="1">IFERROR(__xludf.DUMMYFUNCTION("IMPORTRANGE(""https://docs.google.com/spreadsheets/d/11923uPwbBZFjjGgGUA6NLw09EwE0CqkOc4q9oUmW1yo/edit?usp=sharing"",""นครสวรรค์!I474"")"),0)</f>
        <v>0</v>
      </c>
      <c r="J579" s="197">
        <f ca="1">IFERROR(__xludf.DUMMYFUNCTION("IMPORTRANGE(""https://docs.google.com/spreadsheets/d/11923uPwbBZFjjGgGUA6NLw09EwE0CqkOc4q9oUmW1yo/edit?usp=sharing"",""นครสวรรค์!J474"")"),0)</f>
        <v>0</v>
      </c>
      <c r="K579" s="163">
        <f t="shared" ca="1" si="123"/>
        <v>0</v>
      </c>
      <c r="L579" s="181"/>
      <c r="M579" s="181"/>
      <c r="N579" s="181"/>
      <c r="O579" s="181"/>
      <c r="P579" s="181"/>
    </row>
    <row r="580" spans="1:16" ht="21.75" customHeight="1" x14ac:dyDescent="0.3">
      <c r="A580" s="364"/>
      <c r="B580" s="365">
        <v>9</v>
      </c>
      <c r="C580" s="475" t="s">
        <v>216</v>
      </c>
      <c r="D580" s="366"/>
      <c r="E580" s="366"/>
      <c r="F580" s="366"/>
      <c r="G580" s="367"/>
      <c r="H580" s="368" t="s">
        <v>37</v>
      </c>
      <c r="I580" s="369">
        <f ca="1">IFERROR(__xludf.DUMMYFUNCTION("IMPORTRANGE(""https://docs.google.com/spreadsheets/d/11923uPwbBZFjjGgGUA6NLw09EwE0CqkOc4q9oUmW1yo/edit?usp=sharing"",""นครสวรรค์!I475"")"),0)</f>
        <v>0</v>
      </c>
      <c r="J580" s="369">
        <f ca="1">IFERROR(__xludf.DUMMYFUNCTION("IMPORTRANGE(""https://docs.google.com/spreadsheets/d/11923uPwbBZFjjGgGUA6NLw09EwE0CqkOc4q9oUmW1yo/edit?usp=sharing"",""นครสวรรค์!J475"")"),0)</f>
        <v>0</v>
      </c>
      <c r="K580" s="370">
        <f ca="1">IF(I580&gt;0,J580*100/I580,0)</f>
        <v>0</v>
      </c>
      <c r="L580" s="371">
        <f ca="1">IFERROR(__xludf.DUMMYFUNCTION("IMPORTRANGE(""https://docs.google.com/spreadsheets/d/11923uPwbBZFjjGgGUA6NLw09EwE0CqkOc4q9oUmW1yo/edit?usp=sharing"",""นครสวรรค์!L475"")"),0)</f>
        <v>0</v>
      </c>
      <c r="M580" s="371"/>
      <c r="N580" s="371">
        <f ca="1">IFERROR(__xludf.DUMMYFUNCTION("IMPORTRANGE(""https://docs.google.com/spreadsheets/d/11923uPwbBZFjjGgGUA6NLw09EwE0CqkOc4q9oUmW1yo/edit?usp=sharing"",""นครสวรรค์!M475"")"),0)</f>
        <v>0</v>
      </c>
      <c r="O580" s="371">
        <f t="shared" ref="O580:O584" ca="1" si="124">+IF(L580&gt;0,N580*100/L580,0)</f>
        <v>0</v>
      </c>
      <c r="P580" s="371"/>
    </row>
    <row r="581" spans="1:16" ht="21.75" customHeight="1" x14ac:dyDescent="0.3">
      <c r="A581" s="156"/>
      <c r="B581" s="157"/>
      <c r="C581" s="157" t="s">
        <v>16</v>
      </c>
      <c r="D581" s="158" t="s">
        <v>38</v>
      </c>
      <c r="E581" s="159"/>
      <c r="F581" s="159"/>
      <c r="G581" s="160" t="s">
        <v>39</v>
      </c>
      <c r="H581" s="161" t="s">
        <v>12</v>
      </c>
      <c r="I581" s="162" t="s">
        <v>40</v>
      </c>
      <c r="J581" s="162"/>
      <c r="K581" s="163"/>
      <c r="L581" s="164">
        <f ca="1">IFERROR(__xludf.DUMMYFUNCTION("IMPORTRANGE(""https://docs.google.com/spreadsheets/d/11923uPwbBZFjjGgGUA6NLw09EwE0CqkOc4q9oUmW1yo/edit?usp=sharing"",""นครสวรรค์!L476"")"),0)</f>
        <v>0</v>
      </c>
      <c r="M581" s="164"/>
      <c r="N581" s="168">
        <f ca="1">IFERROR(__xludf.DUMMYFUNCTION("IMPORTRANGE(""https://docs.google.com/spreadsheets/d/11923uPwbBZFjjGgGUA6NLw09EwE0CqkOc4q9oUmW1yo/edit?usp=sharing"",""นครสวรรค์!M476"")"),0)</f>
        <v>0</v>
      </c>
      <c r="O581" s="168">
        <f t="shared" ca="1" si="124"/>
        <v>0</v>
      </c>
      <c r="P581" s="168"/>
    </row>
    <row r="582" spans="1:16" ht="21.75" customHeight="1" x14ac:dyDescent="0.3">
      <c r="A582" s="156"/>
      <c r="B582" s="157"/>
      <c r="C582" s="157"/>
      <c r="D582" s="166"/>
      <c r="E582" s="159"/>
      <c r="F582" s="159" t="s">
        <v>40</v>
      </c>
      <c r="G582" s="160" t="s">
        <v>41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IFERROR(__xludf.DUMMYFUNCTION("IMPORTRANGE(""https://docs.google.com/spreadsheets/d/11923uPwbBZFjjGgGUA6NLw09EwE0CqkOc4q9oUmW1yo/edit?usp=sharing"",""นครสวรรค์!L477"")"),0)</f>
        <v>0</v>
      </c>
      <c r="M582" s="165"/>
      <c r="N582" s="168">
        <f ca="1">IFERROR(__xludf.DUMMYFUNCTION("IMPORTRANGE(""https://docs.google.com/spreadsheets/d/11923uPwbBZFjjGgGUA6NLw09EwE0CqkOc4q9oUmW1yo/edit?usp=sharing"",""นครสวรรค์!M477"")"),0)</f>
        <v>0</v>
      </c>
      <c r="O582" s="168">
        <f t="shared" ca="1" si="124"/>
        <v>0</v>
      </c>
      <c r="P582" s="168"/>
    </row>
    <row r="583" spans="1:16" ht="21.75" customHeight="1" x14ac:dyDescent="0.3">
      <c r="A583" s="156"/>
      <c r="B583" s="157"/>
      <c r="C583" s="157"/>
      <c r="D583" s="166"/>
      <c r="E583" s="159"/>
      <c r="F583" s="159"/>
      <c r="G583" s="372" t="s">
        <v>129</v>
      </c>
      <c r="H583" s="161" t="s">
        <v>12</v>
      </c>
      <c r="I583" s="162"/>
      <c r="J583" s="162"/>
      <c r="K583" s="163"/>
      <c r="L583" s="168">
        <f ca="1">IFERROR(__xludf.DUMMYFUNCTION("IMPORTRANGE(""https://docs.google.com/spreadsheets/d/11923uPwbBZFjjGgGUA6NLw09EwE0CqkOc4q9oUmW1yo/edit?usp=sharing"",""นครสวรรค์!L478"")"),0)</f>
        <v>0</v>
      </c>
      <c r="M583" s="168"/>
      <c r="N583" s="168">
        <f ca="1">IFERROR(__xludf.DUMMYFUNCTION("IMPORTRANGE(""https://docs.google.com/spreadsheets/d/11923uPwbBZFjjGgGUA6NLw09EwE0CqkOc4q9oUmW1yo/edit?usp=sharing"",""นครสวรรค์!M478"")"),0)</f>
        <v>0</v>
      </c>
      <c r="O583" s="168">
        <f t="shared" ca="1" si="124"/>
        <v>0</v>
      </c>
      <c r="P583" s="168"/>
    </row>
    <row r="584" spans="1:16" ht="21.75" customHeight="1" x14ac:dyDescent="0.3">
      <c r="A584" s="156"/>
      <c r="B584" s="157"/>
      <c r="C584" s="157"/>
      <c r="D584" s="166"/>
      <c r="E584" s="159"/>
      <c r="F584" s="159"/>
      <c r="G584" s="372" t="s">
        <v>130</v>
      </c>
      <c r="H584" s="161" t="s">
        <v>12</v>
      </c>
      <c r="I584" s="162"/>
      <c r="J584" s="162"/>
      <c r="K584" s="163"/>
      <c r="L584" s="168">
        <f ca="1">IFERROR(__xludf.DUMMYFUNCTION("IMPORTRANGE(""https://docs.google.com/spreadsheets/d/11923uPwbBZFjjGgGUA6NLw09EwE0CqkOc4q9oUmW1yo/edit?usp=sharing"",""นครสวรรค์!L479"")"),0)</f>
        <v>0</v>
      </c>
      <c r="M584" s="168"/>
      <c r="N584" s="168">
        <f ca="1">IFERROR(__xludf.DUMMYFUNCTION("IMPORTRANGE(""https://docs.google.com/spreadsheets/d/11923uPwbBZFjjGgGUA6NLw09EwE0CqkOc4q9oUmW1yo/edit?usp=sharing"",""นครสวรรค์!M479"")"),0)</f>
        <v>0</v>
      </c>
      <c r="O584" s="168">
        <f t="shared" ca="1" si="124"/>
        <v>0</v>
      </c>
      <c r="P584" s="168"/>
    </row>
    <row r="585" spans="1:16" ht="21.75" customHeight="1" x14ac:dyDescent="0.3">
      <c r="A585" s="373"/>
      <c r="B585" s="374"/>
      <c r="C585" s="157"/>
      <c r="D585" s="375"/>
      <c r="E585" s="159"/>
      <c r="F585" s="159"/>
      <c r="G585" s="376" t="s">
        <v>131</v>
      </c>
      <c r="H585" s="161" t="s">
        <v>12</v>
      </c>
      <c r="I585" s="187"/>
      <c r="J585" s="187"/>
      <c r="K585" s="223"/>
      <c r="L585" s="168"/>
      <c r="M585" s="168"/>
      <c r="N585" s="167">
        <f ca="1">IFERROR(__xludf.DUMMYFUNCTION("IMPORTRANGE(""https://docs.google.com/spreadsheets/d/11923uPwbBZFjjGgGUA6NLw09EwE0CqkOc4q9oUmW1yo/edit?usp=sharing"",""นครสวรรค์!M480"")"),0)</f>
        <v>0</v>
      </c>
      <c r="O585" s="168"/>
      <c r="P585" s="168"/>
    </row>
    <row r="586" spans="1:16" ht="21.75" customHeight="1" x14ac:dyDescent="0.3">
      <c r="A586" s="373"/>
      <c r="B586" s="374"/>
      <c r="C586" s="157"/>
      <c r="D586" s="375"/>
      <c r="E586" s="159"/>
      <c r="F586" s="159"/>
      <c r="G586" s="376" t="s">
        <v>132</v>
      </c>
      <c r="H586" s="161" t="s">
        <v>12</v>
      </c>
      <c r="I586" s="187"/>
      <c r="J586" s="187"/>
      <c r="K586" s="223"/>
      <c r="L586" s="168"/>
      <c r="M586" s="168"/>
      <c r="N586" s="167">
        <f ca="1">IFERROR(__xludf.DUMMYFUNCTION("IMPORTRANGE(""https://docs.google.com/spreadsheets/d/11923uPwbBZFjjGgGUA6NLw09EwE0CqkOc4q9oUmW1yo/edit?usp=sharing"",""นครสวรรค์!M481"")"),0)</f>
        <v>0</v>
      </c>
      <c r="O586" s="168"/>
      <c r="P586" s="168"/>
    </row>
    <row r="587" spans="1:16" ht="21.75" customHeight="1" x14ac:dyDescent="0.3">
      <c r="A587" s="373"/>
      <c r="B587" s="374"/>
      <c r="C587" s="157"/>
      <c r="D587" s="375"/>
      <c r="E587" s="159"/>
      <c r="F587" s="159"/>
      <c r="G587" s="376" t="s">
        <v>133</v>
      </c>
      <c r="H587" s="161" t="s">
        <v>12</v>
      </c>
      <c r="I587" s="187"/>
      <c r="J587" s="187"/>
      <c r="K587" s="223"/>
      <c r="L587" s="168"/>
      <c r="M587" s="168"/>
      <c r="N587" s="167">
        <f ca="1">IFERROR(__xludf.DUMMYFUNCTION("IMPORTRANGE(""https://docs.google.com/spreadsheets/d/11923uPwbBZFjjGgGUA6NLw09EwE0CqkOc4q9oUmW1yo/edit?usp=sharing"",""นครสวรรค์!M482"")"),0)</f>
        <v>0</v>
      </c>
      <c r="O587" s="168"/>
      <c r="P587" s="168"/>
    </row>
    <row r="588" spans="1:16" ht="21.75" customHeight="1" x14ac:dyDescent="0.3">
      <c r="A588" s="373"/>
      <c r="B588" s="374"/>
      <c r="C588" s="157"/>
      <c r="D588" s="375"/>
      <c r="E588" s="159"/>
      <c r="F588" s="159"/>
      <c r="G588" s="376" t="s">
        <v>134</v>
      </c>
      <c r="H588" s="161" t="s">
        <v>12</v>
      </c>
      <c r="I588" s="187"/>
      <c r="J588" s="187"/>
      <c r="K588" s="223"/>
      <c r="L588" s="168"/>
      <c r="M588" s="168"/>
      <c r="N588" s="167">
        <f ca="1">IFERROR(__xludf.DUMMYFUNCTION("IMPORTRANGE(""https://docs.google.com/spreadsheets/d/11923uPwbBZFjjGgGUA6NLw09EwE0CqkOc4q9oUmW1yo/edit?usp=sharing"",""นครสวรรค์!M483"")"),0)</f>
        <v>0</v>
      </c>
      <c r="O588" s="168"/>
      <c r="P588" s="168"/>
    </row>
    <row r="589" spans="1:16" ht="21.75" customHeight="1" x14ac:dyDescent="0.3">
      <c r="A589" s="476"/>
      <c r="B589" s="166"/>
      <c r="C589" s="157"/>
      <c r="D589" s="289"/>
      <c r="E589" s="194" t="s">
        <v>217</v>
      </c>
      <c r="F589" s="195"/>
      <c r="G589" s="196"/>
      <c r="H589" s="180" t="s">
        <v>36</v>
      </c>
      <c r="I589" s="339">
        <f ca="1">IFERROR(__xludf.DUMMYFUNCTION("IMPORTRANGE(""https://docs.google.com/spreadsheets/d/11923uPwbBZFjjGgGUA6NLw09EwE0CqkOc4q9oUmW1yo/edit?usp=sharing"",""นครสวรรค์!I484"")"),0)</f>
        <v>0</v>
      </c>
      <c r="J589" s="187">
        <f ca="1">IFERROR(__xludf.DUMMYFUNCTION("IMPORTRANGE(""https://docs.google.com/spreadsheets/d/11923uPwbBZFjjGgGUA6NLw09EwE0CqkOc4q9oUmW1yo/edit?usp=sharing"",""นครสวรรค์!J484"")"),0)</f>
        <v>0</v>
      </c>
      <c r="K589" s="163">
        <f t="shared" ref="K589:K596" ca="1" si="125">IF(I589&gt;0,J589*100/I589,0)</f>
        <v>0</v>
      </c>
      <c r="L589" s="181"/>
      <c r="M589" s="181"/>
      <c r="N589" s="168"/>
      <c r="O589" s="181"/>
      <c r="P589" s="181"/>
    </row>
    <row r="590" spans="1:16" ht="21.75" customHeight="1" x14ac:dyDescent="0.3">
      <c r="A590" s="476"/>
      <c r="B590" s="166"/>
      <c r="C590" s="157"/>
      <c r="D590" s="289"/>
      <c r="E590" s="195"/>
      <c r="F590" s="195"/>
      <c r="G590" s="196"/>
      <c r="H590" s="180" t="s">
        <v>122</v>
      </c>
      <c r="I590" s="343">
        <f ca="1">IFERROR(__xludf.DUMMYFUNCTION("IMPORTRANGE(""https://docs.google.com/spreadsheets/d/11923uPwbBZFjjGgGUA6NLw09EwE0CqkOc4q9oUmW1yo/edit?usp=sharing"",""นครสวรรค์!I485"")"),0)</f>
        <v>0</v>
      </c>
      <c r="J590" s="187">
        <f ca="1">IFERROR(__xludf.DUMMYFUNCTION("IMPORTRANGE(""https://docs.google.com/spreadsheets/d/11923uPwbBZFjjGgGUA6NLw09EwE0CqkOc4q9oUmW1yo/edit?usp=sharing"",""นครสวรรค์!J485"")"),0)</f>
        <v>0</v>
      </c>
      <c r="K590" s="477">
        <f t="shared" ca="1" si="125"/>
        <v>0</v>
      </c>
      <c r="L590" s="181"/>
      <c r="M590" s="181"/>
      <c r="N590" s="168"/>
      <c r="O590" s="181"/>
      <c r="P590" s="181"/>
    </row>
    <row r="591" spans="1:16" ht="21.75" customHeight="1" x14ac:dyDescent="0.3">
      <c r="A591" s="476"/>
      <c r="B591" s="166"/>
      <c r="C591" s="157"/>
      <c r="D591" s="289"/>
      <c r="E591" s="194" t="s">
        <v>123</v>
      </c>
      <c r="F591" s="195"/>
      <c r="G591" s="196"/>
      <c r="H591" s="180" t="s">
        <v>37</v>
      </c>
      <c r="I591" s="339">
        <f ca="1">IFERROR(__xludf.DUMMYFUNCTION("IMPORTRANGE(""https://docs.google.com/spreadsheets/d/11923uPwbBZFjjGgGUA6NLw09EwE0CqkOc4q9oUmW1yo/edit?usp=sharing"",""นครสวรรค์!I486"")"),0)</f>
        <v>0</v>
      </c>
      <c r="J591" s="187">
        <f ca="1">IFERROR(__xludf.DUMMYFUNCTION("IMPORTRANGE(""https://docs.google.com/spreadsheets/d/11923uPwbBZFjjGgGUA6NLw09EwE0CqkOc4q9oUmW1yo/edit?usp=sharing"",""นครสวรรค์!J486"")"),0)</f>
        <v>0</v>
      </c>
      <c r="K591" s="163">
        <f t="shared" ca="1" si="125"/>
        <v>0</v>
      </c>
      <c r="L591" s="181"/>
      <c r="M591" s="181"/>
      <c r="N591" s="181"/>
      <c r="O591" s="181"/>
      <c r="P591" s="181"/>
    </row>
    <row r="592" spans="1:16" ht="21.75" customHeight="1" x14ac:dyDescent="0.3">
      <c r="A592" s="476"/>
      <c r="B592" s="166"/>
      <c r="C592" s="157"/>
      <c r="D592" s="289"/>
      <c r="E592" s="195"/>
      <c r="F592" s="195"/>
      <c r="G592" s="196"/>
      <c r="H592" s="180" t="s">
        <v>122</v>
      </c>
      <c r="I592" s="343">
        <f ca="1">IFERROR(__xludf.DUMMYFUNCTION("IMPORTRANGE(""https://docs.google.com/spreadsheets/d/11923uPwbBZFjjGgGUA6NLw09EwE0CqkOc4q9oUmW1yo/edit?usp=sharing"",""นครสวรรค์!I487"")"),0)</f>
        <v>0</v>
      </c>
      <c r="J592" s="187">
        <f ca="1">IFERROR(__xludf.DUMMYFUNCTION("IMPORTRANGE(""https://docs.google.com/spreadsheets/d/11923uPwbBZFjjGgGUA6NLw09EwE0CqkOc4q9oUmW1yo/edit?usp=sharing"",""นครสวรรค์!J487"")"),0)</f>
        <v>0</v>
      </c>
      <c r="K592" s="340">
        <f t="shared" ca="1" si="125"/>
        <v>0</v>
      </c>
      <c r="L592" s="181"/>
      <c r="M592" s="181"/>
      <c r="N592" s="181"/>
      <c r="O592" s="181"/>
      <c r="P592" s="181"/>
    </row>
    <row r="593" spans="1:16" ht="21.75" customHeight="1" x14ac:dyDescent="0.3">
      <c r="A593" s="476"/>
      <c r="B593" s="166"/>
      <c r="C593" s="157"/>
      <c r="D593" s="289"/>
      <c r="E593" s="194" t="s">
        <v>124</v>
      </c>
      <c r="F593" s="195"/>
      <c r="G593" s="196"/>
      <c r="H593" s="180" t="s">
        <v>37</v>
      </c>
      <c r="I593" s="339">
        <f ca="1">IFERROR(__xludf.DUMMYFUNCTION("IMPORTRANGE(""https://docs.google.com/spreadsheets/d/11923uPwbBZFjjGgGUA6NLw09EwE0CqkOc4q9oUmW1yo/edit?usp=sharing"",""นครสวรรค์!I488"")"),0)</f>
        <v>0</v>
      </c>
      <c r="J593" s="187">
        <f ca="1">IFERROR(__xludf.DUMMYFUNCTION("IMPORTRANGE(""https://docs.google.com/spreadsheets/d/11923uPwbBZFjjGgGUA6NLw09EwE0CqkOc4q9oUmW1yo/edit?usp=sharing"",""นครสวรรค์!J488"")"),0)</f>
        <v>0</v>
      </c>
      <c r="K593" s="163">
        <f t="shared" ca="1" si="125"/>
        <v>0</v>
      </c>
      <c r="L593" s="181"/>
      <c r="M593" s="181"/>
      <c r="N593" s="181"/>
      <c r="O593" s="181"/>
      <c r="P593" s="181"/>
    </row>
    <row r="594" spans="1:16" ht="21.75" customHeight="1" x14ac:dyDescent="0.3">
      <c r="A594" s="476"/>
      <c r="B594" s="166"/>
      <c r="C594" s="157"/>
      <c r="D594" s="289"/>
      <c r="E594" s="195"/>
      <c r="F594" s="195"/>
      <c r="G594" s="196"/>
      <c r="H594" s="180" t="s">
        <v>122</v>
      </c>
      <c r="I594" s="343">
        <f ca="1">IFERROR(__xludf.DUMMYFUNCTION("IMPORTRANGE(""https://docs.google.com/spreadsheets/d/11923uPwbBZFjjGgGUA6NLw09EwE0CqkOc4q9oUmW1yo/edit?usp=sharing"",""นครสวรรค์!I489"")"),0)</f>
        <v>0</v>
      </c>
      <c r="J594" s="187">
        <f ca="1">IFERROR(__xludf.DUMMYFUNCTION("IMPORTRANGE(""https://docs.google.com/spreadsheets/d/11923uPwbBZFjjGgGUA6NLw09EwE0CqkOc4q9oUmW1yo/edit?usp=sharing"",""นครสวรรค์!J489"")"),0)</f>
        <v>0</v>
      </c>
      <c r="K594" s="340">
        <f t="shared" ca="1" si="125"/>
        <v>0</v>
      </c>
      <c r="L594" s="181"/>
      <c r="M594" s="181"/>
      <c r="N594" s="181"/>
      <c r="O594" s="181"/>
      <c r="P594" s="181"/>
    </row>
    <row r="595" spans="1:16" ht="21.75" customHeight="1" x14ac:dyDescent="0.3">
      <c r="A595" s="476"/>
      <c r="B595" s="166"/>
      <c r="C595" s="157"/>
      <c r="D595" s="289"/>
      <c r="E595" s="194" t="s">
        <v>125</v>
      </c>
      <c r="F595" s="195"/>
      <c r="G595" s="196"/>
      <c r="H595" s="180" t="s">
        <v>37</v>
      </c>
      <c r="I595" s="339">
        <f ca="1">IFERROR(__xludf.DUMMYFUNCTION("IMPORTRANGE(""https://docs.google.com/spreadsheets/d/11923uPwbBZFjjGgGUA6NLw09EwE0CqkOc4q9oUmW1yo/edit?usp=sharing"",""นครสวรรค์!I490"")"),0)</f>
        <v>0</v>
      </c>
      <c r="J595" s="187">
        <f ca="1">IFERROR(__xludf.DUMMYFUNCTION("IMPORTRANGE(""https://docs.google.com/spreadsheets/d/11923uPwbBZFjjGgGUA6NLw09EwE0CqkOc4q9oUmW1yo/edit?usp=sharing"",""นครสวรรค์!J490"")"),0)</f>
        <v>0</v>
      </c>
      <c r="K595" s="163">
        <f t="shared" ca="1" si="125"/>
        <v>0</v>
      </c>
      <c r="L595" s="181"/>
      <c r="M595" s="181"/>
      <c r="N595" s="181"/>
      <c r="O595" s="181"/>
      <c r="P595" s="181"/>
    </row>
    <row r="596" spans="1:16" ht="21.75" customHeight="1" x14ac:dyDescent="0.3">
      <c r="A596" s="478"/>
      <c r="B596" s="479"/>
      <c r="C596" s="480"/>
      <c r="D596" s="481"/>
      <c r="E596" s="460"/>
      <c r="F596" s="460"/>
      <c r="G596" s="461"/>
      <c r="H596" s="482" t="s">
        <v>122</v>
      </c>
      <c r="I596" s="483">
        <f ca="1">IFERROR(__xludf.DUMMYFUNCTION("IMPORTRANGE(""https://docs.google.com/spreadsheets/d/11923uPwbBZFjjGgGUA6NLw09EwE0CqkOc4q9oUmW1yo/edit?usp=sharing"",""นครสวรรค์!I491"")"),0)</f>
        <v>0</v>
      </c>
      <c r="J596" s="240">
        <f ca="1">IFERROR(__xludf.DUMMYFUNCTION("IMPORTRANGE(""https://docs.google.com/spreadsheets/d/11923uPwbBZFjjGgGUA6NLw09EwE0CqkOc4q9oUmW1yo/edit?usp=sharing"",""นครสวรรค์!J491"")"),0)</f>
        <v>0</v>
      </c>
      <c r="K596" s="484">
        <f t="shared" ca="1" si="125"/>
        <v>0</v>
      </c>
      <c r="L596" s="466"/>
      <c r="M596" s="466"/>
      <c r="N596" s="466"/>
      <c r="O596" s="466"/>
      <c r="P596" s="466"/>
    </row>
    <row r="597" spans="1:16" ht="21.75" customHeight="1" x14ac:dyDescent="0.3">
      <c r="A597" s="403"/>
      <c r="B597" s="404">
        <v>10</v>
      </c>
      <c r="C597" s="405" t="s">
        <v>218</v>
      </c>
      <c r="D597" s="405"/>
      <c r="E597" s="405"/>
      <c r="F597" s="405"/>
      <c r="G597" s="406"/>
      <c r="H597" s="407" t="s">
        <v>122</v>
      </c>
      <c r="I597" s="408">
        <f ca="1">IFERROR(__xludf.DUMMYFUNCTION("IMPORTRANGE(""https://docs.google.com/spreadsheets/d/11923uPwbBZFjjGgGUA6NLw09EwE0CqkOc4q9oUmW1yo/edit?usp=sharing"",""นครสวรรค์!I492"")"),50)</f>
        <v>50</v>
      </c>
      <c r="J597" s="485">
        <f ca="1">IFERROR(__xludf.DUMMYFUNCTION("IMPORTRANGE(""https://docs.google.com/spreadsheets/d/11923uPwbBZFjjGgGUA6NLw09EwE0CqkOc4q9oUmW1yo/edit?usp=sharing"",""นครสวรรค์!J492"")"),0)</f>
        <v>0</v>
      </c>
      <c r="K597" s="409">
        <f ca="1">IF(I597&gt;0,J597*100/I597,0)</f>
        <v>0</v>
      </c>
      <c r="L597" s="410">
        <f ca="1">IFERROR(__xludf.DUMMYFUNCTION("IMPORTRANGE(""https://docs.google.com/spreadsheets/d/11923uPwbBZFjjGgGUA6NLw09EwE0CqkOc4q9oUmW1yo/edit?usp=sharing"",""นครสวรรค์!L492"")"),5350)</f>
        <v>5350</v>
      </c>
      <c r="M597" s="410"/>
      <c r="N597" s="410">
        <f ca="1">IFERROR(__xludf.DUMMYFUNCTION("IMPORTRANGE(""https://docs.google.com/spreadsheets/d/11923uPwbBZFjjGgGUA6NLw09EwE0CqkOc4q9oUmW1yo/edit?usp=sharing"",""นครสวรรค์!M492"")"),800)</f>
        <v>800</v>
      </c>
      <c r="O597" s="410">
        <f t="shared" ref="O597:O601" ca="1" si="126">+IF(L597&gt;0,N597*100/L597,0)</f>
        <v>14.953271028037383</v>
      </c>
      <c r="P597" s="410"/>
    </row>
    <row r="598" spans="1:16" ht="21.75" customHeight="1" x14ac:dyDescent="0.3">
      <c r="A598" s="156"/>
      <c r="B598" s="157"/>
      <c r="C598" s="157" t="s">
        <v>16</v>
      </c>
      <c r="D598" s="158" t="s">
        <v>38</v>
      </c>
      <c r="E598" s="159"/>
      <c r="F598" s="159"/>
      <c r="G598" s="160" t="s">
        <v>39</v>
      </c>
      <c r="H598" s="161" t="s">
        <v>12</v>
      </c>
      <c r="I598" s="162" t="s">
        <v>40</v>
      </c>
      <c r="J598" s="162"/>
      <c r="K598" s="163"/>
      <c r="L598" s="164">
        <f ca="1">IFERROR(__xludf.DUMMYFUNCTION("IMPORTRANGE(""https://docs.google.com/spreadsheets/d/11923uPwbBZFjjGgGUA6NLw09EwE0CqkOc4q9oUmW1yo/edit?usp=sharing"",""นครสวรรค์!L493"")"),0)</f>
        <v>0</v>
      </c>
      <c r="M598" s="164"/>
      <c r="N598" s="168">
        <f ca="1">IFERROR(__xludf.DUMMYFUNCTION("IMPORTRANGE(""https://docs.google.com/spreadsheets/d/11923uPwbBZFjjGgGUA6NLw09EwE0CqkOc4q9oUmW1yo/edit?usp=sharing"",""นครสวรรค์!M493"")"),0)</f>
        <v>0</v>
      </c>
      <c r="O598" s="168">
        <f t="shared" ca="1" si="126"/>
        <v>0</v>
      </c>
      <c r="P598" s="168"/>
    </row>
    <row r="599" spans="1:16" ht="21.75" customHeight="1" x14ac:dyDescent="0.3">
      <c r="A599" s="156"/>
      <c r="B599" s="157"/>
      <c r="C599" s="157"/>
      <c r="D599" s="166"/>
      <c r="E599" s="159"/>
      <c r="F599" s="159" t="s">
        <v>40</v>
      </c>
      <c r="G599" s="160" t="s">
        <v>41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IFERROR(__xludf.DUMMYFUNCTION("IMPORTRANGE(""https://docs.google.com/spreadsheets/d/11923uPwbBZFjjGgGUA6NLw09EwE0CqkOc4q9oUmW1yo/edit?usp=sharing"",""นครสวรรค์!L494"")"),5350)</f>
        <v>5350</v>
      </c>
      <c r="M599" s="165"/>
      <c r="N599" s="168">
        <f ca="1">IFERROR(__xludf.DUMMYFUNCTION("IMPORTRANGE(""https://docs.google.com/spreadsheets/d/11923uPwbBZFjjGgGUA6NLw09EwE0CqkOc4q9oUmW1yo/edit?usp=sharing"",""นครสวรรค์!M494"")"),800)</f>
        <v>800</v>
      </c>
      <c r="O599" s="168">
        <f t="shared" ca="1" si="126"/>
        <v>14.953271028037383</v>
      </c>
      <c r="P599" s="168"/>
    </row>
    <row r="600" spans="1:16" ht="21.75" customHeight="1" x14ac:dyDescent="0.3">
      <c r="A600" s="156"/>
      <c r="B600" s="157"/>
      <c r="C600" s="157"/>
      <c r="D600" s="166"/>
      <c r="E600" s="159"/>
      <c r="F600" s="159"/>
      <c r="G600" s="372" t="s">
        <v>129</v>
      </c>
      <c r="H600" s="161" t="s">
        <v>12</v>
      </c>
      <c r="I600" s="162"/>
      <c r="J600" s="162"/>
      <c r="K600" s="163"/>
      <c r="L600" s="168">
        <f ca="1">IFERROR(__xludf.DUMMYFUNCTION("IMPORTRANGE(""https://docs.google.com/spreadsheets/d/11923uPwbBZFjjGgGUA6NLw09EwE0CqkOc4q9oUmW1yo/edit?usp=sharing"",""นครสวรรค์!L495"")"),0)</f>
        <v>0</v>
      </c>
      <c r="M600" s="168"/>
      <c r="N600" s="168">
        <f ca="1">IFERROR(__xludf.DUMMYFUNCTION("IMPORTRANGE(""https://docs.google.com/spreadsheets/d/11923uPwbBZFjjGgGUA6NLw09EwE0CqkOc4q9oUmW1yo/edit?usp=sharing"",""นครสวรรค์!M495"")"),0)</f>
        <v>0</v>
      </c>
      <c r="O600" s="168">
        <f t="shared" ca="1" si="126"/>
        <v>0</v>
      </c>
      <c r="P600" s="168"/>
    </row>
    <row r="601" spans="1:16" ht="21.75" customHeight="1" x14ac:dyDescent="0.3">
      <c r="A601" s="156"/>
      <c r="B601" s="157"/>
      <c r="C601" s="157"/>
      <c r="D601" s="166"/>
      <c r="E601" s="159"/>
      <c r="F601" s="159"/>
      <c r="G601" s="372" t="s">
        <v>130</v>
      </c>
      <c r="H601" s="161" t="s">
        <v>12</v>
      </c>
      <c r="I601" s="162"/>
      <c r="J601" s="162"/>
      <c r="K601" s="163"/>
      <c r="L601" s="168">
        <f ca="1">IFERROR(__xludf.DUMMYFUNCTION("IMPORTRANGE(""https://docs.google.com/spreadsheets/d/11923uPwbBZFjjGgGUA6NLw09EwE0CqkOc4q9oUmW1yo/edit?usp=sharing"",""นครสวรรค์!L496"")"),5350)</f>
        <v>5350</v>
      </c>
      <c r="M601" s="168"/>
      <c r="N601" s="168">
        <f ca="1">IFERROR(__xludf.DUMMYFUNCTION("IMPORTRANGE(""https://docs.google.com/spreadsheets/d/11923uPwbBZFjjGgGUA6NLw09EwE0CqkOc4q9oUmW1yo/edit?usp=sharing"",""นครสวรรค์!M496"")"),800)</f>
        <v>800</v>
      </c>
      <c r="O601" s="168">
        <f t="shared" ca="1" si="126"/>
        <v>14.953271028037383</v>
      </c>
      <c r="P601" s="168"/>
    </row>
    <row r="602" spans="1:16" ht="21.75" customHeight="1" x14ac:dyDescent="0.3">
      <c r="A602" s="373"/>
      <c r="B602" s="374"/>
      <c r="C602" s="157"/>
      <c r="D602" s="375"/>
      <c r="E602" s="159"/>
      <c r="F602" s="159"/>
      <c r="G602" s="376" t="s">
        <v>131</v>
      </c>
      <c r="H602" s="161" t="s">
        <v>12</v>
      </c>
      <c r="I602" s="187"/>
      <c r="J602" s="187"/>
      <c r="K602" s="223"/>
      <c r="L602" s="168"/>
      <c r="M602" s="168"/>
      <c r="N602" s="167">
        <f ca="1">IFERROR(__xludf.DUMMYFUNCTION("IMPORTRANGE(""https://docs.google.com/spreadsheets/d/11923uPwbBZFjjGgGUA6NLw09EwE0CqkOc4q9oUmW1yo/edit?usp=sharing"",""นครสวรรค์!M497"")"),0)</f>
        <v>0</v>
      </c>
      <c r="O602" s="168"/>
      <c r="P602" s="168"/>
    </row>
    <row r="603" spans="1:16" ht="21.75" customHeight="1" x14ac:dyDescent="0.3">
      <c r="A603" s="373"/>
      <c r="B603" s="374"/>
      <c r="C603" s="157"/>
      <c r="D603" s="375"/>
      <c r="E603" s="159"/>
      <c r="F603" s="159"/>
      <c r="G603" s="376" t="s">
        <v>132</v>
      </c>
      <c r="H603" s="161" t="s">
        <v>12</v>
      </c>
      <c r="I603" s="187"/>
      <c r="J603" s="187"/>
      <c r="K603" s="223"/>
      <c r="L603" s="168"/>
      <c r="M603" s="168"/>
      <c r="N603" s="167">
        <f ca="1">IFERROR(__xludf.DUMMYFUNCTION("IMPORTRANGE(""https://docs.google.com/spreadsheets/d/11923uPwbBZFjjGgGUA6NLw09EwE0CqkOc4q9oUmW1yo/edit?usp=sharing"",""นครสวรรค์!M498"")"),0)</f>
        <v>0</v>
      </c>
      <c r="O603" s="168"/>
      <c r="P603" s="168"/>
    </row>
    <row r="604" spans="1:16" ht="21.75" customHeight="1" x14ac:dyDescent="0.3">
      <c r="A604" s="373"/>
      <c r="B604" s="374"/>
      <c r="C604" s="157"/>
      <c r="D604" s="375"/>
      <c r="E604" s="159"/>
      <c r="F604" s="159"/>
      <c r="G604" s="376" t="s">
        <v>133</v>
      </c>
      <c r="H604" s="161" t="s">
        <v>12</v>
      </c>
      <c r="I604" s="187"/>
      <c r="J604" s="187"/>
      <c r="K604" s="223"/>
      <c r="L604" s="168"/>
      <c r="M604" s="168"/>
      <c r="N604" s="377">
        <f ca="1">IFERROR(__xludf.DUMMYFUNCTION("IMPORTRANGE(""https://docs.google.com/spreadsheets/d/11923uPwbBZFjjGgGUA6NLw09EwE0CqkOc4q9oUmW1yo/edit?usp=sharing"",""นครสวรรค์!M499"")"),0)</f>
        <v>0</v>
      </c>
      <c r="O604" s="168"/>
      <c r="P604" s="168"/>
    </row>
    <row r="605" spans="1:16" ht="21.75" customHeight="1" x14ac:dyDescent="0.3">
      <c r="A605" s="373"/>
      <c r="B605" s="374"/>
      <c r="C605" s="157"/>
      <c r="D605" s="375"/>
      <c r="E605" s="159"/>
      <c r="F605" s="159"/>
      <c r="G605" s="376" t="s">
        <v>134</v>
      </c>
      <c r="H605" s="161" t="s">
        <v>12</v>
      </c>
      <c r="I605" s="187"/>
      <c r="J605" s="187"/>
      <c r="K605" s="223"/>
      <c r="L605" s="168"/>
      <c r="M605" s="168"/>
      <c r="N605" s="377">
        <f ca="1">IFERROR(__xludf.DUMMYFUNCTION("IMPORTRANGE(""https://docs.google.com/spreadsheets/d/11923uPwbBZFjjGgGUA6NLw09EwE0CqkOc4q9oUmW1yo/edit?usp=sharing"",""นครสวรรค์!M500"")"),800)</f>
        <v>800</v>
      </c>
      <c r="O605" s="168"/>
      <c r="P605" s="168"/>
    </row>
    <row r="606" spans="1:16" ht="21.75" customHeight="1" x14ac:dyDescent="0.3">
      <c r="A606" s="175"/>
      <c r="B606" s="176"/>
      <c r="C606" s="157" t="s">
        <v>16</v>
      </c>
      <c r="D606" s="177" t="s">
        <v>44</v>
      </c>
      <c r="E606" s="178"/>
      <c r="F606" s="178"/>
      <c r="G606" s="179"/>
      <c r="H606" s="180"/>
      <c r="I606" s="162"/>
      <c r="J606" s="162"/>
      <c r="K606" s="163"/>
      <c r="L606" s="181"/>
      <c r="M606" s="181"/>
      <c r="N606" s="181"/>
      <c r="O606" s="181"/>
      <c r="P606" s="181"/>
    </row>
    <row r="607" spans="1:16" ht="21.75" customHeight="1" x14ac:dyDescent="0.3">
      <c r="A607" s="175"/>
      <c r="B607" s="176"/>
      <c r="C607" s="176"/>
      <c r="D607" s="182">
        <v>1</v>
      </c>
      <c r="E607" s="183" t="s">
        <v>45</v>
      </c>
      <c r="F607" s="184"/>
      <c r="G607" s="185"/>
      <c r="H607" s="186"/>
      <c r="I607" s="187"/>
      <c r="J607" s="197">
        <f ca="1">IFERROR(__xludf.DUMMYFUNCTION("IMPORTRANGE(""https://docs.google.com/spreadsheets/d/11923uPwbBZFjjGgGUA6NLw09EwE0CqkOc4q9oUmW1yo/edit?usp=sharing"",""นครสวรรค์!J502"")"),0)</f>
        <v>0</v>
      </c>
      <c r="K607" s="163"/>
      <c r="L607" s="181"/>
      <c r="M607" s="181"/>
      <c r="N607" s="181"/>
      <c r="O607" s="181"/>
      <c r="P607" s="181"/>
    </row>
    <row r="608" spans="1:16" ht="21.75" customHeight="1" x14ac:dyDescent="0.3">
      <c r="A608" s="175"/>
      <c r="B608" s="176"/>
      <c r="C608" s="176"/>
      <c r="D608" s="189">
        <v>2</v>
      </c>
      <c r="E608" s="190" t="s">
        <v>46</v>
      </c>
      <c r="F608" s="191"/>
      <c r="G608" s="192"/>
      <c r="H608" s="186"/>
      <c r="I608" s="187"/>
      <c r="J608" s="197">
        <f ca="1">IFERROR(__xludf.DUMMYFUNCTION("IMPORTRANGE(""https://docs.google.com/spreadsheets/d/11923uPwbBZFjjGgGUA6NLw09EwE0CqkOc4q9oUmW1yo/edit?usp=sharing"",""นครสวรรค์!J503"")"),1)</f>
        <v>1</v>
      </c>
      <c r="K608" s="163"/>
      <c r="L608" s="181" t="s">
        <v>40</v>
      </c>
      <c r="M608" s="181"/>
      <c r="N608" s="181" t="s">
        <v>40</v>
      </c>
      <c r="O608" s="181"/>
      <c r="P608" s="181"/>
    </row>
    <row r="609" spans="1:16" ht="21.75" hidden="1" customHeight="1" x14ac:dyDescent="0.3">
      <c r="A609" s="373"/>
      <c r="B609" s="374"/>
      <c r="C609" s="374"/>
      <c r="D609" s="486"/>
      <c r="E609" s="487" t="s">
        <v>47</v>
      </c>
      <c r="F609" s="488"/>
      <c r="G609" s="379"/>
      <c r="H609" s="186"/>
      <c r="I609" s="187"/>
      <c r="J609" s="187">
        <f ca="1">IFERROR(__xludf.DUMMYFUNCTION("IMPORTRANGE(""https://docs.google.com/spreadsheets/d/11923uPwbBZFjjGgGUA6NLw09EwE0CqkOc4q9oUmW1yo/edit?usp=sharing"",""นครสวรรค์!J166"")"),0)</f>
        <v>0</v>
      </c>
      <c r="K609" s="223"/>
      <c r="L609" s="168"/>
      <c r="M609" s="168"/>
      <c r="N609" s="168"/>
      <c r="O609" s="168"/>
      <c r="P609" s="168"/>
    </row>
    <row r="610" spans="1:16" ht="21.75" hidden="1" customHeight="1" x14ac:dyDescent="0.3">
      <c r="A610" s="373"/>
      <c r="B610" s="374"/>
      <c r="C610" s="374"/>
      <c r="D610" s="486"/>
      <c r="E610" s="487" t="s">
        <v>48</v>
      </c>
      <c r="F610" s="488"/>
      <c r="G610" s="379"/>
      <c r="H610" s="186"/>
      <c r="I610" s="187"/>
      <c r="J610" s="187">
        <f ca="1">IFERROR(__xludf.DUMMYFUNCTION("IMPORTRANGE(""https://docs.google.com/spreadsheets/d/11923uPwbBZFjjGgGUA6NLw09EwE0CqkOc4q9oUmW1yo/edit?usp=sharing"",""นครสวรรค์!J166"")"),0)</f>
        <v>0</v>
      </c>
      <c r="K610" s="223"/>
      <c r="L610" s="168"/>
      <c r="M610" s="168"/>
      <c r="N610" s="168"/>
      <c r="O610" s="168"/>
      <c r="P610" s="168"/>
    </row>
    <row r="611" spans="1:16" ht="21.75" customHeight="1" x14ac:dyDescent="0.3">
      <c r="A611" s="175"/>
      <c r="B611" s="176"/>
      <c r="C611" s="176"/>
      <c r="D611" s="193"/>
      <c r="E611" s="195"/>
      <c r="F611" s="195" t="s">
        <v>219</v>
      </c>
      <c r="G611" s="196"/>
      <c r="H611" s="180" t="s">
        <v>122</v>
      </c>
      <c r="I611" s="187">
        <f ca="1">IFERROR(__xludf.DUMMYFUNCTION("IMPORTRANGE(""https://docs.google.com/spreadsheets/d/11923uPwbBZFjjGgGUA6NLw09EwE0CqkOc4q9oUmW1yo/edit?usp=sharing"",""นครสวรรค์!I506"")"),50)</f>
        <v>50</v>
      </c>
      <c r="J611" s="162">
        <f ca="1">IFERROR(__xludf.DUMMYFUNCTION("IMPORTRANGE(""https://docs.google.com/spreadsheets/d/11923uPwbBZFjjGgGUA6NLw09EwE0CqkOc4q9oUmW1yo/edit?usp=sharing"",""นครสวรรค์!J506"")"),0)</f>
        <v>0</v>
      </c>
      <c r="K611" s="163">
        <f t="shared" ref="K611:K619" ca="1" si="127">IF(I$611&gt;0,J611*100/I$611,0)</f>
        <v>0</v>
      </c>
      <c r="L611" s="181"/>
      <c r="M611" s="181"/>
      <c r="N611" s="181"/>
      <c r="O611" s="181"/>
      <c r="P611" s="181"/>
    </row>
    <row r="612" spans="1:16" ht="21.75" customHeight="1" x14ac:dyDescent="0.3">
      <c r="A612" s="175"/>
      <c r="B612" s="176"/>
      <c r="C612" s="176"/>
      <c r="D612" s="193"/>
      <c r="E612" s="198"/>
      <c r="F612" s="195"/>
      <c r="G612" s="225" t="s">
        <v>220</v>
      </c>
      <c r="H612" s="180" t="s">
        <v>122</v>
      </c>
      <c r="I612" s="203">
        <f ca="1">IFERROR(__xludf.DUMMYFUNCTION("IMPORTRANGE(""https://docs.google.com/spreadsheets/d/11923uPwbBZFjjGgGUA6NLw09EwE0CqkOc4q9oUmW1yo/edit?usp=sharing"",""นครสวรรค์!I507"")"),0)</f>
        <v>0</v>
      </c>
      <c r="J612" s="197">
        <f ca="1">IFERROR(__xludf.DUMMYFUNCTION("IMPORTRANGE(""https://docs.google.com/spreadsheets/d/11923uPwbBZFjjGgGUA6NLw09EwE0CqkOc4q9oUmW1yo/edit?usp=sharing"",""นครสวรรค์!J507"")"),14)</f>
        <v>14</v>
      </c>
      <c r="K612" s="163">
        <f t="shared" ca="1" si="127"/>
        <v>28</v>
      </c>
      <c r="L612" s="181"/>
      <c r="M612" s="181"/>
      <c r="N612" s="181"/>
      <c r="O612" s="181"/>
      <c r="P612" s="181"/>
    </row>
    <row r="613" spans="1:16" ht="21.75" customHeight="1" x14ac:dyDescent="0.3">
      <c r="A613" s="175"/>
      <c r="B613" s="176"/>
      <c r="C613" s="176"/>
      <c r="D613" s="193"/>
      <c r="E613" s="198"/>
      <c r="F613" s="195"/>
      <c r="G613" s="225" t="s">
        <v>221</v>
      </c>
      <c r="H613" s="180" t="s">
        <v>122</v>
      </c>
      <c r="I613" s="203">
        <f ca="1">IFERROR(__xludf.DUMMYFUNCTION("IMPORTRANGE(""https://docs.google.com/spreadsheets/d/11923uPwbBZFjjGgGUA6NLw09EwE0CqkOc4q9oUmW1yo/edit?usp=sharing"",""นครสวรรค์!I508"")"),0)</f>
        <v>0</v>
      </c>
      <c r="J613" s="197">
        <f ca="1">IFERROR(__xludf.DUMMYFUNCTION("IMPORTRANGE(""https://docs.google.com/spreadsheets/d/11923uPwbBZFjjGgGUA6NLw09EwE0CqkOc4q9oUmW1yo/edit?usp=sharing"",""นครสวรรค์!J508"")"),0)</f>
        <v>0</v>
      </c>
      <c r="K613" s="163">
        <f t="shared" ca="1" si="127"/>
        <v>0</v>
      </c>
      <c r="L613" s="181"/>
      <c r="M613" s="181"/>
      <c r="N613" s="181"/>
      <c r="O613" s="181"/>
      <c r="P613" s="181"/>
    </row>
    <row r="614" spans="1:16" ht="21.75" customHeight="1" x14ac:dyDescent="0.3">
      <c r="A614" s="175"/>
      <c r="B614" s="176"/>
      <c r="C614" s="176"/>
      <c r="D614" s="193"/>
      <c r="E614" s="198"/>
      <c r="F614" s="195"/>
      <c r="G614" s="225" t="s">
        <v>222</v>
      </c>
      <c r="H614" s="180" t="s">
        <v>122</v>
      </c>
      <c r="I614" s="203">
        <f ca="1">IFERROR(__xludf.DUMMYFUNCTION("IMPORTRANGE(""https://docs.google.com/spreadsheets/d/11923uPwbBZFjjGgGUA6NLw09EwE0CqkOc4q9oUmW1yo/edit?usp=sharing"",""นครสวรรค์!I509"")"),0)</f>
        <v>0</v>
      </c>
      <c r="J614" s="197">
        <f ca="1">IFERROR(__xludf.DUMMYFUNCTION("IMPORTRANGE(""https://docs.google.com/spreadsheets/d/11923uPwbBZFjjGgGUA6NLw09EwE0CqkOc4q9oUmW1yo/edit?usp=sharing"",""นครสวรรค์!J509"")"),0)</f>
        <v>0</v>
      </c>
      <c r="K614" s="163">
        <f t="shared" ca="1" si="127"/>
        <v>0</v>
      </c>
      <c r="L614" s="181"/>
      <c r="M614" s="181"/>
      <c r="N614" s="181"/>
      <c r="O614" s="181"/>
      <c r="P614" s="181"/>
    </row>
    <row r="615" spans="1:16" ht="21.75" customHeight="1" x14ac:dyDescent="0.3">
      <c r="A615" s="175"/>
      <c r="B615" s="176"/>
      <c r="C615" s="176"/>
      <c r="D615" s="193"/>
      <c r="E615" s="198"/>
      <c r="F615" s="195"/>
      <c r="G615" s="225" t="s">
        <v>223</v>
      </c>
      <c r="H615" s="180" t="s">
        <v>122</v>
      </c>
      <c r="I615" s="203">
        <f ca="1">IFERROR(__xludf.DUMMYFUNCTION("IMPORTRANGE(""https://docs.google.com/spreadsheets/d/11923uPwbBZFjjGgGUA6NLw09EwE0CqkOc4q9oUmW1yo/edit?usp=sharing"",""นครสวรรค์!I510"")"),0)</f>
        <v>0</v>
      </c>
      <c r="J615" s="197">
        <f ca="1">IFERROR(__xludf.DUMMYFUNCTION("IMPORTRANGE(""https://docs.google.com/spreadsheets/d/11923uPwbBZFjjGgGUA6NLw09EwE0CqkOc4q9oUmW1yo/edit?usp=sharing"",""นครสวรรค์!J510"")"),0)</f>
        <v>0</v>
      </c>
      <c r="K615" s="163">
        <f t="shared" ca="1" si="127"/>
        <v>0</v>
      </c>
      <c r="L615" s="181"/>
      <c r="M615" s="181"/>
      <c r="N615" s="181"/>
      <c r="O615" s="181"/>
      <c r="P615" s="181"/>
    </row>
    <row r="616" spans="1:16" ht="21.75" customHeight="1" x14ac:dyDescent="0.3">
      <c r="A616" s="175"/>
      <c r="B616" s="176"/>
      <c r="C616" s="176"/>
      <c r="D616" s="193"/>
      <c r="E616" s="198"/>
      <c r="F616" s="195"/>
      <c r="G616" s="194" t="s">
        <v>224</v>
      </c>
      <c r="H616" s="180" t="s">
        <v>122</v>
      </c>
      <c r="I616" s="203">
        <f ca="1">IFERROR(__xludf.DUMMYFUNCTION("IMPORTRANGE(""https://docs.google.com/spreadsheets/d/11923uPwbBZFjjGgGUA6NLw09EwE0CqkOc4q9oUmW1yo/edit?usp=sharing"",""นครสวรรค์!I511"")"),0)</f>
        <v>0</v>
      </c>
      <c r="J616" s="197">
        <f ca="1">IFERROR(__xludf.DUMMYFUNCTION("IMPORTRANGE(""https://docs.google.com/spreadsheets/d/11923uPwbBZFjjGgGUA6NLw09EwE0CqkOc4q9oUmW1yo/edit?usp=sharing"",""นครสวรรค์!J511"")"),0)</f>
        <v>0</v>
      </c>
      <c r="K616" s="163">
        <f t="shared" ca="1" si="127"/>
        <v>0</v>
      </c>
      <c r="L616" s="181"/>
      <c r="M616" s="181"/>
      <c r="N616" s="181"/>
      <c r="O616" s="181"/>
      <c r="P616" s="181"/>
    </row>
    <row r="617" spans="1:16" ht="21.75" customHeight="1" x14ac:dyDescent="0.3">
      <c r="A617" s="175"/>
      <c r="B617" s="176"/>
      <c r="C617" s="176"/>
      <c r="D617" s="193"/>
      <c r="E617" s="198"/>
      <c r="F617" s="195"/>
      <c r="G617" s="194" t="s">
        <v>225</v>
      </c>
      <c r="H617" s="180" t="s">
        <v>122</v>
      </c>
      <c r="I617" s="187">
        <f ca="1">IFERROR(__xludf.DUMMYFUNCTION("IMPORTRANGE(""https://docs.google.com/spreadsheets/d/11923uPwbBZFjjGgGUA6NLw09EwE0CqkOc4q9oUmW1yo/edit?usp=sharing"",""นครสวรรค์!I512"")"),0)</f>
        <v>0</v>
      </c>
      <c r="J617" s="187">
        <f ca="1">IFERROR(__xludf.DUMMYFUNCTION("IMPORTRANGE(""https://docs.google.com/spreadsheets/d/11923uPwbBZFjjGgGUA6NLw09EwE0CqkOc4q9oUmW1yo/edit?usp=sharing"",""นครสวรรค์!J512"")"),0)</f>
        <v>0</v>
      </c>
      <c r="K617" s="163">
        <f t="shared" ca="1" si="127"/>
        <v>0</v>
      </c>
      <c r="L617" s="181"/>
      <c r="M617" s="181"/>
      <c r="N617" s="181"/>
      <c r="O617" s="181"/>
      <c r="P617" s="181"/>
    </row>
    <row r="618" spans="1:16" ht="21.75" customHeight="1" x14ac:dyDescent="0.3">
      <c r="A618" s="175"/>
      <c r="B618" s="176"/>
      <c r="C618" s="176"/>
      <c r="D618" s="193"/>
      <c r="E618" s="198"/>
      <c r="F618" s="195"/>
      <c r="G618" s="489" t="s">
        <v>226</v>
      </c>
      <c r="H618" s="180" t="s">
        <v>122</v>
      </c>
      <c r="I618" s="203">
        <f ca="1">IFERROR(__xludf.DUMMYFUNCTION("IMPORTRANGE(""https://docs.google.com/spreadsheets/d/11923uPwbBZFjjGgGUA6NLw09EwE0CqkOc4q9oUmW1yo/edit?usp=sharing"",""นครสวรรค์!I513"")"),0)</f>
        <v>0</v>
      </c>
      <c r="J618" s="188">
        <f ca="1">IFERROR(__xludf.DUMMYFUNCTION("IMPORTRANGE(""https://docs.google.com/spreadsheets/d/11923uPwbBZFjjGgGUA6NLw09EwE0CqkOc4q9oUmW1yo/edit?usp=sharing"",""นครสวรรค์!J513"")"),0)</f>
        <v>0</v>
      </c>
      <c r="K618" s="163">
        <f t="shared" ca="1" si="127"/>
        <v>0</v>
      </c>
      <c r="L618" s="181"/>
      <c r="M618" s="181"/>
      <c r="N618" s="181"/>
      <c r="O618" s="181"/>
      <c r="P618" s="181"/>
    </row>
    <row r="619" spans="1:16" ht="21.75" customHeight="1" x14ac:dyDescent="0.3">
      <c r="A619" s="175"/>
      <c r="B619" s="176"/>
      <c r="C619" s="176"/>
      <c r="D619" s="193"/>
      <c r="E619" s="198"/>
      <c r="F619" s="195"/>
      <c r="G619" s="489" t="s">
        <v>227</v>
      </c>
      <c r="H619" s="180" t="s">
        <v>122</v>
      </c>
      <c r="I619" s="203">
        <f ca="1">IFERROR(__xludf.DUMMYFUNCTION("IMPORTRANGE(""https://docs.google.com/spreadsheets/d/11923uPwbBZFjjGgGUA6NLw09EwE0CqkOc4q9oUmW1yo/edit?usp=sharing"",""นครสวรรค์!I514"")"),0)</f>
        <v>0</v>
      </c>
      <c r="J619" s="188">
        <f ca="1">IFERROR(__xludf.DUMMYFUNCTION("IMPORTRANGE(""https://docs.google.com/spreadsheets/d/11923uPwbBZFjjGgGUA6NLw09EwE0CqkOc4q9oUmW1yo/edit?usp=sharing"",""นครสวรรค์!J514"")"),0)</f>
        <v>0</v>
      </c>
      <c r="K619" s="163">
        <f t="shared" ca="1" si="127"/>
        <v>0</v>
      </c>
      <c r="L619" s="181"/>
      <c r="M619" s="181"/>
      <c r="N619" s="181"/>
      <c r="O619" s="181"/>
      <c r="P619" s="181"/>
    </row>
    <row r="620" spans="1:16" ht="21.75" customHeight="1" x14ac:dyDescent="0.3">
      <c r="A620" s="175"/>
      <c r="B620" s="176"/>
      <c r="C620" s="176"/>
      <c r="D620" s="193"/>
      <c r="E620" s="195"/>
      <c r="F620" s="194" t="s">
        <v>228</v>
      </c>
      <c r="G620" s="196"/>
      <c r="H620" s="180" t="s">
        <v>122</v>
      </c>
      <c r="I620" s="187">
        <f ca="1">IFERROR(__xludf.DUMMYFUNCTION("IMPORTRANGE(""https://docs.google.com/spreadsheets/d/11923uPwbBZFjjGgGUA6NLw09EwE0CqkOc4q9oUmW1yo/edit?usp=sharing"",""นครสวรรค์!I515"")"),0)</f>
        <v>0</v>
      </c>
      <c r="J620" s="202">
        <f ca="1">IFERROR(__xludf.DUMMYFUNCTION("IMPORTRANGE(""https://docs.google.com/spreadsheets/d/11923uPwbBZFjjGgGUA6NLw09EwE0CqkOc4q9oUmW1yo/edit?usp=sharing"",""นครสวรรค์!J515"")"),0)</f>
        <v>0</v>
      </c>
      <c r="K620" s="163">
        <f t="shared" ref="K620:K626" ca="1" si="128">IF(I$620&gt;0,J620*100/I$620,0)</f>
        <v>0</v>
      </c>
      <c r="L620" s="181"/>
      <c r="M620" s="181"/>
      <c r="N620" s="181"/>
      <c r="O620" s="181"/>
      <c r="P620" s="181"/>
    </row>
    <row r="621" spans="1:16" ht="21.75" customHeight="1" x14ac:dyDescent="0.3">
      <c r="A621" s="175"/>
      <c r="B621" s="176"/>
      <c r="C621" s="176"/>
      <c r="D621" s="193"/>
      <c r="E621" s="198"/>
      <c r="F621" s="195"/>
      <c r="G621" s="225" t="s">
        <v>225</v>
      </c>
      <c r="H621" s="180" t="s">
        <v>122</v>
      </c>
      <c r="I621" s="202">
        <f ca="1">IFERROR(__xludf.DUMMYFUNCTION("IMPORTRANGE(""https://docs.google.com/spreadsheets/d/11923uPwbBZFjjGgGUA6NLw09EwE0CqkOc4q9oUmW1yo/edit?usp=sharing"",""นครสวรรค์!I516"")"),0)</f>
        <v>0</v>
      </c>
      <c r="J621" s="202">
        <f ca="1">IFERROR(__xludf.DUMMYFUNCTION("IMPORTRANGE(""https://docs.google.com/spreadsheets/d/11923uPwbBZFjjGgGUA6NLw09EwE0CqkOc4q9oUmW1yo/edit?usp=sharing"",""นครสวรรค์!J516"")"),0)</f>
        <v>0</v>
      </c>
      <c r="K621" s="163">
        <f t="shared" ca="1" si="128"/>
        <v>0</v>
      </c>
      <c r="L621" s="181"/>
      <c r="M621" s="181"/>
      <c r="N621" s="181"/>
      <c r="O621" s="181"/>
      <c r="P621" s="181"/>
    </row>
    <row r="622" spans="1:16" ht="21.75" customHeight="1" x14ac:dyDescent="0.3">
      <c r="A622" s="175"/>
      <c r="B622" s="176"/>
      <c r="C622" s="176"/>
      <c r="D622" s="193"/>
      <c r="E622" s="198"/>
      <c r="F622" s="195"/>
      <c r="G622" s="489" t="s">
        <v>226</v>
      </c>
      <c r="H622" s="180" t="s">
        <v>122</v>
      </c>
      <c r="I622" s="203">
        <f ca="1">IFERROR(__xludf.DUMMYFUNCTION("IMPORTRANGE(""https://docs.google.com/spreadsheets/d/11923uPwbBZFjjGgGUA6NLw09EwE0CqkOc4q9oUmW1yo/edit?usp=sharing"",""นครสวรรค์!I517"")"),0)</f>
        <v>0</v>
      </c>
      <c r="J622" s="188">
        <f ca="1">IFERROR(__xludf.DUMMYFUNCTION("IMPORTRANGE(""https://docs.google.com/spreadsheets/d/11923uPwbBZFjjGgGUA6NLw09EwE0CqkOc4q9oUmW1yo/edit?usp=sharing"",""นครสวรรค์!J517"")"),0)</f>
        <v>0</v>
      </c>
      <c r="K622" s="163">
        <f t="shared" ca="1" si="128"/>
        <v>0</v>
      </c>
      <c r="L622" s="181"/>
      <c r="M622" s="181"/>
      <c r="N622" s="181"/>
      <c r="O622" s="181"/>
      <c r="P622" s="181"/>
    </row>
    <row r="623" spans="1:16" ht="21.75" customHeight="1" x14ac:dyDescent="0.3">
      <c r="A623" s="175"/>
      <c r="B623" s="176"/>
      <c r="C623" s="176"/>
      <c r="D623" s="193"/>
      <c r="E623" s="198"/>
      <c r="F623" s="195"/>
      <c r="G623" s="489" t="s">
        <v>227</v>
      </c>
      <c r="H623" s="180" t="s">
        <v>122</v>
      </c>
      <c r="I623" s="203">
        <f ca="1">IFERROR(__xludf.DUMMYFUNCTION("IMPORTRANGE(""https://docs.google.com/spreadsheets/d/11923uPwbBZFjjGgGUA6NLw09EwE0CqkOc4q9oUmW1yo/edit?usp=sharing"",""นครสวรรค์!I518"")"),0)</f>
        <v>0</v>
      </c>
      <c r="J623" s="188">
        <f ca="1">IFERROR(__xludf.DUMMYFUNCTION("IMPORTRANGE(""https://docs.google.com/spreadsheets/d/11923uPwbBZFjjGgGUA6NLw09EwE0CqkOc4q9oUmW1yo/edit?usp=sharing"",""นครสวรรค์!J518"")"),0)</f>
        <v>0</v>
      </c>
      <c r="K623" s="163">
        <f t="shared" ca="1" si="128"/>
        <v>0</v>
      </c>
      <c r="L623" s="181"/>
      <c r="M623" s="181"/>
      <c r="N623" s="181"/>
      <c r="O623" s="181"/>
      <c r="P623" s="181"/>
    </row>
    <row r="624" spans="1:16" ht="21.75" customHeight="1" x14ac:dyDescent="0.3">
      <c r="A624" s="175"/>
      <c r="B624" s="176"/>
      <c r="C624" s="176"/>
      <c r="D624" s="193"/>
      <c r="E624" s="198"/>
      <c r="F624" s="195"/>
      <c r="G624" s="225" t="s">
        <v>229</v>
      </c>
      <c r="H624" s="180" t="s">
        <v>122</v>
      </c>
      <c r="I624" s="187">
        <f ca="1">IFERROR(__xludf.DUMMYFUNCTION("IMPORTRANGE(""https://docs.google.com/spreadsheets/d/11923uPwbBZFjjGgGUA6NLw09EwE0CqkOc4q9oUmW1yo/edit?usp=sharing"",""นครสวรรค์!I519"")"),0)</f>
        <v>0</v>
      </c>
      <c r="J624" s="187">
        <f ca="1">IFERROR(__xludf.DUMMYFUNCTION("IMPORTRANGE(""https://docs.google.com/spreadsheets/d/11923uPwbBZFjjGgGUA6NLw09EwE0CqkOc4q9oUmW1yo/edit?usp=sharing"",""นครสวรรค์!J519"")"),0)</f>
        <v>0</v>
      </c>
      <c r="K624" s="163">
        <f t="shared" ca="1" si="128"/>
        <v>0</v>
      </c>
      <c r="L624" s="181"/>
      <c r="M624" s="181"/>
      <c r="N624" s="181"/>
      <c r="O624" s="181"/>
      <c r="P624" s="181"/>
    </row>
    <row r="625" spans="1:16" ht="21.75" customHeight="1" x14ac:dyDescent="0.3">
      <c r="A625" s="175"/>
      <c r="B625" s="176"/>
      <c r="C625" s="176"/>
      <c r="D625" s="193"/>
      <c r="E625" s="198"/>
      <c r="F625" s="195"/>
      <c r="G625" s="489" t="s">
        <v>230</v>
      </c>
      <c r="H625" s="180" t="s">
        <v>122</v>
      </c>
      <c r="I625" s="203">
        <f ca="1">IFERROR(__xludf.DUMMYFUNCTION("IMPORTRANGE(""https://docs.google.com/spreadsheets/d/11923uPwbBZFjjGgGUA6NLw09EwE0CqkOc4q9oUmW1yo/edit?usp=sharing"",""นครสวรรค์!I520"")"),0)</f>
        <v>0</v>
      </c>
      <c r="J625" s="188">
        <f ca="1">IFERROR(__xludf.DUMMYFUNCTION("IMPORTRANGE(""https://docs.google.com/spreadsheets/d/11923uPwbBZFjjGgGUA6NLw09EwE0CqkOc4q9oUmW1yo/edit?usp=sharing"",""นครสวรรค์!J520"")"),0)</f>
        <v>0</v>
      </c>
      <c r="K625" s="163">
        <f t="shared" ca="1" si="128"/>
        <v>0</v>
      </c>
      <c r="L625" s="181"/>
      <c r="M625" s="181"/>
      <c r="N625" s="181"/>
      <c r="O625" s="181"/>
      <c r="P625" s="181"/>
    </row>
    <row r="626" spans="1:16" ht="21.75" customHeight="1" x14ac:dyDescent="0.3">
      <c r="A626" s="175"/>
      <c r="B626" s="176"/>
      <c r="C626" s="176"/>
      <c r="D626" s="193"/>
      <c r="E626" s="198"/>
      <c r="F626" s="195"/>
      <c r="G626" s="489" t="s">
        <v>231</v>
      </c>
      <c r="H626" s="180" t="s">
        <v>122</v>
      </c>
      <c r="I626" s="203">
        <f ca="1">IFERROR(__xludf.DUMMYFUNCTION("IMPORTRANGE(""https://docs.google.com/spreadsheets/d/11923uPwbBZFjjGgGUA6NLw09EwE0CqkOc4q9oUmW1yo/edit?usp=sharing"",""นครสวรรค์!I521"")"),0)</f>
        <v>0</v>
      </c>
      <c r="J626" s="188">
        <f ca="1">IFERROR(__xludf.DUMMYFUNCTION("IMPORTRANGE(""https://docs.google.com/spreadsheets/d/11923uPwbBZFjjGgGUA6NLw09EwE0CqkOc4q9oUmW1yo/edit?usp=sharing"",""นครสวรรค์!J521"")"),0)</f>
        <v>0</v>
      </c>
      <c r="K626" s="163">
        <f t="shared" ca="1" si="128"/>
        <v>0</v>
      </c>
      <c r="L626" s="181"/>
      <c r="M626" s="181"/>
      <c r="N626" s="181"/>
      <c r="O626" s="181"/>
      <c r="P626" s="181"/>
    </row>
    <row r="627" spans="1:16" ht="21.75" customHeight="1" x14ac:dyDescent="0.3">
      <c r="A627" s="490" t="s">
        <v>232</v>
      </c>
      <c r="B627" s="491"/>
      <c r="C627" s="491"/>
      <c r="D627" s="491"/>
      <c r="E627" s="491"/>
      <c r="F627" s="491"/>
      <c r="G627" s="492"/>
      <c r="H627" s="493"/>
      <c r="I627" s="494"/>
      <c r="J627" s="494"/>
      <c r="K627" s="495"/>
      <c r="L627" s="495"/>
      <c r="M627" s="495"/>
      <c r="N627" s="495"/>
      <c r="O627" s="496"/>
      <c r="P627" s="496"/>
    </row>
    <row r="628" spans="1:16" ht="21.75" customHeight="1" x14ac:dyDescent="0.3">
      <c r="A628" s="476"/>
      <c r="B628" s="497" t="s">
        <v>233</v>
      </c>
      <c r="C628" s="157"/>
      <c r="D628" s="166"/>
      <c r="E628" s="159"/>
      <c r="F628" s="159"/>
      <c r="G628" s="160"/>
      <c r="H628" s="498" t="s">
        <v>12</v>
      </c>
      <c r="I628" s="339">
        <f ca="1">IFERROR(__xludf.DUMMYFUNCTION("IMPORTRANGE(""https://docs.google.com/spreadsheets/d/11923uPwbBZFjjGgGUA6NLw09EwE0CqkOc4q9oUmW1yo/edit?usp=sharing"",""นครสวรรค์!I523"")"),1200000)</f>
        <v>1200000</v>
      </c>
      <c r="J628" s="339">
        <f ca="1">IFERROR(__xludf.DUMMYFUNCTION("IMPORTRANGE(""https://docs.google.com/spreadsheets/d/11923uPwbBZFjjGgGUA6NLw09EwE0CqkOc4q9oUmW1yo/edit?usp=sharing"",""นครสวรรค์!J523"")"),180000)</f>
        <v>180000</v>
      </c>
      <c r="K628" s="340">
        <f t="shared" ref="K628:K635" ca="1" si="129">IF(I628&gt;0,J628*100/I628,0)</f>
        <v>15</v>
      </c>
      <c r="L628" s="340"/>
      <c r="M628" s="340"/>
      <c r="N628" s="340"/>
      <c r="O628" s="168"/>
      <c r="P628" s="168"/>
    </row>
    <row r="629" spans="1:16" ht="21.75" customHeight="1" x14ac:dyDescent="0.3">
      <c r="A629" s="476"/>
      <c r="B629" s="157"/>
      <c r="C629" s="157"/>
      <c r="D629" s="166"/>
      <c r="E629" s="159"/>
      <c r="F629" s="159"/>
      <c r="G629" s="160"/>
      <c r="H629" s="498" t="s">
        <v>37</v>
      </c>
      <c r="I629" s="339">
        <f ca="1">IFERROR(__xludf.DUMMYFUNCTION("IMPORTRANGE(""https://docs.google.com/spreadsheets/d/11923uPwbBZFjjGgGUA6NLw09EwE0CqkOc4q9oUmW1yo/edit?usp=sharing"",""นครสวรรค์!I524"")"),60)</f>
        <v>60</v>
      </c>
      <c r="J629" s="339">
        <f ca="1">IFERROR(__xludf.DUMMYFUNCTION("IMPORTRANGE(""https://docs.google.com/spreadsheets/d/11923uPwbBZFjjGgGUA6NLw09EwE0CqkOc4q9oUmW1yo/edit?usp=sharing"",""นครสวรรค์!J524"")"),9)</f>
        <v>9</v>
      </c>
      <c r="K629" s="340">
        <f t="shared" ca="1" si="129"/>
        <v>15</v>
      </c>
      <c r="L629" s="340"/>
      <c r="M629" s="340"/>
      <c r="N629" s="340"/>
      <c r="O629" s="168"/>
      <c r="P629" s="168"/>
    </row>
    <row r="630" spans="1:16" ht="21.75" customHeight="1" x14ac:dyDescent="0.3">
      <c r="A630" s="476"/>
      <c r="B630" s="497" t="s">
        <v>234</v>
      </c>
      <c r="C630" s="157"/>
      <c r="D630" s="166"/>
      <c r="E630" s="159"/>
      <c r="F630" s="159"/>
      <c r="G630" s="160"/>
      <c r="H630" s="498" t="s">
        <v>12</v>
      </c>
      <c r="I630" s="339">
        <f ca="1">IFERROR(__xludf.DUMMYFUNCTION("IMPORTRANGE(""https://docs.google.com/spreadsheets/d/11923uPwbBZFjjGgGUA6NLw09EwE0CqkOc4q9oUmW1yo/edit?usp=sharing"",""นครสวรรค์!I525"")"),4985434.51)</f>
        <v>4985434.51</v>
      </c>
      <c r="J630" s="339">
        <f ca="1">IFERROR(__xludf.DUMMYFUNCTION("IMPORTRANGE(""https://docs.google.com/spreadsheets/d/11923uPwbBZFjjGgGUA6NLw09EwE0CqkOc4q9oUmW1yo/edit?usp=sharing"",""นครสวรรค์!J525"")"),491050.18)</f>
        <v>491050.18</v>
      </c>
      <c r="K630" s="340">
        <f t="shared" ca="1" si="129"/>
        <v>9.8496967318501589</v>
      </c>
      <c r="L630" s="340"/>
      <c r="M630" s="340"/>
      <c r="N630" s="340"/>
      <c r="O630" s="168"/>
      <c r="P630" s="168"/>
    </row>
    <row r="631" spans="1:16" ht="21.75" customHeight="1" x14ac:dyDescent="0.3">
      <c r="A631" s="476"/>
      <c r="B631" s="157"/>
      <c r="C631" s="157"/>
      <c r="D631" s="166"/>
      <c r="E631" s="159"/>
      <c r="F631" s="159"/>
      <c r="G631" s="160"/>
      <c r="H631" s="498" t="s">
        <v>37</v>
      </c>
      <c r="I631" s="339">
        <f ca="1">IFERROR(__xludf.DUMMYFUNCTION("IMPORTRANGE(""https://docs.google.com/spreadsheets/d/11923uPwbBZFjjGgGUA6NLw09EwE0CqkOc4q9oUmW1yo/edit?usp=sharing"",""นครสวรรค์!I526"")"),266)</f>
        <v>266</v>
      </c>
      <c r="J631" s="339">
        <f ca="1">IFERROR(__xludf.DUMMYFUNCTION("IMPORTRANGE(""https://docs.google.com/spreadsheets/d/11923uPwbBZFjjGgGUA6NLw09EwE0CqkOc4q9oUmW1yo/edit?usp=sharing"",""นครสวรรค์!J526"")"),193)</f>
        <v>193</v>
      </c>
      <c r="K631" s="340">
        <f t="shared" ca="1" si="129"/>
        <v>72.556390977443613</v>
      </c>
      <c r="L631" s="340"/>
      <c r="M631" s="340"/>
      <c r="N631" s="340"/>
      <c r="O631" s="168"/>
      <c r="P631" s="168"/>
    </row>
    <row r="632" spans="1:16" ht="21.75" customHeight="1" x14ac:dyDescent="0.3">
      <c r="A632" s="476"/>
      <c r="B632" s="497" t="s">
        <v>235</v>
      </c>
      <c r="C632" s="157"/>
      <c r="D632" s="166"/>
      <c r="E632" s="159"/>
      <c r="F632" s="159"/>
      <c r="G632" s="160"/>
      <c r="H632" s="498" t="s">
        <v>12</v>
      </c>
      <c r="I632" s="339">
        <f ca="1">IFERROR(__xludf.DUMMYFUNCTION("IMPORTRANGE(""https://docs.google.com/spreadsheets/d/11923uPwbBZFjjGgGUA6NLw09EwE0CqkOc4q9oUmW1yo/edit?usp=sharing"",""นครสวรรค์!I527"")"),51382380.47)</f>
        <v>51382380.469999999</v>
      </c>
      <c r="J632" s="339">
        <f ca="1">IFERROR(__xludf.DUMMYFUNCTION("IMPORTRANGE(""https://docs.google.com/spreadsheets/d/11923uPwbBZFjjGgGUA6NLw09EwE0CqkOc4q9oUmW1yo/edit?usp=sharing"",""นครสวรรค์!J527"")"),8339361.09)</f>
        <v>8339361.0899999999</v>
      </c>
      <c r="K632" s="340">
        <f t="shared" ca="1" si="129"/>
        <v>16.230001439635519</v>
      </c>
      <c r="L632" s="340"/>
      <c r="M632" s="340"/>
      <c r="N632" s="340"/>
      <c r="O632" s="168"/>
      <c r="P632" s="168"/>
    </row>
    <row r="633" spans="1:16" ht="21.75" customHeight="1" x14ac:dyDescent="0.3">
      <c r="A633" s="476"/>
      <c r="B633" s="497"/>
      <c r="C633" s="157"/>
      <c r="D633" s="166"/>
      <c r="E633" s="159"/>
      <c r="F633" s="159"/>
      <c r="G633" s="160"/>
      <c r="H633" s="498" t="s">
        <v>37</v>
      </c>
      <c r="I633" s="339">
        <f ca="1">IFERROR(__xludf.DUMMYFUNCTION("IMPORTRANGE(""https://docs.google.com/spreadsheets/d/11923uPwbBZFjjGgGUA6NLw09EwE0CqkOc4q9oUmW1yo/edit?usp=sharing"",""นครสวรรค์!I528"")"),4298)</f>
        <v>4298</v>
      </c>
      <c r="J633" s="339">
        <f ca="1">IFERROR(__xludf.DUMMYFUNCTION("IMPORTRANGE(""https://docs.google.com/spreadsheets/d/11923uPwbBZFjjGgGUA6NLw09EwE0CqkOc4q9oUmW1yo/edit?usp=sharing"",""นครสวรรค์!J528"")"),1067)</f>
        <v>1067</v>
      </c>
      <c r="K633" s="340">
        <f t="shared" ca="1" si="129"/>
        <v>24.825500232666357</v>
      </c>
      <c r="L633" s="340"/>
      <c r="M633" s="340"/>
      <c r="N633" s="340"/>
      <c r="O633" s="168"/>
      <c r="P633" s="168"/>
    </row>
    <row r="634" spans="1:16" ht="21.75" customHeight="1" x14ac:dyDescent="0.3">
      <c r="A634" s="476"/>
      <c r="B634" s="497" t="s">
        <v>236</v>
      </c>
      <c r="C634" s="157"/>
      <c r="D634" s="166"/>
      <c r="E634" s="159"/>
      <c r="F634" s="159"/>
      <c r="G634" s="160"/>
      <c r="H634" s="498" t="s">
        <v>12</v>
      </c>
      <c r="I634" s="339">
        <f ca="1">IFERROR(__xludf.DUMMYFUNCTION("IMPORTRANGE(""https://docs.google.com/spreadsheets/d/11923uPwbBZFjjGgGUA6NLw09EwE0CqkOc4q9oUmW1yo/edit?usp=sharing"",""นครสวรรค์!I529"")"),1260000)</f>
        <v>1260000</v>
      </c>
      <c r="J634" s="339">
        <f ca="1">IFERROR(__xludf.DUMMYFUNCTION("IMPORTRANGE(""https://docs.google.com/spreadsheets/d/11923uPwbBZFjjGgGUA6NLw09EwE0CqkOc4q9oUmW1yo/edit?usp=sharing"",""นครสวรรค์!J529"")"),0)</f>
        <v>0</v>
      </c>
      <c r="K634" s="340">
        <f t="shared" ca="1" si="129"/>
        <v>0</v>
      </c>
      <c r="L634" s="340"/>
      <c r="M634" s="340"/>
      <c r="N634" s="340"/>
      <c r="O634" s="168"/>
      <c r="P634" s="168"/>
    </row>
    <row r="635" spans="1:16" ht="21.75" customHeight="1" x14ac:dyDescent="0.3">
      <c r="A635" s="478"/>
      <c r="B635" s="480"/>
      <c r="C635" s="480"/>
      <c r="D635" s="479"/>
      <c r="E635" s="499"/>
      <c r="F635" s="499"/>
      <c r="G635" s="500"/>
      <c r="H635" s="501" t="s">
        <v>37</v>
      </c>
      <c r="I635" s="502">
        <f ca="1">IFERROR(__xludf.DUMMYFUNCTION("IMPORTRANGE(""https://docs.google.com/spreadsheets/d/11923uPwbBZFjjGgGUA6NLw09EwE0CqkOc4q9oUmW1yo/edit?usp=sharing"",""นครสวรรค์!I530"")"),63)</f>
        <v>63</v>
      </c>
      <c r="J635" s="502">
        <f ca="1">IFERROR(__xludf.DUMMYFUNCTION("IMPORTRANGE(""https://docs.google.com/spreadsheets/d/11923uPwbBZFjjGgGUA6NLw09EwE0CqkOc4q9oUmW1yo/edit?usp=sharing"",""นครสวรรค์!J530"")"),0)</f>
        <v>0</v>
      </c>
      <c r="K635" s="484">
        <f t="shared" ca="1" si="129"/>
        <v>0</v>
      </c>
      <c r="L635" s="484"/>
      <c r="M635" s="484"/>
      <c r="N635" s="484"/>
      <c r="O635" s="503"/>
      <c r="P635" s="503"/>
    </row>
    <row r="636" spans="1:16" ht="21.75" customHeight="1" x14ac:dyDescent="0.3">
      <c r="A636" s="504"/>
      <c r="B636" s="504"/>
      <c r="C636" s="504"/>
      <c r="D636" s="504"/>
      <c r="E636" s="505" t="s">
        <v>237</v>
      </c>
      <c r="F636" s="505"/>
      <c r="G636" s="505"/>
      <c r="H636" s="506"/>
      <c r="I636" s="506"/>
      <c r="J636" s="506"/>
      <c r="K636" s="507"/>
      <c r="L636" s="508"/>
      <c r="M636" s="508"/>
      <c r="N636" s="508"/>
      <c r="O636" s="509"/>
      <c r="P636" s="509"/>
    </row>
    <row r="637" spans="1:16" ht="21.75" customHeight="1" x14ac:dyDescent="0.3">
      <c r="A637" s="504"/>
      <c r="B637" s="504"/>
      <c r="C637" s="504"/>
      <c r="D637" s="504"/>
      <c r="E637" s="506"/>
      <c r="F637" s="506"/>
      <c r="G637" s="506"/>
      <c r="H637" s="506"/>
      <c r="I637" s="506"/>
      <c r="J637" s="506"/>
      <c r="K637" s="507"/>
      <c r="L637" s="508"/>
      <c r="M637" s="508"/>
      <c r="N637" s="508"/>
      <c r="O637" s="509"/>
      <c r="P637" s="509"/>
    </row>
    <row r="638" spans="1:16" ht="21.75" customHeight="1" x14ac:dyDescent="0.3">
      <c r="A638" s="504"/>
      <c r="B638" s="504"/>
      <c r="C638" s="504"/>
      <c r="D638" s="504"/>
      <c r="E638" s="506"/>
      <c r="F638" s="506"/>
      <c r="G638" s="506"/>
      <c r="H638" s="506"/>
      <c r="I638" s="506"/>
      <c r="J638" s="506"/>
      <c r="K638" s="507"/>
      <c r="L638" s="508"/>
      <c r="M638" s="508"/>
      <c r="N638" s="508"/>
      <c r="O638" s="509"/>
      <c r="P638" s="509"/>
    </row>
    <row r="639" spans="1:16" ht="21.75" customHeight="1" x14ac:dyDescent="0.3">
      <c r="A639" s="504"/>
      <c r="B639" s="504"/>
      <c r="C639" s="504"/>
      <c r="D639" s="504"/>
      <c r="E639" s="506"/>
      <c r="F639" s="506"/>
      <c r="G639" s="506"/>
      <c r="H639" s="506"/>
      <c r="I639" s="506"/>
      <c r="J639" s="506"/>
      <c r="K639" s="507"/>
      <c r="L639" s="508"/>
      <c r="M639" s="508"/>
      <c r="N639" s="508"/>
      <c r="O639" s="509"/>
      <c r="P639" s="509"/>
    </row>
    <row r="640" spans="1:16" ht="21.75" customHeight="1" x14ac:dyDescent="0.3">
      <c r="A640" s="504"/>
      <c r="B640" s="504"/>
      <c r="C640" s="504"/>
      <c r="D640" s="504"/>
      <c r="E640" s="506"/>
      <c r="F640" s="506"/>
      <c r="G640" s="506"/>
      <c r="H640" s="506"/>
      <c r="I640" s="506"/>
      <c r="J640" s="506"/>
      <c r="K640" s="507"/>
      <c r="L640" s="508"/>
      <c r="M640" s="508"/>
      <c r="N640" s="508"/>
      <c r="O640" s="509"/>
      <c r="P640" s="509"/>
    </row>
    <row r="641" spans="1:16" ht="21.75" customHeight="1" x14ac:dyDescent="0.3">
      <c r="A641" s="504"/>
      <c r="B641" s="504"/>
      <c r="C641" s="504"/>
      <c r="D641" s="504"/>
      <c r="E641" s="506"/>
      <c r="F641" s="506"/>
      <c r="G641" s="506"/>
      <c r="H641" s="506"/>
      <c r="I641" s="506"/>
      <c r="J641" s="506"/>
      <c r="K641" s="507"/>
      <c r="L641" s="508"/>
      <c r="M641" s="508"/>
      <c r="N641" s="508"/>
      <c r="O641" s="509"/>
      <c r="P641" s="509"/>
    </row>
    <row r="642" spans="1:16" ht="21.75" customHeight="1" x14ac:dyDescent="0.3">
      <c r="A642" s="504"/>
      <c r="B642" s="504"/>
      <c r="C642" s="504"/>
      <c r="D642" s="504"/>
      <c r="E642" s="506"/>
      <c r="F642" s="506"/>
      <c r="G642" s="506"/>
      <c r="H642" s="506"/>
      <c r="I642" s="506"/>
      <c r="J642" s="506"/>
      <c r="K642" s="507"/>
      <c r="L642" s="508"/>
      <c r="M642" s="508"/>
      <c r="N642" s="508"/>
      <c r="O642" s="509"/>
      <c r="P642" s="509"/>
    </row>
    <row r="643" spans="1:16" ht="21.75" customHeight="1" x14ac:dyDescent="0.3">
      <c r="A643" s="504"/>
      <c r="B643" s="504"/>
      <c r="C643" s="504"/>
      <c r="D643" s="504"/>
      <c r="E643" s="506"/>
      <c r="F643" s="506"/>
      <c r="G643" s="506"/>
      <c r="H643" s="506"/>
      <c r="I643" s="506"/>
      <c r="J643" s="506"/>
      <c r="K643" s="507"/>
      <c r="L643" s="508"/>
      <c r="M643" s="508"/>
      <c r="N643" s="508"/>
      <c r="O643" s="509"/>
      <c r="P643" s="509"/>
    </row>
    <row r="644" spans="1:16" ht="21.75" customHeight="1" x14ac:dyDescent="0.3">
      <c r="A644" s="504"/>
      <c r="B644" s="504"/>
      <c r="C644" s="504"/>
      <c r="D644" s="504"/>
      <c r="E644" s="506"/>
      <c r="F644" s="506"/>
      <c r="G644" s="506"/>
      <c r="H644" s="506"/>
      <c r="I644" s="506"/>
      <c r="J644" s="506"/>
      <c r="K644" s="507"/>
      <c r="L644" s="508"/>
      <c r="M644" s="508"/>
      <c r="N644" s="508"/>
      <c r="O644" s="509"/>
      <c r="P644" s="509"/>
    </row>
    <row r="645" spans="1:16" ht="21.75" customHeight="1" x14ac:dyDescent="0.3">
      <c r="A645" s="504"/>
      <c r="B645" s="504"/>
      <c r="C645" s="504"/>
      <c r="D645" s="504"/>
      <c r="E645" s="506"/>
      <c r="F645" s="506"/>
      <c r="G645" s="506"/>
      <c r="H645" s="506"/>
      <c r="I645" s="506"/>
      <c r="J645" s="506"/>
      <c r="K645" s="507"/>
      <c r="L645" s="508"/>
      <c r="M645" s="508"/>
      <c r="N645" s="508"/>
      <c r="O645" s="509"/>
      <c r="P645" s="509"/>
    </row>
    <row r="646" spans="1:16" ht="21.75" customHeight="1" x14ac:dyDescent="0.3">
      <c r="A646" s="504"/>
      <c r="B646" s="504"/>
      <c r="C646" s="504"/>
      <c r="D646" s="504"/>
      <c r="E646" s="506"/>
      <c r="F646" s="506"/>
      <c r="G646" s="506"/>
      <c r="H646" s="506"/>
      <c r="I646" s="506"/>
      <c r="J646" s="506"/>
      <c r="K646" s="507"/>
      <c r="L646" s="508"/>
      <c r="M646" s="508"/>
      <c r="N646" s="508"/>
      <c r="O646" s="509"/>
      <c r="P646" s="509"/>
    </row>
    <row r="647" spans="1:16" ht="21.75" customHeight="1" x14ac:dyDescent="0.3">
      <c r="A647" s="504"/>
      <c r="B647" s="504"/>
      <c r="C647" s="504"/>
      <c r="D647" s="504"/>
      <c r="E647" s="506"/>
      <c r="F647" s="506"/>
      <c r="G647" s="506"/>
      <c r="H647" s="506"/>
      <c r="I647" s="506"/>
      <c r="J647" s="506"/>
      <c r="K647" s="507"/>
      <c r="L647" s="508"/>
      <c r="M647" s="508"/>
      <c r="N647" s="508"/>
      <c r="O647" s="509"/>
      <c r="P647" s="509"/>
    </row>
    <row r="648" spans="1:16" ht="21.75" customHeight="1" x14ac:dyDescent="0.3">
      <c r="A648" s="504"/>
      <c r="B648" s="504"/>
      <c r="C648" s="504"/>
      <c r="D648" s="504"/>
      <c r="E648" s="506"/>
      <c r="F648" s="506"/>
      <c r="G648" s="506"/>
      <c r="H648" s="506"/>
      <c r="I648" s="506"/>
      <c r="J648" s="506"/>
      <c r="K648" s="507"/>
      <c r="L648" s="508"/>
      <c r="M648" s="508"/>
      <c r="N648" s="508"/>
      <c r="O648" s="509"/>
      <c r="P648" s="509"/>
    </row>
    <row r="649" spans="1:16" ht="21.75" customHeight="1" x14ac:dyDescent="0.3">
      <c r="A649" s="504"/>
      <c r="B649" s="504"/>
      <c r="C649" s="504"/>
      <c r="D649" s="504"/>
      <c r="E649" s="506"/>
      <c r="F649" s="506"/>
      <c r="G649" s="506"/>
      <c r="H649" s="506"/>
      <c r="I649" s="506"/>
      <c r="J649" s="506"/>
      <c r="K649" s="507"/>
      <c r="L649" s="508"/>
      <c r="M649" s="508"/>
      <c r="N649" s="508"/>
      <c r="O649" s="509"/>
      <c r="P649" s="509"/>
    </row>
    <row r="650" spans="1:16" ht="21.75" customHeight="1" x14ac:dyDescent="0.3">
      <c r="A650" s="504"/>
      <c r="B650" s="504"/>
      <c r="C650" s="504"/>
      <c r="D650" s="504"/>
      <c r="E650" s="506"/>
      <c r="F650" s="506"/>
      <c r="G650" s="506"/>
      <c r="H650" s="506"/>
      <c r="I650" s="506"/>
      <c r="J650" s="506"/>
      <c r="K650" s="507"/>
      <c r="L650" s="508"/>
      <c r="M650" s="508"/>
      <c r="N650" s="508"/>
      <c r="O650" s="509"/>
      <c r="P650" s="509"/>
    </row>
    <row r="651" spans="1:16" ht="21.75" customHeight="1" x14ac:dyDescent="0.3">
      <c r="A651" s="504"/>
      <c r="B651" s="504"/>
      <c r="C651" s="504"/>
      <c r="D651" s="504"/>
      <c r="E651" s="506"/>
      <c r="F651" s="506"/>
      <c r="G651" s="506"/>
      <c r="H651" s="506"/>
      <c r="I651" s="506"/>
      <c r="J651" s="506"/>
      <c r="K651" s="507"/>
      <c r="L651" s="508"/>
      <c r="M651" s="508"/>
      <c r="N651" s="508"/>
      <c r="O651" s="509"/>
      <c r="P651" s="509"/>
    </row>
    <row r="652" spans="1:16" ht="21.75" customHeight="1" x14ac:dyDescent="0.3">
      <c r="A652" s="504"/>
      <c r="B652" s="504"/>
      <c r="C652" s="504"/>
      <c r="D652" s="504"/>
      <c r="E652" s="506"/>
      <c r="F652" s="506"/>
      <c r="G652" s="506"/>
      <c r="H652" s="506"/>
      <c r="I652" s="506"/>
      <c r="J652" s="506"/>
      <c r="K652" s="507"/>
      <c r="L652" s="508"/>
      <c r="M652" s="508"/>
      <c r="N652" s="508"/>
      <c r="O652" s="509"/>
      <c r="P652" s="509"/>
    </row>
    <row r="653" spans="1:16" ht="21.75" customHeight="1" x14ac:dyDescent="0.3">
      <c r="A653" s="504"/>
      <c r="B653" s="504"/>
      <c r="C653" s="504"/>
      <c r="D653" s="504"/>
      <c r="E653" s="506"/>
      <c r="F653" s="506"/>
      <c r="G653" s="506"/>
      <c r="H653" s="506"/>
      <c r="I653" s="506"/>
      <c r="J653" s="506"/>
      <c r="K653" s="507"/>
      <c r="L653" s="508"/>
      <c r="M653" s="508"/>
      <c r="N653" s="508"/>
      <c r="O653" s="509"/>
      <c r="P653" s="509"/>
    </row>
    <row r="654" spans="1:16" ht="21.75" customHeight="1" x14ac:dyDescent="0.3">
      <c r="A654" s="504"/>
      <c r="B654" s="504"/>
      <c r="C654" s="504"/>
      <c r="D654" s="504"/>
      <c r="E654" s="506"/>
      <c r="F654" s="506"/>
      <c r="G654" s="506"/>
      <c r="H654" s="506"/>
      <c r="I654" s="506"/>
      <c r="J654" s="506"/>
      <c r="K654" s="507"/>
      <c r="L654" s="508"/>
      <c r="M654" s="508"/>
      <c r="N654" s="508"/>
      <c r="O654" s="509"/>
      <c r="P654" s="509"/>
    </row>
    <row r="655" spans="1:16" ht="21.75" customHeight="1" x14ac:dyDescent="0.3">
      <c r="A655" s="504"/>
      <c r="B655" s="504"/>
      <c r="C655" s="504"/>
      <c r="D655" s="504"/>
      <c r="E655" s="506"/>
      <c r="F655" s="506"/>
      <c r="G655" s="506"/>
      <c r="H655" s="506"/>
      <c r="I655" s="506"/>
      <c r="J655" s="506"/>
      <c r="K655" s="507"/>
      <c r="L655" s="508"/>
      <c r="M655" s="508"/>
      <c r="N655" s="508"/>
      <c r="O655" s="509"/>
      <c r="P655" s="509"/>
    </row>
    <row r="656" spans="1:16" ht="21.75" customHeight="1" x14ac:dyDescent="0.3">
      <c r="A656" s="504"/>
      <c r="B656" s="504"/>
      <c r="C656" s="504"/>
      <c r="D656" s="504"/>
      <c r="E656" s="506"/>
      <c r="F656" s="506"/>
      <c r="G656" s="506"/>
      <c r="H656" s="506"/>
      <c r="I656" s="506"/>
      <c r="J656" s="506"/>
      <c r="K656" s="507"/>
      <c r="L656" s="508"/>
      <c r="M656" s="508"/>
      <c r="N656" s="508"/>
      <c r="O656" s="509"/>
      <c r="P656" s="509"/>
    </row>
    <row r="657" spans="1:16" ht="21.75" customHeight="1" x14ac:dyDescent="0.3">
      <c r="A657" s="504"/>
      <c r="B657" s="504"/>
      <c r="C657" s="504"/>
      <c r="D657" s="504"/>
      <c r="E657" s="506"/>
      <c r="F657" s="506"/>
      <c r="G657" s="506"/>
      <c r="H657" s="506"/>
      <c r="I657" s="506"/>
      <c r="J657" s="506"/>
      <c r="K657" s="507"/>
      <c r="L657" s="508"/>
      <c r="M657" s="508"/>
      <c r="N657" s="508"/>
      <c r="O657" s="509"/>
      <c r="P657" s="509"/>
    </row>
    <row r="658" spans="1:16" ht="21.75" customHeight="1" x14ac:dyDescent="0.3">
      <c r="A658" s="504"/>
      <c r="B658" s="504"/>
      <c r="C658" s="504"/>
      <c r="D658" s="504"/>
      <c r="E658" s="506"/>
      <c r="F658" s="506"/>
      <c r="G658" s="506"/>
      <c r="H658" s="506"/>
      <c r="I658" s="506"/>
      <c r="J658" s="506"/>
      <c r="K658" s="507"/>
      <c r="L658" s="508"/>
      <c r="M658" s="508"/>
      <c r="N658" s="508"/>
      <c r="O658" s="509"/>
      <c r="P658" s="509"/>
    </row>
    <row r="659" spans="1:16" ht="21.75" customHeight="1" x14ac:dyDescent="0.3">
      <c r="A659" s="504"/>
      <c r="B659" s="504"/>
      <c r="C659" s="504"/>
      <c r="D659" s="504"/>
      <c r="E659" s="506"/>
      <c r="F659" s="506"/>
      <c r="G659" s="506"/>
      <c r="H659" s="506"/>
      <c r="I659" s="506"/>
      <c r="J659" s="506"/>
      <c r="K659" s="507"/>
      <c r="L659" s="508"/>
      <c r="M659" s="508"/>
      <c r="N659" s="508"/>
      <c r="O659" s="509"/>
      <c r="P659" s="509"/>
    </row>
    <row r="660" spans="1:16" ht="21.75" customHeight="1" x14ac:dyDescent="0.3">
      <c r="A660" s="504"/>
      <c r="B660" s="504"/>
      <c r="C660" s="504"/>
      <c r="D660" s="504"/>
      <c r="E660" s="506"/>
      <c r="F660" s="506"/>
      <c r="G660" s="506"/>
      <c r="H660" s="506"/>
      <c r="I660" s="506"/>
      <c r="J660" s="506"/>
      <c r="K660" s="507"/>
      <c r="L660" s="508"/>
      <c r="M660" s="508"/>
      <c r="N660" s="508"/>
      <c r="O660" s="509"/>
      <c r="P660" s="509"/>
    </row>
    <row r="661" spans="1:16" ht="21.75" customHeight="1" x14ac:dyDescent="0.3">
      <c r="A661" s="504"/>
      <c r="B661" s="504"/>
      <c r="C661" s="504"/>
      <c r="D661" s="504"/>
      <c r="E661" s="506"/>
      <c r="F661" s="506"/>
      <c r="G661" s="506"/>
      <c r="H661" s="506"/>
      <c r="I661" s="506"/>
      <c r="J661" s="506"/>
      <c r="K661" s="507"/>
      <c r="L661" s="508"/>
      <c r="M661" s="508"/>
      <c r="N661" s="508"/>
      <c r="O661" s="509"/>
      <c r="P661" s="509"/>
    </row>
    <row r="662" spans="1:16" ht="21.75" customHeight="1" x14ac:dyDescent="0.3">
      <c r="A662" s="504"/>
      <c r="B662" s="504"/>
      <c r="C662" s="504"/>
      <c r="D662" s="504"/>
      <c r="E662" s="506"/>
      <c r="F662" s="506"/>
      <c r="G662" s="506"/>
      <c r="H662" s="506"/>
      <c r="I662" s="506"/>
      <c r="J662" s="506"/>
      <c r="K662" s="507"/>
      <c r="L662" s="508"/>
      <c r="M662" s="508"/>
      <c r="N662" s="508"/>
      <c r="O662" s="509"/>
      <c r="P662" s="509"/>
    </row>
    <row r="663" spans="1:16" ht="21.75" customHeight="1" x14ac:dyDescent="0.3">
      <c r="A663" s="504"/>
      <c r="B663" s="504"/>
      <c r="C663" s="504"/>
      <c r="D663" s="504"/>
      <c r="E663" s="506"/>
      <c r="F663" s="506"/>
      <c r="G663" s="506"/>
      <c r="H663" s="506"/>
      <c r="I663" s="506"/>
      <c r="J663" s="506"/>
      <c r="K663" s="507"/>
      <c r="L663" s="508"/>
      <c r="M663" s="508"/>
      <c r="N663" s="508"/>
      <c r="O663" s="509"/>
      <c r="P663" s="509"/>
    </row>
    <row r="664" spans="1:16" ht="21.75" customHeight="1" x14ac:dyDescent="0.3">
      <c r="A664" s="504"/>
      <c r="B664" s="504"/>
      <c r="C664" s="504"/>
      <c r="D664" s="504"/>
      <c r="E664" s="506"/>
      <c r="F664" s="506"/>
      <c r="G664" s="506"/>
      <c r="H664" s="506"/>
      <c r="I664" s="506"/>
      <c r="J664" s="506"/>
      <c r="K664" s="507"/>
      <c r="L664" s="508"/>
      <c r="M664" s="508"/>
      <c r="N664" s="508"/>
      <c r="O664" s="509"/>
      <c r="P664" s="509"/>
    </row>
    <row r="665" spans="1:16" ht="21.75" customHeight="1" x14ac:dyDescent="0.3">
      <c r="A665" s="504"/>
      <c r="B665" s="504"/>
      <c r="C665" s="504"/>
      <c r="D665" s="504"/>
      <c r="E665" s="506"/>
      <c r="F665" s="506"/>
      <c r="G665" s="506"/>
      <c r="H665" s="506"/>
      <c r="I665" s="506"/>
      <c r="J665" s="506"/>
      <c r="K665" s="507"/>
      <c r="L665" s="508"/>
      <c r="M665" s="508"/>
      <c r="N665" s="508"/>
      <c r="O665" s="509"/>
      <c r="P665" s="509"/>
    </row>
    <row r="666" spans="1:16" ht="21.75" customHeight="1" x14ac:dyDescent="0.3">
      <c r="A666" s="504"/>
      <c r="B666" s="504"/>
      <c r="C666" s="504"/>
      <c r="D666" s="504"/>
      <c r="E666" s="506"/>
      <c r="F666" s="506"/>
      <c r="G666" s="506"/>
      <c r="H666" s="506"/>
      <c r="I666" s="506"/>
      <c r="J666" s="506"/>
      <c r="K666" s="507"/>
      <c r="L666" s="508"/>
      <c r="M666" s="508"/>
      <c r="N666" s="508"/>
      <c r="O666" s="509"/>
      <c r="P666" s="509"/>
    </row>
    <row r="667" spans="1:16" ht="21.75" customHeight="1" x14ac:dyDescent="0.3">
      <c r="A667" s="504"/>
      <c r="B667" s="504"/>
      <c r="C667" s="504"/>
      <c r="D667" s="504"/>
      <c r="E667" s="506"/>
      <c r="F667" s="506"/>
      <c r="G667" s="506"/>
      <c r="H667" s="506"/>
      <c r="I667" s="506"/>
      <c r="J667" s="506"/>
      <c r="K667" s="507"/>
      <c r="L667" s="508"/>
      <c r="M667" s="508"/>
      <c r="N667" s="508"/>
      <c r="O667" s="509"/>
      <c r="P667" s="509"/>
    </row>
    <row r="668" spans="1:16" ht="21.75" customHeight="1" x14ac:dyDescent="0.3">
      <c r="A668" s="504"/>
      <c r="B668" s="504"/>
      <c r="C668" s="504"/>
      <c r="D668" s="504"/>
      <c r="E668" s="506"/>
      <c r="F668" s="506"/>
      <c r="G668" s="506"/>
      <c r="H668" s="506"/>
      <c r="I668" s="506"/>
      <c r="J668" s="506"/>
      <c r="K668" s="507"/>
      <c r="L668" s="508"/>
      <c r="M668" s="508"/>
      <c r="N668" s="508"/>
      <c r="O668" s="509"/>
      <c r="P668" s="509"/>
    </row>
    <row r="669" spans="1:16" ht="21.75" customHeight="1" x14ac:dyDescent="0.3">
      <c r="A669" s="504"/>
      <c r="B669" s="504"/>
      <c r="C669" s="504"/>
      <c r="D669" s="504"/>
      <c r="E669" s="506"/>
      <c r="F669" s="506"/>
      <c r="G669" s="506"/>
      <c r="H669" s="506"/>
      <c r="I669" s="506"/>
      <c r="J669" s="506"/>
      <c r="K669" s="507"/>
      <c r="L669" s="508"/>
      <c r="M669" s="508"/>
      <c r="N669" s="508"/>
      <c r="O669" s="509"/>
      <c r="P669" s="509"/>
    </row>
    <row r="670" spans="1:16" ht="21.75" customHeight="1" x14ac:dyDescent="0.3">
      <c r="A670" s="504"/>
      <c r="B670" s="504"/>
      <c r="C670" s="504"/>
      <c r="D670" s="504"/>
      <c r="E670" s="506"/>
      <c r="F670" s="506"/>
      <c r="G670" s="506"/>
      <c r="H670" s="506"/>
      <c r="I670" s="506"/>
      <c r="J670" s="506"/>
      <c r="K670" s="507"/>
      <c r="L670" s="508"/>
      <c r="M670" s="508"/>
      <c r="N670" s="508"/>
      <c r="O670" s="509"/>
      <c r="P670" s="509"/>
    </row>
    <row r="671" spans="1:16" ht="21.75" customHeight="1" x14ac:dyDescent="0.3">
      <c r="A671" s="504"/>
      <c r="B671" s="504"/>
      <c r="C671" s="504"/>
      <c r="D671" s="504"/>
      <c r="E671" s="506"/>
      <c r="F671" s="506"/>
      <c r="G671" s="506"/>
      <c r="H671" s="506"/>
      <c r="I671" s="506"/>
      <c r="J671" s="506"/>
      <c r="K671" s="507"/>
      <c r="L671" s="508"/>
      <c r="M671" s="508"/>
      <c r="N671" s="508"/>
      <c r="O671" s="509"/>
      <c r="P671" s="509"/>
    </row>
    <row r="672" spans="1:16" ht="21.75" customHeight="1" x14ac:dyDescent="0.3">
      <c r="A672" s="504"/>
      <c r="B672" s="504"/>
      <c r="C672" s="504"/>
      <c r="D672" s="504"/>
      <c r="E672" s="506"/>
      <c r="F672" s="506"/>
      <c r="G672" s="506"/>
      <c r="H672" s="506"/>
      <c r="I672" s="506"/>
      <c r="J672" s="506"/>
      <c r="K672" s="507"/>
      <c r="L672" s="508"/>
      <c r="M672" s="508"/>
      <c r="N672" s="508"/>
      <c r="O672" s="509"/>
      <c r="P672" s="509"/>
    </row>
    <row r="673" spans="1:16" ht="21.75" customHeight="1" x14ac:dyDescent="0.3">
      <c r="A673" s="504"/>
      <c r="B673" s="504"/>
      <c r="C673" s="504"/>
      <c r="D673" s="504"/>
      <c r="E673" s="506"/>
      <c r="F673" s="506"/>
      <c r="G673" s="506"/>
      <c r="H673" s="506"/>
      <c r="I673" s="506"/>
      <c r="J673" s="506"/>
      <c r="K673" s="507"/>
      <c r="L673" s="508"/>
      <c r="M673" s="508"/>
      <c r="N673" s="508"/>
      <c r="O673" s="509"/>
      <c r="P673" s="509"/>
    </row>
    <row r="674" spans="1:16" ht="21.75" customHeight="1" x14ac:dyDescent="0.3">
      <c r="A674" s="504"/>
      <c r="B674" s="504"/>
      <c r="C674" s="504"/>
      <c r="D674" s="504"/>
      <c r="E674" s="506"/>
      <c r="F674" s="506"/>
      <c r="G674" s="506"/>
      <c r="H674" s="506"/>
      <c r="I674" s="506"/>
      <c r="J674" s="506"/>
      <c r="K674" s="507"/>
      <c r="L674" s="508"/>
      <c r="M674" s="508"/>
      <c r="N674" s="508"/>
      <c r="O674" s="509"/>
      <c r="P674" s="509"/>
    </row>
    <row r="675" spans="1:16" ht="21.75" customHeight="1" x14ac:dyDescent="0.3">
      <c r="A675" s="504"/>
      <c r="B675" s="504"/>
      <c r="C675" s="504"/>
      <c r="D675" s="504"/>
      <c r="E675" s="506"/>
      <c r="F675" s="506"/>
      <c r="G675" s="506"/>
      <c r="H675" s="506"/>
      <c r="I675" s="506"/>
      <c r="J675" s="506"/>
      <c r="K675" s="507"/>
      <c r="L675" s="508"/>
      <c r="M675" s="508"/>
      <c r="N675" s="508"/>
      <c r="O675" s="509"/>
      <c r="P675" s="509"/>
    </row>
    <row r="676" spans="1:16" ht="21.75" customHeight="1" x14ac:dyDescent="0.3">
      <c r="A676" s="504"/>
      <c r="B676" s="504"/>
      <c r="C676" s="504"/>
      <c r="D676" s="504"/>
      <c r="E676" s="506"/>
      <c r="F676" s="506"/>
      <c r="G676" s="506"/>
      <c r="H676" s="506"/>
      <c r="I676" s="506"/>
      <c r="J676" s="506"/>
      <c r="K676" s="507"/>
      <c r="L676" s="508"/>
      <c r="M676" s="508"/>
      <c r="N676" s="508"/>
      <c r="O676" s="509"/>
      <c r="P676" s="509"/>
    </row>
    <row r="677" spans="1:16" ht="21.75" customHeight="1" x14ac:dyDescent="0.3">
      <c r="A677" s="504"/>
      <c r="B677" s="504"/>
      <c r="C677" s="504"/>
      <c r="D677" s="504"/>
      <c r="E677" s="506"/>
      <c r="F677" s="506"/>
      <c r="G677" s="506"/>
      <c r="H677" s="506"/>
      <c r="I677" s="506"/>
      <c r="J677" s="506"/>
      <c r="K677" s="507"/>
      <c r="L677" s="508"/>
      <c r="M677" s="508"/>
      <c r="N677" s="508"/>
      <c r="O677" s="509"/>
      <c r="P677" s="509"/>
    </row>
    <row r="678" spans="1:16" ht="21.75" customHeight="1" x14ac:dyDescent="0.3">
      <c r="A678" s="504"/>
      <c r="B678" s="504"/>
      <c r="C678" s="504"/>
      <c r="D678" s="504"/>
      <c r="E678" s="506"/>
      <c r="F678" s="506"/>
      <c r="G678" s="506"/>
      <c r="H678" s="506"/>
      <c r="I678" s="506"/>
      <c r="J678" s="506"/>
      <c r="K678" s="507"/>
      <c r="L678" s="508"/>
      <c r="M678" s="508"/>
      <c r="N678" s="508"/>
      <c r="O678" s="509"/>
      <c r="P678" s="509"/>
    </row>
    <row r="679" spans="1:16" ht="21.75" customHeight="1" x14ac:dyDescent="0.3">
      <c r="A679" s="504"/>
      <c r="B679" s="504"/>
      <c r="C679" s="504"/>
      <c r="D679" s="504"/>
      <c r="E679" s="506"/>
      <c r="F679" s="506"/>
      <c r="G679" s="506"/>
      <c r="H679" s="506"/>
      <c r="I679" s="506"/>
      <c r="J679" s="506"/>
      <c r="K679" s="507"/>
      <c r="L679" s="508"/>
      <c r="M679" s="508"/>
      <c r="N679" s="508"/>
      <c r="O679" s="509"/>
      <c r="P679" s="509"/>
    </row>
    <row r="680" spans="1:16" ht="21.75" customHeight="1" x14ac:dyDescent="0.3">
      <c r="A680" s="504"/>
      <c r="B680" s="504"/>
      <c r="C680" s="504"/>
      <c r="D680" s="504"/>
      <c r="E680" s="506"/>
      <c r="F680" s="506"/>
      <c r="G680" s="506"/>
      <c r="H680" s="506"/>
      <c r="I680" s="506"/>
      <c r="J680" s="506"/>
      <c r="K680" s="507"/>
      <c r="L680" s="508"/>
      <c r="M680" s="508"/>
      <c r="N680" s="508"/>
      <c r="O680" s="509"/>
      <c r="P680" s="509"/>
    </row>
    <row r="681" spans="1:16" ht="21.75" customHeight="1" x14ac:dyDescent="0.3">
      <c r="A681" s="504"/>
      <c r="B681" s="504"/>
      <c r="C681" s="504"/>
      <c r="D681" s="504"/>
      <c r="E681" s="506"/>
      <c r="F681" s="506"/>
      <c r="G681" s="506"/>
      <c r="H681" s="506"/>
      <c r="I681" s="506"/>
      <c r="J681" s="506"/>
      <c r="K681" s="507"/>
      <c r="L681" s="508"/>
      <c r="M681" s="508"/>
      <c r="N681" s="508"/>
      <c r="O681" s="509"/>
      <c r="P681" s="509"/>
    </row>
    <row r="682" spans="1:16" ht="21.75" customHeight="1" x14ac:dyDescent="0.3">
      <c r="A682" s="504"/>
      <c r="B682" s="504"/>
      <c r="C682" s="504"/>
      <c r="D682" s="504"/>
      <c r="E682" s="506"/>
      <c r="F682" s="506"/>
      <c r="G682" s="506"/>
      <c r="H682" s="506"/>
      <c r="I682" s="506"/>
      <c r="J682" s="506"/>
      <c r="K682" s="507"/>
      <c r="L682" s="508"/>
      <c r="M682" s="508"/>
      <c r="N682" s="508"/>
      <c r="O682" s="509"/>
      <c r="P682" s="509"/>
    </row>
    <row r="683" spans="1:16" ht="21.75" customHeight="1" x14ac:dyDescent="0.3">
      <c r="A683" s="504"/>
      <c r="B683" s="504"/>
      <c r="C683" s="504"/>
      <c r="D683" s="504"/>
      <c r="E683" s="506"/>
      <c r="F683" s="506"/>
      <c r="G683" s="506"/>
      <c r="H683" s="506"/>
      <c r="I683" s="506"/>
      <c r="J683" s="506"/>
      <c r="K683" s="507"/>
      <c r="L683" s="508"/>
      <c r="M683" s="508"/>
      <c r="N683" s="508"/>
      <c r="O683" s="509"/>
      <c r="P683" s="509"/>
    </row>
    <row r="684" spans="1:16" ht="21.75" customHeight="1" x14ac:dyDescent="0.3">
      <c r="A684" s="504"/>
      <c r="B684" s="504"/>
      <c r="C684" s="504"/>
      <c r="D684" s="504"/>
      <c r="E684" s="506"/>
      <c r="F684" s="506"/>
      <c r="G684" s="506"/>
      <c r="H684" s="506"/>
      <c r="I684" s="506"/>
      <c r="J684" s="506"/>
      <c r="K684" s="507"/>
      <c r="L684" s="508"/>
      <c r="M684" s="508"/>
      <c r="N684" s="508"/>
      <c r="O684" s="509"/>
      <c r="P684" s="509"/>
    </row>
    <row r="685" spans="1:16" ht="21.75" customHeight="1" x14ac:dyDescent="0.3">
      <c r="A685" s="504"/>
      <c r="B685" s="504"/>
      <c r="C685" s="504"/>
      <c r="D685" s="504"/>
      <c r="E685" s="506"/>
      <c r="F685" s="506"/>
      <c r="G685" s="506"/>
      <c r="H685" s="506"/>
      <c r="I685" s="506"/>
      <c r="J685" s="506"/>
      <c r="K685" s="507"/>
      <c r="L685" s="508"/>
      <c r="M685" s="508"/>
      <c r="N685" s="508"/>
      <c r="O685" s="509"/>
      <c r="P685" s="509"/>
    </row>
    <row r="686" spans="1:16" ht="21.75" customHeight="1" x14ac:dyDescent="0.3">
      <c r="A686" s="504"/>
      <c r="B686" s="504"/>
      <c r="C686" s="504"/>
      <c r="D686" s="504"/>
      <c r="E686" s="506"/>
      <c r="F686" s="506"/>
      <c r="G686" s="506"/>
      <c r="H686" s="506"/>
      <c r="I686" s="506"/>
      <c r="J686" s="506"/>
      <c r="K686" s="507"/>
      <c r="L686" s="508"/>
      <c r="M686" s="508"/>
      <c r="N686" s="508"/>
      <c r="O686" s="509"/>
      <c r="P686" s="509"/>
    </row>
    <row r="687" spans="1:16" ht="21.75" customHeight="1" x14ac:dyDescent="0.3">
      <c r="A687" s="504"/>
      <c r="B687" s="504"/>
      <c r="C687" s="504"/>
      <c r="D687" s="504"/>
      <c r="E687" s="506"/>
      <c r="F687" s="506"/>
      <c r="G687" s="506"/>
      <c r="H687" s="506"/>
      <c r="I687" s="506"/>
      <c r="J687" s="506"/>
      <c r="K687" s="507"/>
      <c r="L687" s="508"/>
      <c r="M687" s="508"/>
      <c r="N687" s="508"/>
      <c r="O687" s="509"/>
      <c r="P687" s="509"/>
    </row>
    <row r="688" spans="1:16" ht="21.75" customHeight="1" x14ac:dyDescent="0.3">
      <c r="A688" s="504"/>
      <c r="B688" s="504"/>
      <c r="C688" s="504"/>
      <c r="D688" s="504"/>
      <c r="E688" s="506"/>
      <c r="F688" s="506"/>
      <c r="G688" s="506"/>
      <c r="H688" s="506"/>
      <c r="I688" s="506"/>
      <c r="J688" s="506"/>
      <c r="K688" s="507"/>
      <c r="L688" s="508"/>
      <c r="M688" s="508"/>
      <c r="N688" s="508"/>
      <c r="O688" s="509"/>
      <c r="P688" s="509"/>
    </row>
    <row r="689" spans="1:16" ht="21.75" customHeight="1" x14ac:dyDescent="0.3">
      <c r="A689" s="504"/>
      <c r="B689" s="504"/>
      <c r="C689" s="504"/>
      <c r="D689" s="504"/>
      <c r="E689" s="506"/>
      <c r="F689" s="506"/>
      <c r="G689" s="506"/>
      <c r="H689" s="506"/>
      <c r="I689" s="506"/>
      <c r="J689" s="506"/>
      <c r="K689" s="507"/>
      <c r="L689" s="508"/>
      <c r="M689" s="508"/>
      <c r="N689" s="508"/>
      <c r="O689" s="509"/>
      <c r="P689" s="509"/>
    </row>
    <row r="690" spans="1:16" ht="21.75" customHeight="1" x14ac:dyDescent="0.3">
      <c r="A690" s="504"/>
      <c r="B690" s="504"/>
      <c r="C690" s="504"/>
      <c r="D690" s="504"/>
      <c r="E690" s="506"/>
      <c r="F690" s="506"/>
      <c r="G690" s="506"/>
      <c r="H690" s="506"/>
      <c r="I690" s="506"/>
      <c r="J690" s="506"/>
      <c r="K690" s="507"/>
      <c r="L690" s="508"/>
      <c r="M690" s="508"/>
      <c r="N690" s="508"/>
      <c r="O690" s="509"/>
      <c r="P690" s="509"/>
    </row>
    <row r="691" spans="1:16" ht="21.75" customHeight="1" x14ac:dyDescent="0.3">
      <c r="A691" s="504"/>
      <c r="B691" s="504"/>
      <c r="C691" s="504"/>
      <c r="D691" s="504"/>
      <c r="E691" s="506"/>
      <c r="F691" s="506"/>
      <c r="G691" s="506"/>
      <c r="H691" s="506"/>
      <c r="I691" s="506"/>
      <c r="J691" s="506"/>
      <c r="K691" s="507"/>
      <c r="L691" s="508"/>
      <c r="M691" s="508"/>
      <c r="N691" s="508"/>
      <c r="O691" s="509"/>
      <c r="P691" s="509"/>
    </row>
    <row r="692" spans="1:16" ht="21.75" customHeight="1" x14ac:dyDescent="0.3">
      <c r="A692" s="504"/>
      <c r="B692" s="504"/>
      <c r="C692" s="504"/>
      <c r="D692" s="504"/>
      <c r="E692" s="506"/>
      <c r="F692" s="506"/>
      <c r="G692" s="506"/>
      <c r="H692" s="506"/>
      <c r="I692" s="506"/>
      <c r="J692" s="506"/>
      <c r="K692" s="507"/>
      <c r="L692" s="508"/>
      <c r="M692" s="508"/>
      <c r="N692" s="508"/>
      <c r="O692" s="509"/>
      <c r="P692" s="509"/>
    </row>
    <row r="693" spans="1:16" ht="21.75" customHeight="1" x14ac:dyDescent="0.3">
      <c r="A693" s="504"/>
      <c r="B693" s="504"/>
      <c r="C693" s="504"/>
      <c r="D693" s="504"/>
      <c r="E693" s="506"/>
      <c r="F693" s="506"/>
      <c r="G693" s="506"/>
      <c r="H693" s="506"/>
      <c r="I693" s="506"/>
      <c r="J693" s="506"/>
      <c r="K693" s="507"/>
      <c r="L693" s="508"/>
      <c r="M693" s="508"/>
      <c r="N693" s="508"/>
      <c r="O693" s="509"/>
      <c r="P693" s="509"/>
    </row>
    <row r="694" spans="1:16" ht="21.75" customHeight="1" x14ac:dyDescent="0.3">
      <c r="A694" s="504"/>
      <c r="B694" s="504"/>
      <c r="C694" s="504"/>
      <c r="D694" s="504"/>
      <c r="E694" s="506"/>
      <c r="F694" s="506"/>
      <c r="G694" s="506"/>
      <c r="H694" s="506"/>
      <c r="I694" s="506"/>
      <c r="J694" s="506"/>
      <c r="K694" s="507"/>
      <c r="L694" s="508"/>
      <c r="M694" s="508"/>
      <c r="N694" s="508"/>
      <c r="O694" s="509"/>
      <c r="P694" s="509"/>
    </row>
    <row r="695" spans="1:16" ht="21.75" customHeight="1" x14ac:dyDescent="0.3">
      <c r="A695" s="504"/>
      <c r="B695" s="504"/>
      <c r="C695" s="504"/>
      <c r="D695" s="504"/>
      <c r="E695" s="506"/>
      <c r="F695" s="506"/>
      <c r="G695" s="506"/>
      <c r="H695" s="506"/>
      <c r="I695" s="506"/>
      <c r="J695" s="506"/>
      <c r="K695" s="507"/>
      <c r="L695" s="508"/>
      <c r="M695" s="508"/>
      <c r="N695" s="508"/>
      <c r="O695" s="509"/>
      <c r="P695" s="509"/>
    </row>
    <row r="696" spans="1:16" ht="21.75" customHeight="1" x14ac:dyDescent="0.3">
      <c r="A696" s="504"/>
      <c r="B696" s="504"/>
      <c r="C696" s="504"/>
      <c r="D696" s="504"/>
      <c r="E696" s="506"/>
      <c r="F696" s="506"/>
      <c r="G696" s="506"/>
      <c r="H696" s="506"/>
      <c r="I696" s="506"/>
      <c r="J696" s="506"/>
      <c r="K696" s="507"/>
      <c r="L696" s="508"/>
      <c r="M696" s="508"/>
      <c r="N696" s="508"/>
      <c r="O696" s="509"/>
      <c r="P696" s="509"/>
    </row>
    <row r="697" spans="1:16" ht="21.75" customHeight="1" x14ac:dyDescent="0.3">
      <c r="A697" s="504"/>
      <c r="B697" s="504"/>
      <c r="C697" s="504"/>
      <c r="D697" s="504"/>
      <c r="E697" s="506"/>
      <c r="F697" s="506"/>
      <c r="G697" s="506"/>
      <c r="H697" s="506"/>
      <c r="I697" s="506"/>
      <c r="J697" s="506"/>
      <c r="K697" s="507"/>
      <c r="L697" s="508"/>
      <c r="M697" s="508"/>
      <c r="N697" s="508"/>
      <c r="O697" s="509"/>
      <c r="P697" s="509"/>
    </row>
    <row r="698" spans="1:16" ht="21.75" customHeight="1" x14ac:dyDescent="0.3">
      <c r="A698" s="504"/>
      <c r="B698" s="504"/>
      <c r="C698" s="504"/>
      <c r="D698" s="504"/>
      <c r="E698" s="506"/>
      <c r="F698" s="506"/>
      <c r="G698" s="506"/>
      <c r="H698" s="506"/>
      <c r="I698" s="506"/>
      <c r="J698" s="506"/>
      <c r="K698" s="507"/>
      <c r="L698" s="508"/>
      <c r="M698" s="508"/>
      <c r="N698" s="508"/>
      <c r="O698" s="509"/>
      <c r="P698" s="509"/>
    </row>
    <row r="699" spans="1:16" ht="21.75" customHeight="1" x14ac:dyDescent="0.3">
      <c r="A699" s="504"/>
      <c r="B699" s="504"/>
      <c r="C699" s="504"/>
      <c r="D699" s="504"/>
      <c r="E699" s="506"/>
      <c r="F699" s="506"/>
      <c r="G699" s="506"/>
      <c r="H699" s="506"/>
      <c r="I699" s="506"/>
      <c r="J699" s="506"/>
      <c r="K699" s="507"/>
      <c r="L699" s="508"/>
      <c r="M699" s="508"/>
      <c r="N699" s="508"/>
      <c r="O699" s="509"/>
      <c r="P699" s="509"/>
    </row>
    <row r="700" spans="1:16" ht="21.75" customHeight="1" x14ac:dyDescent="0.3">
      <c r="A700" s="504"/>
      <c r="B700" s="504"/>
      <c r="C700" s="504"/>
      <c r="D700" s="504"/>
      <c r="E700" s="506"/>
      <c r="F700" s="506"/>
      <c r="G700" s="506"/>
      <c r="H700" s="506"/>
      <c r="I700" s="506"/>
      <c r="J700" s="506"/>
      <c r="K700" s="507"/>
      <c r="L700" s="508"/>
      <c r="M700" s="508"/>
      <c r="N700" s="508"/>
      <c r="O700" s="509"/>
      <c r="P700" s="509"/>
    </row>
    <row r="701" spans="1:16" ht="21.75" customHeight="1" x14ac:dyDescent="0.3">
      <c r="A701" s="504"/>
      <c r="B701" s="504"/>
      <c r="C701" s="504"/>
      <c r="D701" s="504"/>
      <c r="E701" s="506"/>
      <c r="F701" s="506"/>
      <c r="G701" s="506"/>
      <c r="H701" s="506"/>
      <c r="I701" s="506"/>
      <c r="J701" s="506"/>
      <c r="K701" s="507"/>
      <c r="L701" s="508"/>
      <c r="M701" s="508"/>
      <c r="N701" s="508"/>
      <c r="O701" s="509"/>
      <c r="P701" s="509"/>
    </row>
    <row r="702" spans="1:16" ht="21.75" customHeight="1" x14ac:dyDescent="0.3">
      <c r="A702" s="504"/>
      <c r="B702" s="504"/>
      <c r="C702" s="504"/>
      <c r="D702" s="504"/>
      <c r="E702" s="506"/>
      <c r="F702" s="506"/>
      <c r="G702" s="506"/>
      <c r="H702" s="506"/>
      <c r="I702" s="506"/>
      <c r="J702" s="506"/>
      <c r="K702" s="507"/>
      <c r="L702" s="508"/>
      <c r="M702" s="508"/>
      <c r="N702" s="508"/>
      <c r="O702" s="509"/>
      <c r="P702" s="509"/>
    </row>
    <row r="703" spans="1:16" ht="21.75" customHeight="1" x14ac:dyDescent="0.3">
      <c r="A703" s="504"/>
      <c r="B703" s="504"/>
      <c r="C703" s="504"/>
      <c r="D703" s="504"/>
      <c r="E703" s="506"/>
      <c r="F703" s="506"/>
      <c r="G703" s="506"/>
      <c r="H703" s="506"/>
      <c r="I703" s="506"/>
      <c r="J703" s="506"/>
      <c r="K703" s="507"/>
      <c r="L703" s="508"/>
      <c r="M703" s="508"/>
      <c r="N703" s="508"/>
      <c r="O703" s="509"/>
      <c r="P703" s="509"/>
    </row>
    <row r="704" spans="1:16" ht="21.75" customHeight="1" x14ac:dyDescent="0.3">
      <c r="A704" s="504"/>
      <c r="B704" s="504"/>
      <c r="C704" s="504"/>
      <c r="D704" s="504"/>
      <c r="E704" s="506"/>
      <c r="F704" s="506"/>
      <c r="G704" s="506"/>
      <c r="H704" s="506"/>
      <c r="I704" s="506"/>
      <c r="J704" s="506"/>
      <c r="K704" s="507"/>
      <c r="L704" s="508"/>
      <c r="M704" s="508"/>
      <c r="N704" s="508"/>
      <c r="O704" s="509"/>
      <c r="P704" s="509"/>
    </row>
    <row r="705" spans="1:16" ht="21.75" customHeight="1" x14ac:dyDescent="0.3">
      <c r="A705" s="504"/>
      <c r="B705" s="504"/>
      <c r="C705" s="504"/>
      <c r="D705" s="504"/>
      <c r="E705" s="506"/>
      <c r="F705" s="506"/>
      <c r="G705" s="506"/>
      <c r="H705" s="506"/>
      <c r="I705" s="506"/>
      <c r="J705" s="506"/>
      <c r="K705" s="507"/>
      <c r="L705" s="508"/>
      <c r="M705" s="508"/>
      <c r="N705" s="508"/>
      <c r="O705" s="509"/>
      <c r="P705" s="509"/>
    </row>
    <row r="706" spans="1:16" ht="21.75" customHeight="1" x14ac:dyDescent="0.3">
      <c r="A706" s="504"/>
      <c r="B706" s="504"/>
      <c r="C706" s="504"/>
      <c r="D706" s="504"/>
      <c r="E706" s="506"/>
      <c r="F706" s="506"/>
      <c r="G706" s="506"/>
      <c r="H706" s="506"/>
      <c r="I706" s="506"/>
      <c r="J706" s="506"/>
      <c r="K706" s="507"/>
      <c r="L706" s="508"/>
      <c r="M706" s="508"/>
      <c r="N706" s="508"/>
      <c r="O706" s="509"/>
      <c r="P706" s="509"/>
    </row>
    <row r="707" spans="1:16" ht="21.75" customHeight="1" x14ac:dyDescent="0.3">
      <c r="A707" s="504"/>
      <c r="B707" s="504"/>
      <c r="C707" s="504"/>
      <c r="D707" s="504"/>
      <c r="E707" s="506"/>
      <c r="F707" s="506"/>
      <c r="G707" s="506"/>
      <c r="H707" s="506"/>
      <c r="I707" s="506"/>
      <c r="J707" s="506"/>
      <c r="K707" s="507"/>
      <c r="L707" s="508"/>
      <c r="M707" s="508"/>
      <c r="N707" s="508"/>
      <c r="O707" s="509"/>
      <c r="P707" s="509"/>
    </row>
    <row r="708" spans="1:16" ht="21.75" customHeight="1" x14ac:dyDescent="0.3">
      <c r="A708" s="504"/>
      <c r="B708" s="504"/>
      <c r="C708" s="504"/>
      <c r="D708" s="504"/>
      <c r="E708" s="506"/>
      <c r="F708" s="506"/>
      <c r="G708" s="506"/>
      <c r="H708" s="506"/>
      <c r="I708" s="506"/>
      <c r="J708" s="506"/>
      <c r="K708" s="507"/>
      <c r="L708" s="508"/>
      <c r="M708" s="508"/>
      <c r="N708" s="508"/>
      <c r="O708" s="509"/>
      <c r="P708" s="509"/>
    </row>
    <row r="709" spans="1:16" ht="21.75" customHeight="1" x14ac:dyDescent="0.3">
      <c r="A709" s="504"/>
      <c r="B709" s="504"/>
      <c r="C709" s="504"/>
      <c r="D709" s="504"/>
      <c r="E709" s="506"/>
      <c r="F709" s="506"/>
      <c r="G709" s="506"/>
      <c r="H709" s="506"/>
      <c r="I709" s="506"/>
      <c r="J709" s="506"/>
      <c r="K709" s="507"/>
      <c r="L709" s="508"/>
      <c r="M709" s="508"/>
      <c r="N709" s="508"/>
      <c r="O709" s="509"/>
      <c r="P709" s="509"/>
    </row>
    <row r="710" spans="1:16" ht="21.75" customHeight="1" x14ac:dyDescent="0.3">
      <c r="A710" s="504"/>
      <c r="B710" s="504"/>
      <c r="C710" s="504"/>
      <c r="D710" s="504"/>
      <c r="E710" s="506"/>
      <c r="F710" s="506"/>
      <c r="G710" s="506"/>
      <c r="H710" s="506"/>
      <c r="I710" s="506"/>
      <c r="J710" s="506"/>
      <c r="K710" s="507"/>
      <c r="L710" s="508"/>
      <c r="M710" s="508"/>
      <c r="N710" s="508"/>
      <c r="O710" s="509"/>
      <c r="P710" s="509"/>
    </row>
    <row r="711" spans="1:16" ht="21.75" customHeight="1" x14ac:dyDescent="0.3">
      <c r="A711" s="504"/>
      <c r="B711" s="504"/>
      <c r="C711" s="504"/>
      <c r="D711" s="504"/>
      <c r="E711" s="506"/>
      <c r="F711" s="506"/>
      <c r="G711" s="506"/>
      <c r="H711" s="506"/>
      <c r="I711" s="506"/>
      <c r="J711" s="506"/>
      <c r="K711" s="507"/>
      <c r="L711" s="508"/>
      <c r="M711" s="508"/>
      <c r="N711" s="508"/>
      <c r="O711" s="509"/>
      <c r="P711" s="509"/>
    </row>
    <row r="712" spans="1:16" ht="21.75" customHeight="1" x14ac:dyDescent="0.3">
      <c r="A712" s="504"/>
      <c r="B712" s="504"/>
      <c r="C712" s="504"/>
      <c r="D712" s="504"/>
      <c r="E712" s="506"/>
      <c r="F712" s="506"/>
      <c r="G712" s="506"/>
      <c r="H712" s="506"/>
      <c r="I712" s="506"/>
      <c r="J712" s="506"/>
      <c r="K712" s="507"/>
      <c r="L712" s="508"/>
      <c r="M712" s="508"/>
      <c r="N712" s="508"/>
      <c r="O712" s="509"/>
      <c r="P712" s="509"/>
    </row>
    <row r="713" spans="1:16" ht="21.75" customHeight="1" x14ac:dyDescent="0.3">
      <c r="A713" s="504"/>
      <c r="B713" s="504"/>
      <c r="C713" s="504"/>
      <c r="D713" s="504"/>
      <c r="E713" s="506"/>
      <c r="F713" s="506"/>
      <c r="G713" s="506"/>
      <c r="H713" s="506"/>
      <c r="I713" s="506"/>
      <c r="J713" s="506"/>
      <c r="K713" s="507"/>
      <c r="L713" s="508"/>
      <c r="M713" s="508"/>
      <c r="N713" s="508"/>
      <c r="O713" s="509"/>
      <c r="P713" s="509"/>
    </row>
    <row r="714" spans="1:16" ht="21.75" customHeight="1" x14ac:dyDescent="0.3">
      <c r="A714" s="504"/>
      <c r="B714" s="504"/>
      <c r="C714" s="504"/>
      <c r="D714" s="504"/>
      <c r="E714" s="506"/>
      <c r="F714" s="506"/>
      <c r="G714" s="506"/>
      <c r="H714" s="506"/>
      <c r="I714" s="506"/>
      <c r="J714" s="506"/>
      <c r="K714" s="507"/>
      <c r="L714" s="508"/>
      <c r="M714" s="508"/>
      <c r="N714" s="508"/>
      <c r="O714" s="509"/>
      <c r="P714" s="509"/>
    </row>
    <row r="715" spans="1:16" ht="21.75" customHeight="1" x14ac:dyDescent="0.3">
      <c r="A715" s="504"/>
      <c r="B715" s="504"/>
      <c r="C715" s="504"/>
      <c r="D715" s="504"/>
      <c r="E715" s="506"/>
      <c r="F715" s="506"/>
      <c r="G715" s="506"/>
      <c r="H715" s="506"/>
      <c r="I715" s="506"/>
      <c r="J715" s="506"/>
      <c r="K715" s="507"/>
      <c r="L715" s="508"/>
      <c r="M715" s="508"/>
      <c r="N715" s="508"/>
      <c r="O715" s="509"/>
      <c r="P715" s="509"/>
    </row>
    <row r="716" spans="1:16" ht="21.75" customHeight="1" x14ac:dyDescent="0.3">
      <c r="A716" s="504"/>
      <c r="B716" s="504"/>
      <c r="C716" s="504"/>
      <c r="D716" s="504"/>
      <c r="E716" s="506"/>
      <c r="F716" s="506"/>
      <c r="G716" s="506"/>
      <c r="H716" s="506"/>
      <c r="I716" s="506"/>
      <c r="J716" s="506"/>
      <c r="K716" s="507"/>
      <c r="L716" s="508"/>
      <c r="M716" s="508"/>
      <c r="N716" s="508"/>
      <c r="O716" s="509"/>
      <c r="P716" s="509"/>
    </row>
    <row r="717" spans="1:16" ht="21.75" customHeight="1" x14ac:dyDescent="0.3">
      <c r="A717" s="504"/>
      <c r="B717" s="504"/>
      <c r="C717" s="504"/>
      <c r="D717" s="504"/>
      <c r="E717" s="506"/>
      <c r="F717" s="506"/>
      <c r="G717" s="506"/>
      <c r="H717" s="506"/>
      <c r="I717" s="506"/>
      <c r="J717" s="506"/>
      <c r="K717" s="507"/>
      <c r="L717" s="508"/>
      <c r="M717" s="508"/>
      <c r="N717" s="508"/>
      <c r="O717" s="509"/>
      <c r="P717" s="509"/>
    </row>
    <row r="718" spans="1:16" ht="21.75" customHeight="1" x14ac:dyDescent="0.3">
      <c r="A718" s="504"/>
      <c r="B718" s="504"/>
      <c r="C718" s="504"/>
      <c r="D718" s="504"/>
      <c r="E718" s="506"/>
      <c r="F718" s="506"/>
      <c r="G718" s="506"/>
      <c r="H718" s="506"/>
      <c r="I718" s="506"/>
      <c r="J718" s="506"/>
      <c r="K718" s="507"/>
      <c r="L718" s="508"/>
      <c r="M718" s="508"/>
      <c r="N718" s="508"/>
      <c r="O718" s="509"/>
      <c r="P718" s="509"/>
    </row>
    <row r="719" spans="1:16" ht="21.75" customHeight="1" x14ac:dyDescent="0.3">
      <c r="A719" s="504"/>
      <c r="B719" s="504"/>
      <c r="C719" s="504"/>
      <c r="D719" s="504"/>
      <c r="E719" s="506"/>
      <c r="F719" s="506"/>
      <c r="G719" s="506"/>
      <c r="H719" s="506"/>
      <c r="I719" s="506"/>
      <c r="J719" s="506"/>
      <c r="K719" s="507"/>
      <c r="L719" s="508"/>
      <c r="M719" s="508"/>
      <c r="N719" s="508"/>
      <c r="O719" s="509"/>
      <c r="P719" s="509"/>
    </row>
    <row r="720" spans="1:16" ht="21.75" customHeight="1" x14ac:dyDescent="0.3">
      <c r="A720" s="504"/>
      <c r="B720" s="504"/>
      <c r="C720" s="504"/>
      <c r="D720" s="504"/>
      <c r="E720" s="506"/>
      <c r="F720" s="506"/>
      <c r="G720" s="506"/>
      <c r="H720" s="506"/>
      <c r="I720" s="506"/>
      <c r="J720" s="506"/>
      <c r="K720" s="507"/>
      <c r="L720" s="508"/>
      <c r="M720" s="508"/>
      <c r="N720" s="508"/>
      <c r="O720" s="509"/>
      <c r="P720" s="509"/>
    </row>
    <row r="721" spans="1:16" ht="21.75" customHeight="1" x14ac:dyDescent="0.3">
      <c r="A721" s="504"/>
      <c r="B721" s="504"/>
      <c r="C721" s="504"/>
      <c r="D721" s="504"/>
      <c r="E721" s="506"/>
      <c r="F721" s="506"/>
      <c r="G721" s="506"/>
      <c r="H721" s="506"/>
      <c r="I721" s="506"/>
      <c r="J721" s="506"/>
      <c r="K721" s="507"/>
      <c r="L721" s="508"/>
      <c r="M721" s="508"/>
      <c r="N721" s="508"/>
      <c r="O721" s="509"/>
      <c r="P721" s="509"/>
    </row>
    <row r="722" spans="1:16" ht="21.75" customHeight="1" x14ac:dyDescent="0.3">
      <c r="A722" s="504"/>
      <c r="B722" s="504"/>
      <c r="C722" s="504"/>
      <c r="D722" s="504"/>
      <c r="E722" s="506"/>
      <c r="F722" s="506"/>
      <c r="G722" s="506"/>
      <c r="H722" s="506"/>
      <c r="I722" s="506"/>
      <c r="J722" s="506"/>
      <c r="K722" s="507"/>
      <c r="L722" s="508"/>
      <c r="M722" s="508"/>
      <c r="N722" s="508"/>
      <c r="O722" s="509"/>
      <c r="P722" s="509"/>
    </row>
    <row r="723" spans="1:16" ht="21.75" customHeight="1" x14ac:dyDescent="0.3">
      <c r="A723" s="504"/>
      <c r="B723" s="504"/>
      <c r="C723" s="504"/>
      <c r="D723" s="504"/>
      <c r="E723" s="506"/>
      <c r="F723" s="506"/>
      <c r="G723" s="506"/>
      <c r="H723" s="506"/>
      <c r="I723" s="506"/>
      <c r="J723" s="506"/>
      <c r="K723" s="507"/>
      <c r="L723" s="508"/>
      <c r="M723" s="508"/>
      <c r="N723" s="508"/>
      <c r="O723" s="509"/>
      <c r="P723" s="509"/>
    </row>
    <row r="724" spans="1:16" ht="21.75" customHeight="1" x14ac:dyDescent="0.3">
      <c r="A724" s="504"/>
      <c r="B724" s="504"/>
      <c r="C724" s="504"/>
      <c r="D724" s="504"/>
      <c r="E724" s="506"/>
      <c r="F724" s="506"/>
      <c r="G724" s="506"/>
      <c r="H724" s="506"/>
      <c r="I724" s="506"/>
      <c r="J724" s="506"/>
      <c r="K724" s="507"/>
      <c r="L724" s="508"/>
      <c r="M724" s="508"/>
      <c r="N724" s="508"/>
      <c r="O724" s="509"/>
      <c r="P724" s="509"/>
    </row>
    <row r="725" spans="1:16" ht="21.75" customHeight="1" x14ac:dyDescent="0.3">
      <c r="A725" s="504"/>
      <c r="B725" s="504"/>
      <c r="C725" s="504"/>
      <c r="D725" s="504"/>
      <c r="E725" s="506"/>
      <c r="F725" s="506"/>
      <c r="G725" s="506"/>
      <c r="H725" s="506"/>
      <c r="I725" s="506"/>
      <c r="J725" s="506"/>
      <c r="K725" s="507"/>
      <c r="L725" s="508"/>
      <c r="M725" s="508"/>
      <c r="N725" s="508"/>
      <c r="O725" s="509"/>
      <c r="P725" s="509"/>
    </row>
    <row r="726" spans="1:16" ht="21.75" customHeight="1" x14ac:dyDescent="0.3">
      <c r="A726" s="504"/>
      <c r="B726" s="504"/>
      <c r="C726" s="504"/>
      <c r="D726" s="504"/>
      <c r="E726" s="506"/>
      <c r="F726" s="506"/>
      <c r="G726" s="506"/>
      <c r="H726" s="506"/>
      <c r="I726" s="506"/>
      <c r="J726" s="506"/>
      <c r="K726" s="507"/>
      <c r="L726" s="508"/>
      <c r="M726" s="508"/>
      <c r="N726" s="508"/>
      <c r="O726" s="509"/>
      <c r="P726" s="509"/>
    </row>
    <row r="727" spans="1:16" ht="21.75" customHeight="1" x14ac:dyDescent="0.3">
      <c r="A727" s="504"/>
      <c r="B727" s="504"/>
      <c r="C727" s="504"/>
      <c r="D727" s="504"/>
      <c r="E727" s="506"/>
      <c r="F727" s="506"/>
      <c r="G727" s="506"/>
      <c r="H727" s="506"/>
      <c r="I727" s="506"/>
      <c r="J727" s="506"/>
      <c r="K727" s="507"/>
      <c r="L727" s="508"/>
      <c r="M727" s="508"/>
      <c r="N727" s="508"/>
      <c r="O727" s="509"/>
      <c r="P727" s="509"/>
    </row>
    <row r="728" spans="1:16" ht="21.75" customHeight="1" x14ac:dyDescent="0.3">
      <c r="A728" s="504"/>
      <c r="B728" s="504"/>
      <c r="C728" s="504"/>
      <c r="D728" s="504"/>
      <c r="E728" s="506"/>
      <c r="F728" s="506"/>
      <c r="G728" s="506"/>
      <c r="H728" s="506"/>
      <c r="I728" s="506"/>
      <c r="J728" s="506"/>
      <c r="K728" s="507"/>
      <c r="L728" s="508"/>
      <c r="M728" s="508"/>
      <c r="N728" s="508"/>
      <c r="O728" s="509"/>
      <c r="P728" s="509"/>
    </row>
    <row r="729" spans="1:16" ht="21.75" customHeight="1" x14ac:dyDescent="0.3">
      <c r="A729" s="504"/>
      <c r="B729" s="504"/>
      <c r="C729" s="504"/>
      <c r="D729" s="504"/>
      <c r="E729" s="506"/>
      <c r="F729" s="506"/>
      <c r="G729" s="506"/>
      <c r="H729" s="506"/>
      <c r="I729" s="506"/>
      <c r="J729" s="506"/>
      <c r="K729" s="507"/>
      <c r="L729" s="508"/>
      <c r="M729" s="508"/>
      <c r="N729" s="508"/>
      <c r="O729" s="509"/>
      <c r="P729" s="509"/>
    </row>
    <row r="730" spans="1:16" ht="21.75" customHeight="1" x14ac:dyDescent="0.3">
      <c r="A730" s="504"/>
      <c r="B730" s="504"/>
      <c r="C730" s="504"/>
      <c r="D730" s="504"/>
      <c r="E730" s="506"/>
      <c r="F730" s="506"/>
      <c r="G730" s="506"/>
      <c r="H730" s="506"/>
      <c r="I730" s="506"/>
      <c r="J730" s="506"/>
      <c r="K730" s="507"/>
      <c r="L730" s="508"/>
      <c r="M730" s="508"/>
      <c r="N730" s="508"/>
      <c r="O730" s="509"/>
      <c r="P730" s="509"/>
    </row>
    <row r="731" spans="1:16" ht="21.75" customHeight="1" x14ac:dyDescent="0.3">
      <c r="A731" s="504"/>
      <c r="B731" s="504"/>
      <c r="C731" s="504"/>
      <c r="D731" s="504"/>
      <c r="E731" s="506"/>
      <c r="F731" s="506"/>
      <c r="G731" s="506"/>
      <c r="H731" s="506"/>
      <c r="I731" s="506"/>
      <c r="J731" s="506"/>
      <c r="K731" s="507"/>
      <c r="L731" s="508"/>
      <c r="M731" s="508"/>
      <c r="N731" s="508"/>
      <c r="O731" s="509"/>
      <c r="P731" s="509"/>
    </row>
    <row r="732" spans="1:16" ht="21.75" customHeight="1" x14ac:dyDescent="0.3">
      <c r="A732" s="504"/>
      <c r="B732" s="504"/>
      <c r="C732" s="504"/>
      <c r="D732" s="504"/>
      <c r="E732" s="506"/>
      <c r="F732" s="506"/>
      <c r="G732" s="506"/>
      <c r="H732" s="506"/>
      <c r="I732" s="506"/>
      <c r="J732" s="506"/>
      <c r="K732" s="507"/>
      <c r="L732" s="508"/>
      <c r="M732" s="508"/>
      <c r="N732" s="508"/>
      <c r="O732" s="509"/>
      <c r="P732" s="509"/>
    </row>
    <row r="733" spans="1:16" ht="21.75" customHeight="1" x14ac:dyDescent="0.3">
      <c r="A733" s="504"/>
      <c r="B733" s="504"/>
      <c r="C733" s="504"/>
      <c r="D733" s="504"/>
      <c r="E733" s="506"/>
      <c r="F733" s="506"/>
      <c r="G733" s="506"/>
      <c r="H733" s="506"/>
      <c r="I733" s="506"/>
      <c r="J733" s="506"/>
      <c r="K733" s="507"/>
      <c r="L733" s="508"/>
      <c r="M733" s="508"/>
      <c r="N733" s="508"/>
      <c r="O733" s="509"/>
      <c r="P733" s="509"/>
    </row>
    <row r="734" spans="1:16" ht="21.75" customHeight="1" x14ac:dyDescent="0.3">
      <c r="A734" s="504"/>
      <c r="B734" s="504"/>
      <c r="C734" s="504"/>
      <c r="D734" s="504"/>
      <c r="E734" s="506"/>
      <c r="F734" s="506"/>
      <c r="G734" s="506"/>
      <c r="H734" s="506"/>
      <c r="I734" s="506"/>
      <c r="J734" s="506"/>
      <c r="K734" s="507"/>
      <c r="L734" s="508"/>
      <c r="M734" s="508"/>
      <c r="N734" s="508"/>
      <c r="O734" s="509"/>
      <c r="P734" s="509"/>
    </row>
    <row r="735" spans="1:16" ht="21.75" customHeight="1" x14ac:dyDescent="0.3">
      <c r="A735" s="504"/>
      <c r="B735" s="504"/>
      <c r="C735" s="504"/>
      <c r="D735" s="504"/>
      <c r="E735" s="506"/>
      <c r="F735" s="506"/>
      <c r="G735" s="506"/>
      <c r="H735" s="506"/>
      <c r="I735" s="506"/>
      <c r="J735" s="506"/>
      <c r="K735" s="507"/>
      <c r="L735" s="508"/>
      <c r="M735" s="508"/>
      <c r="N735" s="508"/>
      <c r="O735" s="509"/>
      <c r="P735" s="509"/>
    </row>
    <row r="736" spans="1:16" ht="21.75" customHeight="1" x14ac:dyDescent="0.3">
      <c r="A736" s="504"/>
      <c r="B736" s="504"/>
      <c r="C736" s="504"/>
      <c r="D736" s="504"/>
      <c r="E736" s="506"/>
      <c r="F736" s="506"/>
      <c r="G736" s="506"/>
      <c r="H736" s="506"/>
      <c r="I736" s="506"/>
      <c r="J736" s="506"/>
      <c r="K736" s="507"/>
      <c r="L736" s="508"/>
      <c r="M736" s="508"/>
      <c r="N736" s="508"/>
      <c r="O736" s="509"/>
      <c r="P736" s="509"/>
    </row>
    <row r="737" spans="1:16" ht="21.75" customHeight="1" x14ac:dyDescent="0.3">
      <c r="A737" s="504"/>
      <c r="B737" s="504"/>
      <c r="C737" s="504"/>
      <c r="D737" s="504"/>
      <c r="E737" s="506"/>
      <c r="F737" s="506"/>
      <c r="G737" s="506"/>
      <c r="H737" s="506"/>
      <c r="I737" s="506"/>
      <c r="J737" s="506"/>
      <c r="K737" s="507"/>
      <c r="L737" s="508"/>
      <c r="M737" s="508"/>
      <c r="N737" s="508"/>
      <c r="O737" s="509"/>
      <c r="P737" s="509"/>
    </row>
    <row r="738" spans="1:16" ht="21.75" customHeight="1" x14ac:dyDescent="0.3">
      <c r="A738" s="504"/>
      <c r="B738" s="504"/>
      <c r="C738" s="504"/>
      <c r="D738" s="504"/>
      <c r="E738" s="506"/>
      <c r="F738" s="506"/>
      <c r="G738" s="506"/>
      <c r="H738" s="506"/>
      <c r="I738" s="506"/>
      <c r="J738" s="506"/>
      <c r="K738" s="507"/>
      <c r="L738" s="508"/>
      <c r="M738" s="508"/>
      <c r="N738" s="508"/>
      <c r="O738" s="509"/>
      <c r="P738" s="509"/>
    </row>
    <row r="739" spans="1:16" ht="21.75" customHeight="1" x14ac:dyDescent="0.3">
      <c r="A739" s="504"/>
      <c r="B739" s="504"/>
      <c r="C739" s="504"/>
      <c r="D739" s="504"/>
      <c r="E739" s="506"/>
      <c r="F739" s="506"/>
      <c r="G739" s="506"/>
      <c r="H739" s="506"/>
      <c r="I739" s="506"/>
      <c r="J739" s="506"/>
      <c r="K739" s="507"/>
      <c r="L739" s="508"/>
      <c r="M739" s="508"/>
      <c r="N739" s="508"/>
      <c r="O739" s="509"/>
      <c r="P739" s="509"/>
    </row>
    <row r="740" spans="1:16" ht="21.75" customHeight="1" x14ac:dyDescent="0.3">
      <c r="A740" s="504"/>
      <c r="B740" s="504"/>
      <c r="C740" s="504"/>
      <c r="D740" s="504"/>
      <c r="E740" s="506"/>
      <c r="F740" s="506"/>
      <c r="G740" s="506"/>
      <c r="H740" s="506"/>
      <c r="I740" s="506"/>
      <c r="J740" s="506"/>
      <c r="K740" s="507"/>
      <c r="L740" s="508"/>
      <c r="M740" s="508"/>
      <c r="N740" s="508"/>
      <c r="O740" s="509"/>
      <c r="P740" s="509"/>
    </row>
    <row r="741" spans="1:16" ht="21.75" customHeight="1" x14ac:dyDescent="0.3">
      <c r="A741" s="504"/>
      <c r="B741" s="504"/>
      <c r="C741" s="504"/>
      <c r="D741" s="504"/>
      <c r="E741" s="506"/>
      <c r="F741" s="506"/>
      <c r="G741" s="506"/>
      <c r="H741" s="506"/>
      <c r="I741" s="506"/>
      <c r="J741" s="506"/>
      <c r="K741" s="507"/>
      <c r="L741" s="508"/>
      <c r="M741" s="508"/>
      <c r="N741" s="508"/>
      <c r="O741" s="509"/>
      <c r="P741" s="509"/>
    </row>
    <row r="742" spans="1:16" ht="21.75" customHeight="1" x14ac:dyDescent="0.3">
      <c r="A742" s="504"/>
      <c r="B742" s="504"/>
      <c r="C742" s="504"/>
      <c r="D742" s="504"/>
      <c r="E742" s="506"/>
      <c r="F742" s="506"/>
      <c r="G742" s="506"/>
      <c r="H742" s="506"/>
      <c r="I742" s="506"/>
      <c r="J742" s="506"/>
      <c r="K742" s="507"/>
      <c r="L742" s="508"/>
      <c r="M742" s="508"/>
      <c r="N742" s="508"/>
      <c r="O742" s="509"/>
      <c r="P742" s="509"/>
    </row>
    <row r="743" spans="1:16" ht="21.75" customHeight="1" x14ac:dyDescent="0.3">
      <c r="A743" s="504"/>
      <c r="B743" s="504"/>
      <c r="C743" s="504"/>
      <c r="D743" s="504"/>
      <c r="E743" s="506"/>
      <c r="F743" s="506"/>
      <c r="G743" s="506"/>
      <c r="H743" s="506"/>
      <c r="I743" s="506"/>
      <c r="J743" s="506"/>
      <c r="K743" s="507"/>
      <c r="L743" s="508"/>
      <c r="M743" s="508"/>
      <c r="N743" s="508"/>
      <c r="O743" s="509"/>
      <c r="P743" s="509"/>
    </row>
    <row r="744" spans="1:16" ht="21.75" customHeight="1" x14ac:dyDescent="0.3">
      <c r="A744" s="504"/>
      <c r="B744" s="504"/>
      <c r="C744" s="504"/>
      <c r="D744" s="504"/>
      <c r="E744" s="506"/>
      <c r="F744" s="506"/>
      <c r="G744" s="506"/>
      <c r="H744" s="506"/>
      <c r="I744" s="506"/>
      <c r="J744" s="506"/>
      <c r="K744" s="507"/>
      <c r="L744" s="508"/>
      <c r="M744" s="508"/>
      <c r="N744" s="508"/>
      <c r="O744" s="509"/>
      <c r="P744" s="509"/>
    </row>
    <row r="745" spans="1:16" ht="21.75" customHeight="1" x14ac:dyDescent="0.3">
      <c r="A745" s="504"/>
      <c r="B745" s="504"/>
      <c r="C745" s="504"/>
      <c r="D745" s="504"/>
      <c r="E745" s="506"/>
      <c r="F745" s="506"/>
      <c r="G745" s="506"/>
      <c r="H745" s="506"/>
      <c r="I745" s="506"/>
      <c r="J745" s="506"/>
      <c r="K745" s="507"/>
      <c r="L745" s="508"/>
      <c r="M745" s="508"/>
      <c r="N745" s="508"/>
      <c r="O745" s="509"/>
      <c r="P745" s="509"/>
    </row>
    <row r="746" spans="1:16" ht="21.75" customHeight="1" x14ac:dyDescent="0.3">
      <c r="A746" s="504"/>
      <c r="B746" s="504"/>
      <c r="C746" s="504"/>
      <c r="D746" s="504"/>
      <c r="E746" s="506"/>
      <c r="F746" s="506"/>
      <c r="G746" s="506"/>
      <c r="H746" s="506"/>
      <c r="I746" s="506"/>
      <c r="J746" s="506"/>
      <c r="K746" s="507"/>
      <c r="L746" s="508"/>
      <c r="M746" s="508"/>
      <c r="N746" s="508"/>
      <c r="O746" s="509"/>
      <c r="P746" s="509"/>
    </row>
    <row r="747" spans="1:16" ht="21.75" customHeight="1" x14ac:dyDescent="0.3">
      <c r="A747" s="504"/>
      <c r="B747" s="504"/>
      <c r="C747" s="504"/>
      <c r="D747" s="504"/>
      <c r="E747" s="506"/>
      <c r="F747" s="506"/>
      <c r="G747" s="506"/>
      <c r="H747" s="506"/>
      <c r="I747" s="506"/>
      <c r="J747" s="506"/>
      <c r="K747" s="507"/>
      <c r="L747" s="508"/>
      <c r="M747" s="508"/>
      <c r="N747" s="508"/>
      <c r="O747" s="509"/>
      <c r="P747" s="509"/>
    </row>
    <row r="748" spans="1:16" ht="21.75" customHeight="1" x14ac:dyDescent="0.3">
      <c r="A748" s="504"/>
      <c r="B748" s="504"/>
      <c r="C748" s="504"/>
      <c r="D748" s="504"/>
      <c r="E748" s="506"/>
      <c r="F748" s="506"/>
      <c r="G748" s="506"/>
      <c r="H748" s="506"/>
      <c r="I748" s="506"/>
      <c r="J748" s="506"/>
      <c r="K748" s="507"/>
      <c r="L748" s="508"/>
      <c r="M748" s="508"/>
      <c r="N748" s="508"/>
      <c r="O748" s="509"/>
      <c r="P748" s="509"/>
    </row>
    <row r="749" spans="1:16" ht="21.75" customHeight="1" x14ac:dyDescent="0.3">
      <c r="A749" s="504"/>
      <c r="B749" s="504"/>
      <c r="C749" s="504"/>
      <c r="D749" s="504"/>
      <c r="E749" s="506"/>
      <c r="F749" s="506"/>
      <c r="G749" s="506"/>
      <c r="H749" s="506"/>
      <c r="I749" s="506"/>
      <c r="J749" s="506"/>
      <c r="K749" s="507"/>
      <c r="L749" s="508"/>
      <c r="M749" s="508"/>
      <c r="N749" s="508"/>
      <c r="O749" s="509"/>
      <c r="P749" s="509"/>
    </row>
    <row r="750" spans="1:16" ht="21.75" customHeight="1" x14ac:dyDescent="0.3">
      <c r="A750" s="504"/>
      <c r="B750" s="504"/>
      <c r="C750" s="504"/>
      <c r="D750" s="504"/>
      <c r="E750" s="506"/>
      <c r="F750" s="506"/>
      <c r="G750" s="506"/>
      <c r="H750" s="506"/>
      <c r="I750" s="506"/>
      <c r="J750" s="506"/>
      <c r="K750" s="507"/>
      <c r="L750" s="508"/>
      <c r="M750" s="508"/>
      <c r="N750" s="508"/>
      <c r="O750" s="509"/>
      <c r="P750" s="509"/>
    </row>
    <row r="751" spans="1:16" ht="21.75" customHeight="1" x14ac:dyDescent="0.3">
      <c r="A751" s="504"/>
      <c r="B751" s="504"/>
      <c r="C751" s="504"/>
      <c r="D751" s="504"/>
      <c r="E751" s="506"/>
      <c r="F751" s="506"/>
      <c r="G751" s="506"/>
      <c r="H751" s="506"/>
      <c r="I751" s="506"/>
      <c r="J751" s="506"/>
      <c r="K751" s="507"/>
      <c r="L751" s="508"/>
      <c r="M751" s="508"/>
      <c r="N751" s="508"/>
      <c r="O751" s="509"/>
      <c r="P751" s="509"/>
    </row>
    <row r="752" spans="1:16" ht="21.75" customHeight="1" x14ac:dyDescent="0.3">
      <c r="A752" s="504"/>
      <c r="B752" s="504"/>
      <c r="C752" s="504"/>
      <c r="D752" s="504"/>
      <c r="E752" s="506"/>
      <c r="F752" s="506"/>
      <c r="G752" s="506"/>
      <c r="H752" s="506"/>
      <c r="I752" s="506"/>
      <c r="J752" s="506"/>
      <c r="K752" s="507"/>
      <c r="L752" s="508"/>
      <c r="M752" s="508"/>
      <c r="N752" s="508"/>
      <c r="O752" s="509"/>
      <c r="P752" s="509"/>
    </row>
    <row r="753" spans="1:16" ht="21.75" customHeight="1" x14ac:dyDescent="0.3">
      <c r="A753" s="504"/>
      <c r="B753" s="504"/>
      <c r="C753" s="504"/>
      <c r="D753" s="504"/>
      <c r="E753" s="506"/>
      <c r="F753" s="506"/>
      <c r="G753" s="506"/>
      <c r="H753" s="506"/>
      <c r="I753" s="506"/>
      <c r="J753" s="506"/>
      <c r="K753" s="507"/>
      <c r="L753" s="508"/>
      <c r="M753" s="508"/>
      <c r="N753" s="508"/>
      <c r="O753" s="509"/>
      <c r="P753" s="509"/>
    </row>
    <row r="754" spans="1:16" ht="21.75" customHeight="1" x14ac:dyDescent="0.3">
      <c r="A754" s="504"/>
      <c r="B754" s="504"/>
      <c r="C754" s="504"/>
      <c r="D754" s="504"/>
      <c r="E754" s="506"/>
      <c r="F754" s="506"/>
      <c r="G754" s="506"/>
      <c r="H754" s="506"/>
      <c r="I754" s="506"/>
      <c r="J754" s="506"/>
      <c r="K754" s="507"/>
      <c r="L754" s="508"/>
      <c r="M754" s="508"/>
      <c r="N754" s="508"/>
      <c r="O754" s="509"/>
      <c r="P754" s="509"/>
    </row>
    <row r="755" spans="1:16" ht="21.75" customHeight="1" x14ac:dyDescent="0.3">
      <c r="A755" s="504"/>
      <c r="B755" s="504"/>
      <c r="C755" s="504"/>
      <c r="D755" s="504"/>
      <c r="E755" s="506"/>
      <c r="F755" s="506"/>
      <c r="G755" s="506"/>
      <c r="H755" s="506"/>
      <c r="I755" s="506"/>
      <c r="J755" s="506"/>
      <c r="K755" s="507"/>
      <c r="L755" s="508"/>
      <c r="M755" s="508"/>
      <c r="N755" s="508"/>
      <c r="O755" s="509"/>
      <c r="P755" s="509"/>
    </row>
    <row r="756" spans="1:16" ht="21.75" customHeight="1" x14ac:dyDescent="0.3">
      <c r="A756" s="504"/>
      <c r="B756" s="504"/>
      <c r="C756" s="504"/>
      <c r="D756" s="504"/>
      <c r="E756" s="506"/>
      <c r="F756" s="506"/>
      <c r="G756" s="506"/>
      <c r="H756" s="506"/>
      <c r="I756" s="506"/>
      <c r="J756" s="506"/>
      <c r="K756" s="507"/>
      <c r="L756" s="508"/>
      <c r="M756" s="508"/>
      <c r="N756" s="508"/>
      <c r="O756" s="509"/>
      <c r="P756" s="509"/>
    </row>
    <row r="757" spans="1:16" ht="21.75" customHeight="1" x14ac:dyDescent="0.3">
      <c r="A757" s="504"/>
      <c r="B757" s="504"/>
      <c r="C757" s="504"/>
      <c r="D757" s="504"/>
      <c r="E757" s="506"/>
      <c r="F757" s="506"/>
      <c r="G757" s="506"/>
      <c r="H757" s="506"/>
      <c r="I757" s="506"/>
      <c r="J757" s="506"/>
      <c r="K757" s="507"/>
      <c r="L757" s="508"/>
      <c r="M757" s="508"/>
      <c r="N757" s="508"/>
      <c r="O757" s="509"/>
      <c r="P757" s="509"/>
    </row>
    <row r="758" spans="1:16" ht="21.75" customHeight="1" x14ac:dyDescent="0.3">
      <c r="A758" s="504"/>
      <c r="B758" s="504"/>
      <c r="C758" s="504"/>
      <c r="D758" s="504"/>
      <c r="E758" s="506"/>
      <c r="F758" s="506"/>
      <c r="G758" s="506"/>
      <c r="H758" s="506"/>
      <c r="I758" s="506"/>
      <c r="J758" s="506"/>
      <c r="K758" s="507"/>
      <c r="L758" s="508"/>
      <c r="M758" s="508"/>
      <c r="N758" s="508"/>
      <c r="O758" s="509"/>
      <c r="P758" s="509"/>
    </row>
    <row r="759" spans="1:16" ht="21.75" customHeight="1" x14ac:dyDescent="0.3">
      <c r="A759" s="504"/>
      <c r="B759" s="504"/>
      <c r="C759" s="504"/>
      <c r="D759" s="504"/>
      <c r="E759" s="506"/>
      <c r="F759" s="506"/>
      <c r="G759" s="506"/>
      <c r="H759" s="506"/>
      <c r="I759" s="506"/>
      <c r="J759" s="506"/>
      <c r="K759" s="507"/>
      <c r="L759" s="508"/>
      <c r="M759" s="508"/>
      <c r="N759" s="508"/>
      <c r="O759" s="509"/>
      <c r="P759" s="509"/>
    </row>
    <row r="760" spans="1:16" ht="21.75" customHeight="1" x14ac:dyDescent="0.3">
      <c r="A760" s="504"/>
      <c r="B760" s="504"/>
      <c r="C760" s="504"/>
      <c r="D760" s="504"/>
      <c r="E760" s="506"/>
      <c r="F760" s="506"/>
      <c r="G760" s="506"/>
      <c r="H760" s="506"/>
      <c r="I760" s="506"/>
      <c r="J760" s="506"/>
      <c r="K760" s="507"/>
      <c r="L760" s="508"/>
      <c r="M760" s="508"/>
      <c r="N760" s="508"/>
      <c r="O760" s="509"/>
      <c r="P760" s="509"/>
    </row>
    <row r="761" spans="1:16" ht="21.75" customHeight="1" x14ac:dyDescent="0.3">
      <c r="A761" s="504"/>
      <c r="B761" s="504"/>
      <c r="C761" s="504"/>
      <c r="D761" s="504"/>
      <c r="E761" s="506"/>
      <c r="F761" s="506"/>
      <c r="G761" s="506"/>
      <c r="H761" s="506"/>
      <c r="I761" s="506"/>
      <c r="J761" s="506"/>
      <c r="K761" s="507"/>
      <c r="L761" s="508"/>
      <c r="M761" s="508"/>
      <c r="N761" s="508"/>
      <c r="O761" s="509"/>
      <c r="P761" s="509"/>
    </row>
    <row r="762" spans="1:16" ht="21.75" customHeight="1" x14ac:dyDescent="0.3">
      <c r="A762" s="504"/>
      <c r="B762" s="504"/>
      <c r="C762" s="504"/>
      <c r="D762" s="504"/>
      <c r="E762" s="506"/>
      <c r="F762" s="506"/>
      <c r="G762" s="506"/>
      <c r="H762" s="506"/>
      <c r="I762" s="506"/>
      <c r="J762" s="506"/>
      <c r="K762" s="507"/>
      <c r="L762" s="508"/>
      <c r="M762" s="508"/>
      <c r="N762" s="508"/>
      <c r="O762" s="509"/>
      <c r="P762" s="509"/>
    </row>
    <row r="763" spans="1:16" ht="21.75" customHeight="1" x14ac:dyDescent="0.3">
      <c r="A763" s="504"/>
      <c r="B763" s="504"/>
      <c r="C763" s="504"/>
      <c r="D763" s="504"/>
      <c r="E763" s="506"/>
      <c r="F763" s="506"/>
      <c r="G763" s="506"/>
      <c r="H763" s="506"/>
      <c r="I763" s="506"/>
      <c r="J763" s="506"/>
      <c r="K763" s="507"/>
      <c r="L763" s="508"/>
      <c r="M763" s="508"/>
      <c r="N763" s="508"/>
      <c r="O763" s="509"/>
      <c r="P763" s="509"/>
    </row>
    <row r="764" spans="1:16" ht="21.75" customHeight="1" x14ac:dyDescent="0.3">
      <c r="A764" s="504"/>
      <c r="B764" s="504"/>
      <c r="C764" s="504"/>
      <c r="D764" s="504"/>
      <c r="E764" s="506"/>
      <c r="F764" s="506"/>
      <c r="G764" s="506"/>
      <c r="H764" s="506"/>
      <c r="I764" s="506"/>
      <c r="J764" s="506"/>
      <c r="K764" s="507"/>
      <c r="L764" s="508"/>
      <c r="M764" s="508"/>
      <c r="N764" s="508"/>
      <c r="O764" s="509"/>
      <c r="P764" s="509"/>
    </row>
    <row r="765" spans="1:16" ht="21.75" customHeight="1" x14ac:dyDescent="0.3">
      <c r="A765" s="504"/>
      <c r="B765" s="504"/>
      <c r="C765" s="504"/>
      <c r="D765" s="504"/>
      <c r="E765" s="506"/>
      <c r="F765" s="506"/>
      <c r="G765" s="506"/>
      <c r="H765" s="506"/>
      <c r="I765" s="506"/>
      <c r="J765" s="506"/>
      <c r="K765" s="507"/>
      <c r="L765" s="508"/>
      <c r="M765" s="508"/>
      <c r="N765" s="508"/>
      <c r="O765" s="509"/>
      <c r="P765" s="509"/>
    </row>
    <row r="766" spans="1:16" ht="21.75" customHeight="1" x14ac:dyDescent="0.3">
      <c r="A766" s="504"/>
      <c r="B766" s="504"/>
      <c r="C766" s="504"/>
      <c r="D766" s="504"/>
      <c r="E766" s="506"/>
      <c r="F766" s="506"/>
      <c r="G766" s="506"/>
      <c r="H766" s="506"/>
      <c r="I766" s="506"/>
      <c r="J766" s="506"/>
      <c r="K766" s="507"/>
      <c r="L766" s="508"/>
      <c r="M766" s="508"/>
      <c r="N766" s="508"/>
      <c r="O766" s="509"/>
      <c r="P766" s="509"/>
    </row>
    <row r="767" spans="1:16" ht="21.75" customHeight="1" x14ac:dyDescent="0.3">
      <c r="A767" s="504"/>
      <c r="B767" s="504"/>
      <c r="C767" s="504"/>
      <c r="D767" s="504"/>
      <c r="E767" s="506"/>
      <c r="F767" s="506"/>
      <c r="G767" s="506"/>
      <c r="H767" s="506"/>
      <c r="I767" s="506"/>
      <c r="J767" s="506"/>
      <c r="K767" s="507"/>
      <c r="L767" s="508"/>
      <c r="M767" s="508"/>
      <c r="N767" s="508"/>
      <c r="O767" s="509"/>
      <c r="P767" s="509"/>
    </row>
    <row r="768" spans="1:16" ht="21.75" customHeight="1" x14ac:dyDescent="0.3">
      <c r="A768" s="504"/>
      <c r="B768" s="504"/>
      <c r="C768" s="504"/>
      <c r="D768" s="504"/>
      <c r="E768" s="506"/>
      <c r="F768" s="506"/>
      <c r="G768" s="506"/>
      <c r="H768" s="506"/>
      <c r="I768" s="506"/>
      <c r="J768" s="506"/>
      <c r="K768" s="507"/>
      <c r="L768" s="508"/>
      <c r="M768" s="508"/>
      <c r="N768" s="508"/>
      <c r="O768" s="509"/>
      <c r="P768" s="509"/>
    </row>
    <row r="769" spans="1:16" ht="21.75" customHeight="1" x14ac:dyDescent="0.3">
      <c r="A769" s="504"/>
      <c r="B769" s="504"/>
      <c r="C769" s="504"/>
      <c r="D769" s="504"/>
      <c r="E769" s="506"/>
      <c r="F769" s="506"/>
      <c r="G769" s="506"/>
      <c r="H769" s="506"/>
      <c r="I769" s="506"/>
      <c r="J769" s="506"/>
      <c r="K769" s="507"/>
      <c r="L769" s="508"/>
      <c r="M769" s="508"/>
      <c r="N769" s="508"/>
      <c r="O769" s="509"/>
      <c r="P769" s="509"/>
    </row>
    <row r="770" spans="1:16" ht="21.75" customHeight="1" x14ac:dyDescent="0.3">
      <c r="A770" s="504"/>
      <c r="B770" s="504"/>
      <c r="C770" s="504"/>
      <c r="D770" s="504"/>
      <c r="E770" s="506"/>
      <c r="F770" s="506"/>
      <c r="G770" s="506"/>
      <c r="H770" s="506"/>
      <c r="I770" s="506"/>
      <c r="J770" s="506"/>
      <c r="K770" s="507"/>
      <c r="L770" s="508"/>
      <c r="M770" s="508"/>
      <c r="N770" s="508"/>
      <c r="O770" s="509"/>
      <c r="P770" s="509"/>
    </row>
    <row r="771" spans="1:16" ht="21.75" customHeight="1" x14ac:dyDescent="0.3">
      <c r="A771" s="504"/>
      <c r="B771" s="504"/>
      <c r="C771" s="504"/>
      <c r="D771" s="504"/>
      <c r="E771" s="506"/>
      <c r="F771" s="506"/>
      <c r="G771" s="506"/>
      <c r="H771" s="506"/>
      <c r="I771" s="506"/>
      <c r="J771" s="506"/>
      <c r="K771" s="507"/>
      <c r="L771" s="508"/>
      <c r="M771" s="508"/>
      <c r="N771" s="508"/>
      <c r="O771" s="509"/>
      <c r="P771" s="509"/>
    </row>
    <row r="772" spans="1:16" ht="21.75" customHeight="1" x14ac:dyDescent="0.3">
      <c r="A772" s="504"/>
      <c r="B772" s="504"/>
      <c r="C772" s="504"/>
      <c r="D772" s="504"/>
      <c r="E772" s="506"/>
      <c r="F772" s="506"/>
      <c r="G772" s="506"/>
      <c r="H772" s="506"/>
      <c r="I772" s="506"/>
      <c r="J772" s="506"/>
      <c r="K772" s="507"/>
      <c r="L772" s="508"/>
      <c r="M772" s="508"/>
      <c r="N772" s="508"/>
      <c r="O772" s="509"/>
      <c r="P772" s="509"/>
    </row>
    <row r="773" spans="1:16" ht="21.75" customHeight="1" x14ac:dyDescent="0.3">
      <c r="A773" s="504"/>
      <c r="B773" s="504"/>
      <c r="C773" s="504"/>
      <c r="D773" s="504"/>
      <c r="E773" s="506"/>
      <c r="F773" s="506"/>
      <c r="G773" s="506"/>
      <c r="H773" s="506"/>
      <c r="I773" s="506"/>
      <c r="J773" s="506"/>
      <c r="K773" s="507"/>
      <c r="L773" s="508"/>
      <c r="M773" s="508"/>
      <c r="N773" s="508"/>
      <c r="O773" s="509"/>
      <c r="P773" s="509"/>
    </row>
    <row r="774" spans="1:16" ht="21.75" customHeight="1" x14ac:dyDescent="0.3">
      <c r="A774" s="504"/>
      <c r="B774" s="504"/>
      <c r="C774" s="504"/>
      <c r="D774" s="504"/>
      <c r="E774" s="506"/>
      <c r="F774" s="506"/>
      <c r="G774" s="506"/>
      <c r="H774" s="506"/>
      <c r="I774" s="506"/>
      <c r="J774" s="506"/>
      <c r="K774" s="507"/>
      <c r="L774" s="508"/>
      <c r="M774" s="508"/>
      <c r="N774" s="508"/>
      <c r="O774" s="509"/>
      <c r="P774" s="509"/>
    </row>
    <row r="775" spans="1:16" ht="21.75" customHeight="1" x14ac:dyDescent="0.3">
      <c r="A775" s="504"/>
      <c r="B775" s="504"/>
      <c r="C775" s="504"/>
      <c r="D775" s="504"/>
      <c r="E775" s="506"/>
      <c r="F775" s="506"/>
      <c r="G775" s="506"/>
      <c r="H775" s="506"/>
      <c r="I775" s="506"/>
      <c r="J775" s="506"/>
      <c r="K775" s="507"/>
      <c r="L775" s="508"/>
      <c r="M775" s="508"/>
      <c r="N775" s="508"/>
      <c r="O775" s="509"/>
      <c r="P775" s="509"/>
    </row>
    <row r="776" spans="1:16" ht="21.75" customHeight="1" x14ac:dyDescent="0.3">
      <c r="A776" s="504"/>
      <c r="B776" s="504"/>
      <c r="C776" s="504"/>
      <c r="D776" s="504"/>
      <c r="E776" s="506"/>
      <c r="F776" s="506"/>
      <c r="G776" s="506"/>
      <c r="H776" s="506"/>
      <c r="I776" s="506"/>
      <c r="J776" s="506"/>
      <c r="K776" s="507"/>
      <c r="L776" s="508"/>
      <c r="M776" s="508"/>
      <c r="N776" s="508"/>
      <c r="O776" s="509"/>
      <c r="P776" s="509"/>
    </row>
    <row r="777" spans="1:16" ht="21.75" customHeight="1" x14ac:dyDescent="0.3">
      <c r="A777" s="504"/>
      <c r="B777" s="504"/>
      <c r="C777" s="504"/>
      <c r="D777" s="504"/>
      <c r="E777" s="506"/>
      <c r="F777" s="506"/>
      <c r="G777" s="506"/>
      <c r="H777" s="506"/>
      <c r="I777" s="506"/>
      <c r="J777" s="506"/>
      <c r="K777" s="507"/>
      <c r="L777" s="508"/>
      <c r="M777" s="508"/>
      <c r="N777" s="508"/>
      <c r="O777" s="509"/>
      <c r="P777" s="509"/>
    </row>
    <row r="778" spans="1:16" ht="21.75" customHeight="1" x14ac:dyDescent="0.3">
      <c r="A778" s="504"/>
      <c r="B778" s="504"/>
      <c r="C778" s="504"/>
      <c r="D778" s="504"/>
      <c r="E778" s="506"/>
      <c r="F778" s="506"/>
      <c r="G778" s="506"/>
      <c r="H778" s="506"/>
      <c r="I778" s="506"/>
      <c r="J778" s="506"/>
      <c r="K778" s="507"/>
      <c r="L778" s="508"/>
      <c r="M778" s="508"/>
      <c r="N778" s="508"/>
      <c r="O778" s="509"/>
      <c r="P778" s="509"/>
    </row>
    <row r="779" spans="1:16" ht="21.75" customHeight="1" x14ac:dyDescent="0.3">
      <c r="A779" s="504"/>
      <c r="B779" s="504"/>
      <c r="C779" s="504"/>
      <c r="D779" s="504"/>
      <c r="E779" s="506"/>
      <c r="F779" s="506"/>
      <c r="G779" s="506"/>
      <c r="H779" s="506"/>
      <c r="I779" s="506"/>
      <c r="J779" s="506"/>
      <c r="K779" s="507"/>
      <c r="L779" s="508"/>
      <c r="M779" s="508"/>
      <c r="N779" s="508"/>
      <c r="O779" s="509"/>
      <c r="P779" s="509"/>
    </row>
    <row r="780" spans="1:16" ht="21.75" customHeight="1" x14ac:dyDescent="0.3">
      <c r="A780" s="504"/>
      <c r="B780" s="504"/>
      <c r="C780" s="504"/>
      <c r="D780" s="504"/>
      <c r="E780" s="506"/>
      <c r="F780" s="506"/>
      <c r="G780" s="506"/>
      <c r="H780" s="506"/>
      <c r="I780" s="506"/>
      <c r="J780" s="506"/>
      <c r="K780" s="507"/>
      <c r="L780" s="508"/>
      <c r="M780" s="508"/>
      <c r="N780" s="508"/>
      <c r="O780" s="509"/>
      <c r="P780" s="509"/>
    </row>
    <row r="781" spans="1:16" ht="21.75" customHeight="1" x14ac:dyDescent="0.3">
      <c r="A781" s="504"/>
      <c r="B781" s="504"/>
      <c r="C781" s="504"/>
      <c r="D781" s="504"/>
      <c r="E781" s="506"/>
      <c r="F781" s="506"/>
      <c r="G781" s="506"/>
      <c r="H781" s="506"/>
      <c r="I781" s="506"/>
      <c r="J781" s="506"/>
      <c r="K781" s="507"/>
      <c r="L781" s="508"/>
      <c r="M781" s="508"/>
      <c r="N781" s="508"/>
      <c r="O781" s="509"/>
      <c r="P781" s="509"/>
    </row>
    <row r="782" spans="1:16" ht="21.75" customHeight="1" x14ac:dyDescent="0.3">
      <c r="A782" s="504"/>
      <c r="B782" s="504"/>
      <c r="C782" s="504"/>
      <c r="D782" s="504"/>
      <c r="E782" s="506"/>
      <c r="F782" s="506"/>
      <c r="G782" s="506"/>
      <c r="H782" s="506"/>
      <c r="I782" s="506"/>
      <c r="J782" s="506"/>
      <c r="K782" s="507"/>
      <c r="L782" s="508"/>
      <c r="M782" s="508"/>
      <c r="N782" s="508"/>
      <c r="O782" s="509"/>
      <c r="P782" s="509"/>
    </row>
    <row r="783" spans="1:16" ht="21.75" customHeight="1" x14ac:dyDescent="0.3">
      <c r="A783" s="504"/>
      <c r="B783" s="504"/>
      <c r="C783" s="504"/>
      <c r="D783" s="504"/>
      <c r="E783" s="506"/>
      <c r="F783" s="506"/>
      <c r="G783" s="506"/>
      <c r="H783" s="506"/>
      <c r="I783" s="506"/>
      <c r="J783" s="506"/>
      <c r="K783" s="507"/>
      <c r="L783" s="508"/>
      <c r="M783" s="508"/>
      <c r="N783" s="508"/>
      <c r="O783" s="509"/>
      <c r="P783" s="509"/>
    </row>
    <row r="784" spans="1:16" ht="21.75" customHeight="1" x14ac:dyDescent="0.3">
      <c r="A784" s="504"/>
      <c r="B784" s="504"/>
      <c r="C784" s="504"/>
      <c r="D784" s="504"/>
      <c r="E784" s="506"/>
      <c r="F784" s="506"/>
      <c r="G784" s="506"/>
      <c r="H784" s="506"/>
      <c r="I784" s="506"/>
      <c r="J784" s="506"/>
      <c r="K784" s="507"/>
      <c r="L784" s="508"/>
      <c r="M784" s="508"/>
      <c r="N784" s="508"/>
      <c r="O784" s="509"/>
      <c r="P784" s="509"/>
    </row>
    <row r="785" spans="1:16" ht="21.75" customHeight="1" x14ac:dyDescent="0.3">
      <c r="A785" s="504"/>
      <c r="B785" s="504"/>
      <c r="C785" s="504"/>
      <c r="D785" s="504"/>
      <c r="E785" s="506"/>
      <c r="F785" s="506"/>
      <c r="G785" s="506"/>
      <c r="H785" s="506"/>
      <c r="I785" s="506"/>
      <c r="J785" s="506"/>
      <c r="K785" s="507"/>
      <c r="L785" s="508"/>
      <c r="M785" s="508"/>
      <c r="N785" s="508"/>
      <c r="O785" s="509"/>
      <c r="P785" s="509"/>
    </row>
    <row r="786" spans="1:16" ht="21.75" customHeight="1" x14ac:dyDescent="0.3">
      <c r="A786" s="504"/>
      <c r="B786" s="504"/>
      <c r="C786" s="504"/>
      <c r="D786" s="504"/>
      <c r="E786" s="506"/>
      <c r="F786" s="506"/>
      <c r="G786" s="506"/>
      <c r="H786" s="506"/>
      <c r="I786" s="506"/>
      <c r="J786" s="506"/>
      <c r="K786" s="507"/>
      <c r="L786" s="508"/>
      <c r="M786" s="508"/>
      <c r="N786" s="508"/>
      <c r="O786" s="509"/>
      <c r="P786" s="509"/>
    </row>
    <row r="787" spans="1:16" ht="21.75" customHeight="1" x14ac:dyDescent="0.3">
      <c r="A787" s="504"/>
      <c r="B787" s="504"/>
      <c r="C787" s="504"/>
      <c r="D787" s="504"/>
      <c r="E787" s="506"/>
      <c r="F787" s="506"/>
      <c r="G787" s="506"/>
      <c r="H787" s="506"/>
      <c r="I787" s="506"/>
      <c r="J787" s="506"/>
      <c r="K787" s="507"/>
      <c r="L787" s="508"/>
      <c r="M787" s="508"/>
      <c r="N787" s="508"/>
      <c r="O787" s="509"/>
      <c r="P787" s="509"/>
    </row>
    <row r="788" spans="1:16" ht="21.75" customHeight="1" x14ac:dyDescent="0.3">
      <c r="A788" s="504"/>
      <c r="B788" s="504"/>
      <c r="C788" s="504"/>
      <c r="D788" s="504"/>
      <c r="E788" s="506"/>
      <c r="F788" s="506"/>
      <c r="G788" s="506"/>
      <c r="H788" s="506"/>
      <c r="I788" s="506"/>
      <c r="J788" s="506"/>
      <c r="K788" s="507"/>
      <c r="L788" s="508"/>
      <c r="M788" s="508"/>
      <c r="N788" s="508"/>
      <c r="O788" s="509"/>
      <c r="P788" s="509"/>
    </row>
    <row r="789" spans="1:16" ht="21.75" customHeight="1" x14ac:dyDescent="0.3">
      <c r="A789" s="504"/>
      <c r="B789" s="504"/>
      <c r="C789" s="504"/>
      <c r="D789" s="504"/>
      <c r="E789" s="506"/>
      <c r="F789" s="506"/>
      <c r="G789" s="506"/>
      <c r="H789" s="506"/>
      <c r="I789" s="506"/>
      <c r="J789" s="506"/>
      <c r="K789" s="507"/>
      <c r="L789" s="508"/>
      <c r="M789" s="508"/>
      <c r="N789" s="508"/>
      <c r="O789" s="509"/>
      <c r="P789" s="509"/>
    </row>
    <row r="790" spans="1:16" ht="21.75" customHeight="1" x14ac:dyDescent="0.3">
      <c r="A790" s="504"/>
      <c r="B790" s="504"/>
      <c r="C790" s="504"/>
      <c r="D790" s="504"/>
      <c r="E790" s="506"/>
      <c r="F790" s="506"/>
      <c r="G790" s="506"/>
      <c r="H790" s="506"/>
      <c r="I790" s="506"/>
      <c r="J790" s="506"/>
      <c r="K790" s="507"/>
      <c r="L790" s="508"/>
      <c r="M790" s="508"/>
      <c r="N790" s="508"/>
      <c r="O790" s="509"/>
      <c r="P790" s="509"/>
    </row>
    <row r="791" spans="1:16" ht="21.75" customHeight="1" x14ac:dyDescent="0.3">
      <c r="A791" s="504"/>
      <c r="B791" s="504"/>
      <c r="C791" s="504"/>
      <c r="D791" s="504"/>
      <c r="E791" s="506"/>
      <c r="F791" s="506"/>
      <c r="G791" s="506"/>
      <c r="H791" s="506"/>
      <c r="I791" s="506"/>
      <c r="J791" s="506"/>
      <c r="K791" s="507"/>
      <c r="L791" s="508"/>
      <c r="M791" s="508"/>
      <c r="N791" s="508"/>
      <c r="O791" s="509"/>
      <c r="P791" s="509"/>
    </row>
    <row r="792" spans="1:16" ht="21.75" customHeight="1" x14ac:dyDescent="0.3">
      <c r="A792" s="504"/>
      <c r="B792" s="504"/>
      <c r="C792" s="504"/>
      <c r="D792" s="504"/>
      <c r="E792" s="506"/>
      <c r="F792" s="506"/>
      <c r="G792" s="506"/>
      <c r="H792" s="506"/>
      <c r="I792" s="506"/>
      <c r="J792" s="506"/>
      <c r="K792" s="507"/>
      <c r="L792" s="508"/>
      <c r="M792" s="508"/>
      <c r="N792" s="508"/>
      <c r="O792" s="509"/>
      <c r="P792" s="509"/>
    </row>
    <row r="793" spans="1:16" ht="21.75" customHeight="1" x14ac:dyDescent="0.3">
      <c r="A793" s="504"/>
      <c r="B793" s="504"/>
      <c r="C793" s="504"/>
      <c r="D793" s="504"/>
      <c r="E793" s="506"/>
      <c r="F793" s="506"/>
      <c r="G793" s="506"/>
      <c r="H793" s="506"/>
      <c r="I793" s="506"/>
      <c r="J793" s="506"/>
      <c r="K793" s="507"/>
      <c r="L793" s="508"/>
      <c r="M793" s="508"/>
      <c r="N793" s="508"/>
      <c r="O793" s="509"/>
      <c r="P793" s="509"/>
    </row>
    <row r="794" spans="1:16" ht="21.75" customHeight="1" x14ac:dyDescent="0.3">
      <c r="A794" s="504"/>
      <c r="B794" s="504"/>
      <c r="C794" s="504"/>
      <c r="D794" s="504"/>
      <c r="E794" s="506"/>
      <c r="F794" s="506"/>
      <c r="G794" s="506"/>
      <c r="H794" s="506"/>
      <c r="I794" s="506"/>
      <c r="J794" s="506"/>
      <c r="K794" s="507"/>
      <c r="L794" s="508"/>
      <c r="M794" s="508"/>
      <c r="N794" s="508"/>
      <c r="O794" s="509"/>
      <c r="P794" s="509"/>
    </row>
    <row r="795" spans="1:16" ht="21.75" customHeight="1" x14ac:dyDescent="0.3">
      <c r="A795" s="504"/>
      <c r="B795" s="504"/>
      <c r="C795" s="504"/>
      <c r="D795" s="504"/>
      <c r="E795" s="506"/>
      <c r="F795" s="506"/>
      <c r="G795" s="506"/>
      <c r="H795" s="506"/>
      <c r="I795" s="506"/>
      <c r="J795" s="506"/>
      <c r="K795" s="507"/>
      <c r="L795" s="508"/>
      <c r="M795" s="508"/>
      <c r="N795" s="508"/>
      <c r="O795" s="509"/>
      <c r="P795" s="509"/>
    </row>
    <row r="796" spans="1:16" ht="21.75" customHeight="1" x14ac:dyDescent="0.3">
      <c r="A796" s="504"/>
      <c r="B796" s="504"/>
      <c r="C796" s="504"/>
      <c r="D796" s="504"/>
      <c r="E796" s="506"/>
      <c r="F796" s="506"/>
      <c r="G796" s="506"/>
      <c r="H796" s="506"/>
      <c r="I796" s="506"/>
      <c r="J796" s="506"/>
      <c r="K796" s="507"/>
      <c r="L796" s="508"/>
      <c r="M796" s="508"/>
      <c r="N796" s="508"/>
      <c r="O796" s="509"/>
      <c r="P796" s="509"/>
    </row>
    <row r="797" spans="1:16" ht="21.75" customHeight="1" x14ac:dyDescent="0.3">
      <c r="A797" s="504"/>
      <c r="B797" s="504"/>
      <c r="C797" s="504"/>
      <c r="D797" s="504"/>
      <c r="E797" s="506"/>
      <c r="F797" s="506"/>
      <c r="G797" s="506"/>
      <c r="H797" s="506"/>
      <c r="I797" s="506"/>
      <c r="J797" s="506"/>
      <c r="K797" s="507"/>
      <c r="L797" s="508"/>
      <c r="M797" s="508"/>
      <c r="N797" s="508"/>
      <c r="O797" s="509"/>
      <c r="P797" s="509"/>
    </row>
    <row r="798" spans="1:16" ht="21.75" customHeight="1" x14ac:dyDescent="0.3">
      <c r="A798" s="504"/>
      <c r="B798" s="504"/>
      <c r="C798" s="504"/>
      <c r="D798" s="504"/>
      <c r="E798" s="506"/>
      <c r="F798" s="506"/>
      <c r="G798" s="506"/>
      <c r="H798" s="506"/>
      <c r="I798" s="506"/>
      <c r="J798" s="506"/>
      <c r="K798" s="507"/>
      <c r="L798" s="508"/>
      <c r="M798" s="508"/>
      <c r="N798" s="508"/>
      <c r="O798" s="509"/>
      <c r="P798" s="509"/>
    </row>
    <row r="799" spans="1:16" ht="21.75" customHeight="1" x14ac:dyDescent="0.3">
      <c r="A799" s="504"/>
      <c r="B799" s="504"/>
      <c r="C799" s="504"/>
      <c r="D799" s="504"/>
      <c r="E799" s="506"/>
      <c r="F799" s="506"/>
      <c r="G799" s="506"/>
      <c r="H799" s="506"/>
      <c r="I799" s="506"/>
      <c r="J799" s="506"/>
      <c r="K799" s="507"/>
      <c r="L799" s="508"/>
      <c r="M799" s="508"/>
      <c r="N799" s="508"/>
      <c r="O799" s="509"/>
      <c r="P799" s="509"/>
    </row>
    <row r="800" spans="1:16" ht="21.75" customHeight="1" x14ac:dyDescent="0.3">
      <c r="A800" s="504"/>
      <c r="B800" s="504"/>
      <c r="C800" s="504"/>
      <c r="D800" s="504"/>
      <c r="E800" s="506"/>
      <c r="F800" s="506"/>
      <c r="G800" s="506"/>
      <c r="H800" s="506"/>
      <c r="I800" s="506"/>
      <c r="J800" s="506"/>
      <c r="K800" s="507"/>
      <c r="L800" s="508"/>
      <c r="M800" s="508"/>
      <c r="N800" s="508"/>
      <c r="O800" s="509"/>
      <c r="P800" s="509"/>
    </row>
    <row r="801" spans="1:16" ht="21.75" customHeight="1" x14ac:dyDescent="0.3">
      <c r="A801" s="504"/>
      <c r="B801" s="504"/>
      <c r="C801" s="504"/>
      <c r="D801" s="504"/>
      <c r="E801" s="506"/>
      <c r="F801" s="506"/>
      <c r="G801" s="506"/>
      <c r="H801" s="506"/>
      <c r="I801" s="506"/>
      <c r="J801" s="506"/>
      <c r="K801" s="507"/>
      <c r="L801" s="508"/>
      <c r="M801" s="508"/>
      <c r="N801" s="508"/>
      <c r="O801" s="509"/>
      <c r="P801" s="509"/>
    </row>
    <row r="802" spans="1:16" ht="21.75" customHeight="1" x14ac:dyDescent="0.3">
      <c r="A802" s="504"/>
      <c r="B802" s="504"/>
      <c r="C802" s="504"/>
      <c r="D802" s="504"/>
      <c r="E802" s="506"/>
      <c r="F802" s="506"/>
      <c r="G802" s="506"/>
      <c r="H802" s="506"/>
      <c r="I802" s="506"/>
      <c r="J802" s="506"/>
      <c r="K802" s="507"/>
      <c r="L802" s="508"/>
      <c r="M802" s="508"/>
      <c r="N802" s="508"/>
      <c r="O802" s="509"/>
      <c r="P802" s="509"/>
    </row>
    <row r="803" spans="1:16" ht="21.75" customHeight="1" x14ac:dyDescent="0.3">
      <c r="A803" s="504"/>
      <c r="B803" s="504"/>
      <c r="C803" s="504"/>
      <c r="D803" s="504"/>
      <c r="E803" s="506"/>
      <c r="F803" s="506"/>
      <c r="G803" s="506"/>
      <c r="H803" s="506"/>
      <c r="I803" s="506"/>
      <c r="J803" s="506"/>
      <c r="K803" s="507"/>
      <c r="L803" s="508"/>
      <c r="M803" s="508"/>
      <c r="N803" s="508"/>
      <c r="O803" s="509"/>
      <c r="P803" s="509"/>
    </row>
    <row r="804" spans="1:16" ht="21.75" customHeight="1" x14ac:dyDescent="0.3">
      <c r="A804" s="504"/>
      <c r="B804" s="504"/>
      <c r="C804" s="504"/>
      <c r="D804" s="504"/>
      <c r="E804" s="506"/>
      <c r="F804" s="506"/>
      <c r="G804" s="506"/>
      <c r="H804" s="506"/>
      <c r="I804" s="506"/>
      <c r="J804" s="506"/>
      <c r="K804" s="507"/>
      <c r="L804" s="508"/>
      <c r="M804" s="508"/>
      <c r="N804" s="508"/>
      <c r="O804" s="509"/>
      <c r="P804" s="509"/>
    </row>
    <row r="805" spans="1:16" ht="21.75" customHeight="1" x14ac:dyDescent="0.3">
      <c r="A805" s="504"/>
      <c r="B805" s="504"/>
      <c r="C805" s="504"/>
      <c r="D805" s="504"/>
      <c r="E805" s="506"/>
      <c r="F805" s="506"/>
      <c r="G805" s="506"/>
      <c r="H805" s="506"/>
      <c r="I805" s="506"/>
      <c r="J805" s="506"/>
      <c r="K805" s="507"/>
      <c r="L805" s="508"/>
      <c r="M805" s="508"/>
      <c r="N805" s="508"/>
      <c r="O805" s="509"/>
      <c r="P805" s="509"/>
    </row>
    <row r="806" spans="1:16" ht="21.75" customHeight="1" x14ac:dyDescent="0.3">
      <c r="A806" s="504"/>
      <c r="B806" s="504"/>
      <c r="C806" s="504"/>
      <c r="D806" s="504"/>
      <c r="E806" s="506"/>
      <c r="F806" s="506"/>
      <c r="G806" s="506"/>
      <c r="H806" s="506"/>
      <c r="I806" s="506"/>
      <c r="J806" s="506"/>
      <c r="K806" s="507"/>
      <c r="L806" s="508"/>
      <c r="M806" s="508"/>
      <c r="N806" s="508"/>
      <c r="O806" s="509"/>
      <c r="P806" s="509"/>
    </row>
    <row r="807" spans="1:16" ht="21.75" customHeight="1" x14ac:dyDescent="0.3">
      <c r="A807" s="504"/>
      <c r="B807" s="504"/>
      <c r="C807" s="504"/>
      <c r="D807" s="504"/>
      <c r="E807" s="506"/>
      <c r="F807" s="506"/>
      <c r="G807" s="506"/>
      <c r="H807" s="506"/>
      <c r="I807" s="506"/>
      <c r="J807" s="506"/>
      <c r="K807" s="507"/>
      <c r="L807" s="508"/>
      <c r="M807" s="508"/>
      <c r="N807" s="508"/>
      <c r="O807" s="509"/>
      <c r="P807" s="509"/>
    </row>
    <row r="808" spans="1:16" ht="21.75" customHeight="1" x14ac:dyDescent="0.3">
      <c r="A808" s="504"/>
      <c r="B808" s="504"/>
      <c r="C808" s="504"/>
      <c r="D808" s="504"/>
      <c r="E808" s="506"/>
      <c r="F808" s="506"/>
      <c r="G808" s="506"/>
      <c r="H808" s="506"/>
      <c r="I808" s="506"/>
      <c r="J808" s="506"/>
      <c r="K808" s="507"/>
      <c r="L808" s="508"/>
      <c r="M808" s="508"/>
      <c r="N808" s="508"/>
      <c r="O808" s="509"/>
      <c r="P808" s="509"/>
    </row>
    <row r="809" spans="1:16" ht="21.75" customHeight="1" x14ac:dyDescent="0.3">
      <c r="A809" s="504"/>
      <c r="B809" s="504"/>
      <c r="C809" s="504"/>
      <c r="D809" s="504"/>
      <c r="E809" s="506"/>
      <c r="F809" s="506"/>
      <c r="G809" s="506"/>
      <c r="H809" s="506"/>
      <c r="I809" s="506"/>
      <c r="J809" s="506"/>
      <c r="K809" s="507"/>
      <c r="L809" s="508"/>
      <c r="M809" s="508"/>
      <c r="N809" s="508"/>
      <c r="O809" s="509"/>
      <c r="P809" s="509"/>
    </row>
    <row r="810" spans="1:16" ht="21.75" customHeight="1" x14ac:dyDescent="0.3">
      <c r="A810" s="504"/>
      <c r="B810" s="504"/>
      <c r="C810" s="504"/>
      <c r="D810" s="504"/>
      <c r="E810" s="506"/>
      <c r="F810" s="506"/>
      <c r="G810" s="506"/>
      <c r="H810" s="506"/>
      <c r="I810" s="506"/>
      <c r="J810" s="506"/>
      <c r="K810" s="507"/>
      <c r="L810" s="508"/>
      <c r="M810" s="508"/>
      <c r="N810" s="508"/>
      <c r="O810" s="509"/>
      <c r="P810" s="509"/>
    </row>
    <row r="811" spans="1:16" ht="21.75" customHeight="1" x14ac:dyDescent="0.3">
      <c r="A811" s="504"/>
      <c r="B811" s="504"/>
      <c r="C811" s="504"/>
      <c r="D811" s="504"/>
      <c r="E811" s="506"/>
      <c r="F811" s="506"/>
      <c r="G811" s="506"/>
      <c r="H811" s="506"/>
      <c r="I811" s="506"/>
      <c r="J811" s="506"/>
      <c r="K811" s="507"/>
      <c r="L811" s="508"/>
      <c r="M811" s="508"/>
      <c r="N811" s="508"/>
      <c r="O811" s="509"/>
      <c r="P811" s="509"/>
    </row>
    <row r="812" spans="1:16" ht="21.75" customHeight="1" x14ac:dyDescent="0.3">
      <c r="A812" s="504"/>
      <c r="B812" s="504"/>
      <c r="C812" s="504"/>
      <c r="D812" s="504"/>
      <c r="E812" s="506"/>
      <c r="F812" s="506"/>
      <c r="G812" s="506"/>
      <c r="H812" s="506"/>
      <c r="I812" s="506"/>
      <c r="J812" s="506"/>
      <c r="K812" s="507"/>
      <c r="L812" s="508"/>
      <c r="M812" s="508"/>
      <c r="N812" s="508"/>
      <c r="O812" s="509"/>
      <c r="P812" s="509"/>
    </row>
    <row r="813" spans="1:16" ht="21.75" customHeight="1" x14ac:dyDescent="0.3">
      <c r="A813" s="504"/>
      <c r="B813" s="504"/>
      <c r="C813" s="504"/>
      <c r="D813" s="504"/>
      <c r="E813" s="506"/>
      <c r="F813" s="506"/>
      <c r="G813" s="506"/>
      <c r="H813" s="506"/>
      <c r="I813" s="506"/>
      <c r="J813" s="506"/>
      <c r="K813" s="507"/>
      <c r="L813" s="508"/>
      <c r="M813" s="508"/>
      <c r="N813" s="508"/>
      <c r="O813" s="509"/>
      <c r="P813" s="509"/>
    </row>
    <row r="814" spans="1:16" ht="21.75" customHeight="1" x14ac:dyDescent="0.3">
      <c r="A814" s="504"/>
      <c r="B814" s="504"/>
      <c r="C814" s="504"/>
      <c r="D814" s="504"/>
      <c r="E814" s="506"/>
      <c r="F814" s="506"/>
      <c r="G814" s="506"/>
      <c r="H814" s="506"/>
      <c r="I814" s="506"/>
      <c r="J814" s="506"/>
      <c r="K814" s="507"/>
      <c r="L814" s="508"/>
      <c r="M814" s="508"/>
      <c r="N814" s="508"/>
      <c r="O814" s="509"/>
      <c r="P814" s="509"/>
    </row>
    <row r="815" spans="1:16" ht="21.75" customHeight="1" x14ac:dyDescent="0.3">
      <c r="A815" s="504"/>
      <c r="B815" s="504"/>
      <c r="C815" s="504"/>
      <c r="D815" s="504"/>
      <c r="E815" s="506"/>
      <c r="F815" s="506"/>
      <c r="G815" s="506"/>
      <c r="H815" s="506"/>
      <c r="I815" s="506"/>
      <c r="J815" s="506"/>
      <c r="K815" s="507"/>
      <c r="L815" s="508"/>
      <c r="M815" s="508"/>
      <c r="N815" s="508"/>
      <c r="O815" s="509"/>
      <c r="P815" s="509"/>
    </row>
    <row r="816" spans="1:16" ht="21.75" customHeight="1" x14ac:dyDescent="0.3">
      <c r="A816" s="504"/>
      <c r="B816" s="504"/>
      <c r="C816" s="504"/>
      <c r="D816" s="504"/>
      <c r="E816" s="506"/>
      <c r="F816" s="506"/>
      <c r="G816" s="506"/>
      <c r="H816" s="506"/>
      <c r="I816" s="506"/>
      <c r="J816" s="506"/>
      <c r="K816" s="507"/>
      <c r="L816" s="508"/>
      <c r="M816" s="508"/>
      <c r="N816" s="508"/>
      <c r="O816" s="509"/>
      <c r="P816" s="509"/>
    </row>
    <row r="817" spans="1:16" ht="21.75" customHeight="1" x14ac:dyDescent="0.3">
      <c r="A817" s="504"/>
      <c r="B817" s="504"/>
      <c r="C817" s="504"/>
      <c r="D817" s="504"/>
      <c r="E817" s="506"/>
      <c r="F817" s="506"/>
      <c r="G817" s="506"/>
      <c r="H817" s="506"/>
      <c r="I817" s="506"/>
      <c r="J817" s="506"/>
      <c r="K817" s="507"/>
      <c r="L817" s="508"/>
      <c r="M817" s="508"/>
      <c r="N817" s="508"/>
      <c r="O817" s="509"/>
      <c r="P817" s="509"/>
    </row>
    <row r="818" spans="1:16" ht="21.75" customHeight="1" x14ac:dyDescent="0.3">
      <c r="A818" s="504"/>
      <c r="B818" s="504"/>
      <c r="C818" s="504"/>
      <c r="D818" s="504"/>
      <c r="E818" s="506"/>
      <c r="F818" s="506"/>
      <c r="G818" s="506"/>
      <c r="H818" s="506"/>
      <c r="I818" s="506"/>
      <c r="J818" s="506"/>
      <c r="K818" s="507"/>
      <c r="L818" s="508"/>
      <c r="M818" s="508"/>
      <c r="N818" s="508"/>
      <c r="O818" s="509"/>
      <c r="P818" s="509"/>
    </row>
    <row r="819" spans="1:16" ht="21.75" customHeight="1" x14ac:dyDescent="0.3">
      <c r="A819" s="504"/>
      <c r="B819" s="504"/>
      <c r="C819" s="504"/>
      <c r="D819" s="504"/>
      <c r="E819" s="506"/>
      <c r="F819" s="506"/>
      <c r="G819" s="506"/>
      <c r="H819" s="506"/>
      <c r="I819" s="506"/>
      <c r="J819" s="506"/>
      <c r="K819" s="507"/>
      <c r="L819" s="508"/>
      <c r="M819" s="508"/>
      <c r="N819" s="508"/>
      <c r="O819" s="509"/>
      <c r="P819" s="509"/>
    </row>
    <row r="820" spans="1:16" ht="21.75" customHeight="1" x14ac:dyDescent="0.3">
      <c r="A820" s="504"/>
      <c r="B820" s="504"/>
      <c r="C820" s="504"/>
      <c r="D820" s="504"/>
      <c r="E820" s="506"/>
      <c r="F820" s="506"/>
      <c r="G820" s="506"/>
      <c r="H820" s="506"/>
      <c r="I820" s="506"/>
      <c r="J820" s="506"/>
      <c r="K820" s="507"/>
      <c r="L820" s="508"/>
      <c r="M820" s="508"/>
      <c r="N820" s="508"/>
      <c r="O820" s="509"/>
      <c r="P820" s="509"/>
    </row>
    <row r="821" spans="1:16" ht="21.75" customHeight="1" x14ac:dyDescent="0.3">
      <c r="A821" s="504"/>
      <c r="B821" s="504"/>
      <c r="C821" s="504"/>
      <c r="D821" s="504"/>
      <c r="E821" s="506"/>
      <c r="F821" s="506"/>
      <c r="G821" s="506"/>
      <c r="H821" s="506"/>
      <c r="I821" s="506"/>
      <c r="J821" s="506"/>
      <c r="K821" s="507"/>
      <c r="L821" s="508"/>
      <c r="M821" s="508"/>
      <c r="N821" s="508"/>
      <c r="O821" s="509"/>
      <c r="P821" s="509"/>
    </row>
    <row r="822" spans="1:16" ht="21.75" customHeight="1" x14ac:dyDescent="0.3">
      <c r="A822" s="504"/>
      <c r="B822" s="504"/>
      <c r="C822" s="504"/>
      <c r="D822" s="504"/>
      <c r="E822" s="506"/>
      <c r="F822" s="506"/>
      <c r="G822" s="506"/>
      <c r="H822" s="506"/>
      <c r="I822" s="506"/>
      <c r="J822" s="506"/>
      <c r="K822" s="507"/>
      <c r="L822" s="508"/>
      <c r="M822" s="508"/>
      <c r="N822" s="508"/>
      <c r="O822" s="509"/>
      <c r="P822" s="509"/>
    </row>
    <row r="823" spans="1:16" ht="21.75" customHeight="1" x14ac:dyDescent="0.3">
      <c r="A823" s="504"/>
      <c r="B823" s="504"/>
      <c r="C823" s="504"/>
      <c r="D823" s="504"/>
      <c r="E823" s="506"/>
      <c r="F823" s="506"/>
      <c r="G823" s="506"/>
      <c r="H823" s="506"/>
      <c r="I823" s="506"/>
      <c r="J823" s="506"/>
      <c r="K823" s="507"/>
      <c r="L823" s="508"/>
      <c r="M823" s="508"/>
      <c r="N823" s="508"/>
      <c r="O823" s="509"/>
      <c r="P823" s="509"/>
    </row>
    <row r="824" spans="1:16" ht="21.75" customHeight="1" x14ac:dyDescent="0.3">
      <c r="A824" s="504"/>
      <c r="B824" s="504"/>
      <c r="C824" s="504"/>
      <c r="D824" s="504"/>
      <c r="E824" s="506"/>
      <c r="F824" s="506"/>
      <c r="G824" s="506"/>
      <c r="H824" s="506"/>
      <c r="I824" s="506"/>
      <c r="J824" s="506"/>
      <c r="K824" s="507"/>
      <c r="L824" s="508"/>
      <c r="M824" s="508"/>
      <c r="N824" s="508"/>
      <c r="O824" s="509"/>
      <c r="P824" s="509"/>
    </row>
    <row r="825" spans="1:16" ht="21.75" customHeight="1" x14ac:dyDescent="0.3">
      <c r="A825" s="504"/>
      <c r="B825" s="504"/>
      <c r="C825" s="504"/>
      <c r="D825" s="504"/>
      <c r="E825" s="506"/>
      <c r="F825" s="506"/>
      <c r="G825" s="506"/>
      <c r="H825" s="506"/>
      <c r="I825" s="506"/>
      <c r="J825" s="506"/>
      <c r="K825" s="507"/>
      <c r="L825" s="508"/>
      <c r="M825" s="508"/>
      <c r="N825" s="508"/>
      <c r="O825" s="509"/>
      <c r="P825" s="509"/>
    </row>
    <row r="826" spans="1:16" ht="21.75" customHeight="1" x14ac:dyDescent="0.3">
      <c r="A826" s="504"/>
      <c r="B826" s="504"/>
      <c r="C826" s="504"/>
      <c r="D826" s="504"/>
      <c r="E826" s="506"/>
      <c r="F826" s="506"/>
      <c r="G826" s="506"/>
      <c r="H826" s="506"/>
      <c r="I826" s="506"/>
      <c r="J826" s="506"/>
      <c r="K826" s="507"/>
      <c r="L826" s="508"/>
      <c r="M826" s="508"/>
      <c r="N826" s="508"/>
      <c r="O826" s="509"/>
      <c r="P826" s="509"/>
    </row>
    <row r="827" spans="1:16" ht="21.75" customHeight="1" x14ac:dyDescent="0.3">
      <c r="A827" s="504"/>
      <c r="B827" s="504"/>
      <c r="C827" s="504"/>
      <c r="D827" s="504"/>
      <c r="E827" s="506"/>
      <c r="F827" s="506"/>
      <c r="G827" s="506"/>
      <c r="H827" s="506"/>
      <c r="I827" s="506"/>
      <c r="J827" s="506"/>
      <c r="K827" s="507"/>
      <c r="L827" s="508"/>
      <c r="M827" s="508"/>
      <c r="N827" s="508"/>
      <c r="O827" s="509"/>
      <c r="P827" s="509"/>
    </row>
    <row r="828" spans="1:16" ht="21.75" customHeight="1" x14ac:dyDescent="0.3">
      <c r="A828" s="504"/>
      <c r="B828" s="504"/>
      <c r="C828" s="504"/>
      <c r="D828" s="504"/>
      <c r="E828" s="506"/>
      <c r="F828" s="506"/>
      <c r="G828" s="506"/>
      <c r="H828" s="506"/>
      <c r="I828" s="506"/>
      <c r="J828" s="506"/>
      <c r="K828" s="507"/>
      <c r="L828" s="508"/>
      <c r="M828" s="508"/>
      <c r="N828" s="508"/>
      <c r="O828" s="509"/>
      <c r="P828" s="509"/>
    </row>
    <row r="829" spans="1:16" ht="21.75" customHeight="1" x14ac:dyDescent="0.3">
      <c r="A829" s="504"/>
      <c r="B829" s="504"/>
      <c r="C829" s="504"/>
      <c r="D829" s="504"/>
      <c r="E829" s="506"/>
      <c r="F829" s="506"/>
      <c r="G829" s="506"/>
      <c r="H829" s="506"/>
      <c r="I829" s="506"/>
      <c r="J829" s="506"/>
      <c r="K829" s="507"/>
      <c r="L829" s="508"/>
      <c r="M829" s="508"/>
      <c r="N829" s="508"/>
      <c r="O829" s="509"/>
      <c r="P829" s="509"/>
    </row>
    <row r="830" spans="1:16" ht="21.75" customHeight="1" x14ac:dyDescent="0.3">
      <c r="A830" s="504"/>
      <c r="B830" s="504"/>
      <c r="C830" s="504"/>
      <c r="D830" s="504"/>
      <c r="E830" s="506"/>
      <c r="F830" s="506"/>
      <c r="G830" s="506"/>
      <c r="H830" s="506"/>
      <c r="I830" s="506"/>
      <c r="J830" s="506"/>
      <c r="K830" s="507"/>
      <c r="L830" s="508"/>
      <c r="M830" s="508"/>
      <c r="N830" s="508"/>
      <c r="O830" s="509"/>
      <c r="P830" s="509"/>
    </row>
    <row r="831" spans="1:16" ht="21.75" customHeight="1" x14ac:dyDescent="0.3">
      <c r="A831" s="504"/>
      <c r="B831" s="504"/>
      <c r="C831" s="504"/>
      <c r="D831" s="504"/>
      <c r="E831" s="506"/>
      <c r="F831" s="506"/>
      <c r="G831" s="506"/>
      <c r="H831" s="506"/>
      <c r="I831" s="506"/>
      <c r="J831" s="506"/>
      <c r="K831" s="507"/>
      <c r="L831" s="508"/>
      <c r="M831" s="508"/>
      <c r="N831" s="508"/>
      <c r="O831" s="509"/>
      <c r="P831" s="509"/>
    </row>
    <row r="832" spans="1:16" ht="21.75" customHeight="1" x14ac:dyDescent="0.3">
      <c r="A832" s="504"/>
      <c r="B832" s="504"/>
      <c r="C832" s="504"/>
      <c r="D832" s="504"/>
      <c r="E832" s="506"/>
      <c r="F832" s="506"/>
      <c r="G832" s="506"/>
      <c r="H832" s="506"/>
      <c r="I832" s="506"/>
      <c r="J832" s="506"/>
      <c r="K832" s="507"/>
      <c r="L832" s="508"/>
      <c r="M832" s="508"/>
      <c r="N832" s="508"/>
      <c r="O832" s="509"/>
      <c r="P832" s="509"/>
    </row>
    <row r="833" spans="1:16" ht="21.75" customHeight="1" x14ac:dyDescent="0.3">
      <c r="A833" s="504"/>
      <c r="B833" s="504"/>
      <c r="C833" s="504"/>
      <c r="D833" s="504"/>
      <c r="E833" s="506"/>
      <c r="F833" s="506"/>
      <c r="G833" s="506"/>
      <c r="H833" s="506"/>
      <c r="I833" s="506"/>
      <c r="J833" s="506"/>
      <c r="K833" s="507"/>
      <c r="L833" s="508"/>
      <c r="M833" s="508"/>
      <c r="N833" s="508"/>
      <c r="O833" s="509"/>
      <c r="P833" s="509"/>
    </row>
    <row r="834" spans="1:16" ht="21.75" customHeight="1" x14ac:dyDescent="0.3">
      <c r="A834" s="504"/>
      <c r="B834" s="504"/>
      <c r="C834" s="504"/>
      <c r="D834" s="504"/>
      <c r="E834" s="506"/>
      <c r="F834" s="506"/>
      <c r="G834" s="506"/>
      <c r="H834" s="506"/>
      <c r="I834" s="506"/>
      <c r="J834" s="506"/>
      <c r="K834" s="507"/>
      <c r="L834" s="508"/>
      <c r="M834" s="508"/>
      <c r="N834" s="508"/>
      <c r="O834" s="509"/>
      <c r="P834" s="509"/>
    </row>
    <row r="835" spans="1:16" ht="21.75" customHeight="1" x14ac:dyDescent="0.3">
      <c r="A835" s="504"/>
      <c r="B835" s="504"/>
      <c r="C835" s="504"/>
      <c r="D835" s="504"/>
      <c r="E835" s="506"/>
      <c r="F835" s="506"/>
      <c r="G835" s="506"/>
      <c r="H835" s="506"/>
      <c r="I835" s="506"/>
      <c r="J835" s="506"/>
      <c r="K835" s="507"/>
      <c r="L835" s="508"/>
      <c r="M835" s="508"/>
      <c r="N835" s="508"/>
      <c r="O835" s="509"/>
      <c r="P835" s="509"/>
    </row>
    <row r="836" spans="1:16" ht="21.75" customHeight="1" x14ac:dyDescent="0.3">
      <c r="A836" s="504"/>
      <c r="B836" s="504"/>
      <c r="C836" s="504"/>
      <c r="D836" s="504"/>
      <c r="E836" s="506"/>
      <c r="F836" s="506"/>
      <c r="G836" s="506"/>
      <c r="H836" s="506"/>
      <c r="I836" s="506"/>
      <c r="J836" s="506"/>
      <c r="K836" s="507"/>
      <c r="L836" s="508"/>
      <c r="M836" s="508"/>
      <c r="N836" s="508"/>
      <c r="O836" s="509"/>
      <c r="P836" s="509"/>
    </row>
    <row r="837" spans="1:16" ht="21.75" customHeight="1" x14ac:dyDescent="0.3">
      <c r="A837" s="504"/>
      <c r="B837" s="504"/>
      <c r="C837" s="504"/>
      <c r="D837" s="504"/>
      <c r="E837" s="506"/>
      <c r="F837" s="506"/>
      <c r="G837" s="506"/>
      <c r="H837" s="506"/>
      <c r="I837" s="506"/>
      <c r="J837" s="506"/>
      <c r="K837" s="507"/>
      <c r="L837" s="508"/>
      <c r="M837" s="508"/>
      <c r="N837" s="508"/>
      <c r="O837" s="509"/>
      <c r="P837" s="509"/>
    </row>
    <row r="838" spans="1:16" ht="21.75" customHeight="1" x14ac:dyDescent="0.3">
      <c r="A838" s="504"/>
      <c r="B838" s="504"/>
      <c r="C838" s="504"/>
      <c r="D838" s="504"/>
      <c r="E838" s="506"/>
      <c r="F838" s="506"/>
      <c r="G838" s="506"/>
      <c r="H838" s="506"/>
      <c r="I838" s="506"/>
      <c r="J838" s="506"/>
      <c r="K838" s="507"/>
      <c r="L838" s="508"/>
      <c r="M838" s="508"/>
      <c r="N838" s="508"/>
      <c r="O838" s="509"/>
      <c r="P838" s="509"/>
    </row>
    <row r="839" spans="1:16" ht="21.75" customHeight="1" x14ac:dyDescent="0.3">
      <c r="A839" s="504"/>
      <c r="B839" s="504"/>
      <c r="C839" s="504"/>
      <c r="D839" s="504"/>
      <c r="E839" s="506"/>
      <c r="F839" s="506"/>
      <c r="G839" s="506"/>
      <c r="H839" s="506"/>
      <c r="I839" s="506"/>
      <c r="J839" s="506"/>
      <c r="K839" s="507"/>
      <c r="L839" s="508"/>
      <c r="M839" s="508"/>
      <c r="N839" s="508"/>
      <c r="O839" s="509"/>
      <c r="P839" s="509"/>
    </row>
    <row r="840" spans="1:16" ht="21.75" customHeight="1" x14ac:dyDescent="0.3">
      <c r="A840" s="504"/>
      <c r="B840" s="504"/>
      <c r="C840" s="504"/>
      <c r="D840" s="504"/>
      <c r="E840" s="506"/>
      <c r="F840" s="506"/>
      <c r="G840" s="506"/>
      <c r="H840" s="506"/>
      <c r="I840" s="506"/>
      <c r="J840" s="506"/>
      <c r="K840" s="507"/>
      <c r="L840" s="508"/>
      <c r="M840" s="508"/>
      <c r="N840" s="508"/>
      <c r="O840" s="509"/>
      <c r="P840" s="509"/>
    </row>
    <row r="841" spans="1:16" ht="21.75" customHeight="1" x14ac:dyDescent="0.3">
      <c r="A841" s="504"/>
      <c r="B841" s="504"/>
      <c r="C841" s="504"/>
      <c r="D841" s="504"/>
      <c r="E841" s="506"/>
      <c r="F841" s="506"/>
      <c r="G841" s="506"/>
      <c r="H841" s="506"/>
      <c r="I841" s="506"/>
      <c r="J841" s="506"/>
      <c r="K841" s="507"/>
      <c r="L841" s="508"/>
      <c r="M841" s="508"/>
      <c r="N841" s="508"/>
      <c r="O841" s="509"/>
      <c r="P841" s="509"/>
    </row>
    <row r="842" spans="1:16" ht="21.75" customHeight="1" x14ac:dyDescent="0.3">
      <c r="A842" s="504"/>
      <c r="B842" s="504"/>
      <c r="C842" s="504"/>
      <c r="D842" s="504"/>
      <c r="E842" s="506"/>
      <c r="F842" s="506"/>
      <c r="G842" s="506"/>
      <c r="H842" s="506"/>
      <c r="I842" s="506"/>
      <c r="J842" s="506"/>
      <c r="K842" s="507"/>
      <c r="L842" s="508"/>
      <c r="M842" s="508"/>
      <c r="N842" s="508"/>
      <c r="O842" s="509"/>
      <c r="P842" s="509"/>
    </row>
    <row r="843" spans="1:16" ht="21.75" customHeight="1" x14ac:dyDescent="0.3">
      <c r="A843" s="504"/>
      <c r="B843" s="504"/>
      <c r="C843" s="504"/>
      <c r="D843" s="504"/>
      <c r="E843" s="506"/>
      <c r="F843" s="506"/>
      <c r="G843" s="506"/>
      <c r="H843" s="506"/>
      <c r="I843" s="506"/>
      <c r="J843" s="506"/>
      <c r="K843" s="507"/>
      <c r="L843" s="508"/>
      <c r="M843" s="508"/>
      <c r="N843" s="508"/>
      <c r="O843" s="509"/>
      <c r="P843" s="509"/>
    </row>
    <row r="844" spans="1:16" ht="21.75" customHeight="1" x14ac:dyDescent="0.3">
      <c r="A844" s="504"/>
      <c r="B844" s="504"/>
      <c r="C844" s="504"/>
      <c r="D844" s="504"/>
      <c r="E844" s="506"/>
      <c r="F844" s="506"/>
      <c r="G844" s="506"/>
      <c r="H844" s="506"/>
      <c r="I844" s="506"/>
      <c r="J844" s="506"/>
      <c r="K844" s="507"/>
      <c r="L844" s="508"/>
      <c r="M844" s="508"/>
      <c r="N844" s="508"/>
      <c r="O844" s="509"/>
      <c r="P844" s="509"/>
    </row>
    <row r="845" spans="1:16" ht="21.75" customHeight="1" x14ac:dyDescent="0.3">
      <c r="A845" s="504"/>
      <c r="B845" s="504"/>
      <c r="C845" s="504"/>
      <c r="D845" s="504"/>
      <c r="E845" s="506"/>
      <c r="F845" s="506"/>
      <c r="G845" s="506"/>
      <c r="H845" s="506"/>
      <c r="I845" s="506"/>
      <c r="J845" s="506"/>
      <c r="K845" s="507"/>
      <c r="L845" s="508"/>
      <c r="M845" s="508"/>
      <c r="N845" s="508"/>
      <c r="O845" s="509"/>
      <c r="P845" s="509"/>
    </row>
    <row r="846" spans="1:16" ht="21.75" customHeight="1" x14ac:dyDescent="0.3">
      <c r="A846" s="504"/>
      <c r="B846" s="504"/>
      <c r="C846" s="504"/>
      <c r="D846" s="504"/>
      <c r="E846" s="506"/>
      <c r="F846" s="506"/>
      <c r="G846" s="506"/>
      <c r="H846" s="506"/>
      <c r="I846" s="506"/>
      <c r="J846" s="506"/>
      <c r="K846" s="507"/>
      <c r="L846" s="508"/>
      <c r="M846" s="508"/>
      <c r="N846" s="508"/>
      <c r="O846" s="509"/>
      <c r="P846" s="509"/>
    </row>
    <row r="847" spans="1:16" ht="21.75" customHeight="1" x14ac:dyDescent="0.3">
      <c r="A847" s="504"/>
      <c r="B847" s="504"/>
      <c r="C847" s="504"/>
      <c r="D847" s="504"/>
      <c r="E847" s="506"/>
      <c r="F847" s="506"/>
      <c r="G847" s="506"/>
      <c r="H847" s="506"/>
      <c r="I847" s="506"/>
      <c r="J847" s="506"/>
      <c r="K847" s="507"/>
      <c r="L847" s="508"/>
      <c r="M847" s="508"/>
      <c r="N847" s="508"/>
      <c r="O847" s="509"/>
      <c r="P847" s="509"/>
    </row>
    <row r="848" spans="1:16" ht="21.75" customHeight="1" x14ac:dyDescent="0.3">
      <c r="A848" s="504"/>
      <c r="B848" s="504"/>
      <c r="C848" s="504"/>
      <c r="D848" s="504"/>
      <c r="E848" s="506"/>
      <c r="F848" s="506"/>
      <c r="G848" s="506"/>
      <c r="H848" s="506"/>
      <c r="I848" s="506"/>
      <c r="J848" s="506"/>
      <c r="K848" s="507"/>
      <c r="L848" s="508"/>
      <c r="M848" s="508"/>
      <c r="N848" s="508"/>
      <c r="O848" s="509"/>
      <c r="P848" s="509"/>
    </row>
    <row r="849" spans="1:16" ht="21.75" customHeight="1" x14ac:dyDescent="0.3">
      <c r="A849" s="504"/>
      <c r="B849" s="504"/>
      <c r="C849" s="504"/>
      <c r="D849" s="504"/>
      <c r="E849" s="506"/>
      <c r="F849" s="506"/>
      <c r="G849" s="506"/>
      <c r="H849" s="506"/>
      <c r="I849" s="506"/>
      <c r="J849" s="506"/>
      <c r="K849" s="507"/>
      <c r="L849" s="508"/>
      <c r="M849" s="508"/>
      <c r="N849" s="508"/>
      <c r="O849" s="509"/>
      <c r="P849" s="509"/>
    </row>
    <row r="850" spans="1:16" ht="21.75" customHeight="1" x14ac:dyDescent="0.3">
      <c r="A850" s="504"/>
      <c r="B850" s="504"/>
      <c r="C850" s="504"/>
      <c r="D850" s="504"/>
      <c r="E850" s="506"/>
      <c r="F850" s="506"/>
      <c r="G850" s="506"/>
      <c r="H850" s="506"/>
      <c r="I850" s="506"/>
      <c r="J850" s="506"/>
      <c r="K850" s="507"/>
      <c r="L850" s="508"/>
      <c r="M850" s="508"/>
      <c r="N850" s="508"/>
      <c r="O850" s="509"/>
      <c r="P850" s="509"/>
    </row>
    <row r="851" spans="1:16" ht="21.75" customHeight="1" x14ac:dyDescent="0.3">
      <c r="A851" s="504"/>
      <c r="B851" s="504"/>
      <c r="C851" s="504"/>
      <c r="D851" s="504"/>
      <c r="E851" s="506"/>
      <c r="F851" s="506"/>
      <c r="G851" s="506"/>
      <c r="H851" s="506"/>
      <c r="I851" s="506"/>
      <c r="J851" s="506"/>
      <c r="K851" s="507"/>
      <c r="L851" s="508"/>
      <c r="M851" s="508"/>
      <c r="N851" s="508"/>
      <c r="O851" s="509"/>
      <c r="P851" s="509"/>
    </row>
    <row r="852" spans="1:16" ht="21.75" customHeight="1" x14ac:dyDescent="0.3">
      <c r="A852" s="504"/>
      <c r="B852" s="504"/>
      <c r="C852" s="504"/>
      <c r="D852" s="504"/>
      <c r="E852" s="506"/>
      <c r="F852" s="506"/>
      <c r="G852" s="506"/>
      <c r="H852" s="506"/>
      <c r="I852" s="506"/>
      <c r="J852" s="506"/>
      <c r="K852" s="507"/>
      <c r="L852" s="508"/>
      <c r="M852" s="508"/>
      <c r="N852" s="508"/>
      <c r="O852" s="509"/>
      <c r="P852" s="509"/>
    </row>
    <row r="853" spans="1:16" ht="21.75" customHeight="1" x14ac:dyDescent="0.3">
      <c r="A853" s="504"/>
      <c r="B853" s="504"/>
      <c r="C853" s="504"/>
      <c r="D853" s="504"/>
      <c r="E853" s="506"/>
      <c r="F853" s="506"/>
      <c r="G853" s="506"/>
      <c r="H853" s="506"/>
      <c r="I853" s="506"/>
      <c r="J853" s="506"/>
      <c r="K853" s="507"/>
      <c r="L853" s="508"/>
      <c r="M853" s="508"/>
      <c r="N853" s="508"/>
      <c r="O853" s="509"/>
      <c r="P853" s="509"/>
    </row>
    <row r="854" spans="1:16" ht="21.75" customHeight="1" x14ac:dyDescent="0.3">
      <c r="A854" s="504"/>
      <c r="B854" s="504"/>
      <c r="C854" s="504"/>
      <c r="D854" s="504"/>
      <c r="E854" s="506"/>
      <c r="F854" s="506"/>
      <c r="G854" s="506"/>
      <c r="H854" s="506"/>
      <c r="I854" s="506"/>
      <c r="J854" s="506"/>
      <c r="K854" s="507"/>
      <c r="L854" s="508"/>
      <c r="M854" s="508"/>
      <c r="N854" s="508"/>
      <c r="O854" s="509"/>
      <c r="P854" s="509"/>
    </row>
    <row r="855" spans="1:16" ht="21.75" customHeight="1" x14ac:dyDescent="0.3">
      <c r="A855" s="504"/>
      <c r="B855" s="504"/>
      <c r="C855" s="504"/>
      <c r="D855" s="504"/>
      <c r="E855" s="506"/>
      <c r="F855" s="506"/>
      <c r="G855" s="506"/>
      <c r="H855" s="506"/>
      <c r="I855" s="506"/>
      <c r="J855" s="506"/>
      <c r="K855" s="507"/>
      <c r="L855" s="508"/>
      <c r="M855" s="508"/>
      <c r="N855" s="508"/>
      <c r="O855" s="509"/>
      <c r="P855" s="509"/>
    </row>
    <row r="856" spans="1:16" ht="21.75" customHeight="1" x14ac:dyDescent="0.3">
      <c r="A856" s="504"/>
      <c r="B856" s="504"/>
      <c r="C856" s="504"/>
      <c r="D856" s="504"/>
      <c r="E856" s="506"/>
      <c r="F856" s="506"/>
      <c r="G856" s="506"/>
      <c r="H856" s="506"/>
      <c r="I856" s="506"/>
      <c r="J856" s="506"/>
      <c r="K856" s="507"/>
      <c r="L856" s="508"/>
      <c r="M856" s="508"/>
      <c r="N856" s="508"/>
      <c r="O856" s="509"/>
      <c r="P856" s="509"/>
    </row>
    <row r="857" spans="1:16" ht="21.75" customHeight="1" x14ac:dyDescent="0.3">
      <c r="A857" s="504"/>
      <c r="B857" s="504"/>
      <c r="C857" s="504"/>
      <c r="D857" s="504"/>
      <c r="E857" s="506"/>
      <c r="F857" s="506"/>
      <c r="G857" s="506"/>
      <c r="H857" s="506"/>
      <c r="I857" s="506"/>
      <c r="J857" s="506"/>
      <c r="K857" s="507"/>
      <c r="L857" s="508"/>
      <c r="M857" s="508"/>
      <c r="N857" s="508"/>
      <c r="O857" s="509"/>
      <c r="P857" s="509"/>
    </row>
    <row r="858" spans="1:16" ht="21.75" customHeight="1" x14ac:dyDescent="0.3">
      <c r="A858" s="504"/>
      <c r="B858" s="504"/>
      <c r="C858" s="504"/>
      <c r="D858" s="504"/>
      <c r="E858" s="506"/>
      <c r="F858" s="506"/>
      <c r="G858" s="506"/>
      <c r="H858" s="506"/>
      <c r="I858" s="506"/>
      <c r="J858" s="506"/>
      <c r="K858" s="507"/>
      <c r="L858" s="508"/>
      <c r="M858" s="508"/>
      <c r="N858" s="508"/>
      <c r="O858" s="509"/>
      <c r="P858" s="509"/>
    </row>
    <row r="859" spans="1:16" ht="21.75" customHeight="1" x14ac:dyDescent="0.3">
      <c r="A859" s="504"/>
      <c r="B859" s="504"/>
      <c r="C859" s="504"/>
      <c r="D859" s="504"/>
      <c r="E859" s="506"/>
      <c r="F859" s="506"/>
      <c r="G859" s="506"/>
      <c r="H859" s="506"/>
      <c r="I859" s="506"/>
      <c r="J859" s="506"/>
      <c r="K859" s="507"/>
      <c r="L859" s="508"/>
      <c r="M859" s="508"/>
      <c r="N859" s="508"/>
      <c r="O859" s="509"/>
      <c r="P859" s="509"/>
    </row>
    <row r="860" spans="1:16" ht="21.75" customHeight="1" x14ac:dyDescent="0.3">
      <c r="A860" s="504"/>
      <c r="B860" s="504"/>
      <c r="C860" s="504"/>
      <c r="D860" s="504"/>
      <c r="E860" s="506"/>
      <c r="F860" s="506"/>
      <c r="G860" s="506"/>
      <c r="H860" s="506"/>
      <c r="I860" s="506"/>
      <c r="J860" s="506"/>
      <c r="K860" s="507"/>
      <c r="L860" s="508"/>
      <c r="M860" s="508"/>
      <c r="N860" s="508"/>
      <c r="O860" s="509"/>
      <c r="P860" s="509"/>
    </row>
    <row r="861" spans="1:16" ht="21.75" customHeight="1" x14ac:dyDescent="0.3">
      <c r="A861" s="504"/>
      <c r="B861" s="504"/>
      <c r="C861" s="504"/>
      <c r="D861" s="504"/>
      <c r="E861" s="506"/>
      <c r="F861" s="506"/>
      <c r="G861" s="506"/>
      <c r="H861" s="506"/>
      <c r="I861" s="506"/>
      <c r="J861" s="506"/>
      <c r="K861" s="507"/>
      <c r="L861" s="508"/>
      <c r="M861" s="508"/>
      <c r="N861" s="508"/>
      <c r="O861" s="509"/>
      <c r="P861" s="509"/>
    </row>
    <row r="862" spans="1:16" ht="21.75" customHeight="1" x14ac:dyDescent="0.3">
      <c r="A862" s="504"/>
      <c r="B862" s="504"/>
      <c r="C862" s="504"/>
      <c r="D862" s="504"/>
      <c r="E862" s="506"/>
      <c r="F862" s="506"/>
      <c r="G862" s="506"/>
      <c r="H862" s="506"/>
      <c r="I862" s="506"/>
      <c r="J862" s="506"/>
      <c r="K862" s="507"/>
      <c r="L862" s="508"/>
      <c r="M862" s="508"/>
      <c r="N862" s="508"/>
      <c r="O862" s="509"/>
      <c r="P862" s="509"/>
    </row>
    <row r="863" spans="1:16" ht="21.75" customHeight="1" x14ac:dyDescent="0.3">
      <c r="A863" s="504"/>
      <c r="B863" s="504"/>
      <c r="C863" s="504"/>
      <c r="D863" s="504"/>
      <c r="E863" s="506"/>
      <c r="F863" s="506"/>
      <c r="G863" s="506"/>
      <c r="H863" s="506"/>
      <c r="I863" s="506"/>
      <c r="J863" s="506"/>
      <c r="K863" s="507"/>
      <c r="L863" s="508"/>
      <c r="M863" s="508"/>
      <c r="N863" s="508"/>
      <c r="O863" s="509"/>
      <c r="P863" s="509"/>
    </row>
    <row r="864" spans="1:16" ht="21.75" customHeight="1" x14ac:dyDescent="0.3">
      <c r="A864" s="504"/>
      <c r="B864" s="504"/>
      <c r="C864" s="504"/>
      <c r="D864" s="504"/>
      <c r="E864" s="506"/>
      <c r="F864" s="506"/>
      <c r="G864" s="506"/>
      <c r="H864" s="506"/>
      <c r="I864" s="506"/>
      <c r="J864" s="506"/>
      <c r="K864" s="507"/>
      <c r="L864" s="508"/>
      <c r="M864" s="508"/>
      <c r="N864" s="508"/>
      <c r="O864" s="509"/>
      <c r="P864" s="509"/>
    </row>
    <row r="865" spans="1:16" ht="21.75" customHeight="1" x14ac:dyDescent="0.3">
      <c r="A865" s="504"/>
      <c r="B865" s="504"/>
      <c r="C865" s="504"/>
      <c r="D865" s="504"/>
      <c r="E865" s="506"/>
      <c r="F865" s="506"/>
      <c r="G865" s="506"/>
      <c r="H865" s="506"/>
      <c r="I865" s="506"/>
      <c r="J865" s="506"/>
      <c r="K865" s="507"/>
      <c r="L865" s="508"/>
      <c r="M865" s="508"/>
      <c r="N865" s="508"/>
      <c r="O865" s="509"/>
      <c r="P865" s="509"/>
    </row>
    <row r="866" spans="1:16" ht="21.75" customHeight="1" x14ac:dyDescent="0.3">
      <c r="A866" s="504"/>
      <c r="B866" s="504"/>
      <c r="C866" s="504"/>
      <c r="D866" s="504"/>
      <c r="E866" s="506"/>
      <c r="F866" s="506"/>
      <c r="G866" s="506"/>
      <c r="H866" s="506"/>
      <c r="I866" s="506"/>
      <c r="J866" s="506"/>
      <c r="K866" s="507"/>
      <c r="L866" s="508"/>
      <c r="M866" s="508"/>
      <c r="N866" s="508"/>
      <c r="O866" s="509"/>
      <c r="P866" s="509"/>
    </row>
    <row r="867" spans="1:16" ht="21.75" customHeight="1" x14ac:dyDescent="0.3">
      <c r="A867" s="504"/>
      <c r="B867" s="504"/>
      <c r="C867" s="504"/>
      <c r="D867" s="504"/>
      <c r="E867" s="506"/>
      <c r="F867" s="506"/>
      <c r="G867" s="506"/>
      <c r="H867" s="506"/>
      <c r="I867" s="506"/>
      <c r="J867" s="506"/>
      <c r="K867" s="507"/>
      <c r="L867" s="508"/>
      <c r="M867" s="508"/>
      <c r="N867" s="508"/>
      <c r="O867" s="509"/>
      <c r="P867" s="509"/>
    </row>
    <row r="868" spans="1:16" ht="21.75" customHeight="1" x14ac:dyDescent="0.3">
      <c r="A868" s="504"/>
      <c r="B868" s="504"/>
      <c r="C868" s="504"/>
      <c r="D868" s="504"/>
      <c r="E868" s="506"/>
      <c r="F868" s="506"/>
      <c r="G868" s="506"/>
      <c r="H868" s="506"/>
      <c r="I868" s="506"/>
      <c r="J868" s="506"/>
      <c r="K868" s="507"/>
      <c r="L868" s="508"/>
      <c r="M868" s="508"/>
      <c r="N868" s="508"/>
      <c r="O868" s="509"/>
      <c r="P868" s="509"/>
    </row>
    <row r="869" spans="1:16" ht="21.75" customHeight="1" x14ac:dyDescent="0.3">
      <c r="A869" s="504"/>
      <c r="B869" s="504"/>
      <c r="C869" s="504"/>
      <c r="D869" s="504"/>
      <c r="E869" s="506"/>
      <c r="F869" s="506"/>
      <c r="G869" s="506"/>
      <c r="H869" s="506"/>
      <c r="I869" s="506"/>
      <c r="J869" s="506"/>
      <c r="K869" s="507"/>
      <c r="L869" s="508"/>
      <c r="M869" s="508"/>
      <c r="N869" s="508"/>
      <c r="O869" s="509"/>
      <c r="P869" s="509"/>
    </row>
    <row r="870" spans="1:16" ht="21.75" customHeight="1" x14ac:dyDescent="0.3">
      <c r="A870" s="504"/>
      <c r="B870" s="504"/>
      <c r="C870" s="504"/>
      <c r="D870" s="504"/>
      <c r="E870" s="506"/>
      <c r="F870" s="506"/>
      <c r="G870" s="506"/>
      <c r="H870" s="506"/>
      <c r="I870" s="506"/>
      <c r="J870" s="506"/>
      <c r="K870" s="507"/>
      <c r="L870" s="508"/>
      <c r="M870" s="508"/>
      <c r="N870" s="508"/>
      <c r="O870" s="509"/>
      <c r="P870" s="509"/>
    </row>
    <row r="871" spans="1:16" ht="21.75" customHeight="1" x14ac:dyDescent="0.3">
      <c r="A871" s="504"/>
      <c r="B871" s="504"/>
      <c r="C871" s="504"/>
      <c r="D871" s="504"/>
      <c r="E871" s="506"/>
      <c r="F871" s="506"/>
      <c r="G871" s="506"/>
      <c r="H871" s="506"/>
      <c r="I871" s="506"/>
      <c r="J871" s="506"/>
      <c r="K871" s="507"/>
      <c r="L871" s="508"/>
      <c r="M871" s="508"/>
      <c r="N871" s="508"/>
      <c r="O871" s="509"/>
      <c r="P871" s="509"/>
    </row>
    <row r="872" spans="1:16" ht="21.75" customHeight="1" x14ac:dyDescent="0.3">
      <c r="A872" s="504"/>
      <c r="B872" s="504"/>
      <c r="C872" s="504"/>
      <c r="D872" s="504"/>
      <c r="E872" s="506"/>
      <c r="F872" s="506"/>
      <c r="G872" s="506"/>
      <c r="H872" s="506"/>
      <c r="I872" s="506"/>
      <c r="J872" s="506"/>
      <c r="K872" s="507"/>
      <c r="L872" s="508"/>
      <c r="M872" s="508"/>
      <c r="N872" s="508"/>
      <c r="O872" s="509"/>
      <c r="P872" s="509"/>
    </row>
    <row r="873" spans="1:16" ht="21.75" customHeight="1" x14ac:dyDescent="0.3">
      <c r="A873" s="504"/>
      <c r="B873" s="504"/>
      <c r="C873" s="504"/>
      <c r="D873" s="504"/>
      <c r="E873" s="506"/>
      <c r="F873" s="506"/>
      <c r="G873" s="506"/>
      <c r="H873" s="506"/>
      <c r="I873" s="506"/>
      <c r="J873" s="506"/>
      <c r="K873" s="507"/>
      <c r="L873" s="508"/>
      <c r="M873" s="508"/>
      <c r="N873" s="508"/>
      <c r="O873" s="509"/>
      <c r="P873" s="509"/>
    </row>
    <row r="874" spans="1:16" ht="21.75" customHeight="1" x14ac:dyDescent="0.3">
      <c r="A874" s="504"/>
      <c r="B874" s="504"/>
      <c r="C874" s="504"/>
      <c r="D874" s="504"/>
      <c r="E874" s="506"/>
      <c r="F874" s="506"/>
      <c r="G874" s="506"/>
      <c r="H874" s="506"/>
      <c r="I874" s="506"/>
      <c r="J874" s="506"/>
      <c r="K874" s="507"/>
      <c r="L874" s="508"/>
      <c r="M874" s="508"/>
      <c r="N874" s="508"/>
      <c r="O874" s="509"/>
      <c r="P874" s="509"/>
    </row>
    <row r="875" spans="1:16" ht="21.75" customHeight="1" x14ac:dyDescent="0.3">
      <c r="A875" s="504"/>
      <c r="B875" s="504"/>
      <c r="C875" s="504"/>
      <c r="D875" s="504"/>
      <c r="E875" s="506"/>
      <c r="F875" s="506"/>
      <c r="G875" s="506"/>
      <c r="H875" s="506"/>
      <c r="I875" s="506"/>
      <c r="J875" s="506"/>
      <c r="K875" s="507"/>
      <c r="L875" s="508"/>
      <c r="M875" s="508"/>
      <c r="N875" s="508"/>
      <c r="O875" s="509"/>
      <c r="P875" s="509"/>
    </row>
    <row r="876" spans="1:16" ht="21.75" customHeight="1" x14ac:dyDescent="0.3">
      <c r="A876" s="504"/>
      <c r="B876" s="504"/>
      <c r="C876" s="504"/>
      <c r="D876" s="504"/>
      <c r="E876" s="506"/>
      <c r="F876" s="506"/>
      <c r="G876" s="506"/>
      <c r="H876" s="506"/>
      <c r="I876" s="506"/>
      <c r="J876" s="506"/>
      <c r="K876" s="507"/>
      <c r="L876" s="508"/>
      <c r="M876" s="508"/>
      <c r="N876" s="508"/>
      <c r="O876" s="509"/>
      <c r="P876" s="509"/>
    </row>
    <row r="877" spans="1:16" ht="21.75" customHeight="1" x14ac:dyDescent="0.3">
      <c r="A877" s="504"/>
      <c r="B877" s="504"/>
      <c r="C877" s="504"/>
      <c r="D877" s="504"/>
      <c r="E877" s="506"/>
      <c r="F877" s="506"/>
      <c r="G877" s="506"/>
      <c r="H877" s="506"/>
      <c r="I877" s="506"/>
      <c r="J877" s="506"/>
      <c r="K877" s="507"/>
      <c r="L877" s="508"/>
      <c r="M877" s="508"/>
      <c r="N877" s="508"/>
      <c r="O877" s="509"/>
      <c r="P877" s="509"/>
    </row>
    <row r="878" spans="1:16" ht="21.75" customHeight="1" x14ac:dyDescent="0.3">
      <c r="A878" s="504"/>
      <c r="B878" s="504"/>
      <c r="C878" s="504"/>
      <c r="D878" s="504"/>
      <c r="E878" s="506"/>
      <c r="F878" s="506"/>
      <c r="G878" s="506"/>
      <c r="H878" s="506"/>
      <c r="I878" s="506"/>
      <c r="J878" s="506"/>
      <c r="K878" s="507"/>
      <c r="L878" s="508"/>
      <c r="M878" s="508"/>
      <c r="N878" s="508"/>
      <c r="O878" s="509"/>
      <c r="P878" s="509"/>
    </row>
    <row r="879" spans="1:16" ht="21.75" customHeight="1" x14ac:dyDescent="0.3">
      <c r="A879" s="504"/>
      <c r="B879" s="504"/>
      <c r="C879" s="504"/>
      <c r="D879" s="504"/>
      <c r="E879" s="506"/>
      <c r="F879" s="506"/>
      <c r="G879" s="506"/>
      <c r="H879" s="506"/>
      <c r="I879" s="506"/>
      <c r="J879" s="506"/>
      <c r="K879" s="507"/>
      <c r="L879" s="508"/>
      <c r="M879" s="508"/>
      <c r="N879" s="508"/>
      <c r="O879" s="509"/>
      <c r="P879" s="509"/>
    </row>
    <row r="880" spans="1:16" ht="21.75" customHeight="1" x14ac:dyDescent="0.3">
      <c r="A880" s="504"/>
      <c r="B880" s="504"/>
      <c r="C880" s="504"/>
      <c r="D880" s="504"/>
      <c r="E880" s="506"/>
      <c r="F880" s="506"/>
      <c r="G880" s="506"/>
      <c r="H880" s="506"/>
      <c r="I880" s="506"/>
      <c r="J880" s="506"/>
      <c r="K880" s="507"/>
      <c r="L880" s="508"/>
      <c r="M880" s="508"/>
      <c r="N880" s="508"/>
      <c r="O880" s="509"/>
      <c r="P880" s="509"/>
    </row>
    <row r="881" spans="1:16" ht="21.75" customHeight="1" x14ac:dyDescent="0.3">
      <c r="A881" s="504"/>
      <c r="B881" s="504"/>
      <c r="C881" s="504"/>
      <c r="D881" s="504"/>
      <c r="E881" s="506"/>
      <c r="F881" s="506"/>
      <c r="G881" s="506"/>
      <c r="H881" s="506"/>
      <c r="I881" s="506"/>
      <c r="J881" s="506"/>
      <c r="K881" s="507"/>
      <c r="L881" s="508"/>
      <c r="M881" s="508"/>
      <c r="N881" s="508"/>
      <c r="O881" s="509"/>
      <c r="P881" s="509"/>
    </row>
    <row r="882" spans="1:16" ht="21.75" customHeight="1" x14ac:dyDescent="0.3">
      <c r="A882" s="504"/>
      <c r="B882" s="504"/>
      <c r="C882" s="504"/>
      <c r="D882" s="504"/>
      <c r="E882" s="506"/>
      <c r="F882" s="506"/>
      <c r="G882" s="506"/>
      <c r="H882" s="506"/>
      <c r="I882" s="506"/>
      <c r="J882" s="506"/>
      <c r="K882" s="507"/>
      <c r="L882" s="508"/>
      <c r="M882" s="508"/>
      <c r="N882" s="508"/>
      <c r="O882" s="509"/>
      <c r="P882" s="509"/>
    </row>
    <row r="883" spans="1:16" ht="21.75" customHeight="1" x14ac:dyDescent="0.3">
      <c r="A883" s="504"/>
      <c r="B883" s="504"/>
      <c r="C883" s="504"/>
      <c r="D883" s="504"/>
      <c r="E883" s="506"/>
      <c r="F883" s="506"/>
      <c r="G883" s="506"/>
      <c r="H883" s="506"/>
      <c r="I883" s="506"/>
      <c r="J883" s="506"/>
      <c r="K883" s="507"/>
      <c r="L883" s="508"/>
      <c r="M883" s="508"/>
      <c r="N883" s="508"/>
      <c r="O883" s="509"/>
      <c r="P883" s="509"/>
    </row>
    <row r="884" spans="1:16" ht="21.75" customHeight="1" x14ac:dyDescent="0.3">
      <c r="A884" s="504"/>
      <c r="B884" s="504"/>
      <c r="C884" s="504"/>
      <c r="D884" s="504"/>
      <c r="E884" s="506"/>
      <c r="F884" s="506"/>
      <c r="G884" s="506"/>
      <c r="H884" s="506"/>
      <c r="I884" s="506"/>
      <c r="J884" s="506"/>
      <c r="K884" s="507"/>
      <c r="L884" s="508"/>
      <c r="M884" s="508"/>
      <c r="N884" s="508"/>
      <c r="O884" s="509"/>
      <c r="P884" s="509"/>
    </row>
    <row r="885" spans="1:16" ht="21.75" customHeight="1" x14ac:dyDescent="0.3">
      <c r="A885" s="504"/>
      <c r="B885" s="504"/>
      <c r="C885" s="504"/>
      <c r="D885" s="504"/>
      <c r="E885" s="506"/>
      <c r="F885" s="506"/>
      <c r="G885" s="506"/>
      <c r="H885" s="506"/>
      <c r="I885" s="506"/>
      <c r="J885" s="506"/>
      <c r="K885" s="507"/>
      <c r="L885" s="508"/>
      <c r="M885" s="508"/>
      <c r="N885" s="508"/>
      <c r="O885" s="509"/>
      <c r="P885" s="509"/>
    </row>
    <row r="886" spans="1:16" ht="21.75" customHeight="1" x14ac:dyDescent="0.3">
      <c r="A886" s="504"/>
      <c r="B886" s="504"/>
      <c r="C886" s="504"/>
      <c r="D886" s="504"/>
      <c r="E886" s="506"/>
      <c r="F886" s="506"/>
      <c r="G886" s="506"/>
      <c r="H886" s="506"/>
      <c r="I886" s="506"/>
      <c r="J886" s="506"/>
      <c r="K886" s="507"/>
      <c r="L886" s="508"/>
      <c r="M886" s="508"/>
      <c r="N886" s="508"/>
      <c r="O886" s="509"/>
      <c r="P886" s="509"/>
    </row>
    <row r="887" spans="1:16" ht="21.75" customHeight="1" x14ac:dyDescent="0.3">
      <c r="A887" s="504"/>
      <c r="B887" s="504"/>
      <c r="C887" s="504"/>
      <c r="D887" s="504"/>
      <c r="E887" s="506"/>
      <c r="F887" s="506"/>
      <c r="G887" s="506"/>
      <c r="H887" s="506"/>
      <c r="I887" s="506"/>
      <c r="J887" s="506"/>
      <c r="K887" s="507"/>
      <c r="L887" s="508"/>
      <c r="M887" s="508"/>
      <c r="N887" s="508"/>
      <c r="O887" s="509"/>
      <c r="P887" s="509"/>
    </row>
    <row r="888" spans="1:16" ht="21.75" customHeight="1" x14ac:dyDescent="0.3">
      <c r="A888" s="504"/>
      <c r="B888" s="504"/>
      <c r="C888" s="504"/>
      <c r="D888" s="504"/>
      <c r="E888" s="506"/>
      <c r="F888" s="506"/>
      <c r="G888" s="506"/>
      <c r="H888" s="506"/>
      <c r="I888" s="506"/>
      <c r="J888" s="506"/>
      <c r="K888" s="507"/>
      <c r="L888" s="508"/>
      <c r="M888" s="508"/>
      <c r="N888" s="508"/>
      <c r="O888" s="509"/>
      <c r="P888" s="509"/>
    </row>
    <row r="889" spans="1:16" ht="21.75" customHeight="1" x14ac:dyDescent="0.3">
      <c r="A889" s="504"/>
      <c r="B889" s="504"/>
      <c r="C889" s="504"/>
      <c r="D889" s="504"/>
      <c r="E889" s="506"/>
      <c r="F889" s="506"/>
      <c r="G889" s="506"/>
      <c r="H889" s="506"/>
      <c r="I889" s="506"/>
      <c r="J889" s="506"/>
      <c r="K889" s="507"/>
      <c r="L889" s="508"/>
      <c r="M889" s="508"/>
      <c r="N889" s="508"/>
      <c r="O889" s="509"/>
      <c r="P889" s="509"/>
    </row>
    <row r="890" spans="1:16" ht="21.75" customHeight="1" x14ac:dyDescent="0.3">
      <c r="A890" s="504"/>
      <c r="B890" s="504"/>
      <c r="C890" s="504"/>
      <c r="D890" s="504"/>
      <c r="E890" s="506"/>
      <c r="F890" s="506"/>
      <c r="G890" s="506"/>
      <c r="H890" s="506"/>
      <c r="I890" s="506"/>
      <c r="J890" s="506"/>
      <c r="K890" s="507"/>
      <c r="L890" s="508"/>
      <c r="M890" s="508"/>
      <c r="N890" s="508"/>
      <c r="O890" s="509"/>
      <c r="P890" s="509"/>
    </row>
    <row r="891" spans="1:16" ht="21.75" customHeight="1" x14ac:dyDescent="0.3">
      <c r="A891" s="504"/>
      <c r="B891" s="504"/>
      <c r="C891" s="504"/>
      <c r="D891" s="504"/>
      <c r="E891" s="506"/>
      <c r="F891" s="506"/>
      <c r="G891" s="506"/>
      <c r="H891" s="506"/>
      <c r="I891" s="506"/>
      <c r="J891" s="506"/>
      <c r="K891" s="507"/>
      <c r="L891" s="508"/>
      <c r="M891" s="508"/>
      <c r="N891" s="508"/>
      <c r="O891" s="509"/>
      <c r="P891" s="509"/>
    </row>
    <row r="892" spans="1:16" ht="21.75" customHeight="1" x14ac:dyDescent="0.3">
      <c r="A892" s="504"/>
      <c r="B892" s="504"/>
      <c r="C892" s="504"/>
      <c r="D892" s="504"/>
      <c r="E892" s="506"/>
      <c r="F892" s="506"/>
      <c r="G892" s="506"/>
      <c r="H892" s="506"/>
      <c r="I892" s="506"/>
      <c r="J892" s="506"/>
      <c r="K892" s="507"/>
      <c r="L892" s="508"/>
      <c r="M892" s="508"/>
      <c r="N892" s="508"/>
      <c r="O892" s="509"/>
      <c r="P892" s="509"/>
    </row>
    <row r="893" spans="1:16" ht="21.75" customHeight="1" x14ac:dyDescent="0.3">
      <c r="A893" s="504"/>
      <c r="B893" s="504"/>
      <c r="C893" s="504"/>
      <c r="D893" s="504"/>
      <c r="E893" s="506"/>
      <c r="F893" s="506"/>
      <c r="G893" s="506"/>
      <c r="H893" s="506"/>
      <c r="I893" s="506"/>
      <c r="J893" s="506"/>
      <c r="K893" s="507"/>
      <c r="L893" s="508"/>
      <c r="M893" s="508"/>
      <c r="N893" s="508"/>
      <c r="O893" s="509"/>
      <c r="P893" s="509"/>
    </row>
    <row r="894" spans="1:16" ht="21.75" customHeight="1" x14ac:dyDescent="0.3">
      <c r="A894" s="504"/>
      <c r="B894" s="504"/>
      <c r="C894" s="504"/>
      <c r="D894" s="504"/>
      <c r="E894" s="506"/>
      <c r="F894" s="506"/>
      <c r="G894" s="506"/>
      <c r="H894" s="506"/>
      <c r="I894" s="506"/>
      <c r="J894" s="506"/>
      <c r="K894" s="507"/>
      <c r="L894" s="508"/>
      <c r="M894" s="508"/>
      <c r="N894" s="508"/>
      <c r="O894" s="509"/>
      <c r="P894" s="509"/>
    </row>
    <row r="895" spans="1:16" ht="21.75" customHeight="1" x14ac:dyDescent="0.3">
      <c r="A895" s="504"/>
      <c r="B895" s="504"/>
      <c r="C895" s="504"/>
      <c r="D895" s="504"/>
      <c r="E895" s="506"/>
      <c r="F895" s="506"/>
      <c r="G895" s="506"/>
      <c r="H895" s="506"/>
      <c r="I895" s="506"/>
      <c r="J895" s="506"/>
      <c r="K895" s="507"/>
      <c r="L895" s="508"/>
      <c r="M895" s="508"/>
      <c r="N895" s="508"/>
      <c r="O895" s="509"/>
      <c r="P895" s="509"/>
    </row>
    <row r="896" spans="1:16" ht="21.75" customHeight="1" x14ac:dyDescent="0.3">
      <c r="A896" s="504"/>
      <c r="B896" s="504"/>
      <c r="C896" s="504"/>
      <c r="D896" s="504"/>
      <c r="E896" s="506"/>
      <c r="F896" s="506"/>
      <c r="G896" s="506"/>
      <c r="H896" s="506"/>
      <c r="I896" s="506"/>
      <c r="J896" s="506"/>
      <c r="K896" s="507"/>
      <c r="L896" s="508"/>
      <c r="M896" s="508"/>
      <c r="N896" s="508"/>
      <c r="O896" s="509"/>
      <c r="P896" s="509"/>
    </row>
    <row r="897" spans="1:16" ht="21.75" customHeight="1" x14ac:dyDescent="0.3">
      <c r="A897" s="504"/>
      <c r="B897" s="504"/>
      <c r="C897" s="504"/>
      <c r="D897" s="504"/>
      <c r="E897" s="506"/>
      <c r="F897" s="506"/>
      <c r="G897" s="506"/>
      <c r="H897" s="506"/>
      <c r="I897" s="506"/>
      <c r="J897" s="506"/>
      <c r="K897" s="507"/>
      <c r="L897" s="508"/>
      <c r="M897" s="508"/>
      <c r="N897" s="508"/>
      <c r="O897" s="509"/>
      <c r="P897" s="509"/>
    </row>
    <row r="898" spans="1:16" ht="21.75" customHeight="1" x14ac:dyDescent="0.3">
      <c r="A898" s="504"/>
      <c r="B898" s="504"/>
      <c r="C898" s="504"/>
      <c r="D898" s="504"/>
      <c r="E898" s="506"/>
      <c r="F898" s="506"/>
      <c r="G898" s="506"/>
      <c r="H898" s="506"/>
      <c r="I898" s="506"/>
      <c r="J898" s="506"/>
      <c r="K898" s="507"/>
      <c r="L898" s="508"/>
      <c r="M898" s="508"/>
      <c r="N898" s="508"/>
      <c r="O898" s="509"/>
      <c r="P898" s="509"/>
    </row>
    <row r="899" spans="1:16" ht="21.75" customHeight="1" x14ac:dyDescent="0.3">
      <c r="A899" s="504"/>
      <c r="B899" s="504"/>
      <c r="C899" s="504"/>
      <c r="D899" s="504"/>
      <c r="E899" s="506"/>
      <c r="F899" s="506"/>
      <c r="G899" s="506"/>
      <c r="H899" s="506"/>
      <c r="I899" s="506"/>
      <c r="J899" s="506"/>
      <c r="K899" s="507"/>
      <c r="L899" s="508"/>
      <c r="M899" s="508"/>
      <c r="N899" s="508"/>
      <c r="O899" s="509"/>
      <c r="P899" s="509"/>
    </row>
    <row r="900" spans="1:16" ht="21.75" customHeight="1" x14ac:dyDescent="0.3">
      <c r="A900" s="504"/>
      <c r="B900" s="504"/>
      <c r="C900" s="504"/>
      <c r="D900" s="504"/>
      <c r="E900" s="506"/>
      <c r="F900" s="506"/>
      <c r="G900" s="506"/>
      <c r="H900" s="506"/>
      <c r="I900" s="506"/>
      <c r="J900" s="506"/>
      <c r="K900" s="507"/>
      <c r="L900" s="508"/>
      <c r="M900" s="508"/>
      <c r="N900" s="508"/>
      <c r="O900" s="509"/>
      <c r="P900" s="509"/>
    </row>
    <row r="901" spans="1:16" ht="21.75" customHeight="1" x14ac:dyDescent="0.3">
      <c r="A901" s="504"/>
      <c r="B901" s="504"/>
      <c r="C901" s="504"/>
      <c r="D901" s="504"/>
      <c r="E901" s="506"/>
      <c r="F901" s="506"/>
      <c r="G901" s="506"/>
      <c r="H901" s="506"/>
      <c r="I901" s="506"/>
      <c r="J901" s="506"/>
      <c r="K901" s="507"/>
      <c r="L901" s="508"/>
      <c r="M901" s="508"/>
      <c r="N901" s="508"/>
      <c r="O901" s="509"/>
      <c r="P901" s="509"/>
    </row>
    <row r="902" spans="1:16" ht="21.75" customHeight="1" x14ac:dyDescent="0.3">
      <c r="A902" s="504"/>
      <c r="B902" s="504"/>
      <c r="C902" s="504"/>
      <c r="D902" s="504"/>
      <c r="E902" s="506"/>
      <c r="F902" s="506"/>
      <c r="G902" s="506"/>
      <c r="H902" s="506"/>
      <c r="I902" s="506"/>
      <c r="J902" s="506"/>
      <c r="K902" s="507"/>
      <c r="L902" s="508"/>
      <c r="M902" s="508"/>
      <c r="N902" s="508"/>
      <c r="O902" s="509"/>
      <c r="P902" s="509"/>
    </row>
    <row r="903" spans="1:16" ht="21.75" customHeight="1" x14ac:dyDescent="0.3">
      <c r="A903" s="504"/>
      <c r="B903" s="504"/>
      <c r="C903" s="504"/>
      <c r="D903" s="504"/>
      <c r="E903" s="506"/>
      <c r="F903" s="506"/>
      <c r="G903" s="506"/>
      <c r="H903" s="506"/>
      <c r="I903" s="506"/>
      <c r="J903" s="506"/>
      <c r="K903" s="507"/>
      <c r="L903" s="508"/>
      <c r="M903" s="508"/>
      <c r="N903" s="508"/>
      <c r="O903" s="509"/>
      <c r="P903" s="509"/>
    </row>
    <row r="904" spans="1:16" ht="21.75" customHeight="1" x14ac:dyDescent="0.3">
      <c r="A904" s="504"/>
      <c r="B904" s="504"/>
      <c r="C904" s="504"/>
      <c r="D904" s="504"/>
      <c r="E904" s="506"/>
      <c r="F904" s="506"/>
      <c r="G904" s="506"/>
      <c r="H904" s="506"/>
      <c r="I904" s="506"/>
      <c r="J904" s="506"/>
      <c r="K904" s="507"/>
      <c r="L904" s="508"/>
      <c r="M904" s="508"/>
      <c r="N904" s="508"/>
      <c r="O904" s="509"/>
      <c r="P904" s="509"/>
    </row>
    <row r="905" spans="1:16" ht="21.75" customHeight="1" x14ac:dyDescent="0.3">
      <c r="A905" s="504"/>
      <c r="B905" s="504"/>
      <c r="C905" s="504"/>
      <c r="D905" s="504"/>
      <c r="E905" s="506"/>
      <c r="F905" s="506"/>
      <c r="G905" s="506"/>
      <c r="H905" s="506"/>
      <c r="I905" s="506"/>
      <c r="J905" s="506"/>
      <c r="K905" s="507"/>
      <c r="L905" s="508"/>
      <c r="M905" s="508"/>
      <c r="N905" s="508"/>
      <c r="O905" s="509"/>
      <c r="P905" s="509"/>
    </row>
    <row r="906" spans="1:16" ht="21.75" customHeight="1" x14ac:dyDescent="0.3">
      <c r="A906" s="504"/>
      <c r="B906" s="504"/>
      <c r="C906" s="504"/>
      <c r="D906" s="504"/>
      <c r="E906" s="506"/>
      <c r="F906" s="506"/>
      <c r="G906" s="506"/>
      <c r="H906" s="506"/>
      <c r="I906" s="506"/>
      <c r="J906" s="506"/>
      <c r="K906" s="507"/>
      <c r="L906" s="508"/>
      <c r="M906" s="508"/>
      <c r="N906" s="508"/>
      <c r="O906" s="509"/>
      <c r="P906" s="509"/>
    </row>
    <row r="907" spans="1:16" ht="21.75" customHeight="1" x14ac:dyDescent="0.3">
      <c r="A907" s="504"/>
      <c r="B907" s="504"/>
      <c r="C907" s="504"/>
      <c r="D907" s="504"/>
      <c r="E907" s="506"/>
      <c r="F907" s="506"/>
      <c r="G907" s="506"/>
      <c r="H907" s="506"/>
      <c r="I907" s="506"/>
      <c r="J907" s="506"/>
      <c r="K907" s="507"/>
      <c r="L907" s="508"/>
      <c r="M907" s="508"/>
      <c r="N907" s="508"/>
      <c r="O907" s="509"/>
      <c r="P907" s="509"/>
    </row>
    <row r="908" spans="1:16" ht="21.75" customHeight="1" x14ac:dyDescent="0.3">
      <c r="A908" s="504"/>
      <c r="B908" s="504"/>
      <c r="C908" s="504"/>
      <c r="D908" s="504"/>
      <c r="E908" s="506"/>
      <c r="F908" s="506"/>
      <c r="G908" s="506"/>
      <c r="H908" s="506"/>
      <c r="I908" s="506"/>
      <c r="J908" s="506"/>
      <c r="K908" s="507"/>
      <c r="L908" s="508"/>
      <c r="M908" s="508"/>
      <c r="N908" s="508"/>
      <c r="O908" s="509"/>
      <c r="P908" s="509"/>
    </row>
    <row r="909" spans="1:16" ht="21.75" customHeight="1" x14ac:dyDescent="0.3">
      <c r="A909" s="504"/>
      <c r="B909" s="504"/>
      <c r="C909" s="504"/>
      <c r="D909" s="504"/>
      <c r="E909" s="506"/>
      <c r="F909" s="506"/>
      <c r="G909" s="506"/>
      <c r="H909" s="506"/>
      <c r="I909" s="506"/>
      <c r="J909" s="506"/>
      <c r="K909" s="507"/>
      <c r="L909" s="508"/>
      <c r="M909" s="508"/>
      <c r="N909" s="508"/>
      <c r="O909" s="509"/>
      <c r="P909" s="509"/>
    </row>
    <row r="910" spans="1:16" ht="21.75" customHeight="1" x14ac:dyDescent="0.3">
      <c r="A910" s="504"/>
      <c r="B910" s="504"/>
      <c r="C910" s="504"/>
      <c r="D910" s="504"/>
      <c r="E910" s="506"/>
      <c r="F910" s="506"/>
      <c r="G910" s="506"/>
      <c r="H910" s="506"/>
      <c r="I910" s="506"/>
      <c r="J910" s="506"/>
      <c r="K910" s="507"/>
      <c r="L910" s="508"/>
      <c r="M910" s="508"/>
      <c r="N910" s="508"/>
      <c r="O910" s="509"/>
      <c r="P910" s="509"/>
    </row>
    <row r="911" spans="1:16" ht="21.75" customHeight="1" x14ac:dyDescent="0.3">
      <c r="A911" s="504"/>
      <c r="B911" s="504"/>
      <c r="C911" s="504"/>
      <c r="D911" s="504"/>
      <c r="E911" s="506"/>
      <c r="F911" s="506"/>
      <c r="G911" s="506"/>
      <c r="H911" s="506"/>
      <c r="I911" s="506"/>
      <c r="J911" s="506"/>
      <c r="K911" s="507"/>
      <c r="L911" s="508"/>
      <c r="M911" s="508"/>
      <c r="N911" s="508"/>
      <c r="O911" s="509"/>
      <c r="P911" s="509"/>
    </row>
    <row r="912" spans="1:16" ht="21.75" customHeight="1" x14ac:dyDescent="0.3">
      <c r="A912" s="504"/>
      <c r="B912" s="504"/>
      <c r="C912" s="504"/>
      <c r="D912" s="504"/>
      <c r="E912" s="506"/>
      <c r="F912" s="506"/>
      <c r="G912" s="506"/>
      <c r="H912" s="506"/>
      <c r="I912" s="506"/>
      <c r="J912" s="506"/>
      <c r="K912" s="507"/>
      <c r="L912" s="508"/>
      <c r="M912" s="508"/>
      <c r="N912" s="508"/>
      <c r="O912" s="509"/>
      <c r="P912" s="509"/>
    </row>
    <row r="913" spans="1:16" ht="21.75" customHeight="1" x14ac:dyDescent="0.3">
      <c r="A913" s="504"/>
      <c r="B913" s="504"/>
      <c r="C913" s="504"/>
      <c r="D913" s="504"/>
      <c r="E913" s="506"/>
      <c r="F913" s="506"/>
      <c r="G913" s="506"/>
      <c r="H913" s="506"/>
      <c r="I913" s="506"/>
      <c r="J913" s="506"/>
      <c r="K913" s="507"/>
      <c r="L913" s="508"/>
      <c r="M913" s="508"/>
      <c r="N913" s="508"/>
      <c r="O913" s="509"/>
      <c r="P913" s="509"/>
    </row>
    <row r="914" spans="1:16" ht="21.75" customHeight="1" x14ac:dyDescent="0.3">
      <c r="A914" s="504"/>
      <c r="B914" s="504"/>
      <c r="C914" s="504"/>
      <c r="D914" s="504"/>
      <c r="E914" s="506"/>
      <c r="F914" s="506"/>
      <c r="G914" s="506"/>
      <c r="H914" s="506"/>
      <c r="I914" s="506"/>
      <c r="J914" s="506"/>
      <c r="K914" s="507"/>
      <c r="L914" s="508"/>
      <c r="M914" s="508"/>
      <c r="N914" s="508"/>
      <c r="O914" s="509"/>
      <c r="P914" s="509"/>
    </row>
    <row r="915" spans="1:16" ht="21.75" customHeight="1" x14ac:dyDescent="0.3">
      <c r="A915" s="504"/>
      <c r="B915" s="504"/>
      <c r="C915" s="504"/>
      <c r="D915" s="504"/>
      <c r="E915" s="506"/>
      <c r="F915" s="506"/>
      <c r="G915" s="506"/>
      <c r="H915" s="506"/>
      <c r="I915" s="506"/>
      <c r="J915" s="506"/>
      <c r="K915" s="507"/>
      <c r="L915" s="508"/>
      <c r="M915" s="508"/>
      <c r="N915" s="508"/>
      <c r="O915" s="509"/>
      <c r="P915" s="509"/>
    </row>
    <row r="916" spans="1:16" ht="21.75" customHeight="1" x14ac:dyDescent="0.3">
      <c r="A916" s="504"/>
      <c r="B916" s="504"/>
      <c r="C916" s="504"/>
      <c r="D916" s="504"/>
      <c r="E916" s="506"/>
      <c r="F916" s="506"/>
      <c r="G916" s="506"/>
      <c r="H916" s="506"/>
      <c r="I916" s="506"/>
      <c r="J916" s="506"/>
      <c r="K916" s="507"/>
      <c r="L916" s="508"/>
      <c r="M916" s="508"/>
      <c r="N916" s="508"/>
      <c r="O916" s="509"/>
      <c r="P916" s="509"/>
    </row>
    <row r="917" spans="1:16" ht="21.75" customHeight="1" x14ac:dyDescent="0.3">
      <c r="A917" s="504"/>
      <c r="B917" s="504"/>
      <c r="C917" s="504"/>
      <c r="D917" s="504"/>
      <c r="E917" s="506"/>
      <c r="F917" s="506"/>
      <c r="G917" s="506"/>
      <c r="H917" s="506"/>
      <c r="I917" s="506"/>
      <c r="J917" s="506"/>
      <c r="K917" s="507"/>
      <c r="L917" s="508"/>
      <c r="M917" s="508"/>
      <c r="N917" s="508"/>
      <c r="O917" s="509"/>
      <c r="P917" s="509"/>
    </row>
    <row r="918" spans="1:16" ht="21.75" customHeight="1" x14ac:dyDescent="0.3">
      <c r="A918" s="504"/>
      <c r="B918" s="504"/>
      <c r="C918" s="504"/>
      <c r="D918" s="504"/>
      <c r="E918" s="506"/>
      <c r="F918" s="506"/>
      <c r="G918" s="506"/>
      <c r="H918" s="506"/>
      <c r="I918" s="506"/>
      <c r="J918" s="506"/>
      <c r="K918" s="507"/>
      <c r="L918" s="508"/>
      <c r="M918" s="508"/>
      <c r="N918" s="508"/>
      <c r="O918" s="509"/>
      <c r="P918" s="509"/>
    </row>
    <row r="919" spans="1:16" ht="21.75" customHeight="1" x14ac:dyDescent="0.3">
      <c r="A919" s="504"/>
      <c r="B919" s="504"/>
      <c r="C919" s="504"/>
      <c r="D919" s="504"/>
      <c r="E919" s="506"/>
      <c r="F919" s="506"/>
      <c r="G919" s="506"/>
      <c r="H919" s="506"/>
      <c r="I919" s="506"/>
      <c r="J919" s="506"/>
      <c r="K919" s="507"/>
      <c r="L919" s="508"/>
      <c r="M919" s="508"/>
      <c r="N919" s="508"/>
      <c r="O919" s="509"/>
      <c r="P919" s="509"/>
    </row>
    <row r="920" spans="1:16" ht="21.75" customHeight="1" x14ac:dyDescent="0.3">
      <c r="A920" s="504"/>
      <c r="B920" s="504"/>
      <c r="C920" s="504"/>
      <c r="D920" s="504"/>
      <c r="E920" s="506"/>
      <c r="F920" s="506"/>
      <c r="G920" s="506"/>
      <c r="H920" s="506"/>
      <c r="I920" s="506"/>
      <c r="J920" s="506"/>
      <c r="K920" s="507"/>
      <c r="L920" s="508"/>
      <c r="M920" s="508"/>
      <c r="N920" s="508"/>
      <c r="O920" s="509"/>
      <c r="P920" s="509"/>
    </row>
    <row r="921" spans="1:16" ht="21.75" customHeight="1" x14ac:dyDescent="0.3">
      <c r="A921" s="504"/>
      <c r="B921" s="504"/>
      <c r="C921" s="504"/>
      <c r="D921" s="504"/>
      <c r="E921" s="506"/>
      <c r="F921" s="506"/>
      <c r="G921" s="506"/>
      <c r="H921" s="506"/>
      <c r="I921" s="506"/>
      <c r="J921" s="506"/>
      <c r="K921" s="507"/>
      <c r="L921" s="508"/>
      <c r="M921" s="508"/>
      <c r="N921" s="508"/>
      <c r="O921" s="509"/>
      <c r="P921" s="509"/>
    </row>
    <row r="922" spans="1:16" ht="21.75" customHeight="1" x14ac:dyDescent="0.3">
      <c r="A922" s="504"/>
      <c r="B922" s="504"/>
      <c r="C922" s="504"/>
      <c r="D922" s="504"/>
      <c r="E922" s="506"/>
      <c r="F922" s="506"/>
      <c r="G922" s="506"/>
      <c r="H922" s="506"/>
      <c r="I922" s="506"/>
      <c r="J922" s="506"/>
      <c r="K922" s="507"/>
      <c r="L922" s="508"/>
      <c r="M922" s="508"/>
      <c r="N922" s="508"/>
      <c r="O922" s="509"/>
      <c r="P922" s="509"/>
    </row>
    <row r="923" spans="1:16" ht="21.75" customHeight="1" x14ac:dyDescent="0.3">
      <c r="A923" s="504"/>
      <c r="B923" s="504"/>
      <c r="C923" s="504"/>
      <c r="D923" s="504"/>
      <c r="E923" s="506"/>
      <c r="F923" s="506"/>
      <c r="G923" s="506"/>
      <c r="H923" s="506"/>
      <c r="I923" s="506"/>
      <c r="J923" s="506"/>
      <c r="K923" s="507"/>
      <c r="L923" s="508"/>
      <c r="M923" s="508"/>
      <c r="N923" s="508"/>
      <c r="O923" s="509"/>
      <c r="P923" s="509"/>
    </row>
    <row r="924" spans="1:16" ht="21.75" customHeight="1" x14ac:dyDescent="0.3">
      <c r="A924" s="504"/>
      <c r="B924" s="504"/>
      <c r="C924" s="504"/>
      <c r="D924" s="504"/>
      <c r="E924" s="506"/>
      <c r="F924" s="506"/>
      <c r="G924" s="506"/>
      <c r="H924" s="506"/>
      <c r="I924" s="506"/>
      <c r="J924" s="506"/>
      <c r="K924" s="507"/>
      <c r="L924" s="508"/>
      <c r="M924" s="508"/>
      <c r="N924" s="508"/>
      <c r="O924" s="509"/>
      <c r="P924" s="509"/>
    </row>
    <row r="925" spans="1:16" ht="21.75" customHeight="1" x14ac:dyDescent="0.3">
      <c r="A925" s="504"/>
      <c r="B925" s="504"/>
      <c r="C925" s="504"/>
      <c r="D925" s="504"/>
      <c r="E925" s="506"/>
      <c r="F925" s="506"/>
      <c r="G925" s="506"/>
      <c r="H925" s="506"/>
      <c r="I925" s="506"/>
      <c r="J925" s="506"/>
      <c r="K925" s="507"/>
      <c r="L925" s="508"/>
      <c r="M925" s="508"/>
      <c r="N925" s="508"/>
      <c r="O925" s="509"/>
      <c r="P925" s="509"/>
    </row>
    <row r="926" spans="1:16" ht="21.75" customHeight="1" x14ac:dyDescent="0.3">
      <c r="A926" s="504"/>
      <c r="B926" s="504"/>
      <c r="C926" s="504"/>
      <c r="D926" s="504"/>
      <c r="E926" s="506"/>
      <c r="F926" s="506"/>
      <c r="G926" s="506"/>
      <c r="H926" s="506"/>
      <c r="I926" s="506"/>
      <c r="J926" s="506"/>
      <c r="K926" s="507"/>
      <c r="L926" s="508"/>
      <c r="M926" s="508"/>
      <c r="N926" s="508"/>
      <c r="O926" s="509"/>
      <c r="P926" s="509"/>
    </row>
    <row r="927" spans="1:16" ht="21.75" customHeight="1" x14ac:dyDescent="0.3">
      <c r="A927" s="504"/>
      <c r="B927" s="504"/>
      <c r="C927" s="504"/>
      <c r="D927" s="504"/>
      <c r="E927" s="506"/>
      <c r="F927" s="506"/>
      <c r="G927" s="506"/>
      <c r="H927" s="506"/>
      <c r="I927" s="506"/>
      <c r="J927" s="506"/>
      <c r="K927" s="507"/>
      <c r="L927" s="508"/>
      <c r="M927" s="508"/>
      <c r="N927" s="508"/>
      <c r="O927" s="509"/>
      <c r="P927" s="509"/>
    </row>
    <row r="928" spans="1:16" ht="21.75" customHeight="1" x14ac:dyDescent="0.3">
      <c r="A928" s="504"/>
      <c r="B928" s="504"/>
      <c r="C928" s="504"/>
      <c r="D928" s="504"/>
      <c r="E928" s="506"/>
      <c r="F928" s="506"/>
      <c r="G928" s="506"/>
      <c r="H928" s="506"/>
      <c r="I928" s="506"/>
      <c r="J928" s="506"/>
      <c r="K928" s="507"/>
      <c r="L928" s="508"/>
      <c r="M928" s="508"/>
      <c r="N928" s="508"/>
      <c r="O928" s="509"/>
      <c r="P928" s="509"/>
    </row>
    <row r="929" spans="1:16" ht="21.75" customHeight="1" x14ac:dyDescent="0.3">
      <c r="A929" s="504"/>
      <c r="B929" s="504"/>
      <c r="C929" s="504"/>
      <c r="D929" s="504"/>
      <c r="E929" s="506"/>
      <c r="F929" s="506"/>
      <c r="G929" s="506"/>
      <c r="H929" s="506"/>
      <c r="I929" s="506"/>
      <c r="J929" s="506"/>
      <c r="K929" s="507"/>
      <c r="L929" s="508"/>
      <c r="M929" s="508"/>
      <c r="N929" s="508"/>
      <c r="O929" s="509"/>
      <c r="P929" s="509"/>
    </row>
    <row r="930" spans="1:16" ht="21.75" customHeight="1" x14ac:dyDescent="0.3">
      <c r="A930" s="504"/>
      <c r="B930" s="504"/>
      <c r="C930" s="504"/>
      <c r="D930" s="504"/>
      <c r="E930" s="506"/>
      <c r="F930" s="506"/>
      <c r="G930" s="506"/>
      <c r="H930" s="506"/>
      <c r="I930" s="506"/>
      <c r="J930" s="506"/>
      <c r="K930" s="507"/>
      <c r="L930" s="508"/>
      <c r="M930" s="508"/>
      <c r="N930" s="508"/>
      <c r="O930" s="509"/>
      <c r="P930" s="509"/>
    </row>
    <row r="931" spans="1:16" ht="21.75" customHeight="1" x14ac:dyDescent="0.3">
      <c r="A931" s="504"/>
      <c r="B931" s="504"/>
      <c r="C931" s="504"/>
      <c r="D931" s="504"/>
      <c r="E931" s="506"/>
      <c r="F931" s="506"/>
      <c r="G931" s="506"/>
      <c r="H931" s="506"/>
      <c r="I931" s="506"/>
      <c r="J931" s="506"/>
      <c r="K931" s="507"/>
      <c r="L931" s="508"/>
      <c r="M931" s="508"/>
      <c r="N931" s="508"/>
      <c r="O931" s="509"/>
      <c r="P931" s="509"/>
    </row>
    <row r="932" spans="1:16" ht="21.75" customHeight="1" x14ac:dyDescent="0.3">
      <c r="A932" s="504"/>
      <c r="B932" s="504"/>
      <c r="C932" s="504"/>
      <c r="D932" s="504"/>
      <c r="E932" s="506"/>
      <c r="F932" s="506"/>
      <c r="G932" s="506"/>
      <c r="H932" s="506"/>
      <c r="I932" s="506"/>
      <c r="J932" s="506"/>
      <c r="K932" s="507"/>
      <c r="L932" s="508"/>
      <c r="M932" s="508"/>
      <c r="N932" s="508"/>
      <c r="O932" s="509"/>
      <c r="P932" s="509"/>
    </row>
    <row r="933" spans="1:16" ht="21.75" customHeight="1" x14ac:dyDescent="0.3">
      <c r="A933" s="504"/>
      <c r="B933" s="504"/>
      <c r="C933" s="504"/>
      <c r="D933" s="504"/>
      <c r="E933" s="506"/>
      <c r="F933" s="506"/>
      <c r="G933" s="506"/>
      <c r="H933" s="506"/>
      <c r="I933" s="506"/>
      <c r="J933" s="506"/>
      <c r="K933" s="507"/>
      <c r="L933" s="508"/>
      <c r="M933" s="508"/>
      <c r="N933" s="508"/>
      <c r="O933" s="509"/>
      <c r="P933" s="509"/>
    </row>
    <row r="934" spans="1:16" ht="21.75" customHeight="1" x14ac:dyDescent="0.3">
      <c r="A934" s="504"/>
      <c r="B934" s="504"/>
      <c r="C934" s="504"/>
      <c r="D934" s="504"/>
      <c r="E934" s="506"/>
      <c r="F934" s="506"/>
      <c r="G934" s="506"/>
      <c r="H934" s="506"/>
      <c r="I934" s="506"/>
      <c r="J934" s="506"/>
      <c r="K934" s="507"/>
      <c r="L934" s="508"/>
      <c r="M934" s="508"/>
      <c r="N934" s="508"/>
      <c r="O934" s="509"/>
      <c r="P934" s="509"/>
    </row>
    <row r="935" spans="1:16" ht="21.75" customHeight="1" x14ac:dyDescent="0.3">
      <c r="A935" s="504"/>
      <c r="B935" s="504"/>
      <c r="C935" s="504"/>
      <c r="D935" s="504"/>
      <c r="E935" s="506"/>
      <c r="F935" s="506"/>
      <c r="G935" s="506"/>
      <c r="H935" s="506"/>
      <c r="I935" s="506"/>
      <c r="J935" s="506"/>
      <c r="K935" s="507"/>
      <c r="L935" s="508"/>
      <c r="M935" s="508"/>
      <c r="N935" s="508"/>
      <c r="O935" s="509"/>
      <c r="P935" s="509"/>
    </row>
    <row r="936" spans="1:16" ht="21.75" customHeight="1" x14ac:dyDescent="0.3">
      <c r="A936" s="504"/>
      <c r="B936" s="504"/>
      <c r="C936" s="504"/>
      <c r="D936" s="504"/>
      <c r="E936" s="506"/>
      <c r="F936" s="506"/>
      <c r="G936" s="506"/>
      <c r="H936" s="506"/>
      <c r="I936" s="506"/>
      <c r="J936" s="506"/>
      <c r="K936" s="507"/>
      <c r="L936" s="508"/>
      <c r="M936" s="508"/>
      <c r="N936" s="508"/>
      <c r="O936" s="509"/>
      <c r="P936" s="509"/>
    </row>
    <row r="937" spans="1:16" ht="21.75" customHeight="1" x14ac:dyDescent="0.3">
      <c r="A937" s="504"/>
      <c r="B937" s="504"/>
      <c r="C937" s="504"/>
      <c r="D937" s="504"/>
      <c r="E937" s="506"/>
      <c r="F937" s="506"/>
      <c r="G937" s="506"/>
      <c r="H937" s="506"/>
      <c r="I937" s="506"/>
      <c r="J937" s="506"/>
      <c r="K937" s="507"/>
      <c r="L937" s="508"/>
      <c r="M937" s="508"/>
      <c r="N937" s="508"/>
      <c r="O937" s="509"/>
      <c r="P937" s="509"/>
    </row>
    <row r="938" spans="1:16" ht="21.75" customHeight="1" x14ac:dyDescent="0.3">
      <c r="A938" s="504"/>
      <c r="B938" s="504"/>
      <c r="C938" s="504"/>
      <c r="D938" s="504"/>
      <c r="E938" s="506"/>
      <c r="F938" s="506"/>
      <c r="G938" s="506"/>
      <c r="H938" s="506"/>
      <c r="I938" s="506"/>
      <c r="J938" s="506"/>
      <c r="K938" s="507"/>
      <c r="L938" s="508"/>
      <c r="M938" s="508"/>
      <c r="N938" s="508"/>
      <c r="O938" s="509"/>
      <c r="P938" s="509"/>
    </row>
    <row r="939" spans="1:16" ht="21.75" customHeight="1" x14ac:dyDescent="0.3">
      <c r="A939" s="504"/>
      <c r="B939" s="504"/>
      <c r="C939" s="504"/>
      <c r="D939" s="504"/>
      <c r="E939" s="506"/>
      <c r="F939" s="506"/>
      <c r="G939" s="506"/>
      <c r="H939" s="506"/>
      <c r="I939" s="506"/>
      <c r="J939" s="506"/>
      <c r="K939" s="507"/>
      <c r="L939" s="508"/>
      <c r="M939" s="508"/>
      <c r="N939" s="508"/>
      <c r="O939" s="509"/>
      <c r="P939" s="509"/>
    </row>
    <row r="940" spans="1:16" ht="21.75" customHeight="1" x14ac:dyDescent="0.3">
      <c r="A940" s="504"/>
      <c r="B940" s="504"/>
      <c r="C940" s="504"/>
      <c r="D940" s="504"/>
      <c r="E940" s="506"/>
      <c r="F940" s="506"/>
      <c r="G940" s="506"/>
      <c r="H940" s="506"/>
      <c r="I940" s="506"/>
      <c r="J940" s="506"/>
      <c r="K940" s="507"/>
      <c r="L940" s="508"/>
      <c r="M940" s="508"/>
      <c r="N940" s="508"/>
      <c r="O940" s="509"/>
      <c r="P940" s="509"/>
    </row>
    <row r="941" spans="1:16" ht="21.75" customHeight="1" x14ac:dyDescent="0.3">
      <c r="A941" s="504"/>
      <c r="B941" s="504"/>
      <c r="C941" s="504"/>
      <c r="D941" s="504"/>
      <c r="E941" s="506"/>
      <c r="F941" s="506"/>
      <c r="G941" s="506"/>
      <c r="H941" s="506"/>
      <c r="I941" s="506"/>
      <c r="J941" s="506"/>
      <c r="K941" s="507"/>
      <c r="L941" s="508"/>
      <c r="M941" s="508"/>
      <c r="N941" s="508"/>
      <c r="O941" s="509"/>
      <c r="P941" s="509"/>
    </row>
    <row r="942" spans="1:16" ht="21.75" customHeight="1" x14ac:dyDescent="0.3">
      <c r="A942" s="504"/>
      <c r="B942" s="504"/>
      <c r="C942" s="504"/>
      <c r="D942" s="504"/>
      <c r="E942" s="506"/>
      <c r="F942" s="506"/>
      <c r="G942" s="506"/>
      <c r="H942" s="506"/>
      <c r="I942" s="506"/>
      <c r="J942" s="506"/>
      <c r="K942" s="507"/>
      <c r="L942" s="508"/>
      <c r="M942" s="508"/>
      <c r="N942" s="508"/>
      <c r="O942" s="509"/>
      <c r="P942" s="509"/>
    </row>
    <row r="943" spans="1:16" ht="21.75" customHeight="1" x14ac:dyDescent="0.3">
      <c r="A943" s="504"/>
      <c r="B943" s="504"/>
      <c r="C943" s="504"/>
      <c r="D943" s="504"/>
      <c r="E943" s="506"/>
      <c r="F943" s="506"/>
      <c r="G943" s="506"/>
      <c r="H943" s="506"/>
      <c r="I943" s="506"/>
      <c r="J943" s="506"/>
      <c r="K943" s="507"/>
      <c r="L943" s="508"/>
      <c r="M943" s="508"/>
      <c r="N943" s="508"/>
      <c r="O943" s="509"/>
      <c r="P943" s="509"/>
    </row>
    <row r="944" spans="1:16" ht="21.75" customHeight="1" x14ac:dyDescent="0.3">
      <c r="A944" s="504"/>
      <c r="B944" s="504"/>
      <c r="C944" s="504"/>
      <c r="D944" s="504"/>
      <c r="E944" s="506"/>
      <c r="F944" s="506"/>
      <c r="G944" s="506"/>
      <c r="H944" s="506"/>
      <c r="I944" s="506"/>
      <c r="J944" s="506"/>
      <c r="K944" s="507"/>
      <c r="L944" s="508"/>
      <c r="M944" s="508"/>
      <c r="N944" s="508"/>
      <c r="O944" s="509"/>
      <c r="P944" s="509"/>
    </row>
    <row r="945" spans="1:16" ht="21.75" customHeight="1" x14ac:dyDescent="0.3">
      <c r="A945" s="504"/>
      <c r="B945" s="504"/>
      <c r="C945" s="504"/>
      <c r="D945" s="504"/>
      <c r="E945" s="506"/>
      <c r="F945" s="506"/>
      <c r="G945" s="506"/>
      <c r="H945" s="506"/>
      <c r="I945" s="506"/>
      <c r="J945" s="506"/>
      <c r="K945" s="507"/>
      <c r="L945" s="508"/>
      <c r="M945" s="508"/>
      <c r="N945" s="508"/>
      <c r="O945" s="509"/>
      <c r="P945" s="509"/>
    </row>
    <row r="946" spans="1:16" ht="21.75" customHeight="1" x14ac:dyDescent="0.3">
      <c r="A946" s="504"/>
      <c r="B946" s="504"/>
      <c r="C946" s="504"/>
      <c r="D946" s="504"/>
      <c r="E946" s="506"/>
      <c r="F946" s="506"/>
      <c r="G946" s="506"/>
      <c r="H946" s="506"/>
      <c r="I946" s="506"/>
      <c r="J946" s="506"/>
      <c r="K946" s="507"/>
      <c r="L946" s="508"/>
      <c r="M946" s="508"/>
      <c r="N946" s="508"/>
      <c r="O946" s="509"/>
      <c r="P946" s="509"/>
    </row>
    <row r="947" spans="1:16" ht="21.75" customHeight="1" x14ac:dyDescent="0.3">
      <c r="A947" s="504"/>
      <c r="B947" s="504"/>
      <c r="C947" s="504"/>
      <c r="D947" s="504"/>
      <c r="E947" s="506"/>
      <c r="F947" s="506"/>
      <c r="G947" s="506"/>
      <c r="H947" s="506"/>
      <c r="I947" s="506"/>
      <c r="J947" s="506"/>
      <c r="K947" s="507"/>
      <c r="L947" s="508"/>
      <c r="M947" s="508"/>
      <c r="N947" s="508"/>
      <c r="O947" s="509"/>
      <c r="P947" s="509"/>
    </row>
    <row r="948" spans="1:16" ht="21.75" customHeight="1" x14ac:dyDescent="0.3">
      <c r="A948" s="504"/>
      <c r="B948" s="504"/>
      <c r="C948" s="504"/>
      <c r="D948" s="504"/>
      <c r="E948" s="506"/>
      <c r="F948" s="506"/>
      <c r="G948" s="506"/>
      <c r="H948" s="506"/>
      <c r="I948" s="506"/>
      <c r="J948" s="506"/>
      <c r="K948" s="507"/>
      <c r="L948" s="508"/>
      <c r="M948" s="508"/>
      <c r="N948" s="508"/>
      <c r="O948" s="509"/>
      <c r="P948" s="509"/>
    </row>
    <row r="949" spans="1:16" ht="21.75" customHeight="1" x14ac:dyDescent="0.3">
      <c r="A949" s="504"/>
      <c r="B949" s="504"/>
      <c r="C949" s="504"/>
      <c r="D949" s="504"/>
      <c r="E949" s="506"/>
      <c r="F949" s="506"/>
      <c r="G949" s="506"/>
      <c r="H949" s="506"/>
      <c r="I949" s="506"/>
      <c r="J949" s="506"/>
      <c r="K949" s="507"/>
      <c r="L949" s="508"/>
      <c r="M949" s="508"/>
      <c r="N949" s="508"/>
      <c r="O949" s="509"/>
      <c r="P949" s="509"/>
    </row>
    <row r="950" spans="1:16" ht="21.75" customHeight="1" x14ac:dyDescent="0.3">
      <c r="A950" s="504"/>
      <c r="B950" s="504"/>
      <c r="C950" s="504"/>
      <c r="D950" s="504"/>
      <c r="E950" s="506"/>
      <c r="F950" s="506"/>
      <c r="G950" s="506"/>
      <c r="H950" s="506"/>
      <c r="I950" s="506"/>
      <c r="J950" s="506"/>
      <c r="K950" s="507"/>
      <c r="L950" s="508"/>
      <c r="M950" s="508"/>
      <c r="N950" s="508"/>
      <c r="O950" s="509"/>
      <c r="P950" s="509"/>
    </row>
    <row r="951" spans="1:16" ht="21.75" customHeight="1" x14ac:dyDescent="0.3">
      <c r="A951" s="504"/>
      <c r="B951" s="504"/>
      <c r="C951" s="504"/>
      <c r="D951" s="504"/>
      <c r="E951" s="506"/>
      <c r="F951" s="506"/>
      <c r="G951" s="506"/>
      <c r="H951" s="506"/>
      <c r="I951" s="506"/>
      <c r="J951" s="506"/>
      <c r="K951" s="507"/>
      <c r="L951" s="508"/>
      <c r="M951" s="508"/>
      <c r="N951" s="508"/>
      <c r="O951" s="509"/>
      <c r="P951" s="509"/>
    </row>
    <row r="952" spans="1:16" ht="21.75" customHeight="1" x14ac:dyDescent="0.3">
      <c r="A952" s="504"/>
      <c r="B952" s="504"/>
      <c r="C952" s="504"/>
      <c r="D952" s="504"/>
      <c r="E952" s="506"/>
      <c r="F952" s="506"/>
      <c r="G952" s="506"/>
      <c r="H952" s="506"/>
      <c r="I952" s="506"/>
      <c r="J952" s="506"/>
      <c r="K952" s="507"/>
      <c r="L952" s="508"/>
      <c r="M952" s="508"/>
      <c r="N952" s="508"/>
      <c r="O952" s="509"/>
      <c r="P952" s="509"/>
    </row>
    <row r="953" spans="1:16" ht="21.75" customHeight="1" x14ac:dyDescent="0.3">
      <c r="A953" s="504"/>
      <c r="B953" s="504"/>
      <c r="C953" s="504"/>
      <c r="D953" s="504"/>
      <c r="E953" s="506"/>
      <c r="F953" s="506"/>
      <c r="G953" s="506"/>
      <c r="H953" s="506"/>
      <c r="I953" s="506"/>
      <c r="J953" s="506"/>
      <c r="K953" s="507"/>
      <c r="L953" s="508"/>
      <c r="M953" s="508"/>
      <c r="N953" s="508"/>
      <c r="O953" s="509"/>
      <c r="P953" s="509"/>
    </row>
    <row r="954" spans="1:16" ht="21.75" customHeight="1" x14ac:dyDescent="0.3">
      <c r="A954" s="504"/>
      <c r="B954" s="504"/>
      <c r="C954" s="504"/>
      <c r="D954" s="504"/>
      <c r="E954" s="506"/>
      <c r="F954" s="506"/>
      <c r="G954" s="506"/>
      <c r="H954" s="506"/>
      <c r="I954" s="506"/>
      <c r="J954" s="506"/>
      <c r="K954" s="507"/>
      <c r="L954" s="508"/>
      <c r="M954" s="508"/>
      <c r="N954" s="508"/>
      <c r="O954" s="509"/>
      <c r="P954" s="509"/>
    </row>
    <row r="955" spans="1:16" ht="21.75" customHeight="1" x14ac:dyDescent="0.3">
      <c r="A955" s="504"/>
      <c r="B955" s="504"/>
      <c r="C955" s="504"/>
      <c r="D955" s="504"/>
      <c r="E955" s="506"/>
      <c r="F955" s="506"/>
      <c r="G955" s="506"/>
      <c r="H955" s="506"/>
      <c r="I955" s="506"/>
      <c r="J955" s="506"/>
      <c r="K955" s="507"/>
      <c r="L955" s="508"/>
      <c r="M955" s="508"/>
      <c r="N955" s="508"/>
      <c r="O955" s="509"/>
      <c r="P955" s="509"/>
    </row>
    <row r="956" spans="1:16" ht="21.75" customHeight="1" x14ac:dyDescent="0.3">
      <c r="A956" s="504"/>
      <c r="B956" s="504"/>
      <c r="C956" s="504"/>
      <c r="D956" s="504"/>
      <c r="E956" s="506"/>
      <c r="F956" s="506"/>
      <c r="G956" s="506"/>
      <c r="H956" s="506"/>
      <c r="I956" s="506"/>
      <c r="J956" s="506"/>
      <c r="K956" s="507"/>
      <c r="L956" s="508"/>
      <c r="M956" s="508"/>
      <c r="N956" s="508"/>
      <c r="O956" s="509"/>
      <c r="P956" s="509"/>
    </row>
    <row r="957" spans="1:16" ht="21.75" customHeight="1" x14ac:dyDescent="0.3">
      <c r="A957" s="504"/>
      <c r="B957" s="504"/>
      <c r="C957" s="504"/>
      <c r="D957" s="504"/>
      <c r="E957" s="506"/>
      <c r="F957" s="506"/>
      <c r="G957" s="506"/>
      <c r="H957" s="506"/>
      <c r="I957" s="506"/>
      <c r="J957" s="506"/>
      <c r="K957" s="507"/>
      <c r="L957" s="508"/>
      <c r="M957" s="508"/>
      <c r="N957" s="508"/>
      <c r="O957" s="509"/>
      <c r="P957" s="509"/>
    </row>
    <row r="958" spans="1:16" ht="21.75" customHeight="1" x14ac:dyDescent="0.3">
      <c r="A958" s="504"/>
      <c r="B958" s="504"/>
      <c r="C958" s="504"/>
      <c r="D958" s="504"/>
      <c r="E958" s="506"/>
      <c r="F958" s="506"/>
      <c r="G958" s="506"/>
      <c r="H958" s="506"/>
      <c r="I958" s="506"/>
      <c r="J958" s="506"/>
      <c r="K958" s="507"/>
      <c r="L958" s="508"/>
      <c r="M958" s="508"/>
      <c r="N958" s="508"/>
      <c r="O958" s="509"/>
      <c r="P958" s="509"/>
    </row>
    <row r="959" spans="1:16" ht="21.75" customHeight="1" x14ac:dyDescent="0.3">
      <c r="A959" s="504"/>
      <c r="B959" s="504"/>
      <c r="C959" s="504"/>
      <c r="D959" s="504"/>
      <c r="E959" s="506"/>
      <c r="F959" s="506"/>
      <c r="G959" s="506"/>
      <c r="H959" s="506"/>
      <c r="I959" s="506"/>
      <c r="J959" s="506"/>
      <c r="K959" s="507"/>
      <c r="L959" s="508"/>
      <c r="M959" s="508"/>
      <c r="N959" s="508"/>
      <c r="O959" s="509"/>
      <c r="P959" s="509"/>
    </row>
    <row r="960" spans="1:16" ht="21.75" customHeight="1" x14ac:dyDescent="0.3">
      <c r="A960" s="504"/>
      <c r="B960" s="504"/>
      <c r="C960" s="504"/>
      <c r="D960" s="504"/>
      <c r="E960" s="506"/>
      <c r="F960" s="506"/>
      <c r="G960" s="506"/>
      <c r="H960" s="506"/>
      <c r="I960" s="506"/>
      <c r="J960" s="506"/>
      <c r="K960" s="507"/>
      <c r="L960" s="508"/>
      <c r="M960" s="508"/>
      <c r="N960" s="508"/>
      <c r="O960" s="509"/>
      <c r="P960" s="509"/>
    </row>
    <row r="961" spans="1:16" ht="21.75" customHeight="1" x14ac:dyDescent="0.3">
      <c r="A961" s="504"/>
      <c r="B961" s="504"/>
      <c r="C961" s="504"/>
      <c r="D961" s="504"/>
      <c r="E961" s="506"/>
      <c r="F961" s="506"/>
      <c r="G961" s="506"/>
      <c r="H961" s="506"/>
      <c r="I961" s="506"/>
      <c r="J961" s="506"/>
      <c r="K961" s="507"/>
      <c r="L961" s="508"/>
      <c r="M961" s="508"/>
      <c r="N961" s="508"/>
      <c r="O961" s="509"/>
      <c r="P961" s="509"/>
    </row>
    <row r="962" spans="1:16" ht="21.75" customHeight="1" x14ac:dyDescent="0.3">
      <c r="A962" s="504"/>
      <c r="B962" s="504"/>
      <c r="C962" s="504"/>
      <c r="D962" s="504"/>
      <c r="E962" s="506"/>
      <c r="F962" s="506"/>
      <c r="G962" s="506"/>
      <c r="H962" s="506"/>
      <c r="I962" s="506"/>
      <c r="J962" s="506"/>
      <c r="K962" s="507"/>
      <c r="L962" s="508"/>
      <c r="M962" s="508"/>
      <c r="N962" s="508"/>
      <c r="O962" s="509"/>
      <c r="P962" s="509"/>
    </row>
    <row r="963" spans="1:16" ht="21.75" customHeight="1" x14ac:dyDescent="0.3">
      <c r="A963" s="504"/>
      <c r="B963" s="504"/>
      <c r="C963" s="504"/>
      <c r="D963" s="504"/>
      <c r="E963" s="506"/>
      <c r="F963" s="506"/>
      <c r="G963" s="506"/>
      <c r="H963" s="506"/>
      <c r="I963" s="506"/>
      <c r="J963" s="506"/>
      <c r="K963" s="507"/>
      <c r="L963" s="508"/>
      <c r="M963" s="508"/>
      <c r="N963" s="508"/>
      <c r="O963" s="509"/>
      <c r="P963" s="509"/>
    </row>
    <row r="964" spans="1:16" ht="21.75" customHeight="1" x14ac:dyDescent="0.3">
      <c r="A964" s="504"/>
      <c r="B964" s="504"/>
      <c r="C964" s="504"/>
      <c r="D964" s="504"/>
      <c r="E964" s="506"/>
      <c r="F964" s="506"/>
      <c r="G964" s="506"/>
      <c r="H964" s="506"/>
      <c r="I964" s="506"/>
      <c r="J964" s="506"/>
      <c r="K964" s="507"/>
      <c r="L964" s="508"/>
      <c r="M964" s="508"/>
      <c r="N964" s="508"/>
      <c r="O964" s="509"/>
      <c r="P964" s="509"/>
    </row>
    <row r="965" spans="1:16" ht="21.75" customHeight="1" x14ac:dyDescent="0.3">
      <c r="A965" s="504"/>
      <c r="B965" s="504"/>
      <c r="C965" s="504"/>
      <c r="D965" s="504"/>
      <c r="E965" s="506"/>
      <c r="F965" s="506"/>
      <c r="G965" s="506"/>
      <c r="H965" s="506"/>
      <c r="I965" s="506"/>
      <c r="J965" s="506"/>
      <c r="K965" s="507"/>
      <c r="L965" s="508"/>
      <c r="M965" s="508"/>
      <c r="N965" s="508"/>
      <c r="O965" s="509"/>
      <c r="P965" s="509"/>
    </row>
    <row r="966" spans="1:16" ht="21.75" customHeight="1" x14ac:dyDescent="0.3">
      <c r="A966" s="504"/>
      <c r="B966" s="504"/>
      <c r="C966" s="504"/>
      <c r="D966" s="504"/>
      <c r="E966" s="506"/>
      <c r="F966" s="506"/>
      <c r="G966" s="506"/>
      <c r="H966" s="506"/>
      <c r="I966" s="506"/>
      <c r="J966" s="506"/>
      <c r="K966" s="507"/>
      <c r="L966" s="508"/>
      <c r="M966" s="508"/>
      <c r="N966" s="508"/>
      <c r="O966" s="509"/>
      <c r="P966" s="509"/>
    </row>
    <row r="967" spans="1:16" ht="21.75" customHeight="1" x14ac:dyDescent="0.3">
      <c r="A967" s="504"/>
      <c r="B967" s="504"/>
      <c r="C967" s="504"/>
      <c r="D967" s="504"/>
      <c r="E967" s="506"/>
      <c r="F967" s="506"/>
      <c r="G967" s="506"/>
      <c r="H967" s="506"/>
      <c r="I967" s="506"/>
      <c r="J967" s="506"/>
      <c r="K967" s="507"/>
      <c r="L967" s="508"/>
      <c r="M967" s="508"/>
      <c r="N967" s="508"/>
      <c r="O967" s="509"/>
      <c r="P967" s="509"/>
    </row>
    <row r="968" spans="1:16" ht="21.75" customHeight="1" x14ac:dyDescent="0.3">
      <c r="A968" s="504"/>
      <c r="B968" s="504"/>
      <c r="C968" s="504"/>
      <c r="D968" s="504"/>
      <c r="E968" s="506"/>
      <c r="F968" s="506"/>
      <c r="G968" s="506"/>
      <c r="H968" s="506"/>
      <c r="I968" s="506"/>
      <c r="J968" s="506"/>
      <c r="K968" s="507"/>
      <c r="L968" s="508"/>
      <c r="M968" s="508"/>
      <c r="N968" s="508"/>
      <c r="O968" s="509"/>
      <c r="P968" s="509"/>
    </row>
    <row r="969" spans="1:16" ht="21.75" customHeight="1" x14ac:dyDescent="0.3">
      <c r="A969" s="504"/>
      <c r="B969" s="504"/>
      <c r="C969" s="504"/>
      <c r="D969" s="504"/>
      <c r="E969" s="506"/>
      <c r="F969" s="506"/>
      <c r="G969" s="506"/>
      <c r="H969" s="506"/>
      <c r="I969" s="506"/>
      <c r="J969" s="506"/>
      <c r="K969" s="507"/>
      <c r="L969" s="508"/>
      <c r="M969" s="508"/>
      <c r="N969" s="508"/>
      <c r="O969" s="509"/>
      <c r="P969" s="509"/>
    </row>
    <row r="970" spans="1:16" ht="21.75" customHeight="1" x14ac:dyDescent="0.3">
      <c r="A970" s="504"/>
      <c r="B970" s="504"/>
      <c r="C970" s="504"/>
      <c r="D970" s="504"/>
      <c r="E970" s="506"/>
      <c r="F970" s="506"/>
      <c r="G970" s="506"/>
      <c r="H970" s="506"/>
      <c r="I970" s="506"/>
      <c r="J970" s="506"/>
      <c r="K970" s="507"/>
      <c r="L970" s="508"/>
      <c r="M970" s="508"/>
      <c r="N970" s="508"/>
      <c r="O970" s="509"/>
      <c r="P970" s="509"/>
    </row>
    <row r="971" spans="1:16" ht="21.75" customHeight="1" x14ac:dyDescent="0.3">
      <c r="A971" s="504"/>
      <c r="B971" s="504"/>
      <c r="C971" s="504"/>
      <c r="D971" s="504"/>
      <c r="E971" s="506"/>
      <c r="F971" s="506"/>
      <c r="G971" s="506"/>
      <c r="H971" s="506"/>
      <c r="I971" s="506"/>
      <c r="J971" s="506"/>
      <c r="K971" s="507"/>
      <c r="L971" s="508"/>
      <c r="M971" s="508"/>
      <c r="N971" s="508"/>
      <c r="O971" s="509"/>
      <c r="P971" s="509"/>
    </row>
    <row r="972" spans="1:16" ht="21.75" customHeight="1" x14ac:dyDescent="0.3">
      <c r="A972" s="504"/>
      <c r="B972" s="504"/>
      <c r="C972" s="504"/>
      <c r="D972" s="504"/>
      <c r="E972" s="506"/>
      <c r="F972" s="506"/>
      <c r="G972" s="506"/>
      <c r="H972" s="506"/>
      <c r="I972" s="506"/>
      <c r="J972" s="506"/>
      <c r="K972" s="507"/>
      <c r="L972" s="508"/>
      <c r="M972" s="508"/>
      <c r="N972" s="508"/>
      <c r="O972" s="509"/>
      <c r="P972" s="509"/>
    </row>
    <row r="973" spans="1:16" ht="21.75" customHeight="1" x14ac:dyDescent="0.3">
      <c r="A973" s="504"/>
      <c r="B973" s="504"/>
      <c r="C973" s="504"/>
      <c r="D973" s="504"/>
      <c r="E973" s="506"/>
      <c r="F973" s="506"/>
      <c r="G973" s="506"/>
      <c r="H973" s="506"/>
      <c r="I973" s="506"/>
      <c r="J973" s="506"/>
      <c r="K973" s="507"/>
      <c r="L973" s="508"/>
      <c r="M973" s="508"/>
      <c r="N973" s="508"/>
      <c r="O973" s="509"/>
      <c r="P973" s="509"/>
    </row>
    <row r="974" spans="1:16" ht="21.75" customHeight="1" x14ac:dyDescent="0.3">
      <c r="A974" s="504"/>
      <c r="B974" s="504"/>
      <c r="C974" s="504"/>
      <c r="D974" s="504"/>
      <c r="E974" s="506"/>
      <c r="F974" s="506"/>
      <c r="G974" s="506"/>
      <c r="H974" s="506"/>
      <c r="I974" s="506"/>
      <c r="J974" s="506"/>
      <c r="K974" s="507"/>
      <c r="L974" s="508"/>
      <c r="M974" s="508"/>
      <c r="N974" s="508"/>
      <c r="O974" s="509"/>
      <c r="P974" s="509"/>
    </row>
    <row r="975" spans="1:16" ht="21.75" customHeight="1" x14ac:dyDescent="0.3">
      <c r="A975" s="504"/>
      <c r="B975" s="504"/>
      <c r="C975" s="504"/>
      <c r="D975" s="504"/>
      <c r="E975" s="506"/>
      <c r="F975" s="506"/>
      <c r="G975" s="506"/>
      <c r="H975" s="506"/>
      <c r="I975" s="506"/>
      <c r="J975" s="506"/>
      <c r="K975" s="507"/>
      <c r="L975" s="508"/>
      <c r="M975" s="508"/>
      <c r="N975" s="508"/>
      <c r="O975" s="509"/>
      <c r="P975" s="509"/>
    </row>
    <row r="976" spans="1:16" ht="21.75" customHeight="1" x14ac:dyDescent="0.3">
      <c r="A976" s="504"/>
      <c r="B976" s="504"/>
      <c r="C976" s="504"/>
      <c r="D976" s="504"/>
      <c r="E976" s="506"/>
      <c r="F976" s="506"/>
      <c r="G976" s="506"/>
      <c r="H976" s="506"/>
      <c r="I976" s="506"/>
      <c r="J976" s="506"/>
      <c r="K976" s="507"/>
      <c r="L976" s="508"/>
      <c r="M976" s="508"/>
      <c r="N976" s="508"/>
      <c r="O976" s="509"/>
      <c r="P976" s="509"/>
    </row>
    <row r="977" spans="1:16" ht="21.75" customHeight="1" x14ac:dyDescent="0.3">
      <c r="A977" s="504"/>
      <c r="B977" s="504"/>
      <c r="C977" s="504"/>
      <c r="D977" s="504"/>
      <c r="E977" s="506"/>
      <c r="F977" s="506"/>
      <c r="G977" s="506"/>
      <c r="H977" s="506"/>
      <c r="I977" s="506"/>
      <c r="J977" s="506"/>
      <c r="K977" s="507"/>
      <c r="L977" s="508"/>
      <c r="M977" s="508"/>
      <c r="N977" s="508"/>
      <c r="O977" s="509"/>
      <c r="P977" s="509"/>
    </row>
    <row r="978" spans="1:16" ht="21.75" customHeight="1" x14ac:dyDescent="0.3">
      <c r="A978" s="504"/>
      <c r="B978" s="504"/>
      <c r="C978" s="504"/>
      <c r="D978" s="504"/>
      <c r="E978" s="506"/>
      <c r="F978" s="506"/>
      <c r="G978" s="506"/>
      <c r="H978" s="506"/>
      <c r="I978" s="506"/>
      <c r="J978" s="506"/>
      <c r="K978" s="507"/>
      <c r="L978" s="508"/>
      <c r="M978" s="508"/>
      <c r="N978" s="508"/>
      <c r="O978" s="509"/>
      <c r="P978" s="509"/>
    </row>
    <row r="979" spans="1:16" ht="21.75" customHeight="1" x14ac:dyDescent="0.3">
      <c r="A979" s="504"/>
      <c r="B979" s="504"/>
      <c r="C979" s="504"/>
      <c r="D979" s="504"/>
      <c r="E979" s="506"/>
      <c r="F979" s="506"/>
      <c r="G979" s="506"/>
      <c r="H979" s="506"/>
      <c r="I979" s="506"/>
      <c r="J979" s="506"/>
      <c r="K979" s="507"/>
      <c r="L979" s="508"/>
      <c r="M979" s="508"/>
      <c r="N979" s="508"/>
      <c r="O979" s="509"/>
      <c r="P979" s="509"/>
    </row>
    <row r="980" spans="1:16" ht="21.75" customHeight="1" x14ac:dyDescent="0.3">
      <c r="A980" s="504"/>
      <c r="B980" s="504"/>
      <c r="C980" s="504"/>
      <c r="D980" s="504"/>
      <c r="E980" s="506"/>
      <c r="F980" s="506"/>
      <c r="G980" s="506"/>
      <c r="H980" s="506"/>
      <c r="I980" s="506"/>
      <c r="J980" s="506"/>
      <c r="K980" s="507"/>
      <c r="L980" s="508"/>
      <c r="M980" s="508"/>
      <c r="N980" s="508"/>
      <c r="O980" s="509"/>
      <c r="P980" s="509"/>
    </row>
    <row r="981" spans="1:16" ht="21.75" customHeight="1" x14ac:dyDescent="0.3">
      <c r="A981" s="504"/>
      <c r="B981" s="504"/>
      <c r="C981" s="504"/>
      <c r="D981" s="504"/>
      <c r="E981" s="506"/>
      <c r="F981" s="506"/>
      <c r="G981" s="506"/>
      <c r="H981" s="506"/>
      <c r="I981" s="506"/>
      <c r="J981" s="506"/>
      <c r="K981" s="507"/>
      <c r="L981" s="508"/>
      <c r="M981" s="508"/>
      <c r="N981" s="508"/>
      <c r="O981" s="509"/>
      <c r="P981" s="509"/>
    </row>
    <row r="982" spans="1:16" ht="21.75" customHeight="1" x14ac:dyDescent="0.3">
      <c r="A982" s="504"/>
      <c r="B982" s="504"/>
      <c r="C982" s="504"/>
      <c r="D982" s="504"/>
      <c r="E982" s="506"/>
      <c r="F982" s="506"/>
      <c r="G982" s="506"/>
      <c r="H982" s="506"/>
      <c r="I982" s="506"/>
      <c r="J982" s="506"/>
      <c r="K982" s="507"/>
      <c r="L982" s="508"/>
      <c r="M982" s="508"/>
      <c r="N982" s="508"/>
      <c r="O982" s="509"/>
      <c r="P982" s="509"/>
    </row>
    <row r="983" spans="1:16" ht="21.75" customHeight="1" x14ac:dyDescent="0.3">
      <c r="A983" s="504"/>
      <c r="B983" s="504"/>
      <c r="C983" s="504"/>
      <c r="D983" s="504"/>
      <c r="E983" s="506"/>
      <c r="F983" s="506"/>
      <c r="G983" s="506"/>
      <c r="H983" s="506"/>
      <c r="I983" s="506"/>
      <c r="J983" s="506"/>
      <c r="K983" s="507"/>
      <c r="L983" s="508"/>
      <c r="M983" s="508"/>
      <c r="N983" s="508"/>
      <c r="O983" s="509"/>
      <c r="P983" s="509"/>
    </row>
    <row r="984" spans="1:16" ht="21.75" customHeight="1" x14ac:dyDescent="0.3">
      <c r="A984" s="504"/>
      <c r="B984" s="504"/>
      <c r="C984" s="504"/>
      <c r="D984" s="504"/>
      <c r="E984" s="506"/>
      <c r="F984" s="506"/>
      <c r="G984" s="506"/>
      <c r="H984" s="506"/>
      <c r="I984" s="506"/>
      <c r="J984" s="506"/>
      <c r="K984" s="507"/>
      <c r="L984" s="508"/>
      <c r="M984" s="508"/>
      <c r="N984" s="508"/>
      <c r="O984" s="509"/>
      <c r="P984" s="509"/>
    </row>
    <row r="985" spans="1:16" ht="21.75" customHeight="1" x14ac:dyDescent="0.3">
      <c r="A985" s="504"/>
      <c r="B985" s="504"/>
      <c r="C985" s="504"/>
      <c r="D985" s="504"/>
      <c r="E985" s="506"/>
      <c r="F985" s="506"/>
      <c r="G985" s="506"/>
      <c r="H985" s="506"/>
      <c r="I985" s="506"/>
      <c r="J985" s="506"/>
      <c r="K985" s="507"/>
      <c r="L985" s="508"/>
      <c r="M985" s="508"/>
      <c r="N985" s="508"/>
      <c r="O985" s="509"/>
      <c r="P985" s="509"/>
    </row>
    <row r="986" spans="1:16" ht="21.75" customHeight="1" x14ac:dyDescent="0.3">
      <c r="A986" s="504"/>
      <c r="B986" s="504"/>
      <c r="C986" s="504"/>
      <c r="D986" s="504"/>
      <c r="E986" s="506"/>
      <c r="F986" s="506"/>
      <c r="G986" s="506"/>
      <c r="H986" s="506"/>
      <c r="I986" s="506"/>
      <c r="J986" s="506"/>
      <c r="K986" s="507"/>
      <c r="L986" s="508"/>
      <c r="M986" s="508"/>
      <c r="N986" s="508"/>
      <c r="O986" s="509"/>
      <c r="P986" s="509"/>
    </row>
    <row r="987" spans="1:16" ht="21.75" customHeight="1" x14ac:dyDescent="0.3">
      <c r="A987" s="504"/>
      <c r="B987" s="504"/>
      <c r="C987" s="504"/>
      <c r="D987" s="504"/>
      <c r="E987" s="506"/>
      <c r="F987" s="506"/>
      <c r="G987" s="506"/>
      <c r="H987" s="506"/>
      <c r="I987" s="506"/>
      <c r="J987" s="506"/>
      <c r="K987" s="507"/>
      <c r="L987" s="508"/>
      <c r="M987" s="508"/>
      <c r="N987" s="508"/>
      <c r="O987" s="509"/>
      <c r="P987" s="509"/>
    </row>
    <row r="988" spans="1:16" ht="21.75" customHeight="1" x14ac:dyDescent="0.3">
      <c r="A988" s="504"/>
      <c r="B988" s="504"/>
      <c r="C988" s="504"/>
      <c r="D988" s="504"/>
      <c r="E988" s="506"/>
      <c r="F988" s="506"/>
      <c r="G988" s="506"/>
      <c r="H988" s="506"/>
      <c r="I988" s="506"/>
      <c r="J988" s="506"/>
      <c r="K988" s="507"/>
      <c r="L988" s="508"/>
      <c r="M988" s="508"/>
      <c r="N988" s="508"/>
      <c r="O988" s="509"/>
      <c r="P988" s="509"/>
    </row>
    <row r="989" spans="1:16" ht="21.75" customHeight="1" x14ac:dyDescent="0.3">
      <c r="A989" s="504"/>
      <c r="B989" s="504"/>
      <c r="C989" s="504"/>
      <c r="D989" s="504"/>
      <c r="E989" s="506"/>
      <c r="F989" s="506"/>
      <c r="G989" s="506"/>
      <c r="H989" s="506"/>
      <c r="I989" s="506"/>
      <c r="J989" s="506"/>
      <c r="K989" s="507"/>
      <c r="L989" s="508"/>
      <c r="M989" s="508"/>
      <c r="N989" s="508"/>
      <c r="O989" s="509"/>
      <c r="P989" s="509"/>
    </row>
    <row r="990" spans="1:16" ht="21.75" customHeight="1" x14ac:dyDescent="0.3">
      <c r="A990" s="504"/>
      <c r="B990" s="504"/>
      <c r="C990" s="504"/>
      <c r="D990" s="504"/>
      <c r="E990" s="506"/>
      <c r="F990" s="506"/>
      <c r="G990" s="506"/>
      <c r="H990" s="506"/>
      <c r="I990" s="506"/>
      <c r="J990" s="506"/>
      <c r="K990" s="507"/>
      <c r="L990" s="508"/>
      <c r="M990" s="508"/>
      <c r="N990" s="508"/>
      <c r="O990" s="509"/>
      <c r="P990" s="509"/>
    </row>
    <row r="991" spans="1:16" ht="21.75" customHeight="1" x14ac:dyDescent="0.3">
      <c r="A991" s="504"/>
      <c r="B991" s="504"/>
      <c r="C991" s="504"/>
      <c r="D991" s="504"/>
      <c r="E991" s="506"/>
      <c r="F991" s="506"/>
      <c r="G991" s="506"/>
      <c r="H991" s="506"/>
      <c r="I991" s="506"/>
      <c r="J991" s="506"/>
      <c r="K991" s="507"/>
      <c r="L991" s="508"/>
      <c r="M991" s="508"/>
      <c r="N991" s="508"/>
      <c r="O991" s="509"/>
      <c r="P991" s="509"/>
    </row>
    <row r="992" spans="1:16" ht="21.75" customHeight="1" x14ac:dyDescent="0.3">
      <c r="A992" s="504"/>
      <c r="B992" s="504"/>
      <c r="C992" s="504"/>
      <c r="D992" s="504"/>
      <c r="E992" s="506"/>
      <c r="F992" s="506"/>
      <c r="G992" s="506"/>
      <c r="H992" s="506"/>
      <c r="I992" s="506"/>
      <c r="J992" s="506"/>
      <c r="K992" s="507"/>
      <c r="L992" s="508"/>
      <c r="M992" s="508"/>
      <c r="N992" s="508"/>
      <c r="O992" s="509"/>
      <c r="P992" s="509"/>
    </row>
    <row r="993" spans="1:16" ht="21.75" customHeight="1" x14ac:dyDescent="0.3">
      <c r="A993" s="504"/>
      <c r="B993" s="504"/>
      <c r="C993" s="504"/>
      <c r="D993" s="504"/>
      <c r="E993" s="506"/>
      <c r="F993" s="506"/>
      <c r="G993" s="506"/>
      <c r="H993" s="506"/>
      <c r="I993" s="506"/>
      <c r="J993" s="506"/>
      <c r="K993" s="507"/>
      <c r="L993" s="508"/>
      <c r="M993" s="508"/>
      <c r="N993" s="508"/>
      <c r="O993" s="509"/>
      <c r="P993" s="509"/>
    </row>
    <row r="994" spans="1:16" ht="21.75" customHeight="1" x14ac:dyDescent="0.3">
      <c r="A994" s="504"/>
      <c r="B994" s="504"/>
      <c r="C994" s="504"/>
      <c r="D994" s="504"/>
      <c r="E994" s="506"/>
      <c r="F994" s="506"/>
      <c r="G994" s="506"/>
      <c r="H994" s="506"/>
      <c r="I994" s="506"/>
      <c r="J994" s="506"/>
      <c r="K994" s="507"/>
      <c r="L994" s="508"/>
      <c r="M994" s="508"/>
      <c r="N994" s="508"/>
      <c r="O994" s="509"/>
      <c r="P994" s="509"/>
    </row>
    <row r="995" spans="1:16" ht="21.75" customHeight="1" x14ac:dyDescent="0.3">
      <c r="A995" s="504"/>
      <c r="B995" s="504"/>
      <c r="C995" s="504"/>
      <c r="D995" s="504"/>
      <c r="E995" s="506"/>
      <c r="F995" s="506"/>
      <c r="G995" s="506"/>
      <c r="H995" s="506"/>
      <c r="I995" s="506"/>
      <c r="J995" s="506"/>
      <c r="K995" s="507"/>
      <c r="L995" s="508"/>
      <c r="M995" s="508"/>
      <c r="N995" s="508"/>
      <c r="O995" s="509"/>
      <c r="P995" s="509"/>
    </row>
    <row r="996" spans="1:16" ht="21.75" customHeight="1" x14ac:dyDescent="0.3">
      <c r="A996" s="504"/>
      <c r="B996" s="504"/>
      <c r="C996" s="504"/>
      <c r="D996" s="504"/>
      <c r="E996" s="506"/>
      <c r="F996" s="506"/>
      <c r="G996" s="506"/>
      <c r="H996" s="506"/>
      <c r="I996" s="506"/>
      <c r="J996" s="506"/>
      <c r="K996" s="507"/>
      <c r="L996" s="508"/>
      <c r="M996" s="508"/>
      <c r="N996" s="508"/>
      <c r="O996" s="509"/>
      <c r="P996" s="509"/>
    </row>
    <row r="997" spans="1:16" ht="21.75" customHeight="1" x14ac:dyDescent="0.3">
      <c r="A997" s="504"/>
      <c r="B997" s="504"/>
      <c r="C997" s="504"/>
      <c r="D997" s="504"/>
      <c r="E997" s="506"/>
      <c r="F997" s="506"/>
      <c r="G997" s="506"/>
      <c r="H997" s="506"/>
      <c r="I997" s="506"/>
      <c r="J997" s="506"/>
      <c r="K997" s="507"/>
      <c r="L997" s="508"/>
      <c r="M997" s="508"/>
      <c r="N997" s="508"/>
      <c r="O997" s="509"/>
      <c r="P997" s="509"/>
    </row>
    <row r="998" spans="1:16" ht="21.75" customHeight="1" x14ac:dyDescent="0.3">
      <c r="A998" s="504"/>
      <c r="B998" s="504"/>
      <c r="C998" s="504"/>
      <c r="D998" s="504"/>
      <c r="E998" s="506"/>
      <c r="F998" s="506"/>
      <c r="G998" s="506"/>
      <c r="H998" s="506"/>
      <c r="I998" s="506"/>
      <c r="J998" s="506"/>
      <c r="K998" s="507"/>
      <c r="L998" s="508"/>
      <c r="M998" s="508"/>
      <c r="N998" s="508"/>
      <c r="O998" s="509"/>
      <c r="P998" s="509"/>
    </row>
    <row r="999" spans="1:16" ht="21.75" customHeight="1" x14ac:dyDescent="0.3">
      <c r="A999" s="504"/>
      <c r="B999" s="504"/>
      <c r="C999" s="504"/>
      <c r="D999" s="504"/>
      <c r="E999" s="506"/>
      <c r="F999" s="506"/>
      <c r="G999" s="506"/>
      <c r="H999" s="506"/>
      <c r="I999" s="506"/>
      <c r="J999" s="506"/>
      <c r="K999" s="507"/>
      <c r="L999" s="508"/>
      <c r="M999" s="508"/>
      <c r="N999" s="508"/>
      <c r="O999" s="509"/>
      <c r="P999" s="509"/>
    </row>
    <row r="1000" spans="1:16" ht="21.75" customHeight="1" x14ac:dyDescent="0.3">
      <c r="A1000" s="504"/>
      <c r="B1000" s="504"/>
      <c r="C1000" s="504"/>
      <c r="D1000" s="504"/>
      <c r="E1000" s="506"/>
      <c r="F1000" s="506"/>
      <c r="G1000" s="506"/>
      <c r="H1000" s="506"/>
      <c r="I1000" s="506"/>
      <c r="J1000" s="506"/>
      <c r="K1000" s="507"/>
      <c r="L1000" s="508"/>
      <c r="M1000" s="508"/>
      <c r="N1000" s="508"/>
      <c r="O1000" s="509"/>
      <c r="P1000" s="509"/>
    </row>
    <row r="1001" spans="1:16" ht="21.75" customHeight="1" x14ac:dyDescent="0.3">
      <c r="A1001" s="504"/>
      <c r="B1001" s="504"/>
      <c r="C1001" s="504"/>
      <c r="D1001" s="504"/>
      <c r="E1001" s="506"/>
      <c r="F1001" s="506"/>
      <c r="G1001" s="506"/>
      <c r="H1001" s="506"/>
      <c r="I1001" s="506"/>
      <c r="J1001" s="506"/>
      <c r="K1001" s="507"/>
      <c r="L1001" s="508"/>
      <c r="M1001" s="508"/>
      <c r="N1001" s="508"/>
      <c r="O1001" s="509"/>
      <c r="P1001" s="509"/>
    </row>
    <row r="1002" spans="1:16" ht="21.75" customHeight="1" x14ac:dyDescent="0.3">
      <c r="A1002" s="504"/>
      <c r="B1002" s="504"/>
      <c r="C1002" s="504"/>
      <c r="D1002" s="504"/>
      <c r="E1002" s="506"/>
      <c r="F1002" s="506"/>
      <c r="G1002" s="506"/>
      <c r="H1002" s="506"/>
      <c r="I1002" s="506"/>
      <c r="J1002" s="506"/>
      <c r="K1002" s="507"/>
      <c r="L1002" s="508"/>
      <c r="M1002" s="508"/>
      <c r="N1002" s="508"/>
      <c r="O1002" s="509"/>
      <c r="P1002" s="509"/>
    </row>
    <row r="1003" spans="1:16" ht="21.75" customHeight="1" x14ac:dyDescent="0.3">
      <c r="A1003" s="504"/>
      <c r="B1003" s="504"/>
      <c r="C1003" s="504"/>
      <c r="D1003" s="504"/>
      <c r="E1003" s="506"/>
      <c r="F1003" s="506"/>
      <c r="G1003" s="506"/>
      <c r="H1003" s="506"/>
      <c r="I1003" s="506"/>
      <c r="J1003" s="506"/>
      <c r="K1003" s="507"/>
      <c r="L1003" s="508"/>
      <c r="M1003" s="508"/>
      <c r="N1003" s="508"/>
      <c r="O1003" s="509"/>
      <c r="P1003" s="509"/>
    </row>
    <row r="1004" spans="1:16" ht="21.75" customHeight="1" x14ac:dyDescent="0.3">
      <c r="A1004" s="504"/>
      <c r="B1004" s="504"/>
      <c r="C1004" s="504"/>
      <c r="D1004" s="504"/>
      <c r="E1004" s="506"/>
      <c r="F1004" s="506"/>
      <c r="G1004" s="506"/>
      <c r="H1004" s="506"/>
      <c r="I1004" s="506"/>
      <c r="J1004" s="506"/>
      <c r="K1004" s="507"/>
      <c r="L1004" s="508"/>
      <c r="M1004" s="508"/>
      <c r="N1004" s="508"/>
      <c r="O1004" s="509"/>
      <c r="P1004" s="509"/>
    </row>
    <row r="1005" spans="1:16" ht="21.75" customHeight="1" x14ac:dyDescent="0.3">
      <c r="A1005" s="504"/>
      <c r="B1005" s="504"/>
      <c r="C1005" s="504"/>
      <c r="D1005" s="504"/>
      <c r="E1005" s="506"/>
      <c r="F1005" s="506"/>
      <c r="G1005" s="506"/>
      <c r="H1005" s="506"/>
      <c r="I1005" s="506"/>
      <c r="J1005" s="506"/>
      <c r="K1005" s="507"/>
      <c r="L1005" s="508"/>
      <c r="M1005" s="508"/>
      <c r="N1005" s="508"/>
      <c r="O1005" s="509"/>
      <c r="P1005" s="509"/>
    </row>
    <row r="1006" spans="1:16" ht="21.75" customHeight="1" x14ac:dyDescent="0.3">
      <c r="A1006" s="504"/>
      <c r="B1006" s="504"/>
      <c r="C1006" s="504"/>
      <c r="D1006" s="504"/>
      <c r="E1006" s="506"/>
      <c r="F1006" s="506"/>
      <c r="G1006" s="506"/>
      <c r="H1006" s="506"/>
      <c r="I1006" s="506"/>
      <c r="J1006" s="506"/>
      <c r="K1006" s="507"/>
      <c r="L1006" s="508"/>
      <c r="M1006" s="508"/>
      <c r="N1006" s="508"/>
      <c r="O1006" s="509"/>
      <c r="P1006" s="509"/>
    </row>
    <row r="1007" spans="1:16" ht="21.75" customHeight="1" x14ac:dyDescent="0.3">
      <c r="A1007" s="504"/>
      <c r="B1007" s="504"/>
      <c r="C1007" s="504"/>
      <c r="D1007" s="504"/>
      <c r="E1007" s="506"/>
      <c r="F1007" s="506"/>
      <c r="G1007" s="506"/>
      <c r="H1007" s="506"/>
      <c r="I1007" s="506"/>
      <c r="J1007" s="506"/>
      <c r="K1007" s="507"/>
      <c r="L1007" s="508"/>
      <c r="M1007" s="508"/>
      <c r="N1007" s="508"/>
      <c r="O1007" s="509"/>
      <c r="P1007" s="509"/>
    </row>
    <row r="1008" spans="1:16" ht="21.75" customHeight="1" x14ac:dyDescent="0.3">
      <c r="A1008" s="504"/>
      <c r="B1008" s="504"/>
      <c r="C1008" s="504"/>
      <c r="D1008" s="504"/>
      <c r="E1008" s="506"/>
      <c r="F1008" s="506"/>
      <c r="G1008" s="506"/>
      <c r="H1008" s="506"/>
      <c r="I1008" s="506"/>
      <c r="J1008" s="506"/>
      <c r="K1008" s="507"/>
      <c r="L1008" s="508"/>
      <c r="M1008" s="508"/>
      <c r="N1008" s="508"/>
      <c r="O1008" s="509"/>
      <c r="P1008" s="509"/>
    </row>
    <row r="1009" spans="1:16" ht="21.75" customHeight="1" x14ac:dyDescent="0.3">
      <c r="A1009" s="504"/>
      <c r="B1009" s="504"/>
      <c r="C1009" s="504"/>
      <c r="D1009" s="504"/>
      <c r="E1009" s="506"/>
      <c r="F1009" s="506"/>
      <c r="G1009" s="506"/>
      <c r="H1009" s="506"/>
      <c r="I1009" s="506"/>
      <c r="J1009" s="506"/>
      <c r="K1009" s="507"/>
      <c r="L1009" s="508"/>
      <c r="M1009" s="508"/>
      <c r="N1009" s="508"/>
      <c r="O1009" s="509"/>
      <c r="P1009" s="509"/>
    </row>
    <row r="1010" spans="1:16" ht="21.75" customHeight="1" x14ac:dyDescent="0.3">
      <c r="A1010" s="504"/>
      <c r="B1010" s="504"/>
      <c r="C1010" s="504"/>
      <c r="D1010" s="504"/>
      <c r="E1010" s="506"/>
      <c r="F1010" s="506"/>
      <c r="G1010" s="506"/>
      <c r="H1010" s="506"/>
      <c r="I1010" s="506"/>
      <c r="J1010" s="506"/>
      <c r="K1010" s="507"/>
      <c r="L1010" s="508"/>
      <c r="M1010" s="508"/>
      <c r="N1010" s="508"/>
      <c r="O1010" s="509"/>
      <c r="P1010" s="509"/>
    </row>
    <row r="1011" spans="1:16" ht="21.75" customHeight="1" x14ac:dyDescent="0.3">
      <c r="A1011" s="504"/>
      <c r="B1011" s="504"/>
      <c r="C1011" s="504"/>
      <c r="D1011" s="504"/>
      <c r="E1011" s="506"/>
      <c r="F1011" s="506"/>
      <c r="G1011" s="506"/>
      <c r="H1011" s="506"/>
      <c r="I1011" s="506"/>
      <c r="J1011" s="506"/>
      <c r="K1011" s="507"/>
      <c r="L1011" s="508"/>
      <c r="M1011" s="508"/>
      <c r="N1011" s="508"/>
      <c r="O1011" s="509"/>
      <c r="P1011" s="509"/>
    </row>
    <row r="1012" spans="1:16" ht="21.75" customHeight="1" x14ac:dyDescent="0.3">
      <c r="A1012" s="504"/>
      <c r="B1012" s="504"/>
      <c r="C1012" s="504"/>
      <c r="D1012" s="504"/>
      <c r="E1012" s="506"/>
      <c r="F1012" s="506"/>
      <c r="G1012" s="506"/>
      <c r="H1012" s="506"/>
      <c r="I1012" s="506"/>
      <c r="J1012" s="506"/>
      <c r="K1012" s="507"/>
      <c r="L1012" s="508"/>
      <c r="M1012" s="508"/>
      <c r="N1012" s="508"/>
      <c r="O1012" s="509"/>
      <c r="P1012" s="509"/>
    </row>
    <row r="1013" spans="1:16" ht="21.75" customHeight="1" x14ac:dyDescent="0.3">
      <c r="A1013" s="504"/>
      <c r="B1013" s="504"/>
      <c r="C1013" s="504"/>
      <c r="D1013" s="504"/>
      <c r="E1013" s="506"/>
      <c r="F1013" s="506"/>
      <c r="G1013" s="506"/>
      <c r="H1013" s="506"/>
      <c r="I1013" s="506"/>
      <c r="J1013" s="506"/>
      <c r="K1013" s="507"/>
      <c r="L1013" s="508"/>
      <c r="M1013" s="508"/>
      <c r="N1013" s="508"/>
      <c r="O1013" s="509"/>
      <c r="P1013" s="509"/>
    </row>
    <row r="1014" spans="1:16" ht="21.75" customHeight="1" x14ac:dyDescent="0.3">
      <c r="A1014" s="504"/>
      <c r="B1014" s="504"/>
      <c r="C1014" s="504"/>
      <c r="D1014" s="504"/>
      <c r="E1014" s="506"/>
      <c r="F1014" s="506"/>
      <c r="G1014" s="506"/>
      <c r="H1014" s="506"/>
      <c r="I1014" s="506"/>
      <c r="J1014" s="506"/>
      <c r="K1014" s="507"/>
      <c r="L1014" s="508"/>
      <c r="M1014" s="508"/>
      <c r="N1014" s="508"/>
      <c r="O1014" s="509"/>
      <c r="P1014" s="509"/>
    </row>
    <row r="1015" spans="1:16" ht="21.75" customHeight="1" x14ac:dyDescent="0.3">
      <c r="A1015" s="504"/>
      <c r="B1015" s="504"/>
      <c r="C1015" s="504"/>
      <c r="D1015" s="504"/>
      <c r="E1015" s="506"/>
      <c r="F1015" s="506"/>
      <c r="G1015" s="506"/>
      <c r="H1015" s="506"/>
      <c r="I1015" s="506"/>
      <c r="J1015" s="506"/>
      <c r="K1015" s="507"/>
      <c r="L1015" s="508"/>
      <c r="M1015" s="508"/>
      <c r="N1015" s="508"/>
      <c r="O1015" s="509"/>
      <c r="P1015" s="509"/>
    </row>
    <row r="1016" spans="1:16" ht="21.75" customHeight="1" x14ac:dyDescent="0.3">
      <c r="A1016" s="504"/>
      <c r="B1016" s="504"/>
      <c r="C1016" s="504"/>
      <c r="D1016" s="504"/>
      <c r="E1016" s="506"/>
      <c r="F1016" s="506"/>
      <c r="G1016" s="506"/>
      <c r="H1016" s="506"/>
      <c r="I1016" s="506"/>
      <c r="J1016" s="506"/>
      <c r="K1016" s="507"/>
      <c r="L1016" s="508"/>
      <c r="M1016" s="508"/>
      <c r="N1016" s="508"/>
      <c r="O1016" s="509"/>
      <c r="P1016" s="509"/>
    </row>
    <row r="1017" spans="1:16" ht="21.75" customHeight="1" x14ac:dyDescent="0.3">
      <c r="A1017" s="504"/>
      <c r="B1017" s="504"/>
      <c r="C1017" s="504"/>
      <c r="D1017" s="504"/>
      <c r="E1017" s="506"/>
      <c r="F1017" s="506"/>
      <c r="G1017" s="506"/>
      <c r="H1017" s="506"/>
      <c r="I1017" s="506"/>
      <c r="J1017" s="506"/>
      <c r="K1017" s="507"/>
      <c r="L1017" s="508"/>
      <c r="M1017" s="508"/>
      <c r="N1017" s="508"/>
      <c r="O1017" s="509"/>
      <c r="P1017" s="509"/>
    </row>
    <row r="1018" spans="1:16" ht="21.75" customHeight="1" x14ac:dyDescent="0.3">
      <c r="A1018" s="504"/>
      <c r="B1018" s="504"/>
      <c r="C1018" s="504"/>
      <c r="D1018" s="504"/>
      <c r="E1018" s="506"/>
      <c r="F1018" s="506"/>
      <c r="G1018" s="506"/>
      <c r="H1018" s="506"/>
      <c r="I1018" s="506"/>
      <c r="J1018" s="506"/>
      <c r="K1018" s="507"/>
      <c r="L1018" s="508"/>
      <c r="M1018" s="508"/>
      <c r="N1018" s="508"/>
      <c r="O1018" s="509"/>
      <c r="P1018" s="509"/>
    </row>
    <row r="1019" spans="1:16" ht="21.75" customHeight="1" x14ac:dyDescent="0.3">
      <c r="A1019" s="504"/>
      <c r="B1019" s="504"/>
      <c r="C1019" s="504"/>
      <c r="D1019" s="504"/>
      <c r="E1019" s="506"/>
      <c r="F1019" s="506"/>
      <c r="G1019" s="506"/>
      <c r="H1019" s="506"/>
      <c r="I1019" s="506"/>
      <c r="J1019" s="506"/>
      <c r="K1019" s="507"/>
      <c r="L1019" s="508"/>
      <c r="M1019" s="508"/>
      <c r="N1019" s="508"/>
      <c r="O1019" s="509"/>
      <c r="P1019" s="509"/>
    </row>
    <row r="1020" spans="1:16" ht="21.75" customHeight="1" x14ac:dyDescent="0.3">
      <c r="A1020" s="504"/>
      <c r="B1020" s="504"/>
      <c r="C1020" s="504"/>
      <c r="D1020" s="504"/>
      <c r="E1020" s="506"/>
      <c r="F1020" s="506"/>
      <c r="G1020" s="506"/>
      <c r="H1020" s="506"/>
      <c r="I1020" s="506"/>
      <c r="J1020" s="506"/>
      <c r="K1020" s="507"/>
      <c r="L1020" s="508"/>
      <c r="M1020" s="508"/>
      <c r="N1020" s="508"/>
      <c r="O1020" s="509"/>
      <c r="P1020" s="509"/>
    </row>
    <row r="1021" spans="1:16" ht="21.75" customHeight="1" x14ac:dyDescent="0.3">
      <c r="A1021" s="504"/>
      <c r="B1021" s="504"/>
      <c r="C1021" s="504"/>
      <c r="D1021" s="504"/>
      <c r="E1021" s="506"/>
      <c r="F1021" s="506"/>
      <c r="G1021" s="506"/>
      <c r="H1021" s="506"/>
      <c r="I1021" s="506"/>
      <c r="J1021" s="506"/>
      <c r="K1021" s="507"/>
      <c r="L1021" s="508"/>
      <c r="M1021" s="508"/>
      <c r="N1021" s="508"/>
      <c r="O1021" s="509"/>
      <c r="P1021" s="509"/>
    </row>
    <row r="1022" spans="1:16" ht="21.75" customHeight="1" x14ac:dyDescent="0.3">
      <c r="A1022" s="504"/>
      <c r="B1022" s="504"/>
      <c r="C1022" s="504"/>
      <c r="D1022" s="504"/>
      <c r="E1022" s="506"/>
      <c r="F1022" s="506"/>
      <c r="G1022" s="506"/>
      <c r="H1022" s="506"/>
      <c r="I1022" s="506"/>
      <c r="J1022" s="506"/>
      <c r="K1022" s="507"/>
      <c r="L1022" s="508"/>
      <c r="M1022" s="508"/>
      <c r="N1022" s="508"/>
      <c r="O1022" s="509"/>
      <c r="P1022" s="509"/>
    </row>
    <row r="1023" spans="1:16" ht="21.75" customHeight="1" x14ac:dyDescent="0.3">
      <c r="A1023" s="504"/>
      <c r="B1023" s="504"/>
      <c r="C1023" s="504"/>
      <c r="D1023" s="504"/>
      <c r="E1023" s="506"/>
      <c r="F1023" s="506"/>
      <c r="G1023" s="506"/>
      <c r="H1023" s="506"/>
      <c r="I1023" s="506"/>
      <c r="J1023" s="506"/>
      <c r="K1023" s="507"/>
      <c r="L1023" s="508"/>
      <c r="M1023" s="508"/>
      <c r="N1023" s="508"/>
      <c r="O1023" s="509"/>
      <c r="P1023" s="509"/>
    </row>
    <row r="1024" spans="1:16" ht="21.75" customHeight="1" x14ac:dyDescent="0.3">
      <c r="A1024" s="504"/>
      <c r="B1024" s="504"/>
      <c r="C1024" s="504"/>
      <c r="D1024" s="504"/>
      <c r="E1024" s="506"/>
      <c r="F1024" s="506"/>
      <c r="G1024" s="506"/>
      <c r="H1024" s="506"/>
      <c r="I1024" s="506"/>
      <c r="J1024" s="506"/>
      <c r="K1024" s="507"/>
      <c r="L1024" s="508"/>
      <c r="M1024" s="508"/>
      <c r="N1024" s="508"/>
      <c r="O1024" s="509"/>
      <c r="P1024" s="509"/>
    </row>
    <row r="1025" spans="1:16" ht="21.75" customHeight="1" x14ac:dyDescent="0.3">
      <c r="A1025" s="504"/>
      <c r="B1025" s="504"/>
      <c r="C1025" s="504"/>
      <c r="D1025" s="504"/>
      <c r="E1025" s="506"/>
      <c r="F1025" s="506"/>
      <c r="G1025" s="506"/>
      <c r="H1025" s="506"/>
      <c r="I1025" s="506"/>
      <c r="J1025" s="506"/>
      <c r="K1025" s="507"/>
      <c r="L1025" s="508"/>
      <c r="M1025" s="508"/>
      <c r="N1025" s="508"/>
      <c r="O1025" s="509"/>
      <c r="P1025" s="509"/>
    </row>
    <row r="1026" spans="1:16" ht="21.75" customHeight="1" x14ac:dyDescent="0.3">
      <c r="A1026" s="504"/>
      <c r="B1026" s="504"/>
      <c r="C1026" s="504"/>
      <c r="D1026" s="504"/>
      <c r="E1026" s="506"/>
      <c r="F1026" s="506"/>
      <c r="G1026" s="506"/>
      <c r="H1026" s="506"/>
      <c r="I1026" s="506"/>
      <c r="J1026" s="506"/>
      <c r="K1026" s="507"/>
      <c r="L1026" s="508"/>
      <c r="M1026" s="508"/>
      <c r="N1026" s="508"/>
      <c r="O1026" s="509"/>
      <c r="P1026" s="509"/>
    </row>
    <row r="1027" spans="1:16" ht="21.75" customHeight="1" x14ac:dyDescent="0.3">
      <c r="A1027" s="504"/>
      <c r="B1027" s="504"/>
      <c r="C1027" s="504"/>
      <c r="D1027" s="504"/>
      <c r="E1027" s="506"/>
      <c r="F1027" s="506"/>
      <c r="G1027" s="506"/>
      <c r="H1027" s="506"/>
      <c r="I1027" s="506"/>
      <c r="J1027" s="506"/>
      <c r="K1027" s="507"/>
      <c r="L1027" s="508"/>
      <c r="M1027" s="508"/>
      <c r="N1027" s="508"/>
      <c r="O1027" s="509"/>
      <c r="P1027" s="509"/>
    </row>
    <row r="1028" spans="1:16" ht="21.75" customHeight="1" x14ac:dyDescent="0.3">
      <c r="A1028" s="504"/>
      <c r="B1028" s="504"/>
      <c r="C1028" s="504"/>
      <c r="D1028" s="504"/>
      <c r="E1028" s="506"/>
      <c r="F1028" s="506"/>
      <c r="G1028" s="506"/>
      <c r="H1028" s="506"/>
      <c r="I1028" s="506"/>
      <c r="J1028" s="506"/>
      <c r="K1028" s="507"/>
      <c r="L1028" s="508"/>
      <c r="M1028" s="508"/>
      <c r="N1028" s="508"/>
      <c r="O1028" s="509"/>
      <c r="P1028" s="509"/>
    </row>
    <row r="1029" spans="1:16" ht="21.75" customHeight="1" x14ac:dyDescent="0.3">
      <c r="A1029" s="504"/>
      <c r="B1029" s="504"/>
      <c r="C1029" s="504"/>
      <c r="D1029" s="504"/>
      <c r="E1029" s="506"/>
      <c r="F1029" s="506"/>
      <c r="G1029" s="506"/>
      <c r="H1029" s="506"/>
      <c r="I1029" s="506"/>
      <c r="J1029" s="506"/>
      <c r="K1029" s="507"/>
      <c r="L1029" s="508"/>
      <c r="M1029" s="508"/>
      <c r="N1029" s="508"/>
      <c r="O1029" s="509"/>
      <c r="P1029" s="509"/>
    </row>
    <row r="1030" spans="1:16" ht="21.75" customHeight="1" x14ac:dyDescent="0.3">
      <c r="A1030" s="504"/>
      <c r="B1030" s="504"/>
      <c r="C1030" s="504"/>
      <c r="D1030" s="504"/>
      <c r="E1030" s="506"/>
      <c r="F1030" s="506"/>
      <c r="G1030" s="506"/>
      <c r="H1030" s="506"/>
      <c r="I1030" s="506"/>
      <c r="J1030" s="506"/>
      <c r="K1030" s="507"/>
      <c r="L1030" s="508"/>
      <c r="M1030" s="508"/>
      <c r="N1030" s="508"/>
      <c r="O1030" s="509"/>
      <c r="P1030" s="509"/>
    </row>
    <row r="1031" spans="1:16" ht="21.75" customHeight="1" x14ac:dyDescent="0.3">
      <c r="A1031" s="504"/>
      <c r="B1031" s="504"/>
      <c r="C1031" s="504"/>
      <c r="D1031" s="504"/>
      <c r="E1031" s="506"/>
      <c r="F1031" s="506"/>
      <c r="G1031" s="506"/>
      <c r="H1031" s="506"/>
      <c r="I1031" s="506"/>
      <c r="J1031" s="506"/>
      <c r="K1031" s="507"/>
      <c r="L1031" s="508"/>
      <c r="M1031" s="508"/>
      <c r="N1031" s="508"/>
      <c r="O1031" s="509"/>
      <c r="P1031" s="509"/>
    </row>
    <row r="1032" spans="1:16" ht="21.75" customHeight="1" x14ac:dyDescent="0.3">
      <c r="A1032" s="504"/>
      <c r="B1032" s="504"/>
      <c r="C1032" s="504"/>
      <c r="D1032" s="504"/>
      <c r="E1032" s="506"/>
      <c r="F1032" s="506"/>
      <c r="G1032" s="506"/>
      <c r="H1032" s="506"/>
      <c r="I1032" s="506"/>
      <c r="J1032" s="506"/>
      <c r="K1032" s="507"/>
      <c r="L1032" s="508"/>
      <c r="M1032" s="508"/>
      <c r="N1032" s="508"/>
      <c r="O1032" s="509"/>
      <c r="P1032" s="509"/>
    </row>
    <row r="1033" spans="1:16" ht="21.75" customHeight="1" x14ac:dyDescent="0.3">
      <c r="A1033" s="504"/>
      <c r="B1033" s="504"/>
      <c r="C1033" s="504"/>
      <c r="D1033" s="504"/>
      <c r="E1033" s="506"/>
      <c r="F1033" s="506"/>
      <c r="G1033" s="506"/>
      <c r="H1033" s="506"/>
      <c r="I1033" s="506"/>
      <c r="J1033" s="506"/>
      <c r="K1033" s="507"/>
      <c r="L1033" s="508"/>
      <c r="M1033" s="508"/>
      <c r="N1033" s="508"/>
      <c r="O1033" s="509"/>
      <c r="P1033" s="509"/>
    </row>
    <row r="1034" spans="1:16" ht="21.75" customHeight="1" x14ac:dyDescent="0.3">
      <c r="A1034" s="504"/>
      <c r="B1034" s="504"/>
      <c r="C1034" s="504"/>
      <c r="D1034" s="504"/>
      <c r="E1034" s="506"/>
      <c r="F1034" s="506"/>
      <c r="G1034" s="506"/>
      <c r="H1034" s="506"/>
      <c r="I1034" s="506"/>
      <c r="J1034" s="506"/>
      <c r="K1034" s="507"/>
      <c r="L1034" s="508"/>
      <c r="M1034" s="508"/>
      <c r="N1034" s="508"/>
      <c r="O1034" s="509"/>
      <c r="P1034" s="509"/>
    </row>
    <row r="1035" spans="1:16" ht="21.75" customHeight="1" x14ac:dyDescent="0.3">
      <c r="A1035" s="504"/>
      <c r="B1035" s="504"/>
      <c r="C1035" s="504"/>
      <c r="D1035" s="504"/>
      <c r="E1035" s="506"/>
      <c r="F1035" s="506"/>
      <c r="G1035" s="506"/>
      <c r="H1035" s="506"/>
      <c r="I1035" s="506"/>
      <c r="J1035" s="506"/>
      <c r="K1035" s="507"/>
      <c r="L1035" s="508"/>
      <c r="M1035" s="508"/>
      <c r="N1035" s="508"/>
      <c r="O1035" s="509"/>
      <c r="P1035" s="509"/>
    </row>
    <row r="1036" spans="1:16" ht="21.75" customHeight="1" x14ac:dyDescent="0.3">
      <c r="A1036" s="504"/>
      <c r="B1036" s="504"/>
      <c r="C1036" s="504"/>
      <c r="D1036" s="504"/>
      <c r="E1036" s="506"/>
      <c r="F1036" s="506"/>
      <c r="G1036" s="506"/>
      <c r="H1036" s="506"/>
      <c r="I1036" s="506"/>
      <c r="J1036" s="506"/>
      <c r="K1036" s="507"/>
      <c r="L1036" s="508"/>
      <c r="M1036" s="508"/>
      <c r="N1036" s="508"/>
      <c r="O1036" s="509"/>
      <c r="P1036" s="509"/>
    </row>
    <row r="1037" spans="1:16" ht="21.75" customHeight="1" x14ac:dyDescent="0.3">
      <c r="A1037" s="504"/>
      <c r="B1037" s="504"/>
      <c r="C1037" s="504"/>
      <c r="D1037" s="504"/>
      <c r="E1037" s="506"/>
      <c r="F1037" s="506"/>
      <c r="G1037" s="506"/>
      <c r="H1037" s="506"/>
      <c r="I1037" s="506"/>
      <c r="J1037" s="506"/>
      <c r="K1037" s="507"/>
      <c r="L1037" s="508"/>
      <c r="M1037" s="508"/>
      <c r="N1037" s="508"/>
      <c r="O1037" s="509"/>
      <c r="P1037" s="509"/>
    </row>
    <row r="1038" spans="1:16" ht="21.75" customHeight="1" x14ac:dyDescent="0.3">
      <c r="A1038" s="504"/>
      <c r="B1038" s="504"/>
      <c r="C1038" s="504"/>
      <c r="D1038" s="504"/>
      <c r="E1038" s="506"/>
      <c r="F1038" s="506"/>
      <c r="G1038" s="506"/>
      <c r="H1038" s="506"/>
      <c r="I1038" s="506"/>
      <c r="J1038" s="506"/>
      <c r="K1038" s="507"/>
      <c r="L1038" s="508"/>
      <c r="M1038" s="508"/>
      <c r="N1038" s="508"/>
      <c r="O1038" s="509"/>
      <c r="P1038" s="509"/>
    </row>
    <row r="1039" spans="1:16" ht="21.75" customHeight="1" x14ac:dyDescent="0.3">
      <c r="A1039" s="504"/>
      <c r="B1039" s="504"/>
      <c r="C1039" s="504"/>
      <c r="D1039" s="504"/>
      <c r="E1039" s="506"/>
      <c r="F1039" s="506"/>
      <c r="G1039" s="506"/>
      <c r="H1039" s="506"/>
      <c r="I1039" s="506"/>
      <c r="J1039" s="506"/>
      <c r="K1039" s="507"/>
      <c r="L1039" s="508"/>
      <c r="M1039" s="508"/>
      <c r="N1039" s="508"/>
      <c r="O1039" s="509"/>
      <c r="P1039" s="509"/>
    </row>
    <row r="1040" spans="1:16" ht="21.75" customHeight="1" x14ac:dyDescent="0.3">
      <c r="A1040" s="504"/>
      <c r="B1040" s="504"/>
      <c r="C1040" s="504"/>
      <c r="D1040" s="504"/>
      <c r="E1040" s="506"/>
      <c r="F1040" s="506"/>
      <c r="G1040" s="506"/>
      <c r="H1040" s="506"/>
      <c r="I1040" s="506"/>
      <c r="J1040" s="506"/>
      <c r="K1040" s="507"/>
      <c r="L1040" s="508"/>
      <c r="M1040" s="508"/>
      <c r="N1040" s="508"/>
      <c r="O1040" s="509"/>
      <c r="P1040" s="509"/>
    </row>
    <row r="1041" spans="1:16" ht="21.75" customHeight="1" x14ac:dyDescent="0.3">
      <c r="A1041" s="504"/>
      <c r="B1041" s="504"/>
      <c r="C1041" s="504"/>
      <c r="D1041" s="504"/>
      <c r="E1041" s="506"/>
      <c r="F1041" s="506"/>
      <c r="G1041" s="506"/>
      <c r="H1041" s="506"/>
      <c r="I1041" s="506"/>
      <c r="J1041" s="506"/>
      <c r="K1041" s="507"/>
      <c r="L1041" s="508"/>
      <c r="M1041" s="508"/>
      <c r="N1041" s="508"/>
      <c r="O1041" s="509"/>
      <c r="P1041" s="509"/>
    </row>
    <row r="1042" spans="1:16" ht="21.75" customHeight="1" x14ac:dyDescent="0.3">
      <c r="A1042" s="504"/>
      <c r="B1042" s="504"/>
      <c r="C1042" s="504"/>
      <c r="D1042" s="504"/>
      <c r="E1042" s="506"/>
      <c r="F1042" s="506"/>
      <c r="G1042" s="506"/>
      <c r="H1042" s="506"/>
      <c r="I1042" s="506"/>
      <c r="J1042" s="506"/>
      <c r="K1042" s="507"/>
      <c r="L1042" s="508"/>
      <c r="M1042" s="508"/>
      <c r="N1042" s="508"/>
      <c r="O1042" s="509"/>
      <c r="P1042" s="509"/>
    </row>
    <row r="1043" spans="1:16" ht="21.75" customHeight="1" x14ac:dyDescent="0.3">
      <c r="A1043" s="504"/>
      <c r="B1043" s="504"/>
      <c r="C1043" s="504"/>
      <c r="D1043" s="504"/>
      <c r="E1043" s="506"/>
      <c r="F1043" s="506"/>
      <c r="G1043" s="506"/>
      <c r="H1043" s="506"/>
      <c r="I1043" s="506"/>
      <c r="J1043" s="506"/>
      <c r="K1043" s="507"/>
      <c r="L1043" s="508"/>
      <c r="M1043" s="508"/>
      <c r="N1043" s="508"/>
      <c r="O1043" s="509"/>
      <c r="P1043" s="509"/>
    </row>
    <row r="1044" spans="1:16" ht="21.75" customHeight="1" x14ac:dyDescent="0.3">
      <c r="A1044" s="504"/>
      <c r="B1044" s="504"/>
      <c r="C1044" s="504"/>
      <c r="D1044" s="504"/>
      <c r="E1044" s="506"/>
      <c r="F1044" s="506"/>
      <c r="G1044" s="506"/>
      <c r="H1044" s="506"/>
      <c r="I1044" s="506"/>
      <c r="J1044" s="506"/>
      <c r="K1044" s="507"/>
      <c r="L1044" s="508"/>
      <c r="M1044" s="508"/>
      <c r="N1044" s="508"/>
      <c r="O1044" s="509"/>
      <c r="P1044" s="509"/>
    </row>
    <row r="1045" spans="1:16" ht="21.75" customHeight="1" x14ac:dyDescent="0.3">
      <c r="A1045" s="504"/>
      <c r="B1045" s="504"/>
      <c r="C1045" s="504"/>
      <c r="D1045" s="504"/>
      <c r="E1045" s="506"/>
      <c r="F1045" s="506"/>
      <c r="G1045" s="506"/>
      <c r="H1045" s="506"/>
      <c r="I1045" s="506"/>
      <c r="J1045" s="506"/>
      <c r="K1045" s="507"/>
      <c r="L1045" s="508"/>
      <c r="M1045" s="508"/>
      <c r="N1045" s="508"/>
      <c r="O1045" s="509"/>
      <c r="P1045" s="509"/>
    </row>
    <row r="1046" spans="1:16" ht="21.75" customHeight="1" x14ac:dyDescent="0.3">
      <c r="A1046" s="504"/>
      <c r="B1046" s="504"/>
      <c r="C1046" s="504"/>
      <c r="D1046" s="504"/>
      <c r="E1046" s="506"/>
      <c r="F1046" s="506"/>
      <c r="G1046" s="506"/>
      <c r="H1046" s="506"/>
      <c r="I1046" s="506"/>
      <c r="J1046" s="506"/>
      <c r="K1046" s="507"/>
      <c r="L1046" s="508"/>
      <c r="M1046" s="508"/>
      <c r="N1046" s="508"/>
      <c r="O1046" s="509"/>
      <c r="P1046" s="509"/>
    </row>
    <row r="1047" spans="1:16" ht="21.75" customHeight="1" x14ac:dyDescent="0.3">
      <c r="A1047" s="504"/>
      <c r="B1047" s="504"/>
      <c r="C1047" s="504"/>
      <c r="D1047" s="504"/>
      <c r="E1047" s="506"/>
      <c r="F1047" s="506"/>
      <c r="G1047" s="506"/>
      <c r="H1047" s="506"/>
      <c r="I1047" s="506"/>
      <c r="J1047" s="506"/>
      <c r="K1047" s="507"/>
      <c r="L1047" s="508"/>
      <c r="M1047" s="508"/>
      <c r="N1047" s="508"/>
      <c r="O1047" s="509"/>
      <c r="P1047" s="509"/>
    </row>
    <row r="1048" spans="1:16" ht="21.75" customHeight="1" x14ac:dyDescent="0.3">
      <c r="A1048" s="504"/>
      <c r="B1048" s="504"/>
      <c r="C1048" s="504"/>
      <c r="D1048" s="504"/>
      <c r="E1048" s="506"/>
      <c r="F1048" s="506"/>
      <c r="G1048" s="506"/>
      <c r="H1048" s="506"/>
      <c r="I1048" s="506"/>
      <c r="J1048" s="506"/>
      <c r="K1048" s="507"/>
      <c r="L1048" s="508"/>
      <c r="M1048" s="508"/>
      <c r="N1048" s="508"/>
      <c r="O1048" s="509"/>
      <c r="P1048" s="509"/>
    </row>
    <row r="1049" spans="1:16" ht="21.75" customHeight="1" x14ac:dyDescent="0.3">
      <c r="A1049" s="504"/>
      <c r="B1049" s="504"/>
      <c r="C1049" s="504"/>
      <c r="D1049" s="504"/>
      <c r="E1049" s="506"/>
      <c r="F1049" s="506"/>
      <c r="G1049" s="506"/>
      <c r="H1049" s="506"/>
      <c r="I1049" s="506"/>
      <c r="J1049" s="506"/>
      <c r="K1049" s="507"/>
      <c r="L1049" s="508"/>
      <c r="M1049" s="508"/>
      <c r="N1049" s="508"/>
      <c r="O1049" s="509"/>
      <c r="P1049" s="509"/>
    </row>
    <row r="1050" spans="1:16" ht="21.75" customHeight="1" x14ac:dyDescent="0.3">
      <c r="A1050" s="504"/>
      <c r="B1050" s="504"/>
      <c r="C1050" s="504"/>
      <c r="D1050" s="504"/>
      <c r="E1050" s="506"/>
      <c r="F1050" s="506"/>
      <c r="G1050" s="506"/>
      <c r="H1050" s="506"/>
      <c r="I1050" s="506"/>
      <c r="J1050" s="506"/>
      <c r="K1050" s="507"/>
      <c r="L1050" s="508"/>
      <c r="M1050" s="508"/>
      <c r="N1050" s="508"/>
      <c r="O1050" s="509"/>
      <c r="P1050" s="509"/>
    </row>
    <row r="1051" spans="1:16" ht="21.75" customHeight="1" x14ac:dyDescent="0.3">
      <c r="A1051" s="504"/>
      <c r="B1051" s="504"/>
      <c r="C1051" s="504"/>
      <c r="D1051" s="504"/>
      <c r="E1051" s="506"/>
      <c r="F1051" s="506"/>
      <c r="G1051" s="506"/>
      <c r="H1051" s="506"/>
      <c r="I1051" s="506"/>
      <c r="J1051" s="506"/>
      <c r="K1051" s="507"/>
      <c r="L1051" s="508"/>
      <c r="M1051" s="508"/>
      <c r="N1051" s="508"/>
      <c r="O1051" s="509"/>
      <c r="P1051" s="509"/>
    </row>
    <row r="1052" spans="1:16" ht="21.75" customHeight="1" x14ac:dyDescent="0.3">
      <c r="A1052" s="504"/>
      <c r="B1052" s="504"/>
      <c r="C1052" s="504"/>
      <c r="D1052" s="504"/>
      <c r="E1052" s="506"/>
      <c r="F1052" s="506"/>
      <c r="G1052" s="506"/>
      <c r="H1052" s="506"/>
      <c r="I1052" s="506"/>
      <c r="J1052" s="506"/>
      <c r="K1052" s="507"/>
      <c r="L1052" s="508"/>
      <c r="M1052" s="508"/>
      <c r="N1052" s="508"/>
      <c r="O1052" s="509"/>
      <c r="P1052" s="509"/>
    </row>
    <row r="1053" spans="1:16" ht="21.75" customHeight="1" x14ac:dyDescent="0.3">
      <c r="A1053" s="504"/>
      <c r="B1053" s="504"/>
      <c r="C1053" s="504"/>
      <c r="D1053" s="504"/>
      <c r="E1053" s="506"/>
      <c r="F1053" s="506"/>
      <c r="G1053" s="506"/>
      <c r="H1053" s="506"/>
      <c r="I1053" s="506"/>
      <c r="J1053" s="506"/>
      <c r="K1053" s="507"/>
      <c r="L1053" s="508"/>
      <c r="M1053" s="508"/>
      <c r="N1053" s="508"/>
      <c r="O1053" s="509"/>
      <c r="P1053" s="509"/>
    </row>
    <row r="1054" spans="1:16" ht="21.75" customHeight="1" x14ac:dyDescent="0.3">
      <c r="A1054" s="504"/>
      <c r="B1054" s="504"/>
      <c r="C1054" s="504"/>
      <c r="D1054" s="504"/>
      <c r="E1054" s="506"/>
      <c r="F1054" s="506"/>
      <c r="G1054" s="506"/>
      <c r="H1054" s="506"/>
      <c r="I1054" s="506"/>
      <c r="J1054" s="506"/>
      <c r="K1054" s="507"/>
      <c r="L1054" s="508"/>
      <c r="M1054" s="508"/>
      <c r="N1054" s="508"/>
      <c r="O1054" s="509"/>
      <c r="P1054" s="509"/>
    </row>
    <row r="1055" spans="1:16" ht="21.75" customHeight="1" x14ac:dyDescent="0.3">
      <c r="A1055" s="504"/>
      <c r="B1055" s="504"/>
      <c r="C1055" s="504"/>
      <c r="D1055" s="504"/>
      <c r="E1055" s="506"/>
      <c r="F1055" s="506"/>
      <c r="G1055" s="506"/>
      <c r="H1055" s="506"/>
      <c r="I1055" s="506"/>
      <c r="J1055" s="506"/>
      <c r="K1055" s="507"/>
      <c r="L1055" s="508"/>
      <c r="M1055" s="508"/>
      <c r="N1055" s="508"/>
      <c r="O1055" s="509"/>
      <c r="P1055" s="509"/>
    </row>
    <row r="1056" spans="1:16" ht="21.75" customHeight="1" x14ac:dyDescent="0.3">
      <c r="A1056" s="504"/>
      <c r="B1056" s="504"/>
      <c r="C1056" s="504"/>
      <c r="D1056" s="504"/>
      <c r="E1056" s="506"/>
      <c r="F1056" s="506"/>
      <c r="G1056" s="506"/>
      <c r="H1056" s="506"/>
      <c r="I1056" s="506"/>
      <c r="J1056" s="506"/>
      <c r="K1056" s="507"/>
      <c r="L1056" s="508"/>
      <c r="M1056" s="508"/>
      <c r="N1056" s="508"/>
      <c r="O1056" s="509"/>
      <c r="P1056" s="509"/>
    </row>
    <row r="1057" spans="1:16" ht="21.75" customHeight="1" x14ac:dyDescent="0.3">
      <c r="A1057" s="504"/>
      <c r="B1057" s="504"/>
      <c r="C1057" s="504"/>
      <c r="D1057" s="504"/>
      <c r="E1057" s="506"/>
      <c r="F1057" s="506"/>
      <c r="G1057" s="506"/>
      <c r="H1057" s="506"/>
      <c r="I1057" s="506"/>
      <c r="J1057" s="506"/>
      <c r="K1057" s="507"/>
      <c r="L1057" s="508"/>
      <c r="M1057" s="508"/>
      <c r="N1057" s="508"/>
      <c r="O1057" s="509"/>
      <c r="P1057" s="509"/>
    </row>
    <row r="1058" spans="1:16" ht="21.75" customHeight="1" x14ac:dyDescent="0.3">
      <c r="A1058" s="504"/>
      <c r="B1058" s="504"/>
      <c r="C1058" s="504"/>
      <c r="D1058" s="504"/>
      <c r="E1058" s="506"/>
      <c r="F1058" s="506"/>
      <c r="G1058" s="506"/>
      <c r="H1058" s="506"/>
      <c r="I1058" s="506"/>
      <c r="J1058" s="506"/>
      <c r="K1058" s="507"/>
      <c r="L1058" s="508"/>
      <c r="M1058" s="508"/>
      <c r="N1058" s="508"/>
      <c r="O1058" s="509"/>
      <c r="P1058" s="509"/>
    </row>
    <row r="1059" spans="1:16" ht="21.75" customHeight="1" x14ac:dyDescent="0.3">
      <c r="A1059" s="504"/>
      <c r="B1059" s="504"/>
      <c r="C1059" s="504"/>
      <c r="D1059" s="504"/>
      <c r="E1059" s="506"/>
      <c r="F1059" s="506"/>
      <c r="G1059" s="506"/>
      <c r="H1059" s="506"/>
      <c r="I1059" s="506"/>
      <c r="J1059" s="506"/>
      <c r="K1059" s="507"/>
      <c r="L1059" s="508"/>
      <c r="M1059" s="508"/>
      <c r="N1059" s="508"/>
      <c r="O1059" s="509"/>
      <c r="P1059" s="509"/>
    </row>
    <row r="1060" spans="1:16" ht="21.75" customHeight="1" x14ac:dyDescent="0.3">
      <c r="A1060" s="504"/>
      <c r="B1060" s="504"/>
      <c r="C1060" s="504"/>
      <c r="D1060" s="504"/>
      <c r="E1060" s="506"/>
      <c r="F1060" s="506"/>
      <c r="G1060" s="506"/>
      <c r="H1060" s="506"/>
      <c r="I1060" s="506"/>
      <c r="J1060" s="506"/>
      <c r="K1060" s="507"/>
      <c r="L1060" s="508"/>
      <c r="M1060" s="508"/>
      <c r="N1060" s="508"/>
      <c r="O1060" s="509"/>
      <c r="P1060" s="509"/>
    </row>
    <row r="1061" spans="1:16" ht="21.75" customHeight="1" x14ac:dyDescent="0.3">
      <c r="A1061" s="504"/>
      <c r="B1061" s="504"/>
      <c r="C1061" s="504"/>
      <c r="D1061" s="504"/>
      <c r="E1061" s="506"/>
      <c r="F1061" s="506"/>
      <c r="G1061" s="506"/>
      <c r="H1061" s="506"/>
      <c r="I1061" s="506"/>
      <c r="J1061" s="506"/>
      <c r="K1061" s="507"/>
      <c r="L1061" s="508"/>
      <c r="M1061" s="508"/>
      <c r="N1061" s="508"/>
      <c r="O1061" s="509"/>
      <c r="P1061" s="509"/>
    </row>
    <row r="1062" spans="1:16" ht="21.75" customHeight="1" x14ac:dyDescent="0.3">
      <c r="A1062" s="504"/>
      <c r="B1062" s="504"/>
      <c r="C1062" s="504"/>
      <c r="D1062" s="504"/>
      <c r="E1062" s="506"/>
      <c r="F1062" s="506"/>
      <c r="G1062" s="506"/>
      <c r="H1062" s="506"/>
      <c r="I1062" s="506"/>
      <c r="J1062" s="506"/>
      <c r="K1062" s="507"/>
      <c r="L1062" s="508"/>
      <c r="M1062" s="508"/>
      <c r="N1062" s="508"/>
      <c r="O1062" s="509"/>
      <c r="P1062" s="509"/>
    </row>
    <row r="1063" spans="1:16" ht="21.75" customHeight="1" x14ac:dyDescent="0.3">
      <c r="A1063" s="504"/>
      <c r="B1063" s="504"/>
      <c r="C1063" s="504"/>
      <c r="D1063" s="504"/>
      <c r="E1063" s="506"/>
      <c r="F1063" s="506"/>
      <c r="G1063" s="506"/>
      <c r="H1063" s="506"/>
      <c r="I1063" s="506"/>
      <c r="J1063" s="506"/>
      <c r="K1063" s="507"/>
      <c r="L1063" s="508"/>
      <c r="M1063" s="508"/>
      <c r="N1063" s="508"/>
      <c r="O1063" s="509"/>
      <c r="P1063" s="509"/>
    </row>
    <row r="1064" spans="1:16" ht="21.75" customHeight="1" x14ac:dyDescent="0.3">
      <c r="A1064" s="504"/>
      <c r="B1064" s="504"/>
      <c r="C1064" s="504"/>
      <c r="D1064" s="504"/>
      <c r="E1064" s="506"/>
      <c r="F1064" s="506"/>
      <c r="G1064" s="506"/>
      <c r="H1064" s="506"/>
      <c r="I1064" s="506"/>
      <c r="J1064" s="506"/>
      <c r="K1064" s="507"/>
      <c r="L1064" s="508"/>
      <c r="M1064" s="508"/>
      <c r="N1064" s="508"/>
      <c r="O1064" s="509"/>
      <c r="P1064" s="509"/>
    </row>
    <row r="1065" spans="1:16" ht="21.75" customHeight="1" x14ac:dyDescent="0.3">
      <c r="A1065" s="504"/>
      <c r="B1065" s="504"/>
      <c r="C1065" s="504"/>
      <c r="D1065" s="504"/>
      <c r="E1065" s="506"/>
      <c r="F1065" s="506"/>
      <c r="G1065" s="506"/>
      <c r="H1065" s="506"/>
      <c r="I1065" s="506"/>
      <c r="J1065" s="506"/>
      <c r="K1065" s="507"/>
      <c r="L1065" s="508"/>
      <c r="M1065" s="508"/>
      <c r="N1065" s="508"/>
      <c r="O1065" s="509"/>
      <c r="P1065" s="509"/>
    </row>
    <row r="1066" spans="1:16" ht="21.75" customHeight="1" x14ac:dyDescent="0.3">
      <c r="A1066" s="504"/>
      <c r="B1066" s="504"/>
      <c r="C1066" s="504"/>
      <c r="D1066" s="504"/>
      <c r="E1066" s="506"/>
      <c r="F1066" s="506"/>
      <c r="G1066" s="506"/>
      <c r="H1066" s="506"/>
      <c r="I1066" s="506"/>
      <c r="J1066" s="506"/>
      <c r="K1066" s="507"/>
      <c r="L1066" s="508"/>
      <c r="M1066" s="508"/>
      <c r="N1066" s="508"/>
      <c r="O1066" s="509"/>
      <c r="P1066" s="509"/>
    </row>
    <row r="1067" spans="1:16" ht="21.75" customHeight="1" x14ac:dyDescent="0.3">
      <c r="A1067" s="504"/>
      <c r="B1067" s="504"/>
      <c r="C1067" s="504"/>
      <c r="D1067" s="504"/>
      <c r="E1067" s="506"/>
      <c r="F1067" s="506"/>
      <c r="G1067" s="506"/>
      <c r="H1067" s="506"/>
      <c r="I1067" s="506"/>
      <c r="J1067" s="506"/>
      <c r="K1067" s="507"/>
      <c r="L1067" s="508"/>
      <c r="M1067" s="508"/>
      <c r="N1067" s="508"/>
      <c r="O1067" s="509"/>
      <c r="P1067" s="509"/>
    </row>
    <row r="1068" spans="1:16" ht="21.75" customHeight="1" x14ac:dyDescent="0.3">
      <c r="A1068" s="504"/>
      <c r="B1068" s="504"/>
      <c r="C1068" s="504"/>
      <c r="D1068" s="504"/>
      <c r="E1068" s="506"/>
      <c r="F1068" s="506"/>
      <c r="G1068" s="506"/>
      <c r="H1068" s="506"/>
      <c r="I1068" s="506"/>
      <c r="J1068" s="506"/>
      <c r="K1068" s="507"/>
      <c r="L1068" s="508"/>
      <c r="M1068" s="508"/>
      <c r="N1068" s="508"/>
      <c r="O1068" s="509"/>
      <c r="P1068" s="509"/>
    </row>
    <row r="1069" spans="1:16" ht="21.75" customHeight="1" x14ac:dyDescent="0.3">
      <c r="A1069" s="504"/>
      <c r="B1069" s="504"/>
      <c r="C1069" s="504"/>
      <c r="D1069" s="504"/>
      <c r="E1069" s="506"/>
      <c r="F1069" s="506"/>
      <c r="G1069" s="506"/>
      <c r="H1069" s="506"/>
      <c r="I1069" s="506"/>
      <c r="J1069" s="506"/>
      <c r="K1069" s="507"/>
      <c r="L1069" s="508"/>
      <c r="M1069" s="508"/>
      <c r="N1069" s="508"/>
      <c r="O1069" s="509"/>
      <c r="P1069" s="509"/>
    </row>
    <row r="1070" spans="1:16" ht="21.75" customHeight="1" x14ac:dyDescent="0.3">
      <c r="A1070" s="504"/>
      <c r="B1070" s="504"/>
      <c r="C1070" s="504"/>
      <c r="D1070" s="504"/>
      <c r="E1070" s="506"/>
      <c r="F1070" s="506"/>
      <c r="G1070" s="506"/>
      <c r="H1070" s="506"/>
      <c r="I1070" s="506"/>
      <c r="J1070" s="506"/>
      <c r="K1070" s="507"/>
      <c r="L1070" s="508"/>
      <c r="M1070" s="508"/>
      <c r="N1070" s="508"/>
      <c r="O1070" s="509"/>
      <c r="P1070" s="509"/>
    </row>
    <row r="1071" spans="1:16" ht="21.75" customHeight="1" x14ac:dyDescent="0.3">
      <c r="A1071" s="504"/>
      <c r="B1071" s="504"/>
      <c r="C1071" s="504"/>
      <c r="D1071" s="504"/>
      <c r="E1071" s="506"/>
      <c r="F1071" s="506"/>
      <c r="G1071" s="506"/>
      <c r="H1071" s="506"/>
      <c r="I1071" s="506"/>
      <c r="J1071" s="506"/>
      <c r="K1071" s="507"/>
      <c r="L1071" s="508"/>
      <c r="M1071" s="508"/>
      <c r="N1071" s="508"/>
      <c r="O1071" s="509"/>
      <c r="P1071" s="509"/>
    </row>
    <row r="1072" spans="1:16" ht="21.75" customHeight="1" x14ac:dyDescent="0.3">
      <c r="A1072" s="504"/>
      <c r="B1072" s="504"/>
      <c r="C1072" s="504"/>
      <c r="D1072" s="504"/>
      <c r="E1072" s="506"/>
      <c r="F1072" s="506"/>
      <c r="G1072" s="506"/>
      <c r="H1072" s="506"/>
      <c r="I1072" s="506"/>
      <c r="J1072" s="506"/>
      <c r="K1072" s="507"/>
      <c r="L1072" s="508"/>
      <c r="M1072" s="508"/>
      <c r="N1072" s="508"/>
      <c r="O1072" s="509"/>
      <c r="P1072" s="509"/>
    </row>
    <row r="1073" spans="1:16" ht="21.75" customHeight="1" x14ac:dyDescent="0.3">
      <c r="A1073" s="504"/>
      <c r="B1073" s="504"/>
      <c r="C1073" s="504"/>
      <c r="D1073" s="504"/>
      <c r="E1073" s="506"/>
      <c r="F1073" s="506"/>
      <c r="G1073" s="506"/>
      <c r="H1073" s="506"/>
      <c r="I1073" s="506"/>
      <c r="J1073" s="506"/>
      <c r="K1073" s="507"/>
      <c r="L1073" s="508"/>
      <c r="M1073" s="508"/>
      <c r="N1073" s="508"/>
      <c r="O1073" s="509"/>
      <c r="P1073" s="509"/>
    </row>
    <row r="1074" spans="1:16" ht="21.75" customHeight="1" x14ac:dyDescent="0.3">
      <c r="A1074" s="504"/>
      <c r="B1074" s="504"/>
      <c r="C1074" s="504"/>
      <c r="D1074" s="504"/>
      <c r="E1074" s="506"/>
      <c r="F1074" s="506"/>
      <c r="G1074" s="506"/>
      <c r="H1074" s="506"/>
      <c r="I1074" s="506"/>
      <c r="J1074" s="506"/>
      <c r="K1074" s="507"/>
      <c r="L1074" s="508"/>
      <c r="M1074" s="508"/>
      <c r="N1074" s="508"/>
      <c r="O1074" s="509"/>
      <c r="P1074" s="509"/>
    </row>
    <row r="1075" spans="1:16" ht="21.75" customHeight="1" x14ac:dyDescent="0.3">
      <c r="A1075" s="504"/>
      <c r="B1075" s="504"/>
      <c r="C1075" s="504"/>
      <c r="D1075" s="504"/>
      <c r="E1075" s="506"/>
      <c r="F1075" s="506"/>
      <c r="G1075" s="506"/>
      <c r="H1075" s="506"/>
      <c r="I1075" s="506"/>
      <c r="J1075" s="506"/>
      <c r="K1075" s="507"/>
      <c r="L1075" s="508"/>
      <c r="M1075" s="508"/>
      <c r="N1075" s="508"/>
      <c r="O1075" s="509"/>
      <c r="P1075" s="509"/>
    </row>
    <row r="1076" spans="1:16" ht="21.75" customHeight="1" x14ac:dyDescent="0.3">
      <c r="A1076" s="504"/>
      <c r="B1076" s="504"/>
      <c r="C1076" s="504"/>
      <c r="D1076" s="504"/>
      <c r="E1076" s="506"/>
      <c r="F1076" s="506"/>
      <c r="G1076" s="506"/>
      <c r="H1076" s="506"/>
      <c r="I1076" s="506"/>
      <c r="J1076" s="506"/>
      <c r="K1076" s="507"/>
      <c r="L1076" s="508"/>
      <c r="M1076" s="508"/>
      <c r="N1076" s="508"/>
      <c r="O1076" s="509"/>
      <c r="P1076" s="509"/>
    </row>
    <row r="1077" spans="1:16" ht="21.75" customHeight="1" x14ac:dyDescent="0.3">
      <c r="A1077" s="504"/>
      <c r="B1077" s="504"/>
      <c r="C1077" s="504"/>
      <c r="D1077" s="504"/>
      <c r="E1077" s="506"/>
      <c r="F1077" s="506"/>
      <c r="G1077" s="506"/>
      <c r="H1077" s="506"/>
      <c r="I1077" s="506"/>
      <c r="J1077" s="506"/>
      <c r="K1077" s="507"/>
      <c r="L1077" s="508"/>
      <c r="M1077" s="508"/>
      <c r="N1077" s="508"/>
      <c r="O1077" s="509"/>
      <c r="P1077" s="509"/>
    </row>
    <row r="1078" spans="1:16" ht="21.75" customHeight="1" x14ac:dyDescent="0.3">
      <c r="A1078" s="504"/>
      <c r="B1078" s="504"/>
      <c r="C1078" s="504"/>
      <c r="D1078" s="504"/>
      <c r="E1078" s="506"/>
      <c r="F1078" s="506"/>
      <c r="G1078" s="506"/>
      <c r="H1078" s="506"/>
      <c r="I1078" s="506"/>
      <c r="J1078" s="506"/>
      <c r="K1078" s="507"/>
      <c r="L1078" s="508"/>
      <c r="M1078" s="508"/>
      <c r="N1078" s="508"/>
      <c r="O1078" s="509"/>
      <c r="P1078" s="509"/>
    </row>
    <row r="1079" spans="1:16" ht="21.75" customHeight="1" x14ac:dyDescent="0.3">
      <c r="A1079" s="504"/>
      <c r="B1079" s="504"/>
      <c r="C1079" s="504"/>
      <c r="D1079" s="504"/>
      <c r="E1079" s="506"/>
      <c r="F1079" s="506"/>
      <c r="G1079" s="506"/>
      <c r="H1079" s="506"/>
      <c r="I1079" s="506"/>
      <c r="J1079" s="506"/>
      <c r="K1079" s="507"/>
      <c r="L1079" s="508"/>
      <c r="M1079" s="508"/>
      <c r="N1079" s="508"/>
      <c r="O1079" s="509"/>
      <c r="P1079" s="509"/>
    </row>
    <row r="1080" spans="1:16" ht="21.75" customHeight="1" x14ac:dyDescent="0.3">
      <c r="A1080" s="504"/>
      <c r="B1080" s="504"/>
      <c r="C1080" s="504"/>
      <c r="D1080" s="504"/>
      <c r="E1080" s="506"/>
      <c r="F1080" s="506"/>
      <c r="G1080" s="506"/>
      <c r="H1080" s="506"/>
      <c r="I1080" s="506"/>
      <c r="J1080" s="506"/>
      <c r="K1080" s="507"/>
      <c r="L1080" s="508"/>
      <c r="M1080" s="508"/>
      <c r="N1080" s="508"/>
      <c r="O1080" s="509"/>
      <c r="P1080" s="509"/>
    </row>
    <row r="1081" spans="1:16" ht="21.75" customHeight="1" x14ac:dyDescent="0.3">
      <c r="A1081" s="504"/>
      <c r="B1081" s="504"/>
      <c r="C1081" s="504"/>
      <c r="D1081" s="504"/>
      <c r="E1081" s="506"/>
      <c r="F1081" s="506"/>
      <c r="G1081" s="506"/>
      <c r="H1081" s="506"/>
      <c r="I1081" s="506"/>
      <c r="J1081" s="506"/>
      <c r="K1081" s="507"/>
      <c r="L1081" s="508"/>
      <c r="M1081" s="508"/>
      <c r="N1081" s="508"/>
      <c r="O1081" s="509"/>
      <c r="P1081" s="509"/>
    </row>
    <row r="1082" spans="1:16" ht="21.75" customHeight="1" x14ac:dyDescent="0.3">
      <c r="A1082" s="504"/>
      <c r="B1082" s="504"/>
      <c r="C1082" s="504"/>
      <c r="D1082" s="504"/>
      <c r="E1082" s="506"/>
      <c r="F1082" s="506"/>
      <c r="G1082" s="506"/>
      <c r="H1082" s="506"/>
      <c r="I1082" s="506"/>
      <c r="J1082" s="506"/>
      <c r="K1082" s="507"/>
      <c r="L1082" s="508"/>
      <c r="M1082" s="508"/>
      <c r="N1082" s="508"/>
      <c r="O1082" s="509"/>
      <c r="P1082" s="509"/>
    </row>
    <row r="1083" spans="1:16" ht="21.75" customHeight="1" x14ac:dyDescent="0.3">
      <c r="A1083" s="504"/>
      <c r="B1083" s="504"/>
      <c r="C1083" s="504"/>
      <c r="D1083" s="504"/>
      <c r="E1083" s="506"/>
      <c r="F1083" s="506"/>
      <c r="G1083" s="506"/>
      <c r="H1083" s="506"/>
      <c r="I1083" s="506"/>
      <c r="J1083" s="506"/>
      <c r="K1083" s="507"/>
      <c r="L1083" s="508"/>
      <c r="M1083" s="508"/>
      <c r="N1083" s="508"/>
      <c r="O1083" s="509"/>
      <c r="P1083" s="509"/>
    </row>
    <row r="1084" spans="1:16" ht="21.75" customHeight="1" x14ac:dyDescent="0.3">
      <c r="A1084" s="504"/>
      <c r="B1084" s="504"/>
      <c r="C1084" s="504"/>
      <c r="D1084" s="504"/>
      <c r="E1084" s="506"/>
      <c r="F1084" s="506"/>
      <c r="G1084" s="506"/>
      <c r="H1084" s="506"/>
      <c r="I1084" s="506"/>
      <c r="J1084" s="506"/>
      <c r="K1084" s="507"/>
      <c r="L1084" s="508"/>
      <c r="M1084" s="508"/>
      <c r="N1084" s="508"/>
      <c r="O1084" s="509"/>
      <c r="P1084" s="509"/>
    </row>
    <row r="1085" spans="1:16" ht="21.75" customHeight="1" x14ac:dyDescent="0.3">
      <c r="A1085" s="504"/>
      <c r="B1085" s="504"/>
      <c r="C1085" s="504"/>
      <c r="D1085" s="504"/>
      <c r="E1085" s="506"/>
      <c r="F1085" s="506"/>
      <c r="G1085" s="506"/>
      <c r="H1085" s="506"/>
      <c r="I1085" s="506"/>
      <c r="J1085" s="506"/>
      <c r="K1085" s="507"/>
      <c r="L1085" s="508"/>
      <c r="M1085" s="508"/>
      <c r="N1085" s="508"/>
      <c r="O1085" s="509"/>
      <c r="P1085" s="509"/>
    </row>
    <row r="1086" spans="1:16" ht="21.75" customHeight="1" x14ac:dyDescent="0.3">
      <c r="A1086" s="504"/>
      <c r="B1086" s="504"/>
      <c r="C1086" s="504"/>
      <c r="D1086" s="504"/>
      <c r="E1086" s="506"/>
      <c r="F1086" s="506"/>
      <c r="G1086" s="506"/>
      <c r="H1086" s="506"/>
      <c r="I1086" s="506"/>
      <c r="J1086" s="506"/>
      <c r="K1086" s="507"/>
      <c r="L1086" s="508"/>
      <c r="M1086" s="508"/>
      <c r="N1086" s="508"/>
      <c r="O1086" s="509"/>
      <c r="P1086" s="509"/>
    </row>
    <row r="1087" spans="1:16" ht="21.75" customHeight="1" x14ac:dyDescent="0.3">
      <c r="A1087" s="504"/>
      <c r="B1087" s="504"/>
      <c r="C1087" s="504"/>
      <c r="D1087" s="504"/>
      <c r="E1087" s="506"/>
      <c r="F1087" s="506"/>
      <c r="G1087" s="506"/>
      <c r="H1087" s="506"/>
      <c r="I1087" s="506"/>
      <c r="J1087" s="506"/>
      <c r="K1087" s="507"/>
      <c r="L1087" s="508"/>
      <c r="M1087" s="508"/>
      <c r="N1087" s="508"/>
      <c r="O1087" s="509"/>
      <c r="P1087" s="509"/>
    </row>
    <row r="1088" spans="1:16" ht="21.75" customHeight="1" x14ac:dyDescent="0.3">
      <c r="A1088" s="504"/>
      <c r="B1088" s="504"/>
      <c r="C1088" s="504"/>
      <c r="D1088" s="504"/>
      <c r="E1088" s="506"/>
      <c r="F1088" s="506"/>
      <c r="G1088" s="506"/>
      <c r="H1088" s="506"/>
      <c r="I1088" s="506"/>
      <c r="J1088" s="506"/>
      <c r="K1088" s="507"/>
      <c r="L1088" s="508"/>
      <c r="M1088" s="508"/>
      <c r="N1088" s="508"/>
      <c r="O1088" s="509"/>
      <c r="P1088" s="509"/>
    </row>
    <row r="1089" spans="1:16" ht="21.75" customHeight="1" x14ac:dyDescent="0.3">
      <c r="A1089" s="504"/>
      <c r="B1089" s="504"/>
      <c r="C1089" s="504"/>
      <c r="D1089" s="504"/>
      <c r="E1089" s="506"/>
      <c r="F1089" s="506"/>
      <c r="G1089" s="506"/>
      <c r="H1089" s="506"/>
      <c r="I1089" s="506"/>
      <c r="J1089" s="506"/>
      <c r="K1089" s="507"/>
      <c r="L1089" s="508"/>
      <c r="M1089" s="508"/>
      <c r="N1089" s="508"/>
      <c r="O1089" s="509"/>
      <c r="P1089" s="509"/>
    </row>
    <row r="1090" spans="1:16" ht="21.75" customHeight="1" x14ac:dyDescent="0.3">
      <c r="A1090" s="504"/>
      <c r="B1090" s="504"/>
      <c r="C1090" s="504"/>
      <c r="D1090" s="504"/>
      <c r="E1090" s="506"/>
      <c r="F1090" s="506"/>
      <c r="G1090" s="506"/>
      <c r="H1090" s="506"/>
      <c r="I1090" s="506"/>
      <c r="J1090" s="506"/>
      <c r="K1090" s="507"/>
      <c r="L1090" s="508"/>
      <c r="M1090" s="508"/>
      <c r="N1090" s="508"/>
      <c r="O1090" s="509"/>
      <c r="P1090" s="509"/>
    </row>
    <row r="1091" spans="1:16" ht="21.75" customHeight="1" x14ac:dyDescent="0.3">
      <c r="A1091" s="504"/>
      <c r="B1091" s="504"/>
      <c r="C1091" s="504"/>
      <c r="D1091" s="504"/>
      <c r="E1091" s="506"/>
      <c r="F1091" s="506"/>
      <c r="G1091" s="506"/>
      <c r="H1091" s="506"/>
      <c r="I1091" s="506"/>
      <c r="J1091" s="506"/>
      <c r="K1091" s="507"/>
      <c r="L1091" s="508"/>
      <c r="M1091" s="508"/>
      <c r="N1091" s="508"/>
      <c r="O1091" s="509"/>
      <c r="P1091" s="509"/>
    </row>
    <row r="1092" spans="1:16" ht="21.75" customHeight="1" x14ac:dyDescent="0.3">
      <c r="A1092" s="504"/>
      <c r="B1092" s="504"/>
      <c r="C1092" s="504"/>
      <c r="D1092" s="504"/>
      <c r="E1092" s="506"/>
      <c r="F1092" s="506"/>
      <c r="G1092" s="506"/>
      <c r="H1092" s="506"/>
      <c r="I1092" s="506"/>
      <c r="J1092" s="506"/>
      <c r="K1092" s="507"/>
      <c r="L1092" s="508"/>
      <c r="M1092" s="508"/>
      <c r="N1092" s="508"/>
      <c r="O1092" s="509"/>
      <c r="P1092" s="509"/>
    </row>
    <row r="1093" spans="1:16" ht="21.75" customHeight="1" x14ac:dyDescent="0.3">
      <c r="A1093" s="504"/>
      <c r="B1093" s="504"/>
      <c r="C1093" s="504"/>
      <c r="D1093" s="504"/>
      <c r="E1093" s="506"/>
      <c r="F1093" s="506"/>
      <c r="G1093" s="506"/>
      <c r="H1093" s="506"/>
      <c r="I1093" s="506"/>
      <c r="J1093" s="506"/>
      <c r="K1093" s="507"/>
      <c r="L1093" s="508"/>
      <c r="M1093" s="508"/>
      <c r="N1093" s="508"/>
      <c r="O1093" s="509"/>
      <c r="P1093" s="509"/>
    </row>
    <row r="1094" spans="1:16" ht="21.75" customHeight="1" x14ac:dyDescent="0.3">
      <c r="A1094" s="504"/>
      <c r="B1094" s="504"/>
      <c r="C1094" s="504"/>
      <c r="D1094" s="504"/>
      <c r="E1094" s="506"/>
      <c r="F1094" s="506"/>
      <c r="G1094" s="506"/>
      <c r="H1094" s="506"/>
      <c r="I1094" s="506"/>
      <c r="J1094" s="506"/>
      <c r="K1094" s="507"/>
      <c r="L1094" s="508"/>
      <c r="M1094" s="508"/>
      <c r="N1094" s="508"/>
      <c r="O1094" s="509"/>
      <c r="P1094" s="509"/>
    </row>
    <row r="1095" spans="1:16" ht="21.75" customHeight="1" x14ac:dyDescent="0.3">
      <c r="A1095" s="504"/>
      <c r="B1095" s="504"/>
      <c r="C1095" s="504"/>
      <c r="D1095" s="504"/>
      <c r="E1095" s="506"/>
      <c r="F1095" s="506"/>
      <c r="G1095" s="506"/>
      <c r="H1095" s="506"/>
      <c r="I1095" s="506"/>
      <c r="J1095" s="506"/>
      <c r="K1095" s="507"/>
      <c r="L1095" s="508"/>
      <c r="M1095" s="508"/>
      <c r="N1095" s="508"/>
      <c r="O1095" s="509"/>
      <c r="P1095" s="509"/>
    </row>
    <row r="1096" spans="1:16" ht="21.75" customHeight="1" x14ac:dyDescent="0.3">
      <c r="A1096" s="504"/>
      <c r="B1096" s="504"/>
      <c r="C1096" s="504"/>
      <c r="D1096" s="504"/>
      <c r="E1096" s="506"/>
      <c r="F1096" s="506"/>
      <c r="G1096" s="506"/>
      <c r="H1096" s="506"/>
      <c r="I1096" s="506"/>
      <c r="J1096" s="506"/>
      <c r="K1096" s="507"/>
      <c r="L1096" s="508"/>
      <c r="M1096" s="508"/>
      <c r="N1096" s="508"/>
      <c r="O1096" s="509"/>
      <c r="P1096" s="509"/>
    </row>
    <row r="1097" spans="1:16" ht="21.75" customHeight="1" x14ac:dyDescent="0.3">
      <c r="A1097" s="504"/>
      <c r="B1097" s="504"/>
      <c r="C1097" s="504"/>
      <c r="D1097" s="504"/>
      <c r="E1097" s="506"/>
      <c r="F1097" s="506"/>
      <c r="G1097" s="506"/>
      <c r="H1097" s="506"/>
      <c r="I1097" s="506"/>
      <c r="J1097" s="506"/>
      <c r="K1097" s="507"/>
      <c r="L1097" s="508"/>
      <c r="M1097" s="508"/>
      <c r="N1097" s="508"/>
      <c r="O1097" s="509"/>
      <c r="P1097" s="509"/>
    </row>
    <row r="1098" spans="1:16" ht="21.75" customHeight="1" x14ac:dyDescent="0.3">
      <c r="A1098" s="504"/>
      <c r="B1098" s="504"/>
      <c r="C1098" s="504"/>
      <c r="D1098" s="504"/>
      <c r="E1098" s="506"/>
      <c r="F1098" s="506"/>
      <c r="G1098" s="506"/>
      <c r="H1098" s="506"/>
      <c r="I1098" s="506"/>
      <c r="J1098" s="506"/>
      <c r="K1098" s="507"/>
      <c r="L1098" s="508"/>
      <c r="M1098" s="508"/>
      <c r="N1098" s="508"/>
      <c r="O1098" s="509"/>
      <c r="P1098" s="509"/>
    </row>
    <row r="1099" spans="1:16" ht="21.75" customHeight="1" x14ac:dyDescent="0.3">
      <c r="A1099" s="504"/>
      <c r="B1099" s="504"/>
      <c r="C1099" s="504"/>
      <c r="D1099" s="504"/>
      <c r="E1099" s="506"/>
      <c r="F1099" s="506"/>
      <c r="G1099" s="506"/>
      <c r="H1099" s="506"/>
      <c r="I1099" s="506"/>
      <c r="J1099" s="506"/>
      <c r="K1099" s="507"/>
      <c r="L1099" s="508"/>
      <c r="M1099" s="508"/>
      <c r="N1099" s="508"/>
      <c r="O1099" s="509"/>
      <c r="P1099" s="509"/>
    </row>
    <row r="1100" spans="1:16" ht="21.75" customHeight="1" x14ac:dyDescent="0.3">
      <c r="A1100" s="504"/>
      <c r="B1100" s="504"/>
      <c r="C1100" s="504"/>
      <c r="D1100" s="504"/>
      <c r="E1100" s="506"/>
      <c r="F1100" s="506"/>
      <c r="G1100" s="506"/>
      <c r="H1100" s="506"/>
      <c r="I1100" s="506"/>
      <c r="J1100" s="506"/>
      <c r="K1100" s="507"/>
      <c r="L1100" s="508"/>
      <c r="M1100" s="508"/>
      <c r="N1100" s="508"/>
      <c r="O1100" s="509"/>
      <c r="P1100" s="509"/>
    </row>
    <row r="1101" spans="1:16" ht="21.75" customHeight="1" x14ac:dyDescent="0.3">
      <c r="A1101" s="504"/>
      <c r="B1101" s="504"/>
      <c r="C1101" s="504"/>
      <c r="D1101" s="504"/>
      <c r="E1101" s="506"/>
      <c r="F1101" s="506"/>
      <c r="G1101" s="506"/>
      <c r="H1101" s="506"/>
      <c r="I1101" s="506"/>
      <c r="J1101" s="506"/>
      <c r="K1101" s="507"/>
      <c r="L1101" s="508"/>
      <c r="M1101" s="508"/>
      <c r="N1101" s="508"/>
      <c r="O1101" s="509"/>
      <c r="P1101" s="509"/>
    </row>
    <row r="1102" spans="1:16" ht="21.75" customHeight="1" x14ac:dyDescent="0.3">
      <c r="A1102" s="504"/>
      <c r="B1102" s="504"/>
      <c r="C1102" s="504"/>
      <c r="D1102" s="504"/>
      <c r="E1102" s="506"/>
      <c r="F1102" s="506"/>
      <c r="G1102" s="506"/>
      <c r="H1102" s="506"/>
      <c r="I1102" s="506"/>
      <c r="J1102" s="506"/>
      <c r="K1102" s="507"/>
      <c r="L1102" s="508"/>
      <c r="M1102" s="508"/>
      <c r="N1102" s="508"/>
      <c r="O1102" s="509"/>
      <c r="P1102" s="509"/>
    </row>
    <row r="1103" spans="1:16" ht="21.75" customHeight="1" x14ac:dyDescent="0.3">
      <c r="A1103" s="504"/>
      <c r="B1103" s="504"/>
      <c r="C1103" s="504"/>
      <c r="D1103" s="504"/>
      <c r="E1103" s="506"/>
      <c r="F1103" s="506"/>
      <c r="G1103" s="506"/>
      <c r="H1103" s="506"/>
      <c r="I1103" s="506"/>
      <c r="J1103" s="506"/>
      <c r="K1103" s="507"/>
      <c r="L1103" s="508"/>
      <c r="M1103" s="508"/>
      <c r="N1103" s="508"/>
      <c r="O1103" s="509"/>
      <c r="P1103" s="509"/>
    </row>
    <row r="1104" spans="1:16" ht="21.75" customHeight="1" x14ac:dyDescent="0.3">
      <c r="A1104" s="504"/>
      <c r="B1104" s="504"/>
      <c r="C1104" s="504"/>
      <c r="D1104" s="504"/>
      <c r="E1104" s="506"/>
      <c r="F1104" s="506"/>
      <c r="G1104" s="506"/>
      <c r="H1104" s="506"/>
      <c r="I1104" s="506"/>
      <c r="J1104" s="506"/>
      <c r="K1104" s="507"/>
      <c r="L1104" s="508"/>
      <c r="M1104" s="508"/>
      <c r="N1104" s="508"/>
      <c r="O1104" s="509"/>
      <c r="P1104" s="509"/>
    </row>
    <row r="1105" spans="1:16" ht="21.75" customHeight="1" x14ac:dyDescent="0.3">
      <c r="A1105" s="504"/>
      <c r="B1105" s="504"/>
      <c r="C1105" s="504"/>
      <c r="D1105" s="504"/>
      <c r="E1105" s="506"/>
      <c r="F1105" s="506"/>
      <c r="G1105" s="506"/>
      <c r="H1105" s="506"/>
      <c r="I1105" s="506"/>
      <c r="J1105" s="506"/>
      <c r="K1105" s="507"/>
      <c r="L1105" s="508"/>
      <c r="M1105" s="508"/>
      <c r="N1105" s="508"/>
      <c r="O1105" s="509"/>
      <c r="P1105" s="509"/>
    </row>
    <row r="1106" spans="1:16" ht="21.75" customHeight="1" x14ac:dyDescent="0.3">
      <c r="A1106" s="504"/>
      <c r="B1106" s="504"/>
      <c r="C1106" s="504"/>
      <c r="D1106" s="504"/>
      <c r="E1106" s="506"/>
      <c r="F1106" s="506"/>
      <c r="G1106" s="506"/>
      <c r="H1106" s="506"/>
      <c r="I1106" s="506"/>
      <c r="J1106" s="506"/>
      <c r="K1106" s="507"/>
      <c r="L1106" s="508"/>
      <c r="M1106" s="508"/>
      <c r="N1106" s="508"/>
      <c r="O1106" s="509"/>
      <c r="P1106" s="509"/>
    </row>
    <row r="1107" spans="1:16" ht="21.75" customHeight="1" x14ac:dyDescent="0.3">
      <c r="A1107" s="504"/>
      <c r="B1107" s="504"/>
      <c r="C1107" s="504"/>
      <c r="D1107" s="504"/>
      <c r="E1107" s="506"/>
      <c r="F1107" s="506"/>
      <c r="G1107" s="506"/>
      <c r="H1107" s="506"/>
      <c r="I1107" s="506"/>
      <c r="J1107" s="506"/>
      <c r="K1107" s="507"/>
      <c r="L1107" s="508"/>
      <c r="M1107" s="508"/>
      <c r="N1107" s="508"/>
      <c r="O1107" s="509"/>
      <c r="P1107" s="509"/>
    </row>
    <row r="1108" spans="1:16" ht="21.75" customHeight="1" x14ac:dyDescent="0.3">
      <c r="A1108" s="504"/>
      <c r="B1108" s="504"/>
      <c r="C1108" s="504"/>
      <c r="D1108" s="504"/>
      <c r="E1108" s="506"/>
      <c r="F1108" s="506"/>
      <c r="G1108" s="506"/>
      <c r="H1108" s="506"/>
      <c r="I1108" s="506"/>
      <c r="J1108" s="506"/>
      <c r="K1108" s="507"/>
      <c r="L1108" s="508"/>
      <c r="M1108" s="508"/>
      <c r="N1108" s="508"/>
      <c r="O1108" s="509"/>
      <c r="P1108" s="509"/>
    </row>
    <row r="1109" spans="1:16" ht="21.75" customHeight="1" x14ac:dyDescent="0.3">
      <c r="A1109" s="504"/>
      <c r="B1109" s="504"/>
      <c r="C1109" s="504"/>
      <c r="D1109" s="504"/>
      <c r="E1109" s="506"/>
      <c r="F1109" s="506"/>
      <c r="G1109" s="506"/>
      <c r="H1109" s="506"/>
      <c r="I1109" s="506"/>
      <c r="J1109" s="506"/>
      <c r="K1109" s="507"/>
      <c r="L1109" s="508"/>
      <c r="M1109" s="508"/>
      <c r="N1109" s="508"/>
      <c r="O1109" s="509"/>
      <c r="P1109" s="509"/>
    </row>
    <row r="1110" spans="1:16" ht="21.75" customHeight="1" x14ac:dyDescent="0.3">
      <c r="A1110" s="504"/>
      <c r="B1110" s="504"/>
      <c r="C1110" s="504"/>
      <c r="D1110" s="504"/>
      <c r="E1110" s="506"/>
      <c r="F1110" s="506"/>
      <c r="G1110" s="506"/>
      <c r="H1110" s="506"/>
      <c r="I1110" s="506"/>
      <c r="J1110" s="506"/>
      <c r="K1110" s="507"/>
      <c r="L1110" s="508"/>
      <c r="M1110" s="508"/>
      <c r="N1110" s="508"/>
      <c r="O1110" s="509"/>
      <c r="P1110" s="509"/>
    </row>
    <row r="1111" spans="1:16" ht="21.75" customHeight="1" x14ac:dyDescent="0.3">
      <c r="A1111" s="504"/>
      <c r="B1111" s="504"/>
      <c r="C1111" s="504"/>
      <c r="D1111" s="504"/>
      <c r="E1111" s="506"/>
      <c r="F1111" s="506"/>
      <c r="G1111" s="506"/>
      <c r="H1111" s="506"/>
      <c r="I1111" s="506"/>
      <c r="J1111" s="506"/>
      <c r="K1111" s="507"/>
      <c r="L1111" s="508"/>
      <c r="M1111" s="508"/>
      <c r="N1111" s="508"/>
      <c r="O1111" s="509"/>
      <c r="P1111" s="509"/>
    </row>
    <row r="1112" spans="1:16" ht="21.75" customHeight="1" x14ac:dyDescent="0.3">
      <c r="A1112" s="504"/>
      <c r="B1112" s="504"/>
      <c r="C1112" s="504"/>
      <c r="D1112" s="504"/>
      <c r="E1112" s="506"/>
      <c r="F1112" s="506"/>
      <c r="G1112" s="506"/>
      <c r="H1112" s="506"/>
      <c r="I1112" s="506"/>
      <c r="J1112" s="506"/>
      <c r="K1112" s="507"/>
      <c r="L1112" s="508"/>
      <c r="M1112" s="508"/>
      <c r="N1112" s="508"/>
      <c r="O1112" s="509"/>
      <c r="P1112" s="509"/>
    </row>
    <row r="1113" spans="1:16" ht="21.75" customHeight="1" x14ac:dyDescent="0.3">
      <c r="A1113" s="504"/>
      <c r="B1113" s="504"/>
      <c r="C1113" s="504"/>
      <c r="D1113" s="504"/>
      <c r="E1113" s="506"/>
      <c r="F1113" s="506"/>
      <c r="G1113" s="506"/>
      <c r="H1113" s="506"/>
      <c r="I1113" s="506"/>
      <c r="J1113" s="506"/>
      <c r="K1113" s="507"/>
      <c r="L1113" s="508"/>
      <c r="M1113" s="508"/>
      <c r="N1113" s="508"/>
      <c r="O1113" s="509"/>
      <c r="P1113" s="509"/>
    </row>
    <row r="1114" spans="1:16" ht="21.75" customHeight="1" x14ac:dyDescent="0.3">
      <c r="A1114" s="504"/>
      <c r="B1114" s="504"/>
      <c r="C1114" s="504"/>
      <c r="D1114" s="504"/>
      <c r="E1114" s="506"/>
      <c r="F1114" s="506"/>
      <c r="G1114" s="506"/>
      <c r="H1114" s="506"/>
      <c r="I1114" s="506"/>
      <c r="J1114" s="506"/>
      <c r="K1114" s="507"/>
      <c r="L1114" s="508"/>
      <c r="M1114" s="508"/>
      <c r="N1114" s="508"/>
      <c r="O1114" s="509"/>
      <c r="P1114" s="509"/>
    </row>
    <row r="1115" spans="1:16" ht="21.75" customHeight="1" x14ac:dyDescent="0.3">
      <c r="A1115" s="504"/>
      <c r="B1115" s="504"/>
      <c r="C1115" s="504"/>
      <c r="D1115" s="504"/>
      <c r="E1115" s="506"/>
      <c r="F1115" s="506"/>
      <c r="G1115" s="506"/>
      <c r="H1115" s="506"/>
      <c r="I1115" s="506"/>
      <c r="J1115" s="506"/>
      <c r="K1115" s="507"/>
      <c r="L1115" s="508"/>
      <c r="M1115" s="508"/>
      <c r="N1115" s="508"/>
      <c r="O1115" s="509"/>
      <c r="P1115" s="509"/>
    </row>
    <row r="1116" spans="1:16" ht="21.75" customHeight="1" x14ac:dyDescent="0.3">
      <c r="A1116" s="504"/>
      <c r="B1116" s="504"/>
      <c r="C1116" s="504"/>
      <c r="D1116" s="504"/>
      <c r="E1116" s="506"/>
      <c r="F1116" s="506"/>
      <c r="G1116" s="506"/>
      <c r="H1116" s="506"/>
      <c r="I1116" s="506"/>
      <c r="J1116" s="506"/>
      <c r="K1116" s="507"/>
      <c r="L1116" s="508"/>
      <c r="M1116" s="508"/>
      <c r="N1116" s="508"/>
      <c r="O1116" s="509"/>
      <c r="P1116" s="509"/>
    </row>
    <row r="1117" spans="1:16" ht="21.75" customHeight="1" x14ac:dyDescent="0.3">
      <c r="A1117" s="504"/>
      <c r="B1117" s="504"/>
      <c r="C1117" s="504"/>
      <c r="D1117" s="504"/>
      <c r="E1117" s="506"/>
      <c r="F1117" s="506"/>
      <c r="G1117" s="506"/>
      <c r="H1117" s="506"/>
      <c r="I1117" s="506"/>
      <c r="J1117" s="506"/>
      <c r="K1117" s="507"/>
      <c r="L1117" s="508"/>
      <c r="M1117" s="508"/>
      <c r="N1117" s="508"/>
      <c r="O1117" s="509"/>
      <c r="P1117" s="509"/>
    </row>
    <row r="1118" spans="1:16" ht="21.75" customHeight="1" x14ac:dyDescent="0.3">
      <c r="A1118" s="504"/>
      <c r="B1118" s="504"/>
      <c r="C1118" s="504"/>
      <c r="D1118" s="504"/>
      <c r="E1118" s="506"/>
      <c r="F1118" s="506"/>
      <c r="G1118" s="506"/>
      <c r="H1118" s="506"/>
      <c r="I1118" s="506"/>
      <c r="J1118" s="506"/>
      <c r="K1118" s="507"/>
      <c r="L1118" s="508"/>
      <c r="M1118" s="508"/>
      <c r="N1118" s="508"/>
      <c r="O1118" s="509"/>
      <c r="P1118" s="509"/>
    </row>
    <row r="1119" spans="1:16" ht="21.75" customHeight="1" x14ac:dyDescent="0.3">
      <c r="A1119" s="504"/>
      <c r="B1119" s="504"/>
      <c r="C1119" s="504"/>
      <c r="D1119" s="504"/>
      <c r="E1119" s="506"/>
      <c r="F1119" s="506"/>
      <c r="G1119" s="506"/>
      <c r="H1119" s="506"/>
      <c r="I1119" s="506"/>
      <c r="J1119" s="506"/>
      <c r="K1119" s="507"/>
      <c r="L1119" s="508"/>
      <c r="M1119" s="508"/>
      <c r="N1119" s="508"/>
      <c r="O1119" s="509"/>
      <c r="P1119" s="509"/>
    </row>
    <row r="1120" spans="1:16" ht="21.75" customHeight="1" x14ac:dyDescent="0.3">
      <c r="A1120" s="504"/>
      <c r="B1120" s="504"/>
      <c r="C1120" s="504"/>
      <c r="D1120" s="504"/>
      <c r="E1120" s="506"/>
      <c r="F1120" s="506"/>
      <c r="G1120" s="506"/>
      <c r="H1120" s="506"/>
      <c r="I1120" s="506"/>
      <c r="J1120" s="506"/>
      <c r="K1120" s="507"/>
      <c r="L1120" s="508"/>
      <c r="M1120" s="508"/>
      <c r="N1120" s="508"/>
      <c r="O1120" s="509"/>
      <c r="P1120" s="509"/>
    </row>
    <row r="1121" spans="1:16" ht="21.75" customHeight="1" x14ac:dyDescent="0.3">
      <c r="A1121" s="504"/>
      <c r="B1121" s="504"/>
      <c r="C1121" s="504"/>
      <c r="D1121" s="504"/>
      <c r="E1121" s="506"/>
      <c r="F1121" s="506"/>
      <c r="G1121" s="506"/>
      <c r="H1121" s="506"/>
      <c r="I1121" s="506"/>
      <c r="J1121" s="506"/>
      <c r="K1121" s="507"/>
      <c r="L1121" s="508"/>
      <c r="M1121" s="508"/>
      <c r="N1121" s="508"/>
      <c r="O1121" s="509"/>
      <c r="P1121" s="509"/>
    </row>
    <row r="1122" spans="1:16" ht="21.75" customHeight="1" x14ac:dyDescent="0.3">
      <c r="A1122" s="504"/>
      <c r="B1122" s="504"/>
      <c r="C1122" s="504"/>
      <c r="D1122" s="504"/>
      <c r="E1122" s="506"/>
      <c r="F1122" s="506"/>
      <c r="G1122" s="506"/>
      <c r="H1122" s="506"/>
      <c r="I1122" s="506"/>
      <c r="J1122" s="506"/>
      <c r="K1122" s="507"/>
      <c r="L1122" s="508"/>
      <c r="M1122" s="508"/>
      <c r="N1122" s="508"/>
      <c r="O1122" s="509"/>
      <c r="P1122" s="509"/>
    </row>
    <row r="1123" spans="1:16" ht="21.75" customHeight="1" x14ac:dyDescent="0.3">
      <c r="A1123" s="504"/>
      <c r="B1123" s="504"/>
      <c r="C1123" s="504"/>
      <c r="D1123" s="504"/>
      <c r="E1123" s="506"/>
      <c r="F1123" s="506"/>
      <c r="G1123" s="506"/>
      <c r="H1123" s="506"/>
      <c r="I1123" s="506"/>
      <c r="J1123" s="506"/>
      <c r="K1123" s="507"/>
      <c r="L1123" s="508"/>
      <c r="M1123" s="508"/>
      <c r="N1123" s="508"/>
      <c r="O1123" s="509"/>
      <c r="P1123" s="509"/>
    </row>
    <row r="1124" spans="1:16" ht="21.75" customHeight="1" x14ac:dyDescent="0.3">
      <c r="A1124" s="504"/>
      <c r="B1124" s="504"/>
      <c r="C1124" s="504"/>
      <c r="D1124" s="504"/>
      <c r="E1124" s="506"/>
      <c r="F1124" s="506"/>
      <c r="G1124" s="506"/>
      <c r="H1124" s="506"/>
      <c r="I1124" s="506"/>
      <c r="J1124" s="506"/>
      <c r="K1124" s="507"/>
      <c r="L1124" s="508"/>
      <c r="M1124" s="508"/>
      <c r="N1124" s="508"/>
      <c r="O1124" s="509"/>
      <c r="P1124" s="509"/>
    </row>
    <row r="1125" spans="1:16" ht="21.75" customHeight="1" x14ac:dyDescent="0.3">
      <c r="A1125" s="504"/>
      <c r="B1125" s="504"/>
      <c r="C1125" s="504"/>
      <c r="D1125" s="504"/>
      <c r="E1125" s="506"/>
      <c r="F1125" s="506"/>
      <c r="G1125" s="506"/>
      <c r="H1125" s="506"/>
      <c r="I1125" s="506"/>
      <c r="J1125" s="506"/>
      <c r="K1125" s="507"/>
      <c r="L1125" s="508"/>
      <c r="M1125" s="508"/>
      <c r="N1125" s="508"/>
      <c r="O1125" s="509"/>
      <c r="P1125" s="509"/>
    </row>
    <row r="1126" spans="1:16" ht="21.75" customHeight="1" x14ac:dyDescent="0.3">
      <c r="A1126" s="504"/>
      <c r="B1126" s="504"/>
      <c r="C1126" s="504"/>
      <c r="D1126" s="504"/>
      <c r="E1126" s="506"/>
      <c r="F1126" s="506"/>
      <c r="G1126" s="506"/>
      <c r="H1126" s="506"/>
      <c r="I1126" s="506"/>
      <c r="J1126" s="506"/>
      <c r="K1126" s="507"/>
      <c r="L1126" s="508"/>
      <c r="M1126" s="508"/>
      <c r="N1126" s="508"/>
      <c r="O1126" s="509"/>
      <c r="P1126" s="509"/>
    </row>
    <row r="1127" spans="1:16" ht="21.75" customHeight="1" x14ac:dyDescent="0.3">
      <c r="A1127" s="504"/>
      <c r="B1127" s="504"/>
      <c r="C1127" s="504"/>
      <c r="D1127" s="504"/>
      <c r="E1127" s="506"/>
      <c r="F1127" s="506"/>
      <c r="G1127" s="506"/>
      <c r="H1127" s="506"/>
      <c r="I1127" s="506"/>
      <c r="J1127" s="506"/>
      <c r="K1127" s="507"/>
      <c r="L1127" s="508"/>
      <c r="M1127" s="508"/>
      <c r="N1127" s="508"/>
      <c r="O1127" s="509"/>
      <c r="P1127" s="509"/>
    </row>
    <row r="1128" spans="1:16" ht="21.75" customHeight="1" x14ac:dyDescent="0.3">
      <c r="A1128" s="504"/>
      <c r="B1128" s="504"/>
      <c r="C1128" s="504"/>
      <c r="D1128" s="504"/>
      <c r="E1128" s="506"/>
      <c r="F1128" s="506"/>
      <c r="G1128" s="506"/>
      <c r="H1128" s="506"/>
      <c r="I1128" s="506"/>
      <c r="J1128" s="506"/>
      <c r="K1128" s="507"/>
      <c r="L1128" s="508"/>
      <c r="M1128" s="508"/>
      <c r="N1128" s="508"/>
      <c r="O1128" s="509"/>
      <c r="P1128" s="509"/>
    </row>
    <row r="1129" spans="1:16" ht="21.75" customHeight="1" x14ac:dyDescent="0.3">
      <c r="A1129" s="504"/>
      <c r="B1129" s="504"/>
      <c r="C1129" s="504"/>
      <c r="D1129" s="504"/>
      <c r="E1129" s="506"/>
      <c r="F1129" s="506"/>
      <c r="G1129" s="506"/>
      <c r="H1129" s="506"/>
      <c r="I1129" s="506"/>
      <c r="J1129" s="506"/>
      <c r="K1129" s="507"/>
      <c r="L1129" s="508"/>
      <c r="M1129" s="508"/>
      <c r="N1129" s="508"/>
      <c r="O1129" s="509"/>
      <c r="P1129" s="509"/>
    </row>
    <row r="1130" spans="1:16" ht="21.75" customHeight="1" x14ac:dyDescent="0.3">
      <c r="A1130" s="504"/>
      <c r="B1130" s="504"/>
      <c r="C1130" s="504"/>
      <c r="D1130" s="504"/>
      <c r="E1130" s="506"/>
      <c r="F1130" s="506"/>
      <c r="G1130" s="506"/>
      <c r="H1130" s="506"/>
      <c r="I1130" s="506"/>
      <c r="J1130" s="506"/>
      <c r="K1130" s="507"/>
      <c r="L1130" s="508"/>
      <c r="M1130" s="508"/>
      <c r="N1130" s="508"/>
      <c r="O1130" s="509"/>
      <c r="P1130" s="509"/>
    </row>
    <row r="1131" spans="1:16" ht="21.75" customHeight="1" x14ac:dyDescent="0.3">
      <c r="A1131" s="504"/>
      <c r="B1131" s="504"/>
      <c r="C1131" s="504"/>
      <c r="D1131" s="504"/>
      <c r="E1131" s="506"/>
      <c r="F1131" s="506"/>
      <c r="G1131" s="506"/>
      <c r="H1131" s="506"/>
      <c r="I1131" s="506"/>
      <c r="J1131" s="506"/>
      <c r="K1131" s="507"/>
      <c r="L1131" s="508"/>
      <c r="M1131" s="508"/>
      <c r="N1131" s="508"/>
      <c r="O1131" s="509"/>
      <c r="P1131" s="509"/>
    </row>
    <row r="1132" spans="1:16" ht="21.75" customHeight="1" x14ac:dyDescent="0.3">
      <c r="A1132" s="504"/>
      <c r="B1132" s="504"/>
      <c r="C1132" s="504"/>
      <c r="D1132" s="504"/>
      <c r="E1132" s="506"/>
      <c r="F1132" s="506"/>
      <c r="G1132" s="506"/>
      <c r="H1132" s="506"/>
      <c r="I1132" s="506"/>
      <c r="J1132" s="506"/>
      <c r="K1132" s="507"/>
      <c r="L1132" s="508"/>
      <c r="M1132" s="508"/>
      <c r="N1132" s="508"/>
      <c r="O1132" s="509"/>
      <c r="P1132" s="509"/>
    </row>
    <row r="1133" spans="1:16" ht="21.75" customHeight="1" x14ac:dyDescent="0.3">
      <c r="A1133" s="504"/>
      <c r="B1133" s="504"/>
      <c r="C1133" s="504"/>
      <c r="D1133" s="504"/>
      <c r="E1133" s="506"/>
      <c r="F1133" s="506"/>
      <c r="G1133" s="506"/>
      <c r="H1133" s="506"/>
      <c r="I1133" s="506"/>
      <c r="J1133" s="506"/>
      <c r="K1133" s="507"/>
      <c r="L1133" s="508"/>
      <c r="M1133" s="508"/>
      <c r="N1133" s="508"/>
      <c r="O1133" s="509"/>
      <c r="P1133" s="509"/>
    </row>
    <row r="1134" spans="1:16" ht="21.75" customHeight="1" x14ac:dyDescent="0.3">
      <c r="A1134" s="504"/>
      <c r="B1134" s="504"/>
      <c r="C1134" s="504"/>
      <c r="D1134" s="504"/>
      <c r="E1134" s="506"/>
      <c r="F1134" s="506"/>
      <c r="G1134" s="506"/>
      <c r="H1134" s="506"/>
      <c r="I1134" s="506"/>
      <c r="J1134" s="506"/>
      <c r="K1134" s="507"/>
      <c r="L1134" s="508"/>
      <c r="M1134" s="508"/>
      <c r="N1134" s="508"/>
      <c r="O1134" s="509"/>
      <c r="P1134" s="509"/>
    </row>
    <row r="1135" spans="1:16" ht="21.75" customHeight="1" x14ac:dyDescent="0.3">
      <c r="A1135" s="504"/>
      <c r="B1135" s="504"/>
      <c r="C1135" s="504"/>
      <c r="D1135" s="504"/>
      <c r="E1135" s="506"/>
      <c r="F1135" s="506"/>
      <c r="G1135" s="506"/>
      <c r="H1135" s="506"/>
      <c r="I1135" s="506"/>
      <c r="J1135" s="506"/>
      <c r="K1135" s="507"/>
      <c r="L1135" s="508"/>
      <c r="M1135" s="508"/>
      <c r="N1135" s="508"/>
      <c r="O1135" s="509"/>
      <c r="P1135" s="509"/>
    </row>
    <row r="1136" spans="1:16" ht="21.75" customHeight="1" x14ac:dyDescent="0.3">
      <c r="A1136" s="504"/>
      <c r="B1136" s="504"/>
      <c r="C1136" s="504"/>
      <c r="D1136" s="504"/>
      <c r="E1136" s="506"/>
      <c r="F1136" s="506"/>
      <c r="G1136" s="506"/>
      <c r="H1136" s="506"/>
      <c r="I1136" s="506"/>
      <c r="J1136" s="506"/>
      <c r="K1136" s="507"/>
      <c r="L1136" s="508"/>
      <c r="M1136" s="508"/>
      <c r="N1136" s="508"/>
      <c r="O1136" s="509"/>
      <c r="P1136" s="509"/>
    </row>
    <row r="1137" spans="1:16" ht="21.75" customHeight="1" x14ac:dyDescent="0.3">
      <c r="A1137" s="504"/>
      <c r="B1137" s="504"/>
      <c r="C1137" s="504"/>
      <c r="D1137" s="504"/>
      <c r="E1137" s="506"/>
      <c r="F1137" s="506"/>
      <c r="G1137" s="506"/>
      <c r="H1137" s="506"/>
      <c r="I1137" s="506"/>
      <c r="J1137" s="506"/>
      <c r="K1137" s="507"/>
      <c r="L1137" s="508"/>
      <c r="M1137" s="508"/>
      <c r="N1137" s="508"/>
      <c r="O1137" s="509"/>
      <c r="P1137" s="509"/>
    </row>
    <row r="1138" spans="1:16" ht="21.75" customHeight="1" x14ac:dyDescent="0.3">
      <c r="A1138" s="504"/>
      <c r="B1138" s="504"/>
      <c r="C1138" s="504"/>
      <c r="D1138" s="504"/>
      <c r="E1138" s="506"/>
      <c r="F1138" s="506"/>
      <c r="G1138" s="506"/>
      <c r="H1138" s="506"/>
      <c r="I1138" s="506"/>
      <c r="J1138" s="506"/>
      <c r="K1138" s="507"/>
      <c r="L1138" s="508"/>
      <c r="M1138" s="508"/>
      <c r="N1138" s="508"/>
      <c r="O1138" s="509"/>
      <c r="P1138" s="509"/>
    </row>
    <row r="1139" spans="1:16" ht="21.75" customHeight="1" x14ac:dyDescent="0.3">
      <c r="A1139" s="504"/>
      <c r="B1139" s="504"/>
      <c r="C1139" s="504"/>
      <c r="D1139" s="504"/>
      <c r="E1139" s="506"/>
      <c r="F1139" s="506"/>
      <c r="G1139" s="506"/>
      <c r="H1139" s="506"/>
      <c r="I1139" s="506"/>
      <c r="J1139" s="506"/>
      <c r="K1139" s="507"/>
      <c r="L1139" s="508"/>
      <c r="M1139" s="508"/>
      <c r="N1139" s="508"/>
      <c r="O1139" s="509"/>
      <c r="P1139" s="509"/>
    </row>
    <row r="1140" spans="1:16" ht="21.75" customHeight="1" x14ac:dyDescent="0.3">
      <c r="A1140" s="504"/>
      <c r="B1140" s="504"/>
      <c r="C1140" s="504"/>
      <c r="D1140" s="504"/>
      <c r="E1140" s="506"/>
      <c r="F1140" s="506"/>
      <c r="G1140" s="506"/>
      <c r="H1140" s="506"/>
      <c r="I1140" s="506"/>
      <c r="J1140" s="506"/>
      <c r="K1140" s="507"/>
      <c r="L1140" s="508"/>
      <c r="M1140" s="508"/>
      <c r="N1140" s="508"/>
      <c r="O1140" s="509"/>
      <c r="P1140" s="509"/>
    </row>
    <row r="1141" spans="1:16" ht="21.75" customHeight="1" x14ac:dyDescent="0.3">
      <c r="A1141" s="504"/>
      <c r="B1141" s="504"/>
      <c r="C1141" s="504"/>
      <c r="D1141" s="504"/>
      <c r="E1141" s="506"/>
      <c r="F1141" s="506"/>
      <c r="G1141" s="506"/>
      <c r="H1141" s="506"/>
      <c r="I1141" s="506"/>
      <c r="J1141" s="506"/>
      <c r="K1141" s="507"/>
      <c r="L1141" s="508"/>
      <c r="M1141" s="508"/>
      <c r="N1141" s="508"/>
      <c r="O1141" s="509"/>
      <c r="P1141" s="509"/>
    </row>
    <row r="1142" spans="1:16" ht="21.75" customHeight="1" x14ac:dyDescent="0.3">
      <c r="A1142" s="504"/>
      <c r="B1142" s="504"/>
      <c r="C1142" s="504"/>
      <c r="D1142" s="504"/>
      <c r="E1142" s="506"/>
      <c r="F1142" s="506"/>
      <c r="G1142" s="506"/>
      <c r="H1142" s="506"/>
      <c r="I1142" s="506"/>
      <c r="J1142" s="506"/>
      <c r="K1142" s="507"/>
      <c r="L1142" s="508"/>
      <c r="M1142" s="508"/>
      <c r="N1142" s="508"/>
      <c r="O1142" s="509"/>
      <c r="P1142" s="509"/>
    </row>
    <row r="1143" spans="1:16" ht="21.75" customHeight="1" x14ac:dyDescent="0.3">
      <c r="A1143" s="504"/>
      <c r="B1143" s="504"/>
      <c r="C1143" s="504"/>
      <c r="D1143" s="504"/>
      <c r="E1143" s="506"/>
      <c r="F1143" s="506"/>
      <c r="G1143" s="506"/>
      <c r="H1143" s="506"/>
      <c r="I1143" s="506"/>
      <c r="J1143" s="506"/>
      <c r="K1143" s="507"/>
      <c r="L1143" s="508"/>
      <c r="M1143" s="508"/>
      <c r="N1143" s="508"/>
      <c r="O1143" s="509"/>
      <c r="P1143" s="509"/>
    </row>
  </sheetData>
  <mergeCells count="49">
    <mergeCell ref="D310:G310"/>
    <mergeCell ref="D317:E317"/>
    <mergeCell ref="D329:G329"/>
    <mergeCell ref="D336:E336"/>
    <mergeCell ref="D140:G140"/>
    <mergeCell ref="D147:E147"/>
    <mergeCell ref="D220:G220"/>
    <mergeCell ref="D227:E227"/>
    <mergeCell ref="D250:G250"/>
    <mergeCell ref="D257:E257"/>
    <mergeCell ref="D271:G271"/>
    <mergeCell ref="D118:G118"/>
    <mergeCell ref="D125:E125"/>
    <mergeCell ref="D278:E278"/>
    <mergeCell ref="D290:G290"/>
    <mergeCell ref="D297:E297"/>
    <mergeCell ref="D60:E60"/>
    <mergeCell ref="D66:G66"/>
    <mergeCell ref="D73:E73"/>
    <mergeCell ref="D94:G94"/>
    <mergeCell ref="D101:E101"/>
    <mergeCell ref="D44:F44"/>
    <mergeCell ref="D48:E48"/>
    <mergeCell ref="B52:G52"/>
    <mergeCell ref="D53:G53"/>
    <mergeCell ref="D56:F56"/>
    <mergeCell ref="D31:F31"/>
    <mergeCell ref="D35:E35"/>
    <mergeCell ref="A38:G38"/>
    <mergeCell ref="B39:G39"/>
    <mergeCell ref="D41:G41"/>
    <mergeCell ref="D18:G18"/>
    <mergeCell ref="D21:F21"/>
    <mergeCell ref="D25:E25"/>
    <mergeCell ref="A27:G27"/>
    <mergeCell ref="D28:G28"/>
    <mergeCell ref="A7:G7"/>
    <mergeCell ref="D8:G8"/>
    <mergeCell ref="D11:F11"/>
    <mergeCell ref="D15:E15"/>
    <mergeCell ref="A17:G17"/>
    <mergeCell ref="H5:H6"/>
    <mergeCell ref="I5:K5"/>
    <mergeCell ref="L5:M5"/>
    <mergeCell ref="N5:P5"/>
    <mergeCell ref="A5:G6"/>
    <mergeCell ref="A1:P1"/>
    <mergeCell ref="A2:P2"/>
    <mergeCell ref="A3:P3"/>
  </mergeCells>
  <printOptions horizontalCentered="1"/>
  <pageMargins left="0.23622047244094491" right="0.27559055118110237" top="0.31496062992125984" bottom="0.39370078740157483" header="0" footer="0"/>
  <pageSetup paperSize="9" scale="39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46" max="16383" man="1"/>
    <brk id="326" max="16383" man="1"/>
    <brk id="400" max="16383" man="1"/>
    <brk id="486" max="16383" man="1"/>
    <brk id="563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J7" sqref="J7"/>
      <selection pane="bottomLeft" activeCell="I569" sqref="I569"/>
    </sheetView>
  </sheetViews>
  <sheetFormatPr defaultColWidth="12.6640625" defaultRowHeight="15" customHeight="1" x14ac:dyDescent="0.3"/>
  <cols>
    <col min="1" max="3" width="2.75" customWidth="1"/>
    <col min="4" max="6" width="5" customWidth="1"/>
    <col min="7" max="7" width="70.9140625" customWidth="1"/>
    <col min="8" max="8" width="9.5" customWidth="1"/>
    <col min="9" max="10" width="13.9140625" customWidth="1"/>
    <col min="11" max="11" width="10.08203125" bestFit="1" customWidth="1"/>
    <col min="12" max="12" width="17.75" bestFit="1" customWidth="1"/>
    <col min="13" max="13" width="17.6640625" customWidth="1"/>
    <col min="14" max="14" width="19.5" customWidth="1"/>
    <col min="15" max="15" width="16.5" customWidth="1"/>
    <col min="16" max="16" width="18" customWidth="1"/>
  </cols>
  <sheetData>
    <row r="1" spans="1:16" ht="18" customHeight="1" x14ac:dyDescent="0.3">
      <c r="A1" s="512" t="s">
        <v>0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</row>
    <row r="2" spans="1:16" ht="18" customHeight="1" x14ac:dyDescent="0.3">
      <c r="A2" s="512" t="s">
        <v>248</v>
      </c>
      <c r="B2" s="512"/>
      <c r="C2" s="512"/>
      <c r="D2" s="512"/>
      <c r="E2" s="512"/>
      <c r="F2" s="512"/>
      <c r="G2" s="512"/>
      <c r="H2" s="512"/>
      <c r="I2" s="512"/>
      <c r="J2" s="512"/>
      <c r="K2" s="512"/>
      <c r="L2" s="512"/>
      <c r="M2" s="512"/>
      <c r="N2" s="512"/>
      <c r="O2" s="512"/>
      <c r="P2" s="512"/>
    </row>
    <row r="3" spans="1:16" ht="18" customHeight="1" x14ac:dyDescent="0.3">
      <c r="A3" s="512" t="s">
        <v>272</v>
      </c>
      <c r="B3" s="512"/>
      <c r="C3" s="512"/>
      <c r="D3" s="512"/>
      <c r="E3" s="512"/>
      <c r="F3" s="512"/>
      <c r="G3" s="512"/>
      <c r="H3" s="512"/>
      <c r="I3" s="512"/>
      <c r="J3" s="512"/>
      <c r="K3" s="512"/>
      <c r="L3" s="512"/>
      <c r="M3" s="512"/>
      <c r="N3" s="512"/>
      <c r="O3" s="512"/>
      <c r="P3" s="512"/>
    </row>
    <row r="4" spans="1:16" ht="33.75" customHeight="1" x14ac:dyDescent="0.3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3">
      <c r="A5" s="520" t="s">
        <v>2</v>
      </c>
      <c r="B5" s="521"/>
      <c r="C5" s="521"/>
      <c r="D5" s="521"/>
      <c r="E5" s="521"/>
      <c r="F5" s="521"/>
      <c r="G5" s="522"/>
      <c r="H5" s="513" t="s">
        <v>3</v>
      </c>
      <c r="I5" s="515" t="s">
        <v>4</v>
      </c>
      <c r="J5" s="516"/>
      <c r="K5" s="517"/>
      <c r="L5" s="518" t="s">
        <v>5</v>
      </c>
      <c r="M5" s="517"/>
      <c r="N5" s="519" t="s">
        <v>6</v>
      </c>
      <c r="O5" s="516"/>
      <c r="P5" s="517"/>
    </row>
    <row r="6" spans="1:16" ht="21.75" customHeight="1" x14ac:dyDescent="0.3">
      <c r="A6" s="523"/>
      <c r="B6" s="524"/>
      <c r="C6" s="524"/>
      <c r="D6" s="524"/>
      <c r="E6" s="524"/>
      <c r="F6" s="524"/>
      <c r="G6" s="525"/>
      <c r="H6" s="514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45">
      <c r="A7" s="526" t="s">
        <v>15</v>
      </c>
      <c r="B7" s="516"/>
      <c r="C7" s="516"/>
      <c r="D7" s="516"/>
      <c r="E7" s="516"/>
      <c r="F7" s="516"/>
      <c r="G7" s="517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45">
      <c r="A8" s="17"/>
      <c r="B8" s="18"/>
      <c r="C8" s="19" t="s">
        <v>16</v>
      </c>
      <c r="D8" s="527" t="s">
        <v>17</v>
      </c>
      <c r="E8" s="528"/>
      <c r="F8" s="528"/>
      <c r="G8" s="528"/>
      <c r="H8" s="20" t="s">
        <v>12</v>
      </c>
      <c r="I8" s="21"/>
      <c r="J8" s="21"/>
      <c r="K8" s="22"/>
      <c r="L8" s="23">
        <f t="shared" ref="L8:N8" ca="1" si="0">L9+L10</f>
        <v>13688669</v>
      </c>
      <c r="M8" s="23">
        <f t="shared" ca="1" si="0"/>
        <v>9375455</v>
      </c>
      <c r="N8" s="23">
        <f t="shared" ca="1" si="0"/>
        <v>2259372</v>
      </c>
      <c r="O8" s="22">
        <f t="shared" ref="O8:O16" ca="1" si="1">IF(L8&gt;0,N8*100/L8,0)</f>
        <v>16.505417729072125</v>
      </c>
      <c r="P8" s="22">
        <f t="shared" ref="P8:P16" ca="1" si="2">IF(M8&gt;0,N8*100/M8,0)</f>
        <v>24.098798404984077</v>
      </c>
    </row>
    <row r="9" spans="1:16" ht="21.75" customHeight="1" x14ac:dyDescent="0.45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45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13688669</v>
      </c>
      <c r="M10" s="30">
        <f t="shared" ca="1" si="4"/>
        <v>9375455</v>
      </c>
      <c r="N10" s="30">
        <f t="shared" ca="1" si="4"/>
        <v>2259372</v>
      </c>
      <c r="O10" s="29">
        <f t="shared" ca="1" si="1"/>
        <v>16.505417729072125</v>
      </c>
      <c r="P10" s="29">
        <f t="shared" ca="1" si="2"/>
        <v>24.098798404984077</v>
      </c>
    </row>
    <row r="11" spans="1:16" ht="21.75" customHeight="1" x14ac:dyDescent="0.45">
      <c r="A11" s="31"/>
      <c r="B11" s="32"/>
      <c r="C11" s="33" t="s">
        <v>16</v>
      </c>
      <c r="D11" s="529" t="s">
        <v>20</v>
      </c>
      <c r="E11" s="530"/>
      <c r="F11" s="530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45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6398069</v>
      </c>
      <c r="M12" s="38">
        <f t="shared" ca="1" si="6"/>
        <v>2084855</v>
      </c>
      <c r="N12" s="38">
        <f t="shared" ca="1" si="6"/>
        <v>1768772</v>
      </c>
      <c r="O12" s="38">
        <f t="shared" ca="1" si="1"/>
        <v>27.64540363662849</v>
      </c>
      <c r="P12" s="38">
        <f t="shared" ca="1" si="2"/>
        <v>84.839089529008007</v>
      </c>
    </row>
    <row r="13" spans="1:16" ht="21.75" customHeight="1" x14ac:dyDescent="0.45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1874000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45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4524069</v>
      </c>
      <c r="M14" s="38">
        <f t="shared" si="8"/>
        <v>0</v>
      </c>
      <c r="N14" s="38">
        <f t="shared" ca="1" si="8"/>
        <v>302954</v>
      </c>
      <c r="O14" s="38">
        <f t="shared" ca="1" si="1"/>
        <v>6.6964937979504731</v>
      </c>
      <c r="P14" s="38">
        <f t="shared" si="2"/>
        <v>0</v>
      </c>
    </row>
    <row r="15" spans="1:16" ht="21.75" customHeight="1" x14ac:dyDescent="0.45">
      <c r="A15" s="31"/>
      <c r="B15" s="32"/>
      <c r="C15" s="33" t="s">
        <v>16</v>
      </c>
      <c r="D15" s="529" t="s">
        <v>23</v>
      </c>
      <c r="E15" s="530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45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7290600</v>
      </c>
      <c r="M16" s="38">
        <f t="shared" ca="1" si="10"/>
        <v>7290600</v>
      </c>
      <c r="N16" s="38">
        <f t="shared" ca="1" si="10"/>
        <v>490600</v>
      </c>
      <c r="O16" s="49">
        <f t="shared" ca="1" si="1"/>
        <v>6.729212959152882</v>
      </c>
      <c r="P16" s="49">
        <f t="shared" ca="1" si="2"/>
        <v>6.729212959152882</v>
      </c>
    </row>
    <row r="17" spans="1:16" ht="21.75" customHeight="1" x14ac:dyDescent="0.45">
      <c r="A17" s="526" t="s">
        <v>24</v>
      </c>
      <c r="B17" s="516"/>
      <c r="C17" s="516"/>
      <c r="D17" s="516"/>
      <c r="E17" s="516"/>
      <c r="F17" s="516"/>
      <c r="G17" s="517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45">
      <c r="A18" s="17"/>
      <c r="B18" s="18"/>
      <c r="C18" s="19" t="s">
        <v>16</v>
      </c>
      <c r="D18" s="527" t="s">
        <v>17</v>
      </c>
      <c r="E18" s="528"/>
      <c r="F18" s="528"/>
      <c r="G18" s="528"/>
      <c r="H18" s="20" t="s">
        <v>12</v>
      </c>
      <c r="I18" s="21"/>
      <c r="J18" s="21"/>
      <c r="K18" s="22"/>
      <c r="L18" s="23">
        <f t="shared" ref="L18:N18" ca="1" si="11">L19+L20</f>
        <v>10918675</v>
      </c>
      <c r="M18" s="23">
        <f t="shared" ca="1" si="11"/>
        <v>9375455</v>
      </c>
      <c r="N18" s="23">
        <f t="shared" ca="1" si="11"/>
        <v>1956418</v>
      </c>
      <c r="O18" s="22">
        <f t="shared" ref="O18:O20" ca="1" si="12">IF(L18&gt;0,N18*100/L18,0)</f>
        <v>17.918089878121659</v>
      </c>
      <c r="P18" s="22">
        <f t="shared" ref="P18:P26" ca="1" si="13">IF(M18&gt;0,N18*100/M18,0)</f>
        <v>20.867445899958987</v>
      </c>
    </row>
    <row r="19" spans="1:16" ht="21.75" customHeight="1" x14ac:dyDescent="0.45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45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10918675</v>
      </c>
      <c r="M20" s="30">
        <f t="shared" ca="1" si="15"/>
        <v>9375455</v>
      </c>
      <c r="N20" s="30">
        <f t="shared" ca="1" si="15"/>
        <v>1956418</v>
      </c>
      <c r="O20" s="29">
        <f t="shared" ca="1" si="12"/>
        <v>17.918089878121659</v>
      </c>
      <c r="P20" s="29">
        <f t="shared" ca="1" si="13"/>
        <v>20.867445899958987</v>
      </c>
    </row>
    <row r="21" spans="1:16" ht="21.75" customHeight="1" x14ac:dyDescent="0.45">
      <c r="A21" s="31"/>
      <c r="B21" s="32"/>
      <c r="C21" s="33" t="s">
        <v>16</v>
      </c>
      <c r="D21" s="529" t="s">
        <v>20</v>
      </c>
      <c r="E21" s="530"/>
      <c r="F21" s="530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45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3628075</v>
      </c>
      <c r="M22" s="41">
        <f t="shared" ca="1" si="18"/>
        <v>2084855</v>
      </c>
      <c r="N22" s="38">
        <f t="shared" ca="1" si="18"/>
        <v>1465818</v>
      </c>
      <c r="O22" s="38">
        <f t="shared" ca="1" si="17"/>
        <v>40.402086505929454</v>
      </c>
      <c r="P22" s="38">
        <f t="shared" ca="1" si="13"/>
        <v>70.307911101731293</v>
      </c>
    </row>
    <row r="23" spans="1:16" ht="21.75" customHeight="1" x14ac:dyDescent="0.45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1874000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45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1754075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45">
      <c r="A25" s="31"/>
      <c r="B25" s="32"/>
      <c r="C25" s="33" t="s">
        <v>16</v>
      </c>
      <c r="D25" s="529" t="s">
        <v>23</v>
      </c>
      <c r="E25" s="530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45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7290600</v>
      </c>
      <c r="M26" s="49">
        <f t="shared" ca="1" si="22"/>
        <v>7290600</v>
      </c>
      <c r="N26" s="49">
        <f t="shared" ca="1" si="22"/>
        <v>490600</v>
      </c>
      <c r="O26" s="49">
        <f t="shared" ca="1" si="17"/>
        <v>6.729212959152882</v>
      </c>
      <c r="P26" s="49">
        <f t="shared" ca="1" si="13"/>
        <v>6.729212959152882</v>
      </c>
    </row>
    <row r="27" spans="1:16" ht="21.75" customHeight="1" x14ac:dyDescent="0.45">
      <c r="A27" s="526" t="s">
        <v>25</v>
      </c>
      <c r="B27" s="516"/>
      <c r="C27" s="516"/>
      <c r="D27" s="516"/>
      <c r="E27" s="516"/>
      <c r="F27" s="516"/>
      <c r="G27" s="517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45">
      <c r="A28" s="17"/>
      <c r="B28" s="18"/>
      <c r="C28" s="19" t="s">
        <v>16</v>
      </c>
      <c r="D28" s="527" t="s">
        <v>17</v>
      </c>
      <c r="E28" s="528"/>
      <c r="F28" s="528"/>
      <c r="G28" s="528"/>
      <c r="H28" s="20" t="s">
        <v>12</v>
      </c>
      <c r="I28" s="21"/>
      <c r="J28" s="21"/>
      <c r="K28" s="22"/>
      <c r="L28" s="23">
        <f t="shared" ref="L28:N28" ca="1" si="23">L29+L30</f>
        <v>2769994</v>
      </c>
      <c r="M28" s="23">
        <f t="shared" si="23"/>
        <v>0</v>
      </c>
      <c r="N28" s="23">
        <f t="shared" ca="1" si="23"/>
        <v>302954</v>
      </c>
      <c r="O28" s="22">
        <f t="shared" ref="O28:O30" ca="1" si="24">IF(L28&gt;0,N28*100/L28,0)</f>
        <v>10.936991199258916</v>
      </c>
      <c r="P28" s="22">
        <f t="shared" ref="P28:P37" si="25">IF(M28&gt;0,N28*100/M28,0)</f>
        <v>0</v>
      </c>
    </row>
    <row r="29" spans="1:16" ht="21.75" customHeight="1" x14ac:dyDescent="0.45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45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2769994</v>
      </c>
      <c r="M30" s="30">
        <f t="shared" si="27"/>
        <v>0</v>
      </c>
      <c r="N30" s="30">
        <f t="shared" ca="1" si="27"/>
        <v>302954</v>
      </c>
      <c r="O30" s="29">
        <f t="shared" ca="1" si="24"/>
        <v>10.936991199258916</v>
      </c>
      <c r="P30" s="29">
        <f t="shared" si="25"/>
        <v>0</v>
      </c>
    </row>
    <row r="31" spans="1:16" ht="21.75" customHeight="1" x14ac:dyDescent="0.45">
      <c r="A31" s="31"/>
      <c r="B31" s="32"/>
      <c r="C31" s="33" t="s">
        <v>16</v>
      </c>
      <c r="D31" s="529" t="s">
        <v>20</v>
      </c>
      <c r="E31" s="530"/>
      <c r="F31" s="530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45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2769994</v>
      </c>
      <c r="M32" s="38">
        <f t="shared" si="30"/>
        <v>0</v>
      </c>
      <c r="N32" s="38">
        <f t="shared" ca="1" si="30"/>
        <v>302954</v>
      </c>
      <c r="O32" s="38">
        <f t="shared" ca="1" si="29"/>
        <v>10.936991199258916</v>
      </c>
      <c r="P32" s="38">
        <f t="shared" si="25"/>
        <v>0</v>
      </c>
    </row>
    <row r="33" spans="1:16" ht="21.75" customHeight="1" x14ac:dyDescent="0.45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45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2769994</v>
      </c>
      <c r="M34" s="38">
        <f t="shared" si="32"/>
        <v>0</v>
      </c>
      <c r="N34" s="38">
        <f t="shared" ca="1" si="32"/>
        <v>302954</v>
      </c>
      <c r="O34" s="38">
        <f t="shared" ca="1" si="29"/>
        <v>10.936991199258916</v>
      </c>
      <c r="P34" s="38">
        <f t="shared" si="25"/>
        <v>0</v>
      </c>
    </row>
    <row r="35" spans="1:16" ht="21.75" customHeight="1" x14ac:dyDescent="0.45">
      <c r="A35" s="31"/>
      <c r="B35" s="32"/>
      <c r="C35" s="33" t="s">
        <v>16</v>
      </c>
      <c r="D35" s="529" t="s">
        <v>23</v>
      </c>
      <c r="E35" s="530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45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3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10918675</v>
      </c>
      <c r="M37" s="54">
        <f t="shared" ca="1" si="33"/>
        <v>9375455</v>
      </c>
      <c r="N37" s="54">
        <f t="shared" ca="1" si="33"/>
        <v>1956418</v>
      </c>
      <c r="O37" s="55">
        <f t="shared" ca="1" si="29"/>
        <v>17.918089878121659</v>
      </c>
      <c r="P37" s="55">
        <f t="shared" ca="1" si="25"/>
        <v>20.867445899958987</v>
      </c>
    </row>
    <row r="38" spans="1:16" ht="21.75" customHeight="1" x14ac:dyDescent="0.45">
      <c r="A38" s="531" t="s">
        <v>27</v>
      </c>
      <c r="B38" s="516"/>
      <c r="C38" s="516"/>
      <c r="D38" s="516"/>
      <c r="E38" s="516"/>
      <c r="F38" s="516"/>
      <c r="G38" s="517"/>
      <c r="H38" s="56"/>
      <c r="I38" s="57"/>
      <c r="J38" s="57"/>
      <c r="K38" s="58"/>
      <c r="L38" s="59"/>
      <c r="M38" s="59"/>
      <c r="N38" s="59"/>
      <c r="O38" s="59"/>
      <c r="P38" s="59"/>
    </row>
    <row r="39" spans="1:16" ht="21.75" customHeight="1" x14ac:dyDescent="0.45">
      <c r="A39" s="60"/>
      <c r="B39" s="532" t="s">
        <v>28</v>
      </c>
      <c r="C39" s="528"/>
      <c r="D39" s="528"/>
      <c r="E39" s="528"/>
      <c r="F39" s="528"/>
      <c r="G39" s="528"/>
      <c r="H39" s="61"/>
      <c r="I39" s="62"/>
      <c r="J39" s="62"/>
      <c r="K39" s="63"/>
      <c r="L39" s="64"/>
      <c r="M39" s="64"/>
      <c r="N39" s="64"/>
      <c r="O39" s="63"/>
      <c r="P39" s="63"/>
    </row>
    <row r="40" spans="1:16" ht="21.75" customHeight="1" x14ac:dyDescent="0.45">
      <c r="A40" s="65"/>
      <c r="B40" s="66" t="s">
        <v>29</v>
      </c>
      <c r="C40" s="67"/>
      <c r="D40" s="67"/>
      <c r="E40" s="67"/>
      <c r="F40" s="67"/>
      <c r="G40" s="67"/>
      <c r="H40" s="68"/>
      <c r="I40" s="69"/>
      <c r="J40" s="69"/>
      <c r="K40" s="70"/>
      <c r="L40" s="71"/>
      <c r="M40" s="71"/>
      <c r="N40" s="71"/>
      <c r="O40" s="70"/>
      <c r="P40" s="70"/>
    </row>
    <row r="41" spans="1:16" ht="21.75" customHeight="1" x14ac:dyDescent="0.45">
      <c r="A41" s="72"/>
      <c r="B41" s="73"/>
      <c r="C41" s="74" t="s">
        <v>16</v>
      </c>
      <c r="D41" s="533" t="s">
        <v>17</v>
      </c>
      <c r="E41" s="530"/>
      <c r="F41" s="530"/>
      <c r="G41" s="530"/>
      <c r="H41" s="75" t="s">
        <v>12</v>
      </c>
      <c r="I41" s="76"/>
      <c r="J41" s="76"/>
      <c r="K41" s="77"/>
      <c r="L41" s="78">
        <f t="shared" ref="L41:N41" ca="1" si="34">L42+L43</f>
        <v>7540500</v>
      </c>
      <c r="M41" s="78">
        <f t="shared" ca="1" si="34"/>
        <v>7170300</v>
      </c>
      <c r="N41" s="78">
        <f t="shared" ca="1" si="34"/>
        <v>284085</v>
      </c>
      <c r="O41" s="77">
        <f t="shared" ref="O41:O43" ca="1" si="35">IF(L41&gt;0,N41*100/L41,0)</f>
        <v>3.7674557390093497</v>
      </c>
      <c r="P41" s="77">
        <f t="shared" ref="P41:P43" ca="1" si="36">IF(M41&gt;0,N41*100/M41,0)</f>
        <v>3.9619681184887661</v>
      </c>
    </row>
    <row r="42" spans="1:16" ht="21.75" customHeight="1" x14ac:dyDescent="0.45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45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7540500</v>
      </c>
      <c r="M43" s="78">
        <f t="shared" ca="1" si="38"/>
        <v>7170300</v>
      </c>
      <c r="N43" s="78">
        <f t="shared" ca="1" si="38"/>
        <v>284085</v>
      </c>
      <c r="O43" s="77">
        <f t="shared" ca="1" si="35"/>
        <v>3.7674557390093497</v>
      </c>
      <c r="P43" s="77">
        <f t="shared" ca="1" si="36"/>
        <v>3.9619681184887661</v>
      </c>
    </row>
    <row r="44" spans="1:16" ht="21.75" customHeight="1" x14ac:dyDescent="0.45">
      <c r="A44" s="79"/>
      <c r="B44" s="80"/>
      <c r="C44" s="81" t="s">
        <v>16</v>
      </c>
      <c r="D44" s="534" t="s">
        <v>20</v>
      </c>
      <c r="E44" s="530"/>
      <c r="F44" s="530"/>
      <c r="G44" s="82" t="s">
        <v>18</v>
      </c>
      <c r="H44" s="83" t="s">
        <v>12</v>
      </c>
      <c r="I44" s="84"/>
      <c r="J44" s="84"/>
      <c r="K44" s="85"/>
      <c r="L44" s="86">
        <v>0</v>
      </c>
      <c r="M44" s="510"/>
      <c r="N44" s="511"/>
      <c r="O44" s="511"/>
      <c r="P44" s="511"/>
    </row>
    <row r="45" spans="1:16" ht="21.75" customHeight="1" x14ac:dyDescent="0.45">
      <c r="A45" s="79"/>
      <c r="B45" s="80"/>
      <c r="C45" s="80"/>
      <c r="D45" s="80"/>
      <c r="E45" s="88"/>
      <c r="F45" s="89"/>
      <c r="G45" s="82" t="s">
        <v>19</v>
      </c>
      <c r="H45" s="83" t="s">
        <v>12</v>
      </c>
      <c r="I45" s="84"/>
      <c r="J45" s="84"/>
      <c r="K45" s="85"/>
      <c r="L45" s="38">
        <f ca="1">L46+L47</f>
        <v>740500</v>
      </c>
      <c r="M45" s="49">
        <f ca="1">IFERROR(__xludf.DUMMYFUNCTION("IMPORTRANGE(""https://docs.google.com/spreadsheets/d/1Yj_ptqi66GCucihVvJfMjLAmec39IyEx_6qawtMGysU/edit?usp=sharing"",""สบก!Q25"")"),370300)</f>
        <v>370300</v>
      </c>
      <c r="N45" s="49">
        <f ca="1">IFERROR(__xludf.DUMMYFUNCTION("IMPORTRANGE(""https://docs.google.com/spreadsheets/d/1Yj_ptqi66GCucihVvJfMjLAmec39IyEx_6qawtMGysU/edit?usp=sharing"",""สบก!R25"")"),284085)</f>
        <v>284085</v>
      </c>
      <c r="O45" s="38">
        <f ca="1">IF(L45&gt;0,N45*100/L45,0)</f>
        <v>38.363943281566506</v>
      </c>
      <c r="P45" s="38">
        <f ca="1">IF(M45&gt;0,N45*100/M45,0)</f>
        <v>76.717526330002698</v>
      </c>
    </row>
    <row r="46" spans="1:16" ht="21.75" customHeight="1" x14ac:dyDescent="0.45">
      <c r="A46" s="79"/>
      <c r="B46" s="80"/>
      <c r="C46" s="80"/>
      <c r="D46" s="80"/>
      <c r="E46" s="88"/>
      <c r="F46" s="88"/>
      <c r="G46" s="82" t="s">
        <v>21</v>
      </c>
      <c r="H46" s="83" t="s">
        <v>12</v>
      </c>
      <c r="I46" s="84"/>
      <c r="J46" s="84"/>
      <c r="K46" s="85"/>
      <c r="L46" s="49">
        <f ca="1">IFERROR(__xludf.DUMMYFUNCTION("IMPORTRANGE(""https://docs.google.com/spreadsheets/d/1Yj_ptqi66GCucihVvJfMjLAmec39IyEx_6qawtMGysU/edit?usp=sharing"",""สบก!M25"")"),740500)</f>
        <v>740500</v>
      </c>
      <c r="M46" s="41"/>
      <c r="N46" s="38"/>
      <c r="O46" s="38"/>
      <c r="P46" s="38"/>
    </row>
    <row r="47" spans="1:16" ht="21.75" customHeight="1" x14ac:dyDescent="0.45">
      <c r="A47" s="79"/>
      <c r="B47" s="80"/>
      <c r="C47" s="80"/>
      <c r="D47" s="80"/>
      <c r="E47" s="88"/>
      <c r="F47" s="88"/>
      <c r="G47" s="82" t="s">
        <v>22</v>
      </c>
      <c r="H47" s="83" t="s">
        <v>12</v>
      </c>
      <c r="I47" s="84"/>
      <c r="J47" s="84"/>
      <c r="K47" s="85"/>
      <c r="L47" s="49">
        <f ca="1">IFERROR(__xludf.DUMMYFUNCTION("IMPORTRANGE(""https://docs.google.com/spreadsheets/d/1Yj_ptqi66GCucihVvJfMjLAmec39IyEx_6qawtMGysU/edit?usp=sharing"",""สบก!N25"")"),0)</f>
        <v>0</v>
      </c>
      <c r="M47" s="41"/>
      <c r="N47" s="38"/>
      <c r="O47" s="38"/>
      <c r="P47" s="38"/>
    </row>
    <row r="48" spans="1:16" ht="21.75" customHeight="1" x14ac:dyDescent="0.45">
      <c r="A48" s="79"/>
      <c r="B48" s="80"/>
      <c r="C48" s="81" t="s">
        <v>16</v>
      </c>
      <c r="D48" s="534" t="s">
        <v>23</v>
      </c>
      <c r="E48" s="530"/>
      <c r="F48" s="88"/>
      <c r="G48" s="82" t="s">
        <v>18</v>
      </c>
      <c r="H48" s="83" t="s">
        <v>12</v>
      </c>
      <c r="I48" s="84"/>
      <c r="J48" s="84"/>
      <c r="K48" s="85"/>
      <c r="L48" s="50">
        <v>0</v>
      </c>
      <c r="M48" s="41"/>
      <c r="N48" s="41"/>
      <c r="O48" s="41"/>
      <c r="P48" s="41"/>
    </row>
    <row r="49" spans="1:16" ht="21.75" customHeight="1" x14ac:dyDescent="0.45">
      <c r="A49" s="90"/>
      <c r="B49" s="91"/>
      <c r="C49" s="91"/>
      <c r="D49" s="91"/>
      <c r="E49" s="92"/>
      <c r="F49" s="92"/>
      <c r="G49" s="93" t="s">
        <v>19</v>
      </c>
      <c r="H49" s="94" t="s">
        <v>12</v>
      </c>
      <c r="I49" s="95"/>
      <c r="J49" s="95"/>
      <c r="K49" s="96"/>
      <c r="L49" s="49">
        <f ca="1">IFERROR(__xludf.DUMMYFUNCTION("IMPORTRANGE(""https://docs.google.com/spreadsheets/d/1Yj_ptqi66GCucihVvJfMjLAmec39IyEx_6qawtMGysU/edit?usp=sharing"",""สบก!O25"")"),6800000)</f>
        <v>6800000</v>
      </c>
      <c r="M49" s="49">
        <f ca="1">L49</f>
        <v>6800000</v>
      </c>
      <c r="N49" s="49">
        <f ca="1">IFERROR(__xludf.DUMMYFUNCTION("IMPORTRANGE(""https://docs.google.com/spreadsheets/d/1Yj_ptqi66GCucihVvJfMjLAmec39IyEx_6qawtMGysU/edit?usp=sharing"",""สบก!S25"")"),0)</f>
        <v>0</v>
      </c>
      <c r="O49" s="49">
        <f ca="1">IF(L49&gt;0,N49*100/L49,0)</f>
        <v>0</v>
      </c>
      <c r="P49" s="49">
        <f ca="1">IF(M49&gt;0,N49*100/M49,0)</f>
        <v>0</v>
      </c>
    </row>
    <row r="50" spans="1:16" ht="21.75" customHeight="1" x14ac:dyDescent="0.45">
      <c r="A50" s="97" t="s">
        <v>30</v>
      </c>
      <c r="B50" s="98"/>
      <c r="C50" s="98"/>
      <c r="D50" s="98"/>
      <c r="E50" s="98"/>
      <c r="F50" s="98"/>
      <c r="G50" s="98"/>
      <c r="H50" s="99"/>
      <c r="I50" s="100"/>
      <c r="J50" s="100"/>
      <c r="K50" s="101"/>
      <c r="L50" s="102"/>
      <c r="M50" s="102"/>
      <c r="N50" s="102"/>
      <c r="O50" s="101"/>
      <c r="P50" s="101"/>
    </row>
    <row r="51" spans="1:16" ht="21.75" customHeight="1" x14ac:dyDescent="0.45">
      <c r="A51" s="103"/>
      <c r="B51" s="104" t="s">
        <v>31</v>
      </c>
      <c r="C51" s="104"/>
      <c r="D51" s="104"/>
      <c r="E51" s="104"/>
      <c r="F51" s="104"/>
      <c r="G51" s="104"/>
      <c r="H51" s="105"/>
      <c r="I51" s="106"/>
      <c r="J51" s="106"/>
      <c r="K51" s="107"/>
      <c r="L51" s="108"/>
      <c r="M51" s="108"/>
      <c r="N51" s="108"/>
      <c r="O51" s="107"/>
      <c r="P51" s="107"/>
    </row>
    <row r="52" spans="1:16" ht="21.75" customHeight="1" x14ac:dyDescent="0.45">
      <c r="A52" s="109"/>
      <c r="B52" s="535" t="s">
        <v>32</v>
      </c>
      <c r="C52" s="530"/>
      <c r="D52" s="530"/>
      <c r="E52" s="530"/>
      <c r="F52" s="530"/>
      <c r="G52" s="530"/>
      <c r="H52" s="110"/>
      <c r="I52" s="111"/>
      <c r="J52" s="111"/>
      <c r="K52" s="112"/>
      <c r="L52" s="113"/>
      <c r="M52" s="113"/>
      <c r="N52" s="113"/>
      <c r="O52" s="112"/>
      <c r="P52" s="112"/>
    </row>
    <row r="53" spans="1:16" ht="21.75" customHeight="1" x14ac:dyDescent="0.45">
      <c r="A53" s="114"/>
      <c r="B53" s="115"/>
      <c r="C53" s="116" t="s">
        <v>16</v>
      </c>
      <c r="D53" s="536" t="s">
        <v>17</v>
      </c>
      <c r="E53" s="530"/>
      <c r="F53" s="530"/>
      <c r="G53" s="530"/>
      <c r="H53" s="117" t="s">
        <v>12</v>
      </c>
      <c r="I53" s="118"/>
      <c r="J53" s="118"/>
      <c r="K53" s="119"/>
      <c r="L53" s="120">
        <f t="shared" ref="L53:N53" ca="1" si="39">L54+L55</f>
        <v>400000</v>
      </c>
      <c r="M53" s="120">
        <f t="shared" ca="1" si="39"/>
        <v>368700</v>
      </c>
      <c r="N53" s="120">
        <f t="shared" ca="1" si="39"/>
        <v>253388</v>
      </c>
      <c r="O53" s="119">
        <f t="shared" ref="O53:O55" ca="1" si="40">IF(L53&gt;0,N53*100/L53,0)</f>
        <v>63.347000000000001</v>
      </c>
      <c r="P53" s="119">
        <f t="shared" ref="P53:P55" ca="1" si="41">IF(M53&gt;0,N53*100/M53,0)</f>
        <v>68.724708435042047</v>
      </c>
    </row>
    <row r="54" spans="1:16" ht="21.75" customHeight="1" x14ac:dyDescent="0.45">
      <c r="A54" s="114"/>
      <c r="B54" s="115"/>
      <c r="C54" s="115"/>
      <c r="D54" s="115"/>
      <c r="E54" s="115"/>
      <c r="F54" s="115"/>
      <c r="G54" s="116" t="s">
        <v>18</v>
      </c>
      <c r="H54" s="117" t="s">
        <v>12</v>
      </c>
      <c r="I54" s="118"/>
      <c r="J54" s="118"/>
      <c r="K54" s="119"/>
      <c r="L54" s="120">
        <f t="shared" ref="L54:N54" si="42">L56+L60</f>
        <v>0</v>
      </c>
      <c r="M54" s="120">
        <f t="shared" si="42"/>
        <v>0</v>
      </c>
      <c r="N54" s="120">
        <f t="shared" si="42"/>
        <v>0</v>
      </c>
      <c r="O54" s="119">
        <f t="shared" si="40"/>
        <v>0</v>
      </c>
      <c r="P54" s="119">
        <f t="shared" si="41"/>
        <v>0</v>
      </c>
    </row>
    <row r="55" spans="1:16" ht="21.75" customHeight="1" x14ac:dyDescent="0.45">
      <c r="A55" s="114"/>
      <c r="B55" s="115"/>
      <c r="C55" s="115"/>
      <c r="D55" s="115"/>
      <c r="E55" s="115"/>
      <c r="F55" s="115"/>
      <c r="G55" s="116" t="s">
        <v>19</v>
      </c>
      <c r="H55" s="117" t="s">
        <v>12</v>
      </c>
      <c r="I55" s="118"/>
      <c r="J55" s="118"/>
      <c r="K55" s="119"/>
      <c r="L55" s="120">
        <f t="shared" ref="L55:N55" ca="1" si="43">L57+L61</f>
        <v>400000</v>
      </c>
      <c r="M55" s="120">
        <f t="shared" ca="1" si="43"/>
        <v>368700</v>
      </c>
      <c r="N55" s="120">
        <f t="shared" ca="1" si="43"/>
        <v>253388</v>
      </c>
      <c r="O55" s="119">
        <f t="shared" ca="1" si="40"/>
        <v>63.347000000000001</v>
      </c>
      <c r="P55" s="119">
        <f t="shared" ca="1" si="41"/>
        <v>68.724708435042047</v>
      </c>
    </row>
    <row r="56" spans="1:16" ht="21.75" customHeight="1" x14ac:dyDescent="0.45">
      <c r="A56" s="79"/>
      <c r="B56" s="80"/>
      <c r="C56" s="81" t="s">
        <v>16</v>
      </c>
      <c r="D56" s="534" t="s">
        <v>20</v>
      </c>
      <c r="E56" s="530"/>
      <c r="F56" s="530"/>
      <c r="G56" s="82" t="s">
        <v>18</v>
      </c>
      <c r="H56" s="83" t="s">
        <v>12</v>
      </c>
      <c r="I56" s="84"/>
      <c r="J56" s="84"/>
      <c r="K56" s="85"/>
      <c r="L56" s="511">
        <v>0</v>
      </c>
      <c r="M56" s="510"/>
      <c r="N56" s="511"/>
      <c r="O56" s="511"/>
      <c r="P56" s="511"/>
    </row>
    <row r="57" spans="1:16" ht="21.75" customHeight="1" x14ac:dyDescent="0.45">
      <c r="A57" s="79"/>
      <c r="B57" s="80"/>
      <c r="C57" s="80"/>
      <c r="D57" s="80"/>
      <c r="E57" s="88"/>
      <c r="F57" s="89"/>
      <c r="G57" s="82" t="s">
        <v>19</v>
      </c>
      <c r="H57" s="83" t="s">
        <v>12</v>
      </c>
      <c r="I57" s="84"/>
      <c r="J57" s="84"/>
      <c r="K57" s="85"/>
      <c r="L57" s="38">
        <f ca="1">L58+L59</f>
        <v>400000</v>
      </c>
      <c r="M57" s="49">
        <f ca="1">IFERROR(__xludf.DUMMYFUNCTION("IMPORTRANGE(""https://docs.google.com/spreadsheets/d/1Yj_ptqi66GCucihVvJfMjLAmec39IyEx_6qawtMGysU/edit?usp=sharing"",""สบก!Z25"")"),368700)</f>
        <v>368700</v>
      </c>
      <c r="N57" s="49">
        <f ca="1">IFERROR(__xludf.DUMMYFUNCTION("IMPORTRANGE(""https://docs.google.com/spreadsheets/d/1Yj_ptqi66GCucihVvJfMjLAmec39IyEx_6qawtMGysU/edit?usp=sharing"",""สบก!AA25"")"),253388)</f>
        <v>253388</v>
      </c>
      <c r="O57" s="38">
        <f ca="1">IF(L57&gt;0,N57*100/L57,0)</f>
        <v>63.347000000000001</v>
      </c>
      <c r="P57" s="38">
        <f ca="1">IF(M57&gt;0,N57*100/M57,0)</f>
        <v>68.724708435042047</v>
      </c>
    </row>
    <row r="58" spans="1:16" ht="21.75" customHeight="1" x14ac:dyDescent="0.45">
      <c r="A58" s="79"/>
      <c r="B58" s="80"/>
      <c r="C58" s="80"/>
      <c r="D58" s="80"/>
      <c r="E58" s="88"/>
      <c r="F58" s="88"/>
      <c r="G58" s="82" t="s">
        <v>21</v>
      </c>
      <c r="H58" s="83" t="s">
        <v>12</v>
      </c>
      <c r="I58" s="84"/>
      <c r="J58" s="84"/>
      <c r="K58" s="85"/>
      <c r="L58" s="49">
        <f ca="1">IFERROR(__xludf.DUMMYFUNCTION("IMPORTRANGE(""https://docs.google.com/spreadsheets/d/1Yj_ptqi66GCucihVvJfMjLAmec39IyEx_6qawtMGysU/edit?usp=sharing"",""สบก!V25"")"),400000)</f>
        <v>400000</v>
      </c>
      <c r="M58" s="41"/>
      <c r="N58" s="38"/>
      <c r="O58" s="38"/>
      <c r="P58" s="38"/>
    </row>
    <row r="59" spans="1:16" ht="21.75" customHeight="1" x14ac:dyDescent="0.45">
      <c r="A59" s="79"/>
      <c r="B59" s="80"/>
      <c r="C59" s="80"/>
      <c r="D59" s="80"/>
      <c r="E59" s="88"/>
      <c r="F59" s="88"/>
      <c r="G59" s="82" t="s">
        <v>22</v>
      </c>
      <c r="H59" s="83" t="s">
        <v>12</v>
      </c>
      <c r="I59" s="84"/>
      <c r="J59" s="84"/>
      <c r="K59" s="85"/>
      <c r="L59" s="49">
        <f ca="1">IFERROR(__xludf.DUMMYFUNCTION("IMPORTRANGE(""https://docs.google.com/spreadsheets/d/1Yj_ptqi66GCucihVvJfMjLAmec39IyEx_6qawtMGysU/edit?usp=sharing"",""สบก!W25"")"),0)</f>
        <v>0</v>
      </c>
      <c r="M59" s="41"/>
      <c r="N59" s="38"/>
      <c r="O59" s="38"/>
      <c r="P59" s="38"/>
    </row>
    <row r="60" spans="1:16" ht="21.75" customHeight="1" x14ac:dyDescent="0.45">
      <c r="A60" s="79"/>
      <c r="B60" s="80"/>
      <c r="C60" s="81" t="s">
        <v>16</v>
      </c>
      <c r="D60" s="534" t="s">
        <v>23</v>
      </c>
      <c r="E60" s="530"/>
      <c r="F60" s="88"/>
      <c r="G60" s="82" t="s">
        <v>18</v>
      </c>
      <c r="H60" s="83" t="s">
        <v>12</v>
      </c>
      <c r="I60" s="84"/>
      <c r="J60" s="84"/>
      <c r="K60" s="85"/>
      <c r="L60" s="50">
        <v>0</v>
      </c>
      <c r="M60" s="41"/>
      <c r="N60" s="41"/>
      <c r="O60" s="41"/>
      <c r="P60" s="41"/>
    </row>
    <row r="61" spans="1:16" ht="21.75" customHeight="1" x14ac:dyDescent="0.45">
      <c r="A61" s="90"/>
      <c r="B61" s="91"/>
      <c r="C61" s="91"/>
      <c r="D61" s="91"/>
      <c r="E61" s="92"/>
      <c r="F61" s="92"/>
      <c r="G61" s="93" t="s">
        <v>19</v>
      </c>
      <c r="H61" s="94" t="s">
        <v>12</v>
      </c>
      <c r="I61" s="95"/>
      <c r="J61" s="95"/>
      <c r="K61" s="96"/>
      <c r="L61" s="49">
        <f ca="1">IFERROR(__xludf.DUMMYFUNCTION("IMPORTRANGE(""https://docs.google.com/spreadsheets/d/1Yj_ptqi66GCucihVvJfMjLAmec39IyEx_6qawtMGysU/edit?usp=sharing"",""สบก!X25"")"),0)</f>
        <v>0</v>
      </c>
      <c r="M61" s="49"/>
      <c r="N61" s="49">
        <f ca="1">IFERROR(__xludf.DUMMYFUNCTION("IMPORTRANGE(""https://docs.google.com/spreadsheets/d/1Yj_ptqi66GCucihVvJfMjLAmec39IyEx_6qawtMGysU/edit?usp=sharing"",""สบก!AB25"")"),0)</f>
        <v>0</v>
      </c>
      <c r="O61" s="49">
        <f ca="1">IF(L61&gt;0,N61*100/L61,0)</f>
        <v>0</v>
      </c>
      <c r="P61" s="49"/>
    </row>
    <row r="62" spans="1:16" ht="21.75" customHeight="1" x14ac:dyDescent="0.3">
      <c r="A62" s="121" t="s">
        <v>33</v>
      </c>
      <c r="B62" s="122"/>
      <c r="C62" s="122"/>
      <c r="D62" s="122"/>
      <c r="E62" s="123"/>
      <c r="F62" s="123"/>
      <c r="G62" s="123"/>
      <c r="H62" s="124"/>
      <c r="I62" s="125"/>
      <c r="J62" s="125"/>
      <c r="K62" s="126"/>
      <c r="L62" s="127"/>
      <c r="M62" s="127"/>
      <c r="N62" s="127"/>
      <c r="O62" s="127"/>
      <c r="P62" s="127"/>
    </row>
    <row r="63" spans="1:16" ht="21.75" customHeight="1" x14ac:dyDescent="0.3">
      <c r="A63" s="128" t="s">
        <v>34</v>
      </c>
      <c r="B63" s="129"/>
      <c r="C63" s="130"/>
      <c r="D63" s="129"/>
      <c r="E63" s="131"/>
      <c r="F63" s="131"/>
      <c r="G63" s="131"/>
      <c r="H63" s="132"/>
      <c r="I63" s="133"/>
      <c r="J63" s="133"/>
      <c r="K63" s="134"/>
      <c r="L63" s="135"/>
      <c r="M63" s="135"/>
      <c r="N63" s="135"/>
      <c r="O63" s="136"/>
      <c r="P63" s="136"/>
    </row>
    <row r="64" spans="1:16" ht="21.75" customHeight="1" x14ac:dyDescent="0.3">
      <c r="A64" s="137"/>
      <c r="B64" s="138" t="s">
        <v>35</v>
      </c>
      <c r="C64" s="138"/>
      <c r="D64" s="139"/>
      <c r="E64" s="138"/>
      <c r="F64" s="138"/>
      <c r="G64" s="138"/>
      <c r="H64" s="140" t="s">
        <v>36</v>
      </c>
      <c r="I64" s="141">
        <f ca="1">IFERROR(__xludf.DUMMYFUNCTION("IMPORTRANGE(""https://docs.google.com/spreadsheets/d/11923uPwbBZFjjGgGUA6NLw09EwE0CqkOc4q9oUmW1yo/edit?usp=sharing"",""น่าน!I9"")"),1)</f>
        <v>1</v>
      </c>
      <c r="J64" s="141">
        <f ca="1">IFERROR(__xludf.DUMMYFUNCTION("IMPORTRANGE(""https://docs.google.com/spreadsheets/d/11923uPwbBZFjjGgGUA6NLw09EwE0CqkOc4q9oUmW1yo/edit?usp=sharing"",""น่าน!J9"")"),0)</f>
        <v>0</v>
      </c>
      <c r="K64" s="142">
        <f t="shared" ref="K64:K65" ca="1" si="44">IF(I64&gt;0,J64*100/I64,0)</f>
        <v>0</v>
      </c>
      <c r="L64" s="143"/>
      <c r="M64" s="143"/>
      <c r="N64" s="144"/>
      <c r="O64" s="142"/>
      <c r="P64" s="142"/>
    </row>
    <row r="65" spans="1:16" ht="21.75" customHeight="1" x14ac:dyDescent="0.3">
      <c r="A65" s="137"/>
      <c r="B65" s="138"/>
      <c r="C65" s="138"/>
      <c r="D65" s="139"/>
      <c r="E65" s="138"/>
      <c r="F65" s="138"/>
      <c r="G65" s="138"/>
      <c r="H65" s="140" t="s">
        <v>37</v>
      </c>
      <c r="I65" s="141">
        <f ca="1">IFERROR(__xludf.DUMMYFUNCTION("IMPORTRANGE(""https://docs.google.com/spreadsheets/d/11923uPwbBZFjjGgGUA6NLw09EwE0CqkOc4q9oUmW1yo/edit?usp=sharing"",""น่าน!I10"")"),63)</f>
        <v>63</v>
      </c>
      <c r="J65" s="141">
        <f ca="1">IFERROR(__xludf.DUMMYFUNCTION("IMPORTRANGE(""https://docs.google.com/spreadsheets/d/11923uPwbBZFjjGgGUA6NLw09EwE0CqkOc4q9oUmW1yo/edit?usp=sharing"",""น่าน!J10"")"),0)</f>
        <v>0</v>
      </c>
      <c r="K65" s="142">
        <f t="shared" ca="1" si="44"/>
        <v>0</v>
      </c>
      <c r="L65" s="144"/>
      <c r="M65" s="144"/>
      <c r="N65" s="144"/>
      <c r="O65" s="142"/>
      <c r="P65" s="142"/>
    </row>
    <row r="66" spans="1:16" ht="21.75" customHeight="1" x14ac:dyDescent="0.45">
      <c r="A66" s="145"/>
      <c r="B66" s="146"/>
      <c r="C66" s="147" t="s">
        <v>16</v>
      </c>
      <c r="D66" s="537" t="s">
        <v>17</v>
      </c>
      <c r="E66" s="528"/>
      <c r="F66" s="528"/>
      <c r="G66" s="528"/>
      <c r="H66" s="148" t="s">
        <v>12</v>
      </c>
      <c r="I66" s="149"/>
      <c r="J66" s="149"/>
      <c r="K66" s="150"/>
      <c r="L66" s="151">
        <f t="shared" ref="L66:N66" ca="1" si="45">L67+L68</f>
        <v>937200</v>
      </c>
      <c r="M66" s="151">
        <f t="shared" ca="1" si="45"/>
        <v>697020</v>
      </c>
      <c r="N66" s="151">
        <f t="shared" ca="1" si="45"/>
        <v>547661</v>
      </c>
      <c r="O66" s="150">
        <f t="shared" ref="O66:O68" ca="1" si="46">IF(L66&gt;0,N66*100/L66,0)</f>
        <v>58.435872812633377</v>
      </c>
      <c r="P66" s="150">
        <f t="shared" ref="P66:P68" ca="1" si="47">IF(M66&gt;0,N66*100/M66,0)</f>
        <v>78.571776993486552</v>
      </c>
    </row>
    <row r="67" spans="1:16" ht="21.75" customHeight="1" x14ac:dyDescent="0.45">
      <c r="A67" s="152"/>
      <c r="B67" s="32"/>
      <c r="C67" s="32"/>
      <c r="D67" s="32"/>
      <c r="E67" s="32"/>
      <c r="F67" s="32"/>
      <c r="G67" s="33" t="s">
        <v>18</v>
      </c>
      <c r="H67" s="153" t="s">
        <v>12</v>
      </c>
      <c r="I67" s="154"/>
      <c r="J67" s="154"/>
      <c r="K67" s="155"/>
      <c r="L67" s="87">
        <f t="shared" ref="L67:N67" si="48">L69+L73</f>
        <v>0</v>
      </c>
      <c r="M67" s="87">
        <f t="shared" si="48"/>
        <v>0</v>
      </c>
      <c r="N67" s="87">
        <f t="shared" si="48"/>
        <v>0</v>
      </c>
      <c r="O67" s="155">
        <f t="shared" si="46"/>
        <v>0</v>
      </c>
      <c r="P67" s="155">
        <f t="shared" si="47"/>
        <v>0</v>
      </c>
    </row>
    <row r="68" spans="1:16" ht="21.75" customHeight="1" x14ac:dyDescent="0.45">
      <c r="A68" s="152"/>
      <c r="B68" s="32"/>
      <c r="C68" s="32"/>
      <c r="D68" s="32"/>
      <c r="E68" s="32"/>
      <c r="F68" s="32"/>
      <c r="G68" s="33" t="s">
        <v>19</v>
      </c>
      <c r="H68" s="153" t="s">
        <v>12</v>
      </c>
      <c r="I68" s="154"/>
      <c r="J68" s="154"/>
      <c r="K68" s="155"/>
      <c r="L68" s="87">
        <f t="shared" ref="L68:N68" ca="1" si="49">L70+L74</f>
        <v>937200</v>
      </c>
      <c r="M68" s="87">
        <f t="shared" ca="1" si="49"/>
        <v>697020</v>
      </c>
      <c r="N68" s="87">
        <f t="shared" ca="1" si="49"/>
        <v>547661</v>
      </c>
      <c r="O68" s="155">
        <f t="shared" ca="1" si="46"/>
        <v>58.435872812633377</v>
      </c>
      <c r="P68" s="155">
        <f t="shared" ca="1" si="47"/>
        <v>78.571776993486552</v>
      </c>
    </row>
    <row r="69" spans="1:16" ht="21.75" customHeight="1" x14ac:dyDescent="0.3">
      <c r="A69" s="156"/>
      <c r="B69" s="157"/>
      <c r="C69" s="157" t="s">
        <v>16</v>
      </c>
      <c r="D69" s="158" t="s">
        <v>38</v>
      </c>
      <c r="E69" s="159"/>
      <c r="F69" s="159"/>
      <c r="G69" s="160" t="s">
        <v>39</v>
      </c>
      <c r="H69" s="161" t="s">
        <v>12</v>
      </c>
      <c r="I69" s="162" t="s">
        <v>40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3">
      <c r="A70" s="156"/>
      <c r="B70" s="157"/>
      <c r="C70" s="157"/>
      <c r="D70" s="166"/>
      <c r="E70" s="159"/>
      <c r="F70" s="159" t="s">
        <v>40</v>
      </c>
      <c r="G70" s="160" t="s">
        <v>41</v>
      </c>
      <c r="H70" s="161" t="s">
        <v>12</v>
      </c>
      <c r="I70" s="162"/>
      <c r="J70" s="162"/>
      <c r="K70" s="163"/>
      <c r="L70" s="167">
        <f ca="1">L71+L72</f>
        <v>553600</v>
      </c>
      <c r="M70" s="167">
        <f ca="1">IFERROR(__xludf.DUMMYFUNCTION("IMPORTRANGE(""https://docs.google.com/spreadsheets/d/1Yj_ptqi66GCucihVvJfMjLAmec39IyEx_6qawtMGysU/edit?usp=sharing"",""สบก!AI25"")"),313420)</f>
        <v>313420</v>
      </c>
      <c r="N70" s="168">
        <f ca="1">IFERROR(__xludf.DUMMYFUNCTION("IMPORTRANGE(""https://docs.google.com/spreadsheets/d/1Yj_ptqi66GCucihVvJfMjLAmec39IyEx_6qawtMGysU/edit?usp=sharing"",""สบก!AJ25"")"),164061)</f>
        <v>164061</v>
      </c>
      <c r="O70" s="168">
        <f ca="1">IF(L70&gt;0,N70*100/L70,0)</f>
        <v>29.635296242774565</v>
      </c>
      <c r="P70" s="168">
        <f ca="1">IF(M70&gt;0,N70*100/M70,0)</f>
        <v>52.34541509795163</v>
      </c>
    </row>
    <row r="71" spans="1:16" ht="21.75" customHeight="1" x14ac:dyDescent="0.3">
      <c r="A71" s="156"/>
      <c r="B71" s="157"/>
      <c r="C71" s="157"/>
      <c r="D71" s="166"/>
      <c r="E71" s="159"/>
      <c r="F71" s="159"/>
      <c r="G71" s="169" t="s">
        <v>42</v>
      </c>
      <c r="H71" s="161" t="s">
        <v>12</v>
      </c>
      <c r="I71" s="162"/>
      <c r="J71" s="162"/>
      <c r="K71" s="163"/>
      <c r="L71" s="167">
        <f ca="1">IFERROR(__xludf.DUMMYFUNCTION("IMPORTRANGE(""https://docs.google.com/spreadsheets/d/1Yj_ptqi66GCucihVvJfMjLAmec39IyEx_6qawtMGysU/edit?usp=sharing"",""สบก!AE25"")"),0)</f>
        <v>0</v>
      </c>
      <c r="M71" s="167"/>
      <c r="N71" s="167"/>
      <c r="O71" s="168"/>
      <c r="P71" s="168"/>
    </row>
    <row r="72" spans="1:16" ht="21.75" customHeight="1" x14ac:dyDescent="0.3">
      <c r="A72" s="156"/>
      <c r="B72" s="157"/>
      <c r="C72" s="157"/>
      <c r="D72" s="166"/>
      <c r="E72" s="159"/>
      <c r="F72" s="159"/>
      <c r="G72" s="169" t="s">
        <v>43</v>
      </c>
      <c r="H72" s="161" t="s">
        <v>12</v>
      </c>
      <c r="I72" s="162"/>
      <c r="J72" s="162"/>
      <c r="K72" s="163"/>
      <c r="L72" s="167">
        <f ca="1">IFERROR(__xludf.DUMMYFUNCTION("IMPORTRANGE(""https://docs.google.com/spreadsheets/d/1Yj_ptqi66GCucihVvJfMjLAmec39IyEx_6qawtMGysU/edit?usp=sharing"",""สบก!AF25"")"),553600)</f>
        <v>553600</v>
      </c>
      <c r="M72" s="167"/>
      <c r="N72" s="167"/>
      <c r="O72" s="168"/>
      <c r="P72" s="168"/>
    </row>
    <row r="73" spans="1:16" ht="21.75" customHeight="1" x14ac:dyDescent="0.45">
      <c r="A73" s="170"/>
      <c r="B73" s="80"/>
      <c r="C73" s="81" t="s">
        <v>16</v>
      </c>
      <c r="D73" s="534" t="s">
        <v>23</v>
      </c>
      <c r="E73" s="530"/>
      <c r="F73" s="88"/>
      <c r="G73" s="82" t="s">
        <v>18</v>
      </c>
      <c r="H73" s="171" t="s">
        <v>12</v>
      </c>
      <c r="I73" s="84"/>
      <c r="J73" s="84"/>
      <c r="K73" s="85"/>
      <c r="L73" s="41">
        <v>0</v>
      </c>
      <c r="M73" s="41"/>
      <c r="N73" s="41"/>
      <c r="O73" s="41"/>
      <c r="P73" s="41"/>
    </row>
    <row r="74" spans="1:16" ht="21.75" customHeight="1" x14ac:dyDescent="0.45">
      <c r="A74" s="172"/>
      <c r="B74" s="91"/>
      <c r="C74" s="91"/>
      <c r="D74" s="173"/>
      <c r="E74" s="92"/>
      <c r="F74" s="92"/>
      <c r="G74" s="93" t="s">
        <v>19</v>
      </c>
      <c r="H74" s="174" t="s">
        <v>12</v>
      </c>
      <c r="I74" s="95"/>
      <c r="J74" s="95"/>
      <c r="K74" s="96"/>
      <c r="L74" s="49">
        <f ca="1">IFERROR(__xludf.DUMMYFUNCTION("IMPORTRANGE(""https://docs.google.com/spreadsheets/d/1Yj_ptqi66GCucihVvJfMjLAmec39IyEx_6qawtMGysU/edit?usp=sharing"",""สบก!AG25"")"),383600)</f>
        <v>383600</v>
      </c>
      <c r="M74" s="49">
        <f ca="1">L74</f>
        <v>383600</v>
      </c>
      <c r="N74" s="49">
        <f ca="1">IFERROR(__xludf.DUMMYFUNCTION("IMPORTRANGE(""https://docs.google.com/spreadsheets/d/1Yj_ptqi66GCucihVvJfMjLAmec39IyEx_6qawtMGysU/edit?usp=sharing"",""สบก!AK25"")"),383600)</f>
        <v>383600</v>
      </c>
      <c r="O74" s="49">
        <f ca="1">IF(L74&gt;0,N74*100/L74,0)</f>
        <v>100</v>
      </c>
      <c r="P74" s="49">
        <f ca="1">IF(M74&gt;0,N74*100/M74,0)</f>
        <v>100</v>
      </c>
    </row>
    <row r="75" spans="1:16" ht="21.75" customHeight="1" x14ac:dyDescent="0.3">
      <c r="A75" s="175"/>
      <c r="B75" s="176"/>
      <c r="C75" s="157" t="s">
        <v>16</v>
      </c>
      <c r="D75" s="177" t="s">
        <v>44</v>
      </c>
      <c r="E75" s="178"/>
      <c r="F75" s="178"/>
      <c r="G75" s="179"/>
      <c r="H75" s="180"/>
      <c r="I75" s="162"/>
      <c r="J75" s="162"/>
      <c r="K75" s="163"/>
      <c r="L75" s="181"/>
      <c r="M75" s="181"/>
      <c r="N75" s="181"/>
      <c r="O75" s="181"/>
      <c r="P75" s="181"/>
    </row>
    <row r="76" spans="1:16" ht="21.75" customHeight="1" x14ac:dyDescent="0.3">
      <c r="A76" s="175"/>
      <c r="B76" s="176"/>
      <c r="C76" s="176"/>
      <c r="D76" s="182">
        <v>1</v>
      </c>
      <c r="E76" s="183" t="s">
        <v>45</v>
      </c>
      <c r="F76" s="184"/>
      <c r="G76" s="185"/>
      <c r="H76" s="186"/>
      <c r="I76" s="187"/>
      <c r="J76" s="188">
        <f ca="1">IFERROR(__xludf.DUMMYFUNCTION("IMPORTRANGE(""https://docs.google.com/spreadsheets/d/11923uPwbBZFjjGgGUA6NLw09EwE0CqkOc4q9oUmW1yo/edit?usp=sharing"",""น่าน!J16"")"),0)</f>
        <v>0</v>
      </c>
      <c r="K76" s="163"/>
      <c r="L76" s="181"/>
      <c r="M76" s="181"/>
      <c r="N76" s="181"/>
      <c r="O76" s="181"/>
      <c r="P76" s="181"/>
    </row>
    <row r="77" spans="1:16" ht="21.75" customHeight="1" x14ac:dyDescent="0.3">
      <c r="A77" s="175"/>
      <c r="B77" s="176"/>
      <c r="C77" s="176"/>
      <c r="D77" s="189">
        <v>2</v>
      </c>
      <c r="E77" s="190" t="s">
        <v>46</v>
      </c>
      <c r="F77" s="191"/>
      <c r="G77" s="192"/>
      <c r="H77" s="186"/>
      <c r="I77" s="187"/>
      <c r="J77" s="188">
        <f ca="1">IFERROR(__xludf.DUMMYFUNCTION("IMPORTRANGE(""https://docs.google.com/spreadsheets/d/11923uPwbBZFjjGgGUA6NLw09EwE0CqkOc4q9oUmW1yo/edit?usp=sharing"",""น่าน!J17"")"),1)</f>
        <v>1</v>
      </c>
      <c r="K77" s="163"/>
      <c r="L77" s="181" t="s">
        <v>40</v>
      </c>
      <c r="M77" s="181"/>
      <c r="N77" s="181" t="s">
        <v>40</v>
      </c>
      <c r="O77" s="181"/>
      <c r="P77" s="181"/>
    </row>
    <row r="78" spans="1:16" ht="21.75" customHeight="1" x14ac:dyDescent="0.3">
      <c r="A78" s="175"/>
      <c r="B78" s="176"/>
      <c r="C78" s="176"/>
      <c r="D78" s="193"/>
      <c r="E78" s="194" t="s">
        <v>47</v>
      </c>
      <c r="F78" s="195"/>
      <c r="G78" s="196"/>
      <c r="H78" s="186"/>
      <c r="I78" s="187"/>
      <c r="J78" s="188">
        <f ca="1">IFERROR(__xludf.DUMMYFUNCTION("IMPORTRANGE(""https://docs.google.com/spreadsheets/d/11923uPwbBZFjjGgGUA6NLw09EwE0CqkOc4q9oUmW1yo/edit?usp=sharing"",""น่าน!J18"")"),1)</f>
        <v>1</v>
      </c>
      <c r="K78" s="163"/>
      <c r="L78" s="181"/>
      <c r="M78" s="181"/>
      <c r="N78" s="181"/>
      <c r="O78" s="181"/>
      <c r="P78" s="181"/>
    </row>
    <row r="79" spans="1:16" ht="21.75" customHeight="1" x14ac:dyDescent="0.3">
      <c r="A79" s="175"/>
      <c r="B79" s="176"/>
      <c r="C79" s="176"/>
      <c r="D79" s="193"/>
      <c r="E79" s="194" t="s">
        <v>48</v>
      </c>
      <c r="F79" s="195"/>
      <c r="G79" s="196"/>
      <c r="H79" s="186"/>
      <c r="I79" s="187"/>
      <c r="J79" s="197">
        <f ca="1">IFERROR(__xludf.DUMMYFUNCTION("IMPORTRANGE(""https://docs.google.com/spreadsheets/d/11923uPwbBZFjjGgGUA6NLw09EwE0CqkOc4q9oUmW1yo/edit?usp=sharing"",""น่าน!J19"")"),1)</f>
        <v>1</v>
      </c>
      <c r="K79" s="163"/>
      <c r="L79" s="181"/>
      <c r="M79" s="181"/>
      <c r="N79" s="181"/>
      <c r="O79" s="181"/>
      <c r="P79" s="181"/>
    </row>
    <row r="80" spans="1:16" ht="21.75" customHeight="1" x14ac:dyDescent="0.3">
      <c r="A80" s="175"/>
      <c r="B80" s="176"/>
      <c r="C80" s="176"/>
      <c r="D80" s="193"/>
      <c r="E80" s="198"/>
      <c r="F80" s="194" t="s">
        <v>49</v>
      </c>
      <c r="G80" s="195"/>
      <c r="H80" s="199" t="s">
        <v>36</v>
      </c>
      <c r="I80" s="200">
        <f ca="1">IFERROR(__xludf.DUMMYFUNCTION("IMPORTRANGE(""https://docs.google.com/spreadsheets/d/11923uPwbBZFjjGgGUA6NLw09EwE0CqkOc4q9oUmW1yo/edit?usp=sharing"",""น่าน!I20"")"),1)</f>
        <v>1</v>
      </c>
      <c r="J80" s="200">
        <f ca="1">IFERROR(__xludf.DUMMYFUNCTION("IMPORTRANGE(""https://docs.google.com/spreadsheets/d/11923uPwbBZFjjGgGUA6NLw09EwE0CqkOc4q9oUmW1yo/edit?usp=sharing"",""น่าน!J20"")"),0)</f>
        <v>0</v>
      </c>
      <c r="K80" s="201">
        <f t="shared" ref="K80:K88" ca="1" si="50">IF(I80&gt;0,J80*100/I80,0)</f>
        <v>0</v>
      </c>
      <c r="L80" s="181"/>
      <c r="M80" s="181"/>
      <c r="N80" s="181"/>
      <c r="O80" s="181"/>
      <c r="P80" s="181"/>
    </row>
    <row r="81" spans="1:16" ht="21.75" customHeight="1" x14ac:dyDescent="0.3">
      <c r="A81" s="175"/>
      <c r="B81" s="176"/>
      <c r="C81" s="176"/>
      <c r="D81" s="193"/>
      <c r="E81" s="198"/>
      <c r="F81" s="195"/>
      <c r="G81" s="196"/>
      <c r="H81" s="199" t="s">
        <v>37</v>
      </c>
      <c r="I81" s="200">
        <f ca="1">IFERROR(__xludf.DUMMYFUNCTION("IMPORTRANGE(""https://docs.google.com/spreadsheets/d/11923uPwbBZFjjGgGUA6NLw09EwE0CqkOc4q9oUmW1yo/edit?usp=sharing"",""น่าน!I21"")"),63)</f>
        <v>63</v>
      </c>
      <c r="J81" s="200">
        <f ca="1">IFERROR(__xludf.DUMMYFUNCTION("IMPORTRANGE(""https://docs.google.com/spreadsheets/d/11923uPwbBZFjjGgGUA6NLw09EwE0CqkOc4q9oUmW1yo/edit?usp=sharing"",""น่าน!J21"")"),0)</f>
        <v>0</v>
      </c>
      <c r="K81" s="201">
        <f t="shared" ca="1" si="50"/>
        <v>0</v>
      </c>
      <c r="L81" s="181"/>
      <c r="M81" s="181"/>
      <c r="N81" s="181"/>
      <c r="O81" s="181"/>
      <c r="P81" s="181"/>
    </row>
    <row r="82" spans="1:16" ht="21.75" customHeight="1" x14ac:dyDescent="0.3">
      <c r="A82" s="175"/>
      <c r="B82" s="176"/>
      <c r="C82" s="176"/>
      <c r="D82" s="193"/>
      <c r="E82" s="198"/>
      <c r="F82" s="195"/>
      <c r="G82" s="195" t="s">
        <v>50</v>
      </c>
      <c r="H82" s="180" t="s">
        <v>36</v>
      </c>
      <c r="I82" s="202">
        <f ca="1">IFERROR(__xludf.DUMMYFUNCTION("IMPORTRANGE(""https://docs.google.com/spreadsheets/d/11923uPwbBZFjjGgGUA6NLw09EwE0CqkOc4q9oUmW1yo/edit?usp=sharing"",""น่าน!I22"")"),0)</f>
        <v>0</v>
      </c>
      <c r="J82" s="203">
        <f ca="1">IFERROR(__xludf.DUMMYFUNCTION("IMPORTRANGE(""https://docs.google.com/spreadsheets/d/11923uPwbBZFjjGgGUA6NLw09EwE0CqkOc4q9oUmW1yo/edit?usp=sharing"",""น่าน!J22"")"),0)</f>
        <v>0</v>
      </c>
      <c r="K82" s="163">
        <f t="shared" ca="1" si="50"/>
        <v>0</v>
      </c>
      <c r="L82" s="181"/>
      <c r="M82" s="181"/>
      <c r="N82" s="181"/>
      <c r="O82" s="181"/>
      <c r="P82" s="181"/>
    </row>
    <row r="83" spans="1:16" ht="21.75" customHeight="1" x14ac:dyDescent="0.3">
      <c r="A83" s="175"/>
      <c r="B83" s="176"/>
      <c r="C83" s="176"/>
      <c r="D83" s="193"/>
      <c r="E83" s="198"/>
      <c r="F83" s="195"/>
      <c r="G83" s="196"/>
      <c r="H83" s="180" t="s">
        <v>37</v>
      </c>
      <c r="I83" s="202">
        <f ca="1">IFERROR(__xludf.DUMMYFUNCTION("IMPORTRANGE(""https://docs.google.com/spreadsheets/d/11923uPwbBZFjjGgGUA6NLw09EwE0CqkOc4q9oUmW1yo/edit?usp=sharing"",""น่าน!I23"")"),0)</f>
        <v>0</v>
      </c>
      <c r="J83" s="203">
        <f ca="1">IFERROR(__xludf.DUMMYFUNCTION("IMPORTRANGE(""https://docs.google.com/spreadsheets/d/11923uPwbBZFjjGgGUA6NLw09EwE0CqkOc4q9oUmW1yo/edit?usp=sharing"",""น่าน!J23"")"),0)</f>
        <v>0</v>
      </c>
      <c r="K83" s="163">
        <f t="shared" ca="1" si="50"/>
        <v>0</v>
      </c>
      <c r="L83" s="181"/>
      <c r="M83" s="181"/>
      <c r="N83" s="181"/>
      <c r="O83" s="181"/>
      <c r="P83" s="181"/>
    </row>
    <row r="84" spans="1:16" ht="21.75" customHeight="1" x14ac:dyDescent="0.3">
      <c r="A84" s="175"/>
      <c r="B84" s="176"/>
      <c r="C84" s="176"/>
      <c r="D84" s="193"/>
      <c r="E84" s="198"/>
      <c r="F84" s="195"/>
      <c r="G84" s="195" t="s">
        <v>51</v>
      </c>
      <c r="H84" s="180" t="s">
        <v>36</v>
      </c>
      <c r="I84" s="202">
        <f ca="1">IFERROR(__xludf.DUMMYFUNCTION("IMPORTRANGE(""https://docs.google.com/spreadsheets/d/11923uPwbBZFjjGgGUA6NLw09EwE0CqkOc4q9oUmW1yo/edit?usp=sharing"",""น่าน!I24"")"),0)</f>
        <v>0</v>
      </c>
      <c r="J84" s="188">
        <f ca="1">IFERROR(__xludf.DUMMYFUNCTION("IMPORTRANGE(""https://docs.google.com/spreadsheets/d/11923uPwbBZFjjGgGUA6NLw09EwE0CqkOc4q9oUmW1yo/edit?usp=sharing"",""น่าน!J24"")"),0)</f>
        <v>0</v>
      </c>
      <c r="K84" s="163">
        <f t="shared" ca="1" si="50"/>
        <v>0</v>
      </c>
      <c r="L84" s="181"/>
      <c r="M84" s="181"/>
      <c r="N84" s="181"/>
      <c r="O84" s="181"/>
      <c r="P84" s="181"/>
    </row>
    <row r="85" spans="1:16" ht="21.75" customHeight="1" x14ac:dyDescent="0.3">
      <c r="A85" s="175"/>
      <c r="B85" s="176"/>
      <c r="C85" s="176"/>
      <c r="D85" s="193"/>
      <c r="E85" s="198"/>
      <c r="F85" s="195"/>
      <c r="G85" s="196"/>
      <c r="H85" s="180" t="s">
        <v>37</v>
      </c>
      <c r="I85" s="202">
        <f ca="1">IFERROR(__xludf.DUMMYFUNCTION("IMPORTRANGE(""https://docs.google.com/spreadsheets/d/11923uPwbBZFjjGgGUA6NLw09EwE0CqkOc4q9oUmW1yo/edit?usp=sharing"",""น่าน!I25"")"),0)</f>
        <v>0</v>
      </c>
      <c r="J85" s="188">
        <f ca="1">IFERROR(__xludf.DUMMYFUNCTION("IMPORTRANGE(""https://docs.google.com/spreadsheets/d/11923uPwbBZFjjGgGUA6NLw09EwE0CqkOc4q9oUmW1yo/edit?usp=sharing"",""น่าน!J25"")"),0)</f>
        <v>0</v>
      </c>
      <c r="K85" s="163">
        <f t="shared" ca="1" si="50"/>
        <v>0</v>
      </c>
      <c r="L85" s="181"/>
      <c r="M85" s="181"/>
      <c r="N85" s="181"/>
      <c r="O85" s="181"/>
      <c r="P85" s="181"/>
    </row>
    <row r="86" spans="1:16" ht="21.75" customHeight="1" x14ac:dyDescent="0.3">
      <c r="A86" s="175"/>
      <c r="B86" s="176"/>
      <c r="C86" s="176"/>
      <c r="D86" s="193"/>
      <c r="E86" s="198"/>
      <c r="F86" s="195"/>
      <c r="G86" s="195" t="s">
        <v>52</v>
      </c>
      <c r="H86" s="180" t="s">
        <v>36</v>
      </c>
      <c r="I86" s="202">
        <f ca="1">IFERROR(__xludf.DUMMYFUNCTION("IMPORTRANGE(""https://docs.google.com/spreadsheets/d/11923uPwbBZFjjGgGUA6NLw09EwE0CqkOc4q9oUmW1yo/edit?usp=sharing"",""น่าน!I26"")"),1)</f>
        <v>1</v>
      </c>
      <c r="J86" s="203">
        <f ca="1">IFERROR(__xludf.DUMMYFUNCTION("IMPORTRANGE(""https://docs.google.com/spreadsheets/d/11923uPwbBZFjjGgGUA6NLw09EwE0CqkOc4q9oUmW1yo/edit?usp=sharing"",""น่าน!J26"")"),0)</f>
        <v>0</v>
      </c>
      <c r="K86" s="163">
        <f t="shared" ca="1" si="50"/>
        <v>0</v>
      </c>
      <c r="L86" s="181"/>
      <c r="M86" s="181"/>
      <c r="N86" s="181"/>
      <c r="O86" s="181"/>
      <c r="P86" s="181"/>
    </row>
    <row r="87" spans="1:16" ht="21.75" customHeight="1" x14ac:dyDescent="0.3">
      <c r="A87" s="175"/>
      <c r="B87" s="176"/>
      <c r="C87" s="176"/>
      <c r="D87" s="193"/>
      <c r="E87" s="198"/>
      <c r="F87" s="195"/>
      <c r="G87" s="196"/>
      <c r="H87" s="180" t="s">
        <v>37</v>
      </c>
      <c r="I87" s="202">
        <f ca="1">IFERROR(__xludf.DUMMYFUNCTION("IMPORTRANGE(""https://docs.google.com/spreadsheets/d/11923uPwbBZFjjGgGUA6NLw09EwE0CqkOc4q9oUmW1yo/edit?usp=sharing"",""น่าน!I27"")"),63)</f>
        <v>63</v>
      </c>
      <c r="J87" s="203">
        <f ca="1">IFERROR(__xludf.DUMMYFUNCTION("IMPORTRANGE(""https://docs.google.com/spreadsheets/d/11923uPwbBZFjjGgGUA6NLw09EwE0CqkOc4q9oUmW1yo/edit?usp=sharing"",""น่าน!J27"")"),0)</f>
        <v>0</v>
      </c>
      <c r="K87" s="163">
        <f t="shared" ca="1" si="50"/>
        <v>0</v>
      </c>
      <c r="L87" s="181"/>
      <c r="M87" s="181"/>
      <c r="N87" s="181"/>
      <c r="O87" s="181"/>
      <c r="P87" s="181"/>
    </row>
    <row r="88" spans="1:16" ht="21.75" customHeight="1" x14ac:dyDescent="0.3">
      <c r="A88" s="175"/>
      <c r="B88" s="176"/>
      <c r="C88" s="176"/>
      <c r="D88" s="193"/>
      <c r="E88" s="198"/>
      <c r="F88" s="204" t="s">
        <v>53</v>
      </c>
      <c r="G88" s="195"/>
      <c r="H88" s="180" t="s">
        <v>37</v>
      </c>
      <c r="I88" s="202">
        <f ca="1">IFERROR(__xludf.DUMMYFUNCTION("IMPORTRANGE(""https://docs.google.com/spreadsheets/d/11923uPwbBZFjjGgGUA6NLw09EwE0CqkOc4q9oUmW1yo/edit?usp=sharing"",""น่าน!I28"")"),0)</f>
        <v>0</v>
      </c>
      <c r="J88" s="203">
        <f ca="1">IFERROR(__xludf.DUMMYFUNCTION("IMPORTRANGE(""https://docs.google.com/spreadsheets/d/11923uPwbBZFjjGgGUA6NLw09EwE0CqkOc4q9oUmW1yo/edit?usp=sharing"",""น่าน!J28"")"),0)</f>
        <v>0</v>
      </c>
      <c r="K88" s="163">
        <f t="shared" ca="1" si="50"/>
        <v>0</v>
      </c>
      <c r="L88" s="181"/>
      <c r="M88" s="181"/>
      <c r="N88" s="181"/>
      <c r="O88" s="181"/>
      <c r="P88" s="181"/>
    </row>
    <row r="89" spans="1:16" ht="21.75" customHeight="1" x14ac:dyDescent="0.3">
      <c r="A89" s="175"/>
      <c r="B89" s="176"/>
      <c r="C89" s="176"/>
      <c r="D89" s="193"/>
      <c r="E89" s="194" t="s">
        <v>54</v>
      </c>
      <c r="F89" s="195"/>
      <c r="G89" s="196"/>
      <c r="H89" s="186"/>
      <c r="I89" s="187"/>
      <c r="J89" s="197">
        <f ca="1">IFERROR(__xludf.DUMMYFUNCTION("IMPORTRANGE(""https://docs.google.com/spreadsheets/d/11923uPwbBZFjjGgGUA6NLw09EwE0CqkOc4q9oUmW1yo/edit?usp=sharing"",""น่าน!J29"")"),0)</f>
        <v>0</v>
      </c>
      <c r="K89" s="163"/>
      <c r="L89" s="181"/>
      <c r="M89" s="181"/>
      <c r="N89" s="181"/>
      <c r="O89" s="181"/>
      <c r="P89" s="181"/>
    </row>
    <row r="90" spans="1:16" ht="21.75" customHeight="1" x14ac:dyDescent="0.3">
      <c r="A90" s="175"/>
      <c r="B90" s="176"/>
      <c r="C90" s="176"/>
      <c r="D90" s="205">
        <v>3</v>
      </c>
      <c r="E90" s="206" t="s">
        <v>55</v>
      </c>
      <c r="F90" s="207"/>
      <c r="G90" s="208"/>
      <c r="H90" s="186"/>
      <c r="I90" s="187"/>
      <c r="J90" s="209">
        <f ca="1">IFERROR(__xludf.DUMMYFUNCTION("IMPORTRANGE(""https://docs.google.com/spreadsheets/d/11923uPwbBZFjjGgGUA6NLw09EwE0CqkOc4q9oUmW1yo/edit?usp=sharing"",""น่าน!J30"")"),0)</f>
        <v>0</v>
      </c>
      <c r="K90" s="163"/>
      <c r="L90" s="181"/>
      <c r="M90" s="181"/>
      <c r="N90" s="181"/>
      <c r="O90" s="181"/>
      <c r="P90" s="181"/>
    </row>
    <row r="91" spans="1:16" ht="21.75" customHeight="1" x14ac:dyDescent="0.3">
      <c r="A91" s="210" t="s">
        <v>56</v>
      </c>
      <c r="B91" s="211"/>
      <c r="C91" s="212"/>
      <c r="D91" s="211"/>
      <c r="E91" s="213"/>
      <c r="F91" s="213"/>
      <c r="G91" s="214"/>
      <c r="H91" s="215"/>
      <c r="I91" s="216"/>
      <c r="J91" s="216"/>
      <c r="K91" s="217"/>
      <c r="L91" s="218"/>
      <c r="M91" s="218"/>
      <c r="N91" s="218"/>
      <c r="O91" s="219"/>
      <c r="P91" s="219"/>
    </row>
    <row r="92" spans="1:16" ht="21.75" customHeight="1" x14ac:dyDescent="0.3">
      <c r="A92" s="137"/>
      <c r="B92" s="138" t="s">
        <v>57</v>
      </c>
      <c r="C92" s="138"/>
      <c r="D92" s="139"/>
      <c r="E92" s="138"/>
      <c r="F92" s="138"/>
      <c r="G92" s="220"/>
      <c r="H92" s="140" t="s">
        <v>37</v>
      </c>
      <c r="I92" s="141">
        <f ca="1">IFERROR(__xludf.DUMMYFUNCTION("IMPORTRANGE(""https://docs.google.com/spreadsheets/d/11923uPwbBZFjjGgGUA6NLw09EwE0CqkOc4q9oUmW1yo/edit?usp=sharing"",""น่าน!I32"")"),4)</f>
        <v>4</v>
      </c>
      <c r="J92" s="141">
        <f ca="1">IFERROR(__xludf.DUMMYFUNCTION("IMPORTRANGE(""https://docs.google.com/spreadsheets/d/11923uPwbBZFjjGgGUA6NLw09EwE0CqkOc4q9oUmW1yo/edit?usp=sharing"",""น่าน!J32"")"),4)</f>
        <v>4</v>
      </c>
      <c r="K92" s="142">
        <f t="shared" ref="K92:K93" ca="1" si="51">IF(I92&gt;0,J92*100/I92,0)</f>
        <v>100</v>
      </c>
      <c r="L92" s="221"/>
      <c r="M92" s="221"/>
      <c r="N92" s="222"/>
      <c r="O92" s="142"/>
      <c r="P92" s="142"/>
    </row>
    <row r="93" spans="1:16" ht="21.75" customHeight="1" x14ac:dyDescent="0.3">
      <c r="A93" s="137"/>
      <c r="B93" s="138"/>
      <c r="C93" s="138"/>
      <c r="D93" s="139" t="s">
        <v>58</v>
      </c>
      <c r="E93" s="138"/>
      <c r="F93" s="138"/>
      <c r="G93" s="220"/>
      <c r="H93" s="140" t="s">
        <v>59</v>
      </c>
      <c r="I93" s="141">
        <f ca="1">IFERROR(__xludf.DUMMYFUNCTION("IMPORTRANGE(""https://docs.google.com/spreadsheets/d/11923uPwbBZFjjGgGUA6NLw09EwE0CqkOc4q9oUmW1yo/edit?usp=sharing"",""น่าน!I33"")"),1)</f>
        <v>1</v>
      </c>
      <c r="J93" s="141">
        <f ca="1">IFERROR(__xludf.DUMMYFUNCTION("IMPORTRANGE(""https://docs.google.com/spreadsheets/d/11923uPwbBZFjjGgGUA6NLw09EwE0CqkOc4q9oUmW1yo/edit?usp=sharing"",""น่าน!J33"")"),0)</f>
        <v>0</v>
      </c>
      <c r="K93" s="142">
        <f t="shared" ca="1" si="51"/>
        <v>0</v>
      </c>
      <c r="L93" s="222"/>
      <c r="M93" s="222"/>
      <c r="N93" s="222"/>
      <c r="O93" s="142"/>
      <c r="P93" s="142"/>
    </row>
    <row r="94" spans="1:16" ht="21.75" customHeight="1" x14ac:dyDescent="0.45">
      <c r="A94" s="145"/>
      <c r="B94" s="146"/>
      <c r="C94" s="147" t="s">
        <v>16</v>
      </c>
      <c r="D94" s="537" t="s">
        <v>17</v>
      </c>
      <c r="E94" s="528"/>
      <c r="F94" s="528"/>
      <c r="G94" s="528"/>
      <c r="H94" s="148" t="s">
        <v>12</v>
      </c>
      <c r="I94" s="162"/>
      <c r="J94" s="162"/>
      <c r="K94" s="163"/>
      <c r="L94" s="151">
        <f t="shared" ref="L94:N94" ca="1" si="52">L95+L96</f>
        <v>214100</v>
      </c>
      <c r="M94" s="151">
        <f t="shared" ca="1" si="52"/>
        <v>160730</v>
      </c>
      <c r="N94" s="151">
        <f t="shared" ca="1" si="52"/>
        <v>120954</v>
      </c>
      <c r="O94" s="150">
        <f t="shared" ref="O94:O96" ca="1" si="53">IF(L94&gt;0,N94*100/L94,0)</f>
        <v>56.494161606725832</v>
      </c>
      <c r="P94" s="150">
        <f t="shared" ref="P94:P96" ca="1" si="54">IF(M94&gt;0,N94*100/M94,0)</f>
        <v>75.252908604492006</v>
      </c>
    </row>
    <row r="95" spans="1:16" ht="21.75" customHeight="1" x14ac:dyDescent="0.45">
      <c r="A95" s="152"/>
      <c r="B95" s="32"/>
      <c r="C95" s="32"/>
      <c r="D95" s="32"/>
      <c r="E95" s="32"/>
      <c r="F95" s="32"/>
      <c r="G95" s="33" t="s">
        <v>18</v>
      </c>
      <c r="H95" s="153" t="s">
        <v>12</v>
      </c>
      <c r="I95" s="162"/>
      <c r="J95" s="162"/>
      <c r="K95" s="163"/>
      <c r="L95" s="87">
        <f t="shared" ref="L95:N95" si="55">L97+L101</f>
        <v>0</v>
      </c>
      <c r="M95" s="87">
        <f t="shared" si="55"/>
        <v>0</v>
      </c>
      <c r="N95" s="87">
        <f t="shared" si="55"/>
        <v>0</v>
      </c>
      <c r="O95" s="155">
        <f t="shared" si="53"/>
        <v>0</v>
      </c>
      <c r="P95" s="155">
        <f t="shared" si="54"/>
        <v>0</v>
      </c>
    </row>
    <row r="96" spans="1:16" ht="21.75" customHeight="1" x14ac:dyDescent="0.45">
      <c r="A96" s="152"/>
      <c r="B96" s="32"/>
      <c r="C96" s="32"/>
      <c r="D96" s="32"/>
      <c r="E96" s="32"/>
      <c r="F96" s="32"/>
      <c r="G96" s="33" t="s">
        <v>19</v>
      </c>
      <c r="H96" s="153" t="s">
        <v>12</v>
      </c>
      <c r="I96" s="162"/>
      <c r="J96" s="162"/>
      <c r="K96" s="163"/>
      <c r="L96" s="87">
        <f t="shared" ref="L96:N96" ca="1" si="56">L98+L102</f>
        <v>214100</v>
      </c>
      <c r="M96" s="87">
        <f t="shared" ca="1" si="56"/>
        <v>160730</v>
      </c>
      <c r="N96" s="87">
        <f t="shared" ca="1" si="56"/>
        <v>120954</v>
      </c>
      <c r="O96" s="155">
        <f t="shared" ca="1" si="53"/>
        <v>56.494161606725832</v>
      </c>
      <c r="P96" s="155">
        <f t="shared" ca="1" si="54"/>
        <v>75.252908604492006</v>
      </c>
    </row>
    <row r="97" spans="1:16" ht="21.75" customHeight="1" x14ac:dyDescent="0.3">
      <c r="A97" s="156"/>
      <c r="B97" s="157"/>
      <c r="C97" s="157" t="s">
        <v>16</v>
      </c>
      <c r="D97" s="158" t="s">
        <v>38</v>
      </c>
      <c r="E97" s="159"/>
      <c r="F97" s="159"/>
      <c r="G97" s="160" t="s">
        <v>39</v>
      </c>
      <c r="H97" s="161" t="s">
        <v>12</v>
      </c>
      <c r="I97" s="162" t="s">
        <v>40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3">
      <c r="A98" s="156"/>
      <c r="B98" s="157"/>
      <c r="C98" s="157"/>
      <c r="D98" s="166"/>
      <c r="E98" s="159"/>
      <c r="F98" s="159" t="s">
        <v>40</v>
      </c>
      <c r="G98" s="160" t="s">
        <v>41</v>
      </c>
      <c r="H98" s="161" t="s">
        <v>12</v>
      </c>
      <c r="I98" s="162"/>
      <c r="J98" s="162"/>
      <c r="K98" s="163"/>
      <c r="L98" s="167">
        <f ca="1">L99+L100</f>
        <v>122100</v>
      </c>
      <c r="M98" s="167">
        <f ca="1">IFERROR(__xludf.DUMMYFUNCTION("IMPORTRANGE(""https://docs.google.com/spreadsheets/d/1Yj_ptqi66GCucihVvJfMjLAmec39IyEx_6qawtMGysU/edit?usp=sharing"",""สบก!AR25"")"),68730)</f>
        <v>68730</v>
      </c>
      <c r="N98" s="168">
        <f ca="1">IFERROR(__xludf.DUMMYFUNCTION("IMPORTRANGE(""https://docs.google.com/spreadsheets/d/1Yj_ptqi66GCucihVvJfMjLAmec39IyEx_6qawtMGysU/edit?usp=sharing"",""สบก!AS25"")"),28954)</f>
        <v>28954</v>
      </c>
      <c r="O98" s="168">
        <f ca="1">IF(L98&gt;0,N98*100/L98,0)</f>
        <v>23.713349713349714</v>
      </c>
      <c r="P98" s="168">
        <f ca="1">IF(M98&gt;0,N98*100/M98,0)</f>
        <v>42.127164265968283</v>
      </c>
    </row>
    <row r="99" spans="1:16" ht="21.75" customHeight="1" x14ac:dyDescent="0.3">
      <c r="A99" s="156"/>
      <c r="B99" s="157"/>
      <c r="C99" s="157"/>
      <c r="D99" s="166"/>
      <c r="E99" s="159"/>
      <c r="F99" s="159"/>
      <c r="G99" s="169" t="s">
        <v>42</v>
      </c>
      <c r="H99" s="161" t="s">
        <v>12</v>
      </c>
      <c r="I99" s="162"/>
      <c r="J99" s="162"/>
      <c r="K99" s="163"/>
      <c r="L99" s="167">
        <f ca="1">IFERROR(__xludf.DUMMYFUNCTION("IMPORTRANGE(""https://docs.google.com/spreadsheets/d/1Yj_ptqi66GCucihVvJfMjLAmec39IyEx_6qawtMGysU/edit?usp=sharing"",""สบก!AN25"")"),0)</f>
        <v>0</v>
      </c>
      <c r="M99" s="167"/>
      <c r="N99" s="167"/>
      <c r="O99" s="168"/>
      <c r="P99" s="168"/>
    </row>
    <row r="100" spans="1:16" ht="21.75" customHeight="1" x14ac:dyDescent="0.3">
      <c r="A100" s="156"/>
      <c r="B100" s="157"/>
      <c r="C100" s="157"/>
      <c r="D100" s="166"/>
      <c r="E100" s="159"/>
      <c r="F100" s="159"/>
      <c r="G100" s="169" t="s">
        <v>43</v>
      </c>
      <c r="H100" s="161" t="s">
        <v>12</v>
      </c>
      <c r="I100" s="162"/>
      <c r="J100" s="187"/>
      <c r="K100" s="223"/>
      <c r="L100" s="167">
        <f ca="1">IFERROR(__xludf.DUMMYFUNCTION("IMPORTRANGE(""https://docs.google.com/spreadsheets/d/1Yj_ptqi66GCucihVvJfMjLAmec39IyEx_6qawtMGysU/edit?usp=sharing"",""สบก!AO25"")"),122100)</f>
        <v>122100</v>
      </c>
      <c r="M100" s="167"/>
      <c r="N100" s="167"/>
      <c r="O100" s="168"/>
      <c r="P100" s="168"/>
    </row>
    <row r="101" spans="1:16" ht="21.75" customHeight="1" x14ac:dyDescent="0.45">
      <c r="A101" s="170"/>
      <c r="B101" s="80"/>
      <c r="C101" s="81" t="s">
        <v>16</v>
      </c>
      <c r="D101" s="534" t="s">
        <v>23</v>
      </c>
      <c r="E101" s="530"/>
      <c r="F101" s="88"/>
      <c r="G101" s="82" t="s">
        <v>18</v>
      </c>
      <c r="H101" s="171" t="s">
        <v>12</v>
      </c>
      <c r="I101" s="187"/>
      <c r="J101" s="187"/>
      <c r="K101" s="223"/>
      <c r="L101" s="41">
        <v>0</v>
      </c>
      <c r="M101" s="41"/>
      <c r="N101" s="41"/>
      <c r="O101" s="41"/>
      <c r="P101" s="41"/>
    </row>
    <row r="102" spans="1:16" ht="21.75" customHeight="1" x14ac:dyDescent="0.45">
      <c r="A102" s="172"/>
      <c r="B102" s="91"/>
      <c r="C102" s="91"/>
      <c r="D102" s="173"/>
      <c r="E102" s="92"/>
      <c r="F102" s="92"/>
      <c r="G102" s="93" t="s">
        <v>19</v>
      </c>
      <c r="H102" s="174" t="s">
        <v>12</v>
      </c>
      <c r="I102" s="187"/>
      <c r="J102" s="187"/>
      <c r="K102" s="223"/>
      <c r="L102" s="49">
        <f ca="1">IFERROR(__xludf.DUMMYFUNCTION("IMPORTRANGE(""https://docs.google.com/spreadsheets/d/1Yj_ptqi66GCucihVvJfMjLAmec39IyEx_6qawtMGysU/edit?usp=sharing"",""สบก!AP25"")"),92000)</f>
        <v>92000</v>
      </c>
      <c r="M102" s="49">
        <f ca="1">L102</f>
        <v>92000</v>
      </c>
      <c r="N102" s="49">
        <f ca="1">IFERROR(__xludf.DUMMYFUNCTION("IMPORTRANGE(""https://docs.google.com/spreadsheets/d/1Yj_ptqi66GCucihVvJfMjLAmec39IyEx_6qawtMGysU/edit?usp=sharing"",""สบก!AT25"")"),92000)</f>
        <v>92000</v>
      </c>
      <c r="O102" s="49">
        <f ca="1">IF(L102&gt;0,N102*100/L102,0)</f>
        <v>100</v>
      </c>
      <c r="P102" s="49">
        <f ca="1">IF(M102&gt;0,N102*100/M102,0)</f>
        <v>100</v>
      </c>
    </row>
    <row r="103" spans="1:16" ht="21.75" customHeight="1" x14ac:dyDescent="0.3">
      <c r="A103" s="175"/>
      <c r="B103" s="176"/>
      <c r="C103" s="157" t="s">
        <v>16</v>
      </c>
      <c r="D103" s="177" t="s">
        <v>44</v>
      </c>
      <c r="E103" s="178"/>
      <c r="F103" s="178"/>
      <c r="G103" s="179"/>
      <c r="H103" s="180"/>
      <c r="I103" s="162"/>
      <c r="J103" s="187"/>
      <c r="K103" s="223"/>
      <c r="L103" s="168"/>
      <c r="M103" s="168"/>
      <c r="N103" s="168"/>
      <c r="O103" s="181"/>
      <c r="P103" s="181"/>
    </row>
    <row r="104" spans="1:16" ht="21.75" customHeight="1" x14ac:dyDescent="0.3">
      <c r="A104" s="175"/>
      <c r="B104" s="176"/>
      <c r="C104" s="176"/>
      <c r="D104" s="182">
        <v>1</v>
      </c>
      <c r="E104" s="183" t="s">
        <v>45</v>
      </c>
      <c r="F104" s="184"/>
      <c r="G104" s="185"/>
      <c r="H104" s="186"/>
      <c r="I104" s="187"/>
      <c r="J104" s="187">
        <f ca="1">IFERROR(__xludf.DUMMYFUNCTION("IMPORTRANGE(""https://docs.google.com/spreadsheets/d/11923uPwbBZFjjGgGUA6NLw09EwE0CqkOc4q9oUmW1yo/edit?usp=sharing"",""น่าน!J39"")"),0)</f>
        <v>0</v>
      </c>
      <c r="K104" s="223"/>
      <c r="L104" s="168"/>
      <c r="M104" s="168"/>
      <c r="N104" s="168"/>
      <c r="O104" s="181"/>
      <c r="P104" s="181"/>
    </row>
    <row r="105" spans="1:16" ht="21.75" customHeight="1" x14ac:dyDescent="0.3">
      <c r="A105" s="175"/>
      <c r="B105" s="176"/>
      <c r="C105" s="176"/>
      <c r="D105" s="189">
        <v>2</v>
      </c>
      <c r="E105" s="190" t="s">
        <v>46</v>
      </c>
      <c r="F105" s="191"/>
      <c r="G105" s="192"/>
      <c r="H105" s="186"/>
      <c r="I105" s="187"/>
      <c r="J105" s="187">
        <f ca="1">IFERROR(__xludf.DUMMYFUNCTION("IMPORTRANGE(""https://docs.google.com/spreadsheets/d/11923uPwbBZFjjGgGUA6NLw09EwE0CqkOc4q9oUmW1yo/edit?usp=sharing"",""น่าน!J40"")"),1)</f>
        <v>1</v>
      </c>
      <c r="K105" s="223"/>
      <c r="L105" s="168" t="s">
        <v>40</v>
      </c>
      <c r="M105" s="168"/>
      <c r="N105" s="168" t="s">
        <v>40</v>
      </c>
      <c r="O105" s="181"/>
      <c r="P105" s="181"/>
    </row>
    <row r="106" spans="1:16" ht="21.75" customHeight="1" x14ac:dyDescent="0.3">
      <c r="A106" s="175"/>
      <c r="B106" s="176"/>
      <c r="C106" s="176"/>
      <c r="D106" s="193"/>
      <c r="E106" s="194" t="s">
        <v>47</v>
      </c>
      <c r="F106" s="195"/>
      <c r="G106" s="196"/>
      <c r="H106" s="186"/>
      <c r="I106" s="187"/>
      <c r="J106" s="187">
        <f ca="1">IFERROR(__xludf.DUMMYFUNCTION("IMPORTRANGE(""https://docs.google.com/spreadsheets/d/11923uPwbBZFjjGgGUA6NLw09EwE0CqkOc4q9oUmW1yo/edit?usp=sharing"",""น่าน!J41"")"),1)</f>
        <v>1</v>
      </c>
      <c r="K106" s="223"/>
      <c r="L106" s="168"/>
      <c r="M106" s="168"/>
      <c r="N106" s="168"/>
      <c r="O106" s="181"/>
      <c r="P106" s="181"/>
    </row>
    <row r="107" spans="1:16" ht="21.75" customHeight="1" x14ac:dyDescent="0.3">
      <c r="A107" s="175"/>
      <c r="B107" s="176"/>
      <c r="C107" s="176"/>
      <c r="D107" s="193"/>
      <c r="E107" s="194" t="s">
        <v>48</v>
      </c>
      <c r="F107" s="195"/>
      <c r="G107" s="196"/>
      <c r="H107" s="186"/>
      <c r="I107" s="187"/>
      <c r="J107" s="187">
        <f ca="1">IFERROR(__xludf.DUMMYFUNCTION("IMPORTRANGE(""https://docs.google.com/spreadsheets/d/11923uPwbBZFjjGgGUA6NLw09EwE0CqkOc4q9oUmW1yo/edit?usp=sharing"",""น่าน!J42"")"),1)</f>
        <v>1</v>
      </c>
      <c r="K107" s="223"/>
      <c r="L107" s="168"/>
      <c r="M107" s="168"/>
      <c r="N107" s="168"/>
      <c r="O107" s="181"/>
      <c r="P107" s="181"/>
    </row>
    <row r="108" spans="1:16" ht="21.75" customHeight="1" x14ac:dyDescent="0.3">
      <c r="A108" s="175"/>
      <c r="B108" s="176"/>
      <c r="C108" s="176"/>
      <c r="D108" s="193"/>
      <c r="E108" s="195"/>
      <c r="F108" s="195" t="s">
        <v>60</v>
      </c>
      <c r="G108" s="195"/>
      <c r="H108" s="180" t="s">
        <v>61</v>
      </c>
      <c r="I108" s="202">
        <f ca="1">IFERROR(__xludf.DUMMYFUNCTION("IMPORTRANGE(""https://docs.google.com/spreadsheets/d/11923uPwbBZFjjGgGUA6NLw09EwE0CqkOc4q9oUmW1yo/edit?usp=sharing"",""น่าน!I43"")"),1)</f>
        <v>1</v>
      </c>
      <c r="J108" s="203">
        <f ca="1">IFERROR(__xludf.DUMMYFUNCTION("IMPORTRANGE(""https://docs.google.com/spreadsheets/d/11923uPwbBZFjjGgGUA6NLw09EwE0CqkOc4q9oUmW1yo/edit?usp=sharing"",""น่าน!J43"")"),1)</f>
        <v>1</v>
      </c>
      <c r="K108" s="223">
        <f t="shared" ref="K108:K113" ca="1" si="57">IF(I108&gt;0,J108*100/I108,0)</f>
        <v>100</v>
      </c>
      <c r="L108" s="168"/>
      <c r="M108" s="168"/>
      <c r="N108" s="168"/>
      <c r="O108" s="181"/>
      <c r="P108" s="181"/>
    </row>
    <row r="109" spans="1:16" ht="21.75" customHeight="1" x14ac:dyDescent="0.3">
      <c r="A109" s="175"/>
      <c r="B109" s="176"/>
      <c r="C109" s="176"/>
      <c r="D109" s="193"/>
      <c r="E109" s="198"/>
      <c r="F109" s="194" t="s">
        <v>62</v>
      </c>
      <c r="G109" s="195"/>
      <c r="H109" s="180" t="s">
        <v>37</v>
      </c>
      <c r="I109" s="202">
        <f ca="1">IFERROR(__xludf.DUMMYFUNCTION("IMPORTRANGE(""https://docs.google.com/spreadsheets/d/11923uPwbBZFjjGgGUA6NLw09EwE0CqkOc4q9oUmW1yo/edit?usp=sharing"",""น่าน!I44"")"),4)</f>
        <v>4</v>
      </c>
      <c r="J109" s="203">
        <f ca="1">IFERROR(__xludf.DUMMYFUNCTION("IMPORTRANGE(""https://docs.google.com/spreadsheets/d/11923uPwbBZFjjGgGUA6NLw09EwE0CqkOc4q9oUmW1yo/edit?usp=sharing"",""น่าน!J44"")"),4)</f>
        <v>4</v>
      </c>
      <c r="K109" s="223">
        <f t="shared" ca="1" si="57"/>
        <v>100</v>
      </c>
      <c r="L109" s="168"/>
      <c r="M109" s="168"/>
      <c r="N109" s="168"/>
      <c r="O109" s="181"/>
      <c r="P109" s="181"/>
    </row>
    <row r="110" spans="1:16" ht="21.75" customHeight="1" x14ac:dyDescent="0.3">
      <c r="A110" s="175"/>
      <c r="B110" s="176"/>
      <c r="C110" s="176"/>
      <c r="D110" s="193"/>
      <c r="E110" s="198"/>
      <c r="F110" s="195"/>
      <c r="G110" s="224" t="s">
        <v>63</v>
      </c>
      <c r="H110" s="180" t="s">
        <v>37</v>
      </c>
      <c r="I110" s="202">
        <f ca="1">IFERROR(__xludf.DUMMYFUNCTION("IMPORTRANGE(""https://docs.google.com/spreadsheets/d/11923uPwbBZFjjGgGUA6NLw09EwE0CqkOc4q9oUmW1yo/edit?usp=sharing"",""น่าน!I45"")"),4)</f>
        <v>4</v>
      </c>
      <c r="J110" s="203">
        <f ca="1">IFERROR(__xludf.DUMMYFUNCTION("IMPORTRANGE(""https://docs.google.com/spreadsheets/d/11923uPwbBZFjjGgGUA6NLw09EwE0CqkOc4q9oUmW1yo/edit?usp=sharing"",""น่าน!J45"")"),4)</f>
        <v>4</v>
      </c>
      <c r="K110" s="223">
        <f t="shared" ca="1" si="57"/>
        <v>100</v>
      </c>
      <c r="L110" s="168"/>
      <c r="M110" s="168"/>
      <c r="N110" s="168"/>
      <c r="O110" s="181"/>
      <c r="P110" s="181"/>
    </row>
    <row r="111" spans="1:16" ht="21.75" customHeight="1" x14ac:dyDescent="0.3">
      <c r="A111" s="175"/>
      <c r="B111" s="176"/>
      <c r="C111" s="176"/>
      <c r="D111" s="193"/>
      <c r="E111" s="198"/>
      <c r="F111" s="195"/>
      <c r="G111" s="224" t="s">
        <v>64</v>
      </c>
      <c r="H111" s="180" t="s">
        <v>37</v>
      </c>
      <c r="I111" s="202">
        <f ca="1">IFERROR(__xludf.DUMMYFUNCTION("IMPORTRANGE(""https://docs.google.com/spreadsheets/d/11923uPwbBZFjjGgGUA6NLw09EwE0CqkOc4q9oUmW1yo/edit?usp=sharing"",""น่าน!I46"")"),4)</f>
        <v>4</v>
      </c>
      <c r="J111" s="203">
        <f ca="1">IFERROR(__xludf.DUMMYFUNCTION("IMPORTRANGE(""https://docs.google.com/spreadsheets/d/11923uPwbBZFjjGgGUA6NLw09EwE0CqkOc4q9oUmW1yo/edit?usp=sharing"",""น่าน!J46"")"),0)</f>
        <v>0</v>
      </c>
      <c r="K111" s="223">
        <f t="shared" ca="1" si="57"/>
        <v>0</v>
      </c>
      <c r="L111" s="168"/>
      <c r="M111" s="168"/>
      <c r="N111" s="168"/>
      <c r="O111" s="181"/>
      <c r="P111" s="181"/>
    </row>
    <row r="112" spans="1:16" ht="21.75" customHeight="1" x14ac:dyDescent="0.3">
      <c r="A112" s="175"/>
      <c r="B112" s="176"/>
      <c r="C112" s="176"/>
      <c r="D112" s="193"/>
      <c r="E112" s="198"/>
      <c r="F112" s="195"/>
      <c r="G112" s="225" t="s">
        <v>65</v>
      </c>
      <c r="H112" s="180" t="s">
        <v>37</v>
      </c>
      <c r="I112" s="202">
        <f ca="1">IFERROR(__xludf.DUMMYFUNCTION("IMPORTRANGE(""https://docs.google.com/spreadsheets/d/11923uPwbBZFjjGgGUA6NLw09EwE0CqkOc4q9oUmW1yo/edit?usp=sharing"",""น่าน!I47"")"),4)</f>
        <v>4</v>
      </c>
      <c r="J112" s="203">
        <f ca="1">IFERROR(__xludf.DUMMYFUNCTION("IMPORTRANGE(""https://docs.google.com/spreadsheets/d/11923uPwbBZFjjGgGUA6NLw09EwE0CqkOc4q9oUmW1yo/edit?usp=sharing"",""น่าน!J47"")"),0)</f>
        <v>0</v>
      </c>
      <c r="K112" s="223">
        <f t="shared" ca="1" si="57"/>
        <v>0</v>
      </c>
      <c r="L112" s="168"/>
      <c r="M112" s="168"/>
      <c r="N112" s="168"/>
      <c r="O112" s="181"/>
      <c r="P112" s="181"/>
    </row>
    <row r="113" spans="1:16" ht="21.75" customHeight="1" x14ac:dyDescent="0.3">
      <c r="A113" s="175"/>
      <c r="B113" s="176"/>
      <c r="C113" s="176"/>
      <c r="D113" s="193"/>
      <c r="E113" s="198"/>
      <c r="F113" s="195" t="s">
        <v>66</v>
      </c>
      <c r="G113" s="195"/>
      <c r="H113" s="180" t="s">
        <v>59</v>
      </c>
      <c r="I113" s="202">
        <f ca="1">IFERROR(__xludf.DUMMYFUNCTION("IMPORTRANGE(""https://docs.google.com/spreadsheets/d/11923uPwbBZFjjGgGUA6NLw09EwE0CqkOc4q9oUmW1yo/edit?usp=sharing"",""น่าน!I48"")"),1)</f>
        <v>1</v>
      </c>
      <c r="J113" s="203">
        <f ca="1">IFERROR(__xludf.DUMMYFUNCTION("IMPORTRANGE(""https://docs.google.com/spreadsheets/d/11923uPwbBZFjjGgGUA6NLw09EwE0CqkOc4q9oUmW1yo/edit?usp=sharing"",""น่าน!J48"")"),0)</f>
        <v>0</v>
      </c>
      <c r="K113" s="223">
        <f t="shared" ca="1" si="57"/>
        <v>0</v>
      </c>
      <c r="L113" s="168"/>
      <c r="M113" s="168"/>
      <c r="N113" s="168"/>
      <c r="O113" s="181"/>
      <c r="P113" s="181"/>
    </row>
    <row r="114" spans="1:16" ht="21.75" customHeight="1" x14ac:dyDescent="0.3">
      <c r="A114" s="175"/>
      <c r="B114" s="176"/>
      <c r="C114" s="176"/>
      <c r="D114" s="193"/>
      <c r="E114" s="194" t="s">
        <v>54</v>
      </c>
      <c r="F114" s="195"/>
      <c r="G114" s="196"/>
      <c r="H114" s="186"/>
      <c r="I114" s="187"/>
      <c r="J114" s="187">
        <f ca="1">IFERROR(__xludf.DUMMYFUNCTION("IMPORTRANGE(""https://docs.google.com/spreadsheets/d/11923uPwbBZFjjGgGUA6NLw09EwE0CqkOc4q9oUmW1yo/edit?usp=sharing"",""น่าน!J49"")"),0)</f>
        <v>0</v>
      </c>
      <c r="K114" s="223"/>
      <c r="L114" s="168"/>
      <c r="M114" s="168"/>
      <c r="N114" s="168"/>
      <c r="O114" s="181"/>
      <c r="P114" s="181"/>
    </row>
    <row r="115" spans="1:16" ht="21.75" customHeight="1" x14ac:dyDescent="0.3">
      <c r="A115" s="175"/>
      <c r="B115" s="176"/>
      <c r="C115" s="176"/>
      <c r="D115" s="205">
        <v>3</v>
      </c>
      <c r="E115" s="206" t="s">
        <v>55</v>
      </c>
      <c r="F115" s="207"/>
      <c r="G115" s="208"/>
      <c r="H115" s="186"/>
      <c r="I115" s="187"/>
      <c r="J115" s="226">
        <f ca="1">IFERROR(__xludf.DUMMYFUNCTION("IMPORTRANGE(""https://docs.google.com/spreadsheets/d/11923uPwbBZFjjGgGUA6NLw09EwE0CqkOc4q9oUmW1yo/edit?usp=sharing"",""น่าน!J50"")"),0)</f>
        <v>0</v>
      </c>
      <c r="K115" s="223"/>
      <c r="L115" s="168"/>
      <c r="M115" s="168"/>
      <c r="N115" s="168"/>
      <c r="O115" s="181"/>
      <c r="P115" s="181"/>
    </row>
    <row r="116" spans="1:16" ht="21.75" customHeight="1" x14ac:dyDescent="0.3">
      <c r="A116" s="210" t="s">
        <v>67</v>
      </c>
      <c r="B116" s="227"/>
      <c r="C116" s="228"/>
      <c r="D116" s="227"/>
      <c r="E116" s="229"/>
      <c r="F116" s="229"/>
      <c r="G116" s="230"/>
      <c r="H116" s="215"/>
      <c r="I116" s="216"/>
      <c r="J116" s="216"/>
      <c r="K116" s="217"/>
      <c r="L116" s="218"/>
      <c r="M116" s="218"/>
      <c r="N116" s="218"/>
      <c r="O116" s="219"/>
      <c r="P116" s="219"/>
    </row>
    <row r="117" spans="1:16" ht="21.75" customHeight="1" x14ac:dyDescent="0.3">
      <c r="A117" s="137"/>
      <c r="B117" s="138" t="s">
        <v>68</v>
      </c>
      <c r="C117" s="231"/>
      <c r="D117" s="139"/>
      <c r="E117" s="138"/>
      <c r="F117" s="138"/>
      <c r="G117" s="220"/>
      <c r="H117" s="140" t="s">
        <v>37</v>
      </c>
      <c r="I117" s="141">
        <f ca="1">IFERROR(__xludf.DUMMYFUNCTION("IMPORTRANGE(""https://docs.google.com/spreadsheets/d/11923uPwbBZFjjGgGUA6NLw09EwE0CqkOc4q9oUmW1yo/edit?usp=sharing"",""น่าน!I52"")"),0)</f>
        <v>0</v>
      </c>
      <c r="J117" s="141">
        <f ca="1">IFERROR(__xludf.DUMMYFUNCTION("IMPORTRANGE(""https://docs.google.com/spreadsheets/d/11923uPwbBZFjjGgGUA6NLw09EwE0CqkOc4q9oUmW1yo/edit?usp=sharing"",""น่าน!J52"")"),0)</f>
        <v>0</v>
      </c>
      <c r="K117" s="142">
        <f ca="1">IF(I117&gt;0,J117*100/I117,0)</f>
        <v>0</v>
      </c>
      <c r="L117" s="143"/>
      <c r="M117" s="143"/>
      <c r="N117" s="144"/>
      <c r="O117" s="142"/>
      <c r="P117" s="142"/>
    </row>
    <row r="118" spans="1:16" ht="21.75" customHeight="1" x14ac:dyDescent="0.45">
      <c r="A118" s="145"/>
      <c r="B118" s="146"/>
      <c r="C118" s="147" t="s">
        <v>16</v>
      </c>
      <c r="D118" s="537" t="s">
        <v>17</v>
      </c>
      <c r="E118" s="528"/>
      <c r="F118" s="528"/>
      <c r="G118" s="528"/>
      <c r="H118" s="148" t="s">
        <v>12</v>
      </c>
      <c r="I118" s="162"/>
      <c r="J118" s="162"/>
      <c r="K118" s="163"/>
      <c r="L118" s="151">
        <f t="shared" ref="L118:N118" ca="1" si="58">L119+L120</f>
        <v>0</v>
      </c>
      <c r="M118" s="151">
        <f t="shared" ca="1" si="58"/>
        <v>0</v>
      </c>
      <c r="N118" s="151">
        <f t="shared" ca="1" si="58"/>
        <v>0</v>
      </c>
      <c r="O118" s="150">
        <f t="shared" ref="O118:O120" ca="1" si="59">IF(L118&gt;0,N118*100/L118,0)</f>
        <v>0</v>
      </c>
      <c r="P118" s="150">
        <f t="shared" ref="P118:P120" ca="1" si="60">IF(M118&gt;0,N118*100/M118,0)</f>
        <v>0</v>
      </c>
    </row>
    <row r="119" spans="1:16" ht="21.75" customHeight="1" x14ac:dyDescent="0.45">
      <c r="A119" s="152"/>
      <c r="B119" s="32"/>
      <c r="C119" s="32"/>
      <c r="D119" s="32"/>
      <c r="E119" s="32"/>
      <c r="F119" s="32"/>
      <c r="G119" s="33" t="s">
        <v>18</v>
      </c>
      <c r="H119" s="153" t="s">
        <v>12</v>
      </c>
      <c r="I119" s="162"/>
      <c r="J119" s="162"/>
      <c r="K119" s="163"/>
      <c r="L119" s="87">
        <f t="shared" ref="L119:N119" si="61">L121+L125</f>
        <v>0</v>
      </c>
      <c r="M119" s="87">
        <f t="shared" si="61"/>
        <v>0</v>
      </c>
      <c r="N119" s="87">
        <f t="shared" si="61"/>
        <v>0</v>
      </c>
      <c r="O119" s="155">
        <f t="shared" si="59"/>
        <v>0</v>
      </c>
      <c r="P119" s="155">
        <f t="shared" si="60"/>
        <v>0</v>
      </c>
    </row>
    <row r="120" spans="1:16" ht="21.75" customHeight="1" x14ac:dyDescent="0.45">
      <c r="A120" s="152"/>
      <c r="B120" s="32"/>
      <c r="C120" s="32"/>
      <c r="D120" s="32"/>
      <c r="E120" s="32"/>
      <c r="F120" s="32"/>
      <c r="G120" s="33" t="s">
        <v>19</v>
      </c>
      <c r="H120" s="153" t="s">
        <v>12</v>
      </c>
      <c r="I120" s="162"/>
      <c r="J120" s="162"/>
      <c r="K120" s="163"/>
      <c r="L120" s="87">
        <f t="shared" ref="L120:N120" ca="1" si="62">L122+L126</f>
        <v>0</v>
      </c>
      <c r="M120" s="87">
        <f t="shared" ca="1" si="62"/>
        <v>0</v>
      </c>
      <c r="N120" s="87">
        <f t="shared" ca="1" si="62"/>
        <v>0</v>
      </c>
      <c r="O120" s="155">
        <f t="shared" ca="1" si="59"/>
        <v>0</v>
      </c>
      <c r="P120" s="155">
        <f t="shared" ca="1" si="60"/>
        <v>0</v>
      </c>
    </row>
    <row r="121" spans="1:16" ht="21.75" customHeight="1" x14ac:dyDescent="0.3">
      <c r="A121" s="156"/>
      <c r="B121" s="157"/>
      <c r="C121" s="157" t="s">
        <v>16</v>
      </c>
      <c r="D121" s="158" t="s">
        <v>38</v>
      </c>
      <c r="E121" s="159"/>
      <c r="F121" s="159"/>
      <c r="G121" s="160" t="s">
        <v>39</v>
      </c>
      <c r="H121" s="161" t="s">
        <v>12</v>
      </c>
      <c r="I121" s="162" t="s">
        <v>40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3">
      <c r="A122" s="156"/>
      <c r="B122" s="157"/>
      <c r="C122" s="157"/>
      <c r="D122" s="166"/>
      <c r="E122" s="159"/>
      <c r="F122" s="159" t="s">
        <v>40</v>
      </c>
      <c r="G122" s="160" t="s">
        <v>41</v>
      </c>
      <c r="H122" s="161" t="s">
        <v>12</v>
      </c>
      <c r="I122" s="162"/>
      <c r="J122" s="162"/>
      <c r="K122" s="163"/>
      <c r="L122" s="167">
        <f ca="1">L123+L124</f>
        <v>0</v>
      </c>
      <c r="M122" s="167">
        <f ca="1">IFERROR(__xludf.DUMMYFUNCTION("IMPORTRANGE(""https://docs.google.com/spreadsheets/d/1Yj_ptqi66GCucihVvJfMjLAmec39IyEx_6qawtMGysU/edit?usp=sharing"",""สบก!BA25"")"),0)</f>
        <v>0</v>
      </c>
      <c r="N122" s="168">
        <f ca="1">IFERROR(__xludf.DUMMYFUNCTION("IMPORTRANGE(""https://docs.google.com/spreadsheets/d/1Yj_ptqi66GCucihVvJfMjLAmec39IyEx_6qawtMGysU/edit?usp=sharing"",""สบก!BB25"")"),0)</f>
        <v>0</v>
      </c>
      <c r="O122" s="168">
        <f ca="1">IF(L122&gt;0,N122*100/L122,0)</f>
        <v>0</v>
      </c>
      <c r="P122" s="168">
        <f ca="1">IF(M122&gt;0,N122*100/M122,0)</f>
        <v>0</v>
      </c>
    </row>
    <row r="123" spans="1:16" ht="21.75" customHeight="1" x14ac:dyDescent="0.3">
      <c r="A123" s="156"/>
      <c r="B123" s="157"/>
      <c r="C123" s="157"/>
      <c r="D123" s="166"/>
      <c r="E123" s="159"/>
      <c r="F123" s="159"/>
      <c r="G123" s="169" t="s">
        <v>42</v>
      </c>
      <c r="H123" s="161" t="s">
        <v>12</v>
      </c>
      <c r="I123" s="162"/>
      <c r="J123" s="162"/>
      <c r="K123" s="163"/>
      <c r="L123" s="167">
        <f ca="1">IFERROR(__xludf.DUMMYFUNCTION("IMPORTRANGE(""https://docs.google.com/spreadsheets/d/1Yj_ptqi66GCucihVvJfMjLAmec39IyEx_6qawtMGysU/edit?usp=sharing"",""สบก!AW25"")"),0)</f>
        <v>0</v>
      </c>
      <c r="M123" s="167"/>
      <c r="N123" s="167"/>
      <c r="O123" s="168"/>
      <c r="P123" s="168"/>
    </row>
    <row r="124" spans="1:16" ht="21.75" customHeight="1" x14ac:dyDescent="0.3">
      <c r="A124" s="156"/>
      <c r="B124" s="157"/>
      <c r="C124" s="157"/>
      <c r="D124" s="166"/>
      <c r="E124" s="159"/>
      <c r="F124" s="159"/>
      <c r="G124" s="169" t="s">
        <v>43</v>
      </c>
      <c r="H124" s="161" t="s">
        <v>12</v>
      </c>
      <c r="I124" s="162"/>
      <c r="J124" s="187"/>
      <c r="K124" s="223"/>
      <c r="L124" s="167">
        <f ca="1">IFERROR(__xludf.DUMMYFUNCTION("IMPORTRANGE(""https://docs.google.com/spreadsheets/d/1Yj_ptqi66GCucihVvJfMjLAmec39IyEx_6qawtMGysU/edit?usp=sharing"",""สบก!AX25"")"),0)</f>
        <v>0</v>
      </c>
      <c r="M124" s="167"/>
      <c r="N124" s="167"/>
      <c r="O124" s="168"/>
      <c r="P124" s="168"/>
    </row>
    <row r="125" spans="1:16" ht="21.75" customHeight="1" x14ac:dyDescent="0.45">
      <c r="A125" s="170"/>
      <c r="B125" s="80"/>
      <c r="C125" s="81" t="s">
        <v>16</v>
      </c>
      <c r="D125" s="534" t="s">
        <v>23</v>
      </c>
      <c r="E125" s="530"/>
      <c r="F125" s="88"/>
      <c r="G125" s="82" t="s">
        <v>18</v>
      </c>
      <c r="H125" s="171" t="s">
        <v>12</v>
      </c>
      <c r="I125" s="187"/>
      <c r="J125" s="187"/>
      <c r="K125" s="223"/>
      <c r="L125" s="41">
        <v>0</v>
      </c>
      <c r="M125" s="41"/>
      <c r="N125" s="41"/>
      <c r="O125" s="41"/>
      <c r="P125" s="41"/>
    </row>
    <row r="126" spans="1:16" ht="21.75" customHeight="1" x14ac:dyDescent="0.45">
      <c r="A126" s="172"/>
      <c r="B126" s="91"/>
      <c r="C126" s="91"/>
      <c r="D126" s="173"/>
      <c r="E126" s="92"/>
      <c r="F126" s="92"/>
      <c r="G126" s="93" t="s">
        <v>19</v>
      </c>
      <c r="H126" s="174" t="s">
        <v>12</v>
      </c>
      <c r="I126" s="187"/>
      <c r="J126" s="187"/>
      <c r="K126" s="223"/>
      <c r="L126" s="49">
        <f ca="1">IFERROR(__xludf.DUMMYFUNCTION("IMPORTRANGE(""https://docs.google.com/spreadsheets/d/1Yj_ptqi66GCucihVvJfMjLAmec39IyEx_6qawtMGysU/edit?usp=sharing"",""สบก!AY25"")"),0)</f>
        <v>0</v>
      </c>
      <c r="M126" s="49"/>
      <c r="N126" s="49">
        <f ca="1">IFERROR(__xludf.DUMMYFUNCTION("IMPORTRANGE(""https://docs.google.com/spreadsheets/d/1Yj_ptqi66GCucihVvJfMjLAmec39IyEx_6qawtMGysU/edit?usp=sharing"",""สบก!BC25"")"),0)</f>
        <v>0</v>
      </c>
      <c r="O126" s="49">
        <f ca="1">IF(L126&gt;0,N126*100/L126,0)</f>
        <v>0</v>
      </c>
      <c r="P126" s="49"/>
    </row>
    <row r="127" spans="1:16" ht="21.75" customHeight="1" x14ac:dyDescent="0.3">
      <c r="A127" s="175"/>
      <c r="B127" s="176"/>
      <c r="C127" s="157" t="s">
        <v>16</v>
      </c>
      <c r="D127" s="232" t="s">
        <v>249</v>
      </c>
      <c r="E127" s="178"/>
      <c r="F127" s="178"/>
      <c r="G127" s="179"/>
      <c r="H127" s="180"/>
      <c r="I127" s="162"/>
      <c r="J127" s="187"/>
      <c r="K127" s="223"/>
      <c r="L127" s="168"/>
      <c r="M127" s="168"/>
      <c r="N127" s="168"/>
      <c r="O127" s="181"/>
      <c r="P127" s="181"/>
    </row>
    <row r="128" spans="1:16" ht="21.75" customHeight="1" x14ac:dyDescent="0.3">
      <c r="A128" s="175"/>
      <c r="B128" s="176"/>
      <c r="C128" s="176"/>
      <c r="D128" s="182">
        <v>1</v>
      </c>
      <c r="E128" s="183" t="s">
        <v>45</v>
      </c>
      <c r="F128" s="184"/>
      <c r="G128" s="185"/>
      <c r="H128" s="186"/>
      <c r="I128" s="187"/>
      <c r="J128" s="203">
        <f ca="1">IFERROR(__xludf.DUMMYFUNCTION("IMPORTRANGE(""https://docs.google.com/spreadsheets/d/11923uPwbBZFjjGgGUA6NLw09EwE0CqkOc4q9oUmW1yo/edit?usp=sharing"",""น่าน!J58"")"),0)</f>
        <v>0</v>
      </c>
      <c r="K128" s="223"/>
      <c r="L128" s="168"/>
      <c r="M128" s="168"/>
      <c r="N128" s="168"/>
      <c r="O128" s="181"/>
      <c r="P128" s="181"/>
    </row>
    <row r="129" spans="1:16" ht="21.75" customHeight="1" x14ac:dyDescent="0.3">
      <c r="A129" s="175"/>
      <c r="B129" s="176"/>
      <c r="C129" s="176"/>
      <c r="D129" s="189">
        <v>2</v>
      </c>
      <c r="E129" s="190" t="s">
        <v>46</v>
      </c>
      <c r="F129" s="191"/>
      <c r="G129" s="192"/>
      <c r="H129" s="186"/>
      <c r="I129" s="187"/>
      <c r="J129" s="187">
        <f ca="1">IFERROR(__xludf.DUMMYFUNCTION("IMPORTRANGE(""https://docs.google.com/spreadsheets/d/11923uPwbBZFjjGgGUA6NLw09EwE0CqkOc4q9oUmW1yo/edit?usp=sharing"",""น่าน!J59"")"),0)</f>
        <v>0</v>
      </c>
      <c r="K129" s="223"/>
      <c r="L129" s="168" t="s">
        <v>40</v>
      </c>
      <c r="M129" s="168"/>
      <c r="N129" s="168" t="s">
        <v>40</v>
      </c>
      <c r="O129" s="181"/>
      <c r="P129" s="181"/>
    </row>
    <row r="130" spans="1:16" ht="21.75" customHeight="1" x14ac:dyDescent="0.3">
      <c r="A130" s="175"/>
      <c r="B130" s="176"/>
      <c r="C130" s="176"/>
      <c r="D130" s="193"/>
      <c r="E130" s="194" t="s">
        <v>47</v>
      </c>
      <c r="F130" s="195"/>
      <c r="G130" s="196"/>
      <c r="H130" s="186"/>
      <c r="I130" s="187"/>
      <c r="J130" s="187">
        <f ca="1">IFERROR(__xludf.DUMMYFUNCTION("IMPORTRANGE(""https://docs.google.com/spreadsheets/d/11923uPwbBZFjjGgGUA6NLw09EwE0CqkOc4q9oUmW1yo/edit?usp=sharing"",""น่าน!J60"")"),0)</f>
        <v>0</v>
      </c>
      <c r="K130" s="223"/>
      <c r="L130" s="168"/>
      <c r="M130" s="168"/>
      <c r="N130" s="168"/>
      <c r="O130" s="181"/>
      <c r="P130" s="181"/>
    </row>
    <row r="131" spans="1:16" ht="21.75" customHeight="1" x14ac:dyDescent="0.3">
      <c r="A131" s="175"/>
      <c r="B131" s="176"/>
      <c r="C131" s="176"/>
      <c r="D131" s="193"/>
      <c r="E131" s="194" t="s">
        <v>48</v>
      </c>
      <c r="F131" s="195"/>
      <c r="G131" s="196"/>
      <c r="H131" s="186"/>
      <c r="I131" s="187"/>
      <c r="J131" s="187">
        <f ca="1">IFERROR(__xludf.DUMMYFUNCTION("IMPORTRANGE(""https://docs.google.com/spreadsheets/d/11923uPwbBZFjjGgGUA6NLw09EwE0CqkOc4q9oUmW1yo/edit?usp=sharing"",""น่าน!J61"")"),0)</f>
        <v>0</v>
      </c>
      <c r="K131" s="223"/>
      <c r="L131" s="168"/>
      <c r="M131" s="168"/>
      <c r="N131" s="168"/>
      <c r="O131" s="181"/>
      <c r="P131" s="181"/>
    </row>
    <row r="132" spans="1:16" ht="21.75" customHeight="1" x14ac:dyDescent="0.3">
      <c r="A132" s="175"/>
      <c r="B132" s="176"/>
      <c r="C132" s="176"/>
      <c r="D132" s="193"/>
      <c r="E132" s="198"/>
      <c r="F132" s="194" t="s">
        <v>70</v>
      </c>
      <c r="G132" s="196"/>
      <c r="H132" s="180" t="s">
        <v>37</v>
      </c>
      <c r="I132" s="187">
        <f ca="1">IFERROR(__xludf.DUMMYFUNCTION("IMPORTRANGE(""https://docs.google.com/spreadsheets/d/11923uPwbBZFjjGgGUA6NLw09EwE0CqkOc4q9oUmW1yo/edit?usp=sharing"",""น่าน!I62"")"),0)</f>
        <v>0</v>
      </c>
      <c r="J132" s="203">
        <f ca="1">IFERROR(__xludf.DUMMYFUNCTION("IMPORTRANGE(""https://docs.google.com/spreadsheets/d/11923uPwbBZFjjGgGUA6NLw09EwE0CqkOc4q9oUmW1yo/edit?usp=sharing"",""น่าน!J62"")"),0)</f>
        <v>0</v>
      </c>
      <c r="K132" s="223">
        <f t="shared" ref="K132:K133" ca="1" si="63">IF(I132&gt;0,J132*100/I132,0)</f>
        <v>0</v>
      </c>
      <c r="L132" s="168"/>
      <c r="M132" s="168"/>
      <c r="N132" s="168"/>
      <c r="O132" s="181"/>
      <c r="P132" s="181"/>
    </row>
    <row r="133" spans="1:16" ht="21.75" customHeight="1" x14ac:dyDescent="0.3">
      <c r="A133" s="175"/>
      <c r="B133" s="176"/>
      <c r="C133" s="176"/>
      <c r="D133" s="193"/>
      <c r="E133" s="198"/>
      <c r="F133" s="194" t="s">
        <v>71</v>
      </c>
      <c r="G133" s="196"/>
      <c r="H133" s="180" t="s">
        <v>37</v>
      </c>
      <c r="I133" s="187">
        <f ca="1">IFERROR(__xludf.DUMMYFUNCTION("IMPORTRANGE(""https://docs.google.com/spreadsheets/d/11923uPwbBZFjjGgGUA6NLw09EwE0CqkOc4q9oUmW1yo/edit?usp=sharing"",""น่าน!I63"")"),0)</f>
        <v>0</v>
      </c>
      <c r="J133" s="203">
        <f ca="1">IFERROR(__xludf.DUMMYFUNCTION("IMPORTRANGE(""https://docs.google.com/spreadsheets/d/11923uPwbBZFjjGgGUA6NLw09EwE0CqkOc4q9oUmW1yo/edit?usp=sharing"",""น่าน!J63"")"),0)</f>
        <v>0</v>
      </c>
      <c r="K133" s="223">
        <f t="shared" ca="1" si="63"/>
        <v>0</v>
      </c>
      <c r="L133" s="168"/>
      <c r="M133" s="168"/>
      <c r="N133" s="168"/>
      <c r="O133" s="181"/>
      <c r="P133" s="181"/>
    </row>
    <row r="134" spans="1:16" ht="21.75" customHeight="1" x14ac:dyDescent="0.3">
      <c r="A134" s="175"/>
      <c r="B134" s="176"/>
      <c r="C134" s="176"/>
      <c r="D134" s="193"/>
      <c r="E134" s="194" t="s">
        <v>54</v>
      </c>
      <c r="F134" s="195"/>
      <c r="G134" s="196"/>
      <c r="H134" s="186"/>
      <c r="I134" s="187"/>
      <c r="J134" s="187">
        <f ca="1">IFERROR(__xludf.DUMMYFUNCTION("IMPORTRANGE(""https://docs.google.com/spreadsheets/d/11923uPwbBZFjjGgGUA6NLw09EwE0CqkOc4q9oUmW1yo/edit?usp=sharing"",""น่าน!J64"")"),0)</f>
        <v>0</v>
      </c>
      <c r="K134" s="223"/>
      <c r="L134" s="168"/>
      <c r="M134" s="168"/>
      <c r="N134" s="168"/>
      <c r="O134" s="181"/>
      <c r="P134" s="181"/>
    </row>
    <row r="135" spans="1:16" ht="21.75" customHeight="1" x14ac:dyDescent="0.3">
      <c r="A135" s="233"/>
      <c r="B135" s="234"/>
      <c r="C135" s="234"/>
      <c r="D135" s="235">
        <v>3</v>
      </c>
      <c r="E135" s="236" t="s">
        <v>55</v>
      </c>
      <c r="F135" s="237"/>
      <c r="G135" s="238"/>
      <c r="H135" s="239"/>
      <c r="I135" s="240"/>
      <c r="J135" s="241">
        <f ca="1">IFERROR(__xludf.DUMMYFUNCTION("IMPORTRANGE(""https://docs.google.com/spreadsheets/d/11923uPwbBZFjjGgGUA6NLw09EwE0CqkOc4q9oUmW1yo/edit?usp=sharing"",""น่าน!J65"")"),0)</f>
        <v>0</v>
      </c>
      <c r="K135" s="242"/>
      <c r="L135" s="243"/>
      <c r="M135" s="243"/>
      <c r="N135" s="243"/>
      <c r="O135" s="244"/>
      <c r="P135" s="244"/>
    </row>
    <row r="136" spans="1:16" ht="21.75" customHeight="1" x14ac:dyDescent="0.3">
      <c r="A136" s="245" t="s">
        <v>72</v>
      </c>
      <c r="B136" s="246"/>
      <c r="C136" s="246"/>
      <c r="D136" s="246"/>
      <c r="E136" s="247"/>
      <c r="F136" s="247"/>
      <c r="G136" s="248"/>
      <c r="H136" s="249"/>
      <c r="I136" s="250"/>
      <c r="J136" s="250"/>
      <c r="K136" s="251"/>
      <c r="L136" s="252"/>
      <c r="M136" s="252"/>
      <c r="N136" s="252"/>
      <c r="O136" s="252"/>
      <c r="P136" s="252"/>
    </row>
    <row r="137" spans="1:16" ht="21.75" customHeight="1" x14ac:dyDescent="0.3">
      <c r="A137" s="253" t="s">
        <v>73</v>
      </c>
      <c r="B137" s="254"/>
      <c r="C137" s="254"/>
      <c r="D137" s="255"/>
      <c r="E137" s="255"/>
      <c r="F137" s="255"/>
      <c r="G137" s="256"/>
      <c r="H137" s="257"/>
      <c r="I137" s="258"/>
      <c r="J137" s="258"/>
      <c r="K137" s="259"/>
      <c r="L137" s="259"/>
      <c r="M137" s="259"/>
      <c r="N137" s="259"/>
      <c r="O137" s="260"/>
      <c r="P137" s="260"/>
    </row>
    <row r="138" spans="1:16" ht="21.75" customHeight="1" x14ac:dyDescent="0.3">
      <c r="A138" s="261"/>
      <c r="B138" s="262" t="s">
        <v>74</v>
      </c>
      <c r="C138" s="263"/>
      <c r="D138" s="262"/>
      <c r="E138" s="262"/>
      <c r="F138" s="262"/>
      <c r="G138" s="264"/>
      <c r="H138" s="265" t="s">
        <v>37</v>
      </c>
      <c r="I138" s="266">
        <f ca="1">IFERROR(__xludf.DUMMYFUNCTION("IMPORTRANGE(""https://docs.google.com/spreadsheets/d/11923uPwbBZFjjGgGUA6NLw09EwE0CqkOc4q9oUmW1yo/edit?usp=sharing"",""น่าน!I68"")"),90)</f>
        <v>90</v>
      </c>
      <c r="J138" s="266">
        <f ca="1">IFERROR(__xludf.DUMMYFUNCTION("IMPORTRANGE(""https://docs.google.com/spreadsheets/d/11923uPwbBZFjjGgGUA6NLw09EwE0CqkOc4q9oUmW1yo/edit?usp=sharing"",""น่าน!J68"")"),90)</f>
        <v>90</v>
      </c>
      <c r="K138" s="267">
        <f ca="1">IF(I138&gt;0,J138*100/I138,0)</f>
        <v>100</v>
      </c>
      <c r="L138" s="268"/>
      <c r="M138" s="268"/>
      <c r="N138" s="268"/>
      <c r="O138" s="267"/>
      <c r="P138" s="267"/>
    </row>
    <row r="139" spans="1:16" ht="21.75" customHeight="1" x14ac:dyDescent="0.3">
      <c r="A139" s="261"/>
      <c r="B139" s="262" t="s">
        <v>75</v>
      </c>
      <c r="C139" s="263"/>
      <c r="D139" s="262"/>
      <c r="E139" s="262"/>
      <c r="F139" s="262"/>
      <c r="G139" s="264"/>
      <c r="H139" s="265"/>
      <c r="I139" s="266"/>
      <c r="J139" s="266"/>
      <c r="K139" s="267"/>
      <c r="L139" s="268"/>
      <c r="M139" s="268"/>
      <c r="N139" s="268"/>
      <c r="O139" s="267"/>
      <c r="P139" s="267"/>
    </row>
    <row r="140" spans="1:16" ht="21.75" customHeight="1" x14ac:dyDescent="0.45">
      <c r="A140" s="145"/>
      <c r="B140" s="146"/>
      <c r="C140" s="147" t="s">
        <v>16</v>
      </c>
      <c r="D140" s="537" t="s">
        <v>17</v>
      </c>
      <c r="E140" s="528"/>
      <c r="F140" s="528"/>
      <c r="G140" s="528"/>
      <c r="H140" s="148" t="s">
        <v>12</v>
      </c>
      <c r="I140" s="162"/>
      <c r="J140" s="162"/>
      <c r="K140" s="163"/>
      <c r="L140" s="151">
        <f t="shared" ref="L140:N140" ca="1" si="64">L141+L142</f>
        <v>815200</v>
      </c>
      <c r="M140" s="151">
        <f t="shared" ca="1" si="64"/>
        <v>412550</v>
      </c>
      <c r="N140" s="151">
        <f t="shared" ca="1" si="64"/>
        <v>330321</v>
      </c>
      <c r="O140" s="150">
        <f t="shared" ref="O140:O142" ca="1" si="65">IF(L140&gt;0,N140*100/L140,0)</f>
        <v>40.520240431795877</v>
      </c>
      <c r="P140" s="150">
        <f t="shared" ref="P140:P142" ca="1" si="66">IF(M140&gt;0,N140*100/M140,0)</f>
        <v>80.068112956005336</v>
      </c>
    </row>
    <row r="141" spans="1:16" ht="21.75" customHeight="1" x14ac:dyDescent="0.45">
      <c r="A141" s="152"/>
      <c r="B141" s="32"/>
      <c r="C141" s="32"/>
      <c r="D141" s="32"/>
      <c r="E141" s="32"/>
      <c r="F141" s="32"/>
      <c r="G141" s="33" t="s">
        <v>18</v>
      </c>
      <c r="H141" s="153" t="s">
        <v>12</v>
      </c>
      <c r="I141" s="162"/>
      <c r="J141" s="162"/>
      <c r="K141" s="163"/>
      <c r="L141" s="87">
        <f t="shared" ref="L141:N141" si="67">L143+L147</f>
        <v>0</v>
      </c>
      <c r="M141" s="87">
        <f t="shared" si="67"/>
        <v>0</v>
      </c>
      <c r="N141" s="87">
        <f t="shared" si="67"/>
        <v>0</v>
      </c>
      <c r="O141" s="155">
        <f t="shared" si="65"/>
        <v>0</v>
      </c>
      <c r="P141" s="155">
        <f t="shared" si="66"/>
        <v>0</v>
      </c>
    </row>
    <row r="142" spans="1:16" ht="21.75" customHeight="1" x14ac:dyDescent="0.45">
      <c r="A142" s="152"/>
      <c r="B142" s="32"/>
      <c r="C142" s="32"/>
      <c r="D142" s="32"/>
      <c r="E142" s="32"/>
      <c r="F142" s="32"/>
      <c r="G142" s="33" t="s">
        <v>19</v>
      </c>
      <c r="H142" s="153" t="s">
        <v>12</v>
      </c>
      <c r="I142" s="162"/>
      <c r="J142" s="162"/>
      <c r="K142" s="163"/>
      <c r="L142" s="87">
        <f t="shared" ref="L142:N142" ca="1" si="68">L144+L148</f>
        <v>815200</v>
      </c>
      <c r="M142" s="87">
        <f t="shared" ca="1" si="68"/>
        <v>412550</v>
      </c>
      <c r="N142" s="87">
        <f t="shared" ca="1" si="68"/>
        <v>330321</v>
      </c>
      <c r="O142" s="155">
        <f t="shared" ca="1" si="65"/>
        <v>40.520240431795877</v>
      </c>
      <c r="P142" s="155">
        <f t="shared" ca="1" si="66"/>
        <v>80.068112956005336</v>
      </c>
    </row>
    <row r="143" spans="1:16" ht="21.75" customHeight="1" x14ac:dyDescent="0.3">
      <c r="A143" s="156"/>
      <c r="B143" s="157"/>
      <c r="C143" s="157" t="s">
        <v>16</v>
      </c>
      <c r="D143" s="158" t="s">
        <v>38</v>
      </c>
      <c r="E143" s="159"/>
      <c r="F143" s="159"/>
      <c r="G143" s="160" t="s">
        <v>39</v>
      </c>
      <c r="H143" s="161" t="s">
        <v>12</v>
      </c>
      <c r="I143" s="162" t="s">
        <v>40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3">
      <c r="A144" s="156"/>
      <c r="B144" s="157"/>
      <c r="C144" s="157"/>
      <c r="D144" s="166"/>
      <c r="E144" s="159"/>
      <c r="F144" s="159" t="s">
        <v>40</v>
      </c>
      <c r="G144" s="160" t="s">
        <v>41</v>
      </c>
      <c r="H144" s="161" t="s">
        <v>12</v>
      </c>
      <c r="I144" s="162"/>
      <c r="J144" s="162"/>
      <c r="K144" s="163"/>
      <c r="L144" s="167">
        <f ca="1">L145+L146</f>
        <v>815200</v>
      </c>
      <c r="M144" s="167">
        <f ca="1">IFERROR(__xludf.DUMMYFUNCTION("IMPORTRANGE(""https://docs.google.com/spreadsheets/d/1Yj_ptqi66GCucihVvJfMjLAmec39IyEx_6qawtMGysU/edit?usp=sharing"",""สบก!BJ25"")"),412550)</f>
        <v>412550</v>
      </c>
      <c r="N144" s="168">
        <f ca="1">IFERROR(__xludf.DUMMYFUNCTION("IMPORTRANGE(""https://docs.google.com/spreadsheets/d/1Yj_ptqi66GCucihVvJfMjLAmec39IyEx_6qawtMGysU/edit?usp=sharing"",""สบก!BK25"")"),330321)</f>
        <v>330321</v>
      </c>
      <c r="O144" s="168">
        <f ca="1">IF(L144&gt;0,N144*100/L144,0)</f>
        <v>40.520240431795877</v>
      </c>
      <c r="P144" s="168">
        <f ca="1">IF(M144&gt;0,N144*100/M144,0)</f>
        <v>80.068112956005336</v>
      </c>
    </row>
    <row r="145" spans="1:16" ht="21.75" customHeight="1" x14ac:dyDescent="0.3">
      <c r="A145" s="156"/>
      <c r="B145" s="157"/>
      <c r="C145" s="157"/>
      <c r="D145" s="166"/>
      <c r="E145" s="159"/>
      <c r="F145" s="159"/>
      <c r="G145" s="169" t="s">
        <v>42</v>
      </c>
      <c r="H145" s="161" t="s">
        <v>12</v>
      </c>
      <c r="I145" s="162"/>
      <c r="J145" s="162"/>
      <c r="K145" s="163"/>
      <c r="L145" s="167">
        <f ca="1">IFERROR(__xludf.DUMMYFUNCTION("IMPORTRANGE(""https://docs.google.com/spreadsheets/d/1Yj_ptqi66GCucihVvJfMjLAmec39IyEx_6qawtMGysU/edit?usp=sharing"",""สบก!BF25"")"),315900)</f>
        <v>315900</v>
      </c>
      <c r="M145" s="167"/>
      <c r="N145" s="167"/>
      <c r="O145" s="168"/>
      <c r="P145" s="168"/>
    </row>
    <row r="146" spans="1:16" ht="21.75" customHeight="1" x14ac:dyDescent="0.3">
      <c r="A146" s="156"/>
      <c r="B146" s="157"/>
      <c r="C146" s="157"/>
      <c r="D146" s="166"/>
      <c r="E146" s="159"/>
      <c r="F146" s="159"/>
      <c r="G146" s="169" t="s">
        <v>43</v>
      </c>
      <c r="H146" s="161" t="s">
        <v>12</v>
      </c>
      <c r="I146" s="162"/>
      <c r="J146" s="162"/>
      <c r="K146" s="163"/>
      <c r="L146" s="167">
        <f ca="1">IFERROR(__xludf.DUMMYFUNCTION("IMPORTRANGE(""https://docs.google.com/spreadsheets/d/1Yj_ptqi66GCucihVvJfMjLAmec39IyEx_6qawtMGysU/edit?usp=sharing"",""สบก!BG25"")"),499300)</f>
        <v>499300</v>
      </c>
      <c r="M146" s="167"/>
      <c r="N146" s="167"/>
      <c r="O146" s="168"/>
      <c r="P146" s="168"/>
    </row>
    <row r="147" spans="1:16" ht="21.75" customHeight="1" x14ac:dyDescent="0.45">
      <c r="A147" s="170"/>
      <c r="B147" s="80"/>
      <c r="C147" s="81" t="s">
        <v>16</v>
      </c>
      <c r="D147" s="534" t="s">
        <v>23</v>
      </c>
      <c r="E147" s="530"/>
      <c r="F147" s="88"/>
      <c r="G147" s="82" t="s">
        <v>18</v>
      </c>
      <c r="H147" s="171" t="s">
        <v>12</v>
      </c>
      <c r="I147" s="187"/>
      <c r="J147" s="187"/>
      <c r="K147" s="223"/>
      <c r="L147" s="41">
        <v>0</v>
      </c>
      <c r="M147" s="41"/>
      <c r="N147" s="41"/>
      <c r="O147" s="41"/>
      <c r="P147" s="41"/>
    </row>
    <row r="148" spans="1:16" ht="21.75" customHeight="1" x14ac:dyDescent="0.45">
      <c r="A148" s="172"/>
      <c r="B148" s="91"/>
      <c r="C148" s="91"/>
      <c r="D148" s="173"/>
      <c r="E148" s="92"/>
      <c r="F148" s="92"/>
      <c r="G148" s="93" t="s">
        <v>19</v>
      </c>
      <c r="H148" s="174" t="s">
        <v>12</v>
      </c>
      <c r="I148" s="187"/>
      <c r="J148" s="187"/>
      <c r="K148" s="223"/>
      <c r="L148" s="49">
        <f ca="1">IFERROR(__xludf.DUMMYFUNCTION("IMPORTRANGE(""https://docs.google.com/spreadsheets/d/1Yj_ptqi66GCucihVvJfMjLAmec39IyEx_6qawtMGysU/edit?usp=sharing"",""สบก!BH25"")"),0)</f>
        <v>0</v>
      </c>
      <c r="M148" s="49"/>
      <c r="N148" s="49">
        <f ca="1">IFERROR(__xludf.DUMMYFUNCTION("IMPORTRANGE(""https://docs.google.com/spreadsheets/d/1Yj_ptqi66GCucihVvJfMjLAmec39IyEx_6qawtMGysU/edit?usp=sharing"",""สบก!BL25"")"),0)</f>
        <v>0</v>
      </c>
      <c r="O148" s="49">
        <f ca="1">IF(L148&gt;0,N148*100/L148,0)</f>
        <v>0</v>
      </c>
      <c r="P148" s="49"/>
    </row>
    <row r="149" spans="1:16" ht="21.75" customHeight="1" x14ac:dyDescent="0.3">
      <c r="A149" s="269"/>
      <c r="B149" s="270"/>
      <c r="C149" s="271" t="s">
        <v>76</v>
      </c>
      <c r="D149" s="271"/>
      <c r="E149" s="271"/>
      <c r="F149" s="271"/>
      <c r="G149" s="272"/>
      <c r="H149" s="273" t="s">
        <v>77</v>
      </c>
      <c r="I149" s="274">
        <f ca="1">IFERROR(__xludf.DUMMYFUNCTION("IMPORTRANGE(""https://docs.google.com/spreadsheets/d/11923uPwbBZFjjGgGUA6NLw09EwE0CqkOc4q9oUmW1yo/edit?usp=sharing"",""น่าน!I74"")"),4)</f>
        <v>4</v>
      </c>
      <c r="J149" s="274">
        <f ca="1">IFERROR(__xludf.DUMMYFUNCTION("IMPORTRANGE(""https://docs.google.com/spreadsheets/d/11923uPwbBZFjjGgGUA6NLw09EwE0CqkOc4q9oUmW1yo/edit?usp=sharing"",""น่าน!J74"")"),1)</f>
        <v>1</v>
      </c>
      <c r="K149" s="275">
        <f ca="1">IF(I149&gt;0,J149*100/I149,0)</f>
        <v>25</v>
      </c>
      <c r="L149" s="276"/>
      <c r="M149" s="276"/>
      <c r="N149" s="276"/>
      <c r="O149" s="276"/>
      <c r="P149" s="276"/>
    </row>
    <row r="150" spans="1:16" ht="21.75" customHeight="1" x14ac:dyDescent="0.3">
      <c r="A150" s="156"/>
      <c r="B150" s="157"/>
      <c r="C150" s="157" t="s">
        <v>16</v>
      </c>
      <c r="D150" s="158" t="s">
        <v>38</v>
      </c>
      <c r="E150" s="159"/>
      <c r="F150" s="159"/>
      <c r="G150" s="160" t="s">
        <v>39</v>
      </c>
      <c r="H150" s="161" t="s">
        <v>12</v>
      </c>
      <c r="I150" s="162" t="s">
        <v>40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3">
      <c r="A151" s="156"/>
      <c r="B151" s="157"/>
      <c r="C151" s="157"/>
      <c r="D151" s="166"/>
      <c r="E151" s="159"/>
      <c r="F151" s="159" t="s">
        <v>40</v>
      </c>
      <c r="G151" s="160" t="s">
        <v>41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3">
      <c r="A152" s="156"/>
      <c r="B152" s="157"/>
      <c r="C152" s="157"/>
      <c r="D152" s="166"/>
      <c r="E152" s="159"/>
      <c r="F152" s="159"/>
      <c r="G152" s="169" t="s">
        <v>43</v>
      </c>
      <c r="H152" s="161" t="s">
        <v>12</v>
      </c>
      <c r="I152" s="162"/>
      <c r="J152" s="162"/>
      <c r="K152" s="163"/>
      <c r="L152" s="168"/>
      <c r="M152" s="168"/>
      <c r="N152" s="167"/>
      <c r="O152" s="168"/>
      <c r="P152" s="168"/>
    </row>
    <row r="153" spans="1:16" ht="21.75" customHeight="1" x14ac:dyDescent="0.3">
      <c r="A153" s="175"/>
      <c r="B153" s="176"/>
      <c r="C153" s="157" t="s">
        <v>16</v>
      </c>
      <c r="D153" s="177" t="s">
        <v>44</v>
      </c>
      <c r="E153" s="178"/>
      <c r="F153" s="178"/>
      <c r="G153" s="179"/>
      <c r="H153" s="180"/>
      <c r="I153" s="162"/>
      <c r="J153" s="162"/>
      <c r="K153" s="163"/>
      <c r="L153" s="181"/>
      <c r="M153" s="181"/>
      <c r="N153" s="181"/>
      <c r="O153" s="181"/>
      <c r="P153" s="181"/>
    </row>
    <row r="154" spans="1:16" ht="21.75" customHeight="1" x14ac:dyDescent="0.3">
      <c r="A154" s="175"/>
      <c r="B154" s="176"/>
      <c r="C154" s="176"/>
      <c r="D154" s="182">
        <v>1</v>
      </c>
      <c r="E154" s="183" t="s">
        <v>45</v>
      </c>
      <c r="F154" s="184"/>
      <c r="G154" s="185"/>
      <c r="H154" s="186"/>
      <c r="I154" s="187"/>
      <c r="J154" s="188">
        <f ca="1">IFERROR(__xludf.DUMMYFUNCTION("IMPORTRANGE(""https://docs.google.com/spreadsheets/d/11923uPwbBZFjjGgGUA6NLw09EwE0CqkOc4q9oUmW1yo/edit?usp=sharing"",""น่าน!J79"")"),0)</f>
        <v>0</v>
      </c>
      <c r="K154" s="163"/>
      <c r="L154" s="181"/>
      <c r="M154" s="181"/>
      <c r="N154" s="181"/>
      <c r="O154" s="181"/>
      <c r="P154" s="181"/>
    </row>
    <row r="155" spans="1:16" ht="21.75" customHeight="1" x14ac:dyDescent="0.3">
      <c r="A155" s="175"/>
      <c r="B155" s="176"/>
      <c r="C155" s="176"/>
      <c r="D155" s="189">
        <v>2</v>
      </c>
      <c r="E155" s="190" t="s">
        <v>46</v>
      </c>
      <c r="F155" s="191"/>
      <c r="G155" s="192"/>
      <c r="H155" s="186"/>
      <c r="I155" s="187"/>
      <c r="J155" s="197">
        <f ca="1">IFERROR(__xludf.DUMMYFUNCTION("IMPORTRANGE(""https://docs.google.com/spreadsheets/d/11923uPwbBZFjjGgGUA6NLw09EwE0CqkOc4q9oUmW1yo/edit?usp=sharing"",""น่าน!J80"")"),1)</f>
        <v>1</v>
      </c>
      <c r="K155" s="163"/>
      <c r="L155" s="181"/>
      <c r="M155" s="181"/>
      <c r="N155" s="181"/>
      <c r="O155" s="181"/>
      <c r="P155" s="181"/>
    </row>
    <row r="156" spans="1:16" ht="21.75" customHeight="1" x14ac:dyDescent="0.3">
      <c r="A156" s="175"/>
      <c r="B156" s="176"/>
      <c r="C156" s="176"/>
      <c r="D156" s="193"/>
      <c r="E156" s="194" t="s">
        <v>47</v>
      </c>
      <c r="F156" s="195"/>
      <c r="G156" s="196"/>
      <c r="H156" s="186"/>
      <c r="I156" s="187"/>
      <c r="J156" s="197">
        <f ca="1">IFERROR(__xludf.DUMMYFUNCTION("IMPORTRANGE(""https://docs.google.com/spreadsheets/d/11923uPwbBZFjjGgGUA6NLw09EwE0CqkOc4q9oUmW1yo/edit?usp=sharing"",""น่าน!J81"")"),1)</f>
        <v>1</v>
      </c>
      <c r="K156" s="163"/>
      <c r="L156" s="181"/>
      <c r="M156" s="181"/>
      <c r="N156" s="181"/>
      <c r="O156" s="181"/>
      <c r="P156" s="181"/>
    </row>
    <row r="157" spans="1:16" ht="21.75" customHeight="1" x14ac:dyDescent="0.3">
      <c r="A157" s="175"/>
      <c r="B157" s="176"/>
      <c r="C157" s="176"/>
      <c r="D157" s="193"/>
      <c r="E157" s="194" t="s">
        <v>48</v>
      </c>
      <c r="F157" s="195"/>
      <c r="G157" s="196"/>
      <c r="H157" s="186"/>
      <c r="I157" s="187"/>
      <c r="J157" s="197">
        <f ca="1">IFERROR(__xludf.DUMMYFUNCTION("IMPORTRANGE(""https://docs.google.com/spreadsheets/d/11923uPwbBZFjjGgGUA6NLw09EwE0CqkOc4q9oUmW1yo/edit?usp=sharing"",""น่าน!J82"")"),1)</f>
        <v>1</v>
      </c>
      <c r="K157" s="163"/>
      <c r="L157" s="181"/>
      <c r="M157" s="181"/>
      <c r="N157" s="181"/>
      <c r="O157" s="181"/>
      <c r="P157" s="181"/>
    </row>
    <row r="158" spans="1:16" ht="21.75" customHeight="1" x14ac:dyDescent="0.3">
      <c r="A158" s="175"/>
      <c r="B158" s="176"/>
      <c r="C158" s="176"/>
      <c r="D158" s="193"/>
      <c r="E158" s="198"/>
      <c r="F158" s="194" t="s">
        <v>78</v>
      </c>
      <c r="G158" s="196"/>
      <c r="H158" s="180" t="s">
        <v>77</v>
      </c>
      <c r="I158" s="187">
        <f ca="1">IFERROR(__xludf.DUMMYFUNCTION("IMPORTRANGE(""https://docs.google.com/spreadsheets/d/11923uPwbBZFjjGgGUA6NLw09EwE0CqkOc4q9oUmW1yo/edit?usp=sharing"",""น่าน!I83"")"),4)</f>
        <v>4</v>
      </c>
      <c r="J158" s="188">
        <f ca="1">IFERROR(__xludf.DUMMYFUNCTION("IMPORTRANGE(""https://docs.google.com/spreadsheets/d/11923uPwbBZFjjGgGUA6NLw09EwE0CqkOc4q9oUmW1yo/edit?usp=sharing"",""น่าน!J83"")"),1)</f>
        <v>1</v>
      </c>
      <c r="K158" s="163">
        <f ca="1">IF(I158&gt;0,J158*100/I158,0)</f>
        <v>25</v>
      </c>
      <c r="L158" s="181"/>
      <c r="M158" s="181"/>
      <c r="N158" s="181"/>
      <c r="O158" s="181"/>
      <c r="P158" s="181"/>
    </row>
    <row r="159" spans="1:16" ht="21.75" customHeight="1" x14ac:dyDescent="0.3">
      <c r="A159" s="175"/>
      <c r="B159" s="176"/>
      <c r="C159" s="176"/>
      <c r="D159" s="193"/>
      <c r="E159" s="195"/>
      <c r="F159" s="277" t="s">
        <v>79</v>
      </c>
      <c r="G159" s="196"/>
      <c r="H159" s="278" t="s">
        <v>37</v>
      </c>
      <c r="I159" s="187"/>
      <c r="J159" s="203">
        <f ca="1">IFERROR(__xludf.DUMMYFUNCTION("IMPORTRANGE(""https://docs.google.com/spreadsheets/d/11923uPwbBZFjjGgGUA6NLw09EwE0CqkOc4q9oUmW1yo/edit?usp=sharing"",""น่าน!J84"")"),107)</f>
        <v>107</v>
      </c>
      <c r="K159" s="163"/>
      <c r="L159" s="181"/>
      <c r="M159" s="181"/>
      <c r="N159" s="181"/>
      <c r="O159" s="181"/>
      <c r="P159" s="181"/>
    </row>
    <row r="160" spans="1:16" ht="21.75" customHeight="1" x14ac:dyDescent="0.45">
      <c r="A160" s="175"/>
      <c r="B160" s="176"/>
      <c r="C160" s="176"/>
      <c r="D160" s="193"/>
      <c r="E160" s="195"/>
      <c r="F160" s="195"/>
      <c r="G160" s="279" t="s">
        <v>80</v>
      </c>
      <c r="H160" s="278" t="s">
        <v>37</v>
      </c>
      <c r="I160" s="187"/>
      <c r="J160" s="280">
        <f ca="1">IFERROR(__xludf.DUMMYFUNCTION("IMPORTRANGE(""https://docs.google.com/spreadsheets/d/11923uPwbBZFjjGgGUA6NLw09EwE0CqkOc4q9oUmW1yo/edit?usp=sharing"",""น่าน!J85"")"),107)</f>
        <v>107</v>
      </c>
      <c r="K160" s="163"/>
      <c r="L160" s="181"/>
      <c r="M160" s="181"/>
      <c r="N160" s="181"/>
      <c r="O160" s="181"/>
      <c r="P160" s="181"/>
    </row>
    <row r="161" spans="1:16" ht="21.75" customHeight="1" x14ac:dyDescent="0.45">
      <c r="A161" s="175"/>
      <c r="B161" s="176"/>
      <c r="C161" s="176"/>
      <c r="D161" s="193"/>
      <c r="E161" s="195"/>
      <c r="F161" s="195"/>
      <c r="G161" s="279" t="s">
        <v>81</v>
      </c>
      <c r="H161" s="278" t="s">
        <v>37</v>
      </c>
      <c r="I161" s="187"/>
      <c r="J161" s="280">
        <f ca="1">IFERROR(__xludf.DUMMYFUNCTION("IMPORTRANGE(""https://docs.google.com/spreadsheets/d/11923uPwbBZFjjGgGUA6NLw09EwE0CqkOc4q9oUmW1yo/edit?usp=sharing"",""น่าน!J86"")"),0)</f>
        <v>0</v>
      </c>
      <c r="K161" s="163"/>
      <c r="L161" s="181"/>
      <c r="M161" s="181"/>
      <c r="N161" s="181"/>
      <c r="O161" s="181"/>
      <c r="P161" s="181"/>
    </row>
    <row r="162" spans="1:16" ht="21.75" customHeight="1" x14ac:dyDescent="0.3">
      <c r="A162" s="175"/>
      <c r="B162" s="176"/>
      <c r="C162" s="176"/>
      <c r="D162" s="193"/>
      <c r="E162" s="194" t="s">
        <v>54</v>
      </c>
      <c r="F162" s="195"/>
      <c r="G162" s="196"/>
      <c r="H162" s="186"/>
      <c r="I162" s="187"/>
      <c r="J162" s="197">
        <f ca="1">IFERROR(__xludf.DUMMYFUNCTION("IMPORTRANGE(""https://docs.google.com/spreadsheets/d/11923uPwbBZFjjGgGUA6NLw09EwE0CqkOc4q9oUmW1yo/edit?usp=sharing"",""น่าน!J87"")"),0)</f>
        <v>0</v>
      </c>
      <c r="K162" s="163"/>
      <c r="L162" s="181"/>
      <c r="M162" s="181"/>
      <c r="N162" s="181"/>
      <c r="O162" s="181"/>
      <c r="P162" s="181"/>
    </row>
    <row r="163" spans="1:16" ht="21.75" customHeight="1" x14ac:dyDescent="0.3">
      <c r="A163" s="175"/>
      <c r="B163" s="176"/>
      <c r="C163" s="176"/>
      <c r="D163" s="205">
        <v>3</v>
      </c>
      <c r="E163" s="206" t="s">
        <v>55</v>
      </c>
      <c r="F163" s="207"/>
      <c r="G163" s="208"/>
      <c r="H163" s="186"/>
      <c r="I163" s="187"/>
      <c r="J163" s="209">
        <f ca="1">IFERROR(__xludf.DUMMYFUNCTION("IMPORTRANGE(""https://docs.google.com/spreadsheets/d/11923uPwbBZFjjGgGUA6NLw09EwE0CqkOc4q9oUmW1yo/edit?usp=sharing"",""น่าน!J88"")"),0)</f>
        <v>0</v>
      </c>
      <c r="K163" s="163"/>
      <c r="L163" s="181"/>
      <c r="M163" s="181"/>
      <c r="N163" s="181"/>
      <c r="O163" s="181"/>
      <c r="P163" s="181"/>
    </row>
    <row r="164" spans="1:16" ht="21.75" customHeight="1" x14ac:dyDescent="0.3">
      <c r="A164" s="269"/>
      <c r="B164" s="270"/>
      <c r="C164" s="271" t="s">
        <v>82</v>
      </c>
      <c r="D164" s="271"/>
      <c r="E164" s="271"/>
      <c r="F164" s="271"/>
      <c r="G164" s="272"/>
      <c r="H164" s="281" t="s">
        <v>83</v>
      </c>
      <c r="I164" s="282">
        <f ca="1">IFERROR(__xludf.DUMMYFUNCTION("IMPORTRANGE(""https://docs.google.com/spreadsheets/d/11923uPwbBZFjjGgGUA6NLw09EwE0CqkOc4q9oUmW1yo/edit?usp=sharing"",""น่าน!I89"")"),4)</f>
        <v>4</v>
      </c>
      <c r="J164" s="282">
        <f ca="1">IFERROR(__xludf.DUMMYFUNCTION("IMPORTRANGE(""https://docs.google.com/spreadsheets/d/11923uPwbBZFjjGgGUA6NLw09EwE0CqkOc4q9oUmW1yo/edit?usp=sharing"",""น่าน!J89"")"),2)</f>
        <v>2</v>
      </c>
      <c r="K164" s="283">
        <f ca="1">IF(I164&gt;0,J164*100/I164,0)</f>
        <v>50</v>
      </c>
      <c r="L164" s="276"/>
      <c r="M164" s="276"/>
      <c r="N164" s="276"/>
      <c r="O164" s="276"/>
      <c r="P164" s="276"/>
    </row>
    <row r="165" spans="1:16" ht="21.75" customHeight="1" x14ac:dyDescent="0.3">
      <c r="A165" s="156"/>
      <c r="B165" s="157"/>
      <c r="C165" s="157" t="s">
        <v>16</v>
      </c>
      <c r="D165" s="158" t="s">
        <v>38</v>
      </c>
      <c r="E165" s="159"/>
      <c r="F165" s="159"/>
      <c r="G165" s="160" t="s">
        <v>39</v>
      </c>
      <c r="H165" s="161" t="s">
        <v>12</v>
      </c>
      <c r="I165" s="162" t="s">
        <v>40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3">
      <c r="A166" s="156"/>
      <c r="B166" s="157"/>
      <c r="C166" s="157"/>
      <c r="D166" s="166"/>
      <c r="E166" s="159"/>
      <c r="F166" s="159" t="s">
        <v>40</v>
      </c>
      <c r="G166" s="160" t="s">
        <v>41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3">
      <c r="A167" s="156"/>
      <c r="B167" s="157"/>
      <c r="C167" s="157"/>
      <c r="D167" s="166"/>
      <c r="E167" s="159"/>
      <c r="F167" s="159"/>
      <c r="G167" s="169" t="s">
        <v>43</v>
      </c>
      <c r="H167" s="161" t="s">
        <v>12</v>
      </c>
      <c r="I167" s="162"/>
      <c r="J167" s="162"/>
      <c r="K167" s="163"/>
      <c r="L167" s="168"/>
      <c r="M167" s="168"/>
      <c r="N167" s="167"/>
      <c r="O167" s="168"/>
      <c r="P167" s="168"/>
    </row>
    <row r="168" spans="1:16" ht="21.75" customHeight="1" x14ac:dyDescent="0.3">
      <c r="A168" s="175"/>
      <c r="B168" s="176"/>
      <c r="C168" s="157" t="s">
        <v>16</v>
      </c>
      <c r="D168" s="177" t="s">
        <v>44</v>
      </c>
      <c r="E168" s="178"/>
      <c r="F168" s="178"/>
      <c r="G168" s="179"/>
      <c r="H168" s="180"/>
      <c r="I168" s="162"/>
      <c r="J168" s="162"/>
      <c r="K168" s="163"/>
      <c r="L168" s="181"/>
      <c r="M168" s="181"/>
      <c r="N168" s="181"/>
      <c r="O168" s="181"/>
      <c r="P168" s="181"/>
    </row>
    <row r="169" spans="1:16" ht="21.75" customHeight="1" x14ac:dyDescent="0.3">
      <c r="A169" s="175"/>
      <c r="B169" s="176"/>
      <c r="C169" s="176"/>
      <c r="D169" s="182">
        <v>1</v>
      </c>
      <c r="E169" s="183" t="s">
        <v>45</v>
      </c>
      <c r="F169" s="184"/>
      <c r="G169" s="185"/>
      <c r="H169" s="186"/>
      <c r="I169" s="187"/>
      <c r="J169" s="188">
        <f ca="1">IFERROR(__xludf.DUMMYFUNCTION("IMPORTRANGE(""https://docs.google.com/spreadsheets/d/11923uPwbBZFjjGgGUA6NLw09EwE0CqkOc4q9oUmW1yo/edit?usp=sharing"",""น่าน!J94"")"),0)</f>
        <v>0</v>
      </c>
      <c r="K169" s="163"/>
      <c r="L169" s="181"/>
      <c r="M169" s="181"/>
      <c r="N169" s="181"/>
      <c r="O169" s="181"/>
      <c r="P169" s="181"/>
    </row>
    <row r="170" spans="1:16" ht="21.75" customHeight="1" x14ac:dyDescent="0.3">
      <c r="A170" s="175"/>
      <c r="B170" s="176"/>
      <c r="C170" s="176"/>
      <c r="D170" s="189">
        <v>2</v>
      </c>
      <c r="E170" s="190" t="s">
        <v>46</v>
      </c>
      <c r="F170" s="191"/>
      <c r="G170" s="192"/>
      <c r="H170" s="186"/>
      <c r="I170" s="187"/>
      <c r="J170" s="197">
        <f ca="1">IFERROR(__xludf.DUMMYFUNCTION("IMPORTRANGE(""https://docs.google.com/spreadsheets/d/11923uPwbBZFjjGgGUA6NLw09EwE0CqkOc4q9oUmW1yo/edit?usp=sharing"",""น่าน!J95"")"),1)</f>
        <v>1</v>
      </c>
      <c r="K170" s="163"/>
      <c r="L170" s="181"/>
      <c r="M170" s="181"/>
      <c r="N170" s="181"/>
      <c r="O170" s="181"/>
      <c r="P170" s="181"/>
    </row>
    <row r="171" spans="1:16" ht="21.75" customHeight="1" x14ac:dyDescent="0.3">
      <c r="A171" s="175"/>
      <c r="B171" s="176"/>
      <c r="C171" s="176"/>
      <c r="D171" s="193"/>
      <c r="E171" s="194" t="s">
        <v>47</v>
      </c>
      <c r="F171" s="195"/>
      <c r="G171" s="196"/>
      <c r="H171" s="186"/>
      <c r="I171" s="187"/>
      <c r="J171" s="197">
        <f ca="1">IFERROR(__xludf.DUMMYFUNCTION("IMPORTRANGE(""https://docs.google.com/spreadsheets/d/11923uPwbBZFjjGgGUA6NLw09EwE0CqkOc4q9oUmW1yo/edit?usp=sharing"",""น่าน!J96"")"),1)</f>
        <v>1</v>
      </c>
      <c r="K171" s="163"/>
      <c r="L171" s="181"/>
      <c r="M171" s="181"/>
      <c r="N171" s="181"/>
      <c r="O171" s="181"/>
      <c r="P171" s="181"/>
    </row>
    <row r="172" spans="1:16" ht="21.75" customHeight="1" x14ac:dyDescent="0.3">
      <c r="A172" s="175"/>
      <c r="B172" s="176"/>
      <c r="C172" s="176"/>
      <c r="D172" s="193"/>
      <c r="E172" s="194" t="s">
        <v>48</v>
      </c>
      <c r="F172" s="195"/>
      <c r="G172" s="196"/>
      <c r="H172" s="186"/>
      <c r="I172" s="187"/>
      <c r="J172" s="197">
        <f ca="1">IFERROR(__xludf.DUMMYFUNCTION("IMPORTRANGE(""https://docs.google.com/spreadsheets/d/11923uPwbBZFjjGgGUA6NLw09EwE0CqkOc4q9oUmW1yo/edit?usp=sharing"",""น่าน!J97"")"),1)</f>
        <v>1</v>
      </c>
      <c r="K172" s="163"/>
      <c r="L172" s="181"/>
      <c r="M172" s="181"/>
      <c r="N172" s="181"/>
      <c r="O172" s="181"/>
      <c r="P172" s="181"/>
    </row>
    <row r="173" spans="1:16" ht="21.75" customHeight="1" x14ac:dyDescent="0.3">
      <c r="A173" s="175"/>
      <c r="B173" s="176"/>
      <c r="C173" s="176"/>
      <c r="D173" s="193"/>
      <c r="E173" s="198"/>
      <c r="F173" s="204" t="s">
        <v>84</v>
      </c>
      <c r="G173" s="196"/>
      <c r="H173" s="180" t="s">
        <v>83</v>
      </c>
      <c r="I173" s="187">
        <f ca="1">IFERROR(__xludf.DUMMYFUNCTION("IMPORTRANGE(""https://docs.google.com/spreadsheets/d/11923uPwbBZFjjGgGUA6NLw09EwE0CqkOc4q9oUmW1yo/edit?usp=sharing"",""น่าน!I98"")"),4)</f>
        <v>4</v>
      </c>
      <c r="J173" s="188">
        <f ca="1">IFERROR(__xludf.DUMMYFUNCTION("IMPORTRANGE(""https://docs.google.com/spreadsheets/d/11923uPwbBZFjjGgGUA6NLw09EwE0CqkOc4q9oUmW1yo/edit?usp=sharing"",""น่าน!J98"")"),2)</f>
        <v>2</v>
      </c>
      <c r="K173" s="163">
        <f ca="1">IF(I173&gt;0,J173*100/I173,0)</f>
        <v>50</v>
      </c>
      <c r="L173" s="168"/>
      <c r="M173" s="168"/>
      <c r="N173" s="167"/>
      <c r="O173" s="168"/>
      <c r="P173" s="168"/>
    </row>
    <row r="174" spans="1:16" ht="21.75" customHeight="1" x14ac:dyDescent="0.3">
      <c r="A174" s="175"/>
      <c r="B174" s="176"/>
      <c r="C174" s="176"/>
      <c r="D174" s="193"/>
      <c r="E174" s="194" t="s">
        <v>54</v>
      </c>
      <c r="F174" s="195"/>
      <c r="G174" s="196"/>
      <c r="H174" s="186"/>
      <c r="I174" s="187"/>
      <c r="J174" s="197">
        <f ca="1">IFERROR(__xludf.DUMMYFUNCTION("IMPORTRANGE(""https://docs.google.com/spreadsheets/d/11923uPwbBZFjjGgGUA6NLw09EwE0CqkOc4q9oUmW1yo/edit?usp=sharing"",""น่าน!J99"")"),0)</f>
        <v>0</v>
      </c>
      <c r="K174" s="163"/>
      <c r="L174" s="181"/>
      <c r="M174" s="181"/>
      <c r="N174" s="181"/>
      <c r="O174" s="181"/>
      <c r="P174" s="181"/>
    </row>
    <row r="175" spans="1:16" ht="21.75" customHeight="1" x14ac:dyDescent="0.3">
      <c r="A175" s="175"/>
      <c r="B175" s="176"/>
      <c r="C175" s="176"/>
      <c r="D175" s="205">
        <v>3</v>
      </c>
      <c r="E175" s="206" t="s">
        <v>55</v>
      </c>
      <c r="F175" s="207"/>
      <c r="G175" s="208"/>
      <c r="H175" s="186"/>
      <c r="I175" s="187"/>
      <c r="J175" s="209">
        <f ca="1">IFERROR(__xludf.DUMMYFUNCTION("IMPORTRANGE(""https://docs.google.com/spreadsheets/d/11923uPwbBZFjjGgGUA6NLw09EwE0CqkOc4q9oUmW1yo/edit?usp=sharing"",""น่าน!J100"")"),0)</f>
        <v>0</v>
      </c>
      <c r="K175" s="163"/>
      <c r="L175" s="181"/>
      <c r="M175" s="181"/>
      <c r="N175" s="181"/>
      <c r="O175" s="181"/>
      <c r="P175" s="181"/>
    </row>
    <row r="176" spans="1:16" ht="21.75" customHeight="1" x14ac:dyDescent="0.3">
      <c r="A176" s="269"/>
      <c r="B176" s="270"/>
      <c r="C176" s="271" t="s">
        <v>85</v>
      </c>
      <c r="D176" s="271"/>
      <c r="E176" s="271"/>
      <c r="F176" s="271"/>
      <c r="G176" s="272"/>
      <c r="H176" s="281" t="s">
        <v>83</v>
      </c>
      <c r="I176" s="282">
        <f ca="1">IFERROR(__xludf.DUMMYFUNCTION("IMPORTRANGE(""https://docs.google.com/spreadsheets/d/11923uPwbBZFjjGgGUA6NLw09EwE0CqkOc4q9oUmW1yo/edit?usp=sharing"",""น่าน!I101"")"),0)</f>
        <v>0</v>
      </c>
      <c r="J176" s="282">
        <f ca="1">IFERROR(__xludf.DUMMYFUNCTION("IMPORTRANGE(""https://docs.google.com/spreadsheets/d/11923uPwbBZFjjGgGUA6NLw09EwE0CqkOc4q9oUmW1yo/edit?usp=sharing"",""น่าน!J101"")"),0)</f>
        <v>0</v>
      </c>
      <c r="K176" s="283">
        <f ca="1">IF(I176&gt;0,J176*100/I176,0)</f>
        <v>0</v>
      </c>
      <c r="L176" s="276"/>
      <c r="M176" s="276"/>
      <c r="N176" s="276"/>
      <c r="O176" s="276"/>
      <c r="P176" s="276"/>
    </row>
    <row r="177" spans="1:16" ht="21.75" customHeight="1" x14ac:dyDescent="0.3">
      <c r="A177" s="156"/>
      <c r="B177" s="157"/>
      <c r="C177" s="157" t="s">
        <v>16</v>
      </c>
      <c r="D177" s="158" t="s">
        <v>38</v>
      </c>
      <c r="E177" s="159"/>
      <c r="F177" s="159"/>
      <c r="G177" s="160" t="s">
        <v>39</v>
      </c>
      <c r="H177" s="161" t="s">
        <v>12</v>
      </c>
      <c r="I177" s="162" t="s">
        <v>40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3">
      <c r="A178" s="156"/>
      <c r="B178" s="157"/>
      <c r="C178" s="157"/>
      <c r="D178" s="166"/>
      <c r="E178" s="159"/>
      <c r="F178" s="159" t="s">
        <v>40</v>
      </c>
      <c r="G178" s="160" t="s">
        <v>41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3">
      <c r="A179" s="156"/>
      <c r="B179" s="157"/>
      <c r="C179" s="157"/>
      <c r="D179" s="166"/>
      <c r="E179" s="159"/>
      <c r="F179" s="159"/>
      <c r="G179" s="169" t="s">
        <v>43</v>
      </c>
      <c r="H179" s="161" t="s">
        <v>12</v>
      </c>
      <c r="I179" s="162"/>
      <c r="J179" s="187"/>
      <c r="K179" s="223"/>
      <c r="L179" s="168"/>
      <c r="M179" s="168"/>
      <c r="N179" s="167"/>
      <c r="O179" s="168"/>
      <c r="P179" s="168"/>
    </row>
    <row r="180" spans="1:16" ht="21.75" customHeight="1" x14ac:dyDescent="0.3">
      <c r="A180" s="175"/>
      <c r="B180" s="176"/>
      <c r="C180" s="157" t="s">
        <v>16</v>
      </c>
      <c r="D180" s="177" t="s">
        <v>44</v>
      </c>
      <c r="E180" s="178"/>
      <c r="F180" s="178"/>
      <c r="G180" s="179"/>
      <c r="H180" s="180"/>
      <c r="I180" s="162"/>
      <c r="J180" s="187"/>
      <c r="K180" s="223"/>
      <c r="L180" s="168"/>
      <c r="M180" s="168"/>
      <c r="N180" s="168"/>
      <c r="O180" s="181"/>
      <c r="P180" s="181"/>
    </row>
    <row r="181" spans="1:16" ht="21.75" customHeight="1" x14ac:dyDescent="0.3">
      <c r="A181" s="175"/>
      <c r="B181" s="176"/>
      <c r="C181" s="176"/>
      <c r="D181" s="182">
        <v>1</v>
      </c>
      <c r="E181" s="183" t="s">
        <v>45</v>
      </c>
      <c r="F181" s="184"/>
      <c r="G181" s="185"/>
      <c r="H181" s="186"/>
      <c r="I181" s="187"/>
      <c r="J181" s="187">
        <f ca="1">IFERROR(__xludf.DUMMYFUNCTION("IMPORTRANGE(""https://docs.google.com/spreadsheets/d/11923uPwbBZFjjGgGUA6NLw09EwE0CqkOc4q9oUmW1yo/edit?usp=sharing"",""น่าน!J106"")"),0)</f>
        <v>0</v>
      </c>
      <c r="K181" s="223"/>
      <c r="L181" s="168"/>
      <c r="M181" s="168"/>
      <c r="N181" s="168"/>
      <c r="O181" s="181"/>
      <c r="P181" s="181"/>
    </row>
    <row r="182" spans="1:16" ht="21.75" customHeight="1" x14ac:dyDescent="0.3">
      <c r="A182" s="175"/>
      <c r="B182" s="176"/>
      <c r="C182" s="176"/>
      <c r="D182" s="189">
        <v>2</v>
      </c>
      <c r="E182" s="190" t="s">
        <v>46</v>
      </c>
      <c r="F182" s="191"/>
      <c r="G182" s="192"/>
      <c r="H182" s="186"/>
      <c r="I182" s="187"/>
      <c r="J182" s="187">
        <f ca="1">IFERROR(__xludf.DUMMYFUNCTION("IMPORTRANGE(""https://docs.google.com/spreadsheets/d/11923uPwbBZFjjGgGUA6NLw09EwE0CqkOc4q9oUmW1yo/edit?usp=sharing"",""น่าน!J107"")"),0)</f>
        <v>0</v>
      </c>
      <c r="K182" s="223"/>
      <c r="L182" s="168"/>
      <c r="M182" s="168"/>
      <c r="N182" s="168"/>
      <c r="O182" s="181"/>
      <c r="P182" s="181"/>
    </row>
    <row r="183" spans="1:16" ht="21.75" customHeight="1" x14ac:dyDescent="0.3">
      <c r="A183" s="175"/>
      <c r="B183" s="176"/>
      <c r="C183" s="176"/>
      <c r="D183" s="193"/>
      <c r="E183" s="194" t="s">
        <v>47</v>
      </c>
      <c r="F183" s="195"/>
      <c r="G183" s="196"/>
      <c r="H183" s="186"/>
      <c r="I183" s="187"/>
      <c r="J183" s="187">
        <f ca="1">IFERROR(__xludf.DUMMYFUNCTION("IMPORTRANGE(""https://docs.google.com/spreadsheets/d/11923uPwbBZFjjGgGUA6NLw09EwE0CqkOc4q9oUmW1yo/edit?usp=sharing"",""น่าน!J108"")"),0)</f>
        <v>0</v>
      </c>
      <c r="K183" s="223"/>
      <c r="L183" s="168"/>
      <c r="M183" s="168"/>
      <c r="N183" s="168"/>
      <c r="O183" s="181"/>
      <c r="P183" s="181"/>
    </row>
    <row r="184" spans="1:16" ht="21.75" customHeight="1" x14ac:dyDescent="0.3">
      <c r="A184" s="175"/>
      <c r="B184" s="176"/>
      <c r="C184" s="176"/>
      <c r="D184" s="193"/>
      <c r="E184" s="194" t="s">
        <v>48</v>
      </c>
      <c r="F184" s="195"/>
      <c r="G184" s="196"/>
      <c r="H184" s="186"/>
      <c r="I184" s="187"/>
      <c r="J184" s="187">
        <f ca="1">IFERROR(__xludf.DUMMYFUNCTION("IMPORTRANGE(""https://docs.google.com/spreadsheets/d/11923uPwbBZFjjGgGUA6NLw09EwE0CqkOc4q9oUmW1yo/edit?usp=sharing"",""น่าน!J109"")"),0)</f>
        <v>0</v>
      </c>
      <c r="K184" s="223"/>
      <c r="L184" s="168"/>
      <c r="M184" s="168"/>
      <c r="N184" s="168"/>
      <c r="O184" s="181"/>
      <c r="P184" s="181"/>
    </row>
    <row r="185" spans="1:16" ht="21.75" customHeight="1" x14ac:dyDescent="0.3">
      <c r="A185" s="175"/>
      <c r="B185" s="176"/>
      <c r="C185" s="176"/>
      <c r="D185" s="193"/>
      <c r="E185" s="198"/>
      <c r="F185" s="194" t="s">
        <v>86</v>
      </c>
      <c r="G185" s="196"/>
      <c r="H185" s="180" t="s">
        <v>83</v>
      </c>
      <c r="I185" s="187">
        <f ca="1">IFERROR(__xludf.DUMMYFUNCTION("IMPORTRANGE(""https://docs.google.com/spreadsheets/d/11923uPwbBZFjjGgGUA6NLw09EwE0CqkOc4q9oUmW1yo/edit?usp=sharing"",""น่าน!I110"")"),0)</f>
        <v>0</v>
      </c>
      <c r="J185" s="203">
        <f ca="1">IFERROR(__xludf.DUMMYFUNCTION("IMPORTRANGE(""https://docs.google.com/spreadsheets/d/11923uPwbBZFjjGgGUA6NLw09EwE0CqkOc4q9oUmW1yo/edit?usp=sharing"",""น่าน!J110"")"),0)</f>
        <v>0</v>
      </c>
      <c r="K185" s="223">
        <f t="shared" ref="K185:K186" ca="1" si="69">IF(I185&gt;0,J185*100/I185,0)</f>
        <v>0</v>
      </c>
      <c r="L185" s="168"/>
      <c r="M185" s="168"/>
      <c r="N185" s="167"/>
      <c r="O185" s="168"/>
      <c r="P185" s="168"/>
    </row>
    <row r="186" spans="1:16" ht="21.75" customHeight="1" x14ac:dyDescent="0.3">
      <c r="A186" s="175"/>
      <c r="B186" s="176"/>
      <c r="C186" s="176"/>
      <c r="D186" s="193"/>
      <c r="E186" s="198"/>
      <c r="F186" s="194" t="s">
        <v>87</v>
      </c>
      <c r="G186" s="196"/>
      <c r="H186" s="180" t="s">
        <v>83</v>
      </c>
      <c r="I186" s="187">
        <f ca="1">IFERROR(__xludf.DUMMYFUNCTION("IMPORTRANGE(""https://docs.google.com/spreadsheets/d/11923uPwbBZFjjGgGUA6NLw09EwE0CqkOc4q9oUmW1yo/edit?usp=sharing"",""น่าน!I111"")"),0)</f>
        <v>0</v>
      </c>
      <c r="J186" s="203">
        <f ca="1">IFERROR(__xludf.DUMMYFUNCTION("IMPORTRANGE(""https://docs.google.com/spreadsheets/d/11923uPwbBZFjjGgGUA6NLw09EwE0CqkOc4q9oUmW1yo/edit?usp=sharing"",""น่าน!J111"")"),0)</f>
        <v>0</v>
      </c>
      <c r="K186" s="223">
        <f t="shared" ca="1" si="69"/>
        <v>0</v>
      </c>
      <c r="L186" s="168"/>
      <c r="M186" s="168"/>
      <c r="N186" s="167"/>
      <c r="O186" s="168"/>
      <c r="P186" s="168"/>
    </row>
    <row r="187" spans="1:16" ht="21.75" customHeight="1" x14ac:dyDescent="0.3">
      <c r="A187" s="175"/>
      <c r="B187" s="176"/>
      <c r="C187" s="176"/>
      <c r="D187" s="193"/>
      <c r="E187" s="194" t="s">
        <v>54</v>
      </c>
      <c r="F187" s="195"/>
      <c r="G187" s="196"/>
      <c r="H187" s="186"/>
      <c r="I187" s="187"/>
      <c r="J187" s="187">
        <f ca="1">IFERROR(__xludf.DUMMYFUNCTION("IMPORTRANGE(""https://docs.google.com/spreadsheets/d/11923uPwbBZFjjGgGUA6NLw09EwE0CqkOc4q9oUmW1yo/edit?usp=sharing"",""น่าน!J112"")"),0)</f>
        <v>0</v>
      </c>
      <c r="K187" s="223"/>
      <c r="L187" s="168"/>
      <c r="M187" s="168"/>
      <c r="N187" s="168"/>
      <c r="O187" s="181"/>
      <c r="P187" s="181"/>
    </row>
    <row r="188" spans="1:16" ht="21.75" customHeight="1" x14ac:dyDescent="0.3">
      <c r="A188" s="175"/>
      <c r="B188" s="176"/>
      <c r="C188" s="176"/>
      <c r="D188" s="205">
        <v>3</v>
      </c>
      <c r="E188" s="206" t="s">
        <v>55</v>
      </c>
      <c r="F188" s="207"/>
      <c r="G188" s="208"/>
      <c r="H188" s="186"/>
      <c r="I188" s="187"/>
      <c r="J188" s="226">
        <f ca="1">IFERROR(__xludf.DUMMYFUNCTION("IMPORTRANGE(""https://docs.google.com/spreadsheets/d/11923uPwbBZFjjGgGUA6NLw09EwE0CqkOc4q9oUmW1yo/edit?usp=sharing"",""น่าน!J113"")"),0)</f>
        <v>0</v>
      </c>
      <c r="K188" s="223"/>
      <c r="L188" s="168"/>
      <c r="M188" s="168"/>
      <c r="N188" s="168"/>
      <c r="O188" s="181"/>
      <c r="P188" s="181"/>
    </row>
    <row r="189" spans="1:16" ht="21.75" customHeight="1" x14ac:dyDescent="0.3">
      <c r="A189" s="269"/>
      <c r="B189" s="270"/>
      <c r="C189" s="271" t="s">
        <v>88</v>
      </c>
      <c r="D189" s="271"/>
      <c r="E189" s="271"/>
      <c r="F189" s="271"/>
      <c r="G189" s="272"/>
      <c r="H189" s="284" t="s">
        <v>89</v>
      </c>
      <c r="I189" s="282">
        <f ca="1">IFERROR(__xludf.DUMMYFUNCTION("IMPORTRANGE(""https://docs.google.com/spreadsheets/d/11923uPwbBZFjjGgGUA6NLw09EwE0CqkOc4q9oUmW1yo/edit?usp=sharing"",""น่าน!I114"")"),50000)</f>
        <v>50000</v>
      </c>
      <c r="J189" s="282">
        <f ca="1">IFERROR(__xludf.DUMMYFUNCTION("IMPORTRANGE(""https://docs.google.com/spreadsheets/d/11923uPwbBZFjjGgGUA6NLw09EwE0CqkOc4q9oUmW1yo/edit?usp=sharing"",""น่าน!J114"")"),0)</f>
        <v>0</v>
      </c>
      <c r="K189" s="283">
        <f ca="1">IF(I189&gt;0,J189*100/I189,0)</f>
        <v>0</v>
      </c>
      <c r="L189" s="276"/>
      <c r="M189" s="276"/>
      <c r="N189" s="276"/>
      <c r="O189" s="276"/>
      <c r="P189" s="276"/>
    </row>
    <row r="190" spans="1:16" ht="21.75" customHeight="1" x14ac:dyDescent="0.3">
      <c r="A190" s="156"/>
      <c r="B190" s="157"/>
      <c r="C190" s="157" t="s">
        <v>16</v>
      </c>
      <c r="D190" s="158" t="s">
        <v>38</v>
      </c>
      <c r="E190" s="159"/>
      <c r="F190" s="159"/>
      <c r="G190" s="160" t="s">
        <v>39</v>
      </c>
      <c r="H190" s="161" t="s">
        <v>12</v>
      </c>
      <c r="I190" s="162" t="s">
        <v>40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3">
      <c r="A191" s="156"/>
      <c r="B191" s="157"/>
      <c r="C191" s="157"/>
      <c r="D191" s="166"/>
      <c r="E191" s="159"/>
      <c r="F191" s="159" t="s">
        <v>40</v>
      </c>
      <c r="G191" s="160" t="s">
        <v>41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3">
      <c r="A192" s="156"/>
      <c r="B192" s="157"/>
      <c r="C192" s="157"/>
      <c r="D192" s="166"/>
      <c r="E192" s="159"/>
      <c r="F192" s="159"/>
      <c r="G192" s="169" t="s">
        <v>43</v>
      </c>
      <c r="H192" s="161" t="s">
        <v>12</v>
      </c>
      <c r="I192" s="162"/>
      <c r="J192" s="162"/>
      <c r="K192" s="163"/>
      <c r="L192" s="168"/>
      <c r="M192" s="168"/>
      <c r="N192" s="167"/>
      <c r="O192" s="168"/>
      <c r="P192" s="168"/>
    </row>
    <row r="193" spans="1:16" ht="21.75" customHeight="1" x14ac:dyDescent="0.3">
      <c r="A193" s="175"/>
      <c r="B193" s="176"/>
      <c r="C193" s="157" t="s">
        <v>16</v>
      </c>
      <c r="D193" s="177" t="s">
        <v>44</v>
      </c>
      <c r="E193" s="178"/>
      <c r="F193" s="178"/>
      <c r="G193" s="179"/>
      <c r="H193" s="180"/>
      <c r="I193" s="162"/>
      <c r="J193" s="162"/>
      <c r="K193" s="163"/>
      <c r="L193" s="181"/>
      <c r="M193" s="181"/>
      <c r="N193" s="181"/>
      <c r="O193" s="181"/>
      <c r="P193" s="181"/>
    </row>
    <row r="194" spans="1:16" ht="21.75" customHeight="1" x14ac:dyDescent="0.3">
      <c r="A194" s="175"/>
      <c r="B194" s="176"/>
      <c r="C194" s="176"/>
      <c r="D194" s="182">
        <v>1</v>
      </c>
      <c r="E194" s="183" t="s">
        <v>45</v>
      </c>
      <c r="F194" s="184"/>
      <c r="G194" s="185"/>
      <c r="H194" s="186"/>
      <c r="I194" s="187"/>
      <c r="J194" s="197">
        <f ca="1">IFERROR(__xludf.DUMMYFUNCTION("IMPORTRANGE(""https://docs.google.com/spreadsheets/d/11923uPwbBZFjjGgGUA6NLw09EwE0CqkOc4q9oUmW1yo/edit?usp=sharing"",""น่าน!J119"")"),1)</f>
        <v>1</v>
      </c>
      <c r="K194" s="163"/>
      <c r="L194" s="181"/>
      <c r="M194" s="181"/>
      <c r="N194" s="181"/>
      <c r="O194" s="181"/>
      <c r="P194" s="181"/>
    </row>
    <row r="195" spans="1:16" ht="21.75" customHeight="1" x14ac:dyDescent="0.3">
      <c r="A195" s="175"/>
      <c r="B195" s="176"/>
      <c r="C195" s="176"/>
      <c r="D195" s="189">
        <v>2</v>
      </c>
      <c r="E195" s="190" t="s">
        <v>46</v>
      </c>
      <c r="F195" s="191"/>
      <c r="G195" s="192"/>
      <c r="H195" s="186"/>
      <c r="I195" s="187"/>
      <c r="J195" s="188">
        <f ca="1">IFERROR(__xludf.DUMMYFUNCTION("IMPORTRANGE(""https://docs.google.com/spreadsheets/d/11923uPwbBZFjjGgGUA6NLw09EwE0CqkOc4q9oUmW1yo/edit?usp=sharing"",""น่าน!J120"")"),0)</f>
        <v>0</v>
      </c>
      <c r="K195" s="163"/>
      <c r="L195" s="181"/>
      <c r="M195" s="181"/>
      <c r="N195" s="181"/>
      <c r="O195" s="181"/>
      <c r="P195" s="181"/>
    </row>
    <row r="196" spans="1:16" ht="21.75" customHeight="1" x14ac:dyDescent="0.3">
      <c r="A196" s="175"/>
      <c r="B196" s="176"/>
      <c r="C196" s="176"/>
      <c r="D196" s="193"/>
      <c r="E196" s="194" t="s">
        <v>47</v>
      </c>
      <c r="F196" s="195"/>
      <c r="G196" s="196"/>
      <c r="H196" s="186"/>
      <c r="I196" s="187"/>
      <c r="J196" s="188">
        <f ca="1">IFERROR(__xludf.DUMMYFUNCTION("IMPORTRANGE(""https://docs.google.com/spreadsheets/d/11923uPwbBZFjjGgGUA6NLw09EwE0CqkOc4q9oUmW1yo/edit?usp=sharing"",""น่าน!J121"")"),0)</f>
        <v>0</v>
      </c>
      <c r="K196" s="163"/>
      <c r="L196" s="181"/>
      <c r="M196" s="181"/>
      <c r="N196" s="181"/>
      <c r="O196" s="181"/>
      <c r="P196" s="181"/>
    </row>
    <row r="197" spans="1:16" ht="21.75" customHeight="1" x14ac:dyDescent="0.3">
      <c r="A197" s="175"/>
      <c r="B197" s="176"/>
      <c r="C197" s="176"/>
      <c r="D197" s="193"/>
      <c r="E197" s="194" t="s">
        <v>48</v>
      </c>
      <c r="F197" s="195"/>
      <c r="G197" s="196"/>
      <c r="H197" s="186"/>
      <c r="I197" s="187"/>
      <c r="J197" s="197">
        <f ca="1">IFERROR(__xludf.DUMMYFUNCTION("IMPORTRANGE(""https://docs.google.com/spreadsheets/d/11923uPwbBZFjjGgGUA6NLw09EwE0CqkOc4q9oUmW1yo/edit?usp=sharing"",""น่าน!J122"")"),0)</f>
        <v>0</v>
      </c>
      <c r="K197" s="163"/>
      <c r="L197" s="181"/>
      <c r="M197" s="181"/>
      <c r="N197" s="181"/>
      <c r="O197" s="181"/>
      <c r="P197" s="181"/>
    </row>
    <row r="198" spans="1:16" ht="21.75" customHeight="1" x14ac:dyDescent="0.3">
      <c r="A198" s="175"/>
      <c r="B198" s="176"/>
      <c r="C198" s="176"/>
      <c r="D198" s="193"/>
      <c r="E198" s="195"/>
      <c r="F198" s="195" t="s">
        <v>90</v>
      </c>
      <c r="G198" s="196"/>
      <c r="H198" s="180"/>
      <c r="I198" s="187"/>
      <c r="J198" s="187"/>
      <c r="K198" s="163"/>
      <c r="L198" s="181"/>
      <c r="M198" s="181"/>
      <c r="N198" s="181"/>
      <c r="O198" s="181"/>
      <c r="P198" s="181"/>
    </row>
    <row r="199" spans="1:16" ht="21.75" customHeight="1" x14ac:dyDescent="0.3">
      <c r="A199" s="175"/>
      <c r="B199" s="176"/>
      <c r="C199" s="176"/>
      <c r="D199" s="193"/>
      <c r="E199" s="198"/>
      <c r="F199" s="195"/>
      <c r="G199" s="194" t="s">
        <v>91</v>
      </c>
      <c r="H199" s="180" t="s">
        <v>89</v>
      </c>
      <c r="I199" s="187">
        <f ca="1">IFERROR(__xludf.DUMMYFUNCTION("IMPORTRANGE(""https://docs.google.com/spreadsheets/d/11923uPwbBZFjjGgGUA6NLw09EwE0CqkOc4q9oUmW1yo/edit?usp=sharing"",""น่าน!I124"")"),50000)</f>
        <v>50000</v>
      </c>
      <c r="J199" s="188">
        <f ca="1">IFERROR(__xludf.DUMMYFUNCTION("IMPORTRANGE(""https://docs.google.com/spreadsheets/d/11923uPwbBZFjjGgGUA6NLw09EwE0CqkOc4q9oUmW1yo/edit?usp=sharing"",""น่าน!J124"")"),0)</f>
        <v>0</v>
      </c>
      <c r="K199" s="163">
        <f t="shared" ref="K199:K201" ca="1" si="70">IF(I199&gt;0,J199*100/I199,0)</f>
        <v>0</v>
      </c>
      <c r="L199" s="181"/>
      <c r="M199" s="181"/>
      <c r="N199" s="181"/>
      <c r="O199" s="181"/>
      <c r="P199" s="181"/>
    </row>
    <row r="200" spans="1:16" ht="21.75" customHeight="1" x14ac:dyDescent="0.3">
      <c r="A200" s="175"/>
      <c r="B200" s="176"/>
      <c r="C200" s="176"/>
      <c r="D200" s="193"/>
      <c r="E200" s="198"/>
      <c r="F200" s="195"/>
      <c r="G200" s="194" t="s">
        <v>92</v>
      </c>
      <c r="H200" s="180" t="s">
        <v>89</v>
      </c>
      <c r="I200" s="187">
        <f ca="1">IFERROR(__xludf.DUMMYFUNCTION("IMPORTRANGE(""https://docs.google.com/spreadsheets/d/11923uPwbBZFjjGgGUA6NLw09EwE0CqkOc4q9oUmW1yo/edit?usp=sharing"",""น่าน!I125"")"),50000)</f>
        <v>50000</v>
      </c>
      <c r="J200" s="188">
        <f ca="1">IFERROR(__xludf.DUMMYFUNCTION("IMPORTRANGE(""https://docs.google.com/spreadsheets/d/11923uPwbBZFjjGgGUA6NLw09EwE0CqkOc4q9oUmW1yo/edit?usp=sharing"",""น่าน!J125"")"),0)</f>
        <v>0</v>
      </c>
      <c r="K200" s="163">
        <f t="shared" ca="1" si="70"/>
        <v>0</v>
      </c>
      <c r="L200" s="168"/>
      <c r="M200" s="168"/>
      <c r="N200" s="167"/>
      <c r="O200" s="168"/>
      <c r="P200" s="168"/>
    </row>
    <row r="201" spans="1:16" ht="21.75" customHeight="1" x14ac:dyDescent="0.3">
      <c r="A201" s="175"/>
      <c r="B201" s="176"/>
      <c r="C201" s="176"/>
      <c r="D201" s="193"/>
      <c r="E201" s="198"/>
      <c r="F201" s="195" t="s">
        <v>93</v>
      </c>
      <c r="G201" s="196"/>
      <c r="H201" s="180" t="s">
        <v>37</v>
      </c>
      <c r="I201" s="187">
        <f ca="1">IFERROR(__xludf.DUMMYFUNCTION("IMPORTRANGE(""https://docs.google.com/spreadsheets/d/11923uPwbBZFjjGgGUA6NLw09EwE0CqkOc4q9oUmW1yo/edit?usp=sharing"",""น่าน!I126"")"),0)</f>
        <v>0</v>
      </c>
      <c r="J201" s="188">
        <f ca="1">IFERROR(__xludf.DUMMYFUNCTION("IMPORTRANGE(""https://docs.google.com/spreadsheets/d/11923uPwbBZFjjGgGUA6NLw09EwE0CqkOc4q9oUmW1yo/edit?usp=sharing"",""น่าน!J126"")"),0)</f>
        <v>0</v>
      </c>
      <c r="K201" s="163">
        <f t="shared" ca="1" si="70"/>
        <v>0</v>
      </c>
      <c r="L201" s="168"/>
      <c r="M201" s="168"/>
      <c r="N201" s="167"/>
      <c r="O201" s="168"/>
      <c r="P201" s="168"/>
    </row>
    <row r="202" spans="1:16" ht="21.75" customHeight="1" x14ac:dyDescent="0.3">
      <c r="A202" s="175"/>
      <c r="B202" s="176"/>
      <c r="C202" s="176"/>
      <c r="D202" s="193"/>
      <c r="E202" s="194" t="s">
        <v>54</v>
      </c>
      <c r="F202" s="195"/>
      <c r="G202" s="196"/>
      <c r="H202" s="186"/>
      <c r="I202" s="187"/>
      <c r="J202" s="197">
        <f ca="1">IFERROR(__xludf.DUMMYFUNCTION("IMPORTRANGE(""https://docs.google.com/spreadsheets/d/11923uPwbBZFjjGgGUA6NLw09EwE0CqkOc4q9oUmW1yo/edit?usp=sharing"",""น่าน!J127"")"),0)</f>
        <v>0</v>
      </c>
      <c r="K202" s="163"/>
      <c r="L202" s="181"/>
      <c r="M202" s="181"/>
      <c r="N202" s="181"/>
      <c r="O202" s="181"/>
      <c r="P202" s="181"/>
    </row>
    <row r="203" spans="1:16" ht="21.75" customHeight="1" x14ac:dyDescent="0.3">
      <c r="A203" s="233"/>
      <c r="B203" s="234"/>
      <c r="C203" s="234"/>
      <c r="D203" s="235">
        <v>3</v>
      </c>
      <c r="E203" s="236" t="s">
        <v>55</v>
      </c>
      <c r="F203" s="237"/>
      <c r="G203" s="238"/>
      <c r="H203" s="239"/>
      <c r="I203" s="240"/>
      <c r="J203" s="285">
        <f ca="1">IFERROR(__xludf.DUMMYFUNCTION("IMPORTRANGE(""https://docs.google.com/spreadsheets/d/11923uPwbBZFjjGgGUA6NLw09EwE0CqkOc4q9oUmW1yo/edit?usp=sharing"",""น่าน!J128"")"),0)</f>
        <v>0</v>
      </c>
      <c r="K203" s="286"/>
      <c r="L203" s="244"/>
      <c r="M203" s="244"/>
      <c r="N203" s="244"/>
      <c r="O203" s="244"/>
      <c r="P203" s="244"/>
    </row>
    <row r="204" spans="1:16" ht="21.75" customHeight="1" x14ac:dyDescent="0.3">
      <c r="A204" s="269"/>
      <c r="B204" s="270"/>
      <c r="C204" s="287" t="s">
        <v>94</v>
      </c>
      <c r="D204" s="271"/>
      <c r="E204" s="271"/>
      <c r="F204" s="271"/>
      <c r="G204" s="272"/>
      <c r="H204" s="284" t="s">
        <v>37</v>
      </c>
      <c r="I204" s="282">
        <f ca="1">IFERROR(__xludf.DUMMYFUNCTION("IMPORTRANGE(""https://docs.google.com/spreadsheets/d/11923uPwbBZFjjGgGUA6NLw09EwE0CqkOc4q9oUmW1yo/edit?usp=sharing"",""น่าน!I129"")"),90)</f>
        <v>90</v>
      </c>
      <c r="J204" s="282">
        <f ca="1">IFERROR(__xludf.DUMMYFUNCTION("IMPORTRANGE(""https://docs.google.com/spreadsheets/d/11923uPwbBZFjjGgGUA6NLw09EwE0CqkOc4q9oUmW1yo/edit?usp=sharing"",""น่าน!J129"")"),90)</f>
        <v>90</v>
      </c>
      <c r="K204" s="283">
        <f ca="1">IF(I204&gt;0,J204*100/I204,0)</f>
        <v>100</v>
      </c>
      <c r="L204" s="276"/>
      <c r="M204" s="276"/>
      <c r="N204" s="276"/>
      <c r="O204" s="276"/>
      <c r="P204" s="276"/>
    </row>
    <row r="205" spans="1:16" ht="21.75" customHeight="1" x14ac:dyDescent="0.3">
      <c r="A205" s="156"/>
      <c r="B205" s="157"/>
      <c r="C205" s="157" t="s">
        <v>16</v>
      </c>
      <c r="D205" s="158" t="s">
        <v>38</v>
      </c>
      <c r="E205" s="159"/>
      <c r="F205" s="159"/>
      <c r="G205" s="160" t="s">
        <v>39</v>
      </c>
      <c r="H205" s="161" t="s">
        <v>12</v>
      </c>
      <c r="I205" s="162" t="s">
        <v>40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3">
      <c r="A206" s="156"/>
      <c r="B206" s="157"/>
      <c r="C206" s="157"/>
      <c r="D206" s="166"/>
      <c r="E206" s="159"/>
      <c r="F206" s="159" t="s">
        <v>40</v>
      </c>
      <c r="G206" s="160" t="s">
        <v>41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3">
      <c r="A207" s="156"/>
      <c r="B207" s="157"/>
      <c r="C207" s="157"/>
      <c r="D207" s="166"/>
      <c r="E207" s="159"/>
      <c r="F207" s="159"/>
      <c r="G207" s="169" t="s">
        <v>43</v>
      </c>
      <c r="H207" s="161" t="s">
        <v>12</v>
      </c>
      <c r="I207" s="162"/>
      <c r="J207" s="187"/>
      <c r="K207" s="223"/>
      <c r="L207" s="168"/>
      <c r="M207" s="168"/>
      <c r="N207" s="167"/>
      <c r="O207" s="168"/>
      <c r="P207" s="168"/>
    </row>
    <row r="208" spans="1:16" ht="21.75" customHeight="1" x14ac:dyDescent="0.3">
      <c r="A208" s="175"/>
      <c r="B208" s="176"/>
      <c r="C208" s="157" t="s">
        <v>16</v>
      </c>
      <c r="D208" s="177" t="s">
        <v>44</v>
      </c>
      <c r="E208" s="178"/>
      <c r="F208" s="178"/>
      <c r="G208" s="179"/>
      <c r="H208" s="180"/>
      <c r="I208" s="162"/>
      <c r="J208" s="187"/>
      <c r="K208" s="223"/>
      <c r="L208" s="168"/>
      <c r="M208" s="168"/>
      <c r="N208" s="168"/>
      <c r="O208" s="181"/>
      <c r="P208" s="181"/>
    </row>
    <row r="209" spans="1:16" ht="21.75" customHeight="1" x14ac:dyDescent="0.3">
      <c r="A209" s="175"/>
      <c r="B209" s="176"/>
      <c r="C209" s="176"/>
      <c r="D209" s="182">
        <v>1</v>
      </c>
      <c r="E209" s="183" t="s">
        <v>45</v>
      </c>
      <c r="F209" s="184"/>
      <c r="G209" s="185"/>
      <c r="H209" s="186"/>
      <c r="I209" s="187"/>
      <c r="J209" s="187">
        <f ca="1">IFERROR(__xludf.DUMMYFUNCTION("IMPORTRANGE(""https://docs.google.com/spreadsheets/d/11923uPwbBZFjjGgGUA6NLw09EwE0CqkOc4q9oUmW1yo/edit?usp=sharing"",""น่าน!J134"")"),0)</f>
        <v>0</v>
      </c>
      <c r="K209" s="223"/>
      <c r="L209" s="168"/>
      <c r="M209" s="168"/>
      <c r="N209" s="168"/>
      <c r="O209" s="181"/>
      <c r="P209" s="181"/>
    </row>
    <row r="210" spans="1:16" ht="21.75" customHeight="1" x14ac:dyDescent="0.3">
      <c r="A210" s="175"/>
      <c r="B210" s="176"/>
      <c r="C210" s="176"/>
      <c r="D210" s="189">
        <v>2</v>
      </c>
      <c r="E210" s="190" t="s">
        <v>46</v>
      </c>
      <c r="F210" s="191"/>
      <c r="G210" s="192"/>
      <c r="H210" s="186"/>
      <c r="I210" s="187"/>
      <c r="J210" s="187">
        <f ca="1">IFERROR(__xludf.DUMMYFUNCTION("IMPORTRANGE(""https://docs.google.com/spreadsheets/d/11923uPwbBZFjjGgGUA6NLw09EwE0CqkOc4q9oUmW1yo/edit?usp=sharing"",""น่าน!J135"")"),1)</f>
        <v>1</v>
      </c>
      <c r="K210" s="223"/>
      <c r="L210" s="168"/>
      <c r="M210" s="168"/>
      <c r="N210" s="168"/>
      <c r="O210" s="181"/>
      <c r="P210" s="181"/>
    </row>
    <row r="211" spans="1:16" ht="21.75" customHeight="1" x14ac:dyDescent="0.3">
      <c r="A211" s="175"/>
      <c r="B211" s="176"/>
      <c r="C211" s="176"/>
      <c r="D211" s="193"/>
      <c r="E211" s="194" t="s">
        <v>47</v>
      </c>
      <c r="F211" s="195"/>
      <c r="G211" s="196"/>
      <c r="H211" s="186"/>
      <c r="I211" s="187"/>
      <c r="J211" s="187">
        <f ca="1">IFERROR(__xludf.DUMMYFUNCTION("IMPORTRANGE(""https://docs.google.com/spreadsheets/d/11923uPwbBZFjjGgGUA6NLw09EwE0CqkOc4q9oUmW1yo/edit?usp=sharing"",""น่าน!J136"")"),1)</f>
        <v>1</v>
      </c>
      <c r="K211" s="223"/>
      <c r="L211" s="168"/>
      <c r="M211" s="168"/>
      <c r="N211" s="168"/>
      <c r="O211" s="181"/>
      <c r="P211" s="181"/>
    </row>
    <row r="212" spans="1:16" ht="21.75" customHeight="1" x14ac:dyDescent="0.3">
      <c r="A212" s="175"/>
      <c r="B212" s="176"/>
      <c r="C212" s="176"/>
      <c r="D212" s="193"/>
      <c r="E212" s="194" t="s">
        <v>48</v>
      </c>
      <c r="F212" s="195"/>
      <c r="G212" s="196"/>
      <c r="H212" s="186"/>
      <c r="I212" s="187"/>
      <c r="J212" s="187">
        <f ca="1">IFERROR(__xludf.DUMMYFUNCTION("IMPORTRANGE(""https://docs.google.com/spreadsheets/d/11923uPwbBZFjjGgGUA6NLw09EwE0CqkOc4q9oUmW1yo/edit?usp=sharing"",""น่าน!J137"")"),1)</f>
        <v>1</v>
      </c>
      <c r="K212" s="223"/>
      <c r="L212" s="168"/>
      <c r="M212" s="168"/>
      <c r="N212" s="168"/>
      <c r="O212" s="181"/>
      <c r="P212" s="181"/>
    </row>
    <row r="213" spans="1:16" ht="21.75" customHeight="1" x14ac:dyDescent="0.3">
      <c r="A213" s="175"/>
      <c r="B213" s="176"/>
      <c r="C213" s="176"/>
      <c r="D213" s="193"/>
      <c r="E213" s="198"/>
      <c r="F213" s="195" t="s">
        <v>95</v>
      </c>
      <c r="G213" s="196"/>
      <c r="H213" s="180" t="s">
        <v>37</v>
      </c>
      <c r="I213" s="187">
        <f ca="1">IFERROR(__xludf.DUMMYFUNCTION("IMPORTRANGE(""https://docs.google.com/spreadsheets/d/11923uPwbBZFjjGgGUA6NLw09EwE0CqkOc4q9oUmW1yo/edit?usp=sharing"",""น่าน!I138"")"),90)</f>
        <v>90</v>
      </c>
      <c r="J213" s="203">
        <f ca="1">IFERROR(__xludf.DUMMYFUNCTION("IMPORTRANGE(""https://docs.google.com/spreadsheets/d/11923uPwbBZFjjGgGUA6NLw09EwE0CqkOc4q9oUmW1yo/edit?usp=sharing"",""น่าน!J138"")"),90)</f>
        <v>90</v>
      </c>
      <c r="K213" s="223">
        <f ca="1">IF(I213&gt;0,J213*100/I213,0)</f>
        <v>100</v>
      </c>
      <c r="L213" s="168"/>
      <c r="M213" s="168"/>
      <c r="N213" s="167"/>
      <c r="O213" s="168"/>
      <c r="P213" s="168"/>
    </row>
    <row r="214" spans="1:16" ht="21.75" customHeight="1" x14ac:dyDescent="0.3">
      <c r="A214" s="175"/>
      <c r="B214" s="176"/>
      <c r="C214" s="176"/>
      <c r="D214" s="193"/>
      <c r="E214" s="198"/>
      <c r="F214" s="194" t="s">
        <v>53</v>
      </c>
      <c r="G214" s="196"/>
      <c r="H214" s="180"/>
      <c r="I214" s="187"/>
      <c r="J214" s="187"/>
      <c r="K214" s="223"/>
      <c r="L214" s="168"/>
      <c r="M214" s="168"/>
      <c r="N214" s="168"/>
      <c r="O214" s="181"/>
      <c r="P214" s="181"/>
    </row>
    <row r="215" spans="1:16" ht="21.75" customHeight="1" x14ac:dyDescent="0.3">
      <c r="A215" s="175"/>
      <c r="B215" s="176"/>
      <c r="C215" s="176"/>
      <c r="D215" s="193"/>
      <c r="E215" s="198"/>
      <c r="F215" s="195"/>
      <c r="G215" s="225" t="s">
        <v>96</v>
      </c>
      <c r="H215" s="180" t="s">
        <v>37</v>
      </c>
      <c r="I215" s="187">
        <f ca="1">IFERROR(__xludf.DUMMYFUNCTION("IMPORTRANGE(""https://docs.google.com/spreadsheets/d/11923uPwbBZFjjGgGUA6NLw09EwE0CqkOc4q9oUmW1yo/edit?usp=sharing"",""น่าน!I140"")"),90)</f>
        <v>90</v>
      </c>
      <c r="J215" s="203">
        <f ca="1">IFERROR(__xludf.DUMMYFUNCTION("IMPORTRANGE(""https://docs.google.com/spreadsheets/d/11923uPwbBZFjjGgGUA6NLw09EwE0CqkOc4q9oUmW1yo/edit?usp=sharing"",""น่าน!J140"")"),0)</f>
        <v>0</v>
      </c>
      <c r="K215" s="223">
        <f t="shared" ref="K215:K216" ca="1" si="71">IF(I215&gt;0,J215*100/I215,0)</f>
        <v>0</v>
      </c>
      <c r="L215" s="168"/>
      <c r="M215" s="168"/>
      <c r="N215" s="167"/>
      <c r="O215" s="168"/>
      <c r="P215" s="168"/>
    </row>
    <row r="216" spans="1:16" ht="21.75" customHeight="1" x14ac:dyDescent="0.3">
      <c r="A216" s="175"/>
      <c r="B216" s="176"/>
      <c r="C216" s="176"/>
      <c r="D216" s="193"/>
      <c r="E216" s="198"/>
      <c r="F216" s="195"/>
      <c r="G216" s="225" t="s">
        <v>97</v>
      </c>
      <c r="H216" s="180" t="s">
        <v>59</v>
      </c>
      <c r="I216" s="187">
        <f ca="1">IFERROR(__xludf.DUMMYFUNCTION("IMPORTRANGE(""https://docs.google.com/spreadsheets/d/11923uPwbBZFjjGgGUA6NLw09EwE0CqkOc4q9oUmW1yo/edit?usp=sharing"",""น่าน!I141"")"),4)</f>
        <v>4</v>
      </c>
      <c r="J216" s="203">
        <f ca="1">IFERROR(__xludf.DUMMYFUNCTION("IMPORTRANGE(""https://docs.google.com/spreadsheets/d/11923uPwbBZFjjGgGUA6NLw09EwE0CqkOc4q9oUmW1yo/edit?usp=sharing"",""น่าน!J141"")"),0)</f>
        <v>0</v>
      </c>
      <c r="K216" s="223">
        <f t="shared" ca="1" si="71"/>
        <v>0</v>
      </c>
      <c r="L216" s="168"/>
      <c r="M216" s="168"/>
      <c r="N216" s="167"/>
      <c r="O216" s="168"/>
      <c r="P216" s="168"/>
    </row>
    <row r="217" spans="1:16" ht="21.75" customHeight="1" x14ac:dyDescent="0.3">
      <c r="A217" s="175"/>
      <c r="B217" s="176"/>
      <c r="C217" s="176"/>
      <c r="D217" s="193"/>
      <c r="E217" s="194" t="s">
        <v>54</v>
      </c>
      <c r="F217" s="195"/>
      <c r="G217" s="196"/>
      <c r="H217" s="186"/>
      <c r="I217" s="187"/>
      <c r="J217" s="187">
        <f ca="1">IFERROR(__xludf.DUMMYFUNCTION("IMPORTRANGE(""https://docs.google.com/spreadsheets/d/11923uPwbBZFjjGgGUA6NLw09EwE0CqkOc4q9oUmW1yo/edit?usp=sharing"",""น่าน!J142"")"),0)</f>
        <v>0</v>
      </c>
      <c r="K217" s="223"/>
      <c r="L217" s="168"/>
      <c r="M217" s="168"/>
      <c r="N217" s="168"/>
      <c r="O217" s="181"/>
      <c r="P217" s="181"/>
    </row>
    <row r="218" spans="1:16" ht="21.75" customHeight="1" x14ac:dyDescent="0.3">
      <c r="A218" s="233"/>
      <c r="B218" s="234"/>
      <c r="C218" s="234"/>
      <c r="D218" s="235">
        <v>3</v>
      </c>
      <c r="E218" s="236" t="s">
        <v>55</v>
      </c>
      <c r="F218" s="237"/>
      <c r="G218" s="238"/>
      <c r="H218" s="239"/>
      <c r="I218" s="240"/>
      <c r="J218" s="241">
        <f ca="1">IFERROR(__xludf.DUMMYFUNCTION("IMPORTRANGE(""https://docs.google.com/spreadsheets/d/11923uPwbBZFjjGgGUA6NLw09EwE0CqkOc4q9oUmW1yo/edit?usp=sharing"",""น่าน!J143"")"),0)</f>
        <v>0</v>
      </c>
      <c r="K218" s="242"/>
      <c r="L218" s="243"/>
      <c r="M218" s="243"/>
      <c r="N218" s="243"/>
      <c r="O218" s="244"/>
      <c r="P218" s="244"/>
    </row>
    <row r="219" spans="1:16" ht="21.75" customHeight="1" x14ac:dyDescent="0.3">
      <c r="A219" s="261"/>
      <c r="B219" s="262" t="s">
        <v>98</v>
      </c>
      <c r="C219" s="263"/>
      <c r="D219" s="262"/>
      <c r="E219" s="262"/>
      <c r="F219" s="262"/>
      <c r="G219" s="264"/>
      <c r="H219" s="265" t="s">
        <v>37</v>
      </c>
      <c r="I219" s="266">
        <f ca="1">IFERROR(__xludf.DUMMYFUNCTION("IMPORTRANGE(""https://docs.google.com/spreadsheets/d/11923uPwbBZFjjGgGUA6NLw09EwE0CqkOc4q9oUmW1yo/edit?usp=sharing"",""น่าน!I144"")"),15)</f>
        <v>15</v>
      </c>
      <c r="J219" s="266">
        <f ca="1">IFERROR(__xludf.DUMMYFUNCTION("IMPORTRANGE(""https://docs.google.com/spreadsheets/d/11923uPwbBZFjjGgGUA6NLw09EwE0CqkOc4q9oUmW1yo/edit?usp=sharing"",""น่าน!J144"")"),15)</f>
        <v>15</v>
      </c>
      <c r="K219" s="267">
        <f ca="1">IF(I219&gt;0,J219*100/I219,0)</f>
        <v>100</v>
      </c>
      <c r="L219" s="268"/>
      <c r="M219" s="268"/>
      <c r="N219" s="268"/>
      <c r="O219" s="267"/>
      <c r="P219" s="267"/>
    </row>
    <row r="220" spans="1:16" ht="21.75" customHeight="1" x14ac:dyDescent="0.45">
      <c r="A220" s="145"/>
      <c r="B220" s="146"/>
      <c r="C220" s="147" t="s">
        <v>16</v>
      </c>
      <c r="D220" s="537" t="s">
        <v>17</v>
      </c>
      <c r="E220" s="528"/>
      <c r="F220" s="528"/>
      <c r="G220" s="528"/>
      <c r="H220" s="148" t="s">
        <v>12</v>
      </c>
      <c r="I220" s="162"/>
      <c r="J220" s="162"/>
      <c r="K220" s="163"/>
      <c r="L220" s="151">
        <f t="shared" ref="L220:N220" ca="1" si="72">L221+L222</f>
        <v>21125</v>
      </c>
      <c r="M220" s="151">
        <f t="shared" ca="1" si="72"/>
        <v>21125</v>
      </c>
      <c r="N220" s="151">
        <f t="shared" ca="1" si="72"/>
        <v>19076</v>
      </c>
      <c r="O220" s="150">
        <f t="shared" ref="O220:O222" ca="1" si="73">IF(L220&gt;0,N220*100/L220,0)</f>
        <v>90.300591715976324</v>
      </c>
      <c r="P220" s="150">
        <f t="shared" ref="P220:P222" ca="1" si="74">IF(M220&gt;0,N220*100/M220,0)</f>
        <v>90.300591715976324</v>
      </c>
    </row>
    <row r="221" spans="1:16" ht="21.75" customHeight="1" x14ac:dyDescent="0.45">
      <c r="A221" s="152"/>
      <c r="B221" s="32"/>
      <c r="C221" s="32"/>
      <c r="D221" s="32"/>
      <c r="E221" s="32"/>
      <c r="F221" s="32"/>
      <c r="G221" s="33" t="s">
        <v>18</v>
      </c>
      <c r="H221" s="153" t="s">
        <v>12</v>
      </c>
      <c r="I221" s="162"/>
      <c r="J221" s="162"/>
      <c r="K221" s="163"/>
      <c r="L221" s="87">
        <f t="shared" ref="L221:N221" si="75">L223+L227</f>
        <v>0</v>
      </c>
      <c r="M221" s="87">
        <f t="shared" si="75"/>
        <v>0</v>
      </c>
      <c r="N221" s="87">
        <f t="shared" si="75"/>
        <v>0</v>
      </c>
      <c r="O221" s="155">
        <f t="shared" si="73"/>
        <v>0</v>
      </c>
      <c r="P221" s="155">
        <f t="shared" si="74"/>
        <v>0</v>
      </c>
    </row>
    <row r="222" spans="1:16" ht="21.75" customHeight="1" x14ac:dyDescent="0.45">
      <c r="A222" s="152"/>
      <c r="B222" s="32"/>
      <c r="C222" s="32"/>
      <c r="D222" s="32"/>
      <c r="E222" s="32"/>
      <c r="F222" s="32"/>
      <c r="G222" s="33" t="s">
        <v>19</v>
      </c>
      <c r="H222" s="153" t="s">
        <v>12</v>
      </c>
      <c r="I222" s="162"/>
      <c r="J222" s="162"/>
      <c r="K222" s="163"/>
      <c r="L222" s="87">
        <f t="shared" ref="L222:N222" ca="1" si="76">L224+L228</f>
        <v>21125</v>
      </c>
      <c r="M222" s="87">
        <f t="shared" ca="1" si="76"/>
        <v>21125</v>
      </c>
      <c r="N222" s="87">
        <f t="shared" ca="1" si="76"/>
        <v>19076</v>
      </c>
      <c r="O222" s="155">
        <f t="shared" ca="1" si="73"/>
        <v>90.300591715976324</v>
      </c>
      <c r="P222" s="155">
        <f t="shared" ca="1" si="74"/>
        <v>90.300591715976324</v>
      </c>
    </row>
    <row r="223" spans="1:16" ht="21.75" customHeight="1" x14ac:dyDescent="0.3">
      <c r="A223" s="156"/>
      <c r="B223" s="157"/>
      <c r="C223" s="157" t="s">
        <v>16</v>
      </c>
      <c r="D223" s="158" t="s">
        <v>38</v>
      </c>
      <c r="E223" s="159"/>
      <c r="F223" s="159"/>
      <c r="G223" s="160" t="s">
        <v>39</v>
      </c>
      <c r="H223" s="161" t="s">
        <v>12</v>
      </c>
      <c r="I223" s="162" t="s">
        <v>40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3">
      <c r="A224" s="156"/>
      <c r="B224" s="157"/>
      <c r="C224" s="157"/>
      <c r="D224" s="166"/>
      <c r="E224" s="159"/>
      <c r="F224" s="159" t="s">
        <v>40</v>
      </c>
      <c r="G224" s="160" t="s">
        <v>41</v>
      </c>
      <c r="H224" s="161" t="s">
        <v>12</v>
      </c>
      <c r="I224" s="162"/>
      <c r="J224" s="162"/>
      <c r="K224" s="163"/>
      <c r="L224" s="167">
        <f ca="1">L225+L226</f>
        <v>21125</v>
      </c>
      <c r="M224" s="167">
        <f ca="1">IFERROR(__xludf.DUMMYFUNCTION("IMPORTRANGE(""https://docs.google.com/spreadsheets/d/1Yj_ptqi66GCucihVvJfMjLAmec39IyEx_6qawtMGysU/edit?usp=sharing"",""สบก!BS25"")"),21125)</f>
        <v>21125</v>
      </c>
      <c r="N224" s="168">
        <f ca="1">IFERROR(__xludf.DUMMYFUNCTION("IMPORTRANGE(""https://docs.google.com/spreadsheets/d/1Yj_ptqi66GCucihVvJfMjLAmec39IyEx_6qawtMGysU/edit?usp=sharing"",""สบก!BT25"")"),19076)</f>
        <v>19076</v>
      </c>
      <c r="O224" s="168">
        <f ca="1">IF(L224&gt;0,N224*100/L224,0)</f>
        <v>90.300591715976324</v>
      </c>
      <c r="P224" s="168">
        <f ca="1">IF(M224&gt;0,N224*100/M224,0)</f>
        <v>90.300591715976324</v>
      </c>
    </row>
    <row r="225" spans="1:16" ht="21.75" customHeight="1" x14ac:dyDescent="0.3">
      <c r="A225" s="156"/>
      <c r="B225" s="157"/>
      <c r="C225" s="157"/>
      <c r="D225" s="166"/>
      <c r="E225" s="159"/>
      <c r="F225" s="159"/>
      <c r="G225" s="169" t="s">
        <v>42</v>
      </c>
      <c r="H225" s="161" t="s">
        <v>12</v>
      </c>
      <c r="I225" s="162"/>
      <c r="J225" s="162"/>
      <c r="K225" s="163"/>
      <c r="L225" s="167">
        <f ca="1">IFERROR(__xludf.DUMMYFUNCTION("IMPORTRANGE(""https://docs.google.com/spreadsheets/d/1Yj_ptqi66GCucihVvJfMjLAmec39IyEx_6qawtMGysU/edit?usp=sharing"",""สบก!BO25"")"),0)</f>
        <v>0</v>
      </c>
      <c r="M225" s="167"/>
      <c r="N225" s="167"/>
      <c r="O225" s="168"/>
      <c r="P225" s="168"/>
    </row>
    <row r="226" spans="1:16" ht="21.75" customHeight="1" x14ac:dyDescent="0.3">
      <c r="A226" s="156"/>
      <c r="B226" s="157"/>
      <c r="C226" s="157"/>
      <c r="D226" s="166"/>
      <c r="E226" s="159"/>
      <c r="F226" s="159"/>
      <c r="G226" s="169" t="s">
        <v>43</v>
      </c>
      <c r="H226" s="161" t="s">
        <v>12</v>
      </c>
      <c r="I226" s="162"/>
      <c r="J226" s="162"/>
      <c r="K226" s="163"/>
      <c r="L226" s="167">
        <f ca="1">IFERROR(__xludf.DUMMYFUNCTION("IMPORTRANGE(""https://docs.google.com/spreadsheets/d/1Yj_ptqi66GCucihVvJfMjLAmec39IyEx_6qawtMGysU/edit?usp=sharing"",""สบก!BP25"")"),21125)</f>
        <v>21125</v>
      </c>
      <c r="M226" s="167"/>
      <c r="N226" s="167"/>
      <c r="O226" s="168"/>
      <c r="P226" s="168"/>
    </row>
    <row r="227" spans="1:16" ht="21.75" customHeight="1" x14ac:dyDescent="0.45">
      <c r="A227" s="170"/>
      <c r="B227" s="80"/>
      <c r="C227" s="81" t="s">
        <v>16</v>
      </c>
      <c r="D227" s="534" t="s">
        <v>23</v>
      </c>
      <c r="E227" s="530"/>
      <c r="F227" s="88"/>
      <c r="G227" s="82" t="s">
        <v>18</v>
      </c>
      <c r="H227" s="171" t="s">
        <v>12</v>
      </c>
      <c r="I227" s="200"/>
      <c r="J227" s="200"/>
      <c r="K227" s="288"/>
      <c r="L227" s="41">
        <v>0</v>
      </c>
      <c r="M227" s="41"/>
      <c r="N227" s="41"/>
      <c r="O227" s="41"/>
      <c r="P227" s="41"/>
    </row>
    <row r="228" spans="1:16" ht="21.75" customHeight="1" x14ac:dyDescent="0.45">
      <c r="A228" s="172"/>
      <c r="B228" s="91"/>
      <c r="C228" s="91"/>
      <c r="D228" s="173"/>
      <c r="E228" s="92"/>
      <c r="F228" s="92"/>
      <c r="G228" s="93" t="s">
        <v>19</v>
      </c>
      <c r="H228" s="174" t="s">
        <v>12</v>
      </c>
      <c r="I228" s="200"/>
      <c r="J228" s="200"/>
      <c r="K228" s="288"/>
      <c r="L228" s="49">
        <f ca="1">IFERROR(__xludf.DUMMYFUNCTION("IMPORTRANGE(""https://docs.google.com/spreadsheets/d/1Yj_ptqi66GCucihVvJfMjLAmec39IyEx_6qawtMGysU/edit?usp=sharing"",""สบก!BQ25"")"),0)</f>
        <v>0</v>
      </c>
      <c r="M228" s="49"/>
      <c r="N228" s="49">
        <f ca="1">IFERROR(__xludf.DUMMYFUNCTION("IMPORTRANGE(""https://docs.google.com/spreadsheets/d/1Yj_ptqi66GCucihVvJfMjLAmec39IyEx_6qawtMGysU/edit?usp=sharing"",""สบก!BU25"")"),0)</f>
        <v>0</v>
      </c>
      <c r="O228" s="49">
        <f ca="1">IF(L228&gt;0,N228*100/L228,0)</f>
        <v>0</v>
      </c>
      <c r="P228" s="49"/>
    </row>
    <row r="229" spans="1:16" ht="21.75" customHeight="1" x14ac:dyDescent="0.3">
      <c r="A229" s="175"/>
      <c r="B229" s="289"/>
      <c r="C229" s="263" t="s">
        <v>99</v>
      </c>
      <c r="D229" s="262"/>
      <c r="E229" s="262"/>
      <c r="F229" s="262"/>
      <c r="G229" s="264"/>
      <c r="H229" s="265" t="s">
        <v>37</v>
      </c>
      <c r="I229" s="266">
        <f ca="1">IFERROR(__xludf.DUMMYFUNCTION("IMPORTRANGE(""https://docs.google.com/spreadsheets/d/11923uPwbBZFjjGgGUA6NLw09EwE0CqkOc4q9oUmW1yo/edit?usp=sharing"",""น่าน!I149"")"),15)</f>
        <v>15</v>
      </c>
      <c r="J229" s="266">
        <f ca="1">IFERROR(__xludf.DUMMYFUNCTION("IMPORTRANGE(""https://docs.google.com/spreadsheets/d/11923uPwbBZFjjGgGUA6NLw09EwE0CqkOc4q9oUmW1yo/edit?usp=sharing"",""น่าน!J149"")"),15)</f>
        <v>15</v>
      </c>
      <c r="K229" s="267">
        <f ca="1">IF(I229&gt;0,J229*100/I229,0)</f>
        <v>100</v>
      </c>
      <c r="L229" s="290"/>
      <c r="M229" s="290"/>
      <c r="N229" s="290"/>
      <c r="O229" s="290"/>
      <c r="P229" s="290"/>
    </row>
    <row r="230" spans="1:16" ht="21.75" customHeight="1" x14ac:dyDescent="0.3">
      <c r="A230" s="175"/>
      <c r="B230" s="176"/>
      <c r="C230" s="157" t="s">
        <v>16</v>
      </c>
      <c r="D230" s="177" t="s">
        <v>44</v>
      </c>
      <c r="E230" s="178"/>
      <c r="F230" s="178"/>
      <c r="G230" s="179"/>
      <c r="H230" s="180"/>
      <c r="I230" s="162"/>
      <c r="J230" s="162"/>
      <c r="K230" s="163"/>
      <c r="L230" s="181"/>
      <c r="M230" s="181"/>
      <c r="N230" s="181"/>
      <c r="O230" s="181"/>
      <c r="P230" s="181"/>
    </row>
    <row r="231" spans="1:16" ht="21.75" customHeight="1" x14ac:dyDescent="0.3">
      <c r="A231" s="175"/>
      <c r="B231" s="176"/>
      <c r="C231" s="176"/>
      <c r="D231" s="182">
        <v>1</v>
      </c>
      <c r="E231" s="183" t="s">
        <v>45</v>
      </c>
      <c r="F231" s="184"/>
      <c r="G231" s="185"/>
      <c r="H231" s="186"/>
      <c r="I231" s="187"/>
      <c r="J231" s="197">
        <f ca="1">IFERROR(__xludf.DUMMYFUNCTION("IMPORTRANGE(""https://docs.google.com/spreadsheets/d/11923uPwbBZFjjGgGUA6NLw09EwE0CqkOc4q9oUmW1yo/edit?usp=sharing"",""น่าน!J151"")"),0)</f>
        <v>0</v>
      </c>
      <c r="K231" s="163"/>
      <c r="L231" s="181"/>
      <c r="M231" s="181"/>
      <c r="N231" s="181"/>
      <c r="O231" s="181"/>
      <c r="P231" s="181"/>
    </row>
    <row r="232" spans="1:16" ht="21.75" customHeight="1" x14ac:dyDescent="0.3">
      <c r="A232" s="175"/>
      <c r="B232" s="176"/>
      <c r="C232" s="176"/>
      <c r="D232" s="189">
        <v>2</v>
      </c>
      <c r="E232" s="190" t="s">
        <v>46</v>
      </c>
      <c r="F232" s="191"/>
      <c r="G232" s="192"/>
      <c r="H232" s="186"/>
      <c r="I232" s="187"/>
      <c r="J232" s="188">
        <f ca="1">IFERROR(__xludf.DUMMYFUNCTION("IMPORTRANGE(""https://docs.google.com/spreadsheets/d/11923uPwbBZFjjGgGUA6NLw09EwE0CqkOc4q9oUmW1yo/edit?usp=sharing"",""น่าน!J152"")"),1)</f>
        <v>1</v>
      </c>
      <c r="K232" s="163"/>
      <c r="L232" s="181" t="s">
        <v>40</v>
      </c>
      <c r="M232" s="181"/>
      <c r="N232" s="181" t="s">
        <v>40</v>
      </c>
      <c r="O232" s="181"/>
      <c r="P232" s="181"/>
    </row>
    <row r="233" spans="1:16" ht="21.75" customHeight="1" x14ac:dyDescent="0.3">
      <c r="A233" s="175"/>
      <c r="B233" s="176"/>
      <c r="C233" s="176"/>
      <c r="D233" s="193"/>
      <c r="E233" s="194" t="s">
        <v>47</v>
      </c>
      <c r="F233" s="195"/>
      <c r="G233" s="196"/>
      <c r="H233" s="186"/>
      <c r="I233" s="187"/>
      <c r="J233" s="188">
        <f ca="1">IFERROR(__xludf.DUMMYFUNCTION("IMPORTRANGE(""https://docs.google.com/spreadsheets/d/11923uPwbBZFjjGgGUA6NLw09EwE0CqkOc4q9oUmW1yo/edit?usp=sharing"",""น่าน!J153"")"),1)</f>
        <v>1</v>
      </c>
      <c r="K233" s="163"/>
      <c r="L233" s="181"/>
      <c r="M233" s="181"/>
      <c r="N233" s="181"/>
      <c r="O233" s="181"/>
      <c r="P233" s="181"/>
    </row>
    <row r="234" spans="1:16" ht="21.75" customHeight="1" x14ac:dyDescent="0.3">
      <c r="A234" s="175"/>
      <c r="B234" s="176"/>
      <c r="C234" s="176"/>
      <c r="D234" s="193"/>
      <c r="E234" s="194" t="s">
        <v>48</v>
      </c>
      <c r="F234" s="195"/>
      <c r="G234" s="196"/>
      <c r="H234" s="186"/>
      <c r="I234" s="187"/>
      <c r="J234" s="197">
        <f ca="1">IFERROR(__xludf.DUMMYFUNCTION("IMPORTRANGE(""https://docs.google.com/spreadsheets/d/11923uPwbBZFjjGgGUA6NLw09EwE0CqkOc4q9oUmW1yo/edit?usp=sharing"",""น่าน!J154"")"),1)</f>
        <v>1</v>
      </c>
      <c r="K234" s="163"/>
      <c r="L234" s="181"/>
      <c r="M234" s="181"/>
      <c r="N234" s="181"/>
      <c r="O234" s="181"/>
      <c r="P234" s="181"/>
    </row>
    <row r="235" spans="1:16" ht="21.75" customHeight="1" x14ac:dyDescent="0.3">
      <c r="A235" s="175"/>
      <c r="B235" s="176"/>
      <c r="C235" s="176"/>
      <c r="D235" s="193"/>
      <c r="E235" s="198"/>
      <c r="F235" s="195"/>
      <c r="G235" s="291" t="s">
        <v>70</v>
      </c>
      <c r="H235" s="186" t="s">
        <v>37</v>
      </c>
      <c r="I235" s="187">
        <f ca="1">IFERROR(__xludf.DUMMYFUNCTION("IMPORTRANGE(""https://docs.google.com/spreadsheets/d/11923uPwbBZFjjGgGUA6NLw09EwE0CqkOc4q9oUmW1yo/edit?usp=sharing"",""น่าน!I155"")"),15)</f>
        <v>15</v>
      </c>
      <c r="J235" s="188">
        <f ca="1">IFERROR(__xludf.DUMMYFUNCTION("IMPORTRANGE(""https://docs.google.com/spreadsheets/d/11923uPwbBZFjjGgGUA6NLw09EwE0CqkOc4q9oUmW1yo/edit?usp=sharing"",""น่าน!J155"")"),15)</f>
        <v>15</v>
      </c>
      <c r="K235" s="163">
        <f ca="1">IF(I235&gt;0,J235*100/I235,0)</f>
        <v>100</v>
      </c>
      <c r="L235" s="181"/>
      <c r="M235" s="181"/>
      <c r="N235" s="181"/>
      <c r="O235" s="181"/>
      <c r="P235" s="181"/>
    </row>
    <row r="236" spans="1:16" ht="21.75" customHeight="1" x14ac:dyDescent="0.3">
      <c r="A236" s="175"/>
      <c r="B236" s="176"/>
      <c r="C236" s="176"/>
      <c r="D236" s="193"/>
      <c r="E236" s="194" t="s">
        <v>54</v>
      </c>
      <c r="F236" s="195"/>
      <c r="G236" s="196"/>
      <c r="H236" s="186"/>
      <c r="I236" s="187"/>
      <c r="J236" s="197">
        <f ca="1">IFERROR(__xludf.DUMMYFUNCTION("IMPORTRANGE(""https://docs.google.com/spreadsheets/d/11923uPwbBZFjjGgGUA6NLw09EwE0CqkOc4q9oUmW1yo/edit?usp=sharing"",""น่าน!J156"")"),1)</f>
        <v>1</v>
      </c>
      <c r="K236" s="163"/>
      <c r="L236" s="181"/>
      <c r="M236" s="181"/>
      <c r="N236" s="181"/>
      <c r="O236" s="181"/>
      <c r="P236" s="181"/>
    </row>
    <row r="237" spans="1:16" ht="21.75" customHeight="1" x14ac:dyDescent="0.3">
      <c r="A237" s="175"/>
      <c r="B237" s="176"/>
      <c r="C237" s="176"/>
      <c r="D237" s="205">
        <v>3</v>
      </c>
      <c r="E237" s="206" t="s">
        <v>55</v>
      </c>
      <c r="F237" s="207"/>
      <c r="G237" s="208"/>
      <c r="H237" s="186"/>
      <c r="I237" s="187"/>
      <c r="J237" s="209">
        <f ca="1">IFERROR(__xludf.DUMMYFUNCTION("IMPORTRANGE(""https://docs.google.com/spreadsheets/d/11923uPwbBZFjjGgGUA6NLw09EwE0CqkOc4q9oUmW1yo/edit?usp=sharing"",""น่าน!J157"")"),0)</f>
        <v>0</v>
      </c>
      <c r="K237" s="163"/>
      <c r="L237" s="181"/>
      <c r="M237" s="181"/>
      <c r="N237" s="181"/>
      <c r="O237" s="181"/>
      <c r="P237" s="181"/>
    </row>
    <row r="238" spans="1:16" ht="21.75" customHeight="1" x14ac:dyDescent="0.3">
      <c r="A238" s="175"/>
      <c r="B238" s="176"/>
      <c r="C238" s="263" t="s">
        <v>100</v>
      </c>
      <c r="D238" s="292"/>
      <c r="E238" s="262"/>
      <c r="F238" s="262"/>
      <c r="G238" s="264"/>
      <c r="H238" s="265" t="s">
        <v>37</v>
      </c>
      <c r="I238" s="266">
        <f ca="1">IFERROR(__xludf.DUMMYFUNCTION("IMPORTRANGE(""https://docs.google.com/spreadsheets/d/11923uPwbBZFjjGgGUA6NLw09EwE0CqkOc4q9oUmW1yo/edit?usp=sharing"",""น่าน!I158"")"),0)</f>
        <v>0</v>
      </c>
      <c r="J238" s="266">
        <f ca="1">IFERROR(__xludf.DUMMYFUNCTION("IMPORTRANGE(""https://docs.google.com/spreadsheets/d/11923uPwbBZFjjGgGUA6NLw09EwE0CqkOc4q9oUmW1yo/edit?usp=sharing"",""น่าน!J158"")"),0)</f>
        <v>0</v>
      </c>
      <c r="K238" s="267">
        <f ca="1">IF(I238&gt;0,J238*100/I238,0)</f>
        <v>0</v>
      </c>
      <c r="L238" s="181"/>
      <c r="M238" s="181"/>
      <c r="N238" s="181"/>
      <c r="O238" s="181"/>
      <c r="P238" s="181"/>
    </row>
    <row r="239" spans="1:16" ht="21.75" customHeight="1" x14ac:dyDescent="0.3">
      <c r="A239" s="175"/>
      <c r="B239" s="176"/>
      <c r="C239" s="157" t="s">
        <v>16</v>
      </c>
      <c r="D239" s="177" t="s">
        <v>44</v>
      </c>
      <c r="E239" s="178"/>
      <c r="F239" s="178"/>
      <c r="G239" s="179"/>
      <c r="H239" s="180"/>
      <c r="I239" s="162"/>
      <c r="J239" s="162"/>
      <c r="K239" s="163"/>
      <c r="L239" s="181"/>
      <c r="M239" s="181"/>
      <c r="N239" s="181"/>
      <c r="O239" s="181"/>
      <c r="P239" s="181"/>
    </row>
    <row r="240" spans="1:16" ht="21.75" customHeight="1" x14ac:dyDescent="0.3">
      <c r="A240" s="175"/>
      <c r="B240" s="176"/>
      <c r="C240" s="176"/>
      <c r="D240" s="182">
        <v>1</v>
      </c>
      <c r="E240" s="183" t="s">
        <v>45</v>
      </c>
      <c r="F240" s="184"/>
      <c r="G240" s="185"/>
      <c r="H240" s="186"/>
      <c r="I240" s="187"/>
      <c r="J240" s="187" t="str">
        <f ca="1">IFERROR(__xludf.DUMMYFUNCTION("IMPORTRANGE(""https://docs.google.com/spreadsheets/d/11923uPwbBZFjjGgGUA6NLw09EwE0CqkOc4q9oUmW1yo/edit?usp=sharing"",""น่าน!J159"")"),"")</f>
        <v/>
      </c>
      <c r="K240" s="163"/>
      <c r="L240" s="181"/>
      <c r="M240" s="181"/>
      <c r="N240" s="181"/>
      <c r="O240" s="181"/>
      <c r="P240" s="181"/>
    </row>
    <row r="241" spans="1:16" ht="21.75" customHeight="1" x14ac:dyDescent="0.3">
      <c r="A241" s="175"/>
      <c r="B241" s="176"/>
      <c r="C241" s="176"/>
      <c r="D241" s="189">
        <v>2</v>
      </c>
      <c r="E241" s="190" t="s">
        <v>46</v>
      </c>
      <c r="F241" s="191"/>
      <c r="G241" s="192"/>
      <c r="H241" s="186"/>
      <c r="I241" s="187"/>
      <c r="J241" s="187">
        <f ca="1">IFERROR(__xludf.DUMMYFUNCTION("IMPORTRANGE(""https://docs.google.com/spreadsheets/d/11923uPwbBZFjjGgGUA6NLw09EwE0CqkOc4q9oUmW1yo/edit?usp=sharing"",""น่าน!J161"")"),0)</f>
        <v>0</v>
      </c>
      <c r="K241" s="163"/>
      <c r="L241" s="181" t="s">
        <v>40</v>
      </c>
      <c r="M241" s="181"/>
      <c r="N241" s="181" t="s">
        <v>40</v>
      </c>
      <c r="O241" s="181"/>
      <c r="P241" s="181"/>
    </row>
    <row r="242" spans="1:16" ht="21.75" customHeight="1" x14ac:dyDescent="0.3">
      <c r="A242" s="175"/>
      <c r="B242" s="176"/>
      <c r="C242" s="176"/>
      <c r="D242" s="193"/>
      <c r="E242" s="194" t="s">
        <v>47</v>
      </c>
      <c r="F242" s="195"/>
      <c r="G242" s="196"/>
      <c r="H242" s="186"/>
      <c r="I242" s="187"/>
      <c r="J242" s="187">
        <f ca="1">IFERROR(__xludf.DUMMYFUNCTION("IMPORTRANGE(""https://docs.google.com/spreadsheets/d/11923uPwbBZFjjGgGUA6NLw09EwE0CqkOc4q9oUmW1yo/edit?usp=sharing"",""น่าน!J162"")"),0)</f>
        <v>0</v>
      </c>
      <c r="K242" s="163"/>
      <c r="L242" s="181"/>
      <c r="M242" s="181"/>
      <c r="N242" s="181"/>
      <c r="O242" s="181"/>
      <c r="P242" s="181"/>
    </row>
    <row r="243" spans="1:16" ht="21.75" customHeight="1" x14ac:dyDescent="0.3">
      <c r="A243" s="175"/>
      <c r="B243" s="176"/>
      <c r="C243" s="176"/>
      <c r="D243" s="193"/>
      <c r="E243" s="194" t="s">
        <v>48</v>
      </c>
      <c r="F243" s="195"/>
      <c r="G243" s="196"/>
      <c r="H243" s="186"/>
      <c r="I243" s="187"/>
      <c r="J243" s="187">
        <f ca="1">IFERROR(__xludf.DUMMYFUNCTION("IMPORTRANGE(""https://docs.google.com/spreadsheets/d/11923uPwbBZFjjGgGUA6NLw09EwE0CqkOc4q9oUmW1yo/edit?usp=sharing"",""น่าน!J163"")"),0)</f>
        <v>0</v>
      </c>
      <c r="K243" s="163"/>
      <c r="L243" s="181"/>
      <c r="M243" s="181"/>
      <c r="N243" s="181"/>
      <c r="O243" s="181"/>
      <c r="P243" s="181"/>
    </row>
    <row r="244" spans="1:16" ht="21.75" customHeight="1" x14ac:dyDescent="0.3">
      <c r="A244" s="175"/>
      <c r="B244" s="176"/>
      <c r="C244" s="176"/>
      <c r="D244" s="193"/>
      <c r="E244" s="195"/>
      <c r="F244" s="194" t="s">
        <v>101</v>
      </c>
      <c r="G244" s="195"/>
      <c r="H244" s="186" t="s">
        <v>37</v>
      </c>
      <c r="I244" s="203">
        <f ca="1">IFERROR(__xludf.DUMMYFUNCTION("IMPORTRANGE(""https://docs.google.com/spreadsheets/d/11923uPwbBZFjjGgGUA6NLw09EwE0CqkOc4q9oUmW1yo/edit?usp=sharing"",""น่าน!I164"")"),0)</f>
        <v>0</v>
      </c>
      <c r="J244" s="187">
        <f ca="1">IFERROR(__xludf.DUMMYFUNCTION("IMPORTRANGE(""https://docs.google.com/spreadsheets/d/11923uPwbBZFjjGgGUA6NLw09EwE0CqkOc4q9oUmW1yo/edit?usp=sharing"",""น่าน!J164"")"),0)</f>
        <v>0</v>
      </c>
      <c r="K244" s="163">
        <f ca="1">IF(I244&gt;0,J244*100/I244,0)</f>
        <v>0</v>
      </c>
      <c r="L244" s="181"/>
      <c r="M244" s="181"/>
      <c r="N244" s="181"/>
      <c r="O244" s="181"/>
      <c r="P244" s="181"/>
    </row>
    <row r="245" spans="1:16" ht="21.75" customHeight="1" x14ac:dyDescent="0.3">
      <c r="A245" s="175"/>
      <c r="B245" s="176"/>
      <c r="C245" s="176"/>
      <c r="D245" s="193"/>
      <c r="E245" s="194" t="s">
        <v>54</v>
      </c>
      <c r="F245" s="195"/>
      <c r="G245" s="196"/>
      <c r="H245" s="186"/>
      <c r="I245" s="187"/>
      <c r="J245" s="187">
        <f ca="1">IFERROR(__xludf.DUMMYFUNCTION("IMPORTRANGE(""https://docs.google.com/spreadsheets/d/11923uPwbBZFjjGgGUA6NLw09EwE0CqkOc4q9oUmW1yo/edit?usp=sharing"",""น่าน!J165"")"),0)</f>
        <v>0</v>
      </c>
      <c r="K245" s="163"/>
      <c r="L245" s="181"/>
      <c r="M245" s="181"/>
      <c r="N245" s="181"/>
      <c r="O245" s="181"/>
      <c r="P245" s="181"/>
    </row>
    <row r="246" spans="1:16" ht="21.75" customHeight="1" x14ac:dyDescent="0.3">
      <c r="A246" s="233"/>
      <c r="B246" s="234"/>
      <c r="C246" s="234"/>
      <c r="D246" s="235">
        <v>3</v>
      </c>
      <c r="E246" s="236" t="s">
        <v>55</v>
      </c>
      <c r="F246" s="237"/>
      <c r="G246" s="238"/>
      <c r="H246" s="239"/>
      <c r="I246" s="240"/>
      <c r="J246" s="241">
        <f ca="1">IFERROR(__xludf.DUMMYFUNCTION("IMPORTRANGE(""https://docs.google.com/spreadsheets/d/11923uPwbBZFjjGgGUA6NLw09EwE0CqkOc4q9oUmW1yo/edit?usp=sharing"",""น่าน!J166"")"),0)</f>
        <v>0</v>
      </c>
      <c r="K246" s="286"/>
      <c r="L246" s="244"/>
      <c r="M246" s="244"/>
      <c r="N246" s="244"/>
      <c r="O246" s="244"/>
      <c r="P246" s="244"/>
    </row>
    <row r="247" spans="1:16" ht="21.75" customHeight="1" x14ac:dyDescent="0.3">
      <c r="A247" s="293" t="s">
        <v>102</v>
      </c>
      <c r="B247" s="294"/>
      <c r="C247" s="294"/>
      <c r="D247" s="294"/>
      <c r="E247" s="295"/>
      <c r="F247" s="295"/>
      <c r="G247" s="296"/>
      <c r="H247" s="297"/>
      <c r="I247" s="298"/>
      <c r="J247" s="298"/>
      <c r="K247" s="299"/>
      <c r="L247" s="300"/>
      <c r="M247" s="300"/>
      <c r="N247" s="300"/>
      <c r="O247" s="301"/>
      <c r="P247" s="301"/>
    </row>
    <row r="248" spans="1:16" ht="21.75" customHeight="1" x14ac:dyDescent="0.3">
      <c r="A248" s="302" t="s">
        <v>103</v>
      </c>
      <c r="B248" s="303"/>
      <c r="C248" s="303"/>
      <c r="D248" s="304"/>
      <c r="E248" s="304"/>
      <c r="F248" s="304"/>
      <c r="G248" s="305"/>
      <c r="H248" s="306"/>
      <c r="I248" s="307"/>
      <c r="J248" s="307"/>
      <c r="K248" s="308"/>
      <c r="L248" s="308"/>
      <c r="M248" s="308"/>
      <c r="N248" s="308"/>
      <c r="O248" s="309"/>
      <c r="P248" s="309"/>
    </row>
    <row r="249" spans="1:16" ht="21.75" customHeight="1" x14ac:dyDescent="0.3">
      <c r="A249" s="310"/>
      <c r="B249" s="311" t="s">
        <v>104</v>
      </c>
      <c r="C249" s="311"/>
      <c r="D249" s="311"/>
      <c r="E249" s="311"/>
      <c r="F249" s="311"/>
      <c r="G249" s="312"/>
      <c r="H249" s="313" t="s">
        <v>37</v>
      </c>
      <c r="I249" s="314">
        <f ca="1">IFERROR(__xludf.DUMMYFUNCTION("IMPORTRANGE(""https://docs.google.com/spreadsheets/d/11923uPwbBZFjjGgGUA6NLw09EwE0CqkOc4q9oUmW1yo/edit?usp=sharing"",""น่าน!I169"")"),0)</f>
        <v>0</v>
      </c>
      <c r="J249" s="314">
        <f ca="1">IFERROR(__xludf.DUMMYFUNCTION("IMPORTRANGE(""https://docs.google.com/spreadsheets/d/11923uPwbBZFjjGgGUA6NLw09EwE0CqkOc4q9oUmW1yo/edit?usp=sharing"",""น่าน!J169"")"),0)</f>
        <v>0</v>
      </c>
      <c r="K249" s="315">
        <f ca="1">IF(I249&gt;0,J249*100/I249,0)</f>
        <v>0</v>
      </c>
      <c r="L249" s="316"/>
      <c r="M249" s="316"/>
      <c r="N249" s="316"/>
      <c r="O249" s="315"/>
      <c r="P249" s="315"/>
    </row>
    <row r="250" spans="1:16" ht="21.75" customHeight="1" x14ac:dyDescent="0.45">
      <c r="A250" s="145"/>
      <c r="B250" s="146"/>
      <c r="C250" s="147" t="s">
        <v>16</v>
      </c>
      <c r="D250" s="537" t="s">
        <v>17</v>
      </c>
      <c r="E250" s="528"/>
      <c r="F250" s="528"/>
      <c r="G250" s="528"/>
      <c r="H250" s="148" t="s">
        <v>12</v>
      </c>
      <c r="I250" s="162"/>
      <c r="J250" s="162"/>
      <c r="K250" s="163"/>
      <c r="L250" s="151">
        <f t="shared" ref="L250:N250" ca="1" si="77">L251+L252</f>
        <v>0</v>
      </c>
      <c r="M250" s="151">
        <f t="shared" ca="1" si="77"/>
        <v>0</v>
      </c>
      <c r="N250" s="151">
        <f t="shared" ca="1" si="77"/>
        <v>0</v>
      </c>
      <c r="O250" s="150">
        <f t="shared" ref="O250:O252" ca="1" si="78">IF(L250&gt;0,N250*100/L250,0)</f>
        <v>0</v>
      </c>
      <c r="P250" s="150">
        <f t="shared" ref="P250:P252" ca="1" si="79">IF(M250&gt;0,N250*100/M250,0)</f>
        <v>0</v>
      </c>
    </row>
    <row r="251" spans="1:16" ht="21.75" customHeight="1" x14ac:dyDescent="0.45">
      <c r="A251" s="152"/>
      <c r="B251" s="32"/>
      <c r="C251" s="32"/>
      <c r="D251" s="32"/>
      <c r="E251" s="32"/>
      <c r="F251" s="32"/>
      <c r="G251" s="33" t="s">
        <v>18</v>
      </c>
      <c r="H251" s="153" t="s">
        <v>12</v>
      </c>
      <c r="I251" s="162"/>
      <c r="J251" s="162"/>
      <c r="K251" s="163"/>
      <c r="L251" s="87">
        <f t="shared" ref="L251:N251" si="80">L253+L257</f>
        <v>0</v>
      </c>
      <c r="M251" s="87">
        <f t="shared" si="80"/>
        <v>0</v>
      </c>
      <c r="N251" s="87">
        <f t="shared" si="80"/>
        <v>0</v>
      </c>
      <c r="O251" s="155">
        <f t="shared" si="78"/>
        <v>0</v>
      </c>
      <c r="P251" s="155">
        <f t="shared" si="79"/>
        <v>0</v>
      </c>
    </row>
    <row r="252" spans="1:16" ht="21.75" customHeight="1" x14ac:dyDescent="0.45">
      <c r="A252" s="152"/>
      <c r="B252" s="32"/>
      <c r="C252" s="32"/>
      <c r="D252" s="32"/>
      <c r="E252" s="32"/>
      <c r="F252" s="32"/>
      <c r="G252" s="33" t="s">
        <v>19</v>
      </c>
      <c r="H252" s="153" t="s">
        <v>12</v>
      </c>
      <c r="I252" s="162"/>
      <c r="J252" s="162"/>
      <c r="K252" s="163"/>
      <c r="L252" s="87">
        <f t="shared" ref="L252:N252" ca="1" si="81">L254+L258</f>
        <v>0</v>
      </c>
      <c r="M252" s="87">
        <f t="shared" ca="1" si="81"/>
        <v>0</v>
      </c>
      <c r="N252" s="87">
        <f t="shared" ca="1" si="81"/>
        <v>0</v>
      </c>
      <c r="O252" s="155">
        <f t="shared" ca="1" si="78"/>
        <v>0</v>
      </c>
      <c r="P252" s="155">
        <f t="shared" ca="1" si="79"/>
        <v>0</v>
      </c>
    </row>
    <row r="253" spans="1:16" ht="21.75" customHeight="1" x14ac:dyDescent="0.3">
      <c r="A253" s="156"/>
      <c r="B253" s="157"/>
      <c r="C253" s="157" t="s">
        <v>16</v>
      </c>
      <c r="D253" s="158" t="s">
        <v>38</v>
      </c>
      <c r="E253" s="159"/>
      <c r="F253" s="159"/>
      <c r="G253" s="160" t="s">
        <v>39</v>
      </c>
      <c r="H253" s="161" t="s">
        <v>12</v>
      </c>
      <c r="I253" s="162" t="s">
        <v>40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3">
      <c r="A254" s="156"/>
      <c r="B254" s="157"/>
      <c r="C254" s="157"/>
      <c r="D254" s="166"/>
      <c r="E254" s="159"/>
      <c r="F254" s="159" t="s">
        <v>40</v>
      </c>
      <c r="G254" s="160" t="s">
        <v>41</v>
      </c>
      <c r="H254" s="161" t="s">
        <v>12</v>
      </c>
      <c r="I254" s="162"/>
      <c r="J254" s="162"/>
      <c r="K254" s="163"/>
      <c r="L254" s="167">
        <f ca="1">L255+L256</f>
        <v>0</v>
      </c>
      <c r="M254" s="167">
        <f ca="1">IFERROR(__xludf.DUMMYFUNCTION("IMPORTRANGE(""https://docs.google.com/spreadsheets/d/1Yj_ptqi66GCucihVvJfMjLAmec39IyEx_6qawtMGysU/edit?usp=sharing"",""สบก!CB25"")"),0)</f>
        <v>0</v>
      </c>
      <c r="N254" s="168">
        <f ca="1">IFERROR(__xludf.DUMMYFUNCTION("IMPORTRANGE(""https://docs.google.com/spreadsheets/d/1Yj_ptqi66GCucihVvJfMjLAmec39IyEx_6qawtMGysU/edit?usp=sharing"",""สบก!CC25"")"),0)</f>
        <v>0</v>
      </c>
      <c r="O254" s="168">
        <f ca="1">IF(L254&gt;0,N254*100/L254,0)</f>
        <v>0</v>
      </c>
      <c r="P254" s="168">
        <f ca="1">IF(M254&gt;0,N254*100/M254,0)</f>
        <v>0</v>
      </c>
    </row>
    <row r="255" spans="1:16" ht="21.75" customHeight="1" x14ac:dyDescent="0.3">
      <c r="A255" s="156"/>
      <c r="B255" s="157"/>
      <c r="C255" s="157"/>
      <c r="D255" s="166"/>
      <c r="E255" s="159"/>
      <c r="F255" s="159"/>
      <c r="G255" s="169" t="s">
        <v>42</v>
      </c>
      <c r="H255" s="161" t="s">
        <v>12</v>
      </c>
      <c r="I255" s="162"/>
      <c r="J255" s="162"/>
      <c r="K255" s="163"/>
      <c r="L255" s="167">
        <f ca="1">IFERROR(__xludf.DUMMYFUNCTION("IMPORTRANGE(""https://docs.google.com/spreadsheets/d/1Yj_ptqi66GCucihVvJfMjLAmec39IyEx_6qawtMGysU/edit?usp=sharing"",""สบก!BX25"")"),0)</f>
        <v>0</v>
      </c>
      <c r="M255" s="167"/>
      <c r="N255" s="167"/>
      <c r="O255" s="168"/>
      <c r="P255" s="168"/>
    </row>
    <row r="256" spans="1:16" ht="21.75" customHeight="1" x14ac:dyDescent="0.3">
      <c r="A256" s="156"/>
      <c r="B256" s="157"/>
      <c r="C256" s="157"/>
      <c r="D256" s="166"/>
      <c r="E256" s="159"/>
      <c r="F256" s="159"/>
      <c r="G256" s="169" t="s">
        <v>43</v>
      </c>
      <c r="H256" s="161" t="s">
        <v>12</v>
      </c>
      <c r="I256" s="162"/>
      <c r="J256" s="162"/>
      <c r="K256" s="163"/>
      <c r="L256" s="167">
        <f ca="1">IFERROR(__xludf.DUMMYFUNCTION("IMPORTRANGE(""https://docs.google.com/spreadsheets/d/1Yj_ptqi66GCucihVvJfMjLAmec39IyEx_6qawtMGysU/edit?usp=sharing"",""สบก!BY25"")"),0)</f>
        <v>0</v>
      </c>
      <c r="M256" s="167"/>
      <c r="N256" s="167"/>
      <c r="O256" s="168"/>
      <c r="P256" s="168"/>
    </row>
    <row r="257" spans="1:16" ht="21.75" customHeight="1" x14ac:dyDescent="0.45">
      <c r="A257" s="170"/>
      <c r="B257" s="80"/>
      <c r="C257" s="81" t="s">
        <v>16</v>
      </c>
      <c r="D257" s="534" t="s">
        <v>23</v>
      </c>
      <c r="E257" s="530"/>
      <c r="F257" s="88"/>
      <c r="G257" s="82" t="s">
        <v>18</v>
      </c>
      <c r="H257" s="171" t="s">
        <v>12</v>
      </c>
      <c r="I257" s="162"/>
      <c r="J257" s="162"/>
      <c r="K257" s="163"/>
      <c r="L257" s="41">
        <v>0</v>
      </c>
      <c r="M257" s="41"/>
      <c r="N257" s="41"/>
      <c r="O257" s="41"/>
      <c r="P257" s="41"/>
    </row>
    <row r="258" spans="1:16" ht="21.75" customHeight="1" x14ac:dyDescent="0.45">
      <c r="A258" s="172"/>
      <c r="B258" s="91"/>
      <c r="C258" s="91"/>
      <c r="D258" s="173"/>
      <c r="E258" s="92"/>
      <c r="F258" s="92"/>
      <c r="G258" s="93" t="s">
        <v>19</v>
      </c>
      <c r="H258" s="174" t="s">
        <v>12</v>
      </c>
      <c r="I258" s="162"/>
      <c r="J258" s="162"/>
      <c r="K258" s="163"/>
      <c r="L258" s="49">
        <f ca="1">IFERROR(__xludf.DUMMYFUNCTION("IMPORTRANGE(""https://docs.google.com/spreadsheets/d/1Yj_ptqi66GCucihVvJfMjLAmec39IyEx_6qawtMGysU/edit?usp=sharing"",""สบก!BZ25"")"),0)</f>
        <v>0</v>
      </c>
      <c r="M258" s="49"/>
      <c r="N258" s="49">
        <f ca="1">IFERROR(__xludf.DUMMYFUNCTION("IMPORTRANGE(""https://docs.google.com/spreadsheets/d/1Yj_ptqi66GCucihVvJfMjLAmec39IyEx_6qawtMGysU/edit?usp=sharing"",""สบก!CD25"")"),0)</f>
        <v>0</v>
      </c>
      <c r="O258" s="49">
        <f ca="1">IF(L258&gt;0,N258*100/L258,0)</f>
        <v>0</v>
      </c>
      <c r="P258" s="49"/>
    </row>
    <row r="259" spans="1:16" ht="21.75" customHeight="1" x14ac:dyDescent="0.3">
      <c r="A259" s="175"/>
      <c r="B259" s="176"/>
      <c r="C259" s="157" t="s">
        <v>16</v>
      </c>
      <c r="D259" s="177" t="s">
        <v>44</v>
      </c>
      <c r="E259" s="178"/>
      <c r="F259" s="178"/>
      <c r="G259" s="179"/>
      <c r="H259" s="180"/>
      <c r="I259" s="162"/>
      <c r="J259" s="162"/>
      <c r="K259" s="163"/>
      <c r="L259" s="181"/>
      <c r="M259" s="181"/>
      <c r="N259" s="181"/>
      <c r="O259" s="181"/>
      <c r="P259" s="181"/>
    </row>
    <row r="260" spans="1:16" ht="21.75" customHeight="1" x14ac:dyDescent="0.3">
      <c r="A260" s="175"/>
      <c r="B260" s="176"/>
      <c r="C260" s="176"/>
      <c r="D260" s="182">
        <v>1</v>
      </c>
      <c r="E260" s="183" t="s">
        <v>45</v>
      </c>
      <c r="F260" s="184"/>
      <c r="G260" s="185"/>
      <c r="H260" s="186"/>
      <c r="I260" s="187"/>
      <c r="J260" s="188">
        <f ca="1">IFERROR(__xludf.DUMMYFUNCTION("IMPORTRANGE(""https://docs.google.com/spreadsheets/d/11923uPwbBZFjjGgGUA6NLw09EwE0CqkOc4q9oUmW1yo/edit?usp=sharing"",""น่าน!J175"")"),0)</f>
        <v>0</v>
      </c>
      <c r="K260" s="163"/>
      <c r="L260" s="181"/>
      <c r="M260" s="181"/>
      <c r="N260" s="181"/>
      <c r="O260" s="181"/>
      <c r="P260" s="181"/>
    </row>
    <row r="261" spans="1:16" ht="21.75" customHeight="1" x14ac:dyDescent="0.3">
      <c r="A261" s="175"/>
      <c r="B261" s="176"/>
      <c r="C261" s="176"/>
      <c r="D261" s="189">
        <v>2</v>
      </c>
      <c r="E261" s="190" t="s">
        <v>46</v>
      </c>
      <c r="F261" s="191"/>
      <c r="G261" s="192"/>
      <c r="H261" s="186"/>
      <c r="I261" s="187"/>
      <c r="J261" s="197">
        <f ca="1">IFERROR(__xludf.DUMMYFUNCTION("IMPORTRANGE(""https://docs.google.com/spreadsheets/d/11923uPwbBZFjjGgGUA6NLw09EwE0CqkOc4q9oUmW1yo/edit?usp=sharing"",""น่าน!J176"")"),0)</f>
        <v>0</v>
      </c>
      <c r="K261" s="163"/>
      <c r="L261" s="181" t="s">
        <v>40</v>
      </c>
      <c r="M261" s="181"/>
      <c r="N261" s="181" t="s">
        <v>40</v>
      </c>
      <c r="O261" s="181"/>
      <c r="P261" s="181"/>
    </row>
    <row r="262" spans="1:16" ht="21.75" customHeight="1" x14ac:dyDescent="0.3">
      <c r="A262" s="175"/>
      <c r="B262" s="176"/>
      <c r="C262" s="176"/>
      <c r="D262" s="193"/>
      <c r="E262" s="194" t="s">
        <v>47</v>
      </c>
      <c r="F262" s="195"/>
      <c r="G262" s="196"/>
      <c r="H262" s="186"/>
      <c r="I262" s="187"/>
      <c r="J262" s="197">
        <f ca="1">IFERROR(__xludf.DUMMYFUNCTION("IMPORTRANGE(""https://docs.google.com/spreadsheets/d/11923uPwbBZFjjGgGUA6NLw09EwE0CqkOc4q9oUmW1yo/edit?usp=sharing"",""น่าน!J177"")"),0)</f>
        <v>0</v>
      </c>
      <c r="K262" s="163"/>
      <c r="L262" s="181"/>
      <c r="M262" s="181"/>
      <c r="N262" s="181"/>
      <c r="O262" s="181"/>
      <c r="P262" s="181"/>
    </row>
    <row r="263" spans="1:16" ht="21.75" customHeight="1" x14ac:dyDescent="0.3">
      <c r="A263" s="175"/>
      <c r="B263" s="176"/>
      <c r="C263" s="176"/>
      <c r="D263" s="193"/>
      <c r="E263" s="194" t="s">
        <v>48</v>
      </c>
      <c r="F263" s="195"/>
      <c r="G263" s="196"/>
      <c r="H263" s="186"/>
      <c r="I263" s="187"/>
      <c r="J263" s="197">
        <f ca="1">IFERROR(__xludf.DUMMYFUNCTION("IMPORTRANGE(""https://docs.google.com/spreadsheets/d/11923uPwbBZFjjGgGUA6NLw09EwE0CqkOc4q9oUmW1yo/edit?usp=sharing"",""น่าน!J178"")"),0)</f>
        <v>0</v>
      </c>
      <c r="K263" s="163"/>
      <c r="L263" s="181"/>
      <c r="M263" s="181"/>
      <c r="N263" s="181"/>
      <c r="O263" s="181"/>
      <c r="P263" s="181"/>
    </row>
    <row r="264" spans="1:16" ht="21.75" customHeight="1" x14ac:dyDescent="0.3">
      <c r="A264" s="175"/>
      <c r="B264" s="176"/>
      <c r="C264" s="176"/>
      <c r="D264" s="193"/>
      <c r="E264" s="198"/>
      <c r="F264" s="194" t="s">
        <v>105</v>
      </c>
      <c r="G264" s="196"/>
      <c r="H264" s="180" t="s">
        <v>59</v>
      </c>
      <c r="I264" s="187">
        <f ca="1">IFERROR(__xludf.DUMMYFUNCTION("IMPORTRANGE(""https://docs.google.com/spreadsheets/d/11923uPwbBZFjjGgGUA6NLw09EwE0CqkOc4q9oUmW1yo/edit?usp=sharing"",""น่าน!I179"")"),0)</f>
        <v>0</v>
      </c>
      <c r="J264" s="188">
        <f ca="1">IFERROR(__xludf.DUMMYFUNCTION("IMPORTRANGE(""https://docs.google.com/spreadsheets/d/11923uPwbBZFjjGgGUA6NLw09EwE0CqkOc4q9oUmW1yo/edit?usp=sharing"",""น่าน!J179"")"),0)</f>
        <v>0</v>
      </c>
      <c r="K264" s="163">
        <f t="shared" ref="K264:K267" ca="1" si="82">IF(I264&gt;0,J264*100/I264,0)</f>
        <v>0</v>
      </c>
      <c r="L264" s="181"/>
      <c r="M264" s="181"/>
      <c r="N264" s="181"/>
      <c r="O264" s="181"/>
      <c r="P264" s="181"/>
    </row>
    <row r="265" spans="1:16" ht="21.75" customHeight="1" x14ac:dyDescent="0.3">
      <c r="A265" s="175"/>
      <c r="B265" s="176"/>
      <c r="C265" s="176"/>
      <c r="D265" s="193"/>
      <c r="E265" s="198"/>
      <c r="F265" s="194" t="s">
        <v>106</v>
      </c>
      <c r="G265" s="196"/>
      <c r="H265" s="180" t="s">
        <v>37</v>
      </c>
      <c r="I265" s="187">
        <f ca="1">IFERROR(__xludf.DUMMYFUNCTION("IMPORTRANGE(""https://docs.google.com/spreadsheets/d/11923uPwbBZFjjGgGUA6NLw09EwE0CqkOc4q9oUmW1yo/edit?usp=sharing"",""น่าน!I180"")"),0)</f>
        <v>0</v>
      </c>
      <c r="J265" s="188">
        <f ca="1">IFERROR(__xludf.DUMMYFUNCTION("IMPORTRANGE(""https://docs.google.com/spreadsheets/d/11923uPwbBZFjjGgGUA6NLw09EwE0CqkOc4q9oUmW1yo/edit?usp=sharing"",""น่าน!J180"")"),0)</f>
        <v>0</v>
      </c>
      <c r="K265" s="163">
        <f t="shared" ca="1" si="82"/>
        <v>0</v>
      </c>
      <c r="L265" s="181"/>
      <c r="M265" s="181"/>
      <c r="N265" s="181"/>
      <c r="O265" s="181"/>
      <c r="P265" s="181"/>
    </row>
    <row r="266" spans="1:16" ht="21.75" customHeight="1" x14ac:dyDescent="0.3">
      <c r="A266" s="175"/>
      <c r="B266" s="176"/>
      <c r="C266" s="176"/>
      <c r="D266" s="193"/>
      <c r="E266" s="198"/>
      <c r="F266" s="194" t="s">
        <v>107</v>
      </c>
      <c r="G266" s="196"/>
      <c r="H266" s="180" t="s">
        <v>37</v>
      </c>
      <c r="I266" s="187">
        <f ca="1">IFERROR(__xludf.DUMMYFUNCTION("IMPORTRANGE(""https://docs.google.com/spreadsheets/d/11923uPwbBZFjjGgGUA6NLw09EwE0CqkOc4q9oUmW1yo/edit?usp=sharing"",""น่าน!I181"")"),0)</f>
        <v>0</v>
      </c>
      <c r="J266" s="188">
        <f ca="1">IFERROR(__xludf.DUMMYFUNCTION("IMPORTRANGE(""https://docs.google.com/spreadsheets/d/11923uPwbBZFjjGgGUA6NLw09EwE0CqkOc4q9oUmW1yo/edit?usp=sharing"",""น่าน!J181"")"),0)</f>
        <v>0</v>
      </c>
      <c r="K266" s="163">
        <f t="shared" ca="1" si="82"/>
        <v>0</v>
      </c>
      <c r="L266" s="181"/>
      <c r="M266" s="181"/>
      <c r="N266" s="181"/>
      <c r="O266" s="181"/>
      <c r="P266" s="181"/>
    </row>
    <row r="267" spans="1:16" ht="21.75" customHeight="1" x14ac:dyDescent="0.3">
      <c r="A267" s="175"/>
      <c r="B267" s="176"/>
      <c r="C267" s="176"/>
      <c r="D267" s="193"/>
      <c r="E267" s="198"/>
      <c r="F267" s="194" t="s">
        <v>108</v>
      </c>
      <c r="G267" s="196"/>
      <c r="H267" s="180" t="s">
        <v>37</v>
      </c>
      <c r="I267" s="187">
        <f ca="1">IFERROR(__xludf.DUMMYFUNCTION("IMPORTRANGE(""https://docs.google.com/spreadsheets/d/11923uPwbBZFjjGgGUA6NLw09EwE0CqkOc4q9oUmW1yo/edit?usp=sharing"",""น่าน!I182"")"),0)</f>
        <v>0</v>
      </c>
      <c r="J267" s="188">
        <f ca="1">IFERROR(__xludf.DUMMYFUNCTION("IMPORTRANGE(""https://docs.google.com/spreadsheets/d/11923uPwbBZFjjGgGUA6NLw09EwE0CqkOc4q9oUmW1yo/edit?usp=sharing"",""น่าน!J182"")"),0)</f>
        <v>0</v>
      </c>
      <c r="K267" s="163">
        <f t="shared" ca="1" si="82"/>
        <v>0</v>
      </c>
      <c r="L267" s="181"/>
      <c r="M267" s="181"/>
      <c r="N267" s="181"/>
      <c r="O267" s="181"/>
      <c r="P267" s="181"/>
    </row>
    <row r="268" spans="1:16" ht="21.75" customHeight="1" x14ac:dyDescent="0.3">
      <c r="A268" s="175"/>
      <c r="B268" s="176"/>
      <c r="C268" s="176"/>
      <c r="D268" s="193"/>
      <c r="E268" s="194" t="s">
        <v>54</v>
      </c>
      <c r="F268" s="195"/>
      <c r="G268" s="196"/>
      <c r="H268" s="186"/>
      <c r="I268" s="187"/>
      <c r="J268" s="197">
        <f ca="1">IFERROR(__xludf.DUMMYFUNCTION("IMPORTRANGE(""https://docs.google.com/spreadsheets/d/11923uPwbBZFjjGgGUA6NLw09EwE0CqkOc4q9oUmW1yo/edit?usp=sharing"",""น่าน!J183"")"),0)</f>
        <v>0</v>
      </c>
      <c r="K268" s="163"/>
      <c r="L268" s="181"/>
      <c r="M268" s="181"/>
      <c r="N268" s="181"/>
      <c r="O268" s="181"/>
      <c r="P268" s="181"/>
    </row>
    <row r="269" spans="1:16" ht="21.75" customHeight="1" x14ac:dyDescent="0.3">
      <c r="A269" s="233"/>
      <c r="B269" s="234"/>
      <c r="C269" s="234"/>
      <c r="D269" s="235">
        <v>3</v>
      </c>
      <c r="E269" s="236" t="s">
        <v>55</v>
      </c>
      <c r="F269" s="237"/>
      <c r="G269" s="238"/>
      <c r="H269" s="239"/>
      <c r="I269" s="240"/>
      <c r="J269" s="285">
        <f ca="1">IFERROR(__xludf.DUMMYFUNCTION("IMPORTRANGE(""https://docs.google.com/spreadsheets/d/11923uPwbBZFjjGgGUA6NLw09EwE0CqkOc4q9oUmW1yo/edit?usp=sharing"",""น่าน!J184"")"),0)</f>
        <v>0</v>
      </c>
      <c r="K269" s="286"/>
      <c r="L269" s="244"/>
      <c r="M269" s="244"/>
      <c r="N269" s="244"/>
      <c r="O269" s="244"/>
      <c r="P269" s="244"/>
    </row>
    <row r="270" spans="1:16" ht="21.75" customHeight="1" x14ac:dyDescent="0.3">
      <c r="A270" s="310"/>
      <c r="B270" s="311" t="s">
        <v>109</v>
      </c>
      <c r="C270" s="311"/>
      <c r="D270" s="311"/>
      <c r="E270" s="311"/>
      <c r="F270" s="311"/>
      <c r="G270" s="312"/>
      <c r="H270" s="313" t="s">
        <v>37</v>
      </c>
      <c r="I270" s="314">
        <f ca="1">IFERROR(__xludf.DUMMYFUNCTION("IMPORTRANGE(""https://docs.google.com/spreadsheets/d/11923uPwbBZFjjGgGUA6NLw09EwE0CqkOc4q9oUmW1yo/edit?usp=sharing"",""น่าน!I185"")"),15)</f>
        <v>15</v>
      </c>
      <c r="J270" s="314">
        <f ca="1">IFERROR(__xludf.DUMMYFUNCTION("IMPORTRANGE(""https://docs.google.com/spreadsheets/d/11923uPwbBZFjjGgGUA6NLw09EwE0CqkOc4q9oUmW1yo/edit?usp=sharing"",""น่าน!J185"")"),15)</f>
        <v>15</v>
      </c>
      <c r="K270" s="315">
        <f ca="1">IF(I270&gt;0,J270*100/I270,0)</f>
        <v>100</v>
      </c>
      <c r="L270" s="316"/>
      <c r="M270" s="316"/>
      <c r="N270" s="316"/>
      <c r="O270" s="315"/>
      <c r="P270" s="315"/>
    </row>
    <row r="271" spans="1:16" ht="21.75" customHeight="1" x14ac:dyDescent="0.45">
      <c r="A271" s="145"/>
      <c r="B271" s="146"/>
      <c r="C271" s="147" t="s">
        <v>16</v>
      </c>
      <c r="D271" s="537" t="s">
        <v>17</v>
      </c>
      <c r="E271" s="528"/>
      <c r="F271" s="528"/>
      <c r="G271" s="528"/>
      <c r="H271" s="148" t="s">
        <v>12</v>
      </c>
      <c r="I271" s="162"/>
      <c r="J271" s="162"/>
      <c r="K271" s="163"/>
      <c r="L271" s="151">
        <f t="shared" ref="L271:N271" ca="1" si="83">L272+L273</f>
        <v>55200</v>
      </c>
      <c r="M271" s="151">
        <f t="shared" ca="1" si="83"/>
        <v>32250</v>
      </c>
      <c r="N271" s="151">
        <f t="shared" ca="1" si="83"/>
        <v>31430</v>
      </c>
      <c r="O271" s="150">
        <f t="shared" ref="O271:O273" ca="1" si="84">IF(L271&gt;0,N271*100/L271,0)</f>
        <v>56.938405797101453</v>
      </c>
      <c r="P271" s="150">
        <f t="shared" ref="P271:P273" ca="1" si="85">IF(M271&gt;0,N271*100/M271,0)</f>
        <v>97.457364341085267</v>
      </c>
    </row>
    <row r="272" spans="1:16" ht="21.75" customHeight="1" x14ac:dyDescent="0.45">
      <c r="A272" s="152"/>
      <c r="B272" s="32"/>
      <c r="C272" s="32"/>
      <c r="D272" s="32"/>
      <c r="E272" s="32"/>
      <c r="F272" s="32"/>
      <c r="G272" s="33" t="s">
        <v>18</v>
      </c>
      <c r="H272" s="153" t="s">
        <v>12</v>
      </c>
      <c r="I272" s="162"/>
      <c r="J272" s="162"/>
      <c r="K272" s="163"/>
      <c r="L272" s="87">
        <f t="shared" ref="L272:N272" si="86">L274+L278</f>
        <v>0</v>
      </c>
      <c r="M272" s="87">
        <f t="shared" si="86"/>
        <v>0</v>
      </c>
      <c r="N272" s="87">
        <f t="shared" si="86"/>
        <v>0</v>
      </c>
      <c r="O272" s="155">
        <f t="shared" si="84"/>
        <v>0</v>
      </c>
      <c r="P272" s="155">
        <f t="shared" si="85"/>
        <v>0</v>
      </c>
    </row>
    <row r="273" spans="1:16" ht="21.75" customHeight="1" x14ac:dyDescent="0.45">
      <c r="A273" s="152"/>
      <c r="B273" s="32"/>
      <c r="C273" s="32"/>
      <c r="D273" s="32"/>
      <c r="E273" s="32"/>
      <c r="F273" s="32"/>
      <c r="G273" s="33" t="s">
        <v>19</v>
      </c>
      <c r="H273" s="153" t="s">
        <v>12</v>
      </c>
      <c r="I273" s="162"/>
      <c r="J273" s="162"/>
      <c r="K273" s="163"/>
      <c r="L273" s="87">
        <f t="shared" ref="L273:N273" ca="1" si="87">L275+L279</f>
        <v>55200</v>
      </c>
      <c r="M273" s="87">
        <f t="shared" ca="1" si="87"/>
        <v>32250</v>
      </c>
      <c r="N273" s="87">
        <f t="shared" ca="1" si="87"/>
        <v>31430</v>
      </c>
      <c r="O273" s="155">
        <f t="shared" ca="1" si="84"/>
        <v>56.938405797101453</v>
      </c>
      <c r="P273" s="155">
        <f t="shared" ca="1" si="85"/>
        <v>97.457364341085267</v>
      </c>
    </row>
    <row r="274" spans="1:16" ht="21.75" customHeight="1" x14ac:dyDescent="0.3">
      <c r="A274" s="156"/>
      <c r="B274" s="157"/>
      <c r="C274" s="157" t="s">
        <v>16</v>
      </c>
      <c r="D274" s="158" t="s">
        <v>38</v>
      </c>
      <c r="E274" s="159"/>
      <c r="F274" s="159"/>
      <c r="G274" s="160" t="s">
        <v>39</v>
      </c>
      <c r="H274" s="161" t="s">
        <v>12</v>
      </c>
      <c r="I274" s="162" t="s">
        <v>40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3">
      <c r="A275" s="156"/>
      <c r="B275" s="157"/>
      <c r="C275" s="157"/>
      <c r="D275" s="166"/>
      <c r="E275" s="159"/>
      <c r="F275" s="159" t="s">
        <v>40</v>
      </c>
      <c r="G275" s="160" t="s">
        <v>41</v>
      </c>
      <c r="H275" s="161" t="s">
        <v>12</v>
      </c>
      <c r="I275" s="162"/>
      <c r="J275" s="162"/>
      <c r="K275" s="163"/>
      <c r="L275" s="167">
        <f ca="1">L276+L277</f>
        <v>55200</v>
      </c>
      <c r="M275" s="167">
        <f ca="1">IFERROR(__xludf.DUMMYFUNCTION("IMPORTRANGE(""https://docs.google.com/spreadsheets/d/1Yj_ptqi66GCucihVvJfMjLAmec39IyEx_6qawtMGysU/edit?usp=sharing"",""สบก!CK25"")"),32250)</f>
        <v>32250</v>
      </c>
      <c r="N275" s="168">
        <f ca="1">IFERROR(__xludf.DUMMYFUNCTION("IMPORTRANGE(""https://docs.google.com/spreadsheets/d/1Yj_ptqi66GCucihVvJfMjLAmec39IyEx_6qawtMGysU/edit?usp=sharing"",""สบก!CL25"")"),31430)</f>
        <v>31430</v>
      </c>
      <c r="O275" s="168">
        <f ca="1">IF(L275&gt;0,N275*100/L275,0)</f>
        <v>56.938405797101453</v>
      </c>
      <c r="P275" s="168">
        <f ca="1">IF(M275&gt;0,N275*100/M275,0)</f>
        <v>97.457364341085267</v>
      </c>
    </row>
    <row r="276" spans="1:16" ht="21.75" customHeight="1" x14ac:dyDescent="0.3">
      <c r="A276" s="156"/>
      <c r="B276" s="157"/>
      <c r="C276" s="157"/>
      <c r="D276" s="166"/>
      <c r="E276" s="159"/>
      <c r="F276" s="159"/>
      <c r="G276" s="169" t="s">
        <v>42</v>
      </c>
      <c r="H276" s="161" t="s">
        <v>12</v>
      </c>
      <c r="I276" s="162"/>
      <c r="J276" s="162"/>
      <c r="K276" s="163"/>
      <c r="L276" s="167">
        <f ca="1">IFERROR(__xludf.DUMMYFUNCTION("IMPORTRANGE(""https://docs.google.com/spreadsheets/d/1Yj_ptqi66GCucihVvJfMjLAmec39IyEx_6qawtMGysU/edit?usp=sharing"",""สบก!CG25"")"),0)</f>
        <v>0</v>
      </c>
      <c r="M276" s="167"/>
      <c r="N276" s="167"/>
      <c r="O276" s="168"/>
      <c r="P276" s="168"/>
    </row>
    <row r="277" spans="1:16" ht="21.75" customHeight="1" x14ac:dyDescent="0.3">
      <c r="A277" s="156"/>
      <c r="B277" s="157"/>
      <c r="C277" s="157"/>
      <c r="D277" s="166"/>
      <c r="E277" s="159"/>
      <c r="F277" s="159"/>
      <c r="G277" s="169" t="s">
        <v>43</v>
      </c>
      <c r="H277" s="161" t="s">
        <v>12</v>
      </c>
      <c r="I277" s="162"/>
      <c r="J277" s="162"/>
      <c r="K277" s="163"/>
      <c r="L277" s="167">
        <f ca="1">IFERROR(__xludf.DUMMYFUNCTION("IMPORTRANGE(""https://docs.google.com/spreadsheets/d/1Yj_ptqi66GCucihVvJfMjLAmec39IyEx_6qawtMGysU/edit?usp=sharing"",""สบก!CH25"")"),55200)</f>
        <v>55200</v>
      </c>
      <c r="M277" s="167"/>
      <c r="N277" s="167"/>
      <c r="O277" s="168"/>
      <c r="P277" s="168"/>
    </row>
    <row r="278" spans="1:16" ht="21.75" customHeight="1" x14ac:dyDescent="0.45">
      <c r="A278" s="170"/>
      <c r="B278" s="80"/>
      <c r="C278" s="81" t="s">
        <v>16</v>
      </c>
      <c r="D278" s="534" t="s">
        <v>23</v>
      </c>
      <c r="E278" s="530"/>
      <c r="F278" s="88"/>
      <c r="G278" s="82" t="s">
        <v>18</v>
      </c>
      <c r="H278" s="171" t="s">
        <v>12</v>
      </c>
      <c r="I278" s="162"/>
      <c r="J278" s="162"/>
      <c r="K278" s="163"/>
      <c r="L278" s="41">
        <v>0</v>
      </c>
      <c r="M278" s="41"/>
      <c r="N278" s="41"/>
      <c r="O278" s="41"/>
      <c r="P278" s="41"/>
    </row>
    <row r="279" spans="1:16" ht="21.75" customHeight="1" x14ac:dyDescent="0.45">
      <c r="A279" s="172"/>
      <c r="B279" s="91"/>
      <c r="C279" s="91"/>
      <c r="D279" s="173"/>
      <c r="E279" s="92"/>
      <c r="F279" s="92"/>
      <c r="G279" s="93" t="s">
        <v>19</v>
      </c>
      <c r="H279" s="174" t="s">
        <v>12</v>
      </c>
      <c r="I279" s="162"/>
      <c r="J279" s="162"/>
      <c r="K279" s="163"/>
      <c r="L279" s="49">
        <f ca="1">IFERROR(__xludf.DUMMYFUNCTION("IMPORTRANGE(""https://docs.google.com/spreadsheets/d/1Yj_ptqi66GCucihVvJfMjLAmec39IyEx_6qawtMGysU/edit?usp=sharing"",""สบก!CI25"")"),0)</f>
        <v>0</v>
      </c>
      <c r="M279" s="49"/>
      <c r="N279" s="49">
        <f ca="1">IFERROR(__xludf.DUMMYFUNCTION("IMPORTRANGE(""https://docs.google.com/spreadsheets/d/1Yj_ptqi66GCucihVvJfMjLAmec39IyEx_6qawtMGysU/edit?usp=sharing"",""สบก!CM25"")"),0)</f>
        <v>0</v>
      </c>
      <c r="O279" s="49">
        <f ca="1">IF(L279&gt;0,N279*100/L279,0)</f>
        <v>0</v>
      </c>
      <c r="P279" s="49"/>
    </row>
    <row r="280" spans="1:16" ht="21.75" customHeight="1" x14ac:dyDescent="0.3">
      <c r="A280" s="175"/>
      <c r="B280" s="176"/>
      <c r="C280" s="157" t="s">
        <v>16</v>
      </c>
      <c r="D280" s="177" t="s">
        <v>44</v>
      </c>
      <c r="E280" s="178"/>
      <c r="F280" s="178"/>
      <c r="G280" s="179"/>
      <c r="H280" s="180"/>
      <c r="I280" s="162"/>
      <c r="J280" s="162"/>
      <c r="K280" s="163"/>
      <c r="L280" s="181"/>
      <c r="M280" s="181"/>
      <c r="N280" s="181"/>
      <c r="O280" s="181"/>
      <c r="P280" s="181"/>
    </row>
    <row r="281" spans="1:16" ht="21.75" customHeight="1" x14ac:dyDescent="0.3">
      <c r="A281" s="175"/>
      <c r="B281" s="176"/>
      <c r="C281" s="176"/>
      <c r="D281" s="182">
        <v>1</v>
      </c>
      <c r="E281" s="183" t="s">
        <v>45</v>
      </c>
      <c r="F281" s="184"/>
      <c r="G281" s="185"/>
      <c r="H281" s="186"/>
      <c r="I281" s="187"/>
      <c r="J281" s="188">
        <f ca="1">IFERROR(__xludf.DUMMYFUNCTION("IMPORTRANGE(""https://docs.google.com/spreadsheets/d/11923uPwbBZFjjGgGUA6NLw09EwE0CqkOc4q9oUmW1yo/edit?usp=sharing"",""น่าน!J191"")"),0)</f>
        <v>0</v>
      </c>
      <c r="K281" s="163"/>
      <c r="L281" s="181"/>
      <c r="M281" s="181"/>
      <c r="N281" s="181"/>
      <c r="O281" s="181"/>
      <c r="P281" s="181"/>
    </row>
    <row r="282" spans="1:16" ht="21.75" customHeight="1" x14ac:dyDescent="0.3">
      <c r="A282" s="175"/>
      <c r="B282" s="176"/>
      <c r="C282" s="176"/>
      <c r="D282" s="189">
        <v>2</v>
      </c>
      <c r="E282" s="190" t="s">
        <v>46</v>
      </c>
      <c r="F282" s="191"/>
      <c r="G282" s="192"/>
      <c r="H282" s="186"/>
      <c r="I282" s="187"/>
      <c r="J282" s="197">
        <f ca="1">IFERROR(__xludf.DUMMYFUNCTION("IMPORTRANGE(""https://docs.google.com/spreadsheets/d/11923uPwbBZFjjGgGUA6NLw09EwE0CqkOc4q9oUmW1yo/edit?usp=sharing"",""น่าน!J192"")"),1)</f>
        <v>1</v>
      </c>
      <c r="K282" s="163"/>
      <c r="L282" s="181"/>
      <c r="M282" s="181"/>
      <c r="N282" s="181"/>
      <c r="O282" s="181"/>
      <c r="P282" s="181"/>
    </row>
    <row r="283" spans="1:16" ht="21.75" customHeight="1" x14ac:dyDescent="0.3">
      <c r="A283" s="175"/>
      <c r="B283" s="176"/>
      <c r="C283" s="176"/>
      <c r="D283" s="193"/>
      <c r="E283" s="194" t="s">
        <v>47</v>
      </c>
      <c r="F283" s="195"/>
      <c r="G283" s="196"/>
      <c r="H283" s="186"/>
      <c r="I283" s="187"/>
      <c r="J283" s="197">
        <f ca="1">IFERROR(__xludf.DUMMYFUNCTION("IMPORTRANGE(""https://docs.google.com/spreadsheets/d/11923uPwbBZFjjGgGUA6NLw09EwE0CqkOc4q9oUmW1yo/edit?usp=sharing"",""น่าน!J193"")"),1)</f>
        <v>1</v>
      </c>
      <c r="K283" s="163"/>
      <c r="L283" s="181"/>
      <c r="M283" s="181"/>
      <c r="N283" s="181"/>
      <c r="O283" s="181"/>
      <c r="P283" s="181"/>
    </row>
    <row r="284" spans="1:16" ht="21.75" customHeight="1" x14ac:dyDescent="0.3">
      <c r="A284" s="175"/>
      <c r="B284" s="176"/>
      <c r="C284" s="176"/>
      <c r="D284" s="193"/>
      <c r="E284" s="194" t="s">
        <v>48</v>
      </c>
      <c r="F284" s="195"/>
      <c r="G284" s="196"/>
      <c r="H284" s="186"/>
      <c r="I284" s="187"/>
      <c r="J284" s="197">
        <f ca="1">IFERROR(__xludf.DUMMYFUNCTION("IMPORTRANGE(""https://docs.google.com/spreadsheets/d/11923uPwbBZFjjGgGUA6NLw09EwE0CqkOc4q9oUmW1yo/edit?usp=sharing"",""น่าน!J194"")"),1)</f>
        <v>1</v>
      </c>
      <c r="K284" s="163"/>
      <c r="L284" s="181"/>
      <c r="M284" s="181"/>
      <c r="N284" s="181"/>
      <c r="O284" s="181"/>
      <c r="P284" s="181"/>
    </row>
    <row r="285" spans="1:16" ht="21.75" customHeight="1" x14ac:dyDescent="0.3">
      <c r="A285" s="175"/>
      <c r="B285" s="176"/>
      <c r="C285" s="176"/>
      <c r="D285" s="193"/>
      <c r="E285" s="195"/>
      <c r="F285" s="194" t="s">
        <v>110</v>
      </c>
      <c r="G285" s="196"/>
      <c r="H285" s="186" t="s">
        <v>37</v>
      </c>
      <c r="I285" s="187">
        <f ca="1">IFERROR(__xludf.DUMMYFUNCTION("IMPORTRANGE(""https://docs.google.com/spreadsheets/d/11923uPwbBZFjjGgGUA6NLw09EwE0CqkOc4q9oUmW1yo/edit?usp=sharing"",""น่าน!I195"")"),15)</f>
        <v>15</v>
      </c>
      <c r="J285" s="188">
        <f ca="1">IFERROR(__xludf.DUMMYFUNCTION("IMPORTRANGE(""https://docs.google.com/spreadsheets/d/11923uPwbBZFjjGgGUA6NLw09EwE0CqkOc4q9oUmW1yo/edit?usp=sharing"",""น่าน!J195"")"),15)</f>
        <v>15</v>
      </c>
      <c r="K285" s="163">
        <f ca="1">IF(I285&gt;0,J285*100/I285,0)</f>
        <v>100</v>
      </c>
      <c r="L285" s="181"/>
      <c r="M285" s="181"/>
      <c r="N285" s="181"/>
      <c r="O285" s="181"/>
      <c r="P285" s="181"/>
    </row>
    <row r="286" spans="1:16" ht="21.75" customHeight="1" x14ac:dyDescent="0.3">
      <c r="A286" s="175"/>
      <c r="B286" s="176"/>
      <c r="C286" s="176"/>
      <c r="D286" s="193"/>
      <c r="E286" s="194" t="s">
        <v>54</v>
      </c>
      <c r="F286" s="195"/>
      <c r="G286" s="196"/>
      <c r="H286" s="186"/>
      <c r="I286" s="187"/>
      <c r="J286" s="197">
        <f ca="1">IFERROR(__xludf.DUMMYFUNCTION("IMPORTRANGE(""https://docs.google.com/spreadsheets/d/11923uPwbBZFjjGgGUA6NLw09EwE0CqkOc4q9oUmW1yo/edit?usp=sharing"",""น่าน!J196"")"),0)</f>
        <v>0</v>
      </c>
      <c r="K286" s="163"/>
      <c r="L286" s="181"/>
      <c r="M286" s="181"/>
      <c r="N286" s="181"/>
      <c r="O286" s="181"/>
      <c r="P286" s="181"/>
    </row>
    <row r="287" spans="1:16" ht="21.75" customHeight="1" x14ac:dyDescent="0.3">
      <c r="A287" s="175"/>
      <c r="B287" s="176"/>
      <c r="C287" s="176"/>
      <c r="D287" s="205">
        <v>3</v>
      </c>
      <c r="E287" s="206" t="s">
        <v>55</v>
      </c>
      <c r="F287" s="207"/>
      <c r="G287" s="208"/>
      <c r="H287" s="186"/>
      <c r="I287" s="187"/>
      <c r="J287" s="209">
        <f ca="1">IFERROR(__xludf.DUMMYFUNCTION("IMPORTRANGE(""https://docs.google.com/spreadsheets/d/11923uPwbBZFjjGgGUA6NLw09EwE0CqkOc4q9oUmW1yo/edit?usp=sharing"",""น่าน!J197"")"),0)</f>
        <v>0</v>
      </c>
      <c r="K287" s="163"/>
      <c r="L287" s="181"/>
      <c r="M287" s="181"/>
      <c r="N287" s="181"/>
      <c r="O287" s="181"/>
      <c r="P287" s="181"/>
    </row>
    <row r="288" spans="1:16" ht="21.75" customHeight="1" x14ac:dyDescent="0.3">
      <c r="A288" s="302" t="s">
        <v>111</v>
      </c>
      <c r="B288" s="303"/>
      <c r="C288" s="303"/>
      <c r="D288" s="304"/>
      <c r="E288" s="303"/>
      <c r="F288" s="303"/>
      <c r="G288" s="317"/>
      <c r="H288" s="318"/>
      <c r="I288" s="319"/>
      <c r="J288" s="319"/>
      <c r="K288" s="320"/>
      <c r="L288" s="320"/>
      <c r="M288" s="320"/>
      <c r="N288" s="320"/>
      <c r="O288" s="309"/>
      <c r="P288" s="309"/>
    </row>
    <row r="289" spans="1:16" ht="21.75" customHeight="1" x14ac:dyDescent="0.3">
      <c r="A289" s="321"/>
      <c r="B289" s="311" t="s">
        <v>112</v>
      </c>
      <c r="C289" s="322"/>
      <c r="D289" s="323"/>
      <c r="E289" s="311"/>
      <c r="F289" s="311"/>
      <c r="G289" s="312"/>
      <c r="H289" s="313" t="s">
        <v>37</v>
      </c>
      <c r="I289" s="314">
        <f ca="1">IFERROR(__xludf.DUMMYFUNCTION("IMPORTRANGE(""https://docs.google.com/spreadsheets/d/11923uPwbBZFjjGgGUA6NLw09EwE0CqkOc4q9oUmW1yo/edit?usp=sharing"",""น่าน!I199"")"),0)</f>
        <v>0</v>
      </c>
      <c r="J289" s="314">
        <f ca="1">IFERROR(__xludf.DUMMYFUNCTION("IMPORTRANGE(""https://docs.google.com/spreadsheets/d/11923uPwbBZFjjGgGUA6NLw09EwE0CqkOc4q9oUmW1yo/edit?usp=sharing"",""น่าน!J199"")"),0)</f>
        <v>0</v>
      </c>
      <c r="K289" s="315">
        <f ca="1">IF(I289&gt;0,J289*100/I289,0)</f>
        <v>0</v>
      </c>
      <c r="L289" s="316"/>
      <c r="M289" s="316"/>
      <c r="N289" s="316"/>
      <c r="O289" s="315"/>
      <c r="P289" s="315"/>
    </row>
    <row r="290" spans="1:16" ht="21.75" customHeight="1" x14ac:dyDescent="0.45">
      <c r="A290" s="145"/>
      <c r="B290" s="146"/>
      <c r="C290" s="147" t="s">
        <v>16</v>
      </c>
      <c r="D290" s="537" t="s">
        <v>17</v>
      </c>
      <c r="E290" s="528"/>
      <c r="F290" s="528"/>
      <c r="G290" s="528"/>
      <c r="H290" s="148" t="s">
        <v>12</v>
      </c>
      <c r="I290" s="187"/>
      <c r="J290" s="187"/>
      <c r="K290" s="223"/>
      <c r="L290" s="151">
        <f t="shared" ref="L290:N290" ca="1" si="88">L291+L292</f>
        <v>0</v>
      </c>
      <c r="M290" s="151">
        <f t="shared" ca="1" si="88"/>
        <v>0</v>
      </c>
      <c r="N290" s="151">
        <f t="shared" ca="1" si="88"/>
        <v>0</v>
      </c>
      <c r="O290" s="150">
        <f t="shared" ref="O290:O292" ca="1" si="89">IF(L290&gt;0,N290*100/L290,0)</f>
        <v>0</v>
      </c>
      <c r="P290" s="150">
        <f t="shared" ref="P290:P292" ca="1" si="90">IF(M290&gt;0,N290*100/M290,0)</f>
        <v>0</v>
      </c>
    </row>
    <row r="291" spans="1:16" ht="21.75" customHeight="1" x14ac:dyDescent="0.45">
      <c r="A291" s="152"/>
      <c r="B291" s="32"/>
      <c r="C291" s="32"/>
      <c r="D291" s="32"/>
      <c r="E291" s="32"/>
      <c r="F291" s="32"/>
      <c r="G291" s="33" t="s">
        <v>18</v>
      </c>
      <c r="H291" s="153" t="s">
        <v>12</v>
      </c>
      <c r="I291" s="187"/>
      <c r="J291" s="187"/>
      <c r="K291" s="223"/>
      <c r="L291" s="87">
        <f t="shared" ref="L291:N291" si="91">L293+L297</f>
        <v>0</v>
      </c>
      <c r="M291" s="87">
        <f t="shared" si="91"/>
        <v>0</v>
      </c>
      <c r="N291" s="87">
        <f t="shared" si="91"/>
        <v>0</v>
      </c>
      <c r="O291" s="155">
        <f t="shared" si="89"/>
        <v>0</v>
      </c>
      <c r="P291" s="155">
        <f t="shared" si="90"/>
        <v>0</v>
      </c>
    </row>
    <row r="292" spans="1:16" ht="21.75" customHeight="1" x14ac:dyDescent="0.45">
      <c r="A292" s="152"/>
      <c r="B292" s="32"/>
      <c r="C292" s="32"/>
      <c r="D292" s="32"/>
      <c r="E292" s="32"/>
      <c r="F292" s="32"/>
      <c r="G292" s="33" t="s">
        <v>19</v>
      </c>
      <c r="H292" s="153" t="s">
        <v>12</v>
      </c>
      <c r="I292" s="187"/>
      <c r="J292" s="187"/>
      <c r="K292" s="223"/>
      <c r="L292" s="87">
        <f t="shared" ref="L292:N292" ca="1" si="92">L294+L298</f>
        <v>0</v>
      </c>
      <c r="M292" s="87">
        <f t="shared" ca="1" si="92"/>
        <v>0</v>
      </c>
      <c r="N292" s="87">
        <f t="shared" ca="1" si="92"/>
        <v>0</v>
      </c>
      <c r="O292" s="155">
        <f t="shared" ca="1" si="89"/>
        <v>0</v>
      </c>
      <c r="P292" s="155">
        <f t="shared" ca="1" si="90"/>
        <v>0</v>
      </c>
    </row>
    <row r="293" spans="1:16" ht="21.75" customHeight="1" x14ac:dyDescent="0.3">
      <c r="A293" s="156"/>
      <c r="B293" s="157"/>
      <c r="C293" s="157" t="s">
        <v>16</v>
      </c>
      <c r="D293" s="158" t="s">
        <v>38</v>
      </c>
      <c r="E293" s="159"/>
      <c r="F293" s="159"/>
      <c r="G293" s="160" t="s">
        <v>39</v>
      </c>
      <c r="H293" s="161" t="s">
        <v>12</v>
      </c>
      <c r="I293" s="187" t="s">
        <v>40</v>
      </c>
      <c r="J293" s="187"/>
      <c r="K293" s="223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3">
      <c r="A294" s="156"/>
      <c r="B294" s="157"/>
      <c r="C294" s="157"/>
      <c r="D294" s="166"/>
      <c r="E294" s="159"/>
      <c r="F294" s="159" t="s">
        <v>40</v>
      </c>
      <c r="G294" s="160" t="s">
        <v>41</v>
      </c>
      <c r="H294" s="161" t="s">
        <v>12</v>
      </c>
      <c r="I294" s="187"/>
      <c r="J294" s="187"/>
      <c r="K294" s="223"/>
      <c r="L294" s="167">
        <f ca="1">L295+L296</f>
        <v>0</v>
      </c>
      <c r="M294" s="167">
        <f ca="1">IFERROR(__xludf.DUMMYFUNCTION("IMPORTRANGE(""https://docs.google.com/spreadsheets/d/1Yj_ptqi66GCucihVvJfMjLAmec39IyEx_6qawtMGysU/edit?usp=sharing"",""สบก!CT25"")"),0)</f>
        <v>0</v>
      </c>
      <c r="N294" s="168">
        <f ca="1">IFERROR(__xludf.DUMMYFUNCTION("IMPORTRANGE(""https://docs.google.com/spreadsheets/d/1Yj_ptqi66GCucihVvJfMjLAmec39IyEx_6qawtMGysU/edit?usp=sharing"",""สบก!CU25"")"),0)</f>
        <v>0</v>
      </c>
      <c r="O294" s="168">
        <f ca="1">IF(L294&gt;0,N294*100/L294,0)</f>
        <v>0</v>
      </c>
      <c r="P294" s="168">
        <f ca="1">IF(M294&gt;0,N294*100/M294,0)</f>
        <v>0</v>
      </c>
    </row>
    <row r="295" spans="1:16" ht="21.75" customHeight="1" x14ac:dyDescent="0.3">
      <c r="A295" s="156"/>
      <c r="B295" s="157"/>
      <c r="C295" s="157"/>
      <c r="D295" s="166"/>
      <c r="E295" s="159"/>
      <c r="F295" s="159"/>
      <c r="G295" s="169" t="s">
        <v>42</v>
      </c>
      <c r="H295" s="161" t="s">
        <v>12</v>
      </c>
      <c r="I295" s="187"/>
      <c r="J295" s="187"/>
      <c r="K295" s="223"/>
      <c r="L295" s="167">
        <f ca="1">IFERROR(__xludf.DUMMYFUNCTION("IMPORTRANGE(""https://docs.google.com/spreadsheets/d/1Yj_ptqi66GCucihVvJfMjLAmec39IyEx_6qawtMGysU/edit?usp=sharing"",""สบก!CP25"")"),0)</f>
        <v>0</v>
      </c>
      <c r="M295" s="167"/>
      <c r="N295" s="167"/>
      <c r="O295" s="168"/>
      <c r="P295" s="168"/>
    </row>
    <row r="296" spans="1:16" ht="21.75" customHeight="1" x14ac:dyDescent="0.3">
      <c r="A296" s="156"/>
      <c r="B296" s="157"/>
      <c r="C296" s="157"/>
      <c r="D296" s="166"/>
      <c r="E296" s="159"/>
      <c r="F296" s="159"/>
      <c r="G296" s="169" t="s">
        <v>43</v>
      </c>
      <c r="H296" s="161" t="s">
        <v>12</v>
      </c>
      <c r="I296" s="187"/>
      <c r="J296" s="187"/>
      <c r="K296" s="223"/>
      <c r="L296" s="167">
        <f ca="1">IFERROR(__xludf.DUMMYFUNCTION("IMPORTRANGE(""https://docs.google.com/spreadsheets/d/1Yj_ptqi66GCucihVvJfMjLAmec39IyEx_6qawtMGysU/edit?usp=sharing"",""สบก!CQ25"")"),0)</f>
        <v>0</v>
      </c>
      <c r="M296" s="167"/>
      <c r="N296" s="167"/>
      <c r="O296" s="168"/>
      <c r="P296" s="168"/>
    </row>
    <row r="297" spans="1:16" ht="21.75" customHeight="1" x14ac:dyDescent="0.45">
      <c r="A297" s="170"/>
      <c r="B297" s="80"/>
      <c r="C297" s="81" t="s">
        <v>16</v>
      </c>
      <c r="D297" s="534" t="s">
        <v>23</v>
      </c>
      <c r="E297" s="530"/>
      <c r="F297" s="88"/>
      <c r="G297" s="82" t="s">
        <v>18</v>
      </c>
      <c r="H297" s="171" t="s">
        <v>12</v>
      </c>
      <c r="I297" s="187"/>
      <c r="J297" s="187"/>
      <c r="K297" s="223"/>
      <c r="L297" s="41">
        <v>0</v>
      </c>
      <c r="M297" s="41"/>
      <c r="N297" s="41"/>
      <c r="O297" s="41"/>
      <c r="P297" s="41"/>
    </row>
    <row r="298" spans="1:16" ht="21.75" customHeight="1" x14ac:dyDescent="0.45">
      <c r="A298" s="172"/>
      <c r="B298" s="91"/>
      <c r="C298" s="91"/>
      <c r="D298" s="173"/>
      <c r="E298" s="92"/>
      <c r="F298" s="92"/>
      <c r="G298" s="93" t="s">
        <v>19</v>
      </c>
      <c r="H298" s="174" t="s">
        <v>12</v>
      </c>
      <c r="I298" s="187"/>
      <c r="J298" s="187"/>
      <c r="K298" s="223"/>
      <c r="L298" s="49">
        <f ca="1">IFERROR(__xludf.DUMMYFUNCTION("IMPORTRANGE(""https://docs.google.com/spreadsheets/d/1Yj_ptqi66GCucihVvJfMjLAmec39IyEx_6qawtMGysU/edit?usp=sharing"",""สบก!CR25"")"),0)</f>
        <v>0</v>
      </c>
      <c r="M298" s="49"/>
      <c r="N298" s="49">
        <f ca="1">IFERROR(__xludf.DUMMYFUNCTION("IMPORTRANGE(""https://docs.google.com/spreadsheets/d/1Yj_ptqi66GCucihVvJfMjLAmec39IyEx_6qawtMGysU/edit?usp=sharing"",""สบก!CV25"")"),0)</f>
        <v>0</v>
      </c>
      <c r="O298" s="49">
        <f ca="1">IF(L298&gt;0,N298*100/L298,0)</f>
        <v>0</v>
      </c>
      <c r="P298" s="49"/>
    </row>
    <row r="299" spans="1:16" ht="21.75" customHeight="1" x14ac:dyDescent="0.3">
      <c r="A299" s="175"/>
      <c r="B299" s="176"/>
      <c r="C299" s="157" t="s">
        <v>16</v>
      </c>
      <c r="D299" s="177" t="s">
        <v>44</v>
      </c>
      <c r="E299" s="178"/>
      <c r="F299" s="178"/>
      <c r="G299" s="179"/>
      <c r="H299" s="180"/>
      <c r="I299" s="187"/>
      <c r="J299" s="187"/>
      <c r="K299" s="223"/>
      <c r="L299" s="168"/>
      <c r="M299" s="168"/>
      <c r="N299" s="168"/>
      <c r="O299" s="181"/>
      <c r="P299" s="181"/>
    </row>
    <row r="300" spans="1:16" ht="21.75" customHeight="1" x14ac:dyDescent="0.3">
      <c r="A300" s="175"/>
      <c r="B300" s="176"/>
      <c r="C300" s="176"/>
      <c r="D300" s="182">
        <v>1</v>
      </c>
      <c r="E300" s="183" t="s">
        <v>45</v>
      </c>
      <c r="F300" s="184"/>
      <c r="G300" s="185"/>
      <c r="H300" s="186"/>
      <c r="I300" s="187"/>
      <c r="J300" s="187">
        <f ca="1">IFERROR(__xludf.DUMMYFUNCTION("IMPORTRANGE(""https://docs.google.com/spreadsheets/d/11923uPwbBZFjjGgGUA6NLw09EwE0CqkOc4q9oUmW1yo/edit?usp=sharing"",""น่าน!J205"")"),0)</f>
        <v>0</v>
      </c>
      <c r="K300" s="223"/>
      <c r="L300" s="168"/>
      <c r="M300" s="168"/>
      <c r="N300" s="168"/>
      <c r="O300" s="181"/>
      <c r="P300" s="181"/>
    </row>
    <row r="301" spans="1:16" ht="21.75" customHeight="1" x14ac:dyDescent="0.3">
      <c r="A301" s="175"/>
      <c r="B301" s="176"/>
      <c r="C301" s="176"/>
      <c r="D301" s="189">
        <v>2</v>
      </c>
      <c r="E301" s="190" t="s">
        <v>46</v>
      </c>
      <c r="F301" s="191"/>
      <c r="G301" s="192"/>
      <c r="H301" s="186"/>
      <c r="I301" s="187"/>
      <c r="J301" s="187">
        <f ca="1">IFERROR(__xludf.DUMMYFUNCTION("IMPORTRANGE(""https://docs.google.com/spreadsheets/d/11923uPwbBZFjjGgGUA6NLw09EwE0CqkOc4q9oUmW1yo/edit?usp=sharing"",""น่าน!J206"")"),0)</f>
        <v>0</v>
      </c>
      <c r="K301" s="223"/>
      <c r="L301" s="168" t="s">
        <v>40</v>
      </c>
      <c r="M301" s="168"/>
      <c r="N301" s="168" t="s">
        <v>40</v>
      </c>
      <c r="O301" s="181"/>
      <c r="P301" s="181"/>
    </row>
    <row r="302" spans="1:16" ht="21.75" customHeight="1" x14ac:dyDescent="0.3">
      <c r="A302" s="175"/>
      <c r="B302" s="176"/>
      <c r="C302" s="176"/>
      <c r="D302" s="193"/>
      <c r="E302" s="194" t="s">
        <v>47</v>
      </c>
      <c r="F302" s="195"/>
      <c r="G302" s="196"/>
      <c r="H302" s="186"/>
      <c r="I302" s="187"/>
      <c r="J302" s="187">
        <f ca="1">IFERROR(__xludf.DUMMYFUNCTION("IMPORTRANGE(""https://docs.google.com/spreadsheets/d/11923uPwbBZFjjGgGUA6NLw09EwE0CqkOc4q9oUmW1yo/edit?usp=sharing"",""น่าน!J207"")"),0)</f>
        <v>0</v>
      </c>
      <c r="K302" s="223"/>
      <c r="L302" s="168"/>
      <c r="M302" s="168"/>
      <c r="N302" s="168"/>
      <c r="O302" s="181"/>
      <c r="P302" s="181"/>
    </row>
    <row r="303" spans="1:16" ht="21.75" customHeight="1" x14ac:dyDescent="0.3">
      <c r="A303" s="175"/>
      <c r="B303" s="176"/>
      <c r="C303" s="176"/>
      <c r="D303" s="193"/>
      <c r="E303" s="194" t="s">
        <v>48</v>
      </c>
      <c r="F303" s="195"/>
      <c r="G303" s="196"/>
      <c r="H303" s="186"/>
      <c r="I303" s="187"/>
      <c r="J303" s="187">
        <f ca="1">IFERROR(__xludf.DUMMYFUNCTION("IMPORTRANGE(""https://docs.google.com/spreadsheets/d/11923uPwbBZFjjGgGUA6NLw09EwE0CqkOc4q9oUmW1yo/edit?usp=sharing"",""น่าน!J208"")"),0)</f>
        <v>0</v>
      </c>
      <c r="K303" s="223"/>
      <c r="L303" s="168"/>
      <c r="M303" s="168"/>
      <c r="N303" s="168"/>
      <c r="O303" s="181"/>
      <c r="P303" s="181"/>
    </row>
    <row r="304" spans="1:16" ht="21.75" customHeight="1" x14ac:dyDescent="0.3">
      <c r="A304" s="175"/>
      <c r="B304" s="176"/>
      <c r="C304" s="176"/>
      <c r="D304" s="193"/>
      <c r="E304" s="198"/>
      <c r="F304" s="194" t="s">
        <v>113</v>
      </c>
      <c r="G304" s="196"/>
      <c r="H304" s="180" t="s">
        <v>37</v>
      </c>
      <c r="I304" s="187">
        <f ca="1">IFERROR(__xludf.DUMMYFUNCTION("IMPORTRANGE(""https://docs.google.com/spreadsheets/d/11923uPwbBZFjjGgGUA6NLw09EwE0CqkOc4q9oUmW1yo/edit?usp=sharing"",""น่าน!I209"")"),0)</f>
        <v>0</v>
      </c>
      <c r="J304" s="203">
        <f ca="1">IFERROR(__xludf.DUMMYFUNCTION("IMPORTRANGE(""https://docs.google.com/spreadsheets/d/11923uPwbBZFjjGgGUA6NLw09EwE0CqkOc4q9oUmW1yo/edit?usp=sharing"",""น่าน!J209"")"),0)</f>
        <v>0</v>
      </c>
      <c r="K304" s="223">
        <f ca="1">IF(I304&gt;0,J304*100/I304,0)</f>
        <v>0</v>
      </c>
      <c r="L304" s="168"/>
      <c r="M304" s="168"/>
      <c r="N304" s="168"/>
      <c r="O304" s="181"/>
      <c r="P304" s="181"/>
    </row>
    <row r="305" spans="1:16" ht="21.75" customHeight="1" x14ac:dyDescent="0.3">
      <c r="A305" s="175"/>
      <c r="B305" s="176"/>
      <c r="C305" s="176"/>
      <c r="D305" s="193"/>
      <c r="E305" s="198"/>
      <c r="F305" s="194" t="s">
        <v>114</v>
      </c>
      <c r="G305" s="196"/>
      <c r="H305" s="180"/>
      <c r="I305" s="187"/>
      <c r="J305" s="187"/>
      <c r="K305" s="223"/>
      <c r="L305" s="168"/>
      <c r="M305" s="168"/>
      <c r="N305" s="168"/>
      <c r="O305" s="181"/>
      <c r="P305" s="181"/>
    </row>
    <row r="306" spans="1:16" ht="21.75" customHeight="1" x14ac:dyDescent="0.3">
      <c r="A306" s="175"/>
      <c r="B306" s="176"/>
      <c r="C306" s="176"/>
      <c r="D306" s="193"/>
      <c r="E306" s="198"/>
      <c r="F306" s="195" t="s">
        <v>53</v>
      </c>
      <c r="G306" s="196"/>
      <c r="H306" s="180" t="s">
        <v>37</v>
      </c>
      <c r="I306" s="187">
        <f ca="1">IFERROR(__xludf.DUMMYFUNCTION("IMPORTRANGE(""https://docs.google.com/spreadsheets/d/11923uPwbBZFjjGgGUA6NLw09EwE0CqkOc4q9oUmW1yo/edit?usp=sharing"",""น่าน!I211"")"),0)</f>
        <v>0</v>
      </c>
      <c r="J306" s="203">
        <f ca="1">IFERROR(__xludf.DUMMYFUNCTION("IMPORTRANGE(""https://docs.google.com/spreadsheets/d/11923uPwbBZFjjGgGUA6NLw09EwE0CqkOc4q9oUmW1yo/edit?usp=sharing"",""น่าน!J211"")"),0)</f>
        <v>0</v>
      </c>
      <c r="K306" s="223">
        <f ca="1">IF(I306&gt;0,J306*100/I306,0)</f>
        <v>0</v>
      </c>
      <c r="L306" s="168"/>
      <c r="M306" s="168"/>
      <c r="N306" s="168"/>
      <c r="O306" s="181"/>
      <c r="P306" s="181"/>
    </row>
    <row r="307" spans="1:16" ht="21.75" customHeight="1" x14ac:dyDescent="0.3">
      <c r="A307" s="175"/>
      <c r="B307" s="176"/>
      <c r="C307" s="176"/>
      <c r="D307" s="193"/>
      <c r="E307" s="194" t="s">
        <v>54</v>
      </c>
      <c r="F307" s="195"/>
      <c r="G307" s="196"/>
      <c r="H307" s="186"/>
      <c r="I307" s="187"/>
      <c r="J307" s="187">
        <f ca="1">IFERROR(__xludf.DUMMYFUNCTION("IMPORTRANGE(""https://docs.google.com/spreadsheets/d/11923uPwbBZFjjGgGUA6NLw09EwE0CqkOc4q9oUmW1yo/edit?usp=sharing"",""น่าน!J212"")"),0)</f>
        <v>0</v>
      </c>
      <c r="K307" s="223"/>
      <c r="L307" s="168"/>
      <c r="M307" s="168"/>
      <c r="N307" s="168"/>
      <c r="O307" s="181"/>
      <c r="P307" s="181"/>
    </row>
    <row r="308" spans="1:16" ht="21.75" customHeight="1" x14ac:dyDescent="0.3">
      <c r="A308" s="175"/>
      <c r="B308" s="176"/>
      <c r="C308" s="176"/>
      <c r="D308" s="205">
        <v>3</v>
      </c>
      <c r="E308" s="206" t="s">
        <v>55</v>
      </c>
      <c r="F308" s="207"/>
      <c r="G308" s="208"/>
      <c r="H308" s="186"/>
      <c r="I308" s="187"/>
      <c r="J308" s="324">
        <f ca="1">IFERROR(__xludf.DUMMYFUNCTION("IMPORTRANGE(""https://docs.google.com/spreadsheets/d/11923uPwbBZFjjGgGUA6NLw09EwE0CqkOc4q9oUmW1yo/edit?usp=sharing"",""น่าน!J213"")"),0)</f>
        <v>0</v>
      </c>
      <c r="K308" s="223"/>
      <c r="L308" s="168"/>
      <c r="M308" s="168"/>
      <c r="N308" s="168"/>
      <c r="O308" s="181"/>
      <c r="P308" s="181"/>
    </row>
    <row r="309" spans="1:16" ht="21.75" customHeight="1" x14ac:dyDescent="0.3">
      <c r="A309" s="325"/>
      <c r="B309" s="326" t="s">
        <v>115</v>
      </c>
      <c r="C309" s="327"/>
      <c r="D309" s="328"/>
      <c r="E309" s="326"/>
      <c r="F309" s="326"/>
      <c r="G309" s="329"/>
      <c r="H309" s="330" t="s">
        <v>116</v>
      </c>
      <c r="I309" s="331">
        <f ca="1">IFERROR(__xludf.DUMMYFUNCTION("IMPORTRANGE(""https://docs.google.com/spreadsheets/d/11923uPwbBZFjjGgGUA6NLw09EwE0CqkOc4q9oUmW1yo/edit?usp=sharing"",""น่าน!I214"")"),0)</f>
        <v>0</v>
      </c>
      <c r="J309" s="331">
        <f ca="1">IFERROR(__xludf.DUMMYFUNCTION("IMPORTRANGE(""https://docs.google.com/spreadsheets/d/11923uPwbBZFjjGgGUA6NLw09EwE0CqkOc4q9oUmW1yo/edit?usp=sharing"",""น่าน!J214"")"),0)</f>
        <v>0</v>
      </c>
      <c r="K309" s="332">
        <f ca="1">IF(I309&gt;0,J309*100/I309,0)</f>
        <v>0</v>
      </c>
      <c r="L309" s="333"/>
      <c r="M309" s="333"/>
      <c r="N309" s="333"/>
      <c r="O309" s="332"/>
      <c r="P309" s="332"/>
    </row>
    <row r="310" spans="1:16" ht="21.75" customHeight="1" x14ac:dyDescent="0.45">
      <c r="A310" s="145"/>
      <c r="B310" s="146"/>
      <c r="C310" s="147" t="s">
        <v>16</v>
      </c>
      <c r="D310" s="537" t="s">
        <v>17</v>
      </c>
      <c r="E310" s="528"/>
      <c r="F310" s="528"/>
      <c r="G310" s="528"/>
      <c r="H310" s="148" t="s">
        <v>12</v>
      </c>
      <c r="I310" s="334"/>
      <c r="J310" s="334"/>
      <c r="K310" s="335"/>
      <c r="L310" s="151">
        <f t="shared" ref="L310:N310" ca="1" si="93">L311+L312</f>
        <v>0</v>
      </c>
      <c r="M310" s="151">
        <f t="shared" ca="1" si="93"/>
        <v>0</v>
      </c>
      <c r="N310" s="151">
        <f t="shared" ca="1" si="93"/>
        <v>0</v>
      </c>
      <c r="O310" s="150">
        <f t="shared" ref="O310:O312" ca="1" si="94">IF(L310&gt;0,N310*100/L310,0)</f>
        <v>0</v>
      </c>
      <c r="P310" s="150">
        <f t="shared" ref="P310:P312" ca="1" si="95">IF(M310&gt;0,N310*100/M310,0)</f>
        <v>0</v>
      </c>
    </row>
    <row r="311" spans="1:16" ht="21.75" customHeight="1" x14ac:dyDescent="0.45">
      <c r="A311" s="152"/>
      <c r="B311" s="32"/>
      <c r="C311" s="32"/>
      <c r="D311" s="32"/>
      <c r="E311" s="32"/>
      <c r="F311" s="32"/>
      <c r="G311" s="33" t="s">
        <v>18</v>
      </c>
      <c r="H311" s="153" t="s">
        <v>12</v>
      </c>
      <c r="I311" s="334"/>
      <c r="J311" s="334"/>
      <c r="K311" s="335"/>
      <c r="L311" s="87">
        <f t="shared" ref="L311:N311" si="96">L313+L317</f>
        <v>0</v>
      </c>
      <c r="M311" s="87">
        <f t="shared" si="96"/>
        <v>0</v>
      </c>
      <c r="N311" s="87">
        <f t="shared" si="96"/>
        <v>0</v>
      </c>
      <c r="O311" s="155">
        <f t="shared" si="94"/>
        <v>0</v>
      </c>
      <c r="P311" s="155">
        <f t="shared" si="95"/>
        <v>0</v>
      </c>
    </row>
    <row r="312" spans="1:16" ht="21.75" customHeight="1" x14ac:dyDescent="0.45">
      <c r="A312" s="152"/>
      <c r="B312" s="32"/>
      <c r="C312" s="32"/>
      <c r="D312" s="32"/>
      <c r="E312" s="32"/>
      <c r="F312" s="32"/>
      <c r="G312" s="33" t="s">
        <v>19</v>
      </c>
      <c r="H312" s="153" t="s">
        <v>12</v>
      </c>
      <c r="I312" s="334"/>
      <c r="J312" s="334"/>
      <c r="K312" s="335"/>
      <c r="L312" s="87">
        <f t="shared" ref="L312:N312" ca="1" si="97">L314+L318</f>
        <v>0</v>
      </c>
      <c r="M312" s="87">
        <f t="shared" ca="1" si="97"/>
        <v>0</v>
      </c>
      <c r="N312" s="87">
        <f t="shared" ca="1" si="97"/>
        <v>0</v>
      </c>
      <c r="O312" s="155">
        <f t="shared" ca="1" si="94"/>
        <v>0</v>
      </c>
      <c r="P312" s="155">
        <f t="shared" ca="1" si="95"/>
        <v>0</v>
      </c>
    </row>
    <row r="313" spans="1:16" ht="21.75" customHeight="1" x14ac:dyDescent="0.3">
      <c r="A313" s="156"/>
      <c r="B313" s="157"/>
      <c r="C313" s="157" t="s">
        <v>16</v>
      </c>
      <c r="D313" s="158" t="s">
        <v>38</v>
      </c>
      <c r="E313" s="159"/>
      <c r="F313" s="159"/>
      <c r="G313" s="160" t="s">
        <v>39</v>
      </c>
      <c r="H313" s="161" t="s">
        <v>12</v>
      </c>
      <c r="I313" s="162" t="s">
        <v>40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3">
      <c r="A314" s="156"/>
      <c r="B314" s="157"/>
      <c r="C314" s="157"/>
      <c r="D314" s="166"/>
      <c r="E314" s="159"/>
      <c r="F314" s="159" t="s">
        <v>40</v>
      </c>
      <c r="G314" s="160" t="s">
        <v>41</v>
      </c>
      <c r="H314" s="161" t="s">
        <v>12</v>
      </c>
      <c r="I314" s="162"/>
      <c r="J314" s="162"/>
      <c r="K314" s="163"/>
      <c r="L314" s="167">
        <f ca="1">L315+L316</f>
        <v>0</v>
      </c>
      <c r="M314" s="167">
        <f ca="1">IFERROR(__xludf.DUMMYFUNCTION("IMPORTRANGE(""https://docs.google.com/spreadsheets/d/1Yj_ptqi66GCucihVvJfMjLAmec39IyEx_6qawtMGysU/edit?usp=sharing"",""สบก!DC25"")"),0)</f>
        <v>0</v>
      </c>
      <c r="N314" s="168">
        <f ca="1">IFERROR(__xludf.DUMMYFUNCTION("IMPORTRANGE(""https://docs.google.com/spreadsheets/d/1Yj_ptqi66GCucihVvJfMjLAmec39IyEx_6qawtMGysU/edit?usp=sharing"",""สบก!DD25"")"),0)</f>
        <v>0</v>
      </c>
      <c r="O314" s="168">
        <f ca="1">IF(L314&gt;0,N314*100/L314,0)</f>
        <v>0</v>
      </c>
      <c r="P314" s="168">
        <f ca="1">IF(M314&gt;0,N314*100/M314,0)</f>
        <v>0</v>
      </c>
    </row>
    <row r="315" spans="1:16" ht="21.75" customHeight="1" x14ac:dyDescent="0.3">
      <c r="A315" s="156"/>
      <c r="B315" s="157"/>
      <c r="C315" s="157"/>
      <c r="D315" s="166"/>
      <c r="E315" s="159"/>
      <c r="F315" s="159"/>
      <c r="G315" s="169" t="s">
        <v>42</v>
      </c>
      <c r="H315" s="161" t="s">
        <v>12</v>
      </c>
      <c r="I315" s="162"/>
      <c r="J315" s="162"/>
      <c r="K315" s="163"/>
      <c r="L315" s="167">
        <f ca="1">IFERROR(__xludf.DUMMYFUNCTION("IMPORTRANGE(""https://docs.google.com/spreadsheets/d/1Yj_ptqi66GCucihVvJfMjLAmec39IyEx_6qawtMGysU/edit?usp=sharing"",""สบก!CY25"")"),0)</f>
        <v>0</v>
      </c>
      <c r="M315" s="167"/>
      <c r="N315" s="167"/>
      <c r="O315" s="168"/>
      <c r="P315" s="168"/>
    </row>
    <row r="316" spans="1:16" ht="21.75" customHeight="1" x14ac:dyDescent="0.3">
      <c r="A316" s="156"/>
      <c r="B316" s="157"/>
      <c r="C316" s="157"/>
      <c r="D316" s="166"/>
      <c r="E316" s="159"/>
      <c r="F316" s="159"/>
      <c r="G316" s="169" t="s">
        <v>43</v>
      </c>
      <c r="H316" s="161" t="s">
        <v>12</v>
      </c>
      <c r="I316" s="162"/>
      <c r="J316" s="187"/>
      <c r="K316" s="223"/>
      <c r="L316" s="167">
        <f ca="1">IFERROR(__xludf.DUMMYFUNCTION("IMPORTRANGE(""https://docs.google.com/spreadsheets/d/1Yj_ptqi66GCucihVvJfMjLAmec39IyEx_6qawtMGysU/edit?usp=sharing"",""สบก!CZ25"")"),0)</f>
        <v>0</v>
      </c>
      <c r="M316" s="167"/>
      <c r="N316" s="167"/>
      <c r="O316" s="168"/>
      <c r="P316" s="168"/>
    </row>
    <row r="317" spans="1:16" ht="21.75" customHeight="1" x14ac:dyDescent="0.45">
      <c r="A317" s="170"/>
      <c r="B317" s="80"/>
      <c r="C317" s="81" t="s">
        <v>16</v>
      </c>
      <c r="D317" s="534" t="s">
        <v>23</v>
      </c>
      <c r="E317" s="530"/>
      <c r="F317" s="88"/>
      <c r="G317" s="82" t="s">
        <v>18</v>
      </c>
      <c r="H317" s="171" t="s">
        <v>12</v>
      </c>
      <c r="I317" s="162"/>
      <c r="J317" s="187"/>
      <c r="K317" s="223"/>
      <c r="L317" s="41">
        <v>0</v>
      </c>
      <c r="M317" s="41"/>
      <c r="N317" s="41"/>
      <c r="O317" s="41"/>
      <c r="P317" s="41"/>
    </row>
    <row r="318" spans="1:16" ht="21.75" customHeight="1" x14ac:dyDescent="0.45">
      <c r="A318" s="172"/>
      <c r="B318" s="91"/>
      <c r="C318" s="91"/>
      <c r="D318" s="173"/>
      <c r="E318" s="92"/>
      <c r="F318" s="92"/>
      <c r="G318" s="93" t="s">
        <v>19</v>
      </c>
      <c r="H318" s="174" t="s">
        <v>12</v>
      </c>
      <c r="I318" s="162"/>
      <c r="J318" s="187"/>
      <c r="K318" s="223"/>
      <c r="L318" s="49">
        <f ca="1">IFERROR(__xludf.DUMMYFUNCTION("IMPORTRANGE(""https://docs.google.com/spreadsheets/d/1Yj_ptqi66GCucihVvJfMjLAmec39IyEx_6qawtMGysU/edit?usp=sharing"",""สบก!DA25"")"),0)</f>
        <v>0</v>
      </c>
      <c r="M318" s="49"/>
      <c r="N318" s="49">
        <f ca="1">IFERROR(__xludf.DUMMYFUNCTION("IMPORTRANGE(""https://docs.google.com/spreadsheets/d/1Yj_ptqi66GCucihVvJfMjLAmec39IyEx_6qawtMGysU/edit?usp=sharing"",""สบก!DE25"")"),0)</f>
        <v>0</v>
      </c>
      <c r="O318" s="49">
        <f ca="1">IF(L318&gt;0,N318*100/L318,0)</f>
        <v>0</v>
      </c>
      <c r="P318" s="49"/>
    </row>
    <row r="319" spans="1:16" ht="21.75" customHeight="1" x14ac:dyDescent="0.3">
      <c r="A319" s="175"/>
      <c r="B319" s="176"/>
      <c r="C319" s="157" t="s">
        <v>16</v>
      </c>
      <c r="D319" s="177" t="s">
        <v>44</v>
      </c>
      <c r="E319" s="178"/>
      <c r="F319" s="178"/>
      <c r="G319" s="179"/>
      <c r="H319" s="180"/>
      <c r="I319" s="162"/>
      <c r="J319" s="187"/>
      <c r="K319" s="223"/>
      <c r="L319" s="168"/>
      <c r="M319" s="168"/>
      <c r="N319" s="168"/>
      <c r="O319" s="181"/>
      <c r="P319" s="181"/>
    </row>
    <row r="320" spans="1:16" ht="21.75" customHeight="1" x14ac:dyDescent="0.3">
      <c r="A320" s="175"/>
      <c r="B320" s="176"/>
      <c r="C320" s="176"/>
      <c r="D320" s="182">
        <v>1</v>
      </c>
      <c r="E320" s="183" t="s">
        <v>45</v>
      </c>
      <c r="F320" s="184"/>
      <c r="G320" s="185"/>
      <c r="H320" s="186"/>
      <c r="I320" s="187"/>
      <c r="J320" s="187">
        <f ca="1">IFERROR(__xludf.DUMMYFUNCTION("IMPORTRANGE(""https://docs.google.com/spreadsheets/d/11923uPwbBZFjjGgGUA6NLw09EwE0CqkOc4q9oUmW1yo/edit?usp=sharing"",""น่าน!J220"")"),0)</f>
        <v>0</v>
      </c>
      <c r="K320" s="223"/>
      <c r="L320" s="168"/>
      <c r="M320" s="168"/>
      <c r="N320" s="168"/>
      <c r="O320" s="181"/>
      <c r="P320" s="181"/>
    </row>
    <row r="321" spans="1:16" ht="21.75" customHeight="1" x14ac:dyDescent="0.3">
      <c r="A321" s="175"/>
      <c r="B321" s="176"/>
      <c r="C321" s="176"/>
      <c r="D321" s="189">
        <v>2</v>
      </c>
      <c r="E321" s="190" t="s">
        <v>46</v>
      </c>
      <c r="F321" s="191"/>
      <c r="G321" s="192"/>
      <c r="H321" s="186"/>
      <c r="I321" s="187"/>
      <c r="J321" s="187">
        <f ca="1">IFERROR(__xludf.DUMMYFUNCTION("IMPORTRANGE(""https://docs.google.com/spreadsheets/d/11923uPwbBZFjjGgGUA6NLw09EwE0CqkOc4q9oUmW1yo/edit?usp=sharing"",""น่าน!J221"")"),0)</f>
        <v>0</v>
      </c>
      <c r="K321" s="223"/>
      <c r="L321" s="168" t="s">
        <v>40</v>
      </c>
      <c r="M321" s="168"/>
      <c r="N321" s="168" t="s">
        <v>40</v>
      </c>
      <c r="O321" s="181"/>
      <c r="P321" s="181"/>
    </row>
    <row r="322" spans="1:16" ht="21.75" customHeight="1" x14ac:dyDescent="0.3">
      <c r="A322" s="175"/>
      <c r="B322" s="176"/>
      <c r="C322" s="176"/>
      <c r="D322" s="193"/>
      <c r="E322" s="194" t="s">
        <v>47</v>
      </c>
      <c r="F322" s="195"/>
      <c r="G322" s="196"/>
      <c r="H322" s="186"/>
      <c r="I322" s="187"/>
      <c r="J322" s="187">
        <f ca="1">IFERROR(__xludf.DUMMYFUNCTION("IMPORTRANGE(""https://docs.google.com/spreadsheets/d/11923uPwbBZFjjGgGUA6NLw09EwE0CqkOc4q9oUmW1yo/edit?usp=sharing"",""น่าน!J222"")"),0)</f>
        <v>0</v>
      </c>
      <c r="K322" s="223"/>
      <c r="L322" s="168"/>
      <c r="M322" s="168"/>
      <c r="N322" s="168"/>
      <c r="O322" s="181"/>
      <c r="P322" s="181"/>
    </row>
    <row r="323" spans="1:16" ht="21.75" customHeight="1" x14ac:dyDescent="0.3">
      <c r="A323" s="175"/>
      <c r="B323" s="176"/>
      <c r="C323" s="176"/>
      <c r="D323" s="193"/>
      <c r="E323" s="194" t="s">
        <v>48</v>
      </c>
      <c r="F323" s="195"/>
      <c r="G323" s="196"/>
      <c r="H323" s="186"/>
      <c r="I323" s="187"/>
      <c r="J323" s="187">
        <f ca="1">IFERROR(__xludf.DUMMYFUNCTION("IMPORTRANGE(""https://docs.google.com/spreadsheets/d/11923uPwbBZFjjGgGUA6NLw09EwE0CqkOc4q9oUmW1yo/edit?usp=sharing"",""น่าน!J223"")"),0)</f>
        <v>0</v>
      </c>
      <c r="K323" s="223"/>
      <c r="L323" s="168"/>
      <c r="M323" s="168"/>
      <c r="N323" s="168"/>
      <c r="O323" s="181"/>
      <c r="P323" s="181"/>
    </row>
    <row r="324" spans="1:16" ht="21.75" customHeight="1" x14ac:dyDescent="0.3">
      <c r="A324" s="175"/>
      <c r="B324" s="176"/>
      <c r="C324" s="176"/>
      <c r="D324" s="193"/>
      <c r="E324" s="198"/>
      <c r="F324" s="194" t="s">
        <v>117</v>
      </c>
      <c r="G324" s="196"/>
      <c r="H324" s="186" t="s">
        <v>116</v>
      </c>
      <c r="I324" s="187">
        <f ca="1">IFERROR(__xludf.DUMMYFUNCTION("IMPORTRANGE(""https://docs.google.com/spreadsheets/d/11923uPwbBZFjjGgGUA6NLw09EwE0CqkOc4q9oUmW1yo/edit?usp=sharing"",""น่าน!I224"")"),0)</f>
        <v>0</v>
      </c>
      <c r="J324" s="203">
        <f ca="1">IFERROR(__xludf.DUMMYFUNCTION("IMPORTRANGE(""https://docs.google.com/spreadsheets/d/11923uPwbBZFjjGgGUA6NLw09EwE0CqkOc4q9oUmW1yo/edit?usp=sharing"",""น่าน!J224"")"),0)</f>
        <v>0</v>
      </c>
      <c r="K324" s="223">
        <f ca="1">IF(I324&gt;0,J324*100/I324,0)</f>
        <v>0</v>
      </c>
      <c r="L324" s="168"/>
      <c r="M324" s="168"/>
      <c r="N324" s="168"/>
      <c r="O324" s="181"/>
      <c r="P324" s="181"/>
    </row>
    <row r="325" spans="1:16" ht="21.75" customHeight="1" x14ac:dyDescent="0.3">
      <c r="A325" s="175"/>
      <c r="B325" s="176"/>
      <c r="C325" s="176"/>
      <c r="D325" s="193"/>
      <c r="E325" s="194" t="s">
        <v>54</v>
      </c>
      <c r="F325" s="195"/>
      <c r="G325" s="196"/>
      <c r="H325" s="186"/>
      <c r="I325" s="187"/>
      <c r="J325" s="187">
        <f ca="1">IFERROR(__xludf.DUMMYFUNCTION("IMPORTRANGE(""https://docs.google.com/spreadsheets/d/11923uPwbBZFjjGgGUA6NLw09EwE0CqkOc4q9oUmW1yo/edit?usp=sharing"",""น่าน!J225"")"),0)</f>
        <v>0</v>
      </c>
      <c r="K325" s="223"/>
      <c r="L325" s="168"/>
      <c r="M325" s="168"/>
      <c r="N325" s="168"/>
      <c r="O325" s="181"/>
      <c r="P325" s="181"/>
    </row>
    <row r="326" spans="1:16" ht="21.75" customHeight="1" x14ac:dyDescent="0.3">
      <c r="A326" s="175"/>
      <c r="B326" s="176"/>
      <c r="C326" s="176"/>
      <c r="D326" s="205">
        <v>3</v>
      </c>
      <c r="E326" s="206" t="s">
        <v>55</v>
      </c>
      <c r="F326" s="207"/>
      <c r="G326" s="208"/>
      <c r="H326" s="186"/>
      <c r="I326" s="187"/>
      <c r="J326" s="226">
        <f ca="1">IFERROR(__xludf.DUMMYFUNCTION("IMPORTRANGE(""https://docs.google.com/spreadsheets/d/11923uPwbBZFjjGgGUA6NLw09EwE0CqkOc4q9oUmW1yo/edit?usp=sharing"",""น่าน!J226"")"),0)</f>
        <v>0</v>
      </c>
      <c r="K326" s="223"/>
      <c r="L326" s="168"/>
      <c r="M326" s="168"/>
      <c r="N326" s="168"/>
      <c r="O326" s="181"/>
      <c r="P326" s="181"/>
    </row>
    <row r="327" spans="1:16" ht="21.75" customHeight="1" x14ac:dyDescent="0.3">
      <c r="A327" s="302" t="s">
        <v>118</v>
      </c>
      <c r="B327" s="303"/>
      <c r="C327" s="303"/>
      <c r="D327" s="304"/>
      <c r="E327" s="303"/>
      <c r="F327" s="303"/>
      <c r="G327" s="317"/>
      <c r="H327" s="306"/>
      <c r="I327" s="307"/>
      <c r="J327" s="307"/>
      <c r="K327" s="308"/>
      <c r="L327" s="308"/>
      <c r="M327" s="308"/>
      <c r="N327" s="308"/>
      <c r="O327" s="309"/>
      <c r="P327" s="309"/>
    </row>
    <row r="328" spans="1:16" ht="21.75" customHeight="1" x14ac:dyDescent="0.3">
      <c r="A328" s="310"/>
      <c r="B328" s="336" t="s">
        <v>119</v>
      </c>
      <c r="C328" s="323"/>
      <c r="D328" s="311"/>
      <c r="E328" s="311"/>
      <c r="F328" s="311"/>
      <c r="G328" s="312"/>
      <c r="H328" s="313" t="s">
        <v>37</v>
      </c>
      <c r="I328" s="337">
        <f ca="1">IFERROR(__xludf.DUMMYFUNCTION("IMPORTRANGE(""https://docs.google.com/spreadsheets/d/11923uPwbBZFjjGgGUA6NLw09EwE0CqkOc4q9oUmW1yo/edit?usp=sharing"",""น่าน!I228"")"),480)</f>
        <v>480</v>
      </c>
      <c r="J328" s="337">
        <f ca="1">IFERROR(__xludf.DUMMYFUNCTION("IMPORTRANGE(""https://docs.google.com/spreadsheets/d/11923uPwbBZFjjGgGUA6NLw09EwE0CqkOc4q9oUmW1yo/edit?usp=sharing"",""น่าน!J228"")"),51)</f>
        <v>51</v>
      </c>
      <c r="K328" s="315">
        <f ca="1">IF(I328&gt;0,J328*100/I328,0)</f>
        <v>10.625</v>
      </c>
      <c r="L328" s="316"/>
      <c r="M328" s="316"/>
      <c r="N328" s="316"/>
      <c r="O328" s="315"/>
      <c r="P328" s="315"/>
    </row>
    <row r="329" spans="1:16" ht="21.75" customHeight="1" x14ac:dyDescent="0.45">
      <c r="A329" s="145"/>
      <c r="B329" s="146"/>
      <c r="C329" s="147" t="s">
        <v>16</v>
      </c>
      <c r="D329" s="537" t="s">
        <v>17</v>
      </c>
      <c r="E329" s="528"/>
      <c r="F329" s="528"/>
      <c r="G329" s="528"/>
      <c r="H329" s="148" t="s">
        <v>12</v>
      </c>
      <c r="I329" s="162"/>
      <c r="J329" s="162"/>
      <c r="K329" s="163"/>
      <c r="L329" s="151">
        <f t="shared" ref="L329:N329" ca="1" si="98">L330+L331</f>
        <v>935350</v>
      </c>
      <c r="M329" s="151">
        <f t="shared" ca="1" si="98"/>
        <v>512780</v>
      </c>
      <c r="N329" s="151">
        <f t="shared" ca="1" si="98"/>
        <v>369503</v>
      </c>
      <c r="O329" s="150">
        <f t="shared" ref="O329:O331" ca="1" si="99">IF(L329&gt;0,N329*100/L329,0)</f>
        <v>39.504249746084355</v>
      </c>
      <c r="P329" s="150">
        <f t="shared" ref="P329:P331" ca="1" si="100">IF(M329&gt;0,N329*100/M329,0)</f>
        <v>72.058777643433828</v>
      </c>
    </row>
    <row r="330" spans="1:16" ht="21.75" customHeight="1" x14ac:dyDescent="0.45">
      <c r="A330" s="152"/>
      <c r="B330" s="32"/>
      <c r="C330" s="32"/>
      <c r="D330" s="32"/>
      <c r="E330" s="32"/>
      <c r="F330" s="32"/>
      <c r="G330" s="33" t="s">
        <v>18</v>
      </c>
      <c r="H330" s="153" t="s">
        <v>12</v>
      </c>
      <c r="I330" s="162"/>
      <c r="J330" s="162"/>
      <c r="K330" s="163"/>
      <c r="L330" s="87">
        <f t="shared" ref="L330:N330" si="101">L332+L336</f>
        <v>0</v>
      </c>
      <c r="M330" s="87">
        <f t="shared" si="101"/>
        <v>0</v>
      </c>
      <c r="N330" s="87">
        <f t="shared" si="101"/>
        <v>0</v>
      </c>
      <c r="O330" s="155">
        <f t="shared" si="99"/>
        <v>0</v>
      </c>
      <c r="P330" s="155">
        <f t="shared" si="100"/>
        <v>0</v>
      </c>
    </row>
    <row r="331" spans="1:16" ht="21.75" customHeight="1" x14ac:dyDescent="0.45">
      <c r="A331" s="152"/>
      <c r="B331" s="32"/>
      <c r="C331" s="32"/>
      <c r="D331" s="32"/>
      <c r="E331" s="32"/>
      <c r="F331" s="32"/>
      <c r="G331" s="33" t="s">
        <v>19</v>
      </c>
      <c r="H331" s="153" t="s">
        <v>12</v>
      </c>
      <c r="I331" s="162"/>
      <c r="J331" s="162"/>
      <c r="K331" s="163"/>
      <c r="L331" s="87">
        <f t="shared" ref="L331:N331" ca="1" si="102">L333+L337</f>
        <v>935350</v>
      </c>
      <c r="M331" s="87">
        <f t="shared" ca="1" si="102"/>
        <v>512780</v>
      </c>
      <c r="N331" s="87">
        <f t="shared" ca="1" si="102"/>
        <v>369503</v>
      </c>
      <c r="O331" s="155">
        <f t="shared" ca="1" si="99"/>
        <v>39.504249746084355</v>
      </c>
      <c r="P331" s="155">
        <f t="shared" ca="1" si="100"/>
        <v>72.058777643433828</v>
      </c>
    </row>
    <row r="332" spans="1:16" ht="21.75" customHeight="1" x14ac:dyDescent="0.3">
      <c r="A332" s="156"/>
      <c r="B332" s="157"/>
      <c r="C332" s="157" t="s">
        <v>16</v>
      </c>
      <c r="D332" s="158" t="s">
        <v>38</v>
      </c>
      <c r="E332" s="159"/>
      <c r="F332" s="159"/>
      <c r="G332" s="160" t="s">
        <v>39</v>
      </c>
      <c r="H332" s="161" t="s">
        <v>12</v>
      </c>
      <c r="I332" s="162" t="s">
        <v>40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3">
      <c r="A333" s="156"/>
      <c r="B333" s="157"/>
      <c r="C333" s="157"/>
      <c r="D333" s="166"/>
      <c r="E333" s="159"/>
      <c r="F333" s="159" t="s">
        <v>40</v>
      </c>
      <c r="G333" s="160" t="s">
        <v>41</v>
      </c>
      <c r="H333" s="161" t="s">
        <v>12</v>
      </c>
      <c r="I333" s="162"/>
      <c r="J333" s="162"/>
      <c r="K333" s="163"/>
      <c r="L333" s="167">
        <f ca="1">L334+L335</f>
        <v>920350</v>
      </c>
      <c r="M333" s="167">
        <f ca="1">IFERROR(__xludf.DUMMYFUNCTION("IMPORTRANGE(""https://docs.google.com/spreadsheets/d/1Yj_ptqi66GCucihVvJfMjLAmec39IyEx_6qawtMGysU/edit?usp=sharing"",""สบก!DL25"")"),497780)</f>
        <v>497780</v>
      </c>
      <c r="N333" s="168">
        <f ca="1">IFERROR(__xludf.DUMMYFUNCTION("IMPORTRANGE(""https://docs.google.com/spreadsheets/d/1Yj_ptqi66GCucihVvJfMjLAmec39IyEx_6qawtMGysU/edit?usp=sharing"",""สบก!DM25"")"),354503)</f>
        <v>354503</v>
      </c>
      <c r="O333" s="168">
        <f ca="1">IF(L333&gt;0,N333*100/L333,0)</f>
        <v>38.51828108871625</v>
      </c>
      <c r="P333" s="168">
        <f ca="1">IF(M333&gt;0,N333*100/M333,0)</f>
        <v>71.216802603559799</v>
      </c>
    </row>
    <row r="334" spans="1:16" ht="21.75" customHeight="1" x14ac:dyDescent="0.3">
      <c r="A334" s="156"/>
      <c r="B334" s="157"/>
      <c r="C334" s="157"/>
      <c r="D334" s="166"/>
      <c r="E334" s="159"/>
      <c r="F334" s="159"/>
      <c r="G334" s="169" t="s">
        <v>42</v>
      </c>
      <c r="H334" s="161" t="s">
        <v>12</v>
      </c>
      <c r="I334" s="162"/>
      <c r="J334" s="162"/>
      <c r="K334" s="163"/>
      <c r="L334" s="167">
        <f ca="1">IFERROR(__xludf.DUMMYFUNCTION("IMPORTRANGE(""https://docs.google.com/spreadsheets/d/1Yj_ptqi66GCucihVvJfMjLAmec39IyEx_6qawtMGysU/edit?usp=sharing"",""สบก!DH25"")"),417600)</f>
        <v>417600</v>
      </c>
      <c r="M334" s="167"/>
      <c r="N334" s="167"/>
      <c r="O334" s="168"/>
      <c r="P334" s="168"/>
    </row>
    <row r="335" spans="1:16" ht="21.75" customHeight="1" x14ac:dyDescent="0.3">
      <c r="A335" s="156"/>
      <c r="B335" s="157"/>
      <c r="C335" s="157"/>
      <c r="D335" s="166"/>
      <c r="E335" s="159"/>
      <c r="F335" s="159"/>
      <c r="G335" s="169" t="s">
        <v>43</v>
      </c>
      <c r="H335" s="161" t="s">
        <v>12</v>
      </c>
      <c r="I335" s="162"/>
      <c r="J335" s="162"/>
      <c r="K335" s="163"/>
      <c r="L335" s="167">
        <f ca="1">IFERROR(__xludf.DUMMYFUNCTION("IMPORTRANGE(""https://docs.google.com/spreadsheets/d/1Yj_ptqi66GCucihVvJfMjLAmec39IyEx_6qawtMGysU/edit?usp=sharing"",""สบก!DI25"")"),502750)</f>
        <v>502750</v>
      </c>
      <c r="M335" s="167"/>
      <c r="N335" s="167"/>
      <c r="O335" s="168"/>
      <c r="P335" s="168"/>
    </row>
    <row r="336" spans="1:16" ht="21.75" customHeight="1" x14ac:dyDescent="0.45">
      <c r="A336" s="170"/>
      <c r="B336" s="80"/>
      <c r="C336" s="81" t="s">
        <v>16</v>
      </c>
      <c r="D336" s="534" t="s">
        <v>23</v>
      </c>
      <c r="E336" s="530"/>
      <c r="F336" s="88"/>
      <c r="G336" s="82" t="s">
        <v>18</v>
      </c>
      <c r="H336" s="171" t="s">
        <v>12</v>
      </c>
      <c r="I336" s="162"/>
      <c r="J336" s="162"/>
      <c r="K336" s="163"/>
      <c r="L336" s="41">
        <v>0</v>
      </c>
      <c r="M336" s="41"/>
      <c r="N336" s="41"/>
      <c r="O336" s="41"/>
      <c r="P336" s="41"/>
    </row>
    <row r="337" spans="1:16" ht="21.75" customHeight="1" x14ac:dyDescent="0.45">
      <c r="A337" s="172"/>
      <c r="B337" s="91"/>
      <c r="C337" s="91"/>
      <c r="D337" s="173"/>
      <c r="E337" s="92"/>
      <c r="F337" s="92"/>
      <c r="G337" s="93" t="s">
        <v>19</v>
      </c>
      <c r="H337" s="174" t="s">
        <v>12</v>
      </c>
      <c r="I337" s="162"/>
      <c r="J337" s="162"/>
      <c r="K337" s="163"/>
      <c r="L337" s="49">
        <f ca="1">IFERROR(__xludf.DUMMYFUNCTION("IMPORTRANGE(""https://docs.google.com/spreadsheets/d/1Yj_ptqi66GCucihVvJfMjLAmec39IyEx_6qawtMGysU/edit?usp=sharing"",""สบก!DJ25"")"),15000)</f>
        <v>15000</v>
      </c>
      <c r="M337" s="49">
        <f ca="1">L337</f>
        <v>15000</v>
      </c>
      <c r="N337" s="49">
        <f ca="1">IFERROR(__xludf.DUMMYFUNCTION("IMPORTRANGE(""https://docs.google.com/spreadsheets/d/1Yj_ptqi66GCucihVvJfMjLAmec39IyEx_6qawtMGysU/edit?usp=sharing"",""สบก!DN25"")"),15000)</f>
        <v>15000</v>
      </c>
      <c r="O337" s="49">
        <f ca="1">IF(L337&gt;0,N337*100/L337,0)</f>
        <v>100</v>
      </c>
      <c r="P337" s="49">
        <f ca="1">IF(M337&gt;0,N337*100/M337,0)</f>
        <v>100</v>
      </c>
    </row>
    <row r="338" spans="1:16" ht="21.75" customHeight="1" x14ac:dyDescent="0.3">
      <c r="A338" s="175"/>
      <c r="B338" s="289"/>
      <c r="C338" s="338" t="s">
        <v>120</v>
      </c>
      <c r="D338" s="195"/>
      <c r="E338" s="195"/>
      <c r="F338" s="195"/>
      <c r="G338" s="196"/>
      <c r="H338" s="180"/>
      <c r="I338" s="339"/>
      <c r="J338" s="339"/>
      <c r="K338" s="340"/>
      <c r="L338" s="181"/>
      <c r="M338" s="181"/>
      <c r="N338" s="181"/>
      <c r="O338" s="341"/>
      <c r="P338" s="341"/>
    </row>
    <row r="339" spans="1:16" ht="21.75" customHeight="1" x14ac:dyDescent="0.3">
      <c r="A339" s="175"/>
      <c r="B339" s="289"/>
      <c r="C339" s="176"/>
      <c r="D339" s="195"/>
      <c r="E339" s="194" t="s">
        <v>121</v>
      </c>
      <c r="F339" s="195"/>
      <c r="G339" s="196"/>
      <c r="H339" s="342" t="s">
        <v>37</v>
      </c>
      <c r="I339" s="203">
        <f ca="1">IFERROR(__xludf.DUMMYFUNCTION("IMPORTRANGE(""https://docs.google.com/spreadsheets/d/11923uPwbBZFjjGgGUA6NLw09EwE0CqkOc4q9oUmW1yo/edit?usp=sharing"",""น่าน!I234"")"),0)</f>
        <v>0</v>
      </c>
      <c r="J339" s="187">
        <f ca="1">IFERROR(__xludf.DUMMYFUNCTION("IMPORTRANGE(""https://docs.google.com/spreadsheets/d/11923uPwbBZFjjGgGUA6NLw09EwE0CqkOc4q9oUmW1yo/edit?usp=sharing"",""น่าน!J234"")"),159)</f>
        <v>159</v>
      </c>
      <c r="K339" s="340">
        <f t="shared" ref="K339:K346" ca="1" si="103">IF(I339&gt;0,J339*100/I339,0)</f>
        <v>0</v>
      </c>
      <c r="L339" s="181"/>
      <c r="M339" s="181"/>
      <c r="N339" s="181"/>
      <c r="O339" s="341"/>
      <c r="P339" s="341"/>
    </row>
    <row r="340" spans="1:16" ht="21.75" customHeight="1" x14ac:dyDescent="0.3">
      <c r="A340" s="175"/>
      <c r="B340" s="289"/>
      <c r="C340" s="176"/>
      <c r="D340" s="195"/>
      <c r="E340" s="195"/>
      <c r="F340" s="195"/>
      <c r="G340" s="196"/>
      <c r="H340" s="342" t="s">
        <v>122</v>
      </c>
      <c r="I340" s="187">
        <f ca="1">IFERROR(__xludf.DUMMYFUNCTION("IMPORTRANGE(""https://docs.google.com/spreadsheets/d/11923uPwbBZFjjGgGUA6NLw09EwE0CqkOc4q9oUmW1yo/edit?usp=sharing"",""น่าน!I235"")"),2000)</f>
        <v>2000</v>
      </c>
      <c r="J340" s="187">
        <f ca="1">IFERROR(__xludf.DUMMYFUNCTION("IMPORTRANGE(""https://docs.google.com/spreadsheets/d/11923uPwbBZFjjGgGUA6NLw09EwE0CqkOc4q9oUmW1yo/edit?usp=sharing"",""น่าน!J235"")"),488.24)</f>
        <v>488.24</v>
      </c>
      <c r="K340" s="340">
        <f t="shared" ca="1" si="103"/>
        <v>24.411999999999999</v>
      </c>
      <c r="L340" s="181"/>
      <c r="M340" s="181"/>
      <c r="N340" s="181"/>
      <c r="O340" s="341"/>
      <c r="P340" s="341"/>
    </row>
    <row r="341" spans="1:16" ht="21.75" customHeight="1" x14ac:dyDescent="0.3">
      <c r="A341" s="175"/>
      <c r="B341" s="289"/>
      <c r="C341" s="176"/>
      <c r="D341" s="195"/>
      <c r="E341" s="194" t="s">
        <v>123</v>
      </c>
      <c r="F341" s="195"/>
      <c r="G341" s="196"/>
      <c r="H341" s="180" t="s">
        <v>37</v>
      </c>
      <c r="I341" s="187">
        <f ca="1">IFERROR(__xludf.DUMMYFUNCTION("IMPORTRANGE(""https://docs.google.com/spreadsheets/d/11923uPwbBZFjjGgGUA6NLw09EwE0CqkOc4q9oUmW1yo/edit?usp=sharing"",""น่าน!I236"")"),480)</f>
        <v>480</v>
      </c>
      <c r="J341" s="187">
        <f ca="1">IFERROR(__xludf.DUMMYFUNCTION("IMPORTRANGE(""https://docs.google.com/spreadsheets/d/11923uPwbBZFjjGgGUA6NLw09EwE0CqkOc4q9oUmW1yo/edit?usp=sharing"",""น่าน!J236"")"),92)</f>
        <v>92</v>
      </c>
      <c r="K341" s="340">
        <f t="shared" ca="1" si="103"/>
        <v>19.166666666666668</v>
      </c>
      <c r="L341" s="181"/>
      <c r="M341" s="181"/>
      <c r="N341" s="181"/>
      <c r="O341" s="341"/>
      <c r="P341" s="341"/>
    </row>
    <row r="342" spans="1:16" ht="21.75" customHeight="1" x14ac:dyDescent="0.3">
      <c r="A342" s="175"/>
      <c r="B342" s="289"/>
      <c r="C342" s="176"/>
      <c r="D342" s="195"/>
      <c r="E342" s="195"/>
      <c r="F342" s="195"/>
      <c r="G342" s="196"/>
      <c r="H342" s="180" t="s">
        <v>122</v>
      </c>
      <c r="I342" s="343">
        <f ca="1">IFERROR(__xludf.DUMMYFUNCTION("IMPORTRANGE(""https://docs.google.com/spreadsheets/d/11923uPwbBZFjjGgGUA6NLw09EwE0CqkOc4q9oUmW1yo/edit?usp=sharing"",""น่าน!I237"")"),0)</f>
        <v>0</v>
      </c>
      <c r="J342" s="187">
        <f ca="1">IFERROR(__xludf.DUMMYFUNCTION("IMPORTRANGE(""https://docs.google.com/spreadsheets/d/11923uPwbBZFjjGgGUA6NLw09EwE0CqkOc4q9oUmW1yo/edit?usp=sharing"",""น่าน!J237"")"),272.99)</f>
        <v>272.99</v>
      </c>
      <c r="K342" s="340">
        <f t="shared" ca="1" si="103"/>
        <v>0</v>
      </c>
      <c r="L342" s="181"/>
      <c r="M342" s="181"/>
      <c r="N342" s="181"/>
      <c r="O342" s="341"/>
      <c r="P342" s="341"/>
    </row>
    <row r="343" spans="1:16" ht="21.75" customHeight="1" x14ac:dyDescent="0.3">
      <c r="A343" s="175"/>
      <c r="B343" s="289"/>
      <c r="C343" s="176"/>
      <c r="D343" s="195"/>
      <c r="E343" s="194" t="s">
        <v>124</v>
      </c>
      <c r="F343" s="195"/>
      <c r="G343" s="196"/>
      <c r="H343" s="180" t="s">
        <v>37</v>
      </c>
      <c r="I343" s="187">
        <f ca="1">IFERROR(__xludf.DUMMYFUNCTION("IMPORTRANGE(""https://docs.google.com/spreadsheets/d/11923uPwbBZFjjGgGUA6NLw09EwE0CqkOc4q9oUmW1yo/edit?usp=sharing"",""น่าน!I238"")"),480)</f>
        <v>480</v>
      </c>
      <c r="J343" s="187">
        <f ca="1">IFERROR(__xludf.DUMMYFUNCTION("IMPORTRANGE(""https://docs.google.com/spreadsheets/d/11923uPwbBZFjjGgGUA6NLw09EwE0CqkOc4q9oUmW1yo/edit?usp=sharing"",""น่าน!J238"")"),1)</f>
        <v>1</v>
      </c>
      <c r="K343" s="340">
        <f t="shared" ca="1" si="103"/>
        <v>0.20833333333333334</v>
      </c>
      <c r="L343" s="181"/>
      <c r="M343" s="181"/>
      <c r="N343" s="181"/>
      <c r="O343" s="341"/>
      <c r="P343" s="341"/>
    </row>
    <row r="344" spans="1:16" ht="21.75" customHeight="1" x14ac:dyDescent="0.3">
      <c r="A344" s="175"/>
      <c r="B344" s="289"/>
      <c r="C344" s="176"/>
      <c r="D344" s="195"/>
      <c r="E344" s="195"/>
      <c r="F344" s="195"/>
      <c r="G344" s="196"/>
      <c r="H344" s="180" t="s">
        <v>122</v>
      </c>
      <c r="I344" s="343">
        <f ca="1">IFERROR(__xludf.DUMMYFUNCTION("IMPORTRANGE(""https://docs.google.com/spreadsheets/d/11923uPwbBZFjjGgGUA6NLw09EwE0CqkOc4q9oUmW1yo/edit?usp=sharing"",""น่าน!I239"")"),0)</f>
        <v>0</v>
      </c>
      <c r="J344" s="187">
        <f ca="1">IFERROR(__xludf.DUMMYFUNCTION("IMPORTRANGE(""https://docs.google.com/spreadsheets/d/11923uPwbBZFjjGgGUA6NLw09EwE0CqkOc4q9oUmW1yo/edit?usp=sharing"",""น่าน!J239"")"),12.35)</f>
        <v>12.35</v>
      </c>
      <c r="K344" s="340">
        <f t="shared" ca="1" si="103"/>
        <v>0</v>
      </c>
      <c r="L344" s="181"/>
      <c r="M344" s="181"/>
      <c r="N344" s="181"/>
      <c r="O344" s="341"/>
      <c r="P344" s="341"/>
    </row>
    <row r="345" spans="1:16" ht="21.75" customHeight="1" x14ac:dyDescent="0.3">
      <c r="A345" s="175"/>
      <c r="B345" s="289"/>
      <c r="C345" s="176"/>
      <c r="D345" s="195"/>
      <c r="E345" s="194" t="s">
        <v>125</v>
      </c>
      <c r="F345" s="195"/>
      <c r="G345" s="196"/>
      <c r="H345" s="180" t="s">
        <v>37</v>
      </c>
      <c r="I345" s="187">
        <f ca="1">IFERROR(__xludf.DUMMYFUNCTION("IMPORTRANGE(""https://docs.google.com/spreadsheets/d/11923uPwbBZFjjGgGUA6NLw09EwE0CqkOc4q9oUmW1yo/edit?usp=sharing"",""น่าน!I240"")"),480)</f>
        <v>480</v>
      </c>
      <c r="J345" s="187">
        <f ca="1">IFERROR(__xludf.DUMMYFUNCTION("IMPORTRANGE(""https://docs.google.com/spreadsheets/d/11923uPwbBZFjjGgGUA6NLw09EwE0CqkOc4q9oUmW1yo/edit?usp=sharing"",""น่าน!J240"")"),51)</f>
        <v>51</v>
      </c>
      <c r="K345" s="340">
        <f t="shared" ca="1" si="103"/>
        <v>10.625</v>
      </c>
      <c r="L345" s="181"/>
      <c r="M345" s="181"/>
      <c r="N345" s="181"/>
      <c r="O345" s="341"/>
      <c r="P345" s="341"/>
    </row>
    <row r="346" spans="1:16" ht="21.75" customHeight="1" x14ac:dyDescent="0.3">
      <c r="A346" s="233"/>
      <c r="B346" s="344"/>
      <c r="C346" s="234"/>
      <c r="D346" s="344"/>
      <c r="E346" s="345"/>
      <c r="F346" s="345"/>
      <c r="G346" s="346"/>
      <c r="H346" s="347" t="s">
        <v>122</v>
      </c>
      <c r="I346" s="348">
        <f ca="1">IFERROR(__xludf.DUMMYFUNCTION("IMPORTRANGE(""https://docs.google.com/spreadsheets/d/11923uPwbBZFjjGgGUA6NLw09EwE0CqkOc4q9oUmW1yo/edit?usp=sharing"",""น่าน!I241"")"),0)</f>
        <v>0</v>
      </c>
      <c r="J346" s="187">
        <f ca="1">IFERROR(__xludf.DUMMYFUNCTION("IMPORTRANGE(""https://docs.google.com/spreadsheets/d/11923uPwbBZFjjGgGUA6NLw09EwE0CqkOc4q9oUmW1yo/edit?usp=sharing"",""น่าน!J241"")"),131.99)</f>
        <v>131.99</v>
      </c>
      <c r="K346" s="349">
        <f t="shared" ca="1" si="103"/>
        <v>0</v>
      </c>
      <c r="L346" s="244"/>
      <c r="M346" s="244"/>
      <c r="N346" s="244"/>
      <c r="O346" s="350"/>
      <c r="P346" s="350"/>
    </row>
    <row r="347" spans="1:16" ht="21.75" customHeight="1" x14ac:dyDescent="0.3">
      <c r="A347" s="351" t="s">
        <v>126</v>
      </c>
      <c r="B347" s="352"/>
      <c r="C347" s="352"/>
      <c r="D347" s="352"/>
      <c r="E347" s="352"/>
      <c r="F347" s="352"/>
      <c r="G347" s="353"/>
      <c r="H347" s="354"/>
      <c r="I347" s="355"/>
      <c r="J347" s="355"/>
      <c r="K347" s="356"/>
      <c r="L347" s="356">
        <f ca="1">IFERROR(__xludf.DUMMYFUNCTION("IMPORTRANGE(""https://docs.google.com/spreadsheets/d/11923uPwbBZFjjGgGUA6NLw09EwE0CqkOc4q9oUmW1yo/edit?usp=sharing"",""น่าน!L242"")"),2769994)</f>
        <v>2769994</v>
      </c>
      <c r="M347" s="356"/>
      <c r="N347" s="356">
        <f ca="1">IFERROR(__xludf.DUMMYFUNCTION("IMPORTRANGE(""https://docs.google.com/spreadsheets/d/11923uPwbBZFjjGgGUA6NLw09EwE0CqkOc4q9oUmW1yo/edit?usp=sharing"",""น่าน!M242"")"),302954)</f>
        <v>302954</v>
      </c>
      <c r="O347" s="356">
        <f ca="1">+IF(L347&gt;0,N347*100/L347,0)</f>
        <v>10.936991199258916</v>
      </c>
      <c r="P347" s="356"/>
    </row>
    <row r="348" spans="1:16" ht="21.75" customHeight="1" x14ac:dyDescent="0.3">
      <c r="A348" s="357" t="s">
        <v>127</v>
      </c>
      <c r="B348" s="358"/>
      <c r="C348" s="358"/>
      <c r="D348" s="358"/>
      <c r="E348" s="358"/>
      <c r="F348" s="358"/>
      <c r="G348" s="359"/>
      <c r="H348" s="360"/>
      <c r="I348" s="361"/>
      <c r="J348" s="361"/>
      <c r="K348" s="362"/>
      <c r="L348" s="362"/>
      <c r="M348" s="362"/>
      <c r="N348" s="362"/>
      <c r="O348" s="363"/>
      <c r="P348" s="363"/>
    </row>
    <row r="349" spans="1:16" ht="21.75" customHeight="1" x14ac:dyDescent="0.3">
      <c r="A349" s="364"/>
      <c r="B349" s="365">
        <v>1</v>
      </c>
      <c r="C349" s="366" t="s">
        <v>128</v>
      </c>
      <c r="D349" s="366"/>
      <c r="E349" s="366"/>
      <c r="F349" s="366"/>
      <c r="G349" s="367"/>
      <c r="H349" s="368" t="s">
        <v>122</v>
      </c>
      <c r="I349" s="369">
        <f ca="1">IFERROR(__xludf.DUMMYFUNCTION("IMPORTRANGE(""https://docs.google.com/spreadsheets/d/11923uPwbBZFjjGgGUA6NLw09EwE0CqkOc4q9oUmW1yo/edit?usp=sharing"",""น่าน!I244"")"),120)</f>
        <v>120</v>
      </c>
      <c r="J349" s="369">
        <f ca="1">IFERROR(__xludf.DUMMYFUNCTION("IMPORTRANGE(""https://docs.google.com/spreadsheets/d/11923uPwbBZFjjGgGUA6NLw09EwE0CqkOc4q9oUmW1yo/edit?usp=sharing"",""น่าน!J244"")"),0)</f>
        <v>0</v>
      </c>
      <c r="K349" s="370">
        <f t="shared" ref="K349:K350" ca="1" si="104">IF(I349&gt;0,J349*100/I349,0)</f>
        <v>0</v>
      </c>
      <c r="L349" s="371">
        <f ca="1">IFERROR(__xludf.DUMMYFUNCTION("IMPORTRANGE(""https://docs.google.com/spreadsheets/d/11923uPwbBZFjjGgGUA6NLw09EwE0CqkOc4q9oUmW1yo/edit?usp=sharing"",""น่าน!L244"")"),346610)</f>
        <v>346610</v>
      </c>
      <c r="M349" s="371"/>
      <c r="N349" s="371">
        <f ca="1">IFERROR(__xludf.DUMMYFUNCTION("IMPORTRANGE(""https://docs.google.com/spreadsheets/d/11923uPwbBZFjjGgGUA6NLw09EwE0CqkOc4q9oUmW1yo/edit?usp=sharing"",""น่าน!M244"")"),52119)</f>
        <v>52119</v>
      </c>
      <c r="O349" s="371">
        <f ca="1">+IF(L349&gt;0,N349*100/L349,0)</f>
        <v>15.0367848590635</v>
      </c>
      <c r="P349" s="371"/>
    </row>
    <row r="350" spans="1:16" ht="21.75" customHeight="1" x14ac:dyDescent="0.3">
      <c r="A350" s="364"/>
      <c r="B350" s="365"/>
      <c r="C350" s="366"/>
      <c r="D350" s="366"/>
      <c r="E350" s="366"/>
      <c r="F350" s="366"/>
      <c r="G350" s="367"/>
      <c r="H350" s="368" t="s">
        <v>37</v>
      </c>
      <c r="I350" s="369">
        <f ca="1">IFERROR(__xludf.DUMMYFUNCTION("IMPORTRANGE(""https://docs.google.com/spreadsheets/d/11923uPwbBZFjjGgGUA6NLw09EwE0CqkOc4q9oUmW1yo/edit?usp=sharing"",""น่าน!I245"")"),45)</f>
        <v>45</v>
      </c>
      <c r="J350" s="369">
        <f ca="1">IFERROR(__xludf.DUMMYFUNCTION("IMPORTRANGE(""https://docs.google.com/spreadsheets/d/11923uPwbBZFjjGgGUA6NLw09EwE0CqkOc4q9oUmW1yo/edit?usp=sharing"",""น่าน!J245"")"),0)</f>
        <v>0</v>
      </c>
      <c r="K350" s="370">
        <f t="shared" ca="1" si="104"/>
        <v>0</v>
      </c>
      <c r="L350" s="371"/>
      <c r="M350" s="371"/>
      <c r="N350" s="371"/>
      <c r="O350" s="371"/>
      <c r="P350" s="371"/>
    </row>
    <row r="351" spans="1:16" ht="21.75" customHeight="1" x14ac:dyDescent="0.3">
      <c r="A351" s="156"/>
      <c r="B351" s="157"/>
      <c r="C351" s="157" t="s">
        <v>16</v>
      </c>
      <c r="D351" s="158" t="s">
        <v>38</v>
      </c>
      <c r="E351" s="159"/>
      <c r="F351" s="159"/>
      <c r="G351" s="160" t="s">
        <v>39</v>
      </c>
      <c r="H351" s="161" t="s">
        <v>12</v>
      </c>
      <c r="I351" s="162" t="s">
        <v>40</v>
      </c>
      <c r="J351" s="162"/>
      <c r="K351" s="163"/>
      <c r="L351" s="164">
        <f ca="1">IFERROR(__xludf.DUMMYFUNCTION("IMPORTRANGE(""https://docs.google.com/spreadsheets/d/11923uPwbBZFjjGgGUA6NLw09EwE0CqkOc4q9oUmW1yo/edit?usp=sharing"",""น่าน!L246"")"),0)</f>
        <v>0</v>
      </c>
      <c r="M351" s="164"/>
      <c r="N351" s="164">
        <f ca="1">IFERROR(__xludf.DUMMYFUNCTION("IMPORTRANGE(""https://docs.google.com/spreadsheets/d/11923uPwbBZFjjGgGUA6NLw09EwE0CqkOc4q9oUmW1yo/edit?usp=sharing"",""น่าน!M246"")"),0)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3">
      <c r="A352" s="156"/>
      <c r="B352" s="157"/>
      <c r="C352" s="157"/>
      <c r="D352" s="166"/>
      <c r="E352" s="159"/>
      <c r="F352" s="159" t="s">
        <v>40</v>
      </c>
      <c r="G352" s="160" t="s">
        <v>41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IFERROR(__xludf.DUMMYFUNCTION("IMPORTRANGE(""https://docs.google.com/spreadsheets/d/11923uPwbBZFjjGgGUA6NLw09EwE0CqkOc4q9oUmW1yo/edit?usp=sharing"",""น่าน!L247"")"),346610)</f>
        <v>346610</v>
      </c>
      <c r="M352" s="165"/>
      <c r="N352" s="164">
        <f ca="1">IFERROR(__xludf.DUMMYFUNCTION("IMPORTRANGE(""https://docs.google.com/spreadsheets/d/11923uPwbBZFjjGgGUA6NLw09EwE0CqkOc4q9oUmW1yo/edit?usp=sharing"",""น่าน!M247"")"),52119)</f>
        <v>52119</v>
      </c>
      <c r="O352" s="165">
        <f t="shared" ca="1" si="105"/>
        <v>15.0367848590635</v>
      </c>
      <c r="P352" s="165"/>
    </row>
    <row r="353" spans="1:16" ht="21.75" customHeight="1" x14ac:dyDescent="0.3">
      <c r="A353" s="156"/>
      <c r="B353" s="157"/>
      <c r="C353" s="157"/>
      <c r="D353" s="166"/>
      <c r="E353" s="159"/>
      <c r="F353" s="159"/>
      <c r="G353" s="372" t="s">
        <v>129</v>
      </c>
      <c r="H353" s="161" t="s">
        <v>12</v>
      </c>
      <c r="I353" s="162"/>
      <c r="J353" s="162"/>
      <c r="K353" s="163"/>
      <c r="L353" s="168">
        <f ca="1">IFERROR(__xludf.DUMMYFUNCTION("IMPORTRANGE(""https://docs.google.com/spreadsheets/d/11923uPwbBZFjjGgGUA6NLw09EwE0CqkOc4q9oUmW1yo/edit?usp=sharing"",""น่าน!L248"")"),0)</f>
        <v>0</v>
      </c>
      <c r="M353" s="168"/>
      <c r="N353" s="168">
        <f ca="1">IFERROR(__xludf.DUMMYFUNCTION("IMPORTRANGE(""https://docs.google.com/spreadsheets/d/11923uPwbBZFjjGgGUA6NLw09EwE0CqkOc4q9oUmW1yo/edit?usp=sharing"",""น่าน!M248"")"),0)</f>
        <v>0</v>
      </c>
      <c r="O353" s="168">
        <f t="shared" ca="1" si="105"/>
        <v>0</v>
      </c>
      <c r="P353" s="168"/>
    </row>
    <row r="354" spans="1:16" ht="21.75" customHeight="1" x14ac:dyDescent="0.3">
      <c r="A354" s="156"/>
      <c r="B354" s="157"/>
      <c r="C354" s="157"/>
      <c r="D354" s="166"/>
      <c r="E354" s="159"/>
      <c r="F354" s="159"/>
      <c r="G354" s="372" t="s">
        <v>130</v>
      </c>
      <c r="H354" s="161" t="s">
        <v>12</v>
      </c>
      <c r="I354" s="162"/>
      <c r="J354" s="162"/>
      <c r="K354" s="163"/>
      <c r="L354" s="168">
        <f ca="1">IFERROR(__xludf.DUMMYFUNCTION("IMPORTRANGE(""https://docs.google.com/spreadsheets/d/11923uPwbBZFjjGgGUA6NLw09EwE0CqkOc4q9oUmW1yo/edit?usp=sharing"",""น่าน!L249"")"),346610)</f>
        <v>346610</v>
      </c>
      <c r="M354" s="168"/>
      <c r="N354" s="167">
        <f ca="1">IFERROR(__xludf.DUMMYFUNCTION("IMPORTRANGE(""https://docs.google.com/spreadsheets/d/11923uPwbBZFjjGgGUA6NLw09EwE0CqkOc4q9oUmW1yo/edit?usp=sharing"",""น่าน!M249"")"),52119)</f>
        <v>52119</v>
      </c>
      <c r="O354" s="168">
        <f t="shared" ca="1" si="105"/>
        <v>15.0367848590635</v>
      </c>
      <c r="P354" s="168"/>
    </row>
    <row r="355" spans="1:16" ht="21.75" customHeight="1" x14ac:dyDescent="0.3">
      <c r="A355" s="373"/>
      <c r="B355" s="374"/>
      <c r="C355" s="157"/>
      <c r="D355" s="375"/>
      <c r="E355" s="159"/>
      <c r="F355" s="159"/>
      <c r="G355" s="376" t="s">
        <v>131</v>
      </c>
      <c r="H355" s="161" t="s">
        <v>12</v>
      </c>
      <c r="I355" s="187"/>
      <c r="J355" s="187"/>
      <c r="K355" s="223"/>
      <c r="L355" s="168"/>
      <c r="M355" s="168"/>
      <c r="N355" s="377">
        <f ca="1">IFERROR(__xludf.DUMMYFUNCTION("IMPORTRANGE(""https://docs.google.com/spreadsheets/d/11923uPwbBZFjjGgGUA6NLw09EwE0CqkOc4q9oUmW1yo/edit?usp=sharing"",""น่าน!M250"")"),13210)</f>
        <v>13210</v>
      </c>
      <c r="O355" s="168"/>
      <c r="P355" s="168"/>
    </row>
    <row r="356" spans="1:16" ht="21.75" customHeight="1" x14ac:dyDescent="0.3">
      <c r="A356" s="373"/>
      <c r="B356" s="374"/>
      <c r="C356" s="157"/>
      <c r="D356" s="375"/>
      <c r="E356" s="159"/>
      <c r="F356" s="159"/>
      <c r="G356" s="376" t="s">
        <v>132</v>
      </c>
      <c r="H356" s="161" t="s">
        <v>12</v>
      </c>
      <c r="I356" s="187"/>
      <c r="J356" s="187"/>
      <c r="K356" s="223"/>
      <c r="L356" s="168"/>
      <c r="M356" s="168"/>
      <c r="N356" s="377">
        <f ca="1">IFERROR(__xludf.DUMMYFUNCTION("IMPORTRANGE(""https://docs.google.com/spreadsheets/d/11923uPwbBZFjjGgGUA6NLw09EwE0CqkOc4q9oUmW1yo/edit?usp=sharing"",""น่าน!M251"")"),0)</f>
        <v>0</v>
      </c>
      <c r="O356" s="168"/>
      <c r="P356" s="168"/>
    </row>
    <row r="357" spans="1:16" ht="21.75" customHeight="1" x14ac:dyDescent="0.3">
      <c r="A357" s="373"/>
      <c r="B357" s="374"/>
      <c r="C357" s="157"/>
      <c r="D357" s="375"/>
      <c r="E357" s="159"/>
      <c r="F357" s="159"/>
      <c r="G357" s="376" t="s">
        <v>133</v>
      </c>
      <c r="H357" s="161" t="s">
        <v>12</v>
      </c>
      <c r="I357" s="187"/>
      <c r="J357" s="187"/>
      <c r="K357" s="223"/>
      <c r="L357" s="168"/>
      <c r="M357" s="168"/>
      <c r="N357" s="377">
        <f ca="1">IFERROR(__xludf.DUMMYFUNCTION("IMPORTRANGE(""https://docs.google.com/spreadsheets/d/11923uPwbBZFjjGgGUA6NLw09EwE0CqkOc4q9oUmW1yo/edit?usp=sharing"",""น่าน!M252"")"),34449)</f>
        <v>34449</v>
      </c>
      <c r="O357" s="168"/>
      <c r="P357" s="168"/>
    </row>
    <row r="358" spans="1:16" ht="21.75" customHeight="1" x14ac:dyDescent="0.3">
      <c r="A358" s="373"/>
      <c r="B358" s="374"/>
      <c r="C358" s="157"/>
      <c r="D358" s="375"/>
      <c r="E358" s="159"/>
      <c r="F358" s="159"/>
      <c r="G358" s="376" t="s">
        <v>134</v>
      </c>
      <c r="H358" s="161" t="s">
        <v>12</v>
      </c>
      <c r="I358" s="187"/>
      <c r="J358" s="187"/>
      <c r="K358" s="223"/>
      <c r="L358" s="168"/>
      <c r="M358" s="168"/>
      <c r="N358" s="377">
        <f ca="1">IFERROR(__xludf.DUMMYFUNCTION("IMPORTRANGE(""https://docs.google.com/spreadsheets/d/11923uPwbBZFjjGgGUA6NLw09EwE0CqkOc4q9oUmW1yo/edit?usp=sharing"",""น่าน!M253"")"),4460)</f>
        <v>4460</v>
      </c>
      <c r="O358" s="168"/>
      <c r="P358" s="168"/>
    </row>
    <row r="359" spans="1:16" ht="21.75" customHeight="1" x14ac:dyDescent="0.3">
      <c r="A359" s="175"/>
      <c r="B359" s="176"/>
      <c r="C359" s="157" t="s">
        <v>16</v>
      </c>
      <c r="D359" s="177" t="s">
        <v>44</v>
      </c>
      <c r="E359" s="178"/>
      <c r="F359" s="178"/>
      <c r="G359" s="179"/>
      <c r="H359" s="180"/>
      <c r="I359" s="162"/>
      <c r="J359" s="162"/>
      <c r="K359" s="163"/>
      <c r="L359" s="181"/>
      <c r="M359" s="181"/>
      <c r="N359" s="181"/>
      <c r="O359" s="181"/>
      <c r="P359" s="181"/>
    </row>
    <row r="360" spans="1:16" ht="21.75" customHeight="1" x14ac:dyDescent="0.3">
      <c r="A360" s="175"/>
      <c r="B360" s="176"/>
      <c r="C360" s="176"/>
      <c r="D360" s="182">
        <v>1</v>
      </c>
      <c r="E360" s="183" t="s">
        <v>45</v>
      </c>
      <c r="F360" s="184"/>
      <c r="G360" s="185"/>
      <c r="H360" s="186"/>
      <c r="I360" s="187"/>
      <c r="J360" s="197">
        <f ca="1">IFERROR(__xludf.DUMMYFUNCTION("IMPORTRANGE(""https://docs.google.com/spreadsheets/d/11923uPwbBZFjjGgGUA6NLw09EwE0CqkOc4q9oUmW1yo/edit?usp=sharing"",""น่าน!J255"")"),0)</f>
        <v>0</v>
      </c>
      <c r="K360" s="163"/>
      <c r="L360" s="181"/>
      <c r="M360" s="181"/>
      <c r="N360" s="181"/>
      <c r="O360" s="181"/>
      <c r="P360" s="181"/>
    </row>
    <row r="361" spans="1:16" ht="21.75" customHeight="1" x14ac:dyDescent="0.3">
      <c r="A361" s="175"/>
      <c r="B361" s="176"/>
      <c r="C361" s="176"/>
      <c r="D361" s="189">
        <v>2</v>
      </c>
      <c r="E361" s="190" t="s">
        <v>46</v>
      </c>
      <c r="F361" s="191"/>
      <c r="G361" s="192"/>
      <c r="H361" s="186"/>
      <c r="I361" s="187"/>
      <c r="J361" s="188">
        <f ca="1">IFERROR(__xludf.DUMMYFUNCTION("IMPORTRANGE(""https://docs.google.com/spreadsheets/d/11923uPwbBZFjjGgGUA6NLw09EwE0CqkOc4q9oUmW1yo/edit?usp=sharing"",""น่าน!J256"")"),1)</f>
        <v>1</v>
      </c>
      <c r="K361" s="163"/>
      <c r="L361" s="181" t="s">
        <v>40</v>
      </c>
      <c r="M361" s="181"/>
      <c r="N361" s="181" t="s">
        <v>40</v>
      </c>
      <c r="O361" s="181"/>
      <c r="P361" s="181"/>
    </row>
    <row r="362" spans="1:16" ht="21.75" customHeight="1" x14ac:dyDescent="0.3">
      <c r="A362" s="175"/>
      <c r="B362" s="176"/>
      <c r="C362" s="176"/>
      <c r="D362" s="193"/>
      <c r="E362" s="194" t="s">
        <v>47</v>
      </c>
      <c r="F362" s="195"/>
      <c r="G362" s="196"/>
      <c r="H362" s="186"/>
      <c r="I362" s="187"/>
      <c r="J362" s="188">
        <f ca="1">IFERROR(__xludf.DUMMYFUNCTION("IMPORTRANGE(""https://docs.google.com/spreadsheets/d/11923uPwbBZFjjGgGUA6NLw09EwE0CqkOc4q9oUmW1yo/edit?usp=sharing"",""น่าน!J257"")"),1)</f>
        <v>1</v>
      </c>
      <c r="K362" s="163"/>
      <c r="L362" s="181"/>
      <c r="M362" s="181"/>
      <c r="N362" s="181"/>
      <c r="O362" s="181"/>
      <c r="P362" s="181"/>
    </row>
    <row r="363" spans="1:16" ht="21.75" customHeight="1" x14ac:dyDescent="0.3">
      <c r="A363" s="175"/>
      <c r="B363" s="176"/>
      <c r="C363" s="176"/>
      <c r="D363" s="193"/>
      <c r="E363" s="194" t="s">
        <v>48</v>
      </c>
      <c r="F363" s="195"/>
      <c r="G363" s="196"/>
      <c r="H363" s="186"/>
      <c r="I363" s="187"/>
      <c r="J363" s="197">
        <f ca="1">IFERROR(__xludf.DUMMYFUNCTION("IMPORTRANGE(""https://docs.google.com/spreadsheets/d/11923uPwbBZFjjGgGUA6NLw09EwE0CqkOc4q9oUmW1yo/edit?usp=sharing"",""น่าน!J258"")"),1)</f>
        <v>1</v>
      </c>
      <c r="K363" s="163"/>
      <c r="L363" s="181"/>
      <c r="M363" s="181"/>
      <c r="N363" s="181"/>
      <c r="O363" s="181"/>
      <c r="P363" s="181"/>
    </row>
    <row r="364" spans="1:16" ht="21.75" hidden="1" customHeight="1" x14ac:dyDescent="0.3">
      <c r="A364" s="175"/>
      <c r="B364" s="176"/>
      <c r="C364" s="176"/>
      <c r="D364" s="193"/>
      <c r="E364" s="198"/>
      <c r="F364" s="194" t="s">
        <v>70</v>
      </c>
      <c r="G364" s="196"/>
      <c r="H364" s="180"/>
      <c r="I364" s="187"/>
      <c r="J364" s="187">
        <f ca="1">IFERROR(__xludf.DUMMYFUNCTION("IMPORTRANGE(""https://docs.google.com/spreadsheets/d/11923uPwbBZFjjGgGUA6NLw09EwE0CqkOc4q9oUmW1yo/edit?usp=sharing"",""น่าน!J166"")"),0)</f>
        <v>0</v>
      </c>
      <c r="K364" s="163"/>
      <c r="L364" s="181"/>
      <c r="M364" s="181"/>
      <c r="N364" s="181"/>
      <c r="O364" s="181"/>
      <c r="P364" s="181"/>
    </row>
    <row r="365" spans="1:16" ht="21.75" hidden="1" customHeight="1" x14ac:dyDescent="0.3">
      <c r="A365" s="175"/>
      <c r="B365" s="176"/>
      <c r="C365" s="176"/>
      <c r="D365" s="193"/>
      <c r="E365" s="198"/>
      <c r="F365" s="195"/>
      <c r="G365" s="225" t="s">
        <v>135</v>
      </c>
      <c r="H365" s="180" t="s">
        <v>37</v>
      </c>
      <c r="I365" s="187">
        <f ca="1">IFERROR(__xludf.DUMMYFUNCTION("IMPORTRANGE(""https://docs.google.com/spreadsheets/d/1C3CXT74ZlgGe6_JY_1olB1XN4rF0dxEuIIF-xsYjHgg/edit?usp=sharing"",""งบกองทุน!f63"")"),0)</f>
        <v>0</v>
      </c>
      <c r="J365" s="187">
        <f ca="1">IFERROR(__xludf.DUMMYFUNCTION("IMPORTRANGE(""https://docs.google.com/spreadsheets/d/11923uPwbBZFjjGgGUA6NLw09EwE0CqkOc4q9oUmW1yo/edit?usp=sharing"",""น่าน!J166"")"),0)</f>
        <v>0</v>
      </c>
      <c r="K365" s="163">
        <f ca="1">IF(I365&gt;0,J365*100/I365,0)</f>
        <v>0</v>
      </c>
      <c r="L365" s="181"/>
      <c r="M365" s="181"/>
      <c r="N365" s="181"/>
      <c r="O365" s="181"/>
      <c r="P365" s="181"/>
    </row>
    <row r="366" spans="1:16" ht="21.75" hidden="1" customHeight="1" x14ac:dyDescent="0.3">
      <c r="A366" s="175"/>
      <c r="B366" s="176"/>
      <c r="C366" s="176"/>
      <c r="D366" s="193"/>
      <c r="E366" s="198"/>
      <c r="F366" s="195"/>
      <c r="G366" s="196" t="s">
        <v>136</v>
      </c>
      <c r="H366" s="180"/>
      <c r="I366" s="162"/>
      <c r="J366" s="187">
        <f ca="1">IFERROR(__xludf.DUMMYFUNCTION("IMPORTRANGE(""https://docs.google.com/spreadsheets/d/11923uPwbBZFjjGgGUA6NLw09EwE0CqkOc4q9oUmW1yo/edit?usp=sharing"",""น่าน!J166"")"),0)</f>
        <v>0</v>
      </c>
      <c r="K366" s="163"/>
      <c r="L366" s="181"/>
      <c r="M366" s="181"/>
      <c r="N366" s="181"/>
      <c r="O366" s="181"/>
      <c r="P366" s="181"/>
    </row>
    <row r="367" spans="1:16" ht="21.75" hidden="1" customHeight="1" x14ac:dyDescent="0.3">
      <c r="A367" s="175"/>
      <c r="B367" s="176"/>
      <c r="C367" s="176"/>
      <c r="D367" s="193"/>
      <c r="E367" s="198"/>
      <c r="F367" s="195"/>
      <c r="G367" s="225" t="s">
        <v>137</v>
      </c>
      <c r="H367" s="186" t="s">
        <v>122</v>
      </c>
      <c r="I367" s="187">
        <f ca="1">SUM(I369,I371)</f>
        <v>0</v>
      </c>
      <c r="J367" s="187">
        <f ca="1">IFERROR(__xludf.DUMMYFUNCTION("IMPORTRANGE(""https://docs.google.com/spreadsheets/d/11923uPwbBZFjjGgGUA6NLw09EwE0CqkOc4q9oUmW1yo/edit?usp=sharing"",""น่าน!J166"")"),0)</f>
        <v>0</v>
      </c>
      <c r="K367" s="163">
        <f t="shared" ref="K367:K373" ca="1" si="106">IF(I367&gt;0,J367*100/I367,0)</f>
        <v>0</v>
      </c>
      <c r="L367" s="181"/>
      <c r="M367" s="181"/>
      <c r="N367" s="181"/>
      <c r="O367" s="181"/>
      <c r="P367" s="181"/>
    </row>
    <row r="368" spans="1:16" ht="21.75" customHeight="1" x14ac:dyDescent="0.3">
      <c r="A368" s="175"/>
      <c r="B368" s="176"/>
      <c r="C368" s="176"/>
      <c r="D368" s="193"/>
      <c r="E368" s="198"/>
      <c r="F368" s="378" t="s">
        <v>138</v>
      </c>
      <c r="G368" s="379"/>
      <c r="H368" s="186" t="s">
        <v>37</v>
      </c>
      <c r="I368" s="162">
        <f ca="1">IFERROR(__xludf.DUMMYFUNCTION("IMPORTRANGE(""https://docs.google.com/spreadsheets/d/11923uPwbBZFjjGgGUA6NLw09EwE0CqkOc4q9oUmW1yo/edit?usp=sharing"",""น่าน!I263"")"),45)</f>
        <v>45</v>
      </c>
      <c r="J368" s="187">
        <f ca="1">IFERROR(__xludf.DUMMYFUNCTION("IMPORTRANGE(""https://docs.google.com/spreadsheets/d/11923uPwbBZFjjGgGUA6NLw09EwE0CqkOc4q9oUmW1yo/edit?usp=sharing"",""น่าน!J263"")"),0)</f>
        <v>0</v>
      </c>
      <c r="K368" s="163">
        <f t="shared" ca="1" si="106"/>
        <v>0</v>
      </c>
      <c r="L368" s="181"/>
      <c r="M368" s="181"/>
      <c r="N368" s="181"/>
      <c r="O368" s="181"/>
      <c r="P368" s="181"/>
    </row>
    <row r="369" spans="1:16" ht="21.75" hidden="1" customHeight="1" x14ac:dyDescent="0.3">
      <c r="A369" s="175"/>
      <c r="B369" s="176"/>
      <c r="C369" s="176"/>
      <c r="D369" s="193"/>
      <c r="E369" s="198"/>
      <c r="F369" s="195"/>
      <c r="G369" s="379"/>
      <c r="H369" s="180" t="s">
        <v>122</v>
      </c>
      <c r="I369" s="162">
        <f ca="1">IFERROR(__xludf.DUMMYFUNCTION("IMPORTRANGE(""https://docs.google.com/spreadsheets/d/11923uPwbBZFjjGgGUA6NLw09EwE0CqkOc4q9oUmW1yo/edit?usp=sharing"",""น่าน!I164"")"),0)</f>
        <v>0</v>
      </c>
      <c r="J369" s="203">
        <f ca="1">IFERROR(__xludf.DUMMYFUNCTION("IMPORTRANGE(""https://docs.google.com/spreadsheets/d/11923uPwbBZFjjGgGUA6NLw09EwE0CqkOc4q9oUmW1yo/edit?usp=sharing"",""น่าน!J164"")"),0)</f>
        <v>0</v>
      </c>
      <c r="K369" s="163">
        <f t="shared" ca="1" si="106"/>
        <v>0</v>
      </c>
      <c r="L369" s="181"/>
      <c r="M369" s="181"/>
      <c r="N369" s="181"/>
      <c r="O369" s="181"/>
      <c r="P369" s="181"/>
    </row>
    <row r="370" spans="1:16" ht="21.75" customHeight="1" x14ac:dyDescent="0.3">
      <c r="A370" s="175"/>
      <c r="B370" s="176"/>
      <c r="C370" s="176"/>
      <c r="D370" s="193"/>
      <c r="E370" s="198"/>
      <c r="F370" s="195"/>
      <c r="G370" s="378" t="s">
        <v>139</v>
      </c>
      <c r="H370" s="180" t="s">
        <v>37</v>
      </c>
      <c r="I370" s="162">
        <f ca="1">IFERROR(__xludf.DUMMYFUNCTION("IMPORTRANGE(""https://docs.google.com/spreadsheets/d/11923uPwbBZFjjGgGUA6NLw09EwE0CqkOc4q9oUmW1yo/edit?usp=sharing"",""น่าน!I265"")"),45)</f>
        <v>45</v>
      </c>
      <c r="J370" s="203">
        <f ca="1">IFERROR(__xludf.DUMMYFUNCTION("IMPORTRANGE(""https://docs.google.com/spreadsheets/d/11923uPwbBZFjjGgGUA6NLw09EwE0CqkOc4q9oUmW1yo/edit?usp=sharing"",""น่าน!J265"")"),45)</f>
        <v>45</v>
      </c>
      <c r="K370" s="163">
        <f t="shared" ca="1" si="106"/>
        <v>100</v>
      </c>
      <c r="L370" s="181"/>
      <c r="M370" s="181"/>
      <c r="N370" s="181"/>
      <c r="O370" s="181"/>
      <c r="P370" s="181"/>
    </row>
    <row r="371" spans="1:16" ht="21.75" hidden="1" customHeight="1" x14ac:dyDescent="0.3">
      <c r="A371" s="175"/>
      <c r="B371" s="176"/>
      <c r="C371" s="176"/>
      <c r="D371" s="193"/>
      <c r="E371" s="198"/>
      <c r="F371" s="195"/>
      <c r="G371" s="379"/>
      <c r="H371" s="180" t="s">
        <v>122</v>
      </c>
      <c r="I371" s="162">
        <f ca="1">IFERROR(__xludf.DUMMYFUNCTION("IMPORTRANGE(""https://docs.google.com/spreadsheets/d/11923uPwbBZFjjGgGUA6NLw09EwE0CqkOc4q9oUmW1yo/edit?usp=sharing"",""น่าน!I164"")"),0)</f>
        <v>0</v>
      </c>
      <c r="J371" s="188">
        <f ca="1">IFERROR(__xludf.DUMMYFUNCTION("IMPORTRANGE(""https://docs.google.com/spreadsheets/d/11923uPwbBZFjjGgGUA6NLw09EwE0CqkOc4q9oUmW1yo/edit?usp=sharing"",""น่าน!J164"")"),0)</f>
        <v>0</v>
      </c>
      <c r="K371" s="163">
        <f t="shared" ca="1" si="106"/>
        <v>0</v>
      </c>
      <c r="L371" s="181"/>
      <c r="M371" s="181"/>
      <c r="N371" s="181"/>
      <c r="O371" s="181"/>
      <c r="P371" s="181"/>
    </row>
    <row r="372" spans="1:16" ht="21.75" customHeight="1" x14ac:dyDescent="0.3">
      <c r="A372" s="175"/>
      <c r="B372" s="176"/>
      <c r="C372" s="176"/>
      <c r="D372" s="193"/>
      <c r="E372" s="198"/>
      <c r="F372" s="195"/>
      <c r="G372" s="378" t="s">
        <v>140</v>
      </c>
      <c r="H372" s="180" t="s">
        <v>37</v>
      </c>
      <c r="I372" s="162">
        <f ca="1">IFERROR(__xludf.DUMMYFUNCTION("IMPORTRANGE(""https://docs.google.com/spreadsheets/d/11923uPwbBZFjjGgGUA6NLw09EwE0CqkOc4q9oUmW1yo/edit?usp=sharing"",""น่าน!I267"")"),45)</f>
        <v>45</v>
      </c>
      <c r="J372" s="188">
        <f ca="1">IFERROR(__xludf.DUMMYFUNCTION("IMPORTRANGE(""https://docs.google.com/spreadsheets/d/11923uPwbBZFjjGgGUA6NLw09EwE0CqkOc4q9oUmW1yo/edit?usp=sharing"",""น่าน!J267"")"),0)</f>
        <v>0</v>
      </c>
      <c r="K372" s="163">
        <f t="shared" ca="1" si="106"/>
        <v>0</v>
      </c>
      <c r="L372" s="181"/>
      <c r="M372" s="181"/>
      <c r="N372" s="181"/>
      <c r="O372" s="181"/>
      <c r="P372" s="181"/>
    </row>
    <row r="373" spans="1:16" ht="21.75" hidden="1" customHeight="1" x14ac:dyDescent="0.3">
      <c r="A373" s="175"/>
      <c r="B373" s="176"/>
      <c r="C373" s="176"/>
      <c r="D373" s="193"/>
      <c r="E373" s="198"/>
      <c r="F373" s="195"/>
      <c r="G373" s="225" t="s">
        <v>141</v>
      </c>
      <c r="H373" s="180" t="s">
        <v>37</v>
      </c>
      <c r="I373" s="187">
        <f ca="1">IFERROR(__xludf.DUMMYFUNCTION("IMPORTRANGE(""https://docs.google.com/spreadsheets/d/11923uPwbBZFjjGgGUA6NLw09EwE0CqkOc4q9oUmW1yo/edit?usp=sharing"",""น่าน!I164"")"),0)</f>
        <v>0</v>
      </c>
      <c r="J373" s="203">
        <f ca="1">IFERROR(__xludf.DUMMYFUNCTION("IMPORTRANGE(""https://docs.google.com/spreadsheets/d/11923uPwbBZFjjGgGUA6NLw09EwE0CqkOc4q9oUmW1yo/edit?usp=sharing"",""น่าน!J164"")"),0)</f>
        <v>0</v>
      </c>
      <c r="K373" s="163">
        <f t="shared" ca="1" si="106"/>
        <v>0</v>
      </c>
      <c r="L373" s="181"/>
      <c r="M373" s="181"/>
      <c r="N373" s="181"/>
      <c r="O373" s="181"/>
      <c r="P373" s="181"/>
    </row>
    <row r="374" spans="1:16" ht="21.75" hidden="1" customHeight="1" x14ac:dyDescent="0.3">
      <c r="A374" s="175"/>
      <c r="B374" s="176"/>
      <c r="C374" s="176"/>
      <c r="D374" s="193"/>
      <c r="E374" s="198"/>
      <c r="F374" s="195"/>
      <c r="G374" s="196" t="s">
        <v>142</v>
      </c>
      <c r="H374" s="180"/>
      <c r="I374" s="187">
        <f ca="1">IFERROR(__xludf.DUMMYFUNCTION("IMPORTRANGE(""https://docs.google.com/spreadsheets/d/11923uPwbBZFjjGgGUA6NLw09EwE0CqkOc4q9oUmW1yo/edit?usp=sharing"",""น่าน!I164"")"),0)</f>
        <v>0</v>
      </c>
      <c r="J374" s="187">
        <f ca="1">IFERROR(__xludf.DUMMYFUNCTION("IMPORTRANGE(""https://docs.google.com/spreadsheets/d/11923uPwbBZFjjGgGUA6NLw09EwE0CqkOc4q9oUmW1yo/edit?usp=sharing"",""น่าน!J164"")"),0)</f>
        <v>0</v>
      </c>
      <c r="K374" s="163"/>
      <c r="L374" s="181"/>
      <c r="M374" s="181"/>
      <c r="N374" s="181"/>
      <c r="O374" s="181"/>
      <c r="P374" s="181"/>
    </row>
    <row r="375" spans="1:16" ht="21.75" customHeight="1" x14ac:dyDescent="0.3">
      <c r="A375" s="175"/>
      <c r="B375" s="176"/>
      <c r="C375" s="176"/>
      <c r="D375" s="193"/>
      <c r="E375" s="195"/>
      <c r="F375" s="204" t="s">
        <v>53</v>
      </c>
      <c r="G375" s="196"/>
      <c r="H375" s="278" t="s">
        <v>122</v>
      </c>
      <c r="I375" s="187">
        <f ca="1">IFERROR(__xludf.DUMMYFUNCTION("IMPORTRANGE(""https://docs.google.com/spreadsheets/d/11923uPwbBZFjjGgGUA6NLw09EwE0CqkOc4q9oUmW1yo/edit?usp=sharing"",""น่าน!I270"")"),120)</f>
        <v>120</v>
      </c>
      <c r="J375" s="187">
        <f ca="1">IFERROR(__xludf.DUMMYFUNCTION("IMPORTRANGE(""https://docs.google.com/spreadsheets/d/11923uPwbBZFjjGgGUA6NLw09EwE0CqkOc4q9oUmW1yo/edit?usp=sharing"",""น่าน!J270"")"),0)</f>
        <v>0</v>
      </c>
      <c r="K375" s="163">
        <f t="shared" ref="K375:K377" ca="1" si="107">IF(I375&gt;0,J375*100/I375,0)</f>
        <v>0</v>
      </c>
      <c r="L375" s="181"/>
      <c r="M375" s="181"/>
      <c r="N375" s="181"/>
      <c r="O375" s="181"/>
      <c r="P375" s="181"/>
    </row>
    <row r="376" spans="1:16" ht="21.75" customHeight="1" x14ac:dyDescent="0.3">
      <c r="A376" s="175"/>
      <c r="B376" s="176"/>
      <c r="C376" s="176"/>
      <c r="D376" s="193"/>
      <c r="E376" s="195"/>
      <c r="F376" s="195"/>
      <c r="G376" s="279" t="s">
        <v>143</v>
      </c>
      <c r="H376" s="278" t="s">
        <v>122</v>
      </c>
      <c r="I376" s="187">
        <f ca="1">IFERROR(__xludf.DUMMYFUNCTION("IMPORTRANGE(""https://docs.google.com/spreadsheets/d/11923uPwbBZFjjGgGUA6NLw09EwE0CqkOc4q9oUmW1yo/edit?usp=sharing"",""น่าน!I271"")"),60)</f>
        <v>60</v>
      </c>
      <c r="J376" s="188">
        <f ca="1">IFERROR(__xludf.DUMMYFUNCTION("IMPORTRANGE(""https://docs.google.com/spreadsheets/d/11923uPwbBZFjjGgGUA6NLw09EwE0CqkOc4q9oUmW1yo/edit?usp=sharing"",""น่าน!J271"")"),0)</f>
        <v>0</v>
      </c>
      <c r="K376" s="163">
        <f t="shared" ca="1" si="107"/>
        <v>0</v>
      </c>
      <c r="L376" s="181"/>
      <c r="M376" s="181"/>
      <c r="N376" s="181"/>
      <c r="O376" s="181"/>
      <c r="P376" s="181"/>
    </row>
    <row r="377" spans="1:16" ht="21.75" customHeight="1" x14ac:dyDescent="0.3">
      <c r="A377" s="175"/>
      <c r="B377" s="176"/>
      <c r="C377" s="176"/>
      <c r="D377" s="193"/>
      <c r="E377" s="195"/>
      <c r="F377" s="195"/>
      <c r="G377" s="279" t="s">
        <v>144</v>
      </c>
      <c r="H377" s="278" t="s">
        <v>122</v>
      </c>
      <c r="I377" s="187">
        <f ca="1">IFERROR(__xludf.DUMMYFUNCTION("IMPORTRANGE(""https://docs.google.com/spreadsheets/d/11923uPwbBZFjjGgGUA6NLw09EwE0CqkOc4q9oUmW1yo/edit?usp=sharing"",""น่าน!I272"")"),60)</f>
        <v>60</v>
      </c>
      <c r="J377" s="203">
        <f ca="1">IFERROR(__xludf.DUMMYFUNCTION("IMPORTRANGE(""https://docs.google.com/spreadsheets/d/11923uPwbBZFjjGgGUA6NLw09EwE0CqkOc4q9oUmW1yo/edit?usp=sharing"",""น่าน!J272"")"),0)</f>
        <v>0</v>
      </c>
      <c r="K377" s="163">
        <f t="shared" ca="1" si="107"/>
        <v>0</v>
      </c>
      <c r="L377" s="181"/>
      <c r="M377" s="181"/>
      <c r="N377" s="181"/>
      <c r="O377" s="181"/>
      <c r="P377" s="181"/>
    </row>
    <row r="378" spans="1:16" ht="21.75" customHeight="1" x14ac:dyDescent="0.3">
      <c r="A378" s="175"/>
      <c r="B378" s="176"/>
      <c r="C378" s="176"/>
      <c r="D378" s="193"/>
      <c r="E378" s="194" t="s">
        <v>54</v>
      </c>
      <c r="F378" s="195"/>
      <c r="G378" s="196"/>
      <c r="H378" s="186"/>
      <c r="I378" s="187"/>
      <c r="J378" s="197">
        <f ca="1">IFERROR(__xludf.DUMMYFUNCTION("IMPORTRANGE(""https://docs.google.com/spreadsheets/d/11923uPwbBZFjjGgGUA6NLw09EwE0CqkOc4q9oUmW1yo/edit?usp=sharing"",""น่าน!J273"")"),0)</f>
        <v>0</v>
      </c>
      <c r="K378" s="163"/>
      <c r="L378" s="181"/>
      <c r="M378" s="181"/>
      <c r="N378" s="181"/>
      <c r="O378" s="181"/>
      <c r="P378" s="181"/>
    </row>
    <row r="379" spans="1:16" ht="21.75" customHeight="1" x14ac:dyDescent="0.3">
      <c r="A379" s="175"/>
      <c r="B379" s="176"/>
      <c r="C379" s="176"/>
      <c r="D379" s="205">
        <v>3</v>
      </c>
      <c r="E379" s="206" t="s">
        <v>55</v>
      </c>
      <c r="F379" s="207"/>
      <c r="G379" s="208"/>
      <c r="H379" s="186"/>
      <c r="I379" s="187"/>
      <c r="J379" s="209">
        <f ca="1">IFERROR(__xludf.DUMMYFUNCTION("IMPORTRANGE(""https://docs.google.com/spreadsheets/d/11923uPwbBZFjjGgGUA6NLw09EwE0CqkOc4q9oUmW1yo/edit?usp=sharing"",""น่าน!J274"")"),0)</f>
        <v>0</v>
      </c>
      <c r="K379" s="163"/>
      <c r="L379" s="181"/>
      <c r="M379" s="181"/>
      <c r="N379" s="181"/>
      <c r="O379" s="181"/>
      <c r="P379" s="181"/>
    </row>
    <row r="380" spans="1:16" ht="21.75" customHeight="1" x14ac:dyDescent="0.3">
      <c r="A380" s="364"/>
      <c r="B380" s="365">
        <v>2</v>
      </c>
      <c r="C380" s="366" t="s">
        <v>145</v>
      </c>
      <c r="D380" s="366"/>
      <c r="E380" s="380"/>
      <c r="F380" s="380"/>
      <c r="G380" s="381"/>
      <c r="H380" s="368" t="s">
        <v>122</v>
      </c>
      <c r="I380" s="369">
        <f ca="1">IFERROR(__xludf.DUMMYFUNCTION("IMPORTRANGE(""https://docs.google.com/spreadsheets/d/11923uPwbBZFjjGgGUA6NLw09EwE0CqkOc4q9oUmW1yo/edit?usp=sharing"",""น่าน!I275"")"),1000)</f>
        <v>1000</v>
      </c>
      <c r="J380" s="369">
        <f ca="1">IFERROR(__xludf.DUMMYFUNCTION("IMPORTRANGE(""https://docs.google.com/spreadsheets/d/11923uPwbBZFjjGgGUA6NLw09EwE0CqkOc4q9oUmW1yo/edit?usp=sharing"",""น่าน!J275"")"),0)</f>
        <v>0</v>
      </c>
      <c r="K380" s="370">
        <f t="shared" ref="K380:K381" ca="1" si="108">IF(I380&gt;0,J380*100/I380,0)</f>
        <v>0</v>
      </c>
      <c r="L380" s="371">
        <f ca="1">IFERROR(__xludf.DUMMYFUNCTION("IMPORTRANGE(""https://docs.google.com/spreadsheets/d/11923uPwbBZFjjGgGUA6NLw09EwE0CqkOc4q9oUmW1yo/edit?usp=sharing"",""น่าน!L275"")"),1028520)</f>
        <v>1028520</v>
      </c>
      <c r="M380" s="371"/>
      <c r="N380" s="371">
        <f ca="1">IFERROR(__xludf.DUMMYFUNCTION("IMPORTRANGE(""https://docs.google.com/spreadsheets/d/11923uPwbBZFjjGgGUA6NLw09EwE0CqkOc4q9oUmW1yo/edit?usp=sharing"",""น่าน!M275"")"),113348)</f>
        <v>113348</v>
      </c>
      <c r="O380" s="371">
        <f ca="1">+IF(L380&gt;0,N380*100/L380,0)</f>
        <v>11.020495469217906</v>
      </c>
      <c r="P380" s="371"/>
    </row>
    <row r="381" spans="1:16" ht="21.75" customHeight="1" x14ac:dyDescent="0.3">
      <c r="A381" s="364"/>
      <c r="B381" s="365"/>
      <c r="C381" s="366"/>
      <c r="D381" s="382"/>
      <c r="E381" s="383"/>
      <c r="F381" s="383"/>
      <c r="G381" s="384"/>
      <c r="H381" s="368" t="s">
        <v>37</v>
      </c>
      <c r="I381" s="369">
        <f ca="1">IFERROR(__xludf.DUMMYFUNCTION("IMPORTRANGE(""https://docs.google.com/spreadsheets/d/11923uPwbBZFjjGgGUA6NLw09EwE0CqkOc4q9oUmW1yo/edit?usp=sharing"",""น่าน!I276"")"),100)</f>
        <v>100</v>
      </c>
      <c r="J381" s="369">
        <f ca="1">IFERROR(__xludf.DUMMYFUNCTION("IMPORTRANGE(""https://docs.google.com/spreadsheets/d/11923uPwbBZFjjGgGUA6NLw09EwE0CqkOc4q9oUmW1yo/edit?usp=sharing"",""น่าน!J276"")"),70)</f>
        <v>70</v>
      </c>
      <c r="K381" s="370">
        <f t="shared" ca="1" si="108"/>
        <v>70</v>
      </c>
      <c r="L381" s="371"/>
      <c r="M381" s="371"/>
      <c r="N381" s="371"/>
      <c r="O381" s="371"/>
      <c r="P381" s="371"/>
    </row>
    <row r="382" spans="1:16" ht="21.75" customHeight="1" x14ac:dyDescent="0.3">
      <c r="A382" s="156"/>
      <c r="B382" s="157"/>
      <c r="C382" s="157" t="s">
        <v>16</v>
      </c>
      <c r="D382" s="158" t="s">
        <v>38</v>
      </c>
      <c r="E382" s="159"/>
      <c r="F382" s="159"/>
      <c r="G382" s="160" t="s">
        <v>39</v>
      </c>
      <c r="H382" s="161" t="s">
        <v>12</v>
      </c>
      <c r="I382" s="162" t="s">
        <v>40</v>
      </c>
      <c r="J382" s="162"/>
      <c r="K382" s="163"/>
      <c r="L382" s="164">
        <f ca="1">IFERROR(__xludf.DUMMYFUNCTION("IMPORTRANGE(""https://docs.google.com/spreadsheets/d/11923uPwbBZFjjGgGUA6NLw09EwE0CqkOc4q9oUmW1yo/edit?usp=sharing"",""น่าน!L277"")"),0)</f>
        <v>0</v>
      </c>
      <c r="M382" s="164"/>
      <c r="N382" s="164">
        <f ca="1">IFERROR(__xludf.DUMMYFUNCTION("IMPORTRANGE(""https://docs.google.com/spreadsheets/d/11923uPwbBZFjjGgGUA6NLw09EwE0CqkOc4q9oUmW1yo/edit?usp=sharing"",""น่าน!M277"")"),0)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3">
      <c r="A383" s="156"/>
      <c r="B383" s="157"/>
      <c r="C383" s="157"/>
      <c r="D383" s="166"/>
      <c r="E383" s="159"/>
      <c r="F383" s="159" t="s">
        <v>40</v>
      </c>
      <c r="G383" s="160" t="s">
        <v>41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IFERROR(__xludf.DUMMYFUNCTION("IMPORTRANGE(""https://docs.google.com/spreadsheets/d/11923uPwbBZFjjGgGUA6NLw09EwE0CqkOc4q9oUmW1yo/edit?usp=sharing"",""น่าน!L278"")"),1028520)</f>
        <v>1028520</v>
      </c>
      <c r="M383" s="165"/>
      <c r="N383" s="165">
        <f ca="1">IFERROR(__xludf.DUMMYFUNCTION("IMPORTRANGE(""https://docs.google.com/spreadsheets/d/11923uPwbBZFjjGgGUA6NLw09EwE0CqkOc4q9oUmW1yo/edit?usp=sharing"",""น่าน!M278"")"),113348)</f>
        <v>113348</v>
      </c>
      <c r="O383" s="165">
        <f t="shared" ca="1" si="109"/>
        <v>11.020495469217906</v>
      </c>
      <c r="P383" s="165"/>
    </row>
    <row r="384" spans="1:16" ht="21.75" customHeight="1" x14ac:dyDescent="0.3">
      <c r="A384" s="156"/>
      <c r="B384" s="157"/>
      <c r="C384" s="157"/>
      <c r="D384" s="166"/>
      <c r="E384" s="159"/>
      <c r="F384" s="159"/>
      <c r="G384" s="372" t="s">
        <v>129</v>
      </c>
      <c r="H384" s="161" t="s">
        <v>12</v>
      </c>
      <c r="I384" s="162"/>
      <c r="J384" s="162"/>
      <c r="K384" s="163"/>
      <c r="L384" s="168">
        <f ca="1">IFERROR(__xludf.DUMMYFUNCTION("IMPORTRANGE(""https://docs.google.com/spreadsheets/d/11923uPwbBZFjjGgGUA6NLw09EwE0CqkOc4q9oUmW1yo/edit?usp=sharing"",""น่าน!L279"")"),0)</f>
        <v>0</v>
      </c>
      <c r="M384" s="168"/>
      <c r="N384" s="168">
        <f ca="1">IFERROR(__xludf.DUMMYFUNCTION("IMPORTRANGE(""https://docs.google.com/spreadsheets/d/11923uPwbBZFjjGgGUA6NLw09EwE0CqkOc4q9oUmW1yo/edit?usp=sharing"",""น่าน!M279"")"),0)</f>
        <v>0</v>
      </c>
      <c r="O384" s="168">
        <f t="shared" ca="1" si="109"/>
        <v>0</v>
      </c>
      <c r="P384" s="168"/>
    </row>
    <row r="385" spans="1:16" ht="21.75" customHeight="1" x14ac:dyDescent="0.3">
      <c r="A385" s="156"/>
      <c r="B385" s="157"/>
      <c r="C385" s="157"/>
      <c r="D385" s="166"/>
      <c r="E385" s="159"/>
      <c r="F385" s="159"/>
      <c r="G385" s="372" t="s">
        <v>130</v>
      </c>
      <c r="H385" s="161" t="s">
        <v>12</v>
      </c>
      <c r="I385" s="162"/>
      <c r="J385" s="162"/>
      <c r="K385" s="163"/>
      <c r="L385" s="168">
        <f ca="1">IFERROR(__xludf.DUMMYFUNCTION("IMPORTRANGE(""https://docs.google.com/spreadsheets/d/11923uPwbBZFjjGgGUA6NLw09EwE0CqkOc4q9oUmW1yo/edit?usp=sharing"",""น่าน!L280"")"),1028520)</f>
        <v>1028520</v>
      </c>
      <c r="M385" s="168"/>
      <c r="N385" s="167">
        <f ca="1">IFERROR(__xludf.DUMMYFUNCTION("IMPORTRANGE(""https://docs.google.com/spreadsheets/d/11923uPwbBZFjjGgGUA6NLw09EwE0CqkOc4q9oUmW1yo/edit?usp=sharing"",""น่าน!M280"")"),113348)</f>
        <v>113348</v>
      </c>
      <c r="O385" s="168">
        <f t="shared" ca="1" si="109"/>
        <v>11.020495469217906</v>
      </c>
      <c r="P385" s="168"/>
    </row>
    <row r="386" spans="1:16" ht="21.75" customHeight="1" x14ac:dyDescent="0.3">
      <c r="A386" s="373"/>
      <c r="B386" s="374"/>
      <c r="C386" s="157"/>
      <c r="D386" s="375"/>
      <c r="E386" s="159"/>
      <c r="F386" s="159"/>
      <c r="G386" s="376" t="s">
        <v>131</v>
      </c>
      <c r="H386" s="161" t="s">
        <v>12</v>
      </c>
      <c r="I386" s="187"/>
      <c r="J386" s="187"/>
      <c r="K386" s="223"/>
      <c r="L386" s="168"/>
      <c r="M386" s="168"/>
      <c r="N386" s="377">
        <f ca="1">IFERROR(__xludf.DUMMYFUNCTION("IMPORTRANGE(""https://docs.google.com/spreadsheets/d/11923uPwbBZFjjGgGUA6NLw09EwE0CqkOc4q9oUmW1yo/edit?usp=sharing"",""น่าน!M281"")"),79790)</f>
        <v>79790</v>
      </c>
      <c r="O386" s="168"/>
      <c r="P386" s="168"/>
    </row>
    <row r="387" spans="1:16" ht="21.75" customHeight="1" x14ac:dyDescent="0.3">
      <c r="A387" s="373"/>
      <c r="B387" s="374"/>
      <c r="C387" s="157"/>
      <c r="D387" s="375"/>
      <c r="E387" s="159"/>
      <c r="F387" s="159"/>
      <c r="G387" s="376" t="s">
        <v>132</v>
      </c>
      <c r="H387" s="161" t="s">
        <v>12</v>
      </c>
      <c r="I387" s="187"/>
      <c r="J387" s="187"/>
      <c r="K387" s="223"/>
      <c r="L387" s="168"/>
      <c r="M387" s="168"/>
      <c r="N387" s="377">
        <f ca="1">IFERROR(__xludf.DUMMYFUNCTION("IMPORTRANGE(""https://docs.google.com/spreadsheets/d/11923uPwbBZFjjGgGUA6NLw09EwE0CqkOc4q9oUmW1yo/edit?usp=sharing"",""น่าน!M282"")"),0)</f>
        <v>0</v>
      </c>
      <c r="O387" s="168"/>
      <c r="P387" s="168"/>
    </row>
    <row r="388" spans="1:16" ht="21.75" customHeight="1" x14ac:dyDescent="0.3">
      <c r="A388" s="373"/>
      <c r="B388" s="374"/>
      <c r="C388" s="157"/>
      <c r="D388" s="375"/>
      <c r="E388" s="159"/>
      <c r="F388" s="159"/>
      <c r="G388" s="376" t="s">
        <v>133</v>
      </c>
      <c r="H388" s="161" t="s">
        <v>12</v>
      </c>
      <c r="I388" s="187"/>
      <c r="J388" s="187"/>
      <c r="K388" s="223"/>
      <c r="L388" s="168"/>
      <c r="M388" s="168"/>
      <c r="N388" s="377">
        <f ca="1">IFERROR(__xludf.DUMMYFUNCTION("IMPORTRANGE(""https://docs.google.com/spreadsheets/d/11923uPwbBZFjjGgGUA6NLw09EwE0CqkOc4q9oUmW1yo/edit?usp=sharing"",""น่าน!M283"")"),33558)</f>
        <v>33558</v>
      </c>
      <c r="O388" s="168"/>
      <c r="P388" s="168"/>
    </row>
    <row r="389" spans="1:16" ht="21.75" customHeight="1" x14ac:dyDescent="0.3">
      <c r="A389" s="373"/>
      <c r="B389" s="374"/>
      <c r="C389" s="157"/>
      <c r="D389" s="375"/>
      <c r="E389" s="159"/>
      <c r="F389" s="159"/>
      <c r="G389" s="376" t="s">
        <v>134</v>
      </c>
      <c r="H389" s="161" t="s">
        <v>12</v>
      </c>
      <c r="I389" s="187"/>
      <c r="J389" s="187"/>
      <c r="K389" s="223"/>
      <c r="L389" s="168"/>
      <c r="M389" s="168"/>
      <c r="N389" s="377">
        <f ca="1">IFERROR(__xludf.DUMMYFUNCTION("IMPORTRANGE(""https://docs.google.com/spreadsheets/d/11923uPwbBZFjjGgGUA6NLw09EwE0CqkOc4q9oUmW1yo/edit?usp=sharing"",""น่าน!M284"")"),0)</f>
        <v>0</v>
      </c>
      <c r="O389" s="168"/>
      <c r="P389" s="168"/>
    </row>
    <row r="390" spans="1:16" ht="21.75" customHeight="1" x14ac:dyDescent="0.3">
      <c r="A390" s="175"/>
      <c r="B390" s="176"/>
      <c r="C390" s="157" t="s">
        <v>16</v>
      </c>
      <c r="D390" s="177" t="s">
        <v>44</v>
      </c>
      <c r="E390" s="178"/>
      <c r="F390" s="178"/>
      <c r="G390" s="179"/>
      <c r="H390" s="180"/>
      <c r="I390" s="162"/>
      <c r="J390" s="162"/>
      <c r="K390" s="163"/>
      <c r="L390" s="181"/>
      <c r="M390" s="181"/>
      <c r="N390" s="181"/>
      <c r="O390" s="181"/>
      <c r="P390" s="181"/>
    </row>
    <row r="391" spans="1:16" ht="21.75" customHeight="1" x14ac:dyDescent="0.3">
      <c r="A391" s="175"/>
      <c r="B391" s="176"/>
      <c r="C391" s="176"/>
      <c r="D391" s="182">
        <v>1</v>
      </c>
      <c r="E391" s="183" t="s">
        <v>45</v>
      </c>
      <c r="F391" s="184"/>
      <c r="G391" s="185"/>
      <c r="H391" s="186"/>
      <c r="I391" s="187"/>
      <c r="J391" s="197">
        <f ca="1">IFERROR(__xludf.DUMMYFUNCTION("IMPORTRANGE(""https://docs.google.com/spreadsheets/d/11923uPwbBZFjjGgGUA6NLw09EwE0CqkOc4q9oUmW1yo/edit?usp=sharing"",""น่าน!J286"")"),0)</f>
        <v>0</v>
      </c>
      <c r="K391" s="163"/>
      <c r="L391" s="181"/>
      <c r="M391" s="181"/>
      <c r="N391" s="181"/>
      <c r="O391" s="181"/>
      <c r="P391" s="181"/>
    </row>
    <row r="392" spans="1:16" ht="21.75" customHeight="1" x14ac:dyDescent="0.3">
      <c r="A392" s="175"/>
      <c r="B392" s="176"/>
      <c r="C392" s="176"/>
      <c r="D392" s="189">
        <v>2</v>
      </c>
      <c r="E392" s="190" t="s">
        <v>46</v>
      </c>
      <c r="F392" s="191"/>
      <c r="G392" s="192"/>
      <c r="H392" s="186"/>
      <c r="I392" s="187"/>
      <c r="J392" s="188">
        <f ca="1">IFERROR(__xludf.DUMMYFUNCTION("IMPORTRANGE(""https://docs.google.com/spreadsheets/d/11923uPwbBZFjjGgGUA6NLw09EwE0CqkOc4q9oUmW1yo/edit?usp=sharing"",""น่าน!J287"")"),1)</f>
        <v>1</v>
      </c>
      <c r="K392" s="163"/>
      <c r="L392" s="181" t="s">
        <v>40</v>
      </c>
      <c r="M392" s="181"/>
      <c r="N392" s="181" t="s">
        <v>40</v>
      </c>
      <c r="O392" s="181"/>
      <c r="P392" s="181"/>
    </row>
    <row r="393" spans="1:16" ht="21.75" customHeight="1" x14ac:dyDescent="0.3">
      <c r="A393" s="175"/>
      <c r="B393" s="176"/>
      <c r="C393" s="176"/>
      <c r="D393" s="193"/>
      <c r="E393" s="194" t="s">
        <v>47</v>
      </c>
      <c r="F393" s="195"/>
      <c r="G393" s="196"/>
      <c r="H393" s="186"/>
      <c r="I393" s="187"/>
      <c r="J393" s="188">
        <f ca="1">IFERROR(__xludf.DUMMYFUNCTION("IMPORTRANGE(""https://docs.google.com/spreadsheets/d/11923uPwbBZFjjGgGUA6NLw09EwE0CqkOc4q9oUmW1yo/edit?usp=sharing"",""น่าน!J288"")"),1)</f>
        <v>1</v>
      </c>
      <c r="K393" s="163"/>
      <c r="L393" s="181"/>
      <c r="M393" s="181"/>
      <c r="N393" s="181"/>
      <c r="O393" s="181"/>
      <c r="P393" s="181"/>
    </row>
    <row r="394" spans="1:16" ht="21.75" customHeight="1" x14ac:dyDescent="0.3">
      <c r="A394" s="175"/>
      <c r="B394" s="176"/>
      <c r="C394" s="176"/>
      <c r="D394" s="193"/>
      <c r="E394" s="194" t="s">
        <v>48</v>
      </c>
      <c r="F394" s="195"/>
      <c r="G394" s="196"/>
      <c r="H394" s="186"/>
      <c r="I394" s="187"/>
      <c r="J394" s="197">
        <f ca="1">IFERROR(__xludf.DUMMYFUNCTION("IMPORTRANGE(""https://docs.google.com/spreadsheets/d/11923uPwbBZFjjGgGUA6NLw09EwE0CqkOc4q9oUmW1yo/edit?usp=sharing"",""น่าน!J289"")"),1)</f>
        <v>1</v>
      </c>
      <c r="K394" s="163"/>
      <c r="L394" s="181"/>
      <c r="M394" s="181"/>
      <c r="N394" s="181"/>
      <c r="O394" s="181"/>
      <c r="P394" s="181"/>
    </row>
    <row r="395" spans="1:16" ht="21.75" customHeight="1" x14ac:dyDescent="0.3">
      <c r="A395" s="175"/>
      <c r="B395" s="176"/>
      <c r="C395" s="176"/>
      <c r="D395" s="193"/>
      <c r="E395" s="198"/>
      <c r="F395" s="194" t="s">
        <v>146</v>
      </c>
      <c r="G395" s="195"/>
      <c r="H395" s="186"/>
      <c r="I395" s="187"/>
      <c r="J395" s="187"/>
      <c r="K395" s="163"/>
      <c r="L395" s="181"/>
      <c r="M395" s="181"/>
      <c r="N395" s="181"/>
      <c r="O395" s="181"/>
      <c r="P395" s="181"/>
    </row>
    <row r="396" spans="1:16" ht="21.75" customHeight="1" x14ac:dyDescent="0.3">
      <c r="A396" s="175"/>
      <c r="B396" s="176"/>
      <c r="C396" s="176"/>
      <c r="D396" s="193"/>
      <c r="E396" s="198"/>
      <c r="F396" s="195"/>
      <c r="G396" s="291" t="s">
        <v>70</v>
      </c>
      <c r="H396" s="186" t="s">
        <v>37</v>
      </c>
      <c r="I396" s="187">
        <f ca="1">IFERROR(__xludf.DUMMYFUNCTION("IMPORTRANGE(""https://docs.google.com/spreadsheets/d/11923uPwbBZFjjGgGUA6NLw09EwE0CqkOc4q9oUmW1yo/edit?usp=sharing"",""น่าน!I291"")"),100)</f>
        <v>100</v>
      </c>
      <c r="J396" s="197">
        <f ca="1">IFERROR(__xludf.DUMMYFUNCTION("IMPORTRANGE(""https://docs.google.com/spreadsheets/d/11923uPwbBZFjjGgGUA6NLw09EwE0CqkOc4q9oUmW1yo/edit?usp=sharing"",""น่าน!J291"")"),70)</f>
        <v>70</v>
      </c>
      <c r="K396" s="163">
        <f t="shared" ref="K396:K398" ca="1" si="110">IF(I396&gt;0,J396*100/I396,0)</f>
        <v>70</v>
      </c>
      <c r="L396" s="181"/>
      <c r="M396" s="181"/>
      <c r="N396" s="181"/>
      <c r="O396" s="181"/>
      <c r="P396" s="181"/>
    </row>
    <row r="397" spans="1:16" ht="21.75" customHeight="1" x14ac:dyDescent="0.3">
      <c r="A397" s="175"/>
      <c r="B397" s="176"/>
      <c r="C397" s="176"/>
      <c r="D397" s="193"/>
      <c r="E397" s="198"/>
      <c r="F397" s="195"/>
      <c r="G397" s="196" t="s">
        <v>53</v>
      </c>
      <c r="H397" s="186" t="s">
        <v>122</v>
      </c>
      <c r="I397" s="187">
        <f ca="1">IFERROR(__xludf.DUMMYFUNCTION("IMPORTRANGE(""https://docs.google.com/spreadsheets/d/11923uPwbBZFjjGgGUA6NLw09EwE0CqkOc4q9oUmW1yo/edit?usp=sharing"",""น่าน!I292"")"),1000)</f>
        <v>1000</v>
      </c>
      <c r="J397" s="197">
        <f ca="1">IFERROR(__xludf.DUMMYFUNCTION("IMPORTRANGE(""https://docs.google.com/spreadsheets/d/11923uPwbBZFjjGgGUA6NLw09EwE0CqkOc4q9oUmW1yo/edit?usp=sharing"",""น่าน!J292"")"),0)</f>
        <v>0</v>
      </c>
      <c r="K397" s="163">
        <f t="shared" ca="1" si="110"/>
        <v>0</v>
      </c>
      <c r="L397" s="181"/>
      <c r="M397" s="181"/>
      <c r="N397" s="181"/>
      <c r="O397" s="181"/>
      <c r="P397" s="181"/>
    </row>
    <row r="398" spans="1:16" ht="21.75" customHeight="1" x14ac:dyDescent="0.3">
      <c r="A398" s="175"/>
      <c r="B398" s="176"/>
      <c r="C398" s="176"/>
      <c r="D398" s="193"/>
      <c r="E398" s="198"/>
      <c r="F398" s="195"/>
      <c r="G398" s="196"/>
      <c r="H398" s="186" t="s">
        <v>37</v>
      </c>
      <c r="I398" s="187">
        <f ca="1">IFERROR(__xludf.DUMMYFUNCTION("IMPORTRANGE(""https://docs.google.com/spreadsheets/d/11923uPwbBZFjjGgGUA6NLw09EwE0CqkOc4q9oUmW1yo/edit?usp=sharing"",""น่าน!I293"")"),100)</f>
        <v>100</v>
      </c>
      <c r="J398" s="197">
        <f ca="1">IFERROR(__xludf.DUMMYFUNCTION("IMPORTRANGE(""https://docs.google.com/spreadsheets/d/11923uPwbBZFjjGgGUA6NLw09EwE0CqkOc4q9oUmW1yo/edit?usp=sharing"",""น่าน!J293"")"),0)</f>
        <v>0</v>
      </c>
      <c r="K398" s="163">
        <f t="shared" ca="1" si="110"/>
        <v>0</v>
      </c>
      <c r="L398" s="181"/>
      <c r="M398" s="181"/>
      <c r="N398" s="181"/>
      <c r="O398" s="181"/>
      <c r="P398" s="181"/>
    </row>
    <row r="399" spans="1:16" ht="21.75" customHeight="1" x14ac:dyDescent="0.3">
      <c r="A399" s="175"/>
      <c r="B399" s="176"/>
      <c r="C399" s="176"/>
      <c r="D399" s="193"/>
      <c r="E399" s="194" t="s">
        <v>54</v>
      </c>
      <c r="F399" s="195"/>
      <c r="G399" s="196"/>
      <c r="H399" s="186"/>
      <c r="I399" s="187"/>
      <c r="J399" s="197">
        <f ca="1">IFERROR(__xludf.DUMMYFUNCTION("IMPORTRANGE(""https://docs.google.com/spreadsheets/d/11923uPwbBZFjjGgGUA6NLw09EwE0CqkOc4q9oUmW1yo/edit?usp=sharing"",""น่าน!J294"")"),0)</f>
        <v>0</v>
      </c>
      <c r="K399" s="163"/>
      <c r="L399" s="181"/>
      <c r="M399" s="181"/>
      <c r="N399" s="181"/>
      <c r="O399" s="181"/>
      <c r="P399" s="181"/>
    </row>
    <row r="400" spans="1:16" ht="21.75" customHeight="1" x14ac:dyDescent="0.3">
      <c r="A400" s="175"/>
      <c r="B400" s="176"/>
      <c r="C400" s="176"/>
      <c r="D400" s="205">
        <v>3</v>
      </c>
      <c r="E400" s="206" t="s">
        <v>55</v>
      </c>
      <c r="F400" s="207"/>
      <c r="G400" s="208"/>
      <c r="H400" s="186"/>
      <c r="I400" s="187"/>
      <c r="J400" s="209">
        <f ca="1">IFERROR(__xludf.DUMMYFUNCTION("IMPORTRANGE(""https://docs.google.com/spreadsheets/d/11923uPwbBZFjjGgGUA6NLw09EwE0CqkOc4q9oUmW1yo/edit?usp=sharing"",""น่าน!J295"")"),0)</f>
        <v>0</v>
      </c>
      <c r="K400" s="163"/>
      <c r="L400" s="181"/>
      <c r="M400" s="181"/>
      <c r="N400" s="181"/>
      <c r="O400" s="181"/>
      <c r="P400" s="181"/>
    </row>
    <row r="401" spans="1:16" ht="21.75" customHeight="1" x14ac:dyDescent="0.3">
      <c r="A401" s="364"/>
      <c r="B401" s="365">
        <v>3</v>
      </c>
      <c r="C401" s="365" t="s">
        <v>147</v>
      </c>
      <c r="D401" s="366"/>
      <c r="E401" s="366"/>
      <c r="F401" s="366"/>
      <c r="G401" s="367"/>
      <c r="H401" s="368" t="s">
        <v>122</v>
      </c>
      <c r="I401" s="369">
        <f ca="1">IFERROR(__xludf.DUMMYFUNCTION("IMPORTRANGE(""https://docs.google.com/spreadsheets/d/11923uPwbBZFjjGgGUA6NLw09EwE0CqkOc4q9oUmW1yo/edit?usp=sharing"",""น่าน!I296"")"),150)</f>
        <v>150</v>
      </c>
      <c r="J401" s="369">
        <f ca="1">IFERROR(__xludf.DUMMYFUNCTION("IMPORTRANGE(""https://docs.google.com/spreadsheets/d/11923uPwbBZFjjGgGUA6NLw09EwE0CqkOc4q9oUmW1yo/edit?usp=sharing"",""น่าน!J296"")"),0)</f>
        <v>0</v>
      </c>
      <c r="K401" s="370">
        <f t="shared" ref="K401:K402" ca="1" si="111">IF(I401&gt;0,J401*100/I401,0)</f>
        <v>0</v>
      </c>
      <c r="L401" s="371">
        <f ca="1">IFERROR(__xludf.DUMMYFUNCTION("IMPORTRANGE(""https://docs.google.com/spreadsheets/d/11923uPwbBZFjjGgGUA6NLw09EwE0CqkOc4q9oUmW1yo/edit?usp=sharing"",""น่าน!L296"")"),172800)</f>
        <v>172800</v>
      </c>
      <c r="M401" s="371"/>
      <c r="N401" s="371">
        <f ca="1">IFERROR(__xludf.DUMMYFUNCTION("IMPORTRANGE(""https://docs.google.com/spreadsheets/d/11923uPwbBZFjjGgGUA6NLw09EwE0CqkOc4q9oUmW1yo/edit?usp=sharing"",""น่าน!M296"")"),8060)</f>
        <v>8060</v>
      </c>
      <c r="O401" s="371">
        <f ca="1">+IF(L401&gt;0,N401*100/L401,0)</f>
        <v>4.6643518518518521</v>
      </c>
      <c r="P401" s="371"/>
    </row>
    <row r="402" spans="1:16" ht="21.75" customHeight="1" x14ac:dyDescent="0.3">
      <c r="A402" s="364"/>
      <c r="B402" s="365"/>
      <c r="C402" s="365"/>
      <c r="D402" s="382"/>
      <c r="E402" s="382"/>
      <c r="F402" s="382"/>
      <c r="G402" s="385"/>
      <c r="H402" s="368" t="s">
        <v>37</v>
      </c>
      <c r="I402" s="369">
        <f ca="1">IFERROR(__xludf.DUMMYFUNCTION("IMPORTRANGE(""https://docs.google.com/spreadsheets/d/11923uPwbBZFjjGgGUA6NLw09EwE0CqkOc4q9oUmW1yo/edit?usp=sharing"",""น่าน!I297"")"),50)</f>
        <v>50</v>
      </c>
      <c r="J402" s="369">
        <f ca="1">IFERROR(__xludf.DUMMYFUNCTION("IMPORTRANGE(""https://docs.google.com/spreadsheets/d/11923uPwbBZFjjGgGUA6NLw09EwE0CqkOc4q9oUmW1yo/edit?usp=sharing"",""น่าน!J297"")"),0)</f>
        <v>0</v>
      </c>
      <c r="K402" s="370">
        <f t="shared" ca="1" si="111"/>
        <v>0</v>
      </c>
      <c r="L402" s="371"/>
      <c r="M402" s="371"/>
      <c r="N402" s="371"/>
      <c r="O402" s="371"/>
      <c r="P402" s="371"/>
    </row>
    <row r="403" spans="1:16" ht="21.75" customHeight="1" x14ac:dyDescent="0.3">
      <c r="A403" s="156"/>
      <c r="B403" s="157"/>
      <c r="C403" s="157" t="s">
        <v>16</v>
      </c>
      <c r="D403" s="158" t="s">
        <v>38</v>
      </c>
      <c r="E403" s="159"/>
      <c r="F403" s="159"/>
      <c r="G403" s="160" t="s">
        <v>39</v>
      </c>
      <c r="H403" s="161" t="s">
        <v>12</v>
      </c>
      <c r="I403" s="162" t="s">
        <v>40</v>
      </c>
      <c r="J403" s="162"/>
      <c r="K403" s="163"/>
      <c r="L403" s="164">
        <f ca="1">IFERROR(__xludf.DUMMYFUNCTION("IMPORTRANGE(""https://docs.google.com/spreadsheets/d/11923uPwbBZFjjGgGUA6NLw09EwE0CqkOc4q9oUmW1yo/edit?usp=sharing"",""น่าน!L298"")"),0)</f>
        <v>0</v>
      </c>
      <c r="M403" s="164"/>
      <c r="N403" s="168">
        <f ca="1">IFERROR(__xludf.DUMMYFUNCTION("IMPORTRANGE(""https://docs.google.com/spreadsheets/d/11923uPwbBZFjjGgGUA6NLw09EwE0CqkOc4q9oUmW1yo/edit?usp=sharing"",""น่าน!M298"")"),0)</f>
        <v>0</v>
      </c>
      <c r="O403" s="168">
        <f t="shared" ref="O403:O406" ca="1" si="112">+IF(L403&gt;0,N403*100/L403,0)</f>
        <v>0</v>
      </c>
      <c r="P403" s="168"/>
    </row>
    <row r="404" spans="1:16" ht="21.75" customHeight="1" x14ac:dyDescent="0.3">
      <c r="A404" s="156"/>
      <c r="B404" s="157"/>
      <c r="C404" s="157"/>
      <c r="D404" s="166"/>
      <c r="E404" s="159"/>
      <c r="F404" s="159" t="s">
        <v>40</v>
      </c>
      <c r="G404" s="160" t="s">
        <v>41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IFERROR(__xludf.DUMMYFUNCTION("IMPORTRANGE(""https://docs.google.com/spreadsheets/d/11923uPwbBZFjjGgGUA6NLw09EwE0CqkOc4q9oUmW1yo/edit?usp=sharing"",""น่าน!L299"")"),172800)</f>
        <v>172800</v>
      </c>
      <c r="M404" s="165"/>
      <c r="N404" s="168">
        <f ca="1">IFERROR(__xludf.DUMMYFUNCTION("IMPORTRANGE(""https://docs.google.com/spreadsheets/d/11923uPwbBZFjjGgGUA6NLw09EwE0CqkOc4q9oUmW1yo/edit?usp=sharing"",""น่าน!M299"")"),8060)</f>
        <v>8060</v>
      </c>
      <c r="O404" s="168">
        <f t="shared" ca="1" si="112"/>
        <v>4.6643518518518521</v>
      </c>
      <c r="P404" s="168"/>
    </row>
    <row r="405" spans="1:16" ht="21.75" customHeight="1" x14ac:dyDescent="0.3">
      <c r="A405" s="156"/>
      <c r="B405" s="157"/>
      <c r="C405" s="157"/>
      <c r="D405" s="166"/>
      <c r="E405" s="159"/>
      <c r="F405" s="159"/>
      <c r="G405" s="372" t="s">
        <v>129</v>
      </c>
      <c r="H405" s="161" t="s">
        <v>12</v>
      </c>
      <c r="I405" s="162"/>
      <c r="J405" s="162"/>
      <c r="K405" s="163"/>
      <c r="L405" s="168">
        <f ca="1">IFERROR(__xludf.DUMMYFUNCTION("IMPORTRANGE(""https://docs.google.com/spreadsheets/d/11923uPwbBZFjjGgGUA6NLw09EwE0CqkOc4q9oUmW1yo/edit?usp=sharing"",""น่าน!L300"")"),0)</f>
        <v>0</v>
      </c>
      <c r="M405" s="168"/>
      <c r="N405" s="168">
        <f ca="1">IFERROR(__xludf.DUMMYFUNCTION("IMPORTRANGE(""https://docs.google.com/spreadsheets/d/11923uPwbBZFjjGgGUA6NLw09EwE0CqkOc4q9oUmW1yo/edit?usp=sharing"",""น่าน!M300"")"),0)</f>
        <v>0</v>
      </c>
      <c r="O405" s="168">
        <f t="shared" ca="1" si="112"/>
        <v>0</v>
      </c>
      <c r="P405" s="168"/>
    </row>
    <row r="406" spans="1:16" ht="21.75" customHeight="1" x14ac:dyDescent="0.3">
      <c r="A406" s="156"/>
      <c r="B406" s="157"/>
      <c r="C406" s="157"/>
      <c r="D406" s="166"/>
      <c r="E406" s="159"/>
      <c r="F406" s="159"/>
      <c r="G406" s="372" t="s">
        <v>130</v>
      </c>
      <c r="H406" s="161" t="s">
        <v>12</v>
      </c>
      <c r="I406" s="162"/>
      <c r="J406" s="162"/>
      <c r="K406" s="163"/>
      <c r="L406" s="168">
        <f ca="1">IFERROR(__xludf.DUMMYFUNCTION("IMPORTRANGE(""https://docs.google.com/spreadsheets/d/11923uPwbBZFjjGgGUA6NLw09EwE0CqkOc4q9oUmW1yo/edit?usp=sharing"",""น่าน!L301"")"),172800)</f>
        <v>172800</v>
      </c>
      <c r="M406" s="168"/>
      <c r="N406" s="168">
        <f ca="1">IFERROR(__xludf.DUMMYFUNCTION("IMPORTRANGE(""https://docs.google.com/spreadsheets/d/11923uPwbBZFjjGgGUA6NLw09EwE0CqkOc4q9oUmW1yo/edit?usp=sharing"",""น่าน!M301"")"),8060)</f>
        <v>8060</v>
      </c>
      <c r="O406" s="168">
        <f t="shared" ca="1" si="112"/>
        <v>4.6643518518518521</v>
      </c>
      <c r="P406" s="168"/>
    </row>
    <row r="407" spans="1:16" ht="21.75" customHeight="1" x14ac:dyDescent="0.3">
      <c r="A407" s="373"/>
      <c r="B407" s="374"/>
      <c r="C407" s="157"/>
      <c r="D407" s="375"/>
      <c r="E407" s="159"/>
      <c r="F407" s="159"/>
      <c r="G407" s="376" t="s">
        <v>131</v>
      </c>
      <c r="H407" s="161" t="s">
        <v>12</v>
      </c>
      <c r="I407" s="187"/>
      <c r="J407" s="187"/>
      <c r="K407" s="223"/>
      <c r="L407" s="168"/>
      <c r="M407" s="168"/>
      <c r="N407" s="377">
        <f ca="1">IFERROR(__xludf.DUMMYFUNCTION("IMPORTRANGE(""https://docs.google.com/spreadsheets/d/11923uPwbBZFjjGgGUA6NLw09EwE0CqkOc4q9oUmW1yo/edit?usp=sharing"",""น่าน!M302"")"),8060)</f>
        <v>8060</v>
      </c>
      <c r="O407" s="168"/>
      <c r="P407" s="168"/>
    </row>
    <row r="408" spans="1:16" ht="21.75" customHeight="1" x14ac:dyDescent="0.3">
      <c r="A408" s="373"/>
      <c r="B408" s="374"/>
      <c r="C408" s="157"/>
      <c r="D408" s="375"/>
      <c r="E408" s="159"/>
      <c r="F408" s="159"/>
      <c r="G408" s="376" t="s">
        <v>132</v>
      </c>
      <c r="H408" s="161" t="s">
        <v>12</v>
      </c>
      <c r="I408" s="187"/>
      <c r="J408" s="187"/>
      <c r="K408" s="223"/>
      <c r="L408" s="168"/>
      <c r="M408" s="168"/>
      <c r="N408" s="377">
        <f ca="1">IFERROR(__xludf.DUMMYFUNCTION("IMPORTRANGE(""https://docs.google.com/spreadsheets/d/11923uPwbBZFjjGgGUA6NLw09EwE0CqkOc4q9oUmW1yo/edit?usp=sharing"",""น่าน!M303"")"),0)</f>
        <v>0</v>
      </c>
      <c r="O408" s="168"/>
      <c r="P408" s="168"/>
    </row>
    <row r="409" spans="1:16" ht="21.75" customHeight="1" x14ac:dyDescent="0.3">
      <c r="A409" s="373"/>
      <c r="B409" s="374"/>
      <c r="C409" s="157"/>
      <c r="D409" s="375"/>
      <c r="E409" s="159"/>
      <c r="F409" s="159"/>
      <c r="G409" s="376" t="s">
        <v>133</v>
      </c>
      <c r="H409" s="161" t="s">
        <v>12</v>
      </c>
      <c r="I409" s="187"/>
      <c r="J409" s="187"/>
      <c r="K409" s="223"/>
      <c r="L409" s="168"/>
      <c r="M409" s="168"/>
      <c r="N409" s="377">
        <f ca="1">IFERROR(__xludf.DUMMYFUNCTION("IMPORTRANGE(""https://docs.google.com/spreadsheets/d/11923uPwbBZFjjGgGUA6NLw09EwE0CqkOc4q9oUmW1yo/edit?usp=sharing"",""น่าน!M304"")"),0)</f>
        <v>0</v>
      </c>
      <c r="O409" s="168"/>
      <c r="P409" s="168"/>
    </row>
    <row r="410" spans="1:16" ht="21.75" customHeight="1" x14ac:dyDescent="0.3">
      <c r="A410" s="373"/>
      <c r="B410" s="374"/>
      <c r="C410" s="157"/>
      <c r="D410" s="375"/>
      <c r="E410" s="159"/>
      <c r="F410" s="159"/>
      <c r="G410" s="376" t="s">
        <v>134</v>
      </c>
      <c r="H410" s="161" t="s">
        <v>12</v>
      </c>
      <c r="I410" s="187"/>
      <c r="J410" s="187"/>
      <c r="K410" s="223"/>
      <c r="L410" s="168"/>
      <c r="M410" s="168"/>
      <c r="N410" s="377">
        <f ca="1">IFERROR(__xludf.DUMMYFUNCTION("IMPORTRANGE(""https://docs.google.com/spreadsheets/d/11923uPwbBZFjjGgGUA6NLw09EwE0CqkOc4q9oUmW1yo/edit?usp=sharing"",""น่าน!M305"")"),0)</f>
        <v>0</v>
      </c>
      <c r="O410" s="168"/>
      <c r="P410" s="168"/>
    </row>
    <row r="411" spans="1:16" ht="21.75" customHeight="1" x14ac:dyDescent="0.3">
      <c r="A411" s="175"/>
      <c r="B411" s="176"/>
      <c r="C411" s="157" t="s">
        <v>16</v>
      </c>
      <c r="D411" s="177" t="s">
        <v>44</v>
      </c>
      <c r="E411" s="178"/>
      <c r="F411" s="178"/>
      <c r="G411" s="179"/>
      <c r="H411" s="180"/>
      <c r="I411" s="162"/>
      <c r="J411" s="162"/>
      <c r="K411" s="163"/>
      <c r="L411" s="181"/>
      <c r="M411" s="181"/>
      <c r="N411" s="181"/>
      <c r="O411" s="181"/>
      <c r="P411" s="181"/>
    </row>
    <row r="412" spans="1:16" ht="21.75" customHeight="1" x14ac:dyDescent="0.3">
      <c r="A412" s="175"/>
      <c r="B412" s="176"/>
      <c r="C412" s="176"/>
      <c r="D412" s="182">
        <v>1</v>
      </c>
      <c r="E412" s="183" t="s">
        <v>45</v>
      </c>
      <c r="F412" s="184"/>
      <c r="G412" s="185"/>
      <c r="H412" s="186"/>
      <c r="I412" s="187"/>
      <c r="J412" s="197">
        <f ca="1">IFERROR(__xludf.DUMMYFUNCTION("IMPORTRANGE(""https://docs.google.com/spreadsheets/d/11923uPwbBZFjjGgGUA6NLw09EwE0CqkOc4q9oUmW1yo/edit?usp=sharing"",""น่าน!J307"")"),0)</f>
        <v>0</v>
      </c>
      <c r="K412" s="163"/>
      <c r="L412" s="181"/>
      <c r="M412" s="181"/>
      <c r="N412" s="181"/>
      <c r="O412" s="181"/>
      <c r="P412" s="181"/>
    </row>
    <row r="413" spans="1:16" ht="21.75" customHeight="1" x14ac:dyDescent="0.3">
      <c r="A413" s="175"/>
      <c r="B413" s="176"/>
      <c r="C413" s="176"/>
      <c r="D413" s="189">
        <v>2</v>
      </c>
      <c r="E413" s="190" t="s">
        <v>46</v>
      </c>
      <c r="F413" s="191"/>
      <c r="G413" s="192"/>
      <c r="H413" s="186"/>
      <c r="I413" s="187"/>
      <c r="J413" s="188">
        <f ca="1">IFERROR(__xludf.DUMMYFUNCTION("IMPORTRANGE(""https://docs.google.com/spreadsheets/d/11923uPwbBZFjjGgGUA6NLw09EwE0CqkOc4q9oUmW1yo/edit?usp=sharing"",""น่าน!J308"")"),1)</f>
        <v>1</v>
      </c>
      <c r="K413" s="163"/>
      <c r="L413" s="181" t="s">
        <v>40</v>
      </c>
      <c r="M413" s="181"/>
      <c r="N413" s="181" t="s">
        <v>40</v>
      </c>
      <c r="O413" s="181"/>
      <c r="P413" s="181"/>
    </row>
    <row r="414" spans="1:16" ht="21.75" customHeight="1" x14ac:dyDescent="0.3">
      <c r="A414" s="175"/>
      <c r="B414" s="176"/>
      <c r="C414" s="176"/>
      <c r="D414" s="193"/>
      <c r="E414" s="194" t="s">
        <v>47</v>
      </c>
      <c r="F414" s="195"/>
      <c r="G414" s="196"/>
      <c r="H414" s="186"/>
      <c r="I414" s="187"/>
      <c r="J414" s="188">
        <f ca="1">IFERROR(__xludf.DUMMYFUNCTION("IMPORTRANGE(""https://docs.google.com/spreadsheets/d/11923uPwbBZFjjGgGUA6NLw09EwE0CqkOc4q9oUmW1yo/edit?usp=sharing"",""น่าน!J309"")"),1)</f>
        <v>1</v>
      </c>
      <c r="K414" s="163"/>
      <c r="L414" s="181"/>
      <c r="M414" s="181"/>
      <c r="N414" s="181"/>
      <c r="O414" s="181"/>
      <c r="P414" s="181"/>
    </row>
    <row r="415" spans="1:16" ht="21.75" customHeight="1" x14ac:dyDescent="0.3">
      <c r="A415" s="175"/>
      <c r="B415" s="176"/>
      <c r="C415" s="176"/>
      <c r="D415" s="193"/>
      <c r="E415" s="194" t="s">
        <v>48</v>
      </c>
      <c r="F415" s="195"/>
      <c r="G415" s="196"/>
      <c r="H415" s="186"/>
      <c r="I415" s="187"/>
      <c r="J415" s="197">
        <f ca="1">IFERROR(__xludf.DUMMYFUNCTION("IMPORTRANGE(""https://docs.google.com/spreadsheets/d/11923uPwbBZFjjGgGUA6NLw09EwE0CqkOc4q9oUmW1yo/edit?usp=sharing"",""น่าน!J310"")"),1)</f>
        <v>1</v>
      </c>
      <c r="K415" s="163"/>
      <c r="L415" s="181"/>
      <c r="M415" s="181"/>
      <c r="N415" s="181"/>
      <c r="O415" s="181"/>
      <c r="P415" s="181"/>
    </row>
    <row r="416" spans="1:16" ht="21.75" customHeight="1" x14ac:dyDescent="0.3">
      <c r="A416" s="175"/>
      <c r="B416" s="176"/>
      <c r="C416" s="176"/>
      <c r="D416" s="193"/>
      <c r="E416" s="198"/>
      <c r="F416" s="194" t="s">
        <v>70</v>
      </c>
      <c r="G416" s="386"/>
      <c r="H416" s="387" t="s">
        <v>37</v>
      </c>
      <c r="I416" s="200">
        <f ca="1">IFERROR(__xludf.DUMMYFUNCTION("IMPORTRANGE(""https://docs.google.com/spreadsheets/d/11923uPwbBZFjjGgGUA6NLw09EwE0CqkOc4q9oUmW1yo/edit?usp=sharing"",""น่าน!I311"")"),50)</f>
        <v>50</v>
      </c>
      <c r="J416" s="200">
        <f ca="1">IFERROR(__xludf.DUMMYFUNCTION("IMPORTRANGE(""https://docs.google.com/spreadsheets/d/11923uPwbBZFjjGgGUA6NLw09EwE0CqkOc4q9oUmW1yo/edit?usp=sharing"",""น่าน!J311"")"),0)</f>
        <v>0</v>
      </c>
      <c r="K416" s="201">
        <f t="shared" ref="K416:K432" ca="1" si="113">IF(I416&gt;0,J416*100/I416,0)</f>
        <v>0</v>
      </c>
      <c r="L416" s="181"/>
      <c r="M416" s="181"/>
      <c r="N416" s="181"/>
      <c r="O416" s="181"/>
      <c r="P416" s="181"/>
    </row>
    <row r="417" spans="1:16" ht="21.75" customHeight="1" x14ac:dyDescent="0.45">
      <c r="A417" s="175"/>
      <c r="B417" s="176"/>
      <c r="C417" s="176"/>
      <c r="D417" s="193"/>
      <c r="E417" s="198"/>
      <c r="F417" s="388" t="s">
        <v>148</v>
      </c>
      <c r="G417" s="196"/>
      <c r="H417" s="199" t="s">
        <v>37</v>
      </c>
      <c r="I417" s="389">
        <f ca="1">IFERROR(__xludf.DUMMYFUNCTION("IMPORTRANGE(""https://docs.google.com/spreadsheets/d/11923uPwbBZFjjGgGUA6NLw09EwE0CqkOc4q9oUmW1yo/edit?usp=sharing"",""น่าน!I312"")"),10)</f>
        <v>10</v>
      </c>
      <c r="J417" s="390">
        <f ca="1">IFERROR(__xludf.DUMMYFUNCTION("IMPORTRANGE(""https://docs.google.com/spreadsheets/d/11923uPwbBZFjjGgGUA6NLw09EwE0CqkOc4q9oUmW1yo/edit?usp=sharing"",""น่าน!J312"")"),0)</f>
        <v>0</v>
      </c>
      <c r="K417" s="201">
        <f t="shared" ca="1" si="113"/>
        <v>0</v>
      </c>
      <c r="L417" s="181"/>
      <c r="M417" s="181"/>
      <c r="N417" s="181"/>
      <c r="O417" s="181"/>
      <c r="P417" s="181"/>
    </row>
    <row r="418" spans="1:16" ht="21.75" customHeight="1" x14ac:dyDescent="0.45">
      <c r="A418" s="175"/>
      <c r="B418" s="176"/>
      <c r="C418" s="176"/>
      <c r="D418" s="193"/>
      <c r="E418" s="198"/>
      <c r="F418" s="195"/>
      <c r="G418" s="196"/>
      <c r="H418" s="199" t="s">
        <v>122</v>
      </c>
      <c r="I418" s="389">
        <f ca="1">IFERROR(__xludf.DUMMYFUNCTION("IMPORTRANGE(""https://docs.google.com/spreadsheets/d/11923uPwbBZFjjGgGUA6NLw09EwE0CqkOc4q9oUmW1yo/edit?usp=sharing"",""น่าน!I313"")"),30)</f>
        <v>30</v>
      </c>
      <c r="J418" s="391">
        <f ca="1">IFERROR(__xludf.DUMMYFUNCTION("IMPORTRANGE(""https://docs.google.com/spreadsheets/d/11923uPwbBZFjjGgGUA6NLw09EwE0CqkOc4q9oUmW1yo/edit?usp=sharing"",""น่าน!J313"")"),0)</f>
        <v>0</v>
      </c>
      <c r="K418" s="201">
        <f t="shared" ca="1" si="113"/>
        <v>0</v>
      </c>
      <c r="L418" s="181"/>
      <c r="M418" s="181"/>
      <c r="N418" s="181"/>
      <c r="O418" s="181"/>
      <c r="P418" s="181"/>
    </row>
    <row r="419" spans="1:16" ht="21.75" customHeight="1" x14ac:dyDescent="0.45">
      <c r="A419" s="175"/>
      <c r="B419" s="176"/>
      <c r="C419" s="176"/>
      <c r="D419" s="193"/>
      <c r="E419" s="198"/>
      <c r="F419" s="195"/>
      <c r="G419" s="225" t="s">
        <v>149</v>
      </c>
      <c r="H419" s="180" t="s">
        <v>37</v>
      </c>
      <c r="I419" s="339">
        <f ca="1">IFERROR(__xludf.DUMMYFUNCTION("IMPORTRANGE(""https://docs.google.com/spreadsheets/d/11923uPwbBZFjjGgGUA6NLw09EwE0CqkOc4q9oUmW1yo/edit?usp=sharing"",""น่าน!I314"")"),10)</f>
        <v>10</v>
      </c>
      <c r="J419" s="392">
        <f ca="1">IFERROR(__xludf.DUMMYFUNCTION("IMPORTRANGE(""https://docs.google.com/spreadsheets/d/11923uPwbBZFjjGgGUA6NLw09EwE0CqkOc4q9oUmW1yo/edit?usp=sharing"",""น่าน!J314"")"),0)</f>
        <v>0</v>
      </c>
      <c r="K419" s="163">
        <f t="shared" ca="1" si="113"/>
        <v>0</v>
      </c>
      <c r="L419" s="181"/>
      <c r="M419" s="181"/>
      <c r="N419" s="181"/>
      <c r="O419" s="181"/>
      <c r="P419" s="181"/>
    </row>
    <row r="420" spans="1:16" ht="21.75" customHeight="1" x14ac:dyDescent="0.45">
      <c r="A420" s="233"/>
      <c r="B420" s="234"/>
      <c r="C420" s="234"/>
      <c r="D420" s="393"/>
      <c r="E420" s="394"/>
      <c r="F420" s="345"/>
      <c r="G420" s="395" t="s">
        <v>150</v>
      </c>
      <c r="H420" s="347" t="s">
        <v>37</v>
      </c>
      <c r="I420" s="396">
        <f ca="1">IFERROR(__xludf.DUMMYFUNCTION("IMPORTRANGE(""https://docs.google.com/spreadsheets/d/11923uPwbBZFjjGgGUA6NLw09EwE0CqkOc4q9oUmW1yo/edit?usp=sharing"",""น่าน!I315"")"),10)</f>
        <v>10</v>
      </c>
      <c r="J420" s="392">
        <f ca="1">IFERROR(__xludf.DUMMYFUNCTION("IMPORTRANGE(""https://docs.google.com/spreadsheets/d/11923uPwbBZFjjGgGUA6NLw09EwE0CqkOc4q9oUmW1yo/edit?usp=sharing"",""น่าน!J315"")"),10)</f>
        <v>10</v>
      </c>
      <c r="K420" s="286">
        <f t="shared" ca="1" si="113"/>
        <v>100</v>
      </c>
      <c r="L420" s="244"/>
      <c r="M420" s="244"/>
      <c r="N420" s="244"/>
      <c r="O420" s="244"/>
      <c r="P420" s="244"/>
    </row>
    <row r="421" spans="1:16" ht="21.75" customHeight="1" x14ac:dyDescent="0.45">
      <c r="A421" s="175"/>
      <c r="B421" s="176"/>
      <c r="C421" s="176"/>
      <c r="D421" s="193"/>
      <c r="E421" s="198"/>
      <c r="F421" s="388" t="s">
        <v>151</v>
      </c>
      <c r="G421" s="196"/>
      <c r="H421" s="199" t="s">
        <v>37</v>
      </c>
      <c r="I421" s="389">
        <f ca="1">IFERROR(__xludf.DUMMYFUNCTION("IMPORTRANGE(""https://docs.google.com/spreadsheets/d/11923uPwbBZFjjGgGUA6NLw09EwE0CqkOc4q9oUmW1yo/edit?usp=sharing"",""น่าน!I316"")"),30)</f>
        <v>30</v>
      </c>
      <c r="J421" s="390">
        <f ca="1">IFERROR(__xludf.DUMMYFUNCTION("IMPORTRANGE(""https://docs.google.com/spreadsheets/d/11923uPwbBZFjjGgGUA6NLw09EwE0CqkOc4q9oUmW1yo/edit?usp=sharing"",""น่าน!J316"")"),0)</f>
        <v>0</v>
      </c>
      <c r="K421" s="201">
        <f t="shared" ca="1" si="113"/>
        <v>0</v>
      </c>
      <c r="L421" s="181"/>
      <c r="M421" s="181"/>
      <c r="N421" s="181"/>
      <c r="O421" s="181"/>
      <c r="P421" s="181"/>
    </row>
    <row r="422" spans="1:16" ht="21.75" customHeight="1" x14ac:dyDescent="0.45">
      <c r="A422" s="175"/>
      <c r="B422" s="176"/>
      <c r="C422" s="176"/>
      <c r="D422" s="193"/>
      <c r="E422" s="198"/>
      <c r="F422" s="195"/>
      <c r="G422" s="196"/>
      <c r="H422" s="199" t="s">
        <v>122</v>
      </c>
      <c r="I422" s="389">
        <f ca="1">IFERROR(__xludf.DUMMYFUNCTION("IMPORTRANGE(""https://docs.google.com/spreadsheets/d/11923uPwbBZFjjGgGUA6NLw09EwE0CqkOc4q9oUmW1yo/edit?usp=sharing"",""น่าน!I317"")"),90)</f>
        <v>90</v>
      </c>
      <c r="J422" s="391">
        <f ca="1">IFERROR(__xludf.DUMMYFUNCTION("IMPORTRANGE(""https://docs.google.com/spreadsheets/d/11923uPwbBZFjjGgGUA6NLw09EwE0CqkOc4q9oUmW1yo/edit?usp=sharing"",""น่าน!J317"")"),0)</f>
        <v>0</v>
      </c>
      <c r="K422" s="201">
        <f t="shared" ca="1" si="113"/>
        <v>0</v>
      </c>
      <c r="L422" s="181"/>
      <c r="M422" s="181"/>
      <c r="N422" s="181"/>
      <c r="O422" s="181"/>
      <c r="P422" s="181"/>
    </row>
    <row r="423" spans="1:16" ht="21.75" customHeight="1" x14ac:dyDescent="0.45">
      <c r="A423" s="175"/>
      <c r="B423" s="176"/>
      <c r="C423" s="176"/>
      <c r="D423" s="193"/>
      <c r="E423" s="198"/>
      <c r="F423" s="195"/>
      <c r="G423" s="225" t="s">
        <v>152</v>
      </c>
      <c r="H423" s="180" t="s">
        <v>37</v>
      </c>
      <c r="I423" s="339">
        <f ca="1">IFERROR(__xludf.DUMMYFUNCTION("IMPORTRANGE(""https://docs.google.com/spreadsheets/d/11923uPwbBZFjjGgGUA6NLw09EwE0CqkOc4q9oUmW1yo/edit?usp=sharing"",""น่าน!I318"")"),30)</f>
        <v>30</v>
      </c>
      <c r="J423" s="392">
        <f ca="1">IFERROR(__xludf.DUMMYFUNCTION("IMPORTRANGE(""https://docs.google.com/spreadsheets/d/11923uPwbBZFjjGgGUA6NLw09EwE0CqkOc4q9oUmW1yo/edit?usp=sharing"",""น่าน!J318"")"),0)</f>
        <v>0</v>
      </c>
      <c r="K423" s="163">
        <f t="shared" ca="1" si="113"/>
        <v>0</v>
      </c>
      <c r="L423" s="181"/>
      <c r="M423" s="181"/>
      <c r="N423" s="181"/>
      <c r="O423" s="181"/>
      <c r="P423" s="181"/>
    </row>
    <row r="424" spans="1:16" ht="21.75" customHeight="1" x14ac:dyDescent="0.45">
      <c r="A424" s="175"/>
      <c r="B424" s="176"/>
      <c r="C424" s="176"/>
      <c r="D424" s="193"/>
      <c r="E424" s="198"/>
      <c r="F424" s="195"/>
      <c r="G424" s="225" t="s">
        <v>153</v>
      </c>
      <c r="H424" s="180" t="s">
        <v>37</v>
      </c>
      <c r="I424" s="339">
        <f ca="1">IFERROR(__xludf.DUMMYFUNCTION("IMPORTRANGE(""https://docs.google.com/spreadsheets/d/11923uPwbBZFjjGgGUA6NLw09EwE0CqkOc4q9oUmW1yo/edit?usp=sharing"",""น่าน!I319"")"),30)</f>
        <v>30</v>
      </c>
      <c r="J424" s="392">
        <f ca="1">IFERROR(__xludf.DUMMYFUNCTION("IMPORTRANGE(""https://docs.google.com/spreadsheets/d/11923uPwbBZFjjGgGUA6NLw09EwE0CqkOc4q9oUmW1yo/edit?usp=sharing"",""น่าน!J319"")"),0)</f>
        <v>0</v>
      </c>
      <c r="K424" s="163">
        <f t="shared" ca="1" si="113"/>
        <v>0</v>
      </c>
      <c r="L424" s="181"/>
      <c r="M424" s="181"/>
      <c r="N424" s="181"/>
      <c r="O424" s="181"/>
      <c r="P424" s="181"/>
    </row>
    <row r="425" spans="1:16" ht="21.75" customHeight="1" x14ac:dyDescent="0.45">
      <c r="A425" s="175"/>
      <c r="B425" s="176"/>
      <c r="C425" s="176"/>
      <c r="D425" s="193"/>
      <c r="E425" s="198"/>
      <c r="F425" s="195"/>
      <c r="G425" s="225" t="s">
        <v>154</v>
      </c>
      <c r="H425" s="180" t="s">
        <v>37</v>
      </c>
      <c r="I425" s="339">
        <f ca="1">IFERROR(__xludf.DUMMYFUNCTION("IMPORTRANGE(""https://docs.google.com/spreadsheets/d/11923uPwbBZFjjGgGUA6NLw09EwE0CqkOc4q9oUmW1yo/edit?usp=sharing"",""น่าน!I320"")"),30)</f>
        <v>30</v>
      </c>
      <c r="J425" s="392">
        <f ca="1">IFERROR(__xludf.DUMMYFUNCTION("IMPORTRANGE(""https://docs.google.com/spreadsheets/d/11923uPwbBZFjjGgGUA6NLw09EwE0CqkOc4q9oUmW1yo/edit?usp=sharing"",""น่าน!J320"")"),0)</f>
        <v>0</v>
      </c>
      <c r="K425" s="163">
        <f t="shared" ca="1" si="113"/>
        <v>0</v>
      </c>
      <c r="L425" s="181"/>
      <c r="M425" s="181"/>
      <c r="N425" s="181"/>
      <c r="O425" s="181"/>
      <c r="P425" s="181"/>
    </row>
    <row r="426" spans="1:16" ht="21.75" customHeight="1" x14ac:dyDescent="0.45">
      <c r="A426" s="175"/>
      <c r="B426" s="176"/>
      <c r="C426" s="176"/>
      <c r="D426" s="193"/>
      <c r="E426" s="198"/>
      <c r="F426" s="397" t="s">
        <v>155</v>
      </c>
      <c r="G426" s="196"/>
      <c r="H426" s="199" t="s">
        <v>37</v>
      </c>
      <c r="I426" s="389">
        <f ca="1">IFERROR(__xludf.DUMMYFUNCTION("IMPORTRANGE(""https://docs.google.com/spreadsheets/d/11923uPwbBZFjjGgGUA6NLw09EwE0CqkOc4q9oUmW1yo/edit?usp=sharing"",""น่าน!I321"")"),10)</f>
        <v>10</v>
      </c>
      <c r="J426" s="390">
        <f ca="1">IFERROR(__xludf.DUMMYFUNCTION("IMPORTRANGE(""https://docs.google.com/spreadsheets/d/11923uPwbBZFjjGgGUA6NLw09EwE0CqkOc4q9oUmW1yo/edit?usp=sharing"",""น่าน!J321"")"),0)</f>
        <v>0</v>
      </c>
      <c r="K426" s="201">
        <f t="shared" ca="1" si="113"/>
        <v>0</v>
      </c>
      <c r="L426" s="181"/>
      <c r="M426" s="181"/>
      <c r="N426" s="181"/>
      <c r="O426" s="181"/>
      <c r="P426" s="181"/>
    </row>
    <row r="427" spans="1:16" ht="21.75" customHeight="1" x14ac:dyDescent="0.45">
      <c r="A427" s="175"/>
      <c r="B427" s="176"/>
      <c r="C427" s="176"/>
      <c r="D427" s="193"/>
      <c r="E427" s="198"/>
      <c r="F427" s="195"/>
      <c r="G427" s="196"/>
      <c r="H427" s="199" t="s">
        <v>122</v>
      </c>
      <c r="I427" s="389">
        <f ca="1">IFERROR(__xludf.DUMMYFUNCTION("IMPORTRANGE(""https://docs.google.com/spreadsheets/d/11923uPwbBZFjjGgGUA6NLw09EwE0CqkOc4q9oUmW1yo/edit?usp=sharing"",""น่าน!I322"")"),30)</f>
        <v>30</v>
      </c>
      <c r="J427" s="391">
        <f ca="1">IFERROR(__xludf.DUMMYFUNCTION("IMPORTRANGE(""https://docs.google.com/spreadsheets/d/11923uPwbBZFjjGgGUA6NLw09EwE0CqkOc4q9oUmW1yo/edit?usp=sharing"",""น่าน!J322"")"),0)</f>
        <v>0</v>
      </c>
      <c r="K427" s="201">
        <f t="shared" ca="1" si="113"/>
        <v>0</v>
      </c>
      <c r="L427" s="181"/>
      <c r="M427" s="181"/>
      <c r="N427" s="181"/>
      <c r="O427" s="181"/>
      <c r="P427" s="181"/>
    </row>
    <row r="428" spans="1:16" ht="21.75" customHeight="1" x14ac:dyDescent="0.45">
      <c r="A428" s="175"/>
      <c r="B428" s="176"/>
      <c r="C428" s="176"/>
      <c r="D428" s="193"/>
      <c r="E428" s="198"/>
      <c r="F428" s="195"/>
      <c r="G428" s="225" t="s">
        <v>156</v>
      </c>
      <c r="H428" s="180" t="s">
        <v>37</v>
      </c>
      <c r="I428" s="398">
        <f ca="1">IFERROR(__xludf.DUMMYFUNCTION("IMPORTRANGE(""https://docs.google.com/spreadsheets/d/11923uPwbBZFjjGgGUA6NLw09EwE0CqkOc4q9oUmW1yo/edit?usp=sharing"",""น่าน!I323"")"),10)</f>
        <v>10</v>
      </c>
      <c r="J428" s="392">
        <f ca="1">IFERROR(__xludf.DUMMYFUNCTION("IMPORTRANGE(""https://docs.google.com/spreadsheets/d/11923uPwbBZFjjGgGUA6NLw09EwE0CqkOc4q9oUmW1yo/edit?usp=sharing"",""น่าน!J323"")"),0)</f>
        <v>0</v>
      </c>
      <c r="K428" s="163">
        <f t="shared" ca="1" si="113"/>
        <v>0</v>
      </c>
      <c r="L428" s="181"/>
      <c r="M428" s="181"/>
      <c r="N428" s="181"/>
      <c r="O428" s="181"/>
      <c r="P428" s="181"/>
    </row>
    <row r="429" spans="1:16" ht="21.75" customHeight="1" x14ac:dyDescent="0.45">
      <c r="A429" s="175"/>
      <c r="B429" s="176"/>
      <c r="C429" s="176"/>
      <c r="D429" s="193"/>
      <c r="E429" s="198"/>
      <c r="F429" s="195"/>
      <c r="G429" s="225" t="s">
        <v>157</v>
      </c>
      <c r="H429" s="180" t="s">
        <v>37</v>
      </c>
      <c r="I429" s="398">
        <f ca="1">IFERROR(__xludf.DUMMYFUNCTION("IMPORTRANGE(""https://docs.google.com/spreadsheets/d/11923uPwbBZFjjGgGUA6NLw09EwE0CqkOc4q9oUmW1yo/edit?usp=sharing"",""น่าน!I324"")"),10)</f>
        <v>10</v>
      </c>
      <c r="J429" s="392">
        <f ca="1">IFERROR(__xludf.DUMMYFUNCTION("IMPORTRANGE(""https://docs.google.com/spreadsheets/d/11923uPwbBZFjjGgGUA6NLw09EwE0CqkOc4q9oUmW1yo/edit?usp=sharing"",""น่าน!J324"")"),0)</f>
        <v>0</v>
      </c>
      <c r="K429" s="163">
        <f t="shared" ca="1" si="113"/>
        <v>0</v>
      </c>
      <c r="L429" s="181"/>
      <c r="M429" s="181"/>
      <c r="N429" s="181"/>
      <c r="O429" s="181"/>
      <c r="P429" s="181"/>
    </row>
    <row r="430" spans="1:16" ht="21.75" customHeight="1" x14ac:dyDescent="0.45">
      <c r="A430" s="175"/>
      <c r="B430" s="176"/>
      <c r="C430" s="176"/>
      <c r="D430" s="193"/>
      <c r="E430" s="198"/>
      <c r="F430" s="194" t="s">
        <v>53</v>
      </c>
      <c r="G430" s="386"/>
      <c r="H430" s="399" t="s">
        <v>37</v>
      </c>
      <c r="I430" s="200">
        <f ca="1">IFERROR(__xludf.DUMMYFUNCTION("IMPORTRANGE(""https://docs.google.com/spreadsheets/d/11923uPwbBZFjjGgGUA6NLw09EwE0CqkOc4q9oUmW1yo/edit?usp=sharing"",""น่าน!I325"")"),40)</f>
        <v>40</v>
      </c>
      <c r="J430" s="390">
        <f ca="1">IFERROR(__xludf.DUMMYFUNCTION("IMPORTRANGE(""https://docs.google.com/spreadsheets/d/11923uPwbBZFjjGgGUA6NLw09EwE0CqkOc4q9oUmW1yo/edit?usp=sharing"",""น่าน!J325"")"),0)</f>
        <v>0</v>
      </c>
      <c r="K430" s="201">
        <f t="shared" ca="1" si="113"/>
        <v>0</v>
      </c>
      <c r="L430" s="181"/>
      <c r="M430" s="181"/>
      <c r="N430" s="181"/>
      <c r="O430" s="181"/>
      <c r="P430" s="181"/>
    </row>
    <row r="431" spans="1:16" ht="21.75" customHeight="1" x14ac:dyDescent="0.45">
      <c r="A431" s="400"/>
      <c r="B431" s="401"/>
      <c r="C431" s="401"/>
      <c r="D431" s="402"/>
      <c r="E431" s="198"/>
      <c r="F431" s="195"/>
      <c r="G431" s="225" t="s">
        <v>158</v>
      </c>
      <c r="H431" s="180" t="s">
        <v>37</v>
      </c>
      <c r="I431" s="398">
        <f ca="1">IFERROR(__xludf.DUMMYFUNCTION("IMPORTRANGE(""https://docs.google.com/spreadsheets/d/11923uPwbBZFjjGgGUA6NLw09EwE0CqkOc4q9oUmW1yo/edit?usp=sharing"",""น่าน!I326"")"),10)</f>
        <v>10</v>
      </c>
      <c r="J431" s="392">
        <f ca="1">IFERROR(__xludf.DUMMYFUNCTION("IMPORTRANGE(""https://docs.google.com/spreadsheets/d/11923uPwbBZFjjGgGUA6NLw09EwE0CqkOc4q9oUmW1yo/edit?usp=sharing"",""น่าน!J326"")"),0)</f>
        <v>0</v>
      </c>
      <c r="K431" s="163">
        <f t="shared" ca="1" si="113"/>
        <v>0</v>
      </c>
      <c r="L431" s="181"/>
      <c r="M431" s="181"/>
      <c r="N431" s="181"/>
      <c r="O431" s="181"/>
      <c r="P431" s="181"/>
    </row>
    <row r="432" spans="1:16" ht="21.75" customHeight="1" x14ac:dyDescent="0.45">
      <c r="A432" s="400"/>
      <c r="B432" s="401"/>
      <c r="C432" s="401"/>
      <c r="D432" s="402"/>
      <c r="E432" s="198"/>
      <c r="F432" s="195"/>
      <c r="G432" s="225" t="s">
        <v>159</v>
      </c>
      <c r="H432" s="180" t="s">
        <v>37</v>
      </c>
      <c r="I432" s="398">
        <f ca="1">IFERROR(__xludf.DUMMYFUNCTION("IMPORTRANGE(""https://docs.google.com/spreadsheets/d/11923uPwbBZFjjGgGUA6NLw09EwE0CqkOc4q9oUmW1yo/edit?usp=sharing"",""น่าน!I327"")"),30)</f>
        <v>30</v>
      </c>
      <c r="J432" s="392">
        <f ca="1">IFERROR(__xludf.DUMMYFUNCTION("IMPORTRANGE(""https://docs.google.com/spreadsheets/d/11923uPwbBZFjjGgGUA6NLw09EwE0CqkOc4q9oUmW1yo/edit?usp=sharing"",""น่าน!J327"")"),0)</f>
        <v>0</v>
      </c>
      <c r="K432" s="163">
        <f t="shared" ca="1" si="113"/>
        <v>0</v>
      </c>
      <c r="L432" s="181"/>
      <c r="M432" s="181"/>
      <c r="N432" s="181"/>
      <c r="O432" s="181"/>
      <c r="P432" s="181"/>
    </row>
    <row r="433" spans="1:16" ht="21.75" customHeight="1" x14ac:dyDescent="0.3">
      <c r="A433" s="175"/>
      <c r="B433" s="176"/>
      <c r="C433" s="176"/>
      <c r="D433" s="193"/>
      <c r="E433" s="194" t="s">
        <v>54</v>
      </c>
      <c r="F433" s="195"/>
      <c r="G433" s="196"/>
      <c r="H433" s="186"/>
      <c r="I433" s="187"/>
      <c r="J433" s="197">
        <f ca="1">IFERROR(__xludf.DUMMYFUNCTION("IMPORTRANGE(""https://docs.google.com/spreadsheets/d/11923uPwbBZFjjGgGUA6NLw09EwE0CqkOc4q9oUmW1yo/edit?usp=sharing"",""น่าน!J328"")"),0)</f>
        <v>0</v>
      </c>
      <c r="K433" s="163"/>
      <c r="L433" s="181"/>
      <c r="M433" s="181"/>
      <c r="N433" s="181"/>
      <c r="O433" s="181"/>
      <c r="P433" s="181"/>
    </row>
    <row r="434" spans="1:16" ht="21.75" customHeight="1" x14ac:dyDescent="0.3">
      <c r="A434" s="175"/>
      <c r="B434" s="176"/>
      <c r="C434" s="176"/>
      <c r="D434" s="205">
        <v>3</v>
      </c>
      <c r="E434" s="206" t="s">
        <v>55</v>
      </c>
      <c r="F434" s="207"/>
      <c r="G434" s="208"/>
      <c r="H434" s="186"/>
      <c r="I434" s="187"/>
      <c r="J434" s="209">
        <f ca="1">IFERROR(__xludf.DUMMYFUNCTION("IMPORTRANGE(""https://docs.google.com/spreadsheets/d/11923uPwbBZFjjGgGUA6NLw09EwE0CqkOc4q9oUmW1yo/edit?usp=sharing"",""น่าน!J329"")"),0)</f>
        <v>0</v>
      </c>
      <c r="K434" s="163"/>
      <c r="L434" s="181"/>
      <c r="M434" s="181"/>
      <c r="N434" s="181"/>
      <c r="O434" s="181"/>
      <c r="P434" s="181"/>
    </row>
    <row r="435" spans="1:16" ht="21.75" customHeight="1" x14ac:dyDescent="0.3">
      <c r="A435" s="403"/>
      <c r="B435" s="404">
        <v>4</v>
      </c>
      <c r="C435" s="404" t="s">
        <v>160</v>
      </c>
      <c r="D435" s="405"/>
      <c r="E435" s="405"/>
      <c r="F435" s="405"/>
      <c r="G435" s="406"/>
      <c r="H435" s="407" t="s">
        <v>37</v>
      </c>
      <c r="I435" s="408">
        <f ca="1">IFERROR(__xludf.DUMMYFUNCTION("IMPORTRANGE(""https://docs.google.com/spreadsheets/d/11923uPwbBZFjjGgGUA6NLw09EwE0CqkOc4q9oUmW1yo/edit?usp=sharing"",""น่าน!I330"")"),35)</f>
        <v>35</v>
      </c>
      <c r="J435" s="408">
        <f ca="1">IFERROR(__xludf.DUMMYFUNCTION("IMPORTRANGE(""https://docs.google.com/spreadsheets/d/11923uPwbBZFjjGgGUA6NLw09EwE0CqkOc4q9oUmW1yo/edit?usp=sharing"",""น่าน!J330"")"),15)</f>
        <v>15</v>
      </c>
      <c r="K435" s="409">
        <f ca="1">IF(I435&gt;0,J435*100/I435,0)</f>
        <v>42.857142857142854</v>
      </c>
      <c r="L435" s="410">
        <f ca="1">IFERROR(__xludf.DUMMYFUNCTION("IMPORTRANGE(""https://docs.google.com/spreadsheets/d/11923uPwbBZFjjGgGUA6NLw09EwE0CqkOc4q9oUmW1yo/edit?usp=sharing"",""น่าน!L330"")"),123800)</f>
        <v>123800</v>
      </c>
      <c r="M435" s="410"/>
      <c r="N435" s="410">
        <f ca="1">IFERROR(__xludf.DUMMYFUNCTION("IMPORTRANGE(""https://docs.google.com/spreadsheets/d/11923uPwbBZFjjGgGUA6NLw09EwE0CqkOc4q9oUmW1yo/edit?usp=sharing"",""น่าน!M330"")"),30845)</f>
        <v>30845</v>
      </c>
      <c r="O435" s="410">
        <f t="shared" ref="O435:O439" ca="1" si="114">+IF(L435&gt;0,N435*100/L435,0)</f>
        <v>24.91518578352181</v>
      </c>
      <c r="P435" s="410"/>
    </row>
    <row r="436" spans="1:16" ht="21.75" customHeight="1" x14ac:dyDescent="0.3">
      <c r="A436" s="156"/>
      <c r="B436" s="157"/>
      <c r="C436" s="157" t="s">
        <v>16</v>
      </c>
      <c r="D436" s="158" t="s">
        <v>38</v>
      </c>
      <c r="E436" s="159"/>
      <c r="F436" s="159"/>
      <c r="G436" s="160" t="s">
        <v>39</v>
      </c>
      <c r="H436" s="161" t="s">
        <v>12</v>
      </c>
      <c r="I436" s="162" t="s">
        <v>40</v>
      </c>
      <c r="J436" s="162"/>
      <c r="K436" s="163"/>
      <c r="L436" s="164">
        <f ca="1">IFERROR(__xludf.DUMMYFUNCTION("IMPORTRANGE(""https://docs.google.com/spreadsheets/d/11923uPwbBZFjjGgGUA6NLw09EwE0CqkOc4q9oUmW1yo/edit?usp=sharing"",""น่าน!L331"")"),0)</f>
        <v>0</v>
      </c>
      <c r="M436" s="164"/>
      <c r="N436" s="168">
        <f ca="1">IFERROR(__xludf.DUMMYFUNCTION("IMPORTRANGE(""https://docs.google.com/spreadsheets/d/11923uPwbBZFjjGgGUA6NLw09EwE0CqkOc4q9oUmW1yo/edit?usp=sharing"",""น่าน!M331"")"),0)</f>
        <v>0</v>
      </c>
      <c r="O436" s="168">
        <f t="shared" ca="1" si="114"/>
        <v>0</v>
      </c>
      <c r="P436" s="168"/>
    </row>
    <row r="437" spans="1:16" ht="21.75" customHeight="1" x14ac:dyDescent="0.3">
      <c r="A437" s="156"/>
      <c r="B437" s="157"/>
      <c r="C437" s="157"/>
      <c r="D437" s="166"/>
      <c r="E437" s="159"/>
      <c r="F437" s="159" t="s">
        <v>40</v>
      </c>
      <c r="G437" s="160" t="s">
        <v>41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IFERROR(__xludf.DUMMYFUNCTION("IMPORTRANGE(""https://docs.google.com/spreadsheets/d/11923uPwbBZFjjGgGUA6NLw09EwE0CqkOc4q9oUmW1yo/edit?usp=sharing"",""น่าน!L332"")"),123800)</f>
        <v>123800</v>
      </c>
      <c r="M437" s="165"/>
      <c r="N437" s="168">
        <f ca="1">IFERROR(__xludf.DUMMYFUNCTION("IMPORTRANGE(""https://docs.google.com/spreadsheets/d/11923uPwbBZFjjGgGUA6NLw09EwE0CqkOc4q9oUmW1yo/edit?usp=sharing"",""น่าน!M332"")"),30845)</f>
        <v>30845</v>
      </c>
      <c r="O437" s="168">
        <f t="shared" ca="1" si="114"/>
        <v>24.91518578352181</v>
      </c>
      <c r="P437" s="168"/>
    </row>
    <row r="438" spans="1:16" ht="21.75" customHeight="1" x14ac:dyDescent="0.3">
      <c r="A438" s="156"/>
      <c r="B438" s="157"/>
      <c r="C438" s="157"/>
      <c r="D438" s="166"/>
      <c r="E438" s="159"/>
      <c r="F438" s="159"/>
      <c r="G438" s="372" t="s">
        <v>129</v>
      </c>
      <c r="H438" s="161" t="s">
        <v>12</v>
      </c>
      <c r="I438" s="162"/>
      <c r="J438" s="162"/>
      <c r="K438" s="163"/>
      <c r="L438" s="168">
        <f ca="1">IFERROR(__xludf.DUMMYFUNCTION("IMPORTRANGE(""https://docs.google.com/spreadsheets/d/11923uPwbBZFjjGgGUA6NLw09EwE0CqkOc4q9oUmW1yo/edit?usp=sharing"",""น่าน!L333"")"),0)</f>
        <v>0</v>
      </c>
      <c r="M438" s="168"/>
      <c r="N438" s="168">
        <f ca="1">IFERROR(__xludf.DUMMYFUNCTION("IMPORTRANGE(""https://docs.google.com/spreadsheets/d/11923uPwbBZFjjGgGUA6NLw09EwE0CqkOc4q9oUmW1yo/edit?usp=sharing"",""น่าน!M333"")"),0)</f>
        <v>0</v>
      </c>
      <c r="O438" s="168">
        <f t="shared" ca="1" si="114"/>
        <v>0</v>
      </c>
      <c r="P438" s="168"/>
    </row>
    <row r="439" spans="1:16" ht="21.75" customHeight="1" x14ac:dyDescent="0.3">
      <c r="A439" s="156"/>
      <c r="B439" s="157"/>
      <c r="C439" s="157"/>
      <c r="D439" s="166"/>
      <c r="E439" s="159"/>
      <c r="F439" s="159"/>
      <c r="G439" s="372" t="s">
        <v>130</v>
      </c>
      <c r="H439" s="161" t="s">
        <v>12</v>
      </c>
      <c r="I439" s="162"/>
      <c r="J439" s="162"/>
      <c r="K439" s="163"/>
      <c r="L439" s="168">
        <f ca="1">IFERROR(__xludf.DUMMYFUNCTION("IMPORTRANGE(""https://docs.google.com/spreadsheets/d/11923uPwbBZFjjGgGUA6NLw09EwE0CqkOc4q9oUmW1yo/edit?usp=sharing"",""น่าน!L334"")"),123800)</f>
        <v>123800</v>
      </c>
      <c r="M439" s="168"/>
      <c r="N439" s="168">
        <f ca="1">IFERROR(__xludf.DUMMYFUNCTION("IMPORTRANGE(""https://docs.google.com/spreadsheets/d/11923uPwbBZFjjGgGUA6NLw09EwE0CqkOc4q9oUmW1yo/edit?usp=sharing"",""น่าน!M334"")"),30845)</f>
        <v>30845</v>
      </c>
      <c r="O439" s="168">
        <f t="shared" ca="1" si="114"/>
        <v>24.91518578352181</v>
      </c>
      <c r="P439" s="168"/>
    </row>
    <row r="440" spans="1:16" ht="21.75" customHeight="1" x14ac:dyDescent="0.3">
      <c r="A440" s="373"/>
      <c r="B440" s="374"/>
      <c r="C440" s="157"/>
      <c r="D440" s="375"/>
      <c r="E440" s="159"/>
      <c r="F440" s="159"/>
      <c r="G440" s="376" t="s">
        <v>131</v>
      </c>
      <c r="H440" s="161" t="s">
        <v>12</v>
      </c>
      <c r="I440" s="187"/>
      <c r="J440" s="187"/>
      <c r="K440" s="223"/>
      <c r="L440" s="168"/>
      <c r="M440" s="168"/>
      <c r="N440" s="377">
        <f ca="1">IFERROR(__xludf.DUMMYFUNCTION("IMPORTRANGE(""https://docs.google.com/spreadsheets/d/11923uPwbBZFjjGgGUA6NLw09EwE0CqkOc4q9oUmW1yo/edit?usp=sharing"",""น่าน!M335"")"),25645)</f>
        <v>25645</v>
      </c>
      <c r="O440" s="168"/>
      <c r="P440" s="168"/>
    </row>
    <row r="441" spans="1:16" ht="21.75" customHeight="1" x14ac:dyDescent="0.3">
      <c r="A441" s="373"/>
      <c r="B441" s="374"/>
      <c r="C441" s="157"/>
      <c r="D441" s="375"/>
      <c r="E441" s="159"/>
      <c r="F441" s="159"/>
      <c r="G441" s="376" t="s">
        <v>132</v>
      </c>
      <c r="H441" s="161" t="s">
        <v>12</v>
      </c>
      <c r="I441" s="187"/>
      <c r="J441" s="187"/>
      <c r="K441" s="223"/>
      <c r="L441" s="168"/>
      <c r="M441" s="168"/>
      <c r="N441" s="377">
        <f ca="1">IFERROR(__xludf.DUMMYFUNCTION("IMPORTRANGE(""https://docs.google.com/spreadsheets/d/11923uPwbBZFjjGgGUA6NLw09EwE0CqkOc4q9oUmW1yo/edit?usp=sharing"",""น่าน!M336"")"),0)</f>
        <v>0</v>
      </c>
      <c r="O441" s="168"/>
      <c r="P441" s="168"/>
    </row>
    <row r="442" spans="1:16" ht="21.75" customHeight="1" x14ac:dyDescent="0.3">
      <c r="A442" s="373"/>
      <c r="B442" s="374"/>
      <c r="C442" s="157"/>
      <c r="D442" s="375"/>
      <c r="E442" s="159"/>
      <c r="F442" s="159"/>
      <c r="G442" s="376" t="s">
        <v>133</v>
      </c>
      <c r="H442" s="161" t="s">
        <v>12</v>
      </c>
      <c r="I442" s="187"/>
      <c r="J442" s="187"/>
      <c r="K442" s="223"/>
      <c r="L442" s="168"/>
      <c r="M442" s="168"/>
      <c r="N442" s="377">
        <f ca="1">IFERROR(__xludf.DUMMYFUNCTION("IMPORTRANGE(""https://docs.google.com/spreadsheets/d/11923uPwbBZFjjGgGUA6NLw09EwE0CqkOc4q9oUmW1yo/edit?usp=sharing"",""น่าน!M337"")"),0)</f>
        <v>0</v>
      </c>
      <c r="O442" s="168"/>
      <c r="P442" s="168"/>
    </row>
    <row r="443" spans="1:16" ht="21.75" customHeight="1" x14ac:dyDescent="0.3">
      <c r="A443" s="373"/>
      <c r="B443" s="374"/>
      <c r="C443" s="157"/>
      <c r="D443" s="375"/>
      <c r="E443" s="159"/>
      <c r="F443" s="159"/>
      <c r="G443" s="376" t="s">
        <v>134</v>
      </c>
      <c r="H443" s="161" t="s">
        <v>12</v>
      </c>
      <c r="I443" s="187"/>
      <c r="J443" s="187"/>
      <c r="K443" s="223"/>
      <c r="L443" s="168"/>
      <c r="M443" s="168"/>
      <c r="N443" s="377">
        <f ca="1">IFERROR(__xludf.DUMMYFUNCTION("IMPORTRANGE(""https://docs.google.com/spreadsheets/d/11923uPwbBZFjjGgGUA6NLw09EwE0CqkOc4q9oUmW1yo/edit?usp=sharing"",""น่าน!M338"")"),5200)</f>
        <v>5200</v>
      </c>
      <c r="O443" s="168"/>
      <c r="P443" s="168"/>
    </row>
    <row r="444" spans="1:16" ht="21.75" customHeight="1" x14ac:dyDescent="0.3">
      <c r="A444" s="175"/>
      <c r="B444" s="176"/>
      <c r="C444" s="157" t="s">
        <v>16</v>
      </c>
      <c r="D444" s="177" t="s">
        <v>44</v>
      </c>
      <c r="E444" s="178"/>
      <c r="F444" s="178"/>
      <c r="G444" s="179"/>
      <c r="H444" s="180"/>
      <c r="I444" s="162"/>
      <c r="J444" s="162"/>
      <c r="K444" s="163"/>
      <c r="L444" s="181"/>
      <c r="M444" s="181"/>
      <c r="N444" s="181"/>
      <c r="O444" s="181"/>
      <c r="P444" s="181"/>
    </row>
    <row r="445" spans="1:16" ht="21.75" customHeight="1" x14ac:dyDescent="0.3">
      <c r="A445" s="175"/>
      <c r="B445" s="176"/>
      <c r="C445" s="176"/>
      <c r="D445" s="182">
        <v>1</v>
      </c>
      <c r="E445" s="183" t="s">
        <v>45</v>
      </c>
      <c r="F445" s="184"/>
      <c r="G445" s="185"/>
      <c r="H445" s="186"/>
      <c r="I445" s="187"/>
      <c r="J445" s="209">
        <f ca="1">IFERROR(__xludf.DUMMYFUNCTION("IMPORTRANGE(""https://docs.google.com/spreadsheets/d/11923uPwbBZFjjGgGUA6NLw09EwE0CqkOc4q9oUmW1yo/edit?usp=sharing"",""น่าน!J340"")"),0)</f>
        <v>0</v>
      </c>
      <c r="K445" s="163"/>
      <c r="L445" s="181"/>
      <c r="M445" s="181"/>
      <c r="N445" s="181"/>
      <c r="O445" s="181"/>
      <c r="P445" s="181"/>
    </row>
    <row r="446" spans="1:16" ht="21.75" customHeight="1" x14ac:dyDescent="0.3">
      <c r="A446" s="175"/>
      <c r="B446" s="176"/>
      <c r="C446" s="176"/>
      <c r="D446" s="189">
        <v>2</v>
      </c>
      <c r="E446" s="190" t="s">
        <v>46</v>
      </c>
      <c r="F446" s="191"/>
      <c r="G446" s="192"/>
      <c r="H446" s="186"/>
      <c r="I446" s="187"/>
      <c r="J446" s="411">
        <f ca="1">IFERROR(__xludf.DUMMYFUNCTION("IMPORTRANGE(""https://docs.google.com/spreadsheets/d/11923uPwbBZFjjGgGUA6NLw09EwE0CqkOc4q9oUmW1yo/edit?usp=sharing"",""น่าน!J341"")"),1)</f>
        <v>1</v>
      </c>
      <c r="K446" s="163"/>
      <c r="L446" s="181" t="s">
        <v>40</v>
      </c>
      <c r="M446" s="181"/>
      <c r="N446" s="181" t="s">
        <v>40</v>
      </c>
      <c r="O446" s="181"/>
      <c r="P446" s="181"/>
    </row>
    <row r="447" spans="1:16" ht="21.75" customHeight="1" x14ac:dyDescent="0.3">
      <c r="A447" s="175"/>
      <c r="B447" s="176"/>
      <c r="C447" s="176"/>
      <c r="D447" s="193"/>
      <c r="E447" s="194" t="s">
        <v>161</v>
      </c>
      <c r="F447" s="195"/>
      <c r="G447" s="196"/>
      <c r="H447" s="186"/>
      <c r="I447" s="187"/>
      <c r="J447" s="188">
        <f ca="1">IFERROR(__xludf.DUMMYFUNCTION("IMPORTRANGE(""https://docs.google.com/spreadsheets/d/11923uPwbBZFjjGgGUA6NLw09EwE0CqkOc4q9oUmW1yo/edit?usp=sharing"",""น่าน!J342"")"),1)</f>
        <v>1</v>
      </c>
      <c r="K447" s="163"/>
      <c r="L447" s="181"/>
      <c r="M447" s="181"/>
      <c r="N447" s="181"/>
      <c r="O447" s="181"/>
      <c r="P447" s="181"/>
    </row>
    <row r="448" spans="1:16" ht="21.75" customHeight="1" x14ac:dyDescent="0.3">
      <c r="A448" s="175"/>
      <c r="B448" s="176"/>
      <c r="C448" s="176"/>
      <c r="D448" s="193"/>
      <c r="E448" s="194" t="s">
        <v>48</v>
      </c>
      <c r="F448" s="195"/>
      <c r="G448" s="196"/>
      <c r="H448" s="186"/>
      <c r="I448" s="187"/>
      <c r="J448" s="188">
        <f ca="1">IFERROR(__xludf.DUMMYFUNCTION("IMPORTRANGE(""https://docs.google.com/spreadsheets/d/11923uPwbBZFjjGgGUA6NLw09EwE0CqkOc4q9oUmW1yo/edit?usp=sharing"",""น่าน!J343"")"),1)</f>
        <v>1</v>
      </c>
      <c r="K448" s="163"/>
      <c r="L448" s="181"/>
      <c r="M448" s="181"/>
      <c r="N448" s="181"/>
      <c r="O448" s="181"/>
      <c r="P448" s="181"/>
    </row>
    <row r="449" spans="1:16" ht="21.75" customHeight="1" x14ac:dyDescent="0.3">
      <c r="A449" s="175"/>
      <c r="B449" s="176"/>
      <c r="C449" s="176"/>
      <c r="D449" s="193"/>
      <c r="E449" s="198"/>
      <c r="F449" s="412" t="s">
        <v>101</v>
      </c>
      <c r="G449" s="196"/>
      <c r="H449" s="186" t="s">
        <v>37</v>
      </c>
      <c r="I449" s="389">
        <f ca="1">IFERROR(__xludf.DUMMYFUNCTION("IMPORTRANGE(""https://docs.google.com/spreadsheets/d/11923uPwbBZFjjGgGUA6NLw09EwE0CqkOc4q9oUmW1yo/edit?usp=sharing"",""น่าน!I344"")"),35)</f>
        <v>35</v>
      </c>
      <c r="J449" s="200">
        <f ca="1">IFERROR(__xludf.DUMMYFUNCTION("IMPORTRANGE(""https://docs.google.com/spreadsheets/d/11923uPwbBZFjjGgGUA6NLw09EwE0CqkOc4q9oUmW1yo/edit?usp=sharing"",""น่าน!J344"")"),15)</f>
        <v>15</v>
      </c>
      <c r="K449" s="163">
        <f t="shared" ref="K449:K452" ca="1" si="115">IF(I449&gt;0,J449*100/I449,0)</f>
        <v>42.857142857142854</v>
      </c>
      <c r="L449" s="181"/>
      <c r="M449" s="181"/>
      <c r="N449" s="181"/>
      <c r="O449" s="181"/>
      <c r="P449" s="181"/>
    </row>
    <row r="450" spans="1:16" ht="21.75" customHeight="1" x14ac:dyDescent="0.3">
      <c r="A450" s="175"/>
      <c r="B450" s="176"/>
      <c r="C450" s="176"/>
      <c r="D450" s="193"/>
      <c r="E450" s="198"/>
      <c r="F450" s="195"/>
      <c r="G450" s="225" t="s">
        <v>162</v>
      </c>
      <c r="H450" s="186" t="s">
        <v>37</v>
      </c>
      <c r="I450" s="339">
        <f ca="1">IFERROR(__xludf.DUMMYFUNCTION("IMPORTRANGE(""https://docs.google.com/spreadsheets/d/11923uPwbBZFjjGgGUA6NLw09EwE0CqkOc4q9oUmW1yo/edit?usp=sharing"",""น่าน!I345"")"),15)</f>
        <v>15</v>
      </c>
      <c r="J450" s="188">
        <f ca="1">IFERROR(__xludf.DUMMYFUNCTION("IMPORTRANGE(""https://docs.google.com/spreadsheets/d/11923uPwbBZFjjGgGUA6NLw09EwE0CqkOc4q9oUmW1yo/edit?usp=sharing"",""น่าน!J345"")"),15)</f>
        <v>15</v>
      </c>
      <c r="K450" s="163">
        <f t="shared" ca="1" si="115"/>
        <v>100</v>
      </c>
      <c r="L450" s="181"/>
      <c r="M450" s="181"/>
      <c r="N450" s="181"/>
      <c r="O450" s="181"/>
      <c r="P450" s="181"/>
    </row>
    <row r="451" spans="1:16" ht="21.75" customHeight="1" x14ac:dyDescent="0.3">
      <c r="A451" s="175"/>
      <c r="B451" s="176"/>
      <c r="C451" s="176"/>
      <c r="D451" s="193"/>
      <c r="E451" s="198"/>
      <c r="F451" s="195"/>
      <c r="G451" s="279" t="s">
        <v>163</v>
      </c>
      <c r="H451" s="186" t="s">
        <v>37</v>
      </c>
      <c r="I451" s="339">
        <f ca="1">IFERROR(__xludf.DUMMYFUNCTION("IMPORTRANGE(""https://docs.google.com/spreadsheets/d/11923uPwbBZFjjGgGUA6NLw09EwE0CqkOc4q9oUmW1yo/edit?usp=sharing"",""น่าน!I346"")"),20)</f>
        <v>20</v>
      </c>
      <c r="J451" s="187">
        <f ca="1">IFERROR(__xludf.DUMMYFUNCTION("IMPORTRANGE(""https://docs.google.com/spreadsheets/d/11923uPwbBZFjjGgGUA6NLw09EwE0CqkOc4q9oUmW1yo/edit?usp=sharing"",""น่าน!J346"")"),0)</f>
        <v>0</v>
      </c>
      <c r="K451" s="163">
        <f t="shared" ca="1" si="115"/>
        <v>0</v>
      </c>
      <c r="L451" s="181"/>
      <c r="M451" s="181"/>
      <c r="N451" s="181"/>
      <c r="O451" s="181"/>
      <c r="P451" s="181"/>
    </row>
    <row r="452" spans="1:16" ht="21.75" customHeight="1" x14ac:dyDescent="0.3">
      <c r="A452" s="175"/>
      <c r="B452" s="176"/>
      <c r="C452" s="176"/>
      <c r="D452" s="193"/>
      <c r="E452" s="198"/>
      <c r="F452" s="195"/>
      <c r="G452" s="196" t="s">
        <v>164</v>
      </c>
      <c r="H452" s="186" t="s">
        <v>37</v>
      </c>
      <c r="I452" s="187">
        <f ca="1">IFERROR(__xludf.DUMMYFUNCTION("IMPORTRANGE(""https://docs.google.com/spreadsheets/d/11923uPwbBZFjjGgGUA6NLw09EwE0CqkOc4q9oUmW1yo/edit?usp=sharing"",""น่าน!I347"")"),0)</f>
        <v>0</v>
      </c>
      <c r="J452" s="187">
        <f ca="1">IFERROR(__xludf.DUMMYFUNCTION("IMPORTRANGE(""https://docs.google.com/spreadsheets/d/11923uPwbBZFjjGgGUA6NLw09EwE0CqkOc4q9oUmW1yo/edit?usp=sharing"",""น่าน!J347"")"),0)</f>
        <v>0</v>
      </c>
      <c r="K452" s="163">
        <f t="shared" ca="1" si="115"/>
        <v>0</v>
      </c>
      <c r="L452" s="181"/>
      <c r="M452" s="181"/>
      <c r="N452" s="181"/>
      <c r="O452" s="181"/>
      <c r="P452" s="181"/>
    </row>
    <row r="453" spans="1:16" ht="21.75" customHeight="1" x14ac:dyDescent="0.3">
      <c r="A453" s="175"/>
      <c r="B453" s="176"/>
      <c r="C453" s="176"/>
      <c r="D453" s="193"/>
      <c r="E453" s="194" t="s">
        <v>54</v>
      </c>
      <c r="F453" s="195"/>
      <c r="G453" s="196"/>
      <c r="H453" s="186"/>
      <c r="I453" s="187"/>
      <c r="J453" s="197">
        <f ca="1">IFERROR(__xludf.DUMMYFUNCTION("IMPORTRANGE(""https://docs.google.com/spreadsheets/d/11923uPwbBZFjjGgGUA6NLw09EwE0CqkOc4q9oUmW1yo/edit?usp=sharing"",""น่าน!J348"")"),0)</f>
        <v>0</v>
      </c>
      <c r="K453" s="163"/>
      <c r="L453" s="181"/>
      <c r="M453" s="181"/>
      <c r="N453" s="181"/>
      <c r="O453" s="181"/>
      <c r="P453" s="181"/>
    </row>
    <row r="454" spans="1:16" ht="21.75" customHeight="1" x14ac:dyDescent="0.3">
      <c r="A454" s="175"/>
      <c r="B454" s="176"/>
      <c r="C454" s="176"/>
      <c r="D454" s="205">
        <v>3</v>
      </c>
      <c r="E454" s="206" t="s">
        <v>55</v>
      </c>
      <c r="F454" s="207"/>
      <c r="G454" s="208"/>
      <c r="H454" s="186"/>
      <c r="I454" s="187"/>
      <c r="J454" s="209">
        <f ca="1">IFERROR(__xludf.DUMMYFUNCTION("IMPORTRANGE(""https://docs.google.com/spreadsheets/d/11923uPwbBZFjjGgGUA6NLw09EwE0CqkOc4q9oUmW1yo/edit?usp=sharing"",""น่าน!J349"")"),0)</f>
        <v>0</v>
      </c>
      <c r="K454" s="163"/>
      <c r="L454" s="181"/>
      <c r="M454" s="181"/>
      <c r="N454" s="181"/>
      <c r="O454" s="181"/>
      <c r="P454" s="181"/>
    </row>
    <row r="455" spans="1:16" ht="21.75" customHeight="1" x14ac:dyDescent="0.3">
      <c r="A455" s="364"/>
      <c r="B455" s="365">
        <v>5</v>
      </c>
      <c r="C455" s="366" t="s">
        <v>165</v>
      </c>
      <c r="D455" s="366"/>
      <c r="E455" s="366"/>
      <c r="F455" s="366"/>
      <c r="G455" s="367"/>
      <c r="H455" s="368" t="s">
        <v>122</v>
      </c>
      <c r="I455" s="369">
        <f ca="1">IFERROR(__xludf.DUMMYFUNCTION("IMPORTRANGE(""https://docs.google.com/spreadsheets/d/11923uPwbBZFjjGgGUA6NLw09EwE0CqkOc4q9oUmW1yo/edit?usp=sharing"",""น่าน!I350"")"),56567)</f>
        <v>56567</v>
      </c>
      <c r="J455" s="369">
        <f ca="1">IFERROR(__xludf.DUMMYFUNCTION("IMPORTRANGE(""https://docs.google.com/spreadsheets/d/11923uPwbBZFjjGgGUA6NLw09EwE0CqkOc4q9oUmW1yo/edit?usp=sharing"",""น่าน!J350"")"),0)</f>
        <v>0</v>
      </c>
      <c r="K455" s="370">
        <f ca="1">IF(I455&gt;0,J455*100/I455,0)</f>
        <v>0</v>
      </c>
      <c r="L455" s="371">
        <f ca="1">IFERROR(__xludf.DUMMYFUNCTION("IMPORTRANGE(""https://docs.google.com/spreadsheets/d/11923uPwbBZFjjGgGUA6NLw09EwE0CqkOc4q9oUmW1yo/edit?usp=sharing"",""น่าน!L350"")"),611754)</f>
        <v>611754</v>
      </c>
      <c r="M455" s="371"/>
      <c r="N455" s="371">
        <f ca="1">IFERROR(__xludf.DUMMYFUNCTION("IMPORTRANGE(""https://docs.google.com/spreadsheets/d/11923uPwbBZFjjGgGUA6NLw09EwE0CqkOc4q9oUmW1yo/edit?usp=sharing"",""น่าน!M350"")"),22996)</f>
        <v>22996</v>
      </c>
      <c r="O455" s="371">
        <f t="shared" ref="O455:O459" ca="1" si="116">+IF(L455&gt;0,N455*100/L455,0)</f>
        <v>3.7590273214396634</v>
      </c>
      <c r="P455" s="371"/>
    </row>
    <row r="456" spans="1:16" ht="21.75" customHeight="1" x14ac:dyDescent="0.3">
      <c r="A456" s="156"/>
      <c r="B456" s="157"/>
      <c r="C456" s="157" t="s">
        <v>16</v>
      </c>
      <c r="D456" s="158" t="s">
        <v>38</v>
      </c>
      <c r="E456" s="159"/>
      <c r="F456" s="159"/>
      <c r="G456" s="160" t="s">
        <v>39</v>
      </c>
      <c r="H456" s="161" t="s">
        <v>12</v>
      </c>
      <c r="I456" s="162" t="s">
        <v>40</v>
      </c>
      <c r="J456" s="162"/>
      <c r="K456" s="163"/>
      <c r="L456" s="164">
        <f ca="1">IFERROR(__xludf.DUMMYFUNCTION("IMPORTRANGE(""https://docs.google.com/spreadsheets/d/11923uPwbBZFjjGgGUA6NLw09EwE0CqkOc4q9oUmW1yo/edit?usp=sharing"",""น่าน!L351"")"),0)</f>
        <v>0</v>
      </c>
      <c r="M456" s="164"/>
      <c r="N456" s="168">
        <f ca="1">IFERROR(__xludf.DUMMYFUNCTION("IMPORTRANGE(""https://docs.google.com/spreadsheets/d/11923uPwbBZFjjGgGUA6NLw09EwE0CqkOc4q9oUmW1yo/edit?usp=sharing"",""น่าน!M351"")"),0)</f>
        <v>0</v>
      </c>
      <c r="O456" s="168">
        <f t="shared" ca="1" si="116"/>
        <v>0</v>
      </c>
      <c r="P456" s="168"/>
    </row>
    <row r="457" spans="1:16" ht="21.75" customHeight="1" x14ac:dyDescent="0.3">
      <c r="A457" s="156"/>
      <c r="B457" s="157"/>
      <c r="C457" s="157"/>
      <c r="D457" s="166"/>
      <c r="E457" s="159"/>
      <c r="F457" s="159" t="s">
        <v>40</v>
      </c>
      <c r="G457" s="160" t="s">
        <v>41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IFERROR(__xludf.DUMMYFUNCTION("IMPORTRANGE(""https://docs.google.com/spreadsheets/d/11923uPwbBZFjjGgGUA6NLw09EwE0CqkOc4q9oUmW1yo/edit?usp=sharing"",""น่าน!L352"")"),611754)</f>
        <v>611754</v>
      </c>
      <c r="M457" s="165"/>
      <c r="N457" s="168">
        <f ca="1">IFERROR(__xludf.DUMMYFUNCTION("IMPORTRANGE(""https://docs.google.com/spreadsheets/d/11923uPwbBZFjjGgGUA6NLw09EwE0CqkOc4q9oUmW1yo/edit?usp=sharing"",""น่าน!M352"")"),22996)</f>
        <v>22996</v>
      </c>
      <c r="O457" s="168">
        <f t="shared" ca="1" si="116"/>
        <v>3.7590273214396634</v>
      </c>
      <c r="P457" s="168"/>
    </row>
    <row r="458" spans="1:16" ht="21.75" customHeight="1" x14ac:dyDescent="0.3">
      <c r="A458" s="156"/>
      <c r="B458" s="157"/>
      <c r="C458" s="157"/>
      <c r="D458" s="166"/>
      <c r="E458" s="159"/>
      <c r="F458" s="159"/>
      <c r="G458" s="372" t="s">
        <v>129</v>
      </c>
      <c r="H458" s="161" t="s">
        <v>12</v>
      </c>
      <c r="I458" s="162"/>
      <c r="J458" s="162"/>
      <c r="K458" s="163"/>
      <c r="L458" s="168">
        <f ca="1">IFERROR(__xludf.DUMMYFUNCTION("IMPORTRANGE(""https://docs.google.com/spreadsheets/d/11923uPwbBZFjjGgGUA6NLw09EwE0CqkOc4q9oUmW1yo/edit?usp=sharing"",""น่าน!L353"")"),0)</f>
        <v>0</v>
      </c>
      <c r="M458" s="168"/>
      <c r="N458" s="168">
        <f ca="1">IFERROR(__xludf.DUMMYFUNCTION("IMPORTRANGE(""https://docs.google.com/spreadsheets/d/11923uPwbBZFjjGgGUA6NLw09EwE0CqkOc4q9oUmW1yo/edit?usp=sharing"",""น่าน!M353"")"),0)</f>
        <v>0</v>
      </c>
      <c r="O458" s="168">
        <f t="shared" ca="1" si="116"/>
        <v>0</v>
      </c>
      <c r="P458" s="168"/>
    </row>
    <row r="459" spans="1:16" ht="21.75" customHeight="1" x14ac:dyDescent="0.3">
      <c r="A459" s="156"/>
      <c r="B459" s="157"/>
      <c r="C459" s="157"/>
      <c r="D459" s="166"/>
      <c r="E459" s="159"/>
      <c r="F459" s="159"/>
      <c r="G459" s="372" t="s">
        <v>130</v>
      </c>
      <c r="H459" s="161" t="s">
        <v>12</v>
      </c>
      <c r="I459" s="162"/>
      <c r="J459" s="162"/>
      <c r="K459" s="163"/>
      <c r="L459" s="168">
        <f ca="1">IFERROR(__xludf.DUMMYFUNCTION("IMPORTRANGE(""https://docs.google.com/spreadsheets/d/11923uPwbBZFjjGgGUA6NLw09EwE0CqkOc4q9oUmW1yo/edit?usp=sharing"",""น่าน!L354"")"),611754)</f>
        <v>611754</v>
      </c>
      <c r="M459" s="168"/>
      <c r="N459" s="168">
        <f ca="1">IFERROR(__xludf.DUMMYFUNCTION("IMPORTRANGE(""https://docs.google.com/spreadsheets/d/11923uPwbBZFjjGgGUA6NLw09EwE0CqkOc4q9oUmW1yo/edit?usp=sharing"",""น่าน!M354"")"),22996)</f>
        <v>22996</v>
      </c>
      <c r="O459" s="168">
        <f t="shared" ca="1" si="116"/>
        <v>3.7590273214396634</v>
      </c>
      <c r="P459" s="168"/>
    </row>
    <row r="460" spans="1:16" ht="21.75" customHeight="1" x14ac:dyDescent="0.3">
      <c r="A460" s="373"/>
      <c r="B460" s="374"/>
      <c r="C460" s="157"/>
      <c r="D460" s="375"/>
      <c r="E460" s="159"/>
      <c r="F460" s="159"/>
      <c r="G460" s="376" t="s">
        <v>131</v>
      </c>
      <c r="H460" s="161" t="s">
        <v>12</v>
      </c>
      <c r="I460" s="187"/>
      <c r="J460" s="187"/>
      <c r="K460" s="223"/>
      <c r="L460" s="168"/>
      <c r="M460" s="168"/>
      <c r="N460" s="167">
        <f ca="1">IFERROR(__xludf.DUMMYFUNCTION("IMPORTRANGE(""https://docs.google.com/spreadsheets/d/11923uPwbBZFjjGgGUA6NLw09EwE0CqkOc4q9oUmW1yo/edit?usp=sharing"",""น่าน!M355"")"),0)</f>
        <v>0</v>
      </c>
      <c r="O460" s="168"/>
      <c r="P460" s="168"/>
    </row>
    <row r="461" spans="1:16" ht="21.75" customHeight="1" x14ac:dyDescent="0.3">
      <c r="A461" s="373"/>
      <c r="B461" s="374"/>
      <c r="C461" s="157"/>
      <c r="D461" s="375"/>
      <c r="E461" s="159"/>
      <c r="F461" s="159"/>
      <c r="G461" s="376" t="s">
        <v>132</v>
      </c>
      <c r="H461" s="161" t="s">
        <v>12</v>
      </c>
      <c r="I461" s="187"/>
      <c r="J461" s="187"/>
      <c r="K461" s="223"/>
      <c r="L461" s="168"/>
      <c r="M461" s="168"/>
      <c r="N461" s="167">
        <f ca="1">IFERROR(__xludf.DUMMYFUNCTION("IMPORTRANGE(""https://docs.google.com/spreadsheets/d/11923uPwbBZFjjGgGUA6NLw09EwE0CqkOc4q9oUmW1yo/edit?usp=sharing"",""น่าน!M356"")"),0)</f>
        <v>0</v>
      </c>
      <c r="O461" s="168"/>
      <c r="P461" s="168"/>
    </row>
    <row r="462" spans="1:16" ht="21.75" customHeight="1" x14ac:dyDescent="0.3">
      <c r="A462" s="373"/>
      <c r="B462" s="374"/>
      <c r="C462" s="157"/>
      <c r="D462" s="375"/>
      <c r="E462" s="159"/>
      <c r="F462" s="159"/>
      <c r="G462" s="376" t="s">
        <v>133</v>
      </c>
      <c r="H462" s="161" t="s">
        <v>12</v>
      </c>
      <c r="I462" s="187"/>
      <c r="J462" s="187"/>
      <c r="K462" s="223"/>
      <c r="L462" s="168"/>
      <c r="M462" s="168"/>
      <c r="N462" s="377">
        <f ca="1">IFERROR(__xludf.DUMMYFUNCTION("IMPORTRANGE(""https://docs.google.com/spreadsheets/d/11923uPwbBZFjjGgGUA6NLw09EwE0CqkOc4q9oUmW1yo/edit?usp=sharing"",""น่าน!M357"")"),20516)</f>
        <v>20516</v>
      </c>
      <c r="O462" s="168"/>
      <c r="P462" s="168"/>
    </row>
    <row r="463" spans="1:16" ht="21.75" customHeight="1" x14ac:dyDescent="0.3">
      <c r="A463" s="373"/>
      <c r="B463" s="374"/>
      <c r="C463" s="157"/>
      <c r="D463" s="375"/>
      <c r="E463" s="159"/>
      <c r="F463" s="159"/>
      <c r="G463" s="376" t="s">
        <v>134</v>
      </c>
      <c r="H463" s="161" t="s">
        <v>12</v>
      </c>
      <c r="I463" s="187"/>
      <c r="J463" s="187"/>
      <c r="K463" s="223"/>
      <c r="L463" s="168"/>
      <c r="M463" s="168"/>
      <c r="N463" s="377">
        <f ca="1">IFERROR(__xludf.DUMMYFUNCTION("IMPORTRANGE(""https://docs.google.com/spreadsheets/d/11923uPwbBZFjjGgGUA6NLw09EwE0CqkOc4q9oUmW1yo/edit?usp=sharing"",""น่าน!M358"")"),2480)</f>
        <v>2480</v>
      </c>
      <c r="O463" s="168"/>
      <c r="P463" s="168"/>
    </row>
    <row r="464" spans="1:16" ht="21.75" customHeight="1" x14ac:dyDescent="0.3">
      <c r="A464" s="175"/>
      <c r="B464" s="176"/>
      <c r="C464" s="413" t="s">
        <v>166</v>
      </c>
      <c r="D464" s="413"/>
      <c r="E464" s="414"/>
      <c r="F464" s="414"/>
      <c r="G464" s="415"/>
      <c r="H464" s="265" t="s">
        <v>122</v>
      </c>
      <c r="I464" s="266">
        <f ca="1">IFERROR(__xludf.DUMMYFUNCTION("IMPORTRANGE(""https://docs.google.com/spreadsheets/d/11923uPwbBZFjjGgGUA6NLw09EwE0CqkOc4q9oUmW1yo/edit?usp=sharing"",""น่าน!I359"")"),56567)</f>
        <v>56567</v>
      </c>
      <c r="J464" s="266">
        <f ca="1">IFERROR(__xludf.DUMMYFUNCTION("IMPORTRANGE(""https://docs.google.com/spreadsheets/d/11923uPwbBZFjjGgGUA6NLw09EwE0CqkOc4q9oUmW1yo/edit?usp=sharing"",""น่าน!J359"")"),0)</f>
        <v>0</v>
      </c>
      <c r="K464" s="267">
        <f t="shared" ref="K464:K515" ca="1" si="117">IF(I464&gt;0,J464*100/I464,0)</f>
        <v>0</v>
      </c>
      <c r="L464" s="290"/>
      <c r="M464" s="290"/>
      <c r="N464" s="290"/>
      <c r="O464" s="290"/>
      <c r="P464" s="290"/>
    </row>
    <row r="465" spans="1:16" ht="21.75" customHeight="1" x14ac:dyDescent="0.3">
      <c r="A465" s="400"/>
      <c r="B465" s="401"/>
      <c r="C465" s="401"/>
      <c r="D465" s="402"/>
      <c r="E465" s="193" t="s">
        <v>167</v>
      </c>
      <c r="F465" s="195"/>
      <c r="G465" s="196"/>
      <c r="H465" s="416" t="s">
        <v>122</v>
      </c>
      <c r="I465" s="417">
        <f ca="1">IFERROR(__xludf.DUMMYFUNCTION("IMPORTRANGE(""https://docs.google.com/spreadsheets/d/11923uPwbBZFjjGgGUA6NLw09EwE0CqkOc4q9oUmW1yo/edit?usp=sharing"",""น่าน!I360"")"),56567)</f>
        <v>56567</v>
      </c>
      <c r="J465" s="418">
        <f ca="1">IFERROR(__xludf.DUMMYFUNCTION("IMPORTRANGE(""https://docs.google.com/spreadsheets/d/11923uPwbBZFjjGgGUA6NLw09EwE0CqkOc4q9oUmW1yo/edit?usp=sharing"",""น่าน!J360"")"),33988)</f>
        <v>33988</v>
      </c>
      <c r="K465" s="201">
        <f t="shared" ca="1" si="117"/>
        <v>60.084501564516415</v>
      </c>
      <c r="L465" s="181"/>
      <c r="M465" s="181"/>
      <c r="N465" s="181"/>
      <c r="O465" s="181"/>
      <c r="P465" s="181"/>
    </row>
    <row r="466" spans="1:16" ht="21.75" customHeight="1" x14ac:dyDescent="0.3">
      <c r="A466" s="400"/>
      <c r="B466" s="401"/>
      <c r="C466" s="401"/>
      <c r="D466" s="402"/>
      <c r="E466" s="195"/>
      <c r="F466" s="195"/>
      <c r="G466" s="196"/>
      <c r="H466" s="416" t="s">
        <v>36</v>
      </c>
      <c r="I466" s="417">
        <f ca="1">IFERROR(__xludf.DUMMYFUNCTION("IMPORTRANGE(""https://docs.google.com/spreadsheets/d/11923uPwbBZFjjGgGUA6NLw09EwE0CqkOc4q9oUmW1yo/edit?usp=sharing"",""น่าน!I361"")"),9077)</f>
        <v>9077</v>
      </c>
      <c r="J466" s="418">
        <f ca="1">IFERROR(__xludf.DUMMYFUNCTION("IMPORTRANGE(""https://docs.google.com/spreadsheets/d/11923uPwbBZFjjGgGUA6NLw09EwE0CqkOc4q9oUmW1yo/edit?usp=sharing"",""น่าน!J361"")"),5538)</f>
        <v>5538</v>
      </c>
      <c r="K466" s="201">
        <f t="shared" ca="1" si="117"/>
        <v>61.011347361463038</v>
      </c>
      <c r="L466" s="181"/>
      <c r="M466" s="181"/>
      <c r="N466" s="181"/>
      <c r="O466" s="181"/>
      <c r="P466" s="181"/>
    </row>
    <row r="467" spans="1:16" ht="21.75" customHeight="1" x14ac:dyDescent="0.3">
      <c r="A467" s="400"/>
      <c r="B467" s="401"/>
      <c r="C467" s="401"/>
      <c r="D467" s="402"/>
      <c r="E467" s="195"/>
      <c r="F467" s="388" t="s">
        <v>168</v>
      </c>
      <c r="G467" s="419"/>
      <c r="H467" s="420" t="s">
        <v>122</v>
      </c>
      <c r="I467" s="202">
        <f ca="1">IFERROR(__xludf.DUMMYFUNCTION("IMPORTRANGE(""https://docs.google.com/spreadsheets/d/11923uPwbBZFjjGgGUA6NLw09EwE0CqkOc4q9oUmW1yo/edit?usp=sharing"",""น่าน!I362"")"),0)</f>
        <v>0</v>
      </c>
      <c r="J467" s="188">
        <f ca="1">IFERROR(__xludf.DUMMYFUNCTION("IMPORTRANGE(""https://docs.google.com/spreadsheets/d/11923uPwbBZFjjGgGUA6NLw09EwE0CqkOc4q9oUmW1yo/edit?usp=sharing"",""น่าน!J362"")"),32285)</f>
        <v>32285</v>
      </c>
      <c r="K467" s="163">
        <f t="shared" ca="1" si="117"/>
        <v>0</v>
      </c>
      <c r="L467" s="181"/>
      <c r="M467" s="181"/>
      <c r="N467" s="181"/>
      <c r="O467" s="181"/>
      <c r="P467" s="181"/>
    </row>
    <row r="468" spans="1:16" ht="21.75" customHeight="1" x14ac:dyDescent="0.3">
      <c r="A468" s="400"/>
      <c r="B468" s="401"/>
      <c r="C468" s="401"/>
      <c r="D468" s="402"/>
      <c r="E468" s="195"/>
      <c r="F468" s="195"/>
      <c r="G468" s="419"/>
      <c r="H468" s="420" t="s">
        <v>36</v>
      </c>
      <c r="I468" s="202">
        <f ca="1">IFERROR(__xludf.DUMMYFUNCTION("IMPORTRANGE(""https://docs.google.com/spreadsheets/d/11923uPwbBZFjjGgGUA6NLw09EwE0CqkOc4q9oUmW1yo/edit?usp=sharing"",""น่าน!I363"")"),0)</f>
        <v>0</v>
      </c>
      <c r="J468" s="188">
        <f ca="1">IFERROR(__xludf.DUMMYFUNCTION("IMPORTRANGE(""https://docs.google.com/spreadsheets/d/11923uPwbBZFjjGgGUA6NLw09EwE0CqkOc4q9oUmW1yo/edit?usp=sharing"",""น่าน!J363"")"),5362)</f>
        <v>5362</v>
      </c>
      <c r="K468" s="163">
        <f t="shared" ca="1" si="117"/>
        <v>0</v>
      </c>
      <c r="L468" s="181"/>
      <c r="M468" s="181"/>
      <c r="N468" s="181"/>
      <c r="O468" s="181"/>
      <c r="P468" s="181"/>
    </row>
    <row r="469" spans="1:16" ht="21.75" customHeight="1" x14ac:dyDescent="0.3">
      <c r="A469" s="400"/>
      <c r="B469" s="401"/>
      <c r="C469" s="401"/>
      <c r="D469" s="402"/>
      <c r="E469" s="195"/>
      <c r="F469" s="388" t="s">
        <v>169</v>
      </c>
      <c r="G469" s="419"/>
      <c r="H469" s="420" t="s">
        <v>122</v>
      </c>
      <c r="I469" s="202">
        <f ca="1">IFERROR(__xludf.DUMMYFUNCTION("IMPORTRANGE(""https://docs.google.com/spreadsheets/d/11923uPwbBZFjjGgGUA6NLw09EwE0CqkOc4q9oUmW1yo/edit?usp=sharing"",""น่าน!I364"")"),0)</f>
        <v>0</v>
      </c>
      <c r="J469" s="188">
        <f ca="1">IFERROR(__xludf.DUMMYFUNCTION("IMPORTRANGE(""https://docs.google.com/spreadsheets/d/11923uPwbBZFjjGgGUA6NLw09EwE0CqkOc4q9oUmW1yo/edit?usp=sharing"",""น่าน!J364"")"),1518)</f>
        <v>1518</v>
      </c>
      <c r="K469" s="163">
        <f t="shared" ca="1" si="117"/>
        <v>0</v>
      </c>
      <c r="L469" s="181"/>
      <c r="M469" s="181"/>
      <c r="N469" s="181"/>
      <c r="O469" s="181"/>
      <c r="P469" s="181"/>
    </row>
    <row r="470" spans="1:16" ht="21.75" customHeight="1" x14ac:dyDescent="0.3">
      <c r="A470" s="400"/>
      <c r="B470" s="401"/>
      <c r="C470" s="401"/>
      <c r="D470" s="402"/>
      <c r="E470" s="195"/>
      <c r="F470" s="195"/>
      <c r="G470" s="419"/>
      <c r="H470" s="420" t="s">
        <v>36</v>
      </c>
      <c r="I470" s="202">
        <f ca="1">IFERROR(__xludf.DUMMYFUNCTION("IMPORTRANGE(""https://docs.google.com/spreadsheets/d/11923uPwbBZFjjGgGUA6NLw09EwE0CqkOc4q9oUmW1yo/edit?usp=sharing"",""น่าน!I365"")"),0)</f>
        <v>0</v>
      </c>
      <c r="J470" s="188">
        <f ca="1">IFERROR(__xludf.DUMMYFUNCTION("IMPORTRANGE(""https://docs.google.com/spreadsheets/d/11923uPwbBZFjjGgGUA6NLw09EwE0CqkOc4q9oUmW1yo/edit?usp=sharing"",""น่าน!J365"")"),143)</f>
        <v>143</v>
      </c>
      <c r="K470" s="163">
        <f t="shared" ca="1" si="117"/>
        <v>0</v>
      </c>
      <c r="L470" s="181"/>
      <c r="M470" s="181"/>
      <c r="N470" s="181"/>
      <c r="O470" s="181"/>
      <c r="P470" s="181"/>
    </row>
    <row r="471" spans="1:16" ht="21.75" customHeight="1" x14ac:dyDescent="0.3">
      <c r="A471" s="400"/>
      <c r="B471" s="401"/>
      <c r="C471" s="401"/>
      <c r="D471" s="402"/>
      <c r="E471" s="195"/>
      <c r="F471" s="388" t="s">
        <v>170</v>
      </c>
      <c r="G471" s="419"/>
      <c r="H471" s="420" t="s">
        <v>122</v>
      </c>
      <c r="I471" s="202">
        <f ca="1">IFERROR(__xludf.DUMMYFUNCTION("IMPORTRANGE(""https://docs.google.com/spreadsheets/d/11923uPwbBZFjjGgGUA6NLw09EwE0CqkOc4q9oUmW1yo/edit?usp=sharing"",""น่าน!I366"")"),0)</f>
        <v>0</v>
      </c>
      <c r="J471" s="188">
        <f ca="1">IFERROR(__xludf.DUMMYFUNCTION("IMPORTRANGE(""https://docs.google.com/spreadsheets/d/11923uPwbBZFjjGgGUA6NLw09EwE0CqkOc4q9oUmW1yo/edit?usp=sharing"",""น่าน!J366"")"),185)</f>
        <v>185</v>
      </c>
      <c r="K471" s="163">
        <f t="shared" ca="1" si="117"/>
        <v>0</v>
      </c>
      <c r="L471" s="181"/>
      <c r="M471" s="181"/>
      <c r="N471" s="181"/>
      <c r="O471" s="181"/>
      <c r="P471" s="181"/>
    </row>
    <row r="472" spans="1:16" ht="21.75" customHeight="1" x14ac:dyDescent="0.3">
      <c r="A472" s="400"/>
      <c r="B472" s="401"/>
      <c r="C472" s="401"/>
      <c r="D472" s="402"/>
      <c r="E472" s="195"/>
      <c r="F472" s="195"/>
      <c r="G472" s="195"/>
      <c r="H472" s="420" t="s">
        <v>36</v>
      </c>
      <c r="I472" s="202">
        <f ca="1">IFERROR(__xludf.DUMMYFUNCTION("IMPORTRANGE(""https://docs.google.com/spreadsheets/d/11923uPwbBZFjjGgGUA6NLw09EwE0CqkOc4q9oUmW1yo/edit?usp=sharing"",""น่าน!I367"")"),0)</f>
        <v>0</v>
      </c>
      <c r="J472" s="188">
        <f ca="1">IFERROR(__xludf.DUMMYFUNCTION("IMPORTRANGE(""https://docs.google.com/spreadsheets/d/11923uPwbBZFjjGgGUA6NLw09EwE0CqkOc4q9oUmW1yo/edit?usp=sharing"",""น่าน!J367"")"),33)</f>
        <v>33</v>
      </c>
      <c r="K472" s="163">
        <f t="shared" ca="1" si="117"/>
        <v>0</v>
      </c>
      <c r="L472" s="181"/>
      <c r="M472" s="181"/>
      <c r="N472" s="181"/>
      <c r="O472" s="181"/>
      <c r="P472" s="181"/>
    </row>
    <row r="473" spans="1:16" ht="21.75" customHeight="1" x14ac:dyDescent="0.3">
      <c r="A473" s="400"/>
      <c r="B473" s="401"/>
      <c r="C473" s="401"/>
      <c r="D473" s="402"/>
      <c r="E473" s="289" t="s">
        <v>171</v>
      </c>
      <c r="F473" s="195"/>
      <c r="G473" s="196"/>
      <c r="H473" s="416" t="s">
        <v>122</v>
      </c>
      <c r="I473" s="418">
        <f ca="1">IFERROR(__xludf.DUMMYFUNCTION("IMPORTRANGE(""https://docs.google.com/spreadsheets/d/11923uPwbBZFjjGgGUA6NLw09EwE0CqkOc4q9oUmW1yo/edit?usp=sharing"",""น่าน!I368"")"),56567)</f>
        <v>56567</v>
      </c>
      <c r="J473" s="418">
        <f ca="1">IFERROR(__xludf.DUMMYFUNCTION("IMPORTRANGE(""https://docs.google.com/spreadsheets/d/11923uPwbBZFjjGgGUA6NLw09EwE0CqkOc4q9oUmW1yo/edit?usp=sharing"",""น่าน!J368"")"),0)</f>
        <v>0</v>
      </c>
      <c r="K473" s="201">
        <f t="shared" ca="1" si="117"/>
        <v>0</v>
      </c>
      <c r="L473" s="181"/>
      <c r="M473" s="181"/>
      <c r="N473" s="181"/>
      <c r="O473" s="181"/>
      <c r="P473" s="181"/>
    </row>
    <row r="474" spans="1:16" ht="21.75" customHeight="1" x14ac:dyDescent="0.3">
      <c r="A474" s="400"/>
      <c r="B474" s="401"/>
      <c r="C474" s="401"/>
      <c r="D474" s="402"/>
      <c r="E474" s="195"/>
      <c r="F474" s="195"/>
      <c r="G474" s="196"/>
      <c r="H474" s="416" t="s">
        <v>36</v>
      </c>
      <c r="I474" s="417">
        <f ca="1">IFERROR(__xludf.DUMMYFUNCTION("IMPORTRANGE(""https://docs.google.com/spreadsheets/d/11923uPwbBZFjjGgGUA6NLw09EwE0CqkOc4q9oUmW1yo/edit?usp=sharing"",""น่าน!I369"")"),9077)</f>
        <v>9077</v>
      </c>
      <c r="J474" s="418">
        <f ca="1">IFERROR(__xludf.DUMMYFUNCTION("IMPORTRANGE(""https://docs.google.com/spreadsheets/d/11923uPwbBZFjjGgGUA6NLw09EwE0CqkOc4q9oUmW1yo/edit?usp=sharing"",""น่าน!J369"")"),0)</f>
        <v>0</v>
      </c>
      <c r="K474" s="163">
        <f t="shared" ca="1" si="117"/>
        <v>0</v>
      </c>
      <c r="L474" s="181"/>
      <c r="M474" s="181"/>
      <c r="N474" s="181"/>
      <c r="O474" s="181"/>
      <c r="P474" s="181"/>
    </row>
    <row r="475" spans="1:16" ht="21.75" customHeight="1" x14ac:dyDescent="0.3">
      <c r="A475" s="400"/>
      <c r="B475" s="401"/>
      <c r="C475" s="401"/>
      <c r="D475" s="402"/>
      <c r="E475" s="195"/>
      <c r="F475" s="194" t="s">
        <v>172</v>
      </c>
      <c r="G475" s="419"/>
      <c r="H475" s="420" t="s">
        <v>122</v>
      </c>
      <c r="I475" s="202">
        <f ca="1">IFERROR(__xludf.DUMMYFUNCTION("IMPORTRANGE(""https://docs.google.com/spreadsheets/d/11923uPwbBZFjjGgGUA6NLw09EwE0CqkOc4q9oUmW1yo/edit?usp=sharing"",""น่าน!I370"")"),0)</f>
        <v>0</v>
      </c>
      <c r="J475" s="188">
        <f ca="1">IFERROR(__xludf.DUMMYFUNCTION("IMPORTRANGE(""https://docs.google.com/spreadsheets/d/11923uPwbBZFjjGgGUA6NLw09EwE0CqkOc4q9oUmW1yo/edit?usp=sharing"",""น่าน!J370"")"),0)</f>
        <v>0</v>
      </c>
      <c r="K475" s="163">
        <f t="shared" ca="1" si="117"/>
        <v>0</v>
      </c>
      <c r="L475" s="181"/>
      <c r="M475" s="181"/>
      <c r="N475" s="181"/>
      <c r="O475" s="181"/>
      <c r="P475" s="181"/>
    </row>
    <row r="476" spans="1:16" ht="21.75" customHeight="1" x14ac:dyDescent="0.3">
      <c r="A476" s="400"/>
      <c r="B476" s="401"/>
      <c r="C476" s="401"/>
      <c r="D476" s="402"/>
      <c r="E476" s="195"/>
      <c r="F476" s="195"/>
      <c r="G476" s="419"/>
      <c r="H476" s="420" t="s">
        <v>36</v>
      </c>
      <c r="I476" s="202">
        <f ca="1">IFERROR(__xludf.DUMMYFUNCTION("IMPORTRANGE(""https://docs.google.com/spreadsheets/d/11923uPwbBZFjjGgGUA6NLw09EwE0CqkOc4q9oUmW1yo/edit?usp=sharing"",""น่าน!I371"")"),0)</f>
        <v>0</v>
      </c>
      <c r="J476" s="188">
        <f ca="1">IFERROR(__xludf.DUMMYFUNCTION("IMPORTRANGE(""https://docs.google.com/spreadsheets/d/11923uPwbBZFjjGgGUA6NLw09EwE0CqkOc4q9oUmW1yo/edit?usp=sharing"",""น่าน!J371"")"),0)</f>
        <v>0</v>
      </c>
      <c r="K476" s="163">
        <f t="shared" ca="1" si="117"/>
        <v>0</v>
      </c>
      <c r="L476" s="181"/>
      <c r="M476" s="181"/>
      <c r="N476" s="181"/>
      <c r="O476" s="181"/>
      <c r="P476" s="181"/>
    </row>
    <row r="477" spans="1:16" ht="21.75" customHeight="1" x14ac:dyDescent="0.3">
      <c r="A477" s="400"/>
      <c r="B477" s="401"/>
      <c r="C477" s="401"/>
      <c r="D477" s="402"/>
      <c r="E477" s="195"/>
      <c r="F477" s="194" t="s">
        <v>173</v>
      </c>
      <c r="G477" s="419"/>
      <c r="H477" s="420" t="s">
        <v>122</v>
      </c>
      <c r="I477" s="202">
        <f ca="1">IFERROR(__xludf.DUMMYFUNCTION("IMPORTRANGE(""https://docs.google.com/spreadsheets/d/11923uPwbBZFjjGgGUA6NLw09EwE0CqkOc4q9oUmW1yo/edit?usp=sharing"",""น่าน!I372"")"),0)</f>
        <v>0</v>
      </c>
      <c r="J477" s="188">
        <f ca="1">IFERROR(__xludf.DUMMYFUNCTION("IMPORTRANGE(""https://docs.google.com/spreadsheets/d/11923uPwbBZFjjGgGUA6NLw09EwE0CqkOc4q9oUmW1yo/edit?usp=sharing"",""น่าน!J372"")"),0)</f>
        <v>0</v>
      </c>
      <c r="K477" s="163">
        <f t="shared" ca="1" si="117"/>
        <v>0</v>
      </c>
      <c r="L477" s="181"/>
      <c r="M477" s="181"/>
      <c r="N477" s="181"/>
      <c r="O477" s="181"/>
      <c r="P477" s="181"/>
    </row>
    <row r="478" spans="1:16" ht="21.75" customHeight="1" x14ac:dyDescent="0.3">
      <c r="A478" s="400"/>
      <c r="B478" s="401"/>
      <c r="C478" s="401"/>
      <c r="D478" s="402"/>
      <c r="E478" s="195"/>
      <c r="F478" s="195"/>
      <c r="G478" s="419"/>
      <c r="H478" s="420" t="s">
        <v>36</v>
      </c>
      <c r="I478" s="202">
        <f ca="1">IFERROR(__xludf.DUMMYFUNCTION("IMPORTRANGE(""https://docs.google.com/spreadsheets/d/11923uPwbBZFjjGgGUA6NLw09EwE0CqkOc4q9oUmW1yo/edit?usp=sharing"",""น่าน!I373"")"),0)</f>
        <v>0</v>
      </c>
      <c r="J478" s="188">
        <f ca="1">IFERROR(__xludf.DUMMYFUNCTION("IMPORTRANGE(""https://docs.google.com/spreadsheets/d/11923uPwbBZFjjGgGUA6NLw09EwE0CqkOc4q9oUmW1yo/edit?usp=sharing"",""น่าน!J373"")"),0)</f>
        <v>0</v>
      </c>
      <c r="K478" s="163">
        <f t="shared" ca="1" si="117"/>
        <v>0</v>
      </c>
      <c r="L478" s="181"/>
      <c r="M478" s="181"/>
      <c r="N478" s="181"/>
      <c r="O478" s="181"/>
      <c r="P478" s="181"/>
    </row>
    <row r="479" spans="1:16" ht="21.75" customHeight="1" x14ac:dyDescent="0.3">
      <c r="A479" s="400"/>
      <c r="B479" s="401"/>
      <c r="C479" s="401"/>
      <c r="D479" s="402"/>
      <c r="E479" s="195"/>
      <c r="F479" s="194" t="s">
        <v>174</v>
      </c>
      <c r="G479" s="419"/>
      <c r="H479" s="420" t="s">
        <v>122</v>
      </c>
      <c r="I479" s="202">
        <f ca="1">IFERROR(__xludf.DUMMYFUNCTION("IMPORTRANGE(""https://docs.google.com/spreadsheets/d/11923uPwbBZFjjGgGUA6NLw09EwE0CqkOc4q9oUmW1yo/edit?usp=sharing"",""น่าน!I374"")"),0)</f>
        <v>0</v>
      </c>
      <c r="J479" s="188">
        <f ca="1">IFERROR(__xludf.DUMMYFUNCTION("IMPORTRANGE(""https://docs.google.com/spreadsheets/d/11923uPwbBZFjjGgGUA6NLw09EwE0CqkOc4q9oUmW1yo/edit?usp=sharing"",""น่าน!J374"")"),0)</f>
        <v>0</v>
      </c>
      <c r="K479" s="163">
        <f t="shared" ca="1" si="117"/>
        <v>0</v>
      </c>
      <c r="L479" s="181"/>
      <c r="M479" s="181"/>
      <c r="N479" s="181"/>
      <c r="O479" s="181"/>
      <c r="P479" s="181"/>
    </row>
    <row r="480" spans="1:16" ht="21.75" customHeight="1" x14ac:dyDescent="0.3">
      <c r="A480" s="400"/>
      <c r="B480" s="401"/>
      <c r="C480" s="401"/>
      <c r="D480" s="402"/>
      <c r="E480" s="195"/>
      <c r="F480" s="195"/>
      <c r="G480" s="196"/>
      <c r="H480" s="420" t="s">
        <v>36</v>
      </c>
      <c r="I480" s="202">
        <f ca="1">IFERROR(__xludf.DUMMYFUNCTION("IMPORTRANGE(""https://docs.google.com/spreadsheets/d/11923uPwbBZFjjGgGUA6NLw09EwE0CqkOc4q9oUmW1yo/edit?usp=sharing"",""น่าน!I375"")"),0)</f>
        <v>0</v>
      </c>
      <c r="J480" s="188">
        <f ca="1">IFERROR(__xludf.DUMMYFUNCTION("IMPORTRANGE(""https://docs.google.com/spreadsheets/d/11923uPwbBZFjjGgGUA6NLw09EwE0CqkOc4q9oUmW1yo/edit?usp=sharing"",""น่าน!J375"")"),0)</f>
        <v>0</v>
      </c>
      <c r="K480" s="163">
        <f t="shared" ca="1" si="117"/>
        <v>0</v>
      </c>
      <c r="L480" s="181"/>
      <c r="M480" s="181"/>
      <c r="N480" s="181"/>
      <c r="O480" s="181"/>
      <c r="P480" s="181"/>
    </row>
    <row r="481" spans="1:16" ht="21.75" customHeight="1" x14ac:dyDescent="0.3">
      <c r="A481" s="421"/>
      <c r="B481" s="422"/>
      <c r="C481" s="422"/>
      <c r="D481" s="423"/>
      <c r="E481" s="424" t="s">
        <v>175</v>
      </c>
      <c r="F481" s="425"/>
      <c r="G481" s="426"/>
      <c r="H481" s="427" t="s">
        <v>122</v>
      </c>
      <c r="I481" s="418">
        <f ca="1">IFERROR(__xludf.DUMMYFUNCTION("IMPORTRANGE(""https://docs.google.com/spreadsheets/d/11923uPwbBZFjjGgGUA6NLw09EwE0CqkOc4q9oUmW1yo/edit?usp=sharing"",""น่าน!I376"")"),56567)</f>
        <v>56567</v>
      </c>
      <c r="J481" s="418">
        <f ca="1">IFERROR(__xludf.DUMMYFUNCTION("IMPORTRANGE(""https://docs.google.com/spreadsheets/d/11923uPwbBZFjjGgGUA6NLw09EwE0CqkOc4q9oUmW1yo/edit?usp=sharing"",""น่าน!J376"")"),0)</f>
        <v>0</v>
      </c>
      <c r="K481" s="201">
        <f t="shared" ca="1" si="117"/>
        <v>0</v>
      </c>
      <c r="L481" s="428"/>
      <c r="M481" s="428"/>
      <c r="N481" s="428"/>
      <c r="O481" s="428"/>
      <c r="P481" s="428"/>
    </row>
    <row r="482" spans="1:16" ht="21.75" customHeight="1" x14ac:dyDescent="0.3">
      <c r="A482" s="400"/>
      <c r="B482" s="401"/>
      <c r="C482" s="401"/>
      <c r="D482" s="402"/>
      <c r="E482" s="195"/>
      <c r="F482" s="195"/>
      <c r="G482" s="196"/>
      <c r="H482" s="416" t="s">
        <v>36</v>
      </c>
      <c r="I482" s="417">
        <f ca="1">IFERROR(__xludf.DUMMYFUNCTION("IMPORTRANGE(""https://docs.google.com/spreadsheets/d/11923uPwbBZFjjGgGUA6NLw09EwE0CqkOc4q9oUmW1yo/edit?usp=sharing"",""น่าน!I377"")"),9077)</f>
        <v>9077</v>
      </c>
      <c r="J482" s="418">
        <f ca="1">IFERROR(__xludf.DUMMYFUNCTION("IMPORTRANGE(""https://docs.google.com/spreadsheets/d/11923uPwbBZFjjGgGUA6NLw09EwE0CqkOc4q9oUmW1yo/edit?usp=sharing"",""น่าน!J377"")"),0)</f>
        <v>0</v>
      </c>
      <c r="K482" s="163">
        <f t="shared" ca="1" si="117"/>
        <v>0</v>
      </c>
      <c r="L482" s="181"/>
      <c r="M482" s="181"/>
      <c r="N482" s="181"/>
      <c r="O482" s="181"/>
      <c r="P482" s="181"/>
    </row>
    <row r="483" spans="1:16" ht="21.75" customHeight="1" x14ac:dyDescent="0.3">
      <c r="A483" s="400"/>
      <c r="B483" s="401"/>
      <c r="C483" s="401"/>
      <c r="D483" s="402"/>
      <c r="E483" s="195"/>
      <c r="F483" s="194" t="s">
        <v>176</v>
      </c>
      <c r="G483" s="419"/>
      <c r="H483" s="420" t="s">
        <v>122</v>
      </c>
      <c r="I483" s="202">
        <f ca="1">IFERROR(__xludf.DUMMYFUNCTION("IMPORTRANGE(""https://docs.google.com/spreadsheets/d/11923uPwbBZFjjGgGUA6NLw09EwE0CqkOc4q9oUmW1yo/edit?usp=sharing"",""น่าน!I378"")"),0)</f>
        <v>0</v>
      </c>
      <c r="J483" s="188">
        <f ca="1">IFERROR(__xludf.DUMMYFUNCTION("IMPORTRANGE(""https://docs.google.com/spreadsheets/d/11923uPwbBZFjjGgGUA6NLw09EwE0CqkOc4q9oUmW1yo/edit?usp=sharing"",""น่าน!J378"")"),0)</f>
        <v>0</v>
      </c>
      <c r="K483" s="163">
        <f t="shared" ca="1" si="117"/>
        <v>0</v>
      </c>
      <c r="L483" s="181"/>
      <c r="M483" s="181"/>
      <c r="N483" s="181"/>
      <c r="O483" s="181"/>
      <c r="P483" s="181"/>
    </row>
    <row r="484" spans="1:16" ht="21.75" customHeight="1" x14ac:dyDescent="0.3">
      <c r="A484" s="400"/>
      <c r="B484" s="401"/>
      <c r="C484" s="401"/>
      <c r="D484" s="402"/>
      <c r="E484" s="195"/>
      <c r="F484" s="195"/>
      <c r="G484" s="419"/>
      <c r="H484" s="420" t="s">
        <v>36</v>
      </c>
      <c r="I484" s="202">
        <f ca="1">IFERROR(__xludf.DUMMYFUNCTION("IMPORTRANGE(""https://docs.google.com/spreadsheets/d/11923uPwbBZFjjGgGUA6NLw09EwE0CqkOc4q9oUmW1yo/edit?usp=sharing"",""น่าน!I379"")"),0)</f>
        <v>0</v>
      </c>
      <c r="J484" s="188">
        <f ca="1">IFERROR(__xludf.DUMMYFUNCTION("IMPORTRANGE(""https://docs.google.com/spreadsheets/d/11923uPwbBZFjjGgGUA6NLw09EwE0CqkOc4q9oUmW1yo/edit?usp=sharing"",""น่าน!J379"")"),0)</f>
        <v>0</v>
      </c>
      <c r="K484" s="163">
        <f t="shared" ca="1" si="117"/>
        <v>0</v>
      </c>
      <c r="L484" s="181"/>
      <c r="M484" s="181"/>
      <c r="N484" s="181"/>
      <c r="O484" s="181"/>
      <c r="P484" s="181"/>
    </row>
    <row r="485" spans="1:16" ht="21.75" customHeight="1" x14ac:dyDescent="0.3">
      <c r="A485" s="400"/>
      <c r="B485" s="401"/>
      <c r="C485" s="401"/>
      <c r="D485" s="402"/>
      <c r="E485" s="195"/>
      <c r="F485" s="194" t="s">
        <v>177</v>
      </c>
      <c r="G485" s="419"/>
      <c r="H485" s="420" t="s">
        <v>122</v>
      </c>
      <c r="I485" s="202">
        <f ca="1">IFERROR(__xludf.DUMMYFUNCTION("IMPORTRANGE(""https://docs.google.com/spreadsheets/d/11923uPwbBZFjjGgGUA6NLw09EwE0CqkOc4q9oUmW1yo/edit?usp=sharing"",""น่าน!I380"")"),0)</f>
        <v>0</v>
      </c>
      <c r="J485" s="188">
        <f ca="1">IFERROR(__xludf.DUMMYFUNCTION("IMPORTRANGE(""https://docs.google.com/spreadsheets/d/11923uPwbBZFjjGgGUA6NLw09EwE0CqkOc4q9oUmW1yo/edit?usp=sharing"",""น่าน!J380"")"),0)</f>
        <v>0</v>
      </c>
      <c r="K485" s="163">
        <f t="shared" ca="1" si="117"/>
        <v>0</v>
      </c>
      <c r="L485" s="181"/>
      <c r="M485" s="181"/>
      <c r="N485" s="181"/>
      <c r="O485" s="181"/>
      <c r="P485" s="181"/>
    </row>
    <row r="486" spans="1:16" ht="21.75" customHeight="1" x14ac:dyDescent="0.3">
      <c r="A486" s="400"/>
      <c r="B486" s="401"/>
      <c r="C486" s="401"/>
      <c r="D486" s="402"/>
      <c r="E486" s="195"/>
      <c r="F486" s="195"/>
      <c r="G486" s="419"/>
      <c r="H486" s="420" t="s">
        <v>36</v>
      </c>
      <c r="I486" s="202">
        <f ca="1">IFERROR(__xludf.DUMMYFUNCTION("IMPORTRANGE(""https://docs.google.com/spreadsheets/d/11923uPwbBZFjjGgGUA6NLw09EwE0CqkOc4q9oUmW1yo/edit?usp=sharing"",""น่าน!I381"")"),0)</f>
        <v>0</v>
      </c>
      <c r="J486" s="188">
        <f ca="1">IFERROR(__xludf.DUMMYFUNCTION("IMPORTRANGE(""https://docs.google.com/spreadsheets/d/11923uPwbBZFjjGgGUA6NLw09EwE0CqkOc4q9oUmW1yo/edit?usp=sharing"",""น่าน!J381"")"),0)</f>
        <v>0</v>
      </c>
      <c r="K486" s="163">
        <f t="shared" ca="1" si="117"/>
        <v>0</v>
      </c>
      <c r="L486" s="181"/>
      <c r="M486" s="181"/>
      <c r="N486" s="181"/>
      <c r="O486" s="181"/>
      <c r="P486" s="181"/>
    </row>
    <row r="487" spans="1:16" ht="21.75" customHeight="1" x14ac:dyDescent="0.3">
      <c r="A487" s="400"/>
      <c r="B487" s="401"/>
      <c r="C487" s="401"/>
      <c r="D487" s="402"/>
      <c r="E487" s="195"/>
      <c r="F487" s="194" t="s">
        <v>178</v>
      </c>
      <c r="G487" s="419"/>
      <c r="H487" s="420" t="s">
        <v>122</v>
      </c>
      <c r="I487" s="202">
        <f ca="1">IFERROR(__xludf.DUMMYFUNCTION("IMPORTRANGE(""https://docs.google.com/spreadsheets/d/11923uPwbBZFjjGgGUA6NLw09EwE0CqkOc4q9oUmW1yo/edit?usp=sharing"",""น่าน!I382"")"),0)</f>
        <v>0</v>
      </c>
      <c r="J487" s="418">
        <f ca="1">IFERROR(__xludf.DUMMYFUNCTION("IMPORTRANGE(""https://docs.google.com/spreadsheets/d/11923uPwbBZFjjGgGUA6NLw09EwE0CqkOc4q9oUmW1yo/edit?usp=sharing"",""น่าน!J382"")"),0)</f>
        <v>0</v>
      </c>
      <c r="K487" s="163">
        <f t="shared" ca="1" si="117"/>
        <v>0</v>
      </c>
      <c r="L487" s="181"/>
      <c r="M487" s="181"/>
      <c r="N487" s="181"/>
      <c r="O487" s="181"/>
      <c r="P487" s="181"/>
    </row>
    <row r="488" spans="1:16" ht="21.75" customHeight="1" x14ac:dyDescent="0.3">
      <c r="A488" s="400"/>
      <c r="B488" s="401"/>
      <c r="C488" s="401"/>
      <c r="D488" s="402"/>
      <c r="E488" s="195"/>
      <c r="F488" s="195"/>
      <c r="G488" s="195"/>
      <c r="H488" s="420" t="s">
        <v>36</v>
      </c>
      <c r="I488" s="202">
        <f ca="1">IFERROR(__xludf.DUMMYFUNCTION("IMPORTRANGE(""https://docs.google.com/spreadsheets/d/11923uPwbBZFjjGgGUA6NLw09EwE0CqkOc4q9oUmW1yo/edit?usp=sharing"",""น่าน!I383"")"),0)</f>
        <v>0</v>
      </c>
      <c r="J488" s="418">
        <f ca="1">IFERROR(__xludf.DUMMYFUNCTION("IMPORTRANGE(""https://docs.google.com/spreadsheets/d/11923uPwbBZFjjGgGUA6NLw09EwE0CqkOc4q9oUmW1yo/edit?usp=sharing"",""น่าน!J383"")"),0)</f>
        <v>0</v>
      </c>
      <c r="K488" s="163">
        <f t="shared" ca="1" si="117"/>
        <v>0</v>
      </c>
      <c r="L488" s="181"/>
      <c r="M488" s="181"/>
      <c r="N488" s="181"/>
      <c r="O488" s="181"/>
      <c r="P488" s="181"/>
    </row>
    <row r="489" spans="1:16" ht="21.75" customHeight="1" x14ac:dyDescent="0.3">
      <c r="A489" s="400"/>
      <c r="B489" s="401"/>
      <c r="C489" s="401"/>
      <c r="D489" s="402"/>
      <c r="E489" s="195"/>
      <c r="F489" s="195"/>
      <c r="G489" s="194" t="s">
        <v>179</v>
      </c>
      <c r="H489" s="420" t="s">
        <v>122</v>
      </c>
      <c r="I489" s="202">
        <f ca="1">IFERROR(__xludf.DUMMYFUNCTION("IMPORTRANGE(""https://docs.google.com/spreadsheets/d/11923uPwbBZFjjGgGUA6NLw09EwE0CqkOc4q9oUmW1yo/edit?usp=sharing"",""น่าน!I384"")"),0)</f>
        <v>0</v>
      </c>
      <c r="J489" s="188">
        <f ca="1">IFERROR(__xludf.DUMMYFUNCTION("IMPORTRANGE(""https://docs.google.com/spreadsheets/d/11923uPwbBZFjjGgGUA6NLw09EwE0CqkOc4q9oUmW1yo/edit?usp=sharing"",""น่าน!J384"")"),0)</f>
        <v>0</v>
      </c>
      <c r="K489" s="163">
        <f t="shared" ca="1" si="117"/>
        <v>0</v>
      </c>
      <c r="L489" s="181"/>
      <c r="M489" s="181"/>
      <c r="N489" s="181"/>
      <c r="O489" s="181"/>
      <c r="P489" s="181"/>
    </row>
    <row r="490" spans="1:16" ht="21.75" customHeight="1" x14ac:dyDescent="0.3">
      <c r="A490" s="400"/>
      <c r="B490" s="401"/>
      <c r="C490" s="401"/>
      <c r="D490" s="402"/>
      <c r="E490" s="195"/>
      <c r="F490" s="195"/>
      <c r="G490" s="195"/>
      <c r="H490" s="420" t="s">
        <v>36</v>
      </c>
      <c r="I490" s="202">
        <f ca="1">IFERROR(__xludf.DUMMYFUNCTION("IMPORTRANGE(""https://docs.google.com/spreadsheets/d/11923uPwbBZFjjGgGUA6NLw09EwE0CqkOc4q9oUmW1yo/edit?usp=sharing"",""น่าน!I385"")"),0)</f>
        <v>0</v>
      </c>
      <c r="J490" s="188">
        <f ca="1">IFERROR(__xludf.DUMMYFUNCTION("IMPORTRANGE(""https://docs.google.com/spreadsheets/d/11923uPwbBZFjjGgGUA6NLw09EwE0CqkOc4q9oUmW1yo/edit?usp=sharing"",""น่าน!J385"")"),0)</f>
        <v>0</v>
      </c>
      <c r="K490" s="163">
        <f t="shared" ca="1" si="117"/>
        <v>0</v>
      </c>
      <c r="L490" s="181"/>
      <c r="M490" s="181"/>
      <c r="N490" s="181"/>
      <c r="O490" s="181"/>
      <c r="P490" s="181"/>
    </row>
    <row r="491" spans="1:16" ht="21.75" customHeight="1" x14ac:dyDescent="0.3">
      <c r="A491" s="400"/>
      <c r="B491" s="401"/>
      <c r="C491" s="401"/>
      <c r="D491" s="402"/>
      <c r="E491" s="195"/>
      <c r="F491" s="195"/>
      <c r="G491" s="194" t="s">
        <v>180</v>
      </c>
      <c r="H491" s="420" t="s">
        <v>122</v>
      </c>
      <c r="I491" s="202">
        <f ca="1">IFERROR(__xludf.DUMMYFUNCTION("IMPORTRANGE(""https://docs.google.com/spreadsheets/d/11923uPwbBZFjjGgGUA6NLw09EwE0CqkOc4q9oUmW1yo/edit?usp=sharing"",""น่าน!I386"")"),0)</f>
        <v>0</v>
      </c>
      <c r="J491" s="188">
        <f ca="1">IFERROR(__xludf.DUMMYFUNCTION("IMPORTRANGE(""https://docs.google.com/spreadsheets/d/11923uPwbBZFjjGgGUA6NLw09EwE0CqkOc4q9oUmW1yo/edit?usp=sharing"",""น่าน!J386"")"),0)</f>
        <v>0</v>
      </c>
      <c r="K491" s="163">
        <f t="shared" ca="1" si="117"/>
        <v>0</v>
      </c>
      <c r="L491" s="181"/>
      <c r="M491" s="181"/>
      <c r="N491" s="181"/>
      <c r="O491" s="181"/>
      <c r="P491" s="181"/>
    </row>
    <row r="492" spans="1:16" ht="21.75" customHeight="1" x14ac:dyDescent="0.3">
      <c r="A492" s="400"/>
      <c r="B492" s="401"/>
      <c r="C492" s="401"/>
      <c r="D492" s="402"/>
      <c r="E492" s="195"/>
      <c r="F492" s="195"/>
      <c r="G492" s="196"/>
      <c r="H492" s="420" t="s">
        <v>36</v>
      </c>
      <c r="I492" s="202">
        <f ca="1">IFERROR(__xludf.DUMMYFUNCTION("IMPORTRANGE(""https://docs.google.com/spreadsheets/d/11923uPwbBZFjjGgGUA6NLw09EwE0CqkOc4q9oUmW1yo/edit?usp=sharing"",""น่าน!I387"")"),0)</f>
        <v>0</v>
      </c>
      <c r="J492" s="188">
        <f ca="1">IFERROR(__xludf.DUMMYFUNCTION("IMPORTRANGE(""https://docs.google.com/spreadsheets/d/11923uPwbBZFjjGgGUA6NLw09EwE0CqkOc4q9oUmW1yo/edit?usp=sharing"",""น่าน!J387"")"),0)</f>
        <v>0</v>
      </c>
      <c r="K492" s="163">
        <f t="shared" ca="1" si="117"/>
        <v>0</v>
      </c>
      <c r="L492" s="181"/>
      <c r="M492" s="181"/>
      <c r="N492" s="181"/>
      <c r="O492" s="181"/>
      <c r="P492" s="181"/>
    </row>
    <row r="493" spans="1:16" ht="21.75" customHeight="1" x14ac:dyDescent="0.3">
      <c r="A493" s="400"/>
      <c r="B493" s="401"/>
      <c r="C493" s="401"/>
      <c r="D493" s="402"/>
      <c r="E493" s="195"/>
      <c r="F493" s="194" t="s">
        <v>181</v>
      </c>
      <c r="G493" s="419"/>
      <c r="H493" s="420" t="s">
        <v>122</v>
      </c>
      <c r="I493" s="202">
        <f ca="1">IFERROR(__xludf.DUMMYFUNCTION("IMPORTRANGE(""https://docs.google.com/spreadsheets/d/11923uPwbBZFjjGgGUA6NLw09EwE0CqkOc4q9oUmW1yo/edit?usp=sharing"",""น่าน!I388"")"),0)</f>
        <v>0</v>
      </c>
      <c r="J493" s="188">
        <f ca="1">IFERROR(__xludf.DUMMYFUNCTION("IMPORTRANGE(""https://docs.google.com/spreadsheets/d/11923uPwbBZFjjGgGUA6NLw09EwE0CqkOc4q9oUmW1yo/edit?usp=sharing"",""น่าน!J388"")"),0)</f>
        <v>0</v>
      </c>
      <c r="K493" s="163">
        <f t="shared" ca="1" si="117"/>
        <v>0</v>
      </c>
      <c r="L493" s="181"/>
      <c r="M493" s="181"/>
      <c r="N493" s="181"/>
      <c r="O493" s="181"/>
      <c r="P493" s="181"/>
    </row>
    <row r="494" spans="1:16" ht="21.75" customHeight="1" x14ac:dyDescent="0.3">
      <c r="A494" s="429"/>
      <c r="B494" s="430"/>
      <c r="C494" s="430"/>
      <c r="D494" s="431"/>
      <c r="E494" s="345"/>
      <c r="F494" s="345"/>
      <c r="G494" s="345"/>
      <c r="H494" s="432" t="s">
        <v>36</v>
      </c>
      <c r="I494" s="433">
        <f ca="1">IFERROR(__xludf.DUMMYFUNCTION("IMPORTRANGE(""https://docs.google.com/spreadsheets/d/11923uPwbBZFjjGgGUA6NLw09EwE0CqkOc4q9oUmW1yo/edit?usp=sharing"",""น่าน!I389"")"),0)</f>
        <v>0</v>
      </c>
      <c r="J494" s="434">
        <f ca="1">IFERROR(__xludf.DUMMYFUNCTION("IMPORTRANGE(""https://docs.google.com/spreadsheets/d/11923uPwbBZFjjGgGUA6NLw09EwE0CqkOc4q9oUmW1yo/edit?usp=sharing"",""น่าน!J389"")"),0)</f>
        <v>0</v>
      </c>
      <c r="K494" s="286">
        <f t="shared" ca="1" si="117"/>
        <v>0</v>
      </c>
      <c r="L494" s="244"/>
      <c r="M494" s="244"/>
      <c r="N494" s="244"/>
      <c r="O494" s="244"/>
      <c r="P494" s="244"/>
    </row>
    <row r="495" spans="1:16" ht="21.75" customHeight="1" x14ac:dyDescent="0.3">
      <c r="A495" s="400"/>
      <c r="B495" s="401"/>
      <c r="C495" s="401"/>
      <c r="D495" s="402"/>
      <c r="E495" s="195"/>
      <c r="F495" s="195">
        <v>3.5</v>
      </c>
      <c r="G495" s="419" t="s">
        <v>182</v>
      </c>
      <c r="H495" s="420" t="s">
        <v>122</v>
      </c>
      <c r="I495" s="433">
        <f ca="1">IFERROR(__xludf.DUMMYFUNCTION("IMPORTRANGE(""https://docs.google.com/spreadsheets/d/11923uPwbBZFjjGgGUA6NLw09EwE0CqkOc4q9oUmW1yo/edit?usp=sharing"",""น่าน!I390"")"),0)</f>
        <v>0</v>
      </c>
      <c r="J495" s="434">
        <f ca="1">IFERROR(__xludf.DUMMYFUNCTION("IMPORTRANGE(""https://docs.google.com/spreadsheets/d/11923uPwbBZFjjGgGUA6NLw09EwE0CqkOc4q9oUmW1yo/edit?usp=sharing"",""น่าน!J390"")"),0)</f>
        <v>0</v>
      </c>
      <c r="K495" s="163">
        <f t="shared" ca="1" si="117"/>
        <v>0</v>
      </c>
      <c r="L495" s="181"/>
      <c r="M495" s="181"/>
      <c r="N495" s="181"/>
      <c r="O495" s="181"/>
      <c r="P495" s="181"/>
    </row>
    <row r="496" spans="1:16" ht="21.75" customHeight="1" x14ac:dyDescent="0.3">
      <c r="A496" s="429"/>
      <c r="B496" s="430"/>
      <c r="C496" s="430"/>
      <c r="D496" s="431"/>
      <c r="E496" s="345"/>
      <c r="F496" s="345"/>
      <c r="G496" s="345"/>
      <c r="H496" s="432" t="s">
        <v>36</v>
      </c>
      <c r="I496" s="433">
        <f ca="1">IFERROR(__xludf.DUMMYFUNCTION("IMPORTRANGE(""https://docs.google.com/spreadsheets/d/11923uPwbBZFjjGgGUA6NLw09EwE0CqkOc4q9oUmW1yo/edit?usp=sharing"",""น่าน!I391"")"),0)</f>
        <v>0</v>
      </c>
      <c r="J496" s="434">
        <f ca="1">IFERROR(__xludf.DUMMYFUNCTION("IMPORTRANGE(""https://docs.google.com/spreadsheets/d/11923uPwbBZFjjGgGUA6NLw09EwE0CqkOc4q9oUmW1yo/edit?usp=sharing"",""น่าน!J391"")"),0)</f>
        <v>0</v>
      </c>
      <c r="K496" s="286">
        <f t="shared" ca="1" si="117"/>
        <v>0</v>
      </c>
      <c r="L496" s="244"/>
      <c r="M496" s="244"/>
      <c r="N496" s="244"/>
      <c r="O496" s="244"/>
      <c r="P496" s="244"/>
    </row>
    <row r="497" spans="1:16" ht="21.75" customHeight="1" x14ac:dyDescent="0.3">
      <c r="A497" s="435"/>
      <c r="B497" s="436"/>
      <c r="C497" s="437" t="s">
        <v>183</v>
      </c>
      <c r="D497" s="437"/>
      <c r="E497" s="438"/>
      <c r="F497" s="438"/>
      <c r="G497" s="439"/>
      <c r="H497" s="440" t="s">
        <v>122</v>
      </c>
      <c r="I497" s="441">
        <f ca="1">IFERROR(__xludf.DUMMYFUNCTION("IMPORTRANGE(""https://docs.google.com/spreadsheets/d/11923uPwbBZFjjGgGUA6NLw09EwE0CqkOc4q9oUmW1yo/edit?usp=sharing"",""น่าน!I392"")"),575)</f>
        <v>575</v>
      </c>
      <c r="J497" s="441">
        <f ca="1">IFERROR(__xludf.DUMMYFUNCTION("IMPORTRANGE(""https://docs.google.com/spreadsheets/d/11923uPwbBZFjjGgGUA6NLw09EwE0CqkOc4q9oUmW1yo/edit?usp=sharing"",""น่าน!J392"")"),0)</f>
        <v>0</v>
      </c>
      <c r="K497" s="442">
        <f t="shared" ca="1" si="117"/>
        <v>0</v>
      </c>
      <c r="L497" s="443"/>
      <c r="M497" s="443"/>
      <c r="N497" s="443"/>
      <c r="O497" s="443"/>
      <c r="P497" s="443"/>
    </row>
    <row r="498" spans="1:16" ht="21.75" customHeight="1" x14ac:dyDescent="0.3">
      <c r="A498" s="175"/>
      <c r="B498" s="176"/>
      <c r="C498" s="176"/>
      <c r="D498" s="402"/>
      <c r="E498" s="444" t="s">
        <v>184</v>
      </c>
      <c r="F498" s="445"/>
      <c r="G498" s="446"/>
      <c r="H498" s="447" t="s">
        <v>122</v>
      </c>
      <c r="I498" s="418">
        <f ca="1">IFERROR(__xludf.DUMMYFUNCTION("IMPORTRANGE(""https://docs.google.com/spreadsheets/d/11923uPwbBZFjjGgGUA6NLw09EwE0CqkOc4q9oUmW1yo/edit?usp=sharing"",""น่าน!I393"")"),575)</f>
        <v>575</v>
      </c>
      <c r="J498" s="418">
        <f ca="1">IFERROR(__xludf.DUMMYFUNCTION("IMPORTRANGE(""https://docs.google.com/spreadsheets/d/11923uPwbBZFjjGgGUA6NLw09EwE0CqkOc4q9oUmW1yo/edit?usp=sharing"",""น่าน!J393"")"),0)</f>
        <v>0</v>
      </c>
      <c r="K498" s="163">
        <f t="shared" ca="1" si="117"/>
        <v>0</v>
      </c>
      <c r="L498" s="181"/>
      <c r="M498" s="181"/>
      <c r="N498" s="181"/>
      <c r="O498" s="181"/>
      <c r="P498" s="181"/>
    </row>
    <row r="499" spans="1:16" ht="21.75" customHeight="1" x14ac:dyDescent="0.3">
      <c r="A499" s="175"/>
      <c r="B499" s="176"/>
      <c r="C499" s="176"/>
      <c r="D499" s="193"/>
      <c r="E499" s="445"/>
      <c r="F499" s="445"/>
      <c r="G499" s="446"/>
      <c r="H499" s="447" t="s">
        <v>36</v>
      </c>
      <c r="I499" s="418">
        <f ca="1">IFERROR(__xludf.DUMMYFUNCTION("IMPORTRANGE(""https://docs.google.com/spreadsheets/d/11923uPwbBZFjjGgGUA6NLw09EwE0CqkOc4q9oUmW1yo/edit?usp=sharing"",""น่าน!I394"")"),187)</f>
        <v>187</v>
      </c>
      <c r="J499" s="418">
        <f ca="1">IFERROR(__xludf.DUMMYFUNCTION("IMPORTRANGE(""https://docs.google.com/spreadsheets/d/11923uPwbBZFjjGgGUA6NLw09EwE0CqkOc4q9oUmW1yo/edit?usp=sharing"",""น่าน!J394"")"),0)</f>
        <v>0</v>
      </c>
      <c r="K499" s="201">
        <f t="shared" ca="1" si="117"/>
        <v>0</v>
      </c>
      <c r="L499" s="181"/>
      <c r="M499" s="181"/>
      <c r="N499" s="181"/>
      <c r="O499" s="181"/>
      <c r="P499" s="181"/>
    </row>
    <row r="500" spans="1:16" ht="21.75" customHeight="1" x14ac:dyDescent="0.3">
      <c r="A500" s="175"/>
      <c r="B500" s="176"/>
      <c r="C500" s="176"/>
      <c r="D500" s="402"/>
      <c r="E500" s="402" t="s">
        <v>185</v>
      </c>
      <c r="F500" s="195"/>
      <c r="G500" s="196"/>
      <c r="H500" s="420" t="s">
        <v>122</v>
      </c>
      <c r="I500" s="202">
        <f ca="1">IFERROR(__xludf.DUMMYFUNCTION("IMPORTRANGE(""https://docs.google.com/spreadsheets/d/11923uPwbBZFjjGgGUA6NLw09EwE0CqkOc4q9oUmW1yo/edit?usp=sharing"",""น่าน!I395"")"),0)</f>
        <v>0</v>
      </c>
      <c r="J500" s="162">
        <f ca="1">IFERROR(__xludf.DUMMYFUNCTION("IMPORTRANGE(""https://docs.google.com/spreadsheets/d/11923uPwbBZFjjGgGUA6NLw09EwE0CqkOc4q9oUmW1yo/edit?usp=sharing"",""น่าน!J395"")"),0)</f>
        <v>0</v>
      </c>
      <c r="K500" s="163">
        <f t="shared" ca="1" si="117"/>
        <v>0</v>
      </c>
      <c r="L500" s="181"/>
      <c r="M500" s="181"/>
      <c r="N500" s="181"/>
      <c r="O500" s="181"/>
      <c r="P500" s="181"/>
    </row>
    <row r="501" spans="1:16" ht="21.75" customHeight="1" x14ac:dyDescent="0.3">
      <c r="A501" s="175"/>
      <c r="B501" s="176"/>
      <c r="C501" s="176"/>
      <c r="D501" s="193"/>
      <c r="E501" s="195"/>
      <c r="F501" s="195"/>
      <c r="G501" s="196"/>
      <c r="H501" s="420" t="s">
        <v>36</v>
      </c>
      <c r="I501" s="202">
        <f ca="1">IFERROR(__xludf.DUMMYFUNCTION("IMPORTRANGE(""https://docs.google.com/spreadsheets/d/11923uPwbBZFjjGgGUA6NLw09EwE0CqkOc4q9oUmW1yo/edit?usp=sharing"",""น่าน!I396"")"),0)</f>
        <v>0</v>
      </c>
      <c r="J501" s="162">
        <f ca="1">IFERROR(__xludf.DUMMYFUNCTION("IMPORTRANGE(""https://docs.google.com/spreadsheets/d/11923uPwbBZFjjGgGUA6NLw09EwE0CqkOc4q9oUmW1yo/edit?usp=sharing"",""น่าน!J396"")"),0)</f>
        <v>0</v>
      </c>
      <c r="K501" s="163">
        <f t="shared" ca="1" si="117"/>
        <v>0</v>
      </c>
      <c r="L501" s="181"/>
      <c r="M501" s="181"/>
      <c r="N501" s="181"/>
      <c r="O501" s="181"/>
      <c r="P501" s="181"/>
    </row>
    <row r="502" spans="1:16" ht="21.75" customHeight="1" x14ac:dyDescent="0.3">
      <c r="A502" s="175"/>
      <c r="B502" s="176"/>
      <c r="C502" s="176"/>
      <c r="D502" s="193"/>
      <c r="E502" s="195"/>
      <c r="F502" s="397" t="s">
        <v>186</v>
      </c>
      <c r="G502" s="419"/>
      <c r="H502" s="420" t="s">
        <v>122</v>
      </c>
      <c r="I502" s="202">
        <f ca="1">IFERROR(__xludf.DUMMYFUNCTION("IMPORTRANGE(""https://docs.google.com/spreadsheets/d/11923uPwbBZFjjGgGUA6NLw09EwE0CqkOc4q9oUmW1yo/edit?usp=sharing"",""น่าน!I397"")"),0)</f>
        <v>0</v>
      </c>
      <c r="J502" s="188">
        <f ca="1">IFERROR(__xludf.DUMMYFUNCTION("IMPORTRANGE(""https://docs.google.com/spreadsheets/d/11923uPwbBZFjjGgGUA6NLw09EwE0CqkOc4q9oUmW1yo/edit?usp=sharing"",""น่าน!J397"")"),0)</f>
        <v>0</v>
      </c>
      <c r="K502" s="163">
        <f t="shared" ca="1" si="117"/>
        <v>0</v>
      </c>
      <c r="L502" s="181"/>
      <c r="M502" s="181"/>
      <c r="N502" s="181"/>
      <c r="O502" s="181"/>
      <c r="P502" s="181"/>
    </row>
    <row r="503" spans="1:16" ht="21.75" customHeight="1" x14ac:dyDescent="0.3">
      <c r="A503" s="175"/>
      <c r="B503" s="176"/>
      <c r="C503" s="176"/>
      <c r="D503" s="193"/>
      <c r="E503" s="195"/>
      <c r="F503" s="195"/>
      <c r="G503" s="419"/>
      <c r="H503" s="420" t="s">
        <v>36</v>
      </c>
      <c r="I503" s="187">
        <f ca="1">IFERROR(__xludf.DUMMYFUNCTION("IMPORTRANGE(""https://docs.google.com/spreadsheets/d/11923uPwbBZFjjGgGUA6NLw09EwE0CqkOc4q9oUmW1yo/edit?usp=sharing"",""น่าน!I398"")"),0)</f>
        <v>0</v>
      </c>
      <c r="J503" s="197">
        <f ca="1">IFERROR(__xludf.DUMMYFUNCTION("IMPORTRANGE(""https://docs.google.com/spreadsheets/d/11923uPwbBZFjjGgGUA6NLw09EwE0CqkOc4q9oUmW1yo/edit?usp=sharing"",""น่าน!J398"")"),0)</f>
        <v>0</v>
      </c>
      <c r="K503" s="163">
        <f t="shared" ca="1" si="117"/>
        <v>0</v>
      </c>
      <c r="L503" s="181"/>
      <c r="M503" s="181"/>
      <c r="N503" s="181"/>
      <c r="O503" s="181"/>
      <c r="P503" s="181"/>
    </row>
    <row r="504" spans="1:16" ht="21.75" customHeight="1" x14ac:dyDescent="0.3">
      <c r="A504" s="175"/>
      <c r="B504" s="176"/>
      <c r="C504" s="176"/>
      <c r="D504" s="193"/>
      <c r="E504" s="195"/>
      <c r="F504" s="388" t="s">
        <v>187</v>
      </c>
      <c r="G504" s="419"/>
      <c r="H504" s="420" t="s">
        <v>122</v>
      </c>
      <c r="I504" s="203">
        <f ca="1">IFERROR(__xludf.DUMMYFUNCTION("IMPORTRANGE(""https://docs.google.com/spreadsheets/d/11923uPwbBZFjjGgGUA6NLw09EwE0CqkOc4q9oUmW1yo/edit?usp=sharing"",""น่าน!I399"")"),0)</f>
        <v>0</v>
      </c>
      <c r="J504" s="188">
        <f ca="1">IFERROR(__xludf.DUMMYFUNCTION("IMPORTRANGE(""https://docs.google.com/spreadsheets/d/11923uPwbBZFjjGgGUA6NLw09EwE0CqkOc4q9oUmW1yo/edit?usp=sharing"",""น่าน!J399"")"),0)</f>
        <v>0</v>
      </c>
      <c r="K504" s="163">
        <f t="shared" ca="1" si="117"/>
        <v>0</v>
      </c>
      <c r="L504" s="181"/>
      <c r="M504" s="181"/>
      <c r="N504" s="181"/>
      <c r="O504" s="181"/>
      <c r="P504" s="181"/>
    </row>
    <row r="505" spans="1:16" ht="21.75" customHeight="1" x14ac:dyDescent="0.3">
      <c r="A505" s="175"/>
      <c r="B505" s="176"/>
      <c r="C505" s="176"/>
      <c r="D505" s="193"/>
      <c r="E505" s="195"/>
      <c r="F505" s="195"/>
      <c r="G505" s="419"/>
      <c r="H505" s="420" t="s">
        <v>36</v>
      </c>
      <c r="I505" s="187">
        <f ca="1">IFERROR(__xludf.DUMMYFUNCTION("IMPORTRANGE(""https://docs.google.com/spreadsheets/d/11923uPwbBZFjjGgGUA6NLw09EwE0CqkOc4q9oUmW1yo/edit?usp=sharing"",""น่าน!I400"")"),0)</f>
        <v>0</v>
      </c>
      <c r="J505" s="197">
        <f ca="1">IFERROR(__xludf.DUMMYFUNCTION("IMPORTRANGE(""https://docs.google.com/spreadsheets/d/11923uPwbBZFjjGgGUA6NLw09EwE0CqkOc4q9oUmW1yo/edit?usp=sharing"",""น่าน!J400"")"),0)</f>
        <v>0</v>
      </c>
      <c r="K505" s="163">
        <f t="shared" ca="1" si="117"/>
        <v>0</v>
      </c>
      <c r="L505" s="181"/>
      <c r="M505" s="181"/>
      <c r="N505" s="181"/>
      <c r="O505" s="181"/>
      <c r="P505" s="181"/>
    </row>
    <row r="506" spans="1:16" ht="21.75" customHeight="1" x14ac:dyDescent="0.3">
      <c r="A506" s="175"/>
      <c r="B506" s="176"/>
      <c r="C506" s="176"/>
      <c r="D506" s="193"/>
      <c r="E506" s="195"/>
      <c r="F506" s="397" t="s">
        <v>188</v>
      </c>
      <c r="G506" s="419"/>
      <c r="H506" s="420" t="s">
        <v>122</v>
      </c>
      <c r="I506" s="203">
        <f ca="1">IFERROR(__xludf.DUMMYFUNCTION("IMPORTRANGE(""https://docs.google.com/spreadsheets/d/11923uPwbBZFjjGgGUA6NLw09EwE0CqkOc4q9oUmW1yo/edit?usp=sharing"",""น่าน!I401"")"),0)</f>
        <v>0</v>
      </c>
      <c r="J506" s="188">
        <f ca="1">IFERROR(__xludf.DUMMYFUNCTION("IMPORTRANGE(""https://docs.google.com/spreadsheets/d/11923uPwbBZFjjGgGUA6NLw09EwE0CqkOc4q9oUmW1yo/edit?usp=sharing"",""น่าน!J401"")"),0)</f>
        <v>0</v>
      </c>
      <c r="K506" s="163">
        <f t="shared" ca="1" si="117"/>
        <v>0</v>
      </c>
      <c r="L506" s="181"/>
      <c r="M506" s="181"/>
      <c r="N506" s="181"/>
      <c r="O506" s="181"/>
      <c r="P506" s="181"/>
    </row>
    <row r="507" spans="1:16" ht="21.75" customHeight="1" x14ac:dyDescent="0.3">
      <c r="A507" s="175"/>
      <c r="B507" s="176"/>
      <c r="C507" s="176"/>
      <c r="D507" s="193"/>
      <c r="E507" s="195"/>
      <c r="F507" s="195"/>
      <c r="G507" s="195"/>
      <c r="H507" s="420" t="s">
        <v>36</v>
      </c>
      <c r="I507" s="187">
        <f ca="1">IFERROR(__xludf.DUMMYFUNCTION("IMPORTRANGE(""https://docs.google.com/spreadsheets/d/11923uPwbBZFjjGgGUA6NLw09EwE0CqkOc4q9oUmW1yo/edit?usp=sharing"",""น่าน!I402"")"),0)</f>
        <v>0</v>
      </c>
      <c r="J507" s="197">
        <f ca="1">IFERROR(__xludf.DUMMYFUNCTION("IMPORTRANGE(""https://docs.google.com/spreadsheets/d/11923uPwbBZFjjGgGUA6NLw09EwE0CqkOc4q9oUmW1yo/edit?usp=sharing"",""น่าน!J402"")"),0)</f>
        <v>0</v>
      </c>
      <c r="K507" s="163">
        <f t="shared" ca="1" si="117"/>
        <v>0</v>
      </c>
      <c r="L507" s="181"/>
      <c r="M507" s="181"/>
      <c r="N507" s="181"/>
      <c r="O507" s="181"/>
      <c r="P507" s="181"/>
    </row>
    <row r="508" spans="1:16" ht="21.75" customHeight="1" x14ac:dyDescent="0.3">
      <c r="A508" s="175"/>
      <c r="B508" s="176"/>
      <c r="C508" s="176"/>
      <c r="D508" s="193"/>
      <c r="E508" s="194" t="s">
        <v>189</v>
      </c>
      <c r="F508" s="195"/>
      <c r="G508" s="419"/>
      <c r="H508" s="420" t="s">
        <v>122</v>
      </c>
      <c r="I508" s="187">
        <f ca="1">IFERROR(__xludf.DUMMYFUNCTION("IMPORTRANGE(""https://docs.google.com/spreadsheets/d/11923uPwbBZFjjGgGUA6NLw09EwE0CqkOc4q9oUmW1yo/edit?usp=sharing"",""น่าน!I403"")"),0)</f>
        <v>0</v>
      </c>
      <c r="J508" s="162">
        <f ca="1">IFERROR(__xludf.DUMMYFUNCTION("IMPORTRANGE(""https://docs.google.com/spreadsheets/d/11923uPwbBZFjjGgGUA6NLw09EwE0CqkOc4q9oUmW1yo/edit?usp=sharing"",""น่าน!J403"")"),0)</f>
        <v>0</v>
      </c>
      <c r="K508" s="163">
        <f t="shared" ca="1" si="117"/>
        <v>0</v>
      </c>
      <c r="L508" s="181"/>
      <c r="M508" s="181"/>
      <c r="N508" s="181"/>
      <c r="O508" s="181"/>
      <c r="P508" s="181"/>
    </row>
    <row r="509" spans="1:16" ht="21.75" customHeight="1" x14ac:dyDescent="0.3">
      <c r="A509" s="175"/>
      <c r="B509" s="176"/>
      <c r="C509" s="176"/>
      <c r="D509" s="193"/>
      <c r="E509" s="195"/>
      <c r="F509" s="195"/>
      <c r="G509" s="195"/>
      <c r="H509" s="420" t="s">
        <v>36</v>
      </c>
      <c r="I509" s="187">
        <f ca="1">IFERROR(__xludf.DUMMYFUNCTION("IMPORTRANGE(""https://docs.google.com/spreadsheets/d/11923uPwbBZFjjGgGUA6NLw09EwE0CqkOc4q9oUmW1yo/edit?usp=sharing"",""น่าน!I404"")"),0)</f>
        <v>0</v>
      </c>
      <c r="J509" s="162">
        <f ca="1">IFERROR(__xludf.DUMMYFUNCTION("IMPORTRANGE(""https://docs.google.com/spreadsheets/d/11923uPwbBZFjjGgGUA6NLw09EwE0CqkOc4q9oUmW1yo/edit?usp=sharing"",""น่าน!J404"")"),0)</f>
        <v>0</v>
      </c>
      <c r="K509" s="163">
        <f t="shared" ca="1" si="117"/>
        <v>0</v>
      </c>
      <c r="L509" s="181"/>
      <c r="M509" s="181"/>
      <c r="N509" s="181"/>
      <c r="O509" s="181"/>
      <c r="P509" s="181"/>
    </row>
    <row r="510" spans="1:16" ht="21.75" customHeight="1" x14ac:dyDescent="0.3">
      <c r="A510" s="175"/>
      <c r="B510" s="176"/>
      <c r="C510" s="176"/>
      <c r="D510" s="193"/>
      <c r="E510" s="195"/>
      <c r="F510" s="194" t="s">
        <v>190</v>
      </c>
      <c r="G510" s="195"/>
      <c r="H510" s="420" t="s">
        <v>122</v>
      </c>
      <c r="I510" s="187">
        <f ca="1">IFERROR(__xludf.DUMMYFUNCTION("IMPORTRANGE(""https://docs.google.com/spreadsheets/d/11923uPwbBZFjjGgGUA6NLw09EwE0CqkOc4q9oUmW1yo/edit?usp=sharing"",""น่าน!I405"")"),0)</f>
        <v>0</v>
      </c>
      <c r="J510" s="197">
        <f ca="1">IFERROR(__xludf.DUMMYFUNCTION("IMPORTRANGE(""https://docs.google.com/spreadsheets/d/11923uPwbBZFjjGgGUA6NLw09EwE0CqkOc4q9oUmW1yo/edit?usp=sharing"",""น่าน!J405"")"),0)</f>
        <v>0</v>
      </c>
      <c r="K510" s="163">
        <f t="shared" ca="1" si="117"/>
        <v>0</v>
      </c>
      <c r="L510" s="181"/>
      <c r="M510" s="181"/>
      <c r="N510" s="181"/>
      <c r="O510" s="181"/>
      <c r="P510" s="181"/>
    </row>
    <row r="511" spans="1:16" ht="21.75" customHeight="1" x14ac:dyDescent="0.3">
      <c r="A511" s="175"/>
      <c r="B511" s="176"/>
      <c r="C511" s="176"/>
      <c r="D511" s="193"/>
      <c r="E511" s="195"/>
      <c r="F511" s="195"/>
      <c r="G511" s="195"/>
      <c r="H511" s="420" t="s">
        <v>36</v>
      </c>
      <c r="I511" s="187">
        <f ca="1">IFERROR(__xludf.DUMMYFUNCTION("IMPORTRANGE(""https://docs.google.com/spreadsheets/d/11923uPwbBZFjjGgGUA6NLw09EwE0CqkOc4q9oUmW1yo/edit?usp=sharing"",""น่าน!I406"")"),0)</f>
        <v>0</v>
      </c>
      <c r="J511" s="197">
        <f ca="1">IFERROR(__xludf.DUMMYFUNCTION("IMPORTRANGE(""https://docs.google.com/spreadsheets/d/11923uPwbBZFjjGgGUA6NLw09EwE0CqkOc4q9oUmW1yo/edit?usp=sharing"",""น่าน!J406"")"),0)</f>
        <v>0</v>
      </c>
      <c r="K511" s="163">
        <f t="shared" ca="1" si="117"/>
        <v>0</v>
      </c>
      <c r="L511" s="181"/>
      <c r="M511" s="181"/>
      <c r="N511" s="181"/>
      <c r="O511" s="181"/>
      <c r="P511" s="181"/>
    </row>
    <row r="512" spans="1:16" ht="21.75" customHeight="1" x14ac:dyDescent="0.3">
      <c r="A512" s="175"/>
      <c r="B512" s="176"/>
      <c r="C512" s="176"/>
      <c r="D512" s="193"/>
      <c r="E512" s="195"/>
      <c r="F512" s="194" t="s">
        <v>191</v>
      </c>
      <c r="G512" s="195"/>
      <c r="H512" s="420" t="s">
        <v>122</v>
      </c>
      <c r="I512" s="187">
        <f ca="1">IFERROR(__xludf.DUMMYFUNCTION("IMPORTRANGE(""https://docs.google.com/spreadsheets/d/11923uPwbBZFjjGgGUA6NLw09EwE0CqkOc4q9oUmW1yo/edit?usp=sharing"",""น่าน!I407"")"),0)</f>
        <v>0</v>
      </c>
      <c r="J512" s="197">
        <f ca="1">IFERROR(__xludf.DUMMYFUNCTION("IMPORTRANGE(""https://docs.google.com/spreadsheets/d/11923uPwbBZFjjGgGUA6NLw09EwE0CqkOc4q9oUmW1yo/edit?usp=sharing"",""น่าน!J407"")"),0)</f>
        <v>0</v>
      </c>
      <c r="K512" s="163">
        <f t="shared" ca="1" si="117"/>
        <v>0</v>
      </c>
      <c r="L512" s="181"/>
      <c r="M512" s="181"/>
      <c r="N512" s="181"/>
      <c r="O512" s="181"/>
      <c r="P512" s="181"/>
    </row>
    <row r="513" spans="1:16" ht="21.75" customHeight="1" x14ac:dyDescent="0.3">
      <c r="A513" s="175"/>
      <c r="B513" s="176"/>
      <c r="C513" s="176"/>
      <c r="D513" s="193"/>
      <c r="E513" s="195"/>
      <c r="F513" s="195"/>
      <c r="G513" s="196"/>
      <c r="H513" s="420" t="s">
        <v>36</v>
      </c>
      <c r="I513" s="187">
        <f ca="1">IFERROR(__xludf.DUMMYFUNCTION("IMPORTRANGE(""https://docs.google.com/spreadsheets/d/11923uPwbBZFjjGgGUA6NLw09EwE0CqkOc4q9oUmW1yo/edit?usp=sharing"",""น่าน!I408"")"),0)</f>
        <v>0</v>
      </c>
      <c r="J513" s="197">
        <f ca="1">IFERROR(__xludf.DUMMYFUNCTION("IMPORTRANGE(""https://docs.google.com/spreadsheets/d/11923uPwbBZFjjGgGUA6NLw09EwE0CqkOc4q9oUmW1yo/edit?usp=sharing"",""น่าน!J408"")"),0)</f>
        <v>0</v>
      </c>
      <c r="K513" s="163">
        <f t="shared" ca="1" si="117"/>
        <v>0</v>
      </c>
      <c r="L513" s="181"/>
      <c r="M513" s="181"/>
      <c r="N513" s="181"/>
      <c r="O513" s="181"/>
      <c r="P513" s="181"/>
    </row>
    <row r="514" spans="1:16" ht="21.75" customHeight="1" x14ac:dyDescent="0.3">
      <c r="A514" s="175"/>
      <c r="B514" s="176"/>
      <c r="C514" s="176"/>
      <c r="D514" s="402"/>
      <c r="E514" s="448" t="s">
        <v>192</v>
      </c>
      <c r="F514" s="195"/>
      <c r="G514" s="196"/>
      <c r="H514" s="420" t="s">
        <v>122</v>
      </c>
      <c r="I514" s="187">
        <f ca="1">IFERROR(__xludf.DUMMYFUNCTION("IMPORTRANGE(""https://docs.google.com/spreadsheets/d/11923uPwbBZFjjGgGUA6NLw09EwE0CqkOc4q9oUmW1yo/edit?usp=sharing"",""น่าน!I409"")"),0)</f>
        <v>0</v>
      </c>
      <c r="J514" s="197">
        <f ca="1">IFERROR(__xludf.DUMMYFUNCTION("IMPORTRANGE(""https://docs.google.com/spreadsheets/d/11923uPwbBZFjjGgGUA6NLw09EwE0CqkOc4q9oUmW1yo/edit?usp=sharing"",""น่าน!J409"")"),0)</f>
        <v>0</v>
      </c>
      <c r="K514" s="163">
        <f t="shared" ca="1" si="117"/>
        <v>0</v>
      </c>
      <c r="L514" s="181"/>
      <c r="M514" s="181"/>
      <c r="N514" s="181"/>
      <c r="O514" s="181"/>
      <c r="P514" s="181"/>
    </row>
    <row r="515" spans="1:16" ht="21.75" customHeight="1" x14ac:dyDescent="0.3">
      <c r="A515" s="175"/>
      <c r="B515" s="176"/>
      <c r="C515" s="176"/>
      <c r="D515" s="193"/>
      <c r="E515" s="195"/>
      <c r="F515" s="195"/>
      <c r="G515" s="196"/>
      <c r="H515" s="420" t="s">
        <v>36</v>
      </c>
      <c r="I515" s="187">
        <f ca="1">IFERROR(__xludf.DUMMYFUNCTION("IMPORTRANGE(""https://docs.google.com/spreadsheets/d/11923uPwbBZFjjGgGUA6NLw09EwE0CqkOc4q9oUmW1yo/edit?usp=sharing"",""น่าน!I410"")"),0)</f>
        <v>0</v>
      </c>
      <c r="J515" s="197">
        <f ca="1">IFERROR(__xludf.DUMMYFUNCTION("IMPORTRANGE(""https://docs.google.com/spreadsheets/d/11923uPwbBZFjjGgGUA6NLw09EwE0CqkOc4q9oUmW1yo/edit?usp=sharing"",""น่าน!J410"")"),0)</f>
        <v>0</v>
      </c>
      <c r="K515" s="163">
        <f t="shared" ca="1" si="117"/>
        <v>0</v>
      </c>
      <c r="L515" s="181"/>
      <c r="M515" s="181"/>
      <c r="N515" s="181"/>
      <c r="O515" s="181"/>
      <c r="P515" s="181"/>
    </row>
    <row r="516" spans="1:16" ht="21.75" customHeight="1" x14ac:dyDescent="0.3">
      <c r="A516" s="175"/>
      <c r="B516" s="176"/>
      <c r="C516" s="413" t="s">
        <v>193</v>
      </c>
      <c r="D516" s="413"/>
      <c r="E516" s="449"/>
      <c r="F516" s="449"/>
      <c r="G516" s="450"/>
      <c r="H516" s="451" t="s">
        <v>122</v>
      </c>
      <c r="I516" s="266">
        <f ca="1">IFERROR(__xludf.DUMMYFUNCTION("IMPORTRANGE(""https://docs.google.com/spreadsheets/d/11923uPwbBZFjjGgGUA6NLw09EwE0CqkOc4q9oUmW1yo/edit?usp=sharing"",""น่าน!I411"")"),0)</f>
        <v>0</v>
      </c>
      <c r="J516" s="266">
        <f ca="1">IFERROR(__xludf.DUMMYFUNCTION("IMPORTRANGE(""https://docs.google.com/spreadsheets/d/11923uPwbBZFjjGgGUA6NLw09EwE0CqkOc4q9oUmW1yo/edit?usp=sharing"",""น่าน!J411"")"),0)</f>
        <v>0</v>
      </c>
      <c r="K516" s="267">
        <v>0</v>
      </c>
      <c r="L516" s="181"/>
      <c r="M516" s="181"/>
      <c r="N516" s="181"/>
      <c r="O516" s="181"/>
      <c r="P516" s="181"/>
    </row>
    <row r="517" spans="1:16" ht="21.75" customHeight="1" x14ac:dyDescent="0.3">
      <c r="A517" s="175"/>
      <c r="B517" s="176"/>
      <c r="C517" s="452"/>
      <c r="D517" s="452"/>
      <c r="E517" s="452" t="s">
        <v>194</v>
      </c>
      <c r="F517" s="453"/>
      <c r="G517" s="454"/>
      <c r="H517" s="455" t="s">
        <v>122</v>
      </c>
      <c r="I517" s="282">
        <f ca="1">IFERROR(__xludf.DUMMYFUNCTION("IMPORTRANGE(""https://docs.google.com/spreadsheets/d/11923uPwbBZFjjGgGUA6NLw09EwE0CqkOc4q9oUmW1yo/edit?usp=sharing"",""น่าน!I412"")"),0)</f>
        <v>0</v>
      </c>
      <c r="J517" s="282">
        <f ca="1">IFERROR(__xludf.DUMMYFUNCTION("IMPORTRANGE(""https://docs.google.com/spreadsheets/d/11923uPwbBZFjjGgGUA6NLw09EwE0CqkOc4q9oUmW1yo/edit?usp=sharing"",""น่าน!J412"")"),0)</f>
        <v>0</v>
      </c>
      <c r="K517" s="283">
        <v>0</v>
      </c>
      <c r="L517" s="181"/>
      <c r="M517" s="181"/>
      <c r="N517" s="181"/>
      <c r="O517" s="181"/>
      <c r="P517" s="181"/>
    </row>
    <row r="518" spans="1:16" ht="21.75" customHeight="1" x14ac:dyDescent="0.3">
      <c r="A518" s="175"/>
      <c r="B518" s="176"/>
      <c r="C518" s="452"/>
      <c r="D518" s="452"/>
      <c r="E518" s="452" t="s">
        <v>195</v>
      </c>
      <c r="F518" s="453"/>
      <c r="G518" s="454"/>
      <c r="H518" s="455" t="s">
        <v>36</v>
      </c>
      <c r="I518" s="282">
        <f ca="1">IFERROR(__xludf.DUMMYFUNCTION("IMPORTRANGE(""https://docs.google.com/spreadsheets/d/11923uPwbBZFjjGgGUA6NLw09EwE0CqkOc4q9oUmW1yo/edit?usp=sharing"",""น่าน!I413"")"),0)</f>
        <v>0</v>
      </c>
      <c r="J518" s="282">
        <f ca="1">IFERROR(__xludf.DUMMYFUNCTION("IMPORTRANGE(""https://docs.google.com/spreadsheets/d/11923uPwbBZFjjGgGUA6NLw09EwE0CqkOc4q9oUmW1yo/edit?usp=sharing"",""น่าน!J413"")"),0)</f>
        <v>0</v>
      </c>
      <c r="K518" s="283">
        <v>0</v>
      </c>
      <c r="L518" s="181"/>
      <c r="M518" s="181"/>
      <c r="N518" s="181"/>
      <c r="O518" s="181"/>
      <c r="P518" s="181"/>
    </row>
    <row r="519" spans="1:16" ht="21.75" customHeight="1" x14ac:dyDescent="0.3">
      <c r="A519" s="175"/>
      <c r="B519" s="176"/>
      <c r="C519" s="176"/>
      <c r="D519" s="193"/>
      <c r="E519" s="195"/>
      <c r="F519" s="195"/>
      <c r="G519" s="225" t="s">
        <v>196</v>
      </c>
      <c r="H519" s="420" t="s">
        <v>122</v>
      </c>
      <c r="I519" s="187">
        <f ca="1">IFERROR(__xludf.DUMMYFUNCTION("IMPORTRANGE(""https://docs.google.com/spreadsheets/d/11923uPwbBZFjjGgGUA6NLw09EwE0CqkOc4q9oUmW1yo/edit?usp=sharing"",""น่าน!I414"")"),0)</f>
        <v>0</v>
      </c>
      <c r="J519" s="187">
        <f ca="1">IFERROR(__xludf.DUMMYFUNCTION("IMPORTRANGE(""https://docs.google.com/spreadsheets/d/11923uPwbBZFjjGgGUA6NLw09EwE0CqkOc4q9oUmW1yo/edit?usp=sharing"",""น่าน!J414"")"),0)</f>
        <v>0</v>
      </c>
      <c r="K519" s="163">
        <v>0</v>
      </c>
      <c r="L519" s="181"/>
      <c r="M519" s="181"/>
      <c r="N519" s="181"/>
      <c r="O519" s="181"/>
      <c r="P519" s="181"/>
    </row>
    <row r="520" spans="1:16" ht="21.75" customHeight="1" x14ac:dyDescent="0.3">
      <c r="A520" s="175"/>
      <c r="B520" s="176"/>
      <c r="C520" s="176"/>
      <c r="D520" s="193"/>
      <c r="E520" s="195"/>
      <c r="F520" s="195"/>
      <c r="G520" s="196"/>
      <c r="H520" s="420" t="s">
        <v>36</v>
      </c>
      <c r="I520" s="187">
        <f ca="1">IFERROR(__xludf.DUMMYFUNCTION("IMPORTRANGE(""https://docs.google.com/spreadsheets/d/11923uPwbBZFjjGgGUA6NLw09EwE0CqkOc4q9oUmW1yo/edit?usp=sharing"",""น่าน!I415"")"),0)</f>
        <v>0</v>
      </c>
      <c r="J520" s="187">
        <f ca="1">IFERROR(__xludf.DUMMYFUNCTION("IMPORTRANGE(""https://docs.google.com/spreadsheets/d/11923uPwbBZFjjGgGUA6NLw09EwE0CqkOc4q9oUmW1yo/edit?usp=sharing"",""น่าน!J415"")"),0)</f>
        <v>0</v>
      </c>
      <c r="K520" s="163">
        <v>0</v>
      </c>
      <c r="L520" s="181"/>
      <c r="M520" s="181"/>
      <c r="N520" s="181"/>
      <c r="O520" s="181"/>
      <c r="P520" s="181"/>
    </row>
    <row r="521" spans="1:16" ht="21.75" customHeight="1" x14ac:dyDescent="0.3">
      <c r="A521" s="175"/>
      <c r="B521" s="176"/>
      <c r="C521" s="176"/>
      <c r="D521" s="193"/>
      <c r="E521" s="195"/>
      <c r="F521" s="195"/>
      <c r="G521" s="225" t="s">
        <v>197</v>
      </c>
      <c r="H521" s="420" t="s">
        <v>122</v>
      </c>
      <c r="I521" s="187">
        <f ca="1">IFERROR(__xludf.DUMMYFUNCTION("IMPORTRANGE(""https://docs.google.com/spreadsheets/d/11923uPwbBZFjjGgGUA6NLw09EwE0CqkOc4q9oUmW1yo/edit?usp=sharing"",""น่าน!I416"")"),0)</f>
        <v>0</v>
      </c>
      <c r="J521" s="187">
        <f ca="1">IFERROR(__xludf.DUMMYFUNCTION("IMPORTRANGE(""https://docs.google.com/spreadsheets/d/11923uPwbBZFjjGgGUA6NLw09EwE0CqkOc4q9oUmW1yo/edit?usp=sharing"",""น่าน!J416"")"),0)</f>
        <v>0</v>
      </c>
      <c r="K521" s="163">
        <v>0</v>
      </c>
      <c r="L521" s="181"/>
      <c r="M521" s="181"/>
      <c r="N521" s="181"/>
      <c r="O521" s="181"/>
      <c r="P521" s="181"/>
    </row>
    <row r="522" spans="1:16" ht="21.75" customHeight="1" x14ac:dyDescent="0.3">
      <c r="A522" s="175"/>
      <c r="B522" s="176"/>
      <c r="C522" s="176"/>
      <c r="D522" s="193"/>
      <c r="E522" s="195"/>
      <c r="F522" s="195"/>
      <c r="G522" s="196"/>
      <c r="H522" s="420" t="s">
        <v>36</v>
      </c>
      <c r="I522" s="187">
        <f ca="1">IFERROR(__xludf.DUMMYFUNCTION("IMPORTRANGE(""https://docs.google.com/spreadsheets/d/11923uPwbBZFjjGgGUA6NLw09EwE0CqkOc4q9oUmW1yo/edit?usp=sharing"",""น่าน!I417"")"),0)</f>
        <v>0</v>
      </c>
      <c r="J522" s="187">
        <f ca="1">IFERROR(__xludf.DUMMYFUNCTION("IMPORTRANGE(""https://docs.google.com/spreadsheets/d/11923uPwbBZFjjGgGUA6NLw09EwE0CqkOc4q9oUmW1yo/edit?usp=sharing"",""น่าน!J417"")"),0)</f>
        <v>0</v>
      </c>
      <c r="K522" s="163">
        <v>0</v>
      </c>
      <c r="L522" s="181"/>
      <c r="M522" s="181"/>
      <c r="N522" s="181"/>
      <c r="O522" s="181"/>
      <c r="P522" s="181"/>
    </row>
    <row r="523" spans="1:16" ht="21.75" customHeight="1" x14ac:dyDescent="0.3">
      <c r="A523" s="175"/>
      <c r="B523" s="176"/>
      <c r="C523" s="176"/>
      <c r="D523" s="193"/>
      <c r="E523" s="195"/>
      <c r="F523" s="195"/>
      <c r="G523" s="456" t="s">
        <v>198</v>
      </c>
      <c r="H523" s="420" t="s">
        <v>122</v>
      </c>
      <c r="I523" s="187">
        <f ca="1">IFERROR(__xludf.DUMMYFUNCTION("IMPORTRANGE(""https://docs.google.com/spreadsheets/d/11923uPwbBZFjjGgGUA6NLw09EwE0CqkOc4q9oUmW1yo/edit?usp=sharing"",""น่าน!I418"")"),0)</f>
        <v>0</v>
      </c>
      <c r="J523" s="187">
        <f ca="1">IFERROR(__xludf.DUMMYFUNCTION("IMPORTRANGE(""https://docs.google.com/spreadsheets/d/11923uPwbBZFjjGgGUA6NLw09EwE0CqkOc4q9oUmW1yo/edit?usp=sharing"",""น่าน!J418"")"),13)</f>
        <v>13</v>
      </c>
      <c r="K523" s="163">
        <v>0</v>
      </c>
      <c r="L523" s="181"/>
      <c r="M523" s="181"/>
      <c r="N523" s="181"/>
      <c r="O523" s="181"/>
      <c r="P523" s="181"/>
    </row>
    <row r="524" spans="1:16" ht="21.75" customHeight="1" x14ac:dyDescent="0.3">
      <c r="A524" s="175"/>
      <c r="B524" s="176"/>
      <c r="C524" s="176"/>
      <c r="D524" s="193"/>
      <c r="E524" s="195"/>
      <c r="F524" s="195"/>
      <c r="G524" s="196"/>
      <c r="H524" s="420" t="s">
        <v>36</v>
      </c>
      <c r="I524" s="187">
        <f ca="1">IFERROR(__xludf.DUMMYFUNCTION("IMPORTRANGE(""https://docs.google.com/spreadsheets/d/11923uPwbBZFjjGgGUA6NLw09EwE0CqkOc4q9oUmW1yo/edit?usp=sharing"",""น่าน!I419"")"),0)</f>
        <v>0</v>
      </c>
      <c r="J524" s="187">
        <f ca="1">IFERROR(__xludf.DUMMYFUNCTION("IMPORTRANGE(""https://docs.google.com/spreadsheets/d/11923uPwbBZFjjGgGUA6NLw09EwE0CqkOc4q9oUmW1yo/edit?usp=sharing"",""น่าน!J419"")"),4)</f>
        <v>4</v>
      </c>
      <c r="K524" s="163">
        <v>0</v>
      </c>
      <c r="L524" s="181"/>
      <c r="M524" s="181"/>
      <c r="N524" s="181"/>
      <c r="O524" s="181"/>
      <c r="P524" s="181"/>
    </row>
    <row r="525" spans="1:16" ht="21.75" customHeight="1" x14ac:dyDescent="0.3">
      <c r="A525" s="175"/>
      <c r="B525" s="176"/>
      <c r="C525" s="452"/>
      <c r="D525" s="452"/>
      <c r="E525" s="452" t="s">
        <v>199</v>
      </c>
      <c r="F525" s="453"/>
      <c r="G525" s="454"/>
      <c r="H525" s="455" t="s">
        <v>122</v>
      </c>
      <c r="I525" s="282">
        <f ca="1">IFERROR(__xludf.DUMMYFUNCTION("IMPORTRANGE(""https://docs.google.com/spreadsheets/d/11923uPwbBZFjjGgGUA6NLw09EwE0CqkOc4q9oUmW1yo/edit?usp=sharing"",""น่าน!I420"")"),13)</f>
        <v>13</v>
      </c>
      <c r="J525" s="282">
        <f ca="1">IFERROR(__xludf.DUMMYFUNCTION("IMPORTRANGE(""https://docs.google.com/spreadsheets/d/11923uPwbBZFjjGgGUA6NLw09EwE0CqkOc4q9oUmW1yo/edit?usp=sharing"",""น่าน!J420"")"),0)</f>
        <v>0</v>
      </c>
      <c r="K525" s="283">
        <v>0</v>
      </c>
      <c r="L525" s="181"/>
      <c r="M525" s="181"/>
      <c r="N525" s="181"/>
      <c r="O525" s="181"/>
      <c r="P525" s="181"/>
    </row>
    <row r="526" spans="1:16" ht="21.75" customHeight="1" x14ac:dyDescent="0.3">
      <c r="A526" s="175"/>
      <c r="B526" s="176"/>
      <c r="C526" s="452"/>
      <c r="D526" s="452"/>
      <c r="E526" s="452" t="s">
        <v>200</v>
      </c>
      <c r="F526" s="453"/>
      <c r="G526" s="454"/>
      <c r="H526" s="455" t="s">
        <v>36</v>
      </c>
      <c r="I526" s="282">
        <f ca="1">IFERROR(__xludf.DUMMYFUNCTION("IMPORTRANGE(""https://docs.google.com/spreadsheets/d/11923uPwbBZFjjGgGUA6NLw09EwE0CqkOc4q9oUmW1yo/edit?usp=sharing"",""น่าน!I421"")"),4)</f>
        <v>4</v>
      </c>
      <c r="J526" s="282">
        <f ca="1">IFERROR(__xludf.DUMMYFUNCTION("IMPORTRANGE(""https://docs.google.com/spreadsheets/d/11923uPwbBZFjjGgGUA6NLw09EwE0CqkOc4q9oUmW1yo/edit?usp=sharing"",""น่าน!J421"")"),0)</f>
        <v>0</v>
      </c>
      <c r="K526" s="283">
        <v>0</v>
      </c>
      <c r="L526" s="181"/>
      <c r="M526" s="181"/>
      <c r="N526" s="181"/>
      <c r="O526" s="181"/>
      <c r="P526" s="181"/>
    </row>
    <row r="527" spans="1:16" ht="21.75" customHeight="1" x14ac:dyDescent="0.3">
      <c r="A527" s="175"/>
      <c r="B527" s="176"/>
      <c r="C527" s="176"/>
      <c r="D527" s="193"/>
      <c r="E527" s="195"/>
      <c r="F527" s="195"/>
      <c r="G527" s="225" t="s">
        <v>196</v>
      </c>
      <c r="H527" s="420" t="s">
        <v>122</v>
      </c>
      <c r="I527" s="187">
        <f ca="1">IFERROR(__xludf.DUMMYFUNCTION("IMPORTRANGE(""https://docs.google.com/spreadsheets/d/11923uPwbBZFjjGgGUA6NLw09EwE0CqkOc4q9oUmW1yo/edit?usp=sharing"",""น่าน!I422"")"),0)</f>
        <v>0</v>
      </c>
      <c r="J527" s="197">
        <f ca="1">IFERROR(__xludf.DUMMYFUNCTION("IMPORTRANGE(""https://docs.google.com/spreadsheets/d/11923uPwbBZFjjGgGUA6NLw09EwE0CqkOc4q9oUmW1yo/edit?usp=sharing"",""น่าน!J422"")"),0)</f>
        <v>0</v>
      </c>
      <c r="K527" s="163">
        <v>0</v>
      </c>
      <c r="L527" s="181"/>
      <c r="M527" s="181"/>
      <c r="N527" s="181"/>
      <c r="O527" s="181"/>
      <c r="P527" s="181"/>
    </row>
    <row r="528" spans="1:16" ht="21.75" customHeight="1" x14ac:dyDescent="0.3">
      <c r="A528" s="175"/>
      <c r="B528" s="176"/>
      <c r="C528" s="176"/>
      <c r="D528" s="193"/>
      <c r="E528" s="195"/>
      <c r="F528" s="195"/>
      <c r="G528" s="196"/>
      <c r="H528" s="420" t="s">
        <v>36</v>
      </c>
      <c r="I528" s="187">
        <f ca="1">IFERROR(__xludf.DUMMYFUNCTION("IMPORTRANGE(""https://docs.google.com/spreadsheets/d/11923uPwbBZFjjGgGUA6NLw09EwE0CqkOc4q9oUmW1yo/edit?usp=sharing"",""น่าน!I423"")"),0)</f>
        <v>0</v>
      </c>
      <c r="J528" s="197">
        <f ca="1">IFERROR(__xludf.DUMMYFUNCTION("IMPORTRANGE(""https://docs.google.com/spreadsheets/d/11923uPwbBZFjjGgGUA6NLw09EwE0CqkOc4q9oUmW1yo/edit?usp=sharing"",""น่าน!J423"")"),0)</f>
        <v>0</v>
      </c>
      <c r="K528" s="163">
        <v>0</v>
      </c>
      <c r="L528" s="181"/>
      <c r="M528" s="181"/>
      <c r="N528" s="181"/>
      <c r="O528" s="181"/>
      <c r="P528" s="181"/>
    </row>
    <row r="529" spans="1:16" ht="21.75" customHeight="1" x14ac:dyDescent="0.3">
      <c r="A529" s="175"/>
      <c r="B529" s="176"/>
      <c r="C529" s="176"/>
      <c r="D529" s="193"/>
      <c r="E529" s="195"/>
      <c r="F529" s="195"/>
      <c r="G529" s="225" t="s">
        <v>197</v>
      </c>
      <c r="H529" s="420" t="s">
        <v>122</v>
      </c>
      <c r="I529" s="187">
        <f ca="1">IFERROR(__xludf.DUMMYFUNCTION("IMPORTRANGE(""https://docs.google.com/spreadsheets/d/11923uPwbBZFjjGgGUA6NLw09EwE0CqkOc4q9oUmW1yo/edit?usp=sharing"",""น่าน!I424"")"),0)</f>
        <v>0</v>
      </c>
      <c r="J529" s="197">
        <f ca="1">IFERROR(__xludf.DUMMYFUNCTION("IMPORTRANGE(""https://docs.google.com/spreadsheets/d/11923uPwbBZFjjGgGUA6NLw09EwE0CqkOc4q9oUmW1yo/edit?usp=sharing"",""น่าน!J424"")"),0)</f>
        <v>0</v>
      </c>
      <c r="K529" s="163">
        <v>0</v>
      </c>
      <c r="L529" s="181"/>
      <c r="M529" s="181"/>
      <c r="N529" s="181"/>
      <c r="O529" s="181"/>
      <c r="P529" s="181"/>
    </row>
    <row r="530" spans="1:16" ht="21.75" customHeight="1" x14ac:dyDescent="0.3">
      <c r="A530" s="175"/>
      <c r="B530" s="176"/>
      <c r="C530" s="176"/>
      <c r="D530" s="193"/>
      <c r="E530" s="195"/>
      <c r="F530" s="195"/>
      <c r="G530" s="196"/>
      <c r="H530" s="420" t="s">
        <v>36</v>
      </c>
      <c r="I530" s="187">
        <f ca="1">IFERROR(__xludf.DUMMYFUNCTION("IMPORTRANGE(""https://docs.google.com/spreadsheets/d/11923uPwbBZFjjGgGUA6NLw09EwE0CqkOc4q9oUmW1yo/edit?usp=sharing"",""น่าน!I425"")"),0)</f>
        <v>0</v>
      </c>
      <c r="J530" s="197">
        <f ca="1">IFERROR(__xludf.DUMMYFUNCTION("IMPORTRANGE(""https://docs.google.com/spreadsheets/d/11923uPwbBZFjjGgGUA6NLw09EwE0CqkOc4q9oUmW1yo/edit?usp=sharing"",""น่าน!J425"")"),0)</f>
        <v>0</v>
      </c>
      <c r="K530" s="163">
        <v>0</v>
      </c>
      <c r="L530" s="181"/>
      <c r="M530" s="181"/>
      <c r="N530" s="181"/>
      <c r="O530" s="181"/>
      <c r="P530" s="181"/>
    </row>
    <row r="531" spans="1:16" ht="21.75" customHeight="1" x14ac:dyDescent="0.3">
      <c r="A531" s="175"/>
      <c r="B531" s="176"/>
      <c r="C531" s="176"/>
      <c r="D531" s="193"/>
      <c r="E531" s="195"/>
      <c r="F531" s="195"/>
      <c r="G531" s="225" t="s">
        <v>201</v>
      </c>
      <c r="H531" s="420" t="s">
        <v>122</v>
      </c>
      <c r="I531" s="187">
        <f ca="1">IFERROR(__xludf.DUMMYFUNCTION("IMPORTRANGE(""https://docs.google.com/spreadsheets/d/11923uPwbBZFjjGgGUA6NLw09EwE0CqkOc4q9oUmW1yo/edit?usp=sharing"",""น่าน!I426"")"),0)</f>
        <v>0</v>
      </c>
      <c r="J531" s="197">
        <f ca="1">IFERROR(__xludf.DUMMYFUNCTION("IMPORTRANGE(""https://docs.google.com/spreadsheets/d/11923uPwbBZFjjGgGUA6NLw09EwE0CqkOc4q9oUmW1yo/edit?usp=sharing"",""น่าน!J426"")"),0)</f>
        <v>0</v>
      </c>
      <c r="K531" s="163">
        <v>0</v>
      </c>
      <c r="L531" s="181"/>
      <c r="M531" s="181"/>
      <c r="N531" s="181"/>
      <c r="O531" s="181"/>
      <c r="P531" s="181"/>
    </row>
    <row r="532" spans="1:16" ht="21.75" customHeight="1" x14ac:dyDescent="0.3">
      <c r="A532" s="457"/>
      <c r="B532" s="458"/>
      <c r="C532" s="458"/>
      <c r="D532" s="459"/>
      <c r="E532" s="460"/>
      <c r="F532" s="460"/>
      <c r="G532" s="461"/>
      <c r="H532" s="462" t="s">
        <v>36</v>
      </c>
      <c r="I532" s="463">
        <f ca="1">IFERROR(__xludf.DUMMYFUNCTION("IMPORTRANGE(""https://docs.google.com/spreadsheets/d/11923uPwbBZFjjGgGUA6NLw09EwE0CqkOc4q9oUmW1yo/edit?usp=sharing"",""น่าน!I427"")"),0)</f>
        <v>0</v>
      </c>
      <c r="J532" s="464">
        <f ca="1">IFERROR(__xludf.DUMMYFUNCTION("IMPORTRANGE(""https://docs.google.com/spreadsheets/d/11923uPwbBZFjjGgGUA6NLw09EwE0CqkOc4q9oUmW1yo/edit?usp=sharing"",""น่าน!J427"")"),0)</f>
        <v>0</v>
      </c>
      <c r="K532" s="465">
        <v>0</v>
      </c>
      <c r="L532" s="466"/>
      <c r="M532" s="466"/>
      <c r="N532" s="466"/>
      <c r="O532" s="466"/>
      <c r="P532" s="466"/>
    </row>
    <row r="533" spans="1:16" ht="21.75" customHeight="1" x14ac:dyDescent="0.3">
      <c r="A533" s="403"/>
      <c r="B533" s="404">
        <v>6</v>
      </c>
      <c r="C533" s="405" t="s">
        <v>202</v>
      </c>
      <c r="D533" s="405"/>
      <c r="E533" s="405"/>
      <c r="F533" s="405"/>
      <c r="G533" s="406"/>
      <c r="H533" s="407" t="s">
        <v>37</v>
      </c>
      <c r="I533" s="408">
        <f ca="1">IFERROR(__xludf.DUMMYFUNCTION("IMPORTRANGE(""https://docs.google.com/spreadsheets/d/11923uPwbBZFjjGgGUA6NLw09EwE0CqkOc4q9oUmW1yo/edit?usp=sharing"",""น่าน!I428"")"),22)</f>
        <v>22</v>
      </c>
      <c r="J533" s="408">
        <f ca="1">IFERROR(__xludf.DUMMYFUNCTION("IMPORTRANGE(""https://docs.google.com/spreadsheets/d/11923uPwbBZFjjGgGUA6NLw09EwE0CqkOc4q9oUmW1yo/edit?usp=sharing"",""น่าน!J428"")"),22)</f>
        <v>22</v>
      </c>
      <c r="K533" s="409">
        <f ca="1">IF(I533&gt;0,J533*100/I533,0)</f>
        <v>100</v>
      </c>
      <c r="L533" s="410">
        <f ca="1">IFERROR(__xludf.DUMMYFUNCTION("IMPORTRANGE(""https://docs.google.com/spreadsheets/d/11923uPwbBZFjjGgGUA6NLw09EwE0CqkOc4q9oUmW1yo/edit?usp=sharing"",""น่าน!L428"")"),34340)</f>
        <v>34340</v>
      </c>
      <c r="M533" s="410"/>
      <c r="N533" s="410">
        <f ca="1">IFERROR(__xludf.DUMMYFUNCTION("IMPORTRANGE(""https://docs.google.com/spreadsheets/d/11923uPwbBZFjjGgGUA6NLw09EwE0CqkOc4q9oUmW1yo/edit?usp=sharing"",""น่าน!M428"")"),26576)</f>
        <v>26576</v>
      </c>
      <c r="O533" s="410">
        <f t="shared" ref="O533:O537" ca="1" si="118">+IF(L533&gt;0,N533*100/L533,0)</f>
        <v>77.390797903319751</v>
      </c>
      <c r="P533" s="410"/>
    </row>
    <row r="534" spans="1:16" ht="21.75" customHeight="1" x14ac:dyDescent="0.3">
      <c r="A534" s="156"/>
      <c r="B534" s="157"/>
      <c r="C534" s="157" t="s">
        <v>16</v>
      </c>
      <c r="D534" s="158" t="s">
        <v>38</v>
      </c>
      <c r="E534" s="159"/>
      <c r="F534" s="159"/>
      <c r="G534" s="160" t="s">
        <v>39</v>
      </c>
      <c r="H534" s="161" t="s">
        <v>12</v>
      </c>
      <c r="I534" s="162" t="s">
        <v>40</v>
      </c>
      <c r="J534" s="162"/>
      <c r="K534" s="163"/>
      <c r="L534" s="164">
        <f ca="1">IFERROR(__xludf.DUMMYFUNCTION("IMPORTRANGE(""https://docs.google.com/spreadsheets/d/11923uPwbBZFjjGgGUA6NLw09EwE0CqkOc4q9oUmW1yo/edit?usp=sharing"",""น่าน!L429"")"),0)</f>
        <v>0</v>
      </c>
      <c r="M534" s="164"/>
      <c r="N534" s="168">
        <f ca="1">IFERROR(__xludf.DUMMYFUNCTION("IMPORTRANGE(""https://docs.google.com/spreadsheets/d/11923uPwbBZFjjGgGUA6NLw09EwE0CqkOc4q9oUmW1yo/edit?usp=sharing"",""น่าน!M429"")"),0)</f>
        <v>0</v>
      </c>
      <c r="O534" s="168">
        <f t="shared" ca="1" si="118"/>
        <v>0</v>
      </c>
      <c r="P534" s="168"/>
    </row>
    <row r="535" spans="1:16" ht="21.75" customHeight="1" x14ac:dyDescent="0.3">
      <c r="A535" s="156"/>
      <c r="B535" s="157"/>
      <c r="C535" s="157"/>
      <c r="D535" s="166"/>
      <c r="E535" s="159"/>
      <c r="F535" s="159" t="s">
        <v>40</v>
      </c>
      <c r="G535" s="160" t="s">
        <v>41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IFERROR(__xludf.DUMMYFUNCTION("IMPORTRANGE(""https://docs.google.com/spreadsheets/d/11923uPwbBZFjjGgGUA6NLw09EwE0CqkOc4q9oUmW1yo/edit?usp=sharing"",""น่าน!L430"")"),34340)</f>
        <v>34340</v>
      </c>
      <c r="M535" s="165"/>
      <c r="N535" s="168">
        <f ca="1">IFERROR(__xludf.DUMMYFUNCTION("IMPORTRANGE(""https://docs.google.com/spreadsheets/d/11923uPwbBZFjjGgGUA6NLw09EwE0CqkOc4q9oUmW1yo/edit?usp=sharing"",""น่าน!M430"")"),26576)</f>
        <v>26576</v>
      </c>
      <c r="O535" s="168">
        <f t="shared" ca="1" si="118"/>
        <v>77.390797903319751</v>
      </c>
      <c r="P535" s="168"/>
    </row>
    <row r="536" spans="1:16" ht="21.75" customHeight="1" x14ac:dyDescent="0.3">
      <c r="A536" s="156"/>
      <c r="B536" s="157"/>
      <c r="C536" s="157"/>
      <c r="D536" s="166"/>
      <c r="E536" s="159"/>
      <c r="F536" s="159"/>
      <c r="G536" s="372" t="s">
        <v>129</v>
      </c>
      <c r="H536" s="161" t="s">
        <v>12</v>
      </c>
      <c r="I536" s="162"/>
      <c r="J536" s="162"/>
      <c r="K536" s="163"/>
      <c r="L536" s="168">
        <f ca="1">IFERROR(__xludf.DUMMYFUNCTION("IMPORTRANGE(""https://docs.google.com/spreadsheets/d/11923uPwbBZFjjGgGUA6NLw09EwE0CqkOc4q9oUmW1yo/edit?usp=sharing"",""น่าน!L431"")"),0)</f>
        <v>0</v>
      </c>
      <c r="M536" s="168"/>
      <c r="N536" s="168">
        <f ca="1">IFERROR(__xludf.DUMMYFUNCTION("IMPORTRANGE(""https://docs.google.com/spreadsheets/d/11923uPwbBZFjjGgGUA6NLw09EwE0CqkOc4q9oUmW1yo/edit?usp=sharing"",""น่าน!M431"")"),0)</f>
        <v>0</v>
      </c>
      <c r="O536" s="168">
        <f t="shared" ca="1" si="118"/>
        <v>0</v>
      </c>
      <c r="P536" s="168"/>
    </row>
    <row r="537" spans="1:16" ht="21.75" customHeight="1" x14ac:dyDescent="0.3">
      <c r="A537" s="156"/>
      <c r="B537" s="157"/>
      <c r="C537" s="157"/>
      <c r="D537" s="166"/>
      <c r="E537" s="159"/>
      <c r="F537" s="159"/>
      <c r="G537" s="372" t="s">
        <v>130</v>
      </c>
      <c r="H537" s="161" t="s">
        <v>12</v>
      </c>
      <c r="I537" s="162"/>
      <c r="J537" s="162"/>
      <c r="K537" s="163"/>
      <c r="L537" s="168">
        <f ca="1">IFERROR(__xludf.DUMMYFUNCTION("IMPORTRANGE(""https://docs.google.com/spreadsheets/d/11923uPwbBZFjjGgGUA6NLw09EwE0CqkOc4q9oUmW1yo/edit?usp=sharing"",""น่าน!L432"")"),34340)</f>
        <v>34340</v>
      </c>
      <c r="M537" s="168"/>
      <c r="N537" s="168">
        <f ca="1">IFERROR(__xludf.DUMMYFUNCTION("IMPORTRANGE(""https://docs.google.com/spreadsheets/d/11923uPwbBZFjjGgGUA6NLw09EwE0CqkOc4q9oUmW1yo/edit?usp=sharing"",""น่าน!M432"")"),26576)</f>
        <v>26576</v>
      </c>
      <c r="O537" s="168">
        <f t="shared" ca="1" si="118"/>
        <v>77.390797903319751</v>
      </c>
      <c r="P537" s="168"/>
    </row>
    <row r="538" spans="1:16" ht="21.75" customHeight="1" x14ac:dyDescent="0.3">
      <c r="A538" s="373"/>
      <c r="B538" s="374"/>
      <c r="C538" s="157"/>
      <c r="D538" s="375"/>
      <c r="E538" s="159"/>
      <c r="F538" s="159"/>
      <c r="G538" s="376" t="s">
        <v>131</v>
      </c>
      <c r="H538" s="161" t="s">
        <v>12</v>
      </c>
      <c r="I538" s="187"/>
      <c r="J538" s="187"/>
      <c r="K538" s="223"/>
      <c r="L538" s="168"/>
      <c r="M538" s="168"/>
      <c r="N538" s="377">
        <f ca="1">IFERROR(__xludf.DUMMYFUNCTION("IMPORTRANGE(""https://docs.google.com/spreadsheets/d/11923uPwbBZFjjGgGUA6NLw09EwE0CqkOc4q9oUmW1yo/edit?usp=sharing"",""น่าน!M433"")"),18966)</f>
        <v>18966</v>
      </c>
      <c r="O538" s="168"/>
      <c r="P538" s="168"/>
    </row>
    <row r="539" spans="1:16" ht="21.75" customHeight="1" x14ac:dyDescent="0.3">
      <c r="A539" s="373"/>
      <c r="B539" s="374"/>
      <c r="C539" s="157"/>
      <c r="D539" s="375"/>
      <c r="E539" s="159"/>
      <c r="F539" s="159"/>
      <c r="G539" s="376" t="s">
        <v>132</v>
      </c>
      <c r="H539" s="161" t="s">
        <v>12</v>
      </c>
      <c r="I539" s="187"/>
      <c r="J539" s="187"/>
      <c r="K539" s="223"/>
      <c r="L539" s="168"/>
      <c r="M539" s="168"/>
      <c r="N539" s="377">
        <f ca="1">IFERROR(__xludf.DUMMYFUNCTION("IMPORTRANGE(""https://docs.google.com/spreadsheets/d/11923uPwbBZFjjGgGUA6NLw09EwE0CqkOc4q9oUmW1yo/edit?usp=sharing"",""น่าน!M434"")"),0)</f>
        <v>0</v>
      </c>
      <c r="O539" s="168"/>
      <c r="P539" s="168"/>
    </row>
    <row r="540" spans="1:16" ht="21.75" customHeight="1" x14ac:dyDescent="0.3">
      <c r="A540" s="373"/>
      <c r="B540" s="374"/>
      <c r="C540" s="157"/>
      <c r="D540" s="375"/>
      <c r="E540" s="159"/>
      <c r="F540" s="159"/>
      <c r="G540" s="376" t="s">
        <v>133</v>
      </c>
      <c r="H540" s="161" t="s">
        <v>12</v>
      </c>
      <c r="I540" s="187"/>
      <c r="J540" s="187"/>
      <c r="K540" s="223"/>
      <c r="L540" s="168"/>
      <c r="M540" s="168"/>
      <c r="N540" s="377">
        <f ca="1">IFERROR(__xludf.DUMMYFUNCTION("IMPORTRANGE(""https://docs.google.com/spreadsheets/d/11923uPwbBZFjjGgGUA6NLw09EwE0CqkOc4q9oUmW1yo/edit?usp=sharing"",""น่าน!M435"")"),0)</f>
        <v>0</v>
      </c>
      <c r="O540" s="168"/>
      <c r="P540" s="168"/>
    </row>
    <row r="541" spans="1:16" ht="21.75" customHeight="1" x14ac:dyDescent="0.3">
      <c r="A541" s="373"/>
      <c r="B541" s="374"/>
      <c r="C541" s="157"/>
      <c r="D541" s="375"/>
      <c r="E541" s="159"/>
      <c r="F541" s="159"/>
      <c r="G541" s="376" t="s">
        <v>134</v>
      </c>
      <c r="H541" s="161" t="s">
        <v>12</v>
      </c>
      <c r="I541" s="187"/>
      <c r="J541" s="187"/>
      <c r="K541" s="223"/>
      <c r="L541" s="168"/>
      <c r="M541" s="168"/>
      <c r="N541" s="377">
        <f ca="1">IFERROR(__xludf.DUMMYFUNCTION("IMPORTRANGE(""https://docs.google.com/spreadsheets/d/11923uPwbBZFjjGgGUA6NLw09EwE0CqkOc4q9oUmW1yo/edit?usp=sharing"",""น่าน!M436"")"),7610)</f>
        <v>7610</v>
      </c>
      <c r="O541" s="168"/>
      <c r="P541" s="168"/>
    </row>
    <row r="542" spans="1:16" ht="21.75" customHeight="1" x14ac:dyDescent="0.3">
      <c r="A542" s="175"/>
      <c r="B542" s="176"/>
      <c r="C542" s="157" t="s">
        <v>16</v>
      </c>
      <c r="D542" s="177" t="s">
        <v>44</v>
      </c>
      <c r="E542" s="178"/>
      <c r="F542" s="178"/>
      <c r="G542" s="179"/>
      <c r="H542" s="180"/>
      <c r="I542" s="162"/>
      <c r="J542" s="162"/>
      <c r="K542" s="163"/>
      <c r="L542" s="181"/>
      <c r="M542" s="181"/>
      <c r="N542" s="181"/>
      <c r="O542" s="181"/>
      <c r="P542" s="181"/>
    </row>
    <row r="543" spans="1:16" ht="21.75" customHeight="1" x14ac:dyDescent="0.3">
      <c r="A543" s="175"/>
      <c r="B543" s="176"/>
      <c r="C543" s="176"/>
      <c r="D543" s="182">
        <v>1</v>
      </c>
      <c r="E543" s="183" t="s">
        <v>45</v>
      </c>
      <c r="F543" s="184"/>
      <c r="G543" s="185"/>
      <c r="H543" s="186"/>
      <c r="I543" s="187"/>
      <c r="J543" s="197">
        <f ca="1">IFERROR(__xludf.DUMMYFUNCTION("IMPORTRANGE(""https://docs.google.com/spreadsheets/d/11923uPwbBZFjjGgGUA6NLw09EwE0CqkOc4q9oUmW1yo/edit?usp=sharing"",""น่าน!J438"")"),0)</f>
        <v>0</v>
      </c>
      <c r="K543" s="163"/>
      <c r="L543" s="181"/>
      <c r="M543" s="181"/>
      <c r="N543" s="181"/>
      <c r="O543" s="181"/>
      <c r="P543" s="181"/>
    </row>
    <row r="544" spans="1:16" ht="21.75" customHeight="1" x14ac:dyDescent="0.3">
      <c r="A544" s="175"/>
      <c r="B544" s="176"/>
      <c r="C544" s="176"/>
      <c r="D544" s="189">
        <v>2</v>
      </c>
      <c r="E544" s="190" t="s">
        <v>46</v>
      </c>
      <c r="F544" s="191"/>
      <c r="G544" s="192"/>
      <c r="H544" s="186"/>
      <c r="I544" s="187"/>
      <c r="J544" s="188">
        <f ca="1">IFERROR(__xludf.DUMMYFUNCTION("IMPORTRANGE(""https://docs.google.com/spreadsheets/d/11923uPwbBZFjjGgGUA6NLw09EwE0CqkOc4q9oUmW1yo/edit?usp=sharing"",""น่าน!J439"")"),1)</f>
        <v>1</v>
      </c>
      <c r="K544" s="163"/>
      <c r="L544" s="181" t="s">
        <v>40</v>
      </c>
      <c r="M544" s="181"/>
      <c r="N544" s="181" t="s">
        <v>40</v>
      </c>
      <c r="O544" s="181"/>
      <c r="P544" s="181"/>
    </row>
    <row r="545" spans="1:16" ht="21.75" customHeight="1" x14ac:dyDescent="0.3">
      <c r="A545" s="175"/>
      <c r="B545" s="176"/>
      <c r="C545" s="176"/>
      <c r="D545" s="193"/>
      <c r="E545" s="194" t="s">
        <v>47</v>
      </c>
      <c r="F545" s="195"/>
      <c r="G545" s="196"/>
      <c r="H545" s="186"/>
      <c r="I545" s="187"/>
      <c r="J545" s="188">
        <f ca="1">IFERROR(__xludf.DUMMYFUNCTION("IMPORTRANGE(""https://docs.google.com/spreadsheets/d/11923uPwbBZFjjGgGUA6NLw09EwE0CqkOc4q9oUmW1yo/edit?usp=sharing"",""น่าน!J440"")"),1)</f>
        <v>1</v>
      </c>
      <c r="K545" s="163"/>
      <c r="L545" s="181"/>
      <c r="M545" s="181"/>
      <c r="N545" s="181"/>
      <c r="O545" s="181"/>
      <c r="P545" s="181"/>
    </row>
    <row r="546" spans="1:16" ht="21.75" customHeight="1" x14ac:dyDescent="0.3">
      <c r="A546" s="175"/>
      <c r="B546" s="176"/>
      <c r="C546" s="176"/>
      <c r="D546" s="193"/>
      <c r="E546" s="194" t="s">
        <v>48</v>
      </c>
      <c r="F546" s="195"/>
      <c r="G546" s="196"/>
      <c r="H546" s="186"/>
      <c r="I546" s="187"/>
      <c r="J546" s="197">
        <f ca="1">IFERROR(__xludf.DUMMYFUNCTION("IMPORTRANGE(""https://docs.google.com/spreadsheets/d/11923uPwbBZFjjGgGUA6NLw09EwE0CqkOc4q9oUmW1yo/edit?usp=sharing"",""น่าน!J441"")"),1)</f>
        <v>1</v>
      </c>
      <c r="K546" s="163"/>
      <c r="L546" s="181"/>
      <c r="M546" s="181"/>
      <c r="N546" s="181"/>
      <c r="O546" s="181"/>
      <c r="P546" s="181"/>
    </row>
    <row r="547" spans="1:16" ht="21.75" customHeight="1" x14ac:dyDescent="0.3">
      <c r="A547" s="175"/>
      <c r="B547" s="176"/>
      <c r="C547" s="176"/>
      <c r="D547" s="193"/>
      <c r="E547" s="198"/>
      <c r="F547" s="195"/>
      <c r="G547" s="225" t="s">
        <v>203</v>
      </c>
      <c r="H547" s="186" t="s">
        <v>37</v>
      </c>
      <c r="I547" s="203">
        <f ca="1">IFERROR(__xludf.DUMMYFUNCTION("IMPORTRANGE(""https://docs.google.com/spreadsheets/d/11923uPwbBZFjjGgGUA6NLw09EwE0CqkOc4q9oUmW1yo/edit?usp=sharing"",""น่าน!I442"")"),22)</f>
        <v>22</v>
      </c>
      <c r="J547" s="188">
        <f ca="1">IFERROR(__xludf.DUMMYFUNCTION("IMPORTRANGE(""https://docs.google.com/spreadsheets/d/11923uPwbBZFjjGgGUA6NLw09EwE0CqkOc4q9oUmW1yo/edit?usp=sharing"",""น่าน!J442"")"),22)</f>
        <v>22</v>
      </c>
      <c r="K547" s="163">
        <f t="shared" ref="K547:K548" ca="1" si="119">IF(I547&gt;0,J547*100/I547,0)</f>
        <v>100</v>
      </c>
      <c r="L547" s="181"/>
      <c r="M547" s="181"/>
      <c r="N547" s="181"/>
      <c r="O547" s="181"/>
      <c r="P547" s="181"/>
    </row>
    <row r="548" spans="1:16" ht="21.75" hidden="1" customHeight="1" x14ac:dyDescent="0.3">
      <c r="A548" s="175"/>
      <c r="B548" s="176"/>
      <c r="C548" s="176"/>
      <c r="D548" s="193"/>
      <c r="E548" s="198"/>
      <c r="F548" s="195"/>
      <c r="G548" s="225" t="s">
        <v>204</v>
      </c>
      <c r="H548" s="186" t="s">
        <v>37</v>
      </c>
      <c r="I548" s="339">
        <f ca="1">IFERROR(__xludf.DUMMYFUNCTION("IMPORTRANGE(""https://docs.google.com/spreadsheets/d/1C3CXT74ZlgGe6_JY_1olB1XN4rF0dxEuIIF-xsYjHgg/edit?usp=sharing"",""งบกองทุน!dr63"")"),0)</f>
        <v>0</v>
      </c>
      <c r="J548" s="197">
        <f ca="1">IFERROR(__xludf.DUMMYFUNCTION("IMPORTRANGE(""https://docs.google.com/spreadsheets/d/11923uPwbBZFjjGgGUA6NLw09EwE0CqkOc4q9oUmW1yo/edit?usp=sharing"",""น่าน!J166"")"),0)</f>
        <v>0</v>
      </c>
      <c r="K548" s="163">
        <f t="shared" ca="1" si="119"/>
        <v>0</v>
      </c>
      <c r="L548" s="181"/>
      <c r="M548" s="181"/>
      <c r="N548" s="181"/>
      <c r="O548" s="181"/>
      <c r="P548" s="181"/>
    </row>
    <row r="549" spans="1:16" ht="21.75" customHeight="1" x14ac:dyDescent="0.3">
      <c r="A549" s="175"/>
      <c r="B549" s="176"/>
      <c r="C549" s="176"/>
      <c r="D549" s="193"/>
      <c r="E549" s="194" t="s">
        <v>54</v>
      </c>
      <c r="F549" s="195"/>
      <c r="G549" s="196"/>
      <c r="H549" s="186"/>
      <c r="I549" s="187"/>
      <c r="J549" s="197">
        <f ca="1">IFERROR(__xludf.DUMMYFUNCTION("IMPORTRANGE(""https://docs.google.com/spreadsheets/d/11923uPwbBZFjjGgGUA6NLw09EwE0CqkOc4q9oUmW1yo/edit?usp=sharing"",""น่าน!J444"")"),0)</f>
        <v>0</v>
      </c>
      <c r="K549" s="163"/>
      <c r="L549" s="181"/>
      <c r="M549" s="181"/>
      <c r="N549" s="181"/>
      <c r="O549" s="181"/>
      <c r="P549" s="181"/>
    </row>
    <row r="550" spans="1:16" ht="21.75" customHeight="1" x14ac:dyDescent="0.3">
      <c r="A550" s="457"/>
      <c r="B550" s="458"/>
      <c r="C550" s="458"/>
      <c r="D550" s="467">
        <v>3</v>
      </c>
      <c r="E550" s="468" t="s">
        <v>55</v>
      </c>
      <c r="F550" s="469"/>
      <c r="G550" s="470"/>
      <c r="H550" s="471"/>
      <c r="I550" s="463"/>
      <c r="J550" s="472">
        <f ca="1">IFERROR(__xludf.DUMMYFUNCTION("IMPORTRANGE(""https://docs.google.com/spreadsheets/d/11923uPwbBZFjjGgGUA6NLw09EwE0CqkOc4q9oUmW1yo/edit?usp=sharing"",""น่าน!J445"")"),0)</f>
        <v>0</v>
      </c>
      <c r="K550" s="465"/>
      <c r="L550" s="466"/>
      <c r="M550" s="466"/>
      <c r="N550" s="466"/>
      <c r="O550" s="466"/>
      <c r="P550" s="466"/>
    </row>
    <row r="551" spans="1:16" ht="21.75" customHeight="1" x14ac:dyDescent="0.3">
      <c r="A551" s="403"/>
      <c r="B551" s="404">
        <v>7</v>
      </c>
      <c r="C551" s="405" t="s">
        <v>205</v>
      </c>
      <c r="D551" s="405"/>
      <c r="E551" s="405"/>
      <c r="F551" s="405"/>
      <c r="G551" s="406"/>
      <c r="H551" s="407" t="s">
        <v>122</v>
      </c>
      <c r="I551" s="408">
        <f ca="1">IFERROR(__xludf.DUMMYFUNCTION("IMPORTRANGE(""https://docs.google.com/spreadsheets/d/11923uPwbBZFjjGgGUA6NLw09EwE0CqkOc4q9oUmW1yo/edit?usp=sharing"",""น่าน!I446"")"),0)</f>
        <v>0</v>
      </c>
      <c r="J551" s="408">
        <f ca="1">IFERROR(__xludf.DUMMYFUNCTION("IMPORTRANGE(""https://docs.google.com/spreadsheets/d/11923uPwbBZFjjGgGUA6NLw09EwE0CqkOc4q9oUmW1yo/edit?usp=sharing"",""น่าน!J446"")"),0)</f>
        <v>0</v>
      </c>
      <c r="K551" s="409">
        <f ca="1">IF(I551&gt;0,J551*100/I551,0)</f>
        <v>0</v>
      </c>
      <c r="L551" s="410">
        <f ca="1">IFERROR(__xludf.DUMMYFUNCTION("IMPORTRANGE(""https://docs.google.com/spreadsheets/d/11923uPwbBZFjjGgGUA6NLw09EwE0CqkOc4q9oUmW1yo/edit?usp=sharing"",""น่าน!L446"")"),0)</f>
        <v>0</v>
      </c>
      <c r="M551" s="410"/>
      <c r="N551" s="410">
        <f ca="1">IFERROR(__xludf.DUMMYFUNCTION("IMPORTRANGE(""https://docs.google.com/spreadsheets/d/11923uPwbBZFjjGgGUA6NLw09EwE0CqkOc4q9oUmW1yo/edit?usp=sharing"",""น่าน!M446"")"),0)</f>
        <v>0</v>
      </c>
      <c r="O551" s="410">
        <f t="shared" ref="O551:O555" ca="1" si="120">+IF(L551&gt;0,N551*100/L551,0)</f>
        <v>0</v>
      </c>
      <c r="P551" s="410"/>
    </row>
    <row r="552" spans="1:16" ht="21.75" customHeight="1" x14ac:dyDescent="0.3">
      <c r="A552" s="156"/>
      <c r="B552" s="157"/>
      <c r="C552" s="157" t="s">
        <v>16</v>
      </c>
      <c r="D552" s="158" t="s">
        <v>38</v>
      </c>
      <c r="E552" s="159"/>
      <c r="F552" s="159"/>
      <c r="G552" s="160" t="s">
        <v>39</v>
      </c>
      <c r="H552" s="161" t="s">
        <v>12</v>
      </c>
      <c r="I552" s="162" t="s">
        <v>40</v>
      </c>
      <c r="J552" s="162"/>
      <c r="K552" s="163"/>
      <c r="L552" s="164">
        <f ca="1">IFERROR(__xludf.DUMMYFUNCTION("IMPORTRANGE(""https://docs.google.com/spreadsheets/d/11923uPwbBZFjjGgGUA6NLw09EwE0CqkOc4q9oUmW1yo/edit?usp=sharing"",""น่าน!L447"")"),0)</f>
        <v>0</v>
      </c>
      <c r="M552" s="164"/>
      <c r="N552" s="168">
        <f ca="1">IFERROR(__xludf.DUMMYFUNCTION("IMPORTRANGE(""https://docs.google.com/spreadsheets/d/11923uPwbBZFjjGgGUA6NLw09EwE0CqkOc4q9oUmW1yo/edit?usp=sharing"",""น่าน!M447"")"),0)</f>
        <v>0</v>
      </c>
      <c r="O552" s="168">
        <f t="shared" ca="1" si="120"/>
        <v>0</v>
      </c>
      <c r="P552" s="168"/>
    </row>
    <row r="553" spans="1:16" ht="21.75" customHeight="1" x14ac:dyDescent="0.3">
      <c r="A553" s="156"/>
      <c r="B553" s="157"/>
      <c r="C553" s="157"/>
      <c r="D553" s="166"/>
      <c r="E553" s="159"/>
      <c r="F553" s="159" t="s">
        <v>40</v>
      </c>
      <c r="G553" s="160" t="s">
        <v>41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IFERROR(__xludf.DUMMYFUNCTION("IMPORTRANGE(""https://docs.google.com/spreadsheets/d/11923uPwbBZFjjGgGUA6NLw09EwE0CqkOc4q9oUmW1yo/edit?usp=sharing"",""น่าน!L448"")"),0)</f>
        <v>0</v>
      </c>
      <c r="M553" s="165"/>
      <c r="N553" s="168">
        <f ca="1">IFERROR(__xludf.DUMMYFUNCTION("IMPORTRANGE(""https://docs.google.com/spreadsheets/d/11923uPwbBZFjjGgGUA6NLw09EwE0CqkOc4q9oUmW1yo/edit?usp=sharing"",""น่าน!M448"")"),0)</f>
        <v>0</v>
      </c>
      <c r="O553" s="168">
        <f t="shared" ca="1" si="120"/>
        <v>0</v>
      </c>
      <c r="P553" s="168"/>
    </row>
    <row r="554" spans="1:16" ht="21.75" customHeight="1" x14ac:dyDescent="0.3">
      <c r="A554" s="156"/>
      <c r="B554" s="157"/>
      <c r="C554" s="157"/>
      <c r="D554" s="166"/>
      <c r="E554" s="159"/>
      <c r="F554" s="159"/>
      <c r="G554" s="372" t="s">
        <v>129</v>
      </c>
      <c r="H554" s="161" t="s">
        <v>12</v>
      </c>
      <c r="I554" s="162"/>
      <c r="J554" s="162"/>
      <c r="K554" s="163"/>
      <c r="L554" s="168">
        <f ca="1">IFERROR(__xludf.DUMMYFUNCTION("IMPORTRANGE(""https://docs.google.com/spreadsheets/d/11923uPwbBZFjjGgGUA6NLw09EwE0CqkOc4q9oUmW1yo/edit?usp=sharing"",""น่าน!L449"")"),0)</f>
        <v>0</v>
      </c>
      <c r="M554" s="168"/>
      <c r="N554" s="168">
        <f ca="1">IFERROR(__xludf.DUMMYFUNCTION("IMPORTRANGE(""https://docs.google.com/spreadsheets/d/11923uPwbBZFjjGgGUA6NLw09EwE0CqkOc4q9oUmW1yo/edit?usp=sharing"",""น่าน!M449"")"),0)</f>
        <v>0</v>
      </c>
      <c r="O554" s="168">
        <f t="shared" ca="1" si="120"/>
        <v>0</v>
      </c>
      <c r="P554" s="168"/>
    </row>
    <row r="555" spans="1:16" ht="21.75" customHeight="1" x14ac:dyDescent="0.3">
      <c r="A555" s="156"/>
      <c r="B555" s="157"/>
      <c r="C555" s="157"/>
      <c r="D555" s="166"/>
      <c r="E555" s="159"/>
      <c r="F555" s="159"/>
      <c r="G555" s="372" t="s">
        <v>130</v>
      </c>
      <c r="H555" s="161" t="s">
        <v>12</v>
      </c>
      <c r="I555" s="162"/>
      <c r="J555" s="162"/>
      <c r="K555" s="163"/>
      <c r="L555" s="168">
        <f ca="1">IFERROR(__xludf.DUMMYFUNCTION("IMPORTRANGE(""https://docs.google.com/spreadsheets/d/11923uPwbBZFjjGgGUA6NLw09EwE0CqkOc4q9oUmW1yo/edit?usp=sharing"",""น่าน!L450"")"),0)</f>
        <v>0</v>
      </c>
      <c r="M555" s="168"/>
      <c r="N555" s="168">
        <f ca="1">IFERROR(__xludf.DUMMYFUNCTION("IMPORTRANGE(""https://docs.google.com/spreadsheets/d/11923uPwbBZFjjGgGUA6NLw09EwE0CqkOc4q9oUmW1yo/edit?usp=sharing"",""น่าน!M450"")"),0)</f>
        <v>0</v>
      </c>
      <c r="O555" s="168">
        <f t="shared" ca="1" si="120"/>
        <v>0</v>
      </c>
      <c r="P555" s="168"/>
    </row>
    <row r="556" spans="1:16" ht="21.75" customHeight="1" x14ac:dyDescent="0.3">
      <c r="A556" s="373"/>
      <c r="B556" s="374"/>
      <c r="C556" s="157"/>
      <c r="D556" s="375"/>
      <c r="E556" s="159"/>
      <c r="F556" s="159"/>
      <c r="G556" s="376" t="s">
        <v>131</v>
      </c>
      <c r="H556" s="161" t="s">
        <v>12</v>
      </c>
      <c r="I556" s="187"/>
      <c r="J556" s="187"/>
      <c r="K556" s="223"/>
      <c r="L556" s="168"/>
      <c r="M556" s="168"/>
      <c r="N556" s="167">
        <f ca="1">IFERROR(__xludf.DUMMYFUNCTION("IMPORTRANGE(""https://docs.google.com/spreadsheets/d/11923uPwbBZFjjGgGUA6NLw09EwE0CqkOc4q9oUmW1yo/edit?usp=sharing"",""น่าน!M451"")"),0)</f>
        <v>0</v>
      </c>
      <c r="O556" s="168"/>
      <c r="P556" s="168"/>
    </row>
    <row r="557" spans="1:16" ht="21.75" customHeight="1" x14ac:dyDescent="0.3">
      <c r="A557" s="373"/>
      <c r="B557" s="374"/>
      <c r="C557" s="157"/>
      <c r="D557" s="375"/>
      <c r="E557" s="159"/>
      <c r="F557" s="159"/>
      <c r="G557" s="376" t="s">
        <v>132</v>
      </c>
      <c r="H557" s="161" t="s">
        <v>12</v>
      </c>
      <c r="I557" s="187"/>
      <c r="J557" s="187"/>
      <c r="K557" s="223"/>
      <c r="L557" s="168"/>
      <c r="M557" s="168"/>
      <c r="N557" s="167">
        <f ca="1">IFERROR(__xludf.DUMMYFUNCTION("IMPORTRANGE(""https://docs.google.com/spreadsheets/d/11923uPwbBZFjjGgGUA6NLw09EwE0CqkOc4q9oUmW1yo/edit?usp=sharing"",""น่าน!M452"")"),0)</f>
        <v>0</v>
      </c>
      <c r="O557" s="168"/>
      <c r="P557" s="168"/>
    </row>
    <row r="558" spans="1:16" ht="21.75" customHeight="1" x14ac:dyDescent="0.3">
      <c r="A558" s="373"/>
      <c r="B558" s="374"/>
      <c r="C558" s="157"/>
      <c r="D558" s="375"/>
      <c r="E558" s="159"/>
      <c r="F558" s="159"/>
      <c r="G558" s="376" t="s">
        <v>133</v>
      </c>
      <c r="H558" s="161" t="s">
        <v>12</v>
      </c>
      <c r="I558" s="187"/>
      <c r="J558" s="187"/>
      <c r="K558" s="223"/>
      <c r="L558" s="168"/>
      <c r="M558" s="168"/>
      <c r="N558" s="167">
        <f ca="1">IFERROR(__xludf.DUMMYFUNCTION("IMPORTRANGE(""https://docs.google.com/spreadsheets/d/11923uPwbBZFjjGgGUA6NLw09EwE0CqkOc4q9oUmW1yo/edit?usp=sharing"",""น่าน!M453"")"),0)</f>
        <v>0</v>
      </c>
      <c r="O558" s="168"/>
      <c r="P558" s="168"/>
    </row>
    <row r="559" spans="1:16" ht="21.75" customHeight="1" x14ac:dyDescent="0.3">
      <c r="A559" s="373"/>
      <c r="B559" s="374"/>
      <c r="C559" s="157"/>
      <c r="D559" s="375"/>
      <c r="E559" s="159"/>
      <c r="F559" s="159"/>
      <c r="G559" s="376" t="s">
        <v>134</v>
      </c>
      <c r="H559" s="161" t="s">
        <v>12</v>
      </c>
      <c r="I559" s="187"/>
      <c r="J559" s="187"/>
      <c r="K559" s="223"/>
      <c r="L559" s="168"/>
      <c r="M559" s="168"/>
      <c r="N559" s="167">
        <f ca="1">IFERROR(__xludf.DUMMYFUNCTION("IMPORTRANGE(""https://docs.google.com/spreadsheets/d/11923uPwbBZFjjGgGUA6NLw09EwE0CqkOc4q9oUmW1yo/edit?usp=sharing"",""น่าน!M454"")"),0)</f>
        <v>0</v>
      </c>
      <c r="O559" s="168"/>
      <c r="P559" s="168"/>
    </row>
    <row r="560" spans="1:16" ht="21.75" customHeight="1" x14ac:dyDescent="0.3">
      <c r="A560" s="175"/>
      <c r="B560" s="176"/>
      <c r="C560" s="176"/>
      <c r="D560" s="193"/>
      <c r="E560" s="195"/>
      <c r="F560" s="277" t="s">
        <v>206</v>
      </c>
      <c r="G560" s="196"/>
      <c r="H560" s="473" t="s">
        <v>122</v>
      </c>
      <c r="I560" s="162">
        <f ca="1">IFERROR(__xludf.DUMMYFUNCTION("IMPORTRANGE(""https://docs.google.com/spreadsheets/d/11923uPwbBZFjjGgGUA6NLw09EwE0CqkOc4q9oUmW1yo/edit?usp=sharing"",""น่าน!I455"")"),0)</f>
        <v>0</v>
      </c>
      <c r="J560" s="162">
        <f ca="1">IFERROR(__xludf.DUMMYFUNCTION("IMPORTRANGE(""https://docs.google.com/spreadsheets/d/11923uPwbBZFjjGgGUA6NLw09EwE0CqkOc4q9oUmW1yo/edit?usp=sharing"",""น่าน!J455"")"),0)</f>
        <v>0</v>
      </c>
      <c r="K560" s="223">
        <f t="shared" ref="K560:K564" ca="1" si="121">IF(I560&gt;0,J560*100/I560,0)</f>
        <v>0</v>
      </c>
      <c r="L560" s="168"/>
      <c r="M560" s="168"/>
      <c r="N560" s="168"/>
      <c r="O560" s="181"/>
      <c r="P560" s="181"/>
    </row>
    <row r="561" spans="1:16" ht="21.75" customHeight="1" x14ac:dyDescent="0.3">
      <c r="A561" s="175"/>
      <c r="B561" s="176"/>
      <c r="C561" s="176"/>
      <c r="D561" s="193"/>
      <c r="E561" s="195"/>
      <c r="F561" s="195"/>
      <c r="G561" s="196"/>
      <c r="H561" s="473" t="s">
        <v>36</v>
      </c>
      <c r="I561" s="162">
        <f ca="1">IFERROR(__xludf.DUMMYFUNCTION("IMPORTRANGE(""https://docs.google.com/spreadsheets/d/11923uPwbBZFjjGgGUA6NLw09EwE0CqkOc4q9oUmW1yo/edit?usp=sharing"",""น่าน!I456"")"),0)</f>
        <v>0</v>
      </c>
      <c r="J561" s="203">
        <f ca="1">IFERROR(__xludf.DUMMYFUNCTION("IMPORTRANGE(""https://docs.google.com/spreadsheets/d/11923uPwbBZFjjGgGUA6NLw09EwE0CqkOc4q9oUmW1yo/edit?usp=sharing"",""น่าน!J456"")"),0)</f>
        <v>0</v>
      </c>
      <c r="K561" s="223">
        <f t="shared" ca="1" si="121"/>
        <v>0</v>
      </c>
      <c r="L561" s="168"/>
      <c r="M561" s="168"/>
      <c r="N561" s="168"/>
      <c r="O561" s="181"/>
      <c r="P561" s="181"/>
    </row>
    <row r="562" spans="1:16" ht="21.75" customHeight="1" x14ac:dyDescent="0.3">
      <c r="A562" s="175"/>
      <c r="B562" s="176"/>
      <c r="C562" s="176"/>
      <c r="D562" s="193"/>
      <c r="E562" s="195"/>
      <c r="F562" s="195" t="s">
        <v>207</v>
      </c>
      <c r="G562" s="196"/>
      <c r="H562" s="473" t="s">
        <v>122</v>
      </c>
      <c r="I562" s="162">
        <v>0</v>
      </c>
      <c r="J562" s="203" t="str">
        <f ca="1">IFERROR(__xludf.DUMMYFUNCTION("IMPORTRANGE(""https://docs.google.com/spreadsheets/d/11923uPwbBZFjjGgGUA6NLw09EwE0CqkOc4q9oUmW1yo/edit?usp=sharing"",""น่าน!J457"")"),"")</f>
        <v/>
      </c>
      <c r="K562" s="163">
        <f t="shared" si="121"/>
        <v>0</v>
      </c>
      <c r="L562" s="181"/>
      <c r="M562" s="181"/>
      <c r="N562" s="181"/>
      <c r="O562" s="181"/>
      <c r="P562" s="181"/>
    </row>
    <row r="563" spans="1:16" ht="21.75" customHeight="1" x14ac:dyDescent="0.3">
      <c r="A563" s="175"/>
      <c r="B563" s="176"/>
      <c r="C563" s="176"/>
      <c r="D563" s="193"/>
      <c r="E563" s="195"/>
      <c r="F563" s="195"/>
      <c r="G563" s="196"/>
      <c r="H563" s="473" t="s">
        <v>36</v>
      </c>
      <c r="I563" s="162">
        <v>0</v>
      </c>
      <c r="J563" s="187" t="str">
        <f ca="1">IFERROR(__xludf.DUMMYFUNCTION("IMPORTRANGE(""https://docs.google.com/spreadsheets/d/11923uPwbBZFjjGgGUA6NLw09EwE0CqkOc4q9oUmW1yo/edit?usp=sharing"",""น่าน!J458"")"),"")</f>
        <v/>
      </c>
      <c r="K563" s="163">
        <f t="shared" si="121"/>
        <v>0</v>
      </c>
      <c r="L563" s="181"/>
      <c r="M563" s="181"/>
      <c r="N563" s="181"/>
      <c r="O563" s="181"/>
      <c r="P563" s="181"/>
    </row>
    <row r="564" spans="1:16" ht="21.75" customHeight="1" x14ac:dyDescent="0.3">
      <c r="A564" s="364"/>
      <c r="B564" s="365">
        <v>8</v>
      </c>
      <c r="C564" s="366" t="s">
        <v>208</v>
      </c>
      <c r="D564" s="366"/>
      <c r="E564" s="366"/>
      <c r="F564" s="366"/>
      <c r="G564" s="367"/>
      <c r="H564" s="368" t="s">
        <v>37</v>
      </c>
      <c r="I564" s="369">
        <f ca="1">IFERROR(__xludf.DUMMYFUNCTION("IMPORTRANGE(""https://docs.google.com/spreadsheets/d/11923uPwbBZFjjGgGUA6NLw09EwE0CqkOc4q9oUmW1yo/edit?usp=sharing"",""น่าน!I459"")"),2150)</f>
        <v>2150</v>
      </c>
      <c r="J564" s="369">
        <f ca="1">IFERROR(__xludf.DUMMYFUNCTION("IMPORTRANGE(""https://docs.google.com/spreadsheets/d/11923uPwbBZFjjGgGUA6NLw09EwE0CqkOc4q9oUmW1yo/edit?usp=sharing"",""น่าน!J459"")"),763)</f>
        <v>763</v>
      </c>
      <c r="K564" s="370">
        <f t="shared" ca="1" si="121"/>
        <v>35.488372093023258</v>
      </c>
      <c r="L564" s="371">
        <f ca="1">IFERROR(__xludf.DUMMYFUNCTION("IMPORTRANGE(""https://docs.google.com/spreadsheets/d/11923uPwbBZFjjGgGUA6NLw09EwE0CqkOc4q9oUmW1yo/edit?usp=sharing"",""น่าน!L459"")"),144800)</f>
        <v>144800</v>
      </c>
      <c r="M564" s="371"/>
      <c r="N564" s="371">
        <f ca="1">IFERROR(__xludf.DUMMYFUNCTION("IMPORTRANGE(""https://docs.google.com/spreadsheets/d/11923uPwbBZFjjGgGUA6NLw09EwE0CqkOc4q9oUmW1yo/edit?usp=sharing"",""น่าน!M459"")"),26830)</f>
        <v>26830</v>
      </c>
      <c r="O564" s="371">
        <f t="shared" ref="O564:O568" ca="1" si="122">+IF(L564&gt;0,N564*100/L564,0)</f>
        <v>18.52900552486188</v>
      </c>
      <c r="P564" s="371"/>
    </row>
    <row r="565" spans="1:16" ht="21.75" customHeight="1" x14ac:dyDescent="0.3">
      <c r="A565" s="156"/>
      <c r="B565" s="157"/>
      <c r="C565" s="157" t="s">
        <v>16</v>
      </c>
      <c r="D565" s="158" t="s">
        <v>38</v>
      </c>
      <c r="E565" s="159"/>
      <c r="F565" s="159"/>
      <c r="G565" s="160" t="s">
        <v>39</v>
      </c>
      <c r="H565" s="161" t="s">
        <v>12</v>
      </c>
      <c r="I565" s="162" t="s">
        <v>40</v>
      </c>
      <c r="J565" s="162"/>
      <c r="K565" s="163"/>
      <c r="L565" s="164">
        <f ca="1">IFERROR(__xludf.DUMMYFUNCTION("IMPORTRANGE(""https://docs.google.com/spreadsheets/d/11923uPwbBZFjjGgGUA6NLw09EwE0CqkOc4q9oUmW1yo/edit?usp=sharing"",""น่าน!L460"")"),0)</f>
        <v>0</v>
      </c>
      <c r="M565" s="164"/>
      <c r="N565" s="168">
        <f ca="1">IFERROR(__xludf.DUMMYFUNCTION("IMPORTRANGE(""https://docs.google.com/spreadsheets/d/11923uPwbBZFjjGgGUA6NLw09EwE0CqkOc4q9oUmW1yo/edit?usp=sharing"",""น่าน!M460"")"),0)</f>
        <v>0</v>
      </c>
      <c r="O565" s="168">
        <f t="shared" ca="1" si="122"/>
        <v>0</v>
      </c>
      <c r="P565" s="168"/>
    </row>
    <row r="566" spans="1:16" ht="21.75" customHeight="1" x14ac:dyDescent="0.3">
      <c r="A566" s="156"/>
      <c r="B566" s="157"/>
      <c r="C566" s="157"/>
      <c r="D566" s="166"/>
      <c r="E566" s="159"/>
      <c r="F566" s="159" t="s">
        <v>40</v>
      </c>
      <c r="G566" s="160" t="s">
        <v>41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IFERROR(__xludf.DUMMYFUNCTION("IMPORTRANGE(""https://docs.google.com/spreadsheets/d/11923uPwbBZFjjGgGUA6NLw09EwE0CqkOc4q9oUmW1yo/edit?usp=sharing"",""น่าน!L461"")"),144800)</f>
        <v>144800</v>
      </c>
      <c r="M566" s="165"/>
      <c r="N566" s="168">
        <f ca="1">IFERROR(__xludf.DUMMYFUNCTION("IMPORTRANGE(""https://docs.google.com/spreadsheets/d/11923uPwbBZFjjGgGUA6NLw09EwE0CqkOc4q9oUmW1yo/edit?usp=sharing"",""น่าน!M461"")"),26830)</f>
        <v>26830</v>
      </c>
      <c r="O566" s="168">
        <f t="shared" ca="1" si="122"/>
        <v>18.52900552486188</v>
      </c>
      <c r="P566" s="168"/>
    </row>
    <row r="567" spans="1:16" ht="21.75" customHeight="1" x14ac:dyDescent="0.3">
      <c r="A567" s="156"/>
      <c r="B567" s="157"/>
      <c r="C567" s="157"/>
      <c r="D567" s="166"/>
      <c r="E567" s="159"/>
      <c r="F567" s="159"/>
      <c r="G567" s="372" t="s">
        <v>129</v>
      </c>
      <c r="H567" s="161" t="s">
        <v>12</v>
      </c>
      <c r="I567" s="162"/>
      <c r="J567" s="162"/>
      <c r="K567" s="163"/>
      <c r="L567" s="168">
        <f ca="1">IFERROR(__xludf.DUMMYFUNCTION("IMPORTRANGE(""https://docs.google.com/spreadsheets/d/11923uPwbBZFjjGgGUA6NLw09EwE0CqkOc4q9oUmW1yo/edit?usp=sharing"",""น่าน!L462"")"),0)</f>
        <v>0</v>
      </c>
      <c r="M567" s="168"/>
      <c r="N567" s="168">
        <f ca="1">IFERROR(__xludf.DUMMYFUNCTION("IMPORTRANGE(""https://docs.google.com/spreadsheets/d/11923uPwbBZFjjGgGUA6NLw09EwE0CqkOc4q9oUmW1yo/edit?usp=sharing"",""น่าน!M462"")"),0)</f>
        <v>0</v>
      </c>
      <c r="O567" s="168">
        <f t="shared" ca="1" si="122"/>
        <v>0</v>
      </c>
      <c r="P567" s="168"/>
    </row>
    <row r="568" spans="1:16" ht="21.75" customHeight="1" x14ac:dyDescent="0.3">
      <c r="A568" s="156"/>
      <c r="B568" s="157"/>
      <c r="C568" s="157"/>
      <c r="D568" s="166"/>
      <c r="E568" s="159"/>
      <c r="F568" s="159"/>
      <c r="G568" s="372" t="s">
        <v>130</v>
      </c>
      <c r="H568" s="161" t="s">
        <v>12</v>
      </c>
      <c r="I568" s="162"/>
      <c r="J568" s="162"/>
      <c r="K568" s="163"/>
      <c r="L568" s="168">
        <f ca="1">IFERROR(__xludf.DUMMYFUNCTION("IMPORTRANGE(""https://docs.google.com/spreadsheets/d/11923uPwbBZFjjGgGUA6NLw09EwE0CqkOc4q9oUmW1yo/edit?usp=sharing"",""น่าน!L463"")"),144800)</f>
        <v>144800</v>
      </c>
      <c r="M568" s="168"/>
      <c r="N568" s="168">
        <f ca="1">IFERROR(__xludf.DUMMYFUNCTION("IMPORTRANGE(""https://docs.google.com/spreadsheets/d/11923uPwbBZFjjGgGUA6NLw09EwE0CqkOc4q9oUmW1yo/edit?usp=sharing"",""น่าน!M463"")"),26830)</f>
        <v>26830</v>
      </c>
      <c r="O568" s="168">
        <f t="shared" ca="1" si="122"/>
        <v>18.52900552486188</v>
      </c>
      <c r="P568" s="168"/>
    </row>
    <row r="569" spans="1:16" ht="21.75" customHeight="1" x14ac:dyDescent="0.3">
      <c r="A569" s="373"/>
      <c r="B569" s="374"/>
      <c r="C569" s="157"/>
      <c r="D569" s="375"/>
      <c r="E569" s="159"/>
      <c r="F569" s="159"/>
      <c r="G569" s="376" t="s">
        <v>131</v>
      </c>
      <c r="H569" s="161" t="s">
        <v>12</v>
      </c>
      <c r="I569" s="187"/>
      <c r="J569" s="187"/>
      <c r="K569" s="223"/>
      <c r="L569" s="168"/>
      <c r="M569" s="168"/>
      <c r="N569" s="167">
        <f ca="1">IFERROR(__xludf.DUMMYFUNCTION("IMPORTRANGE(""https://docs.google.com/spreadsheets/d/11923uPwbBZFjjGgGUA6NLw09EwE0CqkOc4q9oUmW1yo/edit?usp=sharing"",""น่าน!M464"")"),0)</f>
        <v>0</v>
      </c>
      <c r="O569" s="168"/>
      <c r="P569" s="168"/>
    </row>
    <row r="570" spans="1:16" ht="21.75" customHeight="1" x14ac:dyDescent="0.3">
      <c r="A570" s="373"/>
      <c r="B570" s="374"/>
      <c r="C570" s="157"/>
      <c r="D570" s="375"/>
      <c r="E570" s="159"/>
      <c r="F570" s="159"/>
      <c r="G570" s="376" t="s">
        <v>132</v>
      </c>
      <c r="H570" s="161" t="s">
        <v>12</v>
      </c>
      <c r="I570" s="187"/>
      <c r="J570" s="187"/>
      <c r="K570" s="223"/>
      <c r="L570" s="168"/>
      <c r="M570" s="168"/>
      <c r="N570" s="167">
        <f ca="1">IFERROR(__xludf.DUMMYFUNCTION("IMPORTRANGE(""https://docs.google.com/spreadsheets/d/11923uPwbBZFjjGgGUA6NLw09EwE0CqkOc4q9oUmW1yo/edit?usp=sharing"",""น่าน!M465"")"),0)</f>
        <v>0</v>
      </c>
      <c r="O570" s="168"/>
      <c r="P570" s="168"/>
    </row>
    <row r="571" spans="1:16" ht="21.75" customHeight="1" x14ac:dyDescent="0.3">
      <c r="A571" s="373"/>
      <c r="B571" s="374"/>
      <c r="C571" s="157"/>
      <c r="D571" s="375"/>
      <c r="E571" s="159"/>
      <c r="F571" s="159"/>
      <c r="G571" s="376" t="s">
        <v>133</v>
      </c>
      <c r="H571" s="161" t="s">
        <v>12</v>
      </c>
      <c r="I571" s="187"/>
      <c r="J571" s="187"/>
      <c r="K571" s="223"/>
      <c r="L571" s="168"/>
      <c r="M571" s="168"/>
      <c r="N571" s="377">
        <f ca="1">IFERROR(__xludf.DUMMYFUNCTION("IMPORTRANGE(""https://docs.google.com/spreadsheets/d/11923uPwbBZFjjGgGUA6NLw09EwE0CqkOc4q9oUmW1yo/edit?usp=sharing"",""น่าน!M466"")"),25830)</f>
        <v>25830</v>
      </c>
      <c r="O571" s="168"/>
      <c r="P571" s="168"/>
    </row>
    <row r="572" spans="1:16" ht="21.75" customHeight="1" x14ac:dyDescent="0.3">
      <c r="A572" s="373"/>
      <c r="B572" s="374"/>
      <c r="C572" s="157"/>
      <c r="D572" s="375"/>
      <c r="E572" s="159"/>
      <c r="F572" s="159"/>
      <c r="G572" s="376" t="s">
        <v>134</v>
      </c>
      <c r="H572" s="161" t="s">
        <v>12</v>
      </c>
      <c r="I572" s="187"/>
      <c r="J572" s="187"/>
      <c r="K572" s="223"/>
      <c r="L572" s="168"/>
      <c r="M572" s="168"/>
      <c r="N572" s="377">
        <f ca="1">IFERROR(__xludf.DUMMYFUNCTION("IMPORTRANGE(""https://docs.google.com/spreadsheets/d/11923uPwbBZFjjGgGUA6NLw09EwE0CqkOc4q9oUmW1yo/edit?usp=sharing"",""น่าน!M467"")"),1000)</f>
        <v>1000</v>
      </c>
      <c r="O572" s="168"/>
      <c r="P572" s="168"/>
    </row>
    <row r="573" spans="1:16" ht="21.75" customHeight="1" x14ac:dyDescent="0.3">
      <c r="A573" s="175"/>
      <c r="B573" s="176"/>
      <c r="C573" s="176"/>
      <c r="D573" s="195"/>
      <c r="E573" s="194" t="s">
        <v>40</v>
      </c>
      <c r="F573" s="412" t="s">
        <v>209</v>
      </c>
      <c r="G573" s="386"/>
      <c r="H573" s="474" t="s">
        <v>37</v>
      </c>
      <c r="I573" s="418">
        <f ca="1">IFERROR(__xludf.DUMMYFUNCTION("IMPORTRANGE(""https://docs.google.com/spreadsheets/d/11923uPwbBZFjjGgGUA6NLw09EwE0CqkOc4q9oUmW1yo/edit?usp=sharing"",""น่าน!I468"")"),2150)</f>
        <v>2150</v>
      </c>
      <c r="J573" s="418">
        <f ca="1">IFERROR(__xludf.DUMMYFUNCTION("IMPORTRANGE(""https://docs.google.com/spreadsheets/d/11923uPwbBZFjjGgGUA6NLw09EwE0CqkOc4q9oUmW1yo/edit?usp=sharing"",""น่าน!J468"")"),763)</f>
        <v>763</v>
      </c>
      <c r="K573" s="201">
        <f ca="1">IF(I573&gt;0,J573*100/I573,0)</f>
        <v>35.488372093023258</v>
      </c>
      <c r="L573" s="181"/>
      <c r="M573" s="181"/>
      <c r="N573" s="181"/>
      <c r="O573" s="181"/>
      <c r="P573" s="181"/>
    </row>
    <row r="574" spans="1:16" ht="21.75" customHeight="1" x14ac:dyDescent="0.3">
      <c r="A574" s="175"/>
      <c r="B574" s="176"/>
      <c r="C574" s="176"/>
      <c r="D574" s="195"/>
      <c r="E574" s="195"/>
      <c r="F574" s="194" t="s">
        <v>210</v>
      </c>
      <c r="G574" s="196"/>
      <c r="H574" s="473"/>
      <c r="I574" s="162"/>
      <c r="J574" s="162"/>
      <c r="K574" s="163"/>
      <c r="L574" s="181"/>
      <c r="M574" s="181"/>
      <c r="N574" s="181"/>
      <c r="O574" s="181"/>
      <c r="P574" s="181"/>
    </row>
    <row r="575" spans="1:16" ht="21.75" customHeight="1" x14ac:dyDescent="0.3">
      <c r="A575" s="175"/>
      <c r="B575" s="176"/>
      <c r="C575" s="176"/>
      <c r="D575" s="195"/>
      <c r="E575" s="194" t="s">
        <v>40</v>
      </c>
      <c r="F575" s="194" t="s">
        <v>211</v>
      </c>
      <c r="G575" s="196"/>
      <c r="H575" s="473" t="s">
        <v>77</v>
      </c>
      <c r="I575" s="202">
        <f ca="1">IFERROR(__xludf.DUMMYFUNCTION("IMPORTRANGE(""https://docs.google.com/spreadsheets/d/11923uPwbBZFjjGgGUA6NLw09EwE0CqkOc4q9oUmW1yo/edit?usp=sharing"",""น่าน!I470"")"),0)</f>
        <v>0</v>
      </c>
      <c r="J575" s="197">
        <f ca="1">IFERROR(__xludf.DUMMYFUNCTION("IMPORTRANGE(""https://docs.google.com/spreadsheets/d/11923uPwbBZFjjGgGUA6NLw09EwE0CqkOc4q9oUmW1yo/edit?usp=sharing"",""น่าน!J470"")"),1)</f>
        <v>1</v>
      </c>
      <c r="K575" s="163">
        <f t="shared" ref="K575:K579" ca="1" si="123">IF(I575&gt;0,J575*100/I575,0)</f>
        <v>0</v>
      </c>
      <c r="L575" s="181"/>
      <c r="M575" s="181"/>
      <c r="N575" s="181"/>
      <c r="O575" s="181"/>
      <c r="P575" s="181"/>
    </row>
    <row r="576" spans="1:16" ht="21.75" customHeight="1" x14ac:dyDescent="0.3">
      <c r="A576" s="175"/>
      <c r="B576" s="176"/>
      <c r="C576" s="176"/>
      <c r="D576" s="195"/>
      <c r="E576" s="195"/>
      <c r="F576" s="194" t="s">
        <v>212</v>
      </c>
      <c r="G576" s="196"/>
      <c r="H576" s="473" t="s">
        <v>37</v>
      </c>
      <c r="I576" s="202">
        <f ca="1">IFERROR(__xludf.DUMMYFUNCTION("IMPORTRANGE(""https://docs.google.com/spreadsheets/d/11923uPwbBZFjjGgGUA6NLw09EwE0CqkOc4q9oUmW1yo/edit?usp=sharing"",""น่าน!I471"")"),0)</f>
        <v>0</v>
      </c>
      <c r="J576" s="197">
        <f ca="1">IFERROR(__xludf.DUMMYFUNCTION("IMPORTRANGE(""https://docs.google.com/spreadsheets/d/11923uPwbBZFjjGgGUA6NLw09EwE0CqkOc4q9oUmW1yo/edit?usp=sharing"",""น่าน!J471"")"),108)</f>
        <v>108</v>
      </c>
      <c r="K576" s="163">
        <f t="shared" ca="1" si="123"/>
        <v>0</v>
      </c>
      <c r="L576" s="181"/>
      <c r="M576" s="181"/>
      <c r="N576" s="181"/>
      <c r="O576" s="181"/>
      <c r="P576" s="181"/>
    </row>
    <row r="577" spans="1:16" ht="21.75" customHeight="1" x14ac:dyDescent="0.3">
      <c r="A577" s="175"/>
      <c r="B577" s="176"/>
      <c r="C577" s="176"/>
      <c r="D577" s="195"/>
      <c r="E577" s="195"/>
      <c r="F577" s="194" t="s">
        <v>213</v>
      </c>
      <c r="G577" s="196"/>
      <c r="H577" s="473" t="s">
        <v>37</v>
      </c>
      <c r="I577" s="202">
        <f ca="1">IFERROR(__xludf.DUMMYFUNCTION("IMPORTRANGE(""https://docs.google.com/spreadsheets/d/11923uPwbBZFjjGgGUA6NLw09EwE0CqkOc4q9oUmW1yo/edit?usp=sharing"",""น่าน!I472"")"),0)</f>
        <v>0</v>
      </c>
      <c r="J577" s="188">
        <f ca="1">IFERROR(__xludf.DUMMYFUNCTION("IMPORTRANGE(""https://docs.google.com/spreadsheets/d/11923uPwbBZFjjGgGUA6NLw09EwE0CqkOc4q9oUmW1yo/edit?usp=sharing"",""น่าน!J472"")"),641)</f>
        <v>641</v>
      </c>
      <c r="K577" s="163">
        <f t="shared" ca="1" si="123"/>
        <v>0</v>
      </c>
      <c r="L577" s="181"/>
      <c r="M577" s="181"/>
      <c r="N577" s="181"/>
      <c r="O577" s="181"/>
      <c r="P577" s="181"/>
    </row>
    <row r="578" spans="1:16" ht="21.75" customHeight="1" x14ac:dyDescent="0.3">
      <c r="A578" s="175"/>
      <c r="B578" s="176"/>
      <c r="C578" s="176"/>
      <c r="D578" s="195"/>
      <c r="E578" s="195"/>
      <c r="F578" s="194" t="s">
        <v>214</v>
      </c>
      <c r="G578" s="419"/>
      <c r="H578" s="473" t="s">
        <v>37</v>
      </c>
      <c r="I578" s="202">
        <f ca="1">IFERROR(__xludf.DUMMYFUNCTION("IMPORTRANGE(""https://docs.google.com/spreadsheets/d/11923uPwbBZFjjGgGUA6NLw09EwE0CqkOc4q9oUmW1yo/edit?usp=sharing"",""น่าน!I473"")"),0)</f>
        <v>0</v>
      </c>
      <c r="J578" s="197">
        <f ca="1">IFERROR(__xludf.DUMMYFUNCTION("IMPORTRANGE(""https://docs.google.com/spreadsheets/d/11923uPwbBZFjjGgGUA6NLw09EwE0CqkOc4q9oUmW1yo/edit?usp=sharing"",""น่าน!J473"")"),14)</f>
        <v>14</v>
      </c>
      <c r="K578" s="163">
        <f t="shared" ca="1" si="123"/>
        <v>0</v>
      </c>
      <c r="L578" s="181"/>
      <c r="M578" s="181"/>
      <c r="N578" s="181"/>
      <c r="O578" s="181"/>
      <c r="P578" s="181"/>
    </row>
    <row r="579" spans="1:16" ht="21.75" customHeight="1" x14ac:dyDescent="0.3">
      <c r="A579" s="175"/>
      <c r="B579" s="176"/>
      <c r="C579" s="176"/>
      <c r="D579" s="195"/>
      <c r="E579" s="195"/>
      <c r="F579" s="194" t="s">
        <v>215</v>
      </c>
      <c r="G579" s="419"/>
      <c r="H579" s="473" t="s">
        <v>37</v>
      </c>
      <c r="I579" s="202">
        <f ca="1">IFERROR(__xludf.DUMMYFUNCTION("IMPORTRANGE(""https://docs.google.com/spreadsheets/d/11923uPwbBZFjjGgGUA6NLw09EwE0CqkOc4q9oUmW1yo/edit?usp=sharing"",""น่าน!I474"")"),0)</f>
        <v>0</v>
      </c>
      <c r="J579" s="197">
        <f ca="1">IFERROR(__xludf.DUMMYFUNCTION("IMPORTRANGE(""https://docs.google.com/spreadsheets/d/11923uPwbBZFjjGgGUA6NLw09EwE0CqkOc4q9oUmW1yo/edit?usp=sharing"",""น่าน!J474"")"),0)</f>
        <v>0</v>
      </c>
      <c r="K579" s="163">
        <f t="shared" ca="1" si="123"/>
        <v>0</v>
      </c>
      <c r="L579" s="181"/>
      <c r="M579" s="181"/>
      <c r="N579" s="181"/>
      <c r="O579" s="181"/>
      <c r="P579" s="181"/>
    </row>
    <row r="580" spans="1:16" ht="21.75" customHeight="1" x14ac:dyDescent="0.3">
      <c r="A580" s="364"/>
      <c r="B580" s="365">
        <v>9</v>
      </c>
      <c r="C580" s="475" t="s">
        <v>216</v>
      </c>
      <c r="D580" s="366"/>
      <c r="E580" s="366"/>
      <c r="F580" s="366"/>
      <c r="G580" s="367"/>
      <c r="H580" s="368" t="s">
        <v>37</v>
      </c>
      <c r="I580" s="369">
        <f ca="1">IFERROR(__xludf.DUMMYFUNCTION("IMPORTRANGE(""https://docs.google.com/spreadsheets/d/11923uPwbBZFjjGgGUA6NLw09EwE0CqkOc4q9oUmW1yo/edit?usp=sharing"",""น่าน!I475"")"),70)</f>
        <v>70</v>
      </c>
      <c r="J580" s="369">
        <f ca="1">IFERROR(__xludf.DUMMYFUNCTION("IMPORTRANGE(""https://docs.google.com/spreadsheets/d/11923uPwbBZFjjGgGUA6NLw09EwE0CqkOc4q9oUmW1yo/edit?usp=sharing"",""น่าน!J475"")"),0)</f>
        <v>0</v>
      </c>
      <c r="K580" s="370">
        <f ca="1">IF(I580&gt;0,J580*100/I580,0)</f>
        <v>0</v>
      </c>
      <c r="L580" s="371">
        <f ca="1">IFERROR(__xludf.DUMMYFUNCTION("IMPORTRANGE(""https://docs.google.com/spreadsheets/d/11923uPwbBZFjjGgGUA6NLw09EwE0CqkOc4q9oUmW1yo/edit?usp=sharing"",""น่าน!L475"")"),298470)</f>
        <v>298470</v>
      </c>
      <c r="M580" s="371"/>
      <c r="N580" s="371">
        <f ca="1">IFERROR(__xludf.DUMMYFUNCTION("IMPORTRANGE(""https://docs.google.com/spreadsheets/d/11923uPwbBZFjjGgGUA6NLw09EwE0CqkOc4q9oUmW1yo/edit?usp=sharing"",""น่าน!M475"")"),20380)</f>
        <v>20380</v>
      </c>
      <c r="O580" s="371">
        <f t="shared" ref="O580:O584" ca="1" si="124">+IF(L580&gt;0,N580*100/L580,0)</f>
        <v>6.8281569336951788</v>
      </c>
      <c r="P580" s="371"/>
    </row>
    <row r="581" spans="1:16" ht="21.75" customHeight="1" x14ac:dyDescent="0.3">
      <c r="A581" s="156"/>
      <c r="B581" s="157"/>
      <c r="C581" s="157" t="s">
        <v>16</v>
      </c>
      <c r="D581" s="158" t="s">
        <v>38</v>
      </c>
      <c r="E581" s="159"/>
      <c r="F581" s="159"/>
      <c r="G581" s="160" t="s">
        <v>39</v>
      </c>
      <c r="H581" s="161" t="s">
        <v>12</v>
      </c>
      <c r="I581" s="162" t="s">
        <v>40</v>
      </c>
      <c r="J581" s="162"/>
      <c r="K581" s="163"/>
      <c r="L581" s="164">
        <f ca="1">IFERROR(__xludf.DUMMYFUNCTION("IMPORTRANGE(""https://docs.google.com/spreadsheets/d/11923uPwbBZFjjGgGUA6NLw09EwE0CqkOc4q9oUmW1yo/edit?usp=sharing"",""น่าน!L476"")"),0)</f>
        <v>0</v>
      </c>
      <c r="M581" s="164"/>
      <c r="N581" s="168">
        <f ca="1">IFERROR(__xludf.DUMMYFUNCTION("IMPORTRANGE(""https://docs.google.com/spreadsheets/d/11923uPwbBZFjjGgGUA6NLw09EwE0CqkOc4q9oUmW1yo/edit?usp=sharing"",""น่าน!M476"")"),0)</f>
        <v>0</v>
      </c>
      <c r="O581" s="168">
        <f t="shared" ca="1" si="124"/>
        <v>0</v>
      </c>
      <c r="P581" s="168"/>
    </row>
    <row r="582" spans="1:16" ht="21.75" customHeight="1" x14ac:dyDescent="0.3">
      <c r="A582" s="156"/>
      <c r="B582" s="157"/>
      <c r="C582" s="157"/>
      <c r="D582" s="166"/>
      <c r="E582" s="159"/>
      <c r="F582" s="159" t="s">
        <v>40</v>
      </c>
      <c r="G582" s="160" t="s">
        <v>41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IFERROR(__xludf.DUMMYFUNCTION("IMPORTRANGE(""https://docs.google.com/spreadsheets/d/11923uPwbBZFjjGgGUA6NLw09EwE0CqkOc4q9oUmW1yo/edit?usp=sharing"",""น่าน!L477"")"),298470)</f>
        <v>298470</v>
      </c>
      <c r="M582" s="165"/>
      <c r="N582" s="168">
        <f ca="1">IFERROR(__xludf.DUMMYFUNCTION("IMPORTRANGE(""https://docs.google.com/spreadsheets/d/11923uPwbBZFjjGgGUA6NLw09EwE0CqkOc4q9oUmW1yo/edit?usp=sharing"",""น่าน!M477"")"),20380)</f>
        <v>20380</v>
      </c>
      <c r="O582" s="168">
        <f t="shared" ca="1" si="124"/>
        <v>6.8281569336951788</v>
      </c>
      <c r="P582" s="168"/>
    </row>
    <row r="583" spans="1:16" ht="21.75" customHeight="1" x14ac:dyDescent="0.3">
      <c r="A583" s="156"/>
      <c r="B583" s="157"/>
      <c r="C583" s="157"/>
      <c r="D583" s="166"/>
      <c r="E583" s="159"/>
      <c r="F583" s="159"/>
      <c r="G583" s="372" t="s">
        <v>129</v>
      </c>
      <c r="H583" s="161" t="s">
        <v>12</v>
      </c>
      <c r="I583" s="162"/>
      <c r="J583" s="162"/>
      <c r="K583" s="163"/>
      <c r="L583" s="168">
        <f ca="1">IFERROR(__xludf.DUMMYFUNCTION("IMPORTRANGE(""https://docs.google.com/spreadsheets/d/11923uPwbBZFjjGgGUA6NLw09EwE0CqkOc4q9oUmW1yo/edit?usp=sharing"",""น่าน!L478"")"),0)</f>
        <v>0</v>
      </c>
      <c r="M583" s="168"/>
      <c r="N583" s="168">
        <f ca="1">IFERROR(__xludf.DUMMYFUNCTION("IMPORTRANGE(""https://docs.google.com/spreadsheets/d/11923uPwbBZFjjGgGUA6NLw09EwE0CqkOc4q9oUmW1yo/edit?usp=sharing"",""น่าน!M478"")"),0)</f>
        <v>0</v>
      </c>
      <c r="O583" s="168">
        <f t="shared" ca="1" si="124"/>
        <v>0</v>
      </c>
      <c r="P583" s="168"/>
    </row>
    <row r="584" spans="1:16" ht="21.75" customHeight="1" x14ac:dyDescent="0.3">
      <c r="A584" s="156"/>
      <c r="B584" s="157"/>
      <c r="C584" s="157"/>
      <c r="D584" s="166"/>
      <c r="E584" s="159"/>
      <c r="F584" s="159"/>
      <c r="G584" s="372" t="s">
        <v>130</v>
      </c>
      <c r="H584" s="161" t="s">
        <v>12</v>
      </c>
      <c r="I584" s="162"/>
      <c r="J584" s="162"/>
      <c r="K584" s="163"/>
      <c r="L584" s="168">
        <f ca="1">IFERROR(__xludf.DUMMYFUNCTION("IMPORTRANGE(""https://docs.google.com/spreadsheets/d/11923uPwbBZFjjGgGUA6NLw09EwE0CqkOc4q9oUmW1yo/edit?usp=sharing"",""น่าน!L479"")"),298470)</f>
        <v>298470</v>
      </c>
      <c r="M584" s="168"/>
      <c r="N584" s="168">
        <f ca="1">IFERROR(__xludf.DUMMYFUNCTION("IMPORTRANGE(""https://docs.google.com/spreadsheets/d/11923uPwbBZFjjGgGUA6NLw09EwE0CqkOc4q9oUmW1yo/edit?usp=sharing"",""น่าน!M479"")"),20380)</f>
        <v>20380</v>
      </c>
      <c r="O584" s="168">
        <f t="shared" ca="1" si="124"/>
        <v>6.8281569336951788</v>
      </c>
      <c r="P584" s="168"/>
    </row>
    <row r="585" spans="1:16" ht="21.75" customHeight="1" x14ac:dyDescent="0.3">
      <c r="A585" s="373"/>
      <c r="B585" s="374"/>
      <c r="C585" s="157"/>
      <c r="D585" s="375"/>
      <c r="E585" s="159"/>
      <c r="F585" s="159"/>
      <c r="G585" s="376" t="s">
        <v>131</v>
      </c>
      <c r="H585" s="161" t="s">
        <v>12</v>
      </c>
      <c r="I585" s="187"/>
      <c r="J585" s="187"/>
      <c r="K585" s="223"/>
      <c r="L585" s="168"/>
      <c r="M585" s="168"/>
      <c r="N585" s="167">
        <f ca="1">IFERROR(__xludf.DUMMYFUNCTION("IMPORTRANGE(""https://docs.google.com/spreadsheets/d/11923uPwbBZFjjGgGUA6NLw09EwE0CqkOc4q9oUmW1yo/edit?usp=sharing"",""น่าน!M480"")"),0)</f>
        <v>0</v>
      </c>
      <c r="O585" s="168"/>
      <c r="P585" s="168"/>
    </row>
    <row r="586" spans="1:16" ht="21.75" customHeight="1" x14ac:dyDescent="0.3">
      <c r="A586" s="373"/>
      <c r="B586" s="374"/>
      <c r="C586" s="157"/>
      <c r="D586" s="375"/>
      <c r="E586" s="159"/>
      <c r="F586" s="159"/>
      <c r="G586" s="376" t="s">
        <v>132</v>
      </c>
      <c r="H586" s="161" t="s">
        <v>12</v>
      </c>
      <c r="I586" s="187"/>
      <c r="J586" s="187"/>
      <c r="K586" s="223"/>
      <c r="L586" s="168"/>
      <c r="M586" s="168"/>
      <c r="N586" s="167">
        <f ca="1">IFERROR(__xludf.DUMMYFUNCTION("IMPORTRANGE(""https://docs.google.com/spreadsheets/d/11923uPwbBZFjjGgGUA6NLw09EwE0CqkOc4q9oUmW1yo/edit?usp=sharing"",""น่าน!M481"")"),0)</f>
        <v>0</v>
      </c>
      <c r="O586" s="168"/>
      <c r="P586" s="168"/>
    </row>
    <row r="587" spans="1:16" ht="21.75" customHeight="1" x14ac:dyDescent="0.3">
      <c r="A587" s="373"/>
      <c r="B587" s="374"/>
      <c r="C587" s="157"/>
      <c r="D587" s="375"/>
      <c r="E587" s="159"/>
      <c r="F587" s="159"/>
      <c r="G587" s="376" t="s">
        <v>133</v>
      </c>
      <c r="H587" s="161" t="s">
        <v>12</v>
      </c>
      <c r="I587" s="187"/>
      <c r="J587" s="187"/>
      <c r="K587" s="223"/>
      <c r="L587" s="168"/>
      <c r="M587" s="168"/>
      <c r="N587" s="167">
        <f ca="1">IFERROR(__xludf.DUMMYFUNCTION("IMPORTRANGE(""https://docs.google.com/spreadsheets/d/11923uPwbBZFjjGgGUA6NLw09EwE0CqkOc4q9oUmW1yo/edit?usp=sharing"",""น่าน!M482"")"),18320)</f>
        <v>18320</v>
      </c>
      <c r="O587" s="168"/>
      <c r="P587" s="168"/>
    </row>
    <row r="588" spans="1:16" ht="21.75" customHeight="1" x14ac:dyDescent="0.3">
      <c r="A588" s="373"/>
      <c r="B588" s="374"/>
      <c r="C588" s="157"/>
      <c r="D588" s="375"/>
      <c r="E588" s="159"/>
      <c r="F588" s="159"/>
      <c r="G588" s="376" t="s">
        <v>134</v>
      </c>
      <c r="H588" s="161" t="s">
        <v>12</v>
      </c>
      <c r="I588" s="187"/>
      <c r="J588" s="187"/>
      <c r="K588" s="223"/>
      <c r="L588" s="168"/>
      <c r="M588" s="168"/>
      <c r="N588" s="167">
        <f ca="1">IFERROR(__xludf.DUMMYFUNCTION("IMPORTRANGE(""https://docs.google.com/spreadsheets/d/11923uPwbBZFjjGgGUA6NLw09EwE0CqkOc4q9oUmW1yo/edit?usp=sharing"",""น่าน!M483"")"),2060)</f>
        <v>2060</v>
      </c>
      <c r="O588" s="168"/>
      <c r="P588" s="168"/>
    </row>
    <row r="589" spans="1:16" ht="21.75" customHeight="1" x14ac:dyDescent="0.3">
      <c r="A589" s="476"/>
      <c r="B589" s="166"/>
      <c r="C589" s="157"/>
      <c r="D589" s="289"/>
      <c r="E589" s="194" t="s">
        <v>217</v>
      </c>
      <c r="F589" s="195"/>
      <c r="G589" s="196"/>
      <c r="H589" s="180" t="s">
        <v>36</v>
      </c>
      <c r="I589" s="339">
        <f ca="1">IFERROR(__xludf.DUMMYFUNCTION("IMPORTRANGE(""https://docs.google.com/spreadsheets/d/11923uPwbBZFjjGgGUA6NLw09EwE0CqkOc4q9oUmW1yo/edit?usp=sharing"",""น่าน!I484"")"),70)</f>
        <v>70</v>
      </c>
      <c r="J589" s="187">
        <f ca="1">IFERROR(__xludf.DUMMYFUNCTION("IMPORTRANGE(""https://docs.google.com/spreadsheets/d/11923uPwbBZFjjGgGUA6NLw09EwE0CqkOc4q9oUmW1yo/edit?usp=sharing"",""น่าน!J484"")"),2)</f>
        <v>2</v>
      </c>
      <c r="K589" s="163">
        <f t="shared" ref="K589:K596" ca="1" si="125">IF(I589&gt;0,J589*100/I589,0)</f>
        <v>2.8571428571428572</v>
      </c>
      <c r="L589" s="181"/>
      <c r="M589" s="181"/>
      <c r="N589" s="168"/>
      <c r="O589" s="181"/>
      <c r="P589" s="181"/>
    </row>
    <row r="590" spans="1:16" ht="21.75" customHeight="1" x14ac:dyDescent="0.3">
      <c r="A590" s="476"/>
      <c r="B590" s="166"/>
      <c r="C590" s="157"/>
      <c r="D590" s="289"/>
      <c r="E590" s="195"/>
      <c r="F590" s="195"/>
      <c r="G590" s="196"/>
      <c r="H590" s="180" t="s">
        <v>122</v>
      </c>
      <c r="I590" s="343">
        <f ca="1">IFERROR(__xludf.DUMMYFUNCTION("IMPORTRANGE(""https://docs.google.com/spreadsheets/d/11923uPwbBZFjjGgGUA6NLw09EwE0CqkOc4q9oUmW1yo/edit?usp=sharing"",""น่าน!I485"")"),0)</f>
        <v>0</v>
      </c>
      <c r="J590" s="187">
        <f ca="1">IFERROR(__xludf.DUMMYFUNCTION("IMPORTRANGE(""https://docs.google.com/spreadsheets/d/11923uPwbBZFjjGgGUA6NLw09EwE0CqkOc4q9oUmW1yo/edit?usp=sharing"",""น่าน!J485"")"),1.89)</f>
        <v>1.89</v>
      </c>
      <c r="K590" s="477">
        <f t="shared" ca="1" si="125"/>
        <v>0</v>
      </c>
      <c r="L590" s="181"/>
      <c r="M590" s="181"/>
      <c r="N590" s="168"/>
      <c r="O590" s="181"/>
      <c r="P590" s="181"/>
    </row>
    <row r="591" spans="1:16" ht="21.75" customHeight="1" x14ac:dyDescent="0.3">
      <c r="A591" s="476"/>
      <c r="B591" s="166"/>
      <c r="C591" s="157"/>
      <c r="D591" s="289"/>
      <c r="E591" s="194" t="s">
        <v>123</v>
      </c>
      <c r="F591" s="195"/>
      <c r="G591" s="196"/>
      <c r="H591" s="180" t="s">
        <v>37</v>
      </c>
      <c r="I591" s="339">
        <f ca="1">IFERROR(__xludf.DUMMYFUNCTION("IMPORTRANGE(""https://docs.google.com/spreadsheets/d/11923uPwbBZFjjGgGUA6NLw09EwE0CqkOc4q9oUmW1yo/edit?usp=sharing"",""น่าน!I486"")"),70)</f>
        <v>70</v>
      </c>
      <c r="J591" s="187">
        <f ca="1">IFERROR(__xludf.DUMMYFUNCTION("IMPORTRANGE(""https://docs.google.com/spreadsheets/d/11923uPwbBZFjjGgGUA6NLw09EwE0CqkOc4q9oUmW1yo/edit?usp=sharing"",""น่าน!J486"")"),0)</f>
        <v>0</v>
      </c>
      <c r="K591" s="163">
        <f t="shared" ca="1" si="125"/>
        <v>0</v>
      </c>
      <c r="L591" s="181"/>
      <c r="M591" s="181"/>
      <c r="N591" s="181"/>
      <c r="O591" s="181"/>
      <c r="P591" s="181"/>
    </row>
    <row r="592" spans="1:16" ht="21.75" customHeight="1" x14ac:dyDescent="0.3">
      <c r="A592" s="476"/>
      <c r="B592" s="166"/>
      <c r="C592" s="157"/>
      <c r="D592" s="289"/>
      <c r="E592" s="195"/>
      <c r="F592" s="195"/>
      <c r="G592" s="196"/>
      <c r="H592" s="180" t="s">
        <v>122</v>
      </c>
      <c r="I592" s="343">
        <f ca="1">IFERROR(__xludf.DUMMYFUNCTION("IMPORTRANGE(""https://docs.google.com/spreadsheets/d/11923uPwbBZFjjGgGUA6NLw09EwE0CqkOc4q9oUmW1yo/edit?usp=sharing"",""น่าน!I487"")"),0)</f>
        <v>0</v>
      </c>
      <c r="J592" s="187">
        <f ca="1">IFERROR(__xludf.DUMMYFUNCTION("IMPORTRANGE(""https://docs.google.com/spreadsheets/d/11923uPwbBZFjjGgGUA6NLw09EwE0CqkOc4q9oUmW1yo/edit?usp=sharing"",""น่าน!J487"")"),0)</f>
        <v>0</v>
      </c>
      <c r="K592" s="340">
        <f t="shared" ca="1" si="125"/>
        <v>0</v>
      </c>
      <c r="L592" s="181"/>
      <c r="M592" s="181"/>
      <c r="N592" s="181"/>
      <c r="O592" s="181"/>
      <c r="P592" s="181"/>
    </row>
    <row r="593" spans="1:16" ht="21.75" customHeight="1" x14ac:dyDescent="0.3">
      <c r="A593" s="476"/>
      <c r="B593" s="166"/>
      <c r="C593" s="157"/>
      <c r="D593" s="289"/>
      <c r="E593" s="194" t="s">
        <v>124</v>
      </c>
      <c r="F593" s="195"/>
      <c r="G593" s="196"/>
      <c r="H593" s="180" t="s">
        <v>37</v>
      </c>
      <c r="I593" s="339">
        <f ca="1">IFERROR(__xludf.DUMMYFUNCTION("IMPORTRANGE(""https://docs.google.com/spreadsheets/d/11923uPwbBZFjjGgGUA6NLw09EwE0CqkOc4q9oUmW1yo/edit?usp=sharing"",""น่าน!I488"")"),70)</f>
        <v>70</v>
      </c>
      <c r="J593" s="187">
        <f ca="1">IFERROR(__xludf.DUMMYFUNCTION("IMPORTRANGE(""https://docs.google.com/spreadsheets/d/11923uPwbBZFjjGgGUA6NLw09EwE0CqkOc4q9oUmW1yo/edit?usp=sharing"",""น่าน!J488"")"),0)</f>
        <v>0</v>
      </c>
      <c r="K593" s="163">
        <f t="shared" ca="1" si="125"/>
        <v>0</v>
      </c>
      <c r="L593" s="181"/>
      <c r="M593" s="181"/>
      <c r="N593" s="181"/>
      <c r="O593" s="181"/>
      <c r="P593" s="181"/>
    </row>
    <row r="594" spans="1:16" ht="21.75" customHeight="1" x14ac:dyDescent="0.3">
      <c r="A594" s="476"/>
      <c r="B594" s="166"/>
      <c r="C594" s="157"/>
      <c r="D594" s="289"/>
      <c r="E594" s="195"/>
      <c r="F594" s="195"/>
      <c r="G594" s="196"/>
      <c r="H594" s="180" t="s">
        <v>122</v>
      </c>
      <c r="I594" s="343">
        <f ca="1">IFERROR(__xludf.DUMMYFUNCTION("IMPORTRANGE(""https://docs.google.com/spreadsheets/d/11923uPwbBZFjjGgGUA6NLw09EwE0CqkOc4q9oUmW1yo/edit?usp=sharing"",""น่าน!I489"")"),0)</f>
        <v>0</v>
      </c>
      <c r="J594" s="187">
        <f ca="1">IFERROR(__xludf.DUMMYFUNCTION("IMPORTRANGE(""https://docs.google.com/spreadsheets/d/11923uPwbBZFjjGgGUA6NLw09EwE0CqkOc4q9oUmW1yo/edit?usp=sharing"",""น่าน!J489"")"),0)</f>
        <v>0</v>
      </c>
      <c r="K594" s="340">
        <f t="shared" ca="1" si="125"/>
        <v>0</v>
      </c>
      <c r="L594" s="181"/>
      <c r="M594" s="181"/>
      <c r="N594" s="181"/>
      <c r="O594" s="181"/>
      <c r="P594" s="181"/>
    </row>
    <row r="595" spans="1:16" ht="21.75" customHeight="1" x14ac:dyDescent="0.3">
      <c r="A595" s="476"/>
      <c r="B595" s="166"/>
      <c r="C595" s="157"/>
      <c r="D595" s="289"/>
      <c r="E595" s="194" t="s">
        <v>125</v>
      </c>
      <c r="F595" s="195"/>
      <c r="G595" s="196"/>
      <c r="H595" s="180" t="s">
        <v>37</v>
      </c>
      <c r="I595" s="339">
        <f ca="1">IFERROR(__xludf.DUMMYFUNCTION("IMPORTRANGE(""https://docs.google.com/spreadsheets/d/11923uPwbBZFjjGgGUA6NLw09EwE0CqkOc4q9oUmW1yo/edit?usp=sharing"",""น่าน!I490"")"),70)</f>
        <v>70</v>
      </c>
      <c r="J595" s="187">
        <f ca="1">IFERROR(__xludf.DUMMYFUNCTION("IMPORTRANGE(""https://docs.google.com/spreadsheets/d/11923uPwbBZFjjGgGUA6NLw09EwE0CqkOc4q9oUmW1yo/edit?usp=sharing"",""น่าน!J490"")"),0)</f>
        <v>0</v>
      </c>
      <c r="K595" s="163">
        <f t="shared" ca="1" si="125"/>
        <v>0</v>
      </c>
      <c r="L595" s="181"/>
      <c r="M595" s="181"/>
      <c r="N595" s="181"/>
      <c r="O595" s="181"/>
      <c r="P595" s="181"/>
    </row>
    <row r="596" spans="1:16" ht="21.75" customHeight="1" x14ac:dyDescent="0.3">
      <c r="A596" s="478"/>
      <c r="B596" s="479"/>
      <c r="C596" s="480"/>
      <c r="D596" s="481"/>
      <c r="E596" s="460"/>
      <c r="F596" s="460"/>
      <c r="G596" s="461"/>
      <c r="H596" s="482" t="s">
        <v>122</v>
      </c>
      <c r="I596" s="483">
        <f ca="1">IFERROR(__xludf.DUMMYFUNCTION("IMPORTRANGE(""https://docs.google.com/spreadsheets/d/11923uPwbBZFjjGgGUA6NLw09EwE0CqkOc4q9oUmW1yo/edit?usp=sharing"",""น่าน!I491"")"),0)</f>
        <v>0</v>
      </c>
      <c r="J596" s="240">
        <f ca="1">IFERROR(__xludf.DUMMYFUNCTION("IMPORTRANGE(""https://docs.google.com/spreadsheets/d/11923uPwbBZFjjGgGUA6NLw09EwE0CqkOc4q9oUmW1yo/edit?usp=sharing"",""น่าน!J491"")"),0)</f>
        <v>0</v>
      </c>
      <c r="K596" s="484">
        <f t="shared" ca="1" si="125"/>
        <v>0</v>
      </c>
      <c r="L596" s="466"/>
      <c r="M596" s="466"/>
      <c r="N596" s="466"/>
      <c r="O596" s="466"/>
      <c r="P596" s="466"/>
    </row>
    <row r="597" spans="1:16" ht="21.75" customHeight="1" x14ac:dyDescent="0.3">
      <c r="A597" s="403"/>
      <c r="B597" s="404">
        <v>10</v>
      </c>
      <c r="C597" s="405" t="s">
        <v>218</v>
      </c>
      <c r="D597" s="405"/>
      <c r="E597" s="405"/>
      <c r="F597" s="405"/>
      <c r="G597" s="406"/>
      <c r="H597" s="407" t="s">
        <v>122</v>
      </c>
      <c r="I597" s="408">
        <f ca="1">IFERROR(__xludf.DUMMYFUNCTION("IMPORTRANGE(""https://docs.google.com/spreadsheets/d/11923uPwbBZFjjGgGUA6NLw09EwE0CqkOc4q9oUmW1yo/edit?usp=sharing"",""น่าน!I492"")"),100)</f>
        <v>100</v>
      </c>
      <c r="J597" s="485">
        <f ca="1">IFERROR(__xludf.DUMMYFUNCTION("IMPORTRANGE(""https://docs.google.com/spreadsheets/d/11923uPwbBZFjjGgGUA6NLw09EwE0CqkOc4q9oUmW1yo/edit?usp=sharing"",""น่าน!J492"")"),0)</f>
        <v>0</v>
      </c>
      <c r="K597" s="409">
        <f ca="1">IF(I597&gt;0,J597*100/I597,0)</f>
        <v>0</v>
      </c>
      <c r="L597" s="410">
        <f ca="1">IFERROR(__xludf.DUMMYFUNCTION("IMPORTRANGE(""https://docs.google.com/spreadsheets/d/11923uPwbBZFjjGgGUA6NLw09EwE0CqkOc4q9oUmW1yo/edit?usp=sharing"",""น่าน!L492"")"),8900)</f>
        <v>8900</v>
      </c>
      <c r="M597" s="410"/>
      <c r="N597" s="410">
        <f ca="1">IFERROR(__xludf.DUMMYFUNCTION("IMPORTRANGE(""https://docs.google.com/spreadsheets/d/11923uPwbBZFjjGgGUA6NLw09EwE0CqkOc4q9oUmW1yo/edit?usp=sharing"",""น่าน!M492"")"),1800)</f>
        <v>1800</v>
      </c>
      <c r="O597" s="410">
        <f t="shared" ref="O597:O601" ca="1" si="126">+IF(L597&gt;0,N597*100/L597,0)</f>
        <v>20.224719101123597</v>
      </c>
      <c r="P597" s="410"/>
    </row>
    <row r="598" spans="1:16" ht="21.75" customHeight="1" x14ac:dyDescent="0.3">
      <c r="A598" s="156"/>
      <c r="B598" s="157"/>
      <c r="C598" s="157" t="s">
        <v>16</v>
      </c>
      <c r="D598" s="158" t="s">
        <v>38</v>
      </c>
      <c r="E598" s="159"/>
      <c r="F598" s="159"/>
      <c r="G598" s="160" t="s">
        <v>39</v>
      </c>
      <c r="H598" s="161" t="s">
        <v>12</v>
      </c>
      <c r="I598" s="162" t="s">
        <v>40</v>
      </c>
      <c r="J598" s="162"/>
      <c r="K598" s="163"/>
      <c r="L598" s="164">
        <f ca="1">IFERROR(__xludf.DUMMYFUNCTION("IMPORTRANGE(""https://docs.google.com/spreadsheets/d/11923uPwbBZFjjGgGUA6NLw09EwE0CqkOc4q9oUmW1yo/edit?usp=sharing"",""น่าน!L493"")"),0)</f>
        <v>0</v>
      </c>
      <c r="M598" s="164"/>
      <c r="N598" s="168">
        <f ca="1">IFERROR(__xludf.DUMMYFUNCTION("IMPORTRANGE(""https://docs.google.com/spreadsheets/d/11923uPwbBZFjjGgGUA6NLw09EwE0CqkOc4q9oUmW1yo/edit?usp=sharing"",""น่าน!M493"")"),0)</f>
        <v>0</v>
      </c>
      <c r="O598" s="168">
        <f t="shared" ca="1" si="126"/>
        <v>0</v>
      </c>
      <c r="P598" s="168"/>
    </row>
    <row r="599" spans="1:16" ht="21.75" customHeight="1" x14ac:dyDescent="0.3">
      <c r="A599" s="156"/>
      <c r="B599" s="157"/>
      <c r="C599" s="157"/>
      <c r="D599" s="166"/>
      <c r="E599" s="159"/>
      <c r="F599" s="159" t="s">
        <v>40</v>
      </c>
      <c r="G599" s="160" t="s">
        <v>41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IFERROR(__xludf.DUMMYFUNCTION("IMPORTRANGE(""https://docs.google.com/spreadsheets/d/11923uPwbBZFjjGgGUA6NLw09EwE0CqkOc4q9oUmW1yo/edit?usp=sharing"",""น่าน!L494"")"),8900)</f>
        <v>8900</v>
      </c>
      <c r="M599" s="165"/>
      <c r="N599" s="168">
        <f ca="1">IFERROR(__xludf.DUMMYFUNCTION("IMPORTRANGE(""https://docs.google.com/spreadsheets/d/11923uPwbBZFjjGgGUA6NLw09EwE0CqkOc4q9oUmW1yo/edit?usp=sharing"",""น่าน!M494"")"),1800)</f>
        <v>1800</v>
      </c>
      <c r="O599" s="168">
        <f t="shared" ca="1" si="126"/>
        <v>20.224719101123597</v>
      </c>
      <c r="P599" s="168"/>
    </row>
    <row r="600" spans="1:16" ht="21.75" customHeight="1" x14ac:dyDescent="0.3">
      <c r="A600" s="156"/>
      <c r="B600" s="157"/>
      <c r="C600" s="157"/>
      <c r="D600" s="166"/>
      <c r="E600" s="159"/>
      <c r="F600" s="159"/>
      <c r="G600" s="372" t="s">
        <v>129</v>
      </c>
      <c r="H600" s="161" t="s">
        <v>12</v>
      </c>
      <c r="I600" s="162"/>
      <c r="J600" s="162"/>
      <c r="K600" s="163"/>
      <c r="L600" s="168">
        <f ca="1">IFERROR(__xludf.DUMMYFUNCTION("IMPORTRANGE(""https://docs.google.com/spreadsheets/d/11923uPwbBZFjjGgGUA6NLw09EwE0CqkOc4q9oUmW1yo/edit?usp=sharing"",""น่าน!L495"")"),0)</f>
        <v>0</v>
      </c>
      <c r="M600" s="168"/>
      <c r="N600" s="168">
        <f ca="1">IFERROR(__xludf.DUMMYFUNCTION("IMPORTRANGE(""https://docs.google.com/spreadsheets/d/11923uPwbBZFjjGgGUA6NLw09EwE0CqkOc4q9oUmW1yo/edit?usp=sharing"",""น่าน!M495"")"),0)</f>
        <v>0</v>
      </c>
      <c r="O600" s="168">
        <f t="shared" ca="1" si="126"/>
        <v>0</v>
      </c>
      <c r="P600" s="168"/>
    </row>
    <row r="601" spans="1:16" ht="21.75" customHeight="1" x14ac:dyDescent="0.3">
      <c r="A601" s="156"/>
      <c r="B601" s="157"/>
      <c r="C601" s="157"/>
      <c r="D601" s="166"/>
      <c r="E601" s="159"/>
      <c r="F601" s="159"/>
      <c r="G601" s="372" t="s">
        <v>130</v>
      </c>
      <c r="H601" s="161" t="s">
        <v>12</v>
      </c>
      <c r="I601" s="162"/>
      <c r="J601" s="162"/>
      <c r="K601" s="163"/>
      <c r="L601" s="168">
        <f ca="1">IFERROR(__xludf.DUMMYFUNCTION("IMPORTRANGE(""https://docs.google.com/spreadsheets/d/11923uPwbBZFjjGgGUA6NLw09EwE0CqkOc4q9oUmW1yo/edit?usp=sharing"",""น่าน!L496"")"),8900)</f>
        <v>8900</v>
      </c>
      <c r="M601" s="168"/>
      <c r="N601" s="168">
        <f ca="1">IFERROR(__xludf.DUMMYFUNCTION("IMPORTRANGE(""https://docs.google.com/spreadsheets/d/11923uPwbBZFjjGgGUA6NLw09EwE0CqkOc4q9oUmW1yo/edit?usp=sharing"",""น่าน!M496"")"),1800)</f>
        <v>1800</v>
      </c>
      <c r="O601" s="168">
        <f t="shared" ca="1" si="126"/>
        <v>20.224719101123597</v>
      </c>
      <c r="P601" s="168"/>
    </row>
    <row r="602" spans="1:16" ht="21.75" customHeight="1" x14ac:dyDescent="0.3">
      <c r="A602" s="373"/>
      <c r="B602" s="374"/>
      <c r="C602" s="157"/>
      <c r="D602" s="375"/>
      <c r="E602" s="159"/>
      <c r="F602" s="159"/>
      <c r="G602" s="376" t="s">
        <v>131</v>
      </c>
      <c r="H602" s="161" t="s">
        <v>12</v>
      </c>
      <c r="I602" s="187"/>
      <c r="J602" s="187"/>
      <c r="K602" s="223"/>
      <c r="L602" s="168"/>
      <c r="M602" s="168"/>
      <c r="N602" s="167">
        <f ca="1">IFERROR(__xludf.DUMMYFUNCTION("IMPORTRANGE(""https://docs.google.com/spreadsheets/d/11923uPwbBZFjjGgGUA6NLw09EwE0CqkOc4q9oUmW1yo/edit?usp=sharing"",""น่าน!M497"")"),0)</f>
        <v>0</v>
      </c>
      <c r="O602" s="168"/>
      <c r="P602" s="168"/>
    </row>
    <row r="603" spans="1:16" ht="21.75" customHeight="1" x14ac:dyDescent="0.3">
      <c r="A603" s="373"/>
      <c r="B603" s="374"/>
      <c r="C603" s="157"/>
      <c r="D603" s="375"/>
      <c r="E603" s="159"/>
      <c r="F603" s="159"/>
      <c r="G603" s="376" t="s">
        <v>132</v>
      </c>
      <c r="H603" s="161" t="s">
        <v>12</v>
      </c>
      <c r="I603" s="187"/>
      <c r="J603" s="187"/>
      <c r="K603" s="223"/>
      <c r="L603" s="168"/>
      <c r="M603" s="168"/>
      <c r="N603" s="167">
        <f ca="1">IFERROR(__xludf.DUMMYFUNCTION("IMPORTRANGE(""https://docs.google.com/spreadsheets/d/11923uPwbBZFjjGgGUA6NLw09EwE0CqkOc4q9oUmW1yo/edit?usp=sharing"",""น่าน!M498"")"),0)</f>
        <v>0</v>
      </c>
      <c r="O603" s="168"/>
      <c r="P603" s="168"/>
    </row>
    <row r="604" spans="1:16" ht="21.75" customHeight="1" x14ac:dyDescent="0.3">
      <c r="A604" s="373"/>
      <c r="B604" s="374"/>
      <c r="C604" s="157"/>
      <c r="D604" s="375"/>
      <c r="E604" s="159"/>
      <c r="F604" s="159"/>
      <c r="G604" s="376" t="s">
        <v>133</v>
      </c>
      <c r="H604" s="161" t="s">
        <v>12</v>
      </c>
      <c r="I604" s="187"/>
      <c r="J604" s="187"/>
      <c r="K604" s="223"/>
      <c r="L604" s="168"/>
      <c r="M604" s="168"/>
      <c r="N604" s="377">
        <f ca="1">IFERROR(__xludf.DUMMYFUNCTION("IMPORTRANGE(""https://docs.google.com/spreadsheets/d/11923uPwbBZFjjGgGUA6NLw09EwE0CqkOc4q9oUmW1yo/edit?usp=sharing"",""น่าน!M499"")"),0)</f>
        <v>0</v>
      </c>
      <c r="O604" s="168"/>
      <c r="P604" s="168"/>
    </row>
    <row r="605" spans="1:16" ht="21.75" customHeight="1" x14ac:dyDescent="0.3">
      <c r="A605" s="373"/>
      <c r="B605" s="374"/>
      <c r="C605" s="157"/>
      <c r="D605" s="375"/>
      <c r="E605" s="159"/>
      <c r="F605" s="159"/>
      <c r="G605" s="376" t="s">
        <v>134</v>
      </c>
      <c r="H605" s="161" t="s">
        <v>12</v>
      </c>
      <c r="I605" s="187"/>
      <c r="J605" s="187"/>
      <c r="K605" s="223"/>
      <c r="L605" s="168"/>
      <c r="M605" s="168"/>
      <c r="N605" s="377">
        <f ca="1">IFERROR(__xludf.DUMMYFUNCTION("IMPORTRANGE(""https://docs.google.com/spreadsheets/d/11923uPwbBZFjjGgGUA6NLw09EwE0CqkOc4q9oUmW1yo/edit?usp=sharing"",""น่าน!M500"")"),1800)</f>
        <v>1800</v>
      </c>
      <c r="O605" s="168"/>
      <c r="P605" s="168"/>
    </row>
    <row r="606" spans="1:16" ht="21.75" customHeight="1" x14ac:dyDescent="0.3">
      <c r="A606" s="175"/>
      <c r="B606" s="176"/>
      <c r="C606" s="157" t="s">
        <v>16</v>
      </c>
      <c r="D606" s="177" t="s">
        <v>44</v>
      </c>
      <c r="E606" s="178"/>
      <c r="F606" s="178"/>
      <c r="G606" s="179"/>
      <c r="H606" s="180"/>
      <c r="I606" s="162"/>
      <c r="J606" s="162"/>
      <c r="K606" s="163"/>
      <c r="L606" s="181"/>
      <c r="M606" s="181"/>
      <c r="N606" s="181"/>
      <c r="O606" s="181"/>
      <c r="P606" s="181"/>
    </row>
    <row r="607" spans="1:16" ht="21.75" customHeight="1" x14ac:dyDescent="0.3">
      <c r="A607" s="175"/>
      <c r="B607" s="176"/>
      <c r="C607" s="176"/>
      <c r="D607" s="182">
        <v>1</v>
      </c>
      <c r="E607" s="183" t="s">
        <v>45</v>
      </c>
      <c r="F607" s="184"/>
      <c r="G607" s="185"/>
      <c r="H607" s="186"/>
      <c r="I607" s="187"/>
      <c r="J607" s="197">
        <f ca="1">IFERROR(__xludf.DUMMYFUNCTION("IMPORTRANGE(""https://docs.google.com/spreadsheets/d/11923uPwbBZFjjGgGUA6NLw09EwE0CqkOc4q9oUmW1yo/edit?usp=sharing"",""น่าน!J502"")"),0)</f>
        <v>0</v>
      </c>
      <c r="K607" s="163"/>
      <c r="L607" s="181"/>
      <c r="M607" s="181"/>
      <c r="N607" s="181"/>
      <c r="O607" s="181"/>
      <c r="P607" s="181"/>
    </row>
    <row r="608" spans="1:16" ht="21.75" customHeight="1" x14ac:dyDescent="0.3">
      <c r="A608" s="175"/>
      <c r="B608" s="176"/>
      <c r="C608" s="176"/>
      <c r="D608" s="189">
        <v>2</v>
      </c>
      <c r="E608" s="190" t="s">
        <v>46</v>
      </c>
      <c r="F608" s="191"/>
      <c r="G608" s="192"/>
      <c r="H608" s="186"/>
      <c r="I608" s="187"/>
      <c r="J608" s="197">
        <f ca="1">IFERROR(__xludf.DUMMYFUNCTION("IMPORTRANGE(""https://docs.google.com/spreadsheets/d/11923uPwbBZFjjGgGUA6NLw09EwE0CqkOc4q9oUmW1yo/edit?usp=sharing"",""น่าน!J503"")"),1)</f>
        <v>1</v>
      </c>
      <c r="K608" s="163"/>
      <c r="L608" s="181" t="s">
        <v>40</v>
      </c>
      <c r="M608" s="181"/>
      <c r="N608" s="181" t="s">
        <v>40</v>
      </c>
      <c r="O608" s="181"/>
      <c r="P608" s="181"/>
    </row>
    <row r="609" spans="1:16" ht="21.75" hidden="1" customHeight="1" x14ac:dyDescent="0.3">
      <c r="A609" s="373"/>
      <c r="B609" s="374"/>
      <c r="C609" s="374"/>
      <c r="D609" s="486"/>
      <c r="E609" s="487" t="s">
        <v>47</v>
      </c>
      <c r="F609" s="488"/>
      <c r="G609" s="379"/>
      <c r="H609" s="186"/>
      <c r="I609" s="187"/>
      <c r="J609" s="187">
        <f ca="1">IFERROR(__xludf.DUMMYFUNCTION("IMPORTRANGE(""https://docs.google.com/spreadsheets/d/11923uPwbBZFjjGgGUA6NLw09EwE0CqkOc4q9oUmW1yo/edit?usp=sharing"",""น่าน!J166"")"),0)</f>
        <v>0</v>
      </c>
      <c r="K609" s="223"/>
      <c r="L609" s="168"/>
      <c r="M609" s="168"/>
      <c r="N609" s="168"/>
      <c r="O609" s="168"/>
      <c r="P609" s="168"/>
    </row>
    <row r="610" spans="1:16" ht="21.75" hidden="1" customHeight="1" x14ac:dyDescent="0.3">
      <c r="A610" s="373"/>
      <c r="B610" s="374"/>
      <c r="C610" s="374"/>
      <c r="D610" s="486"/>
      <c r="E610" s="487" t="s">
        <v>48</v>
      </c>
      <c r="F610" s="488"/>
      <c r="G610" s="379"/>
      <c r="H610" s="186"/>
      <c r="I610" s="187"/>
      <c r="J610" s="187">
        <f ca="1">IFERROR(__xludf.DUMMYFUNCTION("IMPORTRANGE(""https://docs.google.com/spreadsheets/d/11923uPwbBZFjjGgGUA6NLw09EwE0CqkOc4q9oUmW1yo/edit?usp=sharing"",""น่าน!J166"")"),0)</f>
        <v>0</v>
      </c>
      <c r="K610" s="223"/>
      <c r="L610" s="168"/>
      <c r="M610" s="168"/>
      <c r="N610" s="168"/>
      <c r="O610" s="168"/>
      <c r="P610" s="168"/>
    </row>
    <row r="611" spans="1:16" ht="21.75" customHeight="1" x14ac:dyDescent="0.3">
      <c r="A611" s="175"/>
      <c r="B611" s="176"/>
      <c r="C611" s="176"/>
      <c r="D611" s="193"/>
      <c r="E611" s="195"/>
      <c r="F611" s="195" t="s">
        <v>219</v>
      </c>
      <c r="G611" s="196"/>
      <c r="H611" s="180" t="s">
        <v>122</v>
      </c>
      <c r="I611" s="187">
        <f ca="1">IFERROR(__xludf.DUMMYFUNCTION("IMPORTRANGE(""https://docs.google.com/spreadsheets/d/11923uPwbBZFjjGgGUA6NLw09EwE0CqkOc4q9oUmW1yo/edit?usp=sharing"",""น่าน!I506"")"),100)</f>
        <v>100</v>
      </c>
      <c r="J611" s="162">
        <f ca="1">IFERROR(__xludf.DUMMYFUNCTION("IMPORTRANGE(""https://docs.google.com/spreadsheets/d/11923uPwbBZFjjGgGUA6NLw09EwE0CqkOc4q9oUmW1yo/edit?usp=sharing"",""น่าน!J506"")"),0)</f>
        <v>0</v>
      </c>
      <c r="K611" s="163">
        <f t="shared" ref="K611:K619" ca="1" si="127">IF(I$611&gt;0,J611*100/I$611,0)</f>
        <v>0</v>
      </c>
      <c r="L611" s="181"/>
      <c r="M611" s="181"/>
      <c r="N611" s="181"/>
      <c r="O611" s="181"/>
      <c r="P611" s="181"/>
    </row>
    <row r="612" spans="1:16" ht="21.75" customHeight="1" x14ac:dyDescent="0.3">
      <c r="A612" s="175"/>
      <c r="B612" s="176"/>
      <c r="C612" s="176"/>
      <c r="D612" s="193"/>
      <c r="E612" s="198"/>
      <c r="F612" s="195"/>
      <c r="G612" s="225" t="s">
        <v>220</v>
      </c>
      <c r="H612" s="180" t="s">
        <v>122</v>
      </c>
      <c r="I612" s="203">
        <f ca="1">IFERROR(__xludf.DUMMYFUNCTION("IMPORTRANGE(""https://docs.google.com/spreadsheets/d/11923uPwbBZFjjGgGUA6NLw09EwE0CqkOc4q9oUmW1yo/edit?usp=sharing"",""น่าน!I507"")"),0)</f>
        <v>0</v>
      </c>
      <c r="J612" s="197">
        <f ca="1">IFERROR(__xludf.DUMMYFUNCTION("IMPORTRANGE(""https://docs.google.com/spreadsheets/d/11923uPwbBZFjjGgGUA6NLw09EwE0CqkOc4q9oUmW1yo/edit?usp=sharing"",""น่าน!J507"")"),164)</f>
        <v>164</v>
      </c>
      <c r="K612" s="163">
        <f t="shared" ca="1" si="127"/>
        <v>164</v>
      </c>
      <c r="L612" s="181"/>
      <c r="M612" s="181"/>
      <c r="N612" s="181"/>
      <c r="O612" s="181"/>
      <c r="P612" s="181"/>
    </row>
    <row r="613" spans="1:16" ht="21.75" customHeight="1" x14ac:dyDescent="0.3">
      <c r="A613" s="175"/>
      <c r="B613" s="176"/>
      <c r="C613" s="176"/>
      <c r="D613" s="193"/>
      <c r="E613" s="198"/>
      <c r="F613" s="195"/>
      <c r="G613" s="225" t="s">
        <v>221</v>
      </c>
      <c r="H613" s="180" t="s">
        <v>122</v>
      </c>
      <c r="I613" s="203">
        <f ca="1">IFERROR(__xludf.DUMMYFUNCTION("IMPORTRANGE(""https://docs.google.com/spreadsheets/d/11923uPwbBZFjjGgGUA6NLw09EwE0CqkOc4q9oUmW1yo/edit?usp=sharing"",""น่าน!I508"")"),0)</f>
        <v>0</v>
      </c>
      <c r="J613" s="197">
        <f ca="1">IFERROR(__xludf.DUMMYFUNCTION("IMPORTRANGE(""https://docs.google.com/spreadsheets/d/11923uPwbBZFjjGgGUA6NLw09EwE0CqkOc4q9oUmW1yo/edit?usp=sharing"",""น่าน!J508"")"),0)</f>
        <v>0</v>
      </c>
      <c r="K613" s="163">
        <f t="shared" ca="1" si="127"/>
        <v>0</v>
      </c>
      <c r="L613" s="181"/>
      <c r="M613" s="181"/>
      <c r="N613" s="181"/>
      <c r="O613" s="181"/>
      <c r="P613" s="181"/>
    </row>
    <row r="614" spans="1:16" ht="21.75" customHeight="1" x14ac:dyDescent="0.3">
      <c r="A614" s="175"/>
      <c r="B614" s="176"/>
      <c r="C614" s="176"/>
      <c r="D614" s="193"/>
      <c r="E614" s="198"/>
      <c r="F614" s="195"/>
      <c r="G614" s="225" t="s">
        <v>222</v>
      </c>
      <c r="H614" s="180" t="s">
        <v>122</v>
      </c>
      <c r="I614" s="203">
        <f ca="1">IFERROR(__xludf.DUMMYFUNCTION("IMPORTRANGE(""https://docs.google.com/spreadsheets/d/11923uPwbBZFjjGgGUA6NLw09EwE0CqkOc4q9oUmW1yo/edit?usp=sharing"",""น่าน!I509"")"),0)</f>
        <v>0</v>
      </c>
      <c r="J614" s="197">
        <f ca="1">IFERROR(__xludf.DUMMYFUNCTION("IMPORTRANGE(""https://docs.google.com/spreadsheets/d/11923uPwbBZFjjGgGUA6NLw09EwE0CqkOc4q9oUmW1yo/edit?usp=sharing"",""น่าน!J509"")"),97.8)</f>
        <v>97.8</v>
      </c>
      <c r="K614" s="163">
        <f t="shared" ca="1" si="127"/>
        <v>97.8</v>
      </c>
      <c r="L614" s="181"/>
      <c r="M614" s="181"/>
      <c r="N614" s="181"/>
      <c r="O614" s="181"/>
      <c r="P614" s="181"/>
    </row>
    <row r="615" spans="1:16" ht="21.75" customHeight="1" x14ac:dyDescent="0.3">
      <c r="A615" s="175"/>
      <c r="B615" s="176"/>
      <c r="C615" s="176"/>
      <c r="D615" s="193"/>
      <c r="E615" s="198"/>
      <c r="F615" s="195"/>
      <c r="G615" s="225" t="s">
        <v>223</v>
      </c>
      <c r="H615" s="180" t="s">
        <v>122</v>
      </c>
      <c r="I615" s="203">
        <f ca="1">IFERROR(__xludf.DUMMYFUNCTION("IMPORTRANGE(""https://docs.google.com/spreadsheets/d/11923uPwbBZFjjGgGUA6NLw09EwE0CqkOc4q9oUmW1yo/edit?usp=sharing"",""น่าน!I510"")"),0)</f>
        <v>0</v>
      </c>
      <c r="J615" s="197">
        <f ca="1">IFERROR(__xludf.DUMMYFUNCTION("IMPORTRANGE(""https://docs.google.com/spreadsheets/d/11923uPwbBZFjjGgGUA6NLw09EwE0CqkOc4q9oUmW1yo/edit?usp=sharing"",""น่าน!J510"")"),0)</f>
        <v>0</v>
      </c>
      <c r="K615" s="163">
        <f t="shared" ca="1" si="127"/>
        <v>0</v>
      </c>
      <c r="L615" s="181"/>
      <c r="M615" s="181"/>
      <c r="N615" s="181"/>
      <c r="O615" s="181"/>
      <c r="P615" s="181"/>
    </row>
    <row r="616" spans="1:16" ht="21.75" customHeight="1" x14ac:dyDescent="0.3">
      <c r="A616" s="175"/>
      <c r="B616" s="176"/>
      <c r="C616" s="176"/>
      <c r="D616" s="193"/>
      <c r="E616" s="198"/>
      <c r="F616" s="195"/>
      <c r="G616" s="194" t="s">
        <v>224</v>
      </c>
      <c r="H616" s="180" t="s">
        <v>122</v>
      </c>
      <c r="I616" s="203">
        <f ca="1">IFERROR(__xludf.DUMMYFUNCTION("IMPORTRANGE(""https://docs.google.com/spreadsheets/d/11923uPwbBZFjjGgGUA6NLw09EwE0CqkOc4q9oUmW1yo/edit?usp=sharing"",""น่าน!I511"")"),0)</f>
        <v>0</v>
      </c>
      <c r="J616" s="197">
        <f ca="1">IFERROR(__xludf.DUMMYFUNCTION("IMPORTRANGE(""https://docs.google.com/spreadsheets/d/11923uPwbBZFjjGgGUA6NLw09EwE0CqkOc4q9oUmW1yo/edit?usp=sharing"",""น่าน!J511"")"),0)</f>
        <v>0</v>
      </c>
      <c r="K616" s="163">
        <f t="shared" ca="1" si="127"/>
        <v>0</v>
      </c>
      <c r="L616" s="181"/>
      <c r="M616" s="181"/>
      <c r="N616" s="181"/>
      <c r="O616" s="181"/>
      <c r="P616" s="181"/>
    </row>
    <row r="617" spans="1:16" ht="21.75" customHeight="1" x14ac:dyDescent="0.3">
      <c r="A617" s="175"/>
      <c r="B617" s="176"/>
      <c r="C617" s="176"/>
      <c r="D617" s="193"/>
      <c r="E617" s="198"/>
      <c r="F617" s="195"/>
      <c r="G617" s="194" t="s">
        <v>225</v>
      </c>
      <c r="H617" s="180" t="s">
        <v>122</v>
      </c>
      <c r="I617" s="187">
        <f ca="1">IFERROR(__xludf.DUMMYFUNCTION("IMPORTRANGE(""https://docs.google.com/spreadsheets/d/11923uPwbBZFjjGgGUA6NLw09EwE0CqkOc4q9oUmW1yo/edit?usp=sharing"",""น่าน!I512"")"),0)</f>
        <v>0</v>
      </c>
      <c r="J617" s="187">
        <f ca="1">IFERROR(__xludf.DUMMYFUNCTION("IMPORTRANGE(""https://docs.google.com/spreadsheets/d/11923uPwbBZFjjGgGUA6NLw09EwE0CqkOc4q9oUmW1yo/edit?usp=sharing"",""น่าน!J512"")"),0)</f>
        <v>0</v>
      </c>
      <c r="K617" s="163">
        <f t="shared" ca="1" si="127"/>
        <v>0</v>
      </c>
      <c r="L617" s="181"/>
      <c r="M617" s="181"/>
      <c r="N617" s="181"/>
      <c r="O617" s="181"/>
      <c r="P617" s="181"/>
    </row>
    <row r="618" spans="1:16" ht="21.75" customHeight="1" x14ac:dyDescent="0.3">
      <c r="A618" s="175"/>
      <c r="B618" s="176"/>
      <c r="C618" s="176"/>
      <c r="D618" s="193"/>
      <c r="E618" s="198"/>
      <c r="F618" s="195"/>
      <c r="G618" s="489" t="s">
        <v>226</v>
      </c>
      <c r="H618" s="180" t="s">
        <v>122</v>
      </c>
      <c r="I618" s="203">
        <f ca="1">IFERROR(__xludf.DUMMYFUNCTION("IMPORTRANGE(""https://docs.google.com/spreadsheets/d/11923uPwbBZFjjGgGUA6NLw09EwE0CqkOc4q9oUmW1yo/edit?usp=sharing"",""น่าน!I513"")"),0)</f>
        <v>0</v>
      </c>
      <c r="J618" s="188">
        <f ca="1">IFERROR(__xludf.DUMMYFUNCTION("IMPORTRANGE(""https://docs.google.com/spreadsheets/d/11923uPwbBZFjjGgGUA6NLw09EwE0CqkOc4q9oUmW1yo/edit?usp=sharing"",""น่าน!J513"")"),0)</f>
        <v>0</v>
      </c>
      <c r="K618" s="163">
        <f t="shared" ca="1" si="127"/>
        <v>0</v>
      </c>
      <c r="L618" s="181"/>
      <c r="M618" s="181"/>
      <c r="N618" s="181"/>
      <c r="O618" s="181"/>
      <c r="P618" s="181"/>
    </row>
    <row r="619" spans="1:16" ht="21.75" customHeight="1" x14ac:dyDescent="0.3">
      <c r="A619" s="175"/>
      <c r="B619" s="176"/>
      <c r="C619" s="176"/>
      <c r="D619" s="193"/>
      <c r="E619" s="198"/>
      <c r="F619" s="195"/>
      <c r="G619" s="489" t="s">
        <v>227</v>
      </c>
      <c r="H619" s="180" t="s">
        <v>122</v>
      </c>
      <c r="I619" s="203">
        <f ca="1">IFERROR(__xludf.DUMMYFUNCTION("IMPORTRANGE(""https://docs.google.com/spreadsheets/d/11923uPwbBZFjjGgGUA6NLw09EwE0CqkOc4q9oUmW1yo/edit?usp=sharing"",""น่าน!I514"")"),0)</f>
        <v>0</v>
      </c>
      <c r="J619" s="188">
        <f ca="1">IFERROR(__xludf.DUMMYFUNCTION("IMPORTRANGE(""https://docs.google.com/spreadsheets/d/11923uPwbBZFjjGgGUA6NLw09EwE0CqkOc4q9oUmW1yo/edit?usp=sharing"",""น่าน!J514"")"),0)</f>
        <v>0</v>
      </c>
      <c r="K619" s="163">
        <f t="shared" ca="1" si="127"/>
        <v>0</v>
      </c>
      <c r="L619" s="181"/>
      <c r="M619" s="181"/>
      <c r="N619" s="181"/>
      <c r="O619" s="181"/>
      <c r="P619" s="181"/>
    </row>
    <row r="620" spans="1:16" ht="21.75" customHeight="1" x14ac:dyDescent="0.3">
      <c r="A620" s="175"/>
      <c r="B620" s="176"/>
      <c r="C620" s="176"/>
      <c r="D620" s="193"/>
      <c r="E620" s="195"/>
      <c r="F620" s="194" t="s">
        <v>228</v>
      </c>
      <c r="G620" s="196"/>
      <c r="H620" s="180" t="s">
        <v>122</v>
      </c>
      <c r="I620" s="187">
        <f ca="1">IFERROR(__xludf.DUMMYFUNCTION("IMPORTRANGE(""https://docs.google.com/spreadsheets/d/11923uPwbBZFjjGgGUA6NLw09EwE0CqkOc4q9oUmW1yo/edit?usp=sharing"",""น่าน!I515"")"),0)</f>
        <v>0</v>
      </c>
      <c r="J620" s="202">
        <f ca="1">IFERROR(__xludf.DUMMYFUNCTION("IMPORTRANGE(""https://docs.google.com/spreadsheets/d/11923uPwbBZFjjGgGUA6NLw09EwE0CqkOc4q9oUmW1yo/edit?usp=sharing"",""น่าน!J515"")"),0)</f>
        <v>0</v>
      </c>
      <c r="K620" s="163">
        <f t="shared" ref="K620:K626" ca="1" si="128">IF(I$620&gt;0,J620*100/I$620,0)</f>
        <v>0</v>
      </c>
      <c r="L620" s="181"/>
      <c r="M620" s="181"/>
      <c r="N620" s="181"/>
      <c r="O620" s="181"/>
      <c r="P620" s="181"/>
    </row>
    <row r="621" spans="1:16" ht="21.75" customHeight="1" x14ac:dyDescent="0.3">
      <c r="A621" s="175"/>
      <c r="B621" s="176"/>
      <c r="C621" s="176"/>
      <c r="D621" s="193"/>
      <c r="E621" s="198"/>
      <c r="F621" s="195"/>
      <c r="G621" s="225" t="s">
        <v>225</v>
      </c>
      <c r="H621" s="180" t="s">
        <v>122</v>
      </c>
      <c r="I621" s="202">
        <f ca="1">IFERROR(__xludf.DUMMYFUNCTION("IMPORTRANGE(""https://docs.google.com/spreadsheets/d/11923uPwbBZFjjGgGUA6NLw09EwE0CqkOc4q9oUmW1yo/edit?usp=sharing"",""น่าน!I516"")"),0)</f>
        <v>0</v>
      </c>
      <c r="J621" s="202">
        <f ca="1">IFERROR(__xludf.DUMMYFUNCTION("IMPORTRANGE(""https://docs.google.com/spreadsheets/d/11923uPwbBZFjjGgGUA6NLw09EwE0CqkOc4q9oUmW1yo/edit?usp=sharing"",""น่าน!J516"")"),0)</f>
        <v>0</v>
      </c>
      <c r="K621" s="163">
        <f t="shared" ca="1" si="128"/>
        <v>0</v>
      </c>
      <c r="L621" s="181"/>
      <c r="M621" s="181"/>
      <c r="N621" s="181"/>
      <c r="O621" s="181"/>
      <c r="P621" s="181"/>
    </row>
    <row r="622" spans="1:16" ht="21.75" customHeight="1" x14ac:dyDescent="0.3">
      <c r="A622" s="175"/>
      <c r="B622" s="176"/>
      <c r="C622" s="176"/>
      <c r="D622" s="193"/>
      <c r="E622" s="198"/>
      <c r="F622" s="195"/>
      <c r="G622" s="489" t="s">
        <v>226</v>
      </c>
      <c r="H622" s="180" t="s">
        <v>122</v>
      </c>
      <c r="I622" s="203">
        <f ca="1">IFERROR(__xludf.DUMMYFUNCTION("IMPORTRANGE(""https://docs.google.com/spreadsheets/d/11923uPwbBZFjjGgGUA6NLw09EwE0CqkOc4q9oUmW1yo/edit?usp=sharing"",""น่าน!I517"")"),0)</f>
        <v>0</v>
      </c>
      <c r="J622" s="188">
        <f ca="1">IFERROR(__xludf.DUMMYFUNCTION("IMPORTRANGE(""https://docs.google.com/spreadsheets/d/11923uPwbBZFjjGgGUA6NLw09EwE0CqkOc4q9oUmW1yo/edit?usp=sharing"",""น่าน!J517"")"),0)</f>
        <v>0</v>
      </c>
      <c r="K622" s="163">
        <f t="shared" ca="1" si="128"/>
        <v>0</v>
      </c>
      <c r="L622" s="181"/>
      <c r="M622" s="181"/>
      <c r="N622" s="181"/>
      <c r="O622" s="181"/>
      <c r="P622" s="181"/>
    </row>
    <row r="623" spans="1:16" ht="21.75" customHeight="1" x14ac:dyDescent="0.3">
      <c r="A623" s="175"/>
      <c r="B623" s="176"/>
      <c r="C623" s="176"/>
      <c r="D623" s="193"/>
      <c r="E623" s="198"/>
      <c r="F623" s="195"/>
      <c r="G623" s="489" t="s">
        <v>227</v>
      </c>
      <c r="H623" s="180" t="s">
        <v>122</v>
      </c>
      <c r="I623" s="203">
        <f ca="1">IFERROR(__xludf.DUMMYFUNCTION("IMPORTRANGE(""https://docs.google.com/spreadsheets/d/11923uPwbBZFjjGgGUA6NLw09EwE0CqkOc4q9oUmW1yo/edit?usp=sharing"",""น่าน!I518"")"),0)</f>
        <v>0</v>
      </c>
      <c r="J623" s="188">
        <f ca="1">IFERROR(__xludf.DUMMYFUNCTION("IMPORTRANGE(""https://docs.google.com/spreadsheets/d/11923uPwbBZFjjGgGUA6NLw09EwE0CqkOc4q9oUmW1yo/edit?usp=sharing"",""น่าน!J518"")"),0)</f>
        <v>0</v>
      </c>
      <c r="K623" s="163">
        <f t="shared" ca="1" si="128"/>
        <v>0</v>
      </c>
      <c r="L623" s="181"/>
      <c r="M623" s="181"/>
      <c r="N623" s="181"/>
      <c r="O623" s="181"/>
      <c r="P623" s="181"/>
    </row>
    <row r="624" spans="1:16" ht="21.75" customHeight="1" x14ac:dyDescent="0.3">
      <c r="A624" s="175"/>
      <c r="B624" s="176"/>
      <c r="C624" s="176"/>
      <c r="D624" s="193"/>
      <c r="E624" s="198"/>
      <c r="F624" s="195"/>
      <c r="G624" s="225" t="s">
        <v>229</v>
      </c>
      <c r="H624" s="180" t="s">
        <v>122</v>
      </c>
      <c r="I624" s="187">
        <f ca="1">IFERROR(__xludf.DUMMYFUNCTION("IMPORTRANGE(""https://docs.google.com/spreadsheets/d/11923uPwbBZFjjGgGUA6NLw09EwE0CqkOc4q9oUmW1yo/edit?usp=sharing"",""น่าน!I519"")"),0)</f>
        <v>0</v>
      </c>
      <c r="J624" s="187">
        <f ca="1">IFERROR(__xludf.DUMMYFUNCTION("IMPORTRANGE(""https://docs.google.com/spreadsheets/d/11923uPwbBZFjjGgGUA6NLw09EwE0CqkOc4q9oUmW1yo/edit?usp=sharing"",""น่าน!J519"")"),0)</f>
        <v>0</v>
      </c>
      <c r="K624" s="163">
        <f t="shared" ca="1" si="128"/>
        <v>0</v>
      </c>
      <c r="L624" s="181"/>
      <c r="M624" s="181"/>
      <c r="N624" s="181"/>
      <c r="O624" s="181"/>
      <c r="P624" s="181"/>
    </row>
    <row r="625" spans="1:16" ht="21.75" customHeight="1" x14ac:dyDescent="0.3">
      <c r="A625" s="175"/>
      <c r="B625" s="176"/>
      <c r="C625" s="176"/>
      <c r="D625" s="193"/>
      <c r="E625" s="198"/>
      <c r="F625" s="195"/>
      <c r="G625" s="489" t="s">
        <v>230</v>
      </c>
      <c r="H625" s="180" t="s">
        <v>122</v>
      </c>
      <c r="I625" s="203">
        <f ca="1">IFERROR(__xludf.DUMMYFUNCTION("IMPORTRANGE(""https://docs.google.com/spreadsheets/d/11923uPwbBZFjjGgGUA6NLw09EwE0CqkOc4q9oUmW1yo/edit?usp=sharing"",""น่าน!I520"")"),0)</f>
        <v>0</v>
      </c>
      <c r="J625" s="188">
        <f ca="1">IFERROR(__xludf.DUMMYFUNCTION("IMPORTRANGE(""https://docs.google.com/spreadsheets/d/11923uPwbBZFjjGgGUA6NLw09EwE0CqkOc4q9oUmW1yo/edit?usp=sharing"",""น่าน!J520"")"),0)</f>
        <v>0</v>
      </c>
      <c r="K625" s="163">
        <f t="shared" ca="1" si="128"/>
        <v>0</v>
      </c>
      <c r="L625" s="181"/>
      <c r="M625" s="181"/>
      <c r="N625" s="181"/>
      <c r="O625" s="181"/>
      <c r="P625" s="181"/>
    </row>
    <row r="626" spans="1:16" ht="21.75" customHeight="1" x14ac:dyDescent="0.3">
      <c r="A626" s="175"/>
      <c r="B626" s="176"/>
      <c r="C626" s="176"/>
      <c r="D626" s="193"/>
      <c r="E626" s="198"/>
      <c r="F626" s="195"/>
      <c r="G626" s="489" t="s">
        <v>231</v>
      </c>
      <c r="H626" s="180" t="s">
        <v>122</v>
      </c>
      <c r="I626" s="203">
        <f ca="1">IFERROR(__xludf.DUMMYFUNCTION("IMPORTRANGE(""https://docs.google.com/spreadsheets/d/11923uPwbBZFjjGgGUA6NLw09EwE0CqkOc4q9oUmW1yo/edit?usp=sharing"",""น่าน!I521"")"),0)</f>
        <v>0</v>
      </c>
      <c r="J626" s="188">
        <f ca="1">IFERROR(__xludf.DUMMYFUNCTION("IMPORTRANGE(""https://docs.google.com/spreadsheets/d/11923uPwbBZFjjGgGUA6NLw09EwE0CqkOc4q9oUmW1yo/edit?usp=sharing"",""น่าน!J521"")"),0)</f>
        <v>0</v>
      </c>
      <c r="K626" s="163">
        <f t="shared" ca="1" si="128"/>
        <v>0</v>
      </c>
      <c r="L626" s="181"/>
      <c r="M626" s="181"/>
      <c r="N626" s="181"/>
      <c r="O626" s="181"/>
      <c r="P626" s="181"/>
    </row>
    <row r="627" spans="1:16" ht="21.75" customHeight="1" x14ac:dyDescent="0.3">
      <c r="A627" s="490" t="s">
        <v>232</v>
      </c>
      <c r="B627" s="491"/>
      <c r="C627" s="491"/>
      <c r="D627" s="491"/>
      <c r="E627" s="491"/>
      <c r="F627" s="491"/>
      <c r="G627" s="492"/>
      <c r="H627" s="493"/>
      <c r="I627" s="494"/>
      <c r="J627" s="494"/>
      <c r="K627" s="495"/>
      <c r="L627" s="495"/>
      <c r="M627" s="495"/>
      <c r="N627" s="495"/>
      <c r="O627" s="496"/>
      <c r="P627" s="496"/>
    </row>
    <row r="628" spans="1:16" ht="21.75" customHeight="1" x14ac:dyDescent="0.3">
      <c r="A628" s="476"/>
      <c r="B628" s="497" t="s">
        <v>233</v>
      </c>
      <c r="C628" s="157"/>
      <c r="D628" s="166"/>
      <c r="E628" s="159"/>
      <c r="F628" s="159"/>
      <c r="G628" s="160"/>
      <c r="H628" s="498" t="s">
        <v>12</v>
      </c>
      <c r="I628" s="339">
        <f ca="1">IFERROR(__xludf.DUMMYFUNCTION("IMPORTRANGE(""https://docs.google.com/spreadsheets/d/11923uPwbBZFjjGgGUA6NLw09EwE0CqkOc4q9oUmW1yo/edit?usp=sharing"",""น่าน!I523"")"),5152563.63)</f>
        <v>5152563.63</v>
      </c>
      <c r="J628" s="339">
        <f ca="1">IFERROR(__xludf.DUMMYFUNCTION("IMPORTRANGE(""https://docs.google.com/spreadsheets/d/11923uPwbBZFjjGgGUA6NLw09EwE0CqkOc4q9oUmW1yo/edit?usp=sharing"",""น่าน!J523"")"),1140816.91)</f>
        <v>1140816.9099999999</v>
      </c>
      <c r="K628" s="340">
        <f t="shared" ref="K628:K635" ca="1" si="129">IF(I628&gt;0,J628*100/I628,0)</f>
        <v>22.140763160260086</v>
      </c>
      <c r="L628" s="340"/>
      <c r="M628" s="340"/>
      <c r="N628" s="340"/>
      <c r="O628" s="168"/>
      <c r="P628" s="168"/>
    </row>
    <row r="629" spans="1:16" ht="21.75" customHeight="1" x14ac:dyDescent="0.3">
      <c r="A629" s="476"/>
      <c r="B629" s="157"/>
      <c r="C629" s="157"/>
      <c r="D629" s="166"/>
      <c r="E629" s="159"/>
      <c r="F629" s="159"/>
      <c r="G629" s="160"/>
      <c r="H629" s="498" t="s">
        <v>37</v>
      </c>
      <c r="I629" s="339">
        <f ca="1">IFERROR(__xludf.DUMMYFUNCTION("IMPORTRANGE(""https://docs.google.com/spreadsheets/d/11923uPwbBZFjjGgGUA6NLw09EwE0CqkOc4q9oUmW1yo/edit?usp=sharing"",""น่าน!I524"")"),327)</f>
        <v>327</v>
      </c>
      <c r="J629" s="339">
        <f ca="1">IFERROR(__xludf.DUMMYFUNCTION("IMPORTRANGE(""https://docs.google.com/spreadsheets/d/11923uPwbBZFjjGgGUA6NLw09EwE0CqkOc4q9oUmW1yo/edit?usp=sharing"",""น่าน!J524"")"),82)</f>
        <v>82</v>
      </c>
      <c r="K629" s="340">
        <f t="shared" ca="1" si="129"/>
        <v>25.076452599388379</v>
      </c>
      <c r="L629" s="340"/>
      <c r="M629" s="340"/>
      <c r="N629" s="340"/>
      <c r="O629" s="168"/>
      <c r="P629" s="168"/>
    </row>
    <row r="630" spans="1:16" ht="21.75" customHeight="1" x14ac:dyDescent="0.3">
      <c r="A630" s="476"/>
      <c r="B630" s="497" t="s">
        <v>234</v>
      </c>
      <c r="C630" s="157"/>
      <c r="D630" s="166"/>
      <c r="E630" s="159"/>
      <c r="F630" s="159"/>
      <c r="G630" s="160"/>
      <c r="H630" s="498" t="s">
        <v>12</v>
      </c>
      <c r="I630" s="339">
        <f ca="1">IFERROR(__xludf.DUMMYFUNCTION("IMPORTRANGE(""https://docs.google.com/spreadsheets/d/11923uPwbBZFjjGgGUA6NLw09EwE0CqkOc4q9oUmW1yo/edit?usp=sharing"",""น่าน!I525"")"),1068977.23)</f>
        <v>1068977.23</v>
      </c>
      <c r="J630" s="339">
        <f ca="1">IFERROR(__xludf.DUMMYFUNCTION("IMPORTRANGE(""https://docs.google.com/spreadsheets/d/11923uPwbBZFjjGgGUA6NLw09EwE0CqkOc4q9oUmW1yo/edit?usp=sharing"",""น่าน!J525"")"),281152.27)</f>
        <v>281152.27</v>
      </c>
      <c r="K630" s="340">
        <f t="shared" ca="1" si="129"/>
        <v>26.301053203911557</v>
      </c>
      <c r="L630" s="340"/>
      <c r="M630" s="340"/>
      <c r="N630" s="340"/>
      <c r="O630" s="168"/>
      <c r="P630" s="168"/>
    </row>
    <row r="631" spans="1:16" ht="21.75" customHeight="1" x14ac:dyDescent="0.3">
      <c r="A631" s="476"/>
      <c r="B631" s="157"/>
      <c r="C631" s="157"/>
      <c r="D631" s="166"/>
      <c r="E631" s="159"/>
      <c r="F631" s="159"/>
      <c r="G631" s="160"/>
      <c r="H631" s="498" t="s">
        <v>37</v>
      </c>
      <c r="I631" s="339">
        <f ca="1">IFERROR(__xludf.DUMMYFUNCTION("IMPORTRANGE(""https://docs.google.com/spreadsheets/d/11923uPwbBZFjjGgGUA6NLw09EwE0CqkOc4q9oUmW1yo/edit?usp=sharing"",""น่าน!I526"")"),68)</f>
        <v>68</v>
      </c>
      <c r="J631" s="339">
        <f ca="1">IFERROR(__xludf.DUMMYFUNCTION("IMPORTRANGE(""https://docs.google.com/spreadsheets/d/11923uPwbBZFjjGgGUA6NLw09EwE0CqkOc4q9oUmW1yo/edit?usp=sharing"",""น่าน!J526"")"),55)</f>
        <v>55</v>
      </c>
      <c r="K631" s="340">
        <f t="shared" ca="1" si="129"/>
        <v>80.882352941176464</v>
      </c>
      <c r="L631" s="340"/>
      <c r="M631" s="340"/>
      <c r="N631" s="340"/>
      <c r="O631" s="168"/>
      <c r="P631" s="168"/>
    </row>
    <row r="632" spans="1:16" ht="21.75" customHeight="1" x14ac:dyDescent="0.3">
      <c r="A632" s="476"/>
      <c r="B632" s="497" t="s">
        <v>235</v>
      </c>
      <c r="C632" s="157"/>
      <c r="D632" s="166"/>
      <c r="E632" s="159"/>
      <c r="F632" s="159"/>
      <c r="G632" s="160"/>
      <c r="H632" s="498" t="s">
        <v>12</v>
      </c>
      <c r="I632" s="339">
        <f ca="1">IFERROR(__xludf.DUMMYFUNCTION("IMPORTRANGE(""https://docs.google.com/spreadsheets/d/11923uPwbBZFjjGgGUA6NLw09EwE0CqkOc4q9oUmW1yo/edit?usp=sharing"",""น่าน!I527"")"),0)</f>
        <v>0</v>
      </c>
      <c r="J632" s="339">
        <f ca="1">IFERROR(__xludf.DUMMYFUNCTION("IMPORTRANGE(""https://docs.google.com/spreadsheets/d/11923uPwbBZFjjGgGUA6NLw09EwE0CqkOc4q9oUmW1yo/edit?usp=sharing"",""น่าน!J527"")"),0)</f>
        <v>0</v>
      </c>
      <c r="K632" s="340">
        <f t="shared" ca="1" si="129"/>
        <v>0</v>
      </c>
      <c r="L632" s="340"/>
      <c r="M632" s="340"/>
      <c r="N632" s="340"/>
      <c r="O632" s="168"/>
      <c r="P632" s="168"/>
    </row>
    <row r="633" spans="1:16" ht="21.75" customHeight="1" x14ac:dyDescent="0.3">
      <c r="A633" s="476"/>
      <c r="B633" s="497"/>
      <c r="C633" s="157"/>
      <c r="D633" s="166"/>
      <c r="E633" s="159"/>
      <c r="F633" s="159"/>
      <c r="G633" s="160"/>
      <c r="H633" s="498" t="s">
        <v>37</v>
      </c>
      <c r="I633" s="339">
        <f ca="1">IFERROR(__xludf.DUMMYFUNCTION("IMPORTRANGE(""https://docs.google.com/spreadsheets/d/11923uPwbBZFjjGgGUA6NLw09EwE0CqkOc4q9oUmW1yo/edit?usp=sharing"",""น่าน!I528"")"),0)</f>
        <v>0</v>
      </c>
      <c r="J633" s="339">
        <f ca="1">IFERROR(__xludf.DUMMYFUNCTION("IMPORTRANGE(""https://docs.google.com/spreadsheets/d/11923uPwbBZFjjGgGUA6NLw09EwE0CqkOc4q9oUmW1yo/edit?usp=sharing"",""น่าน!J528"")"),0)</f>
        <v>0</v>
      </c>
      <c r="K633" s="340">
        <f t="shared" ca="1" si="129"/>
        <v>0</v>
      </c>
      <c r="L633" s="340"/>
      <c r="M633" s="340"/>
      <c r="N633" s="340"/>
      <c r="O633" s="168"/>
      <c r="P633" s="168"/>
    </row>
    <row r="634" spans="1:16" ht="21.75" customHeight="1" x14ac:dyDescent="0.3">
      <c r="A634" s="476"/>
      <c r="B634" s="497" t="s">
        <v>236</v>
      </c>
      <c r="C634" s="157"/>
      <c r="D634" s="166"/>
      <c r="E634" s="159"/>
      <c r="F634" s="159"/>
      <c r="G634" s="160"/>
      <c r="H634" s="498" t="s">
        <v>12</v>
      </c>
      <c r="I634" s="339">
        <f ca="1">IFERROR(__xludf.DUMMYFUNCTION("IMPORTRANGE(""https://docs.google.com/spreadsheets/d/11923uPwbBZFjjGgGUA6NLw09EwE0CqkOc4q9oUmW1yo/edit?usp=sharing"",""น่าน!I529"")"),6000000)</f>
        <v>6000000</v>
      </c>
      <c r="J634" s="339">
        <f ca="1">IFERROR(__xludf.DUMMYFUNCTION("IMPORTRANGE(""https://docs.google.com/spreadsheets/d/11923uPwbBZFjjGgGUA6NLw09EwE0CqkOc4q9oUmW1yo/edit?usp=sharing"",""น่าน!J529"")"),800000)</f>
        <v>800000</v>
      </c>
      <c r="K634" s="340">
        <f t="shared" ca="1" si="129"/>
        <v>13.333333333333334</v>
      </c>
      <c r="L634" s="340"/>
      <c r="M634" s="340"/>
      <c r="N634" s="340"/>
      <c r="O634" s="168"/>
      <c r="P634" s="168"/>
    </row>
    <row r="635" spans="1:16" ht="21.75" customHeight="1" x14ac:dyDescent="0.3">
      <c r="A635" s="478"/>
      <c r="B635" s="480"/>
      <c r="C635" s="480"/>
      <c r="D635" s="479"/>
      <c r="E635" s="499"/>
      <c r="F635" s="499"/>
      <c r="G635" s="500"/>
      <c r="H635" s="501" t="s">
        <v>37</v>
      </c>
      <c r="I635" s="502">
        <f ca="1">IFERROR(__xludf.DUMMYFUNCTION("IMPORTRANGE(""https://docs.google.com/spreadsheets/d/11923uPwbBZFjjGgGUA6NLw09EwE0CqkOc4q9oUmW1yo/edit?usp=sharing"",""น่าน!I530"")"),223)</f>
        <v>223</v>
      </c>
      <c r="J635" s="502">
        <f ca="1">IFERROR(__xludf.DUMMYFUNCTION("IMPORTRANGE(""https://docs.google.com/spreadsheets/d/11923uPwbBZFjjGgGUA6NLw09EwE0CqkOc4q9oUmW1yo/edit?usp=sharing"",""น่าน!J530"")"),16)</f>
        <v>16</v>
      </c>
      <c r="K635" s="484">
        <f t="shared" ca="1" si="129"/>
        <v>7.1748878923766819</v>
      </c>
      <c r="L635" s="484"/>
      <c r="M635" s="484"/>
      <c r="N635" s="484"/>
      <c r="O635" s="503"/>
      <c r="P635" s="503"/>
    </row>
    <row r="636" spans="1:16" ht="21.75" customHeight="1" x14ac:dyDescent="0.3">
      <c r="A636" s="504"/>
      <c r="B636" s="504"/>
      <c r="C636" s="504"/>
      <c r="D636" s="504"/>
      <c r="E636" s="505" t="s">
        <v>237</v>
      </c>
      <c r="F636" s="505"/>
      <c r="G636" s="505"/>
      <c r="H636" s="506"/>
      <c r="I636" s="506"/>
      <c r="J636" s="506"/>
      <c r="K636" s="507"/>
      <c r="L636" s="508"/>
      <c r="M636" s="508"/>
      <c r="N636" s="508"/>
      <c r="O636" s="509"/>
      <c r="P636" s="509"/>
    </row>
    <row r="637" spans="1:16" ht="21.75" customHeight="1" x14ac:dyDescent="0.3">
      <c r="A637" s="504"/>
      <c r="B637" s="504"/>
      <c r="C637" s="504"/>
      <c r="D637" s="504"/>
      <c r="E637" s="506"/>
      <c r="F637" s="506"/>
      <c r="G637" s="506"/>
      <c r="H637" s="506"/>
      <c r="I637" s="506"/>
      <c r="J637" s="506"/>
      <c r="K637" s="507"/>
      <c r="L637" s="508"/>
      <c r="M637" s="508"/>
      <c r="N637" s="508"/>
      <c r="O637" s="509"/>
      <c r="P637" s="509"/>
    </row>
    <row r="638" spans="1:16" ht="21.75" customHeight="1" x14ac:dyDescent="0.3">
      <c r="A638" s="504"/>
      <c r="B638" s="504"/>
      <c r="C638" s="504"/>
      <c r="D638" s="504"/>
      <c r="E638" s="506"/>
      <c r="F638" s="506"/>
      <c r="G638" s="506"/>
      <c r="H638" s="506"/>
      <c r="I638" s="506"/>
      <c r="J638" s="506"/>
      <c r="K638" s="507"/>
      <c r="L638" s="508"/>
      <c r="M638" s="508"/>
      <c r="N638" s="508"/>
      <c r="O638" s="509"/>
      <c r="P638" s="509"/>
    </row>
    <row r="639" spans="1:16" ht="21.75" customHeight="1" x14ac:dyDescent="0.3">
      <c r="A639" s="504"/>
      <c r="B639" s="504"/>
      <c r="C639" s="504"/>
      <c r="D639" s="504"/>
      <c r="E639" s="506"/>
      <c r="F639" s="506"/>
      <c r="G639" s="506"/>
      <c r="H639" s="506"/>
      <c r="I639" s="506"/>
      <c r="J639" s="506"/>
      <c r="K639" s="507"/>
      <c r="L639" s="508"/>
      <c r="M639" s="508"/>
      <c r="N639" s="508"/>
      <c r="O639" s="509"/>
      <c r="P639" s="509"/>
    </row>
    <row r="640" spans="1:16" ht="21.75" customHeight="1" x14ac:dyDescent="0.3">
      <c r="A640" s="504"/>
      <c r="B640" s="504"/>
      <c r="C640" s="504"/>
      <c r="D640" s="504"/>
      <c r="E640" s="506"/>
      <c r="F640" s="506"/>
      <c r="G640" s="506"/>
      <c r="H640" s="506"/>
      <c r="I640" s="506"/>
      <c r="J640" s="506"/>
      <c r="K640" s="507"/>
      <c r="L640" s="508"/>
      <c r="M640" s="508"/>
      <c r="N640" s="508"/>
      <c r="O640" s="509"/>
      <c r="P640" s="509"/>
    </row>
    <row r="641" spans="1:16" ht="21.75" customHeight="1" x14ac:dyDescent="0.3">
      <c r="A641" s="504"/>
      <c r="B641" s="504"/>
      <c r="C641" s="504"/>
      <c r="D641" s="504"/>
      <c r="E641" s="506"/>
      <c r="F641" s="506"/>
      <c r="G641" s="506"/>
      <c r="H641" s="506"/>
      <c r="I641" s="506"/>
      <c r="J641" s="506"/>
      <c r="K641" s="507"/>
      <c r="L641" s="508"/>
      <c r="M641" s="508"/>
      <c r="N641" s="508"/>
      <c r="O641" s="509"/>
      <c r="P641" s="509"/>
    </row>
    <row r="642" spans="1:16" ht="21.75" customHeight="1" x14ac:dyDescent="0.3">
      <c r="A642" s="504"/>
      <c r="B642" s="504"/>
      <c r="C642" s="504"/>
      <c r="D642" s="504"/>
      <c r="E642" s="506"/>
      <c r="F642" s="506"/>
      <c r="G642" s="506"/>
      <c r="H642" s="506"/>
      <c r="I642" s="506"/>
      <c r="J642" s="506"/>
      <c r="K642" s="507"/>
      <c r="L642" s="508"/>
      <c r="M642" s="508"/>
      <c r="N642" s="508"/>
      <c r="O642" s="509"/>
      <c r="P642" s="509"/>
    </row>
    <row r="643" spans="1:16" ht="21.75" customHeight="1" x14ac:dyDescent="0.3">
      <c r="A643" s="504"/>
      <c r="B643" s="504"/>
      <c r="C643" s="504"/>
      <c r="D643" s="504"/>
      <c r="E643" s="506"/>
      <c r="F643" s="506"/>
      <c r="G643" s="506"/>
      <c r="H643" s="506"/>
      <c r="I643" s="506"/>
      <c r="J643" s="506"/>
      <c r="K643" s="507"/>
      <c r="L643" s="508"/>
      <c r="M643" s="508"/>
      <c r="N643" s="508"/>
      <c r="O643" s="509"/>
      <c r="P643" s="509"/>
    </row>
    <row r="644" spans="1:16" ht="21.75" customHeight="1" x14ac:dyDescent="0.3">
      <c r="A644" s="504"/>
      <c r="B644" s="504"/>
      <c r="C644" s="504"/>
      <c r="D644" s="504"/>
      <c r="E644" s="506"/>
      <c r="F644" s="506"/>
      <c r="G644" s="506"/>
      <c r="H644" s="506"/>
      <c r="I644" s="506"/>
      <c r="J644" s="506"/>
      <c r="K644" s="507"/>
      <c r="L644" s="508"/>
      <c r="M644" s="508"/>
      <c r="N644" s="508"/>
      <c r="O644" s="509"/>
      <c r="P644" s="509"/>
    </row>
    <row r="645" spans="1:16" ht="21.75" customHeight="1" x14ac:dyDescent="0.3">
      <c r="A645" s="504"/>
      <c r="B645" s="504"/>
      <c r="C645" s="504"/>
      <c r="D645" s="504"/>
      <c r="E645" s="506"/>
      <c r="F645" s="506"/>
      <c r="G645" s="506"/>
      <c r="H645" s="506"/>
      <c r="I645" s="506"/>
      <c r="J645" s="506"/>
      <c r="K645" s="507"/>
      <c r="L645" s="508"/>
      <c r="M645" s="508"/>
      <c r="N645" s="508"/>
      <c r="O645" s="509"/>
      <c r="P645" s="509"/>
    </row>
    <row r="646" spans="1:16" ht="21.75" customHeight="1" x14ac:dyDescent="0.3">
      <c r="A646" s="504"/>
      <c r="B646" s="504"/>
      <c r="C646" s="504"/>
      <c r="D646" s="504"/>
      <c r="E646" s="506"/>
      <c r="F646" s="506"/>
      <c r="G646" s="506"/>
      <c r="H646" s="506"/>
      <c r="I646" s="506"/>
      <c r="J646" s="506"/>
      <c r="K646" s="507"/>
      <c r="L646" s="508"/>
      <c r="M646" s="508"/>
      <c r="N646" s="508"/>
      <c r="O646" s="509"/>
      <c r="P646" s="509"/>
    </row>
    <row r="647" spans="1:16" ht="21.75" customHeight="1" x14ac:dyDescent="0.3">
      <c r="A647" s="504"/>
      <c r="B647" s="504"/>
      <c r="C647" s="504"/>
      <c r="D647" s="504"/>
      <c r="E647" s="506"/>
      <c r="F647" s="506"/>
      <c r="G647" s="506"/>
      <c r="H647" s="506"/>
      <c r="I647" s="506"/>
      <c r="J647" s="506"/>
      <c r="K647" s="507"/>
      <c r="L647" s="508"/>
      <c r="M647" s="508"/>
      <c r="N647" s="508"/>
      <c r="O647" s="509"/>
      <c r="P647" s="509"/>
    </row>
    <row r="648" spans="1:16" ht="21.75" customHeight="1" x14ac:dyDescent="0.3">
      <c r="A648" s="504"/>
      <c r="B648" s="504"/>
      <c r="C648" s="504"/>
      <c r="D648" s="504"/>
      <c r="E648" s="506"/>
      <c r="F648" s="506"/>
      <c r="G648" s="506"/>
      <c r="H648" s="506"/>
      <c r="I648" s="506"/>
      <c r="J648" s="506"/>
      <c r="K648" s="507"/>
      <c r="L648" s="508"/>
      <c r="M648" s="508"/>
      <c r="N648" s="508"/>
      <c r="O648" s="509"/>
      <c r="P648" s="509"/>
    </row>
    <row r="649" spans="1:16" ht="21.75" customHeight="1" x14ac:dyDescent="0.3">
      <c r="A649" s="504"/>
      <c r="B649" s="504"/>
      <c r="C649" s="504"/>
      <c r="D649" s="504"/>
      <c r="E649" s="506"/>
      <c r="F649" s="506"/>
      <c r="G649" s="506"/>
      <c r="H649" s="506"/>
      <c r="I649" s="506"/>
      <c r="J649" s="506"/>
      <c r="K649" s="507"/>
      <c r="L649" s="508"/>
      <c r="M649" s="508"/>
      <c r="N649" s="508"/>
      <c r="O649" s="509"/>
      <c r="P649" s="509"/>
    </row>
    <row r="650" spans="1:16" ht="21.75" customHeight="1" x14ac:dyDescent="0.3">
      <c r="A650" s="504"/>
      <c r="B650" s="504"/>
      <c r="C650" s="504"/>
      <c r="D650" s="504"/>
      <c r="E650" s="506"/>
      <c r="F650" s="506"/>
      <c r="G650" s="506"/>
      <c r="H650" s="506"/>
      <c r="I650" s="506"/>
      <c r="J650" s="506"/>
      <c r="K650" s="507"/>
      <c r="L650" s="508"/>
      <c r="M650" s="508"/>
      <c r="N650" s="508"/>
      <c r="O650" s="509"/>
      <c r="P650" s="509"/>
    </row>
    <row r="651" spans="1:16" ht="21.75" customHeight="1" x14ac:dyDescent="0.3">
      <c r="A651" s="504"/>
      <c r="B651" s="504"/>
      <c r="C651" s="504"/>
      <c r="D651" s="504"/>
      <c r="E651" s="506"/>
      <c r="F651" s="506"/>
      <c r="G651" s="506"/>
      <c r="H651" s="506"/>
      <c r="I651" s="506"/>
      <c r="J651" s="506"/>
      <c r="K651" s="507"/>
      <c r="L651" s="508"/>
      <c r="M651" s="508"/>
      <c r="N651" s="508"/>
      <c r="O651" s="509"/>
      <c r="P651" s="509"/>
    </row>
    <row r="652" spans="1:16" ht="21.75" customHeight="1" x14ac:dyDescent="0.3">
      <c r="A652" s="504"/>
      <c r="B652" s="504"/>
      <c r="C652" s="504"/>
      <c r="D652" s="504"/>
      <c r="E652" s="506"/>
      <c r="F652" s="506"/>
      <c r="G652" s="506"/>
      <c r="H652" s="506"/>
      <c r="I652" s="506"/>
      <c r="J652" s="506"/>
      <c r="K652" s="507"/>
      <c r="L652" s="508"/>
      <c r="M652" s="508"/>
      <c r="N652" s="508"/>
      <c r="O652" s="509"/>
      <c r="P652" s="509"/>
    </row>
    <row r="653" spans="1:16" ht="21.75" customHeight="1" x14ac:dyDescent="0.3">
      <c r="A653" s="504"/>
      <c r="B653" s="504"/>
      <c r="C653" s="504"/>
      <c r="D653" s="504"/>
      <c r="E653" s="506"/>
      <c r="F653" s="506"/>
      <c r="G653" s="506"/>
      <c r="H653" s="506"/>
      <c r="I653" s="506"/>
      <c r="J653" s="506"/>
      <c r="K653" s="507"/>
      <c r="L653" s="508"/>
      <c r="M653" s="508"/>
      <c r="N653" s="508"/>
      <c r="O653" s="509"/>
      <c r="P653" s="509"/>
    </row>
    <row r="654" spans="1:16" ht="21.75" customHeight="1" x14ac:dyDescent="0.3">
      <c r="A654" s="504"/>
      <c r="B654" s="504"/>
      <c r="C654" s="504"/>
      <c r="D654" s="504"/>
      <c r="E654" s="506"/>
      <c r="F654" s="506"/>
      <c r="G654" s="506"/>
      <c r="H654" s="506"/>
      <c r="I654" s="506"/>
      <c r="J654" s="506"/>
      <c r="K654" s="507"/>
      <c r="L654" s="508"/>
      <c r="M654" s="508"/>
      <c r="N654" s="508"/>
      <c r="O654" s="509"/>
      <c r="P654" s="509"/>
    </row>
    <row r="655" spans="1:16" ht="21.75" customHeight="1" x14ac:dyDescent="0.3">
      <c r="A655" s="504"/>
      <c r="B655" s="504"/>
      <c r="C655" s="504"/>
      <c r="D655" s="504"/>
      <c r="E655" s="506"/>
      <c r="F655" s="506"/>
      <c r="G655" s="506"/>
      <c r="H655" s="506"/>
      <c r="I655" s="506"/>
      <c r="J655" s="506"/>
      <c r="K655" s="507"/>
      <c r="L655" s="508"/>
      <c r="M655" s="508"/>
      <c r="N655" s="508"/>
      <c r="O655" s="509"/>
      <c r="P655" s="509"/>
    </row>
    <row r="656" spans="1:16" ht="21.75" customHeight="1" x14ac:dyDescent="0.3">
      <c r="A656" s="504"/>
      <c r="B656" s="504"/>
      <c r="C656" s="504"/>
      <c r="D656" s="504"/>
      <c r="E656" s="506"/>
      <c r="F656" s="506"/>
      <c r="G656" s="506"/>
      <c r="H656" s="506"/>
      <c r="I656" s="506"/>
      <c r="J656" s="506"/>
      <c r="K656" s="507"/>
      <c r="L656" s="508"/>
      <c r="M656" s="508"/>
      <c r="N656" s="508"/>
      <c r="O656" s="509"/>
      <c r="P656" s="509"/>
    </row>
    <row r="657" spans="1:16" ht="21.75" customHeight="1" x14ac:dyDescent="0.3">
      <c r="A657" s="504"/>
      <c r="B657" s="504"/>
      <c r="C657" s="504"/>
      <c r="D657" s="504"/>
      <c r="E657" s="506"/>
      <c r="F657" s="506"/>
      <c r="G657" s="506"/>
      <c r="H657" s="506"/>
      <c r="I657" s="506"/>
      <c r="J657" s="506"/>
      <c r="K657" s="507"/>
      <c r="L657" s="508"/>
      <c r="M657" s="508"/>
      <c r="N657" s="508"/>
      <c r="O657" s="509"/>
      <c r="P657" s="509"/>
    </row>
    <row r="658" spans="1:16" ht="21.75" customHeight="1" x14ac:dyDescent="0.3">
      <c r="A658" s="504"/>
      <c r="B658" s="504"/>
      <c r="C658" s="504"/>
      <c r="D658" s="504"/>
      <c r="E658" s="506"/>
      <c r="F658" s="506"/>
      <c r="G658" s="506"/>
      <c r="H658" s="506"/>
      <c r="I658" s="506"/>
      <c r="J658" s="506"/>
      <c r="K658" s="507"/>
      <c r="L658" s="508"/>
      <c r="M658" s="508"/>
      <c r="N658" s="508"/>
      <c r="O658" s="509"/>
      <c r="P658" s="509"/>
    </row>
    <row r="659" spans="1:16" ht="21.75" customHeight="1" x14ac:dyDescent="0.3">
      <c r="A659" s="504"/>
      <c r="B659" s="504"/>
      <c r="C659" s="504"/>
      <c r="D659" s="504"/>
      <c r="E659" s="506"/>
      <c r="F659" s="506"/>
      <c r="G659" s="506"/>
      <c r="H659" s="506"/>
      <c r="I659" s="506"/>
      <c r="J659" s="506"/>
      <c r="K659" s="507"/>
      <c r="L659" s="508"/>
      <c r="M659" s="508"/>
      <c r="N659" s="508"/>
      <c r="O659" s="509"/>
      <c r="P659" s="509"/>
    </row>
    <row r="660" spans="1:16" ht="21.75" customHeight="1" x14ac:dyDescent="0.3">
      <c r="A660" s="504"/>
      <c r="B660" s="504"/>
      <c r="C660" s="504"/>
      <c r="D660" s="504"/>
      <c r="E660" s="506"/>
      <c r="F660" s="506"/>
      <c r="G660" s="506"/>
      <c r="H660" s="506"/>
      <c r="I660" s="506"/>
      <c r="J660" s="506"/>
      <c r="K660" s="507"/>
      <c r="L660" s="508"/>
      <c r="M660" s="508"/>
      <c r="N660" s="508"/>
      <c r="O660" s="509"/>
      <c r="P660" s="509"/>
    </row>
    <row r="661" spans="1:16" ht="21.75" customHeight="1" x14ac:dyDescent="0.3">
      <c r="A661" s="504"/>
      <c r="B661" s="504"/>
      <c r="C661" s="504"/>
      <c r="D661" s="504"/>
      <c r="E661" s="506"/>
      <c r="F661" s="506"/>
      <c r="G661" s="506"/>
      <c r="H661" s="506"/>
      <c r="I661" s="506"/>
      <c r="J661" s="506"/>
      <c r="K661" s="507"/>
      <c r="L661" s="508"/>
      <c r="M661" s="508"/>
      <c r="N661" s="508"/>
      <c r="O661" s="509"/>
      <c r="P661" s="509"/>
    </row>
    <row r="662" spans="1:16" ht="21.75" customHeight="1" x14ac:dyDescent="0.3">
      <c r="A662" s="504"/>
      <c r="B662" s="504"/>
      <c r="C662" s="504"/>
      <c r="D662" s="504"/>
      <c r="E662" s="506"/>
      <c r="F662" s="506"/>
      <c r="G662" s="506"/>
      <c r="H662" s="506"/>
      <c r="I662" s="506"/>
      <c r="J662" s="506"/>
      <c r="K662" s="507"/>
      <c r="L662" s="508"/>
      <c r="M662" s="508"/>
      <c r="N662" s="508"/>
      <c r="O662" s="509"/>
      <c r="P662" s="509"/>
    </row>
    <row r="663" spans="1:16" ht="21.75" customHeight="1" x14ac:dyDescent="0.3">
      <c r="A663" s="504"/>
      <c r="B663" s="504"/>
      <c r="C663" s="504"/>
      <c r="D663" s="504"/>
      <c r="E663" s="506"/>
      <c r="F663" s="506"/>
      <c r="G663" s="506"/>
      <c r="H663" s="506"/>
      <c r="I663" s="506"/>
      <c r="J663" s="506"/>
      <c r="K663" s="507"/>
      <c r="L663" s="508"/>
      <c r="M663" s="508"/>
      <c r="N663" s="508"/>
      <c r="O663" s="509"/>
      <c r="P663" s="509"/>
    </row>
    <row r="664" spans="1:16" ht="21.75" customHeight="1" x14ac:dyDescent="0.3">
      <c r="A664" s="504"/>
      <c r="B664" s="504"/>
      <c r="C664" s="504"/>
      <c r="D664" s="504"/>
      <c r="E664" s="506"/>
      <c r="F664" s="506"/>
      <c r="G664" s="506"/>
      <c r="H664" s="506"/>
      <c r="I664" s="506"/>
      <c r="J664" s="506"/>
      <c r="K664" s="507"/>
      <c r="L664" s="508"/>
      <c r="M664" s="508"/>
      <c r="N664" s="508"/>
      <c r="O664" s="509"/>
      <c r="P664" s="509"/>
    </row>
    <row r="665" spans="1:16" ht="21.75" customHeight="1" x14ac:dyDescent="0.3">
      <c r="A665" s="504"/>
      <c r="B665" s="504"/>
      <c r="C665" s="504"/>
      <c r="D665" s="504"/>
      <c r="E665" s="506"/>
      <c r="F665" s="506"/>
      <c r="G665" s="506"/>
      <c r="H665" s="506"/>
      <c r="I665" s="506"/>
      <c r="J665" s="506"/>
      <c r="K665" s="507"/>
      <c r="L665" s="508"/>
      <c r="M665" s="508"/>
      <c r="N665" s="508"/>
      <c r="O665" s="509"/>
      <c r="P665" s="509"/>
    </row>
    <row r="666" spans="1:16" ht="21.75" customHeight="1" x14ac:dyDescent="0.3">
      <c r="A666" s="504"/>
      <c r="B666" s="504"/>
      <c r="C666" s="504"/>
      <c r="D666" s="504"/>
      <c r="E666" s="506"/>
      <c r="F666" s="506"/>
      <c r="G666" s="506"/>
      <c r="H666" s="506"/>
      <c r="I666" s="506"/>
      <c r="J666" s="506"/>
      <c r="K666" s="507"/>
      <c r="L666" s="508"/>
      <c r="M666" s="508"/>
      <c r="N666" s="508"/>
      <c r="O666" s="509"/>
      <c r="P666" s="509"/>
    </row>
    <row r="667" spans="1:16" ht="21.75" customHeight="1" x14ac:dyDescent="0.3">
      <c r="A667" s="504"/>
      <c r="B667" s="504"/>
      <c r="C667" s="504"/>
      <c r="D667" s="504"/>
      <c r="E667" s="506"/>
      <c r="F667" s="506"/>
      <c r="G667" s="506"/>
      <c r="H667" s="506"/>
      <c r="I667" s="506"/>
      <c r="J667" s="506"/>
      <c r="K667" s="507"/>
      <c r="L667" s="508"/>
      <c r="M667" s="508"/>
      <c r="N667" s="508"/>
      <c r="O667" s="509"/>
      <c r="P667" s="509"/>
    </row>
    <row r="668" spans="1:16" ht="21.75" customHeight="1" x14ac:dyDescent="0.3">
      <c r="A668" s="504"/>
      <c r="B668" s="504"/>
      <c r="C668" s="504"/>
      <c r="D668" s="504"/>
      <c r="E668" s="506"/>
      <c r="F668" s="506"/>
      <c r="G668" s="506"/>
      <c r="H668" s="506"/>
      <c r="I668" s="506"/>
      <c r="J668" s="506"/>
      <c r="K668" s="507"/>
      <c r="L668" s="508"/>
      <c r="M668" s="508"/>
      <c r="N668" s="508"/>
      <c r="O668" s="509"/>
      <c r="P668" s="509"/>
    </row>
    <row r="669" spans="1:16" ht="21.75" customHeight="1" x14ac:dyDescent="0.3">
      <c r="A669" s="504"/>
      <c r="B669" s="504"/>
      <c r="C669" s="504"/>
      <c r="D669" s="504"/>
      <c r="E669" s="506"/>
      <c r="F669" s="506"/>
      <c r="G669" s="506"/>
      <c r="H669" s="506"/>
      <c r="I669" s="506"/>
      <c r="J669" s="506"/>
      <c r="K669" s="507"/>
      <c r="L669" s="508"/>
      <c r="M669" s="508"/>
      <c r="N669" s="508"/>
      <c r="O669" s="509"/>
      <c r="P669" s="509"/>
    </row>
    <row r="670" spans="1:16" ht="21.75" customHeight="1" x14ac:dyDescent="0.3">
      <c r="A670" s="504"/>
      <c r="B670" s="504"/>
      <c r="C670" s="504"/>
      <c r="D670" s="504"/>
      <c r="E670" s="506"/>
      <c r="F670" s="506"/>
      <c r="G670" s="506"/>
      <c r="H670" s="506"/>
      <c r="I670" s="506"/>
      <c r="J670" s="506"/>
      <c r="K670" s="507"/>
      <c r="L670" s="508"/>
      <c r="M670" s="508"/>
      <c r="N670" s="508"/>
      <c r="O670" s="509"/>
      <c r="P670" s="509"/>
    </row>
    <row r="671" spans="1:16" ht="21.75" customHeight="1" x14ac:dyDescent="0.3">
      <c r="A671" s="504"/>
      <c r="B671" s="504"/>
      <c r="C671" s="504"/>
      <c r="D671" s="504"/>
      <c r="E671" s="506"/>
      <c r="F671" s="506"/>
      <c r="G671" s="506"/>
      <c r="H671" s="506"/>
      <c r="I671" s="506"/>
      <c r="J671" s="506"/>
      <c r="K671" s="507"/>
      <c r="L671" s="508"/>
      <c r="M671" s="508"/>
      <c r="N671" s="508"/>
      <c r="O671" s="509"/>
      <c r="P671" s="509"/>
    </row>
    <row r="672" spans="1:16" ht="21.75" customHeight="1" x14ac:dyDescent="0.3">
      <c r="A672" s="504"/>
      <c r="B672" s="504"/>
      <c r="C672" s="504"/>
      <c r="D672" s="504"/>
      <c r="E672" s="506"/>
      <c r="F672" s="506"/>
      <c r="G672" s="506"/>
      <c r="H672" s="506"/>
      <c r="I672" s="506"/>
      <c r="J672" s="506"/>
      <c r="K672" s="507"/>
      <c r="L672" s="508"/>
      <c r="M672" s="508"/>
      <c r="N672" s="508"/>
      <c r="O672" s="509"/>
      <c r="P672" s="509"/>
    </row>
    <row r="673" spans="1:16" ht="21.75" customHeight="1" x14ac:dyDescent="0.3">
      <c r="A673" s="504"/>
      <c r="B673" s="504"/>
      <c r="C673" s="504"/>
      <c r="D673" s="504"/>
      <c r="E673" s="506"/>
      <c r="F673" s="506"/>
      <c r="G673" s="506"/>
      <c r="H673" s="506"/>
      <c r="I673" s="506"/>
      <c r="J673" s="506"/>
      <c r="K673" s="507"/>
      <c r="L673" s="508"/>
      <c r="M673" s="508"/>
      <c r="N673" s="508"/>
      <c r="O673" s="509"/>
      <c r="P673" s="509"/>
    </row>
    <row r="674" spans="1:16" ht="21.75" customHeight="1" x14ac:dyDescent="0.3">
      <c r="A674" s="504"/>
      <c r="B674" s="504"/>
      <c r="C674" s="504"/>
      <c r="D674" s="504"/>
      <c r="E674" s="506"/>
      <c r="F674" s="506"/>
      <c r="G674" s="506"/>
      <c r="H674" s="506"/>
      <c r="I674" s="506"/>
      <c r="J674" s="506"/>
      <c r="K674" s="507"/>
      <c r="L674" s="508"/>
      <c r="M674" s="508"/>
      <c r="N674" s="508"/>
      <c r="O674" s="509"/>
      <c r="P674" s="509"/>
    </row>
    <row r="675" spans="1:16" ht="21.75" customHeight="1" x14ac:dyDescent="0.3">
      <c r="A675" s="504"/>
      <c r="B675" s="504"/>
      <c r="C675" s="504"/>
      <c r="D675" s="504"/>
      <c r="E675" s="506"/>
      <c r="F675" s="506"/>
      <c r="G675" s="506"/>
      <c r="H675" s="506"/>
      <c r="I675" s="506"/>
      <c r="J675" s="506"/>
      <c r="K675" s="507"/>
      <c r="L675" s="508"/>
      <c r="M675" s="508"/>
      <c r="N675" s="508"/>
      <c r="O675" s="509"/>
      <c r="P675" s="509"/>
    </row>
    <row r="676" spans="1:16" ht="21.75" customHeight="1" x14ac:dyDescent="0.3">
      <c r="A676" s="504"/>
      <c r="B676" s="504"/>
      <c r="C676" s="504"/>
      <c r="D676" s="504"/>
      <c r="E676" s="506"/>
      <c r="F676" s="506"/>
      <c r="G676" s="506"/>
      <c r="H676" s="506"/>
      <c r="I676" s="506"/>
      <c r="J676" s="506"/>
      <c r="K676" s="507"/>
      <c r="L676" s="508"/>
      <c r="M676" s="508"/>
      <c r="N676" s="508"/>
      <c r="O676" s="509"/>
      <c r="P676" s="509"/>
    </row>
    <row r="677" spans="1:16" ht="21.75" customHeight="1" x14ac:dyDescent="0.3">
      <c r="A677" s="504"/>
      <c r="B677" s="504"/>
      <c r="C677" s="504"/>
      <c r="D677" s="504"/>
      <c r="E677" s="506"/>
      <c r="F677" s="506"/>
      <c r="G677" s="506"/>
      <c r="H677" s="506"/>
      <c r="I677" s="506"/>
      <c r="J677" s="506"/>
      <c r="K677" s="507"/>
      <c r="L677" s="508"/>
      <c r="M677" s="508"/>
      <c r="N677" s="508"/>
      <c r="O677" s="509"/>
      <c r="P677" s="509"/>
    </row>
    <row r="678" spans="1:16" ht="21.75" customHeight="1" x14ac:dyDescent="0.3">
      <c r="A678" s="504"/>
      <c r="B678" s="504"/>
      <c r="C678" s="504"/>
      <c r="D678" s="504"/>
      <c r="E678" s="506"/>
      <c r="F678" s="506"/>
      <c r="G678" s="506"/>
      <c r="H678" s="506"/>
      <c r="I678" s="506"/>
      <c r="J678" s="506"/>
      <c r="K678" s="507"/>
      <c r="L678" s="508"/>
      <c r="M678" s="508"/>
      <c r="N678" s="508"/>
      <c r="O678" s="509"/>
      <c r="P678" s="509"/>
    </row>
    <row r="679" spans="1:16" ht="21.75" customHeight="1" x14ac:dyDescent="0.3">
      <c r="A679" s="504"/>
      <c r="B679" s="504"/>
      <c r="C679" s="504"/>
      <c r="D679" s="504"/>
      <c r="E679" s="506"/>
      <c r="F679" s="506"/>
      <c r="G679" s="506"/>
      <c r="H679" s="506"/>
      <c r="I679" s="506"/>
      <c r="J679" s="506"/>
      <c r="K679" s="507"/>
      <c r="L679" s="508"/>
      <c r="M679" s="508"/>
      <c r="N679" s="508"/>
      <c r="O679" s="509"/>
      <c r="P679" s="509"/>
    </row>
    <row r="680" spans="1:16" ht="21.75" customHeight="1" x14ac:dyDescent="0.3">
      <c r="A680" s="504"/>
      <c r="B680" s="504"/>
      <c r="C680" s="504"/>
      <c r="D680" s="504"/>
      <c r="E680" s="506"/>
      <c r="F680" s="506"/>
      <c r="G680" s="506"/>
      <c r="H680" s="506"/>
      <c r="I680" s="506"/>
      <c r="J680" s="506"/>
      <c r="K680" s="507"/>
      <c r="L680" s="508"/>
      <c r="M680" s="508"/>
      <c r="N680" s="508"/>
      <c r="O680" s="509"/>
      <c r="P680" s="509"/>
    </row>
    <row r="681" spans="1:16" ht="21.75" customHeight="1" x14ac:dyDescent="0.3">
      <c r="A681" s="504"/>
      <c r="B681" s="504"/>
      <c r="C681" s="504"/>
      <c r="D681" s="504"/>
      <c r="E681" s="506"/>
      <c r="F681" s="506"/>
      <c r="G681" s="506"/>
      <c r="H681" s="506"/>
      <c r="I681" s="506"/>
      <c r="J681" s="506"/>
      <c r="K681" s="507"/>
      <c r="L681" s="508"/>
      <c r="M681" s="508"/>
      <c r="N681" s="508"/>
      <c r="O681" s="509"/>
      <c r="P681" s="509"/>
    </row>
    <row r="682" spans="1:16" ht="21.75" customHeight="1" x14ac:dyDescent="0.3">
      <c r="A682" s="504"/>
      <c r="B682" s="504"/>
      <c r="C682" s="504"/>
      <c r="D682" s="504"/>
      <c r="E682" s="506"/>
      <c r="F682" s="506"/>
      <c r="G682" s="506"/>
      <c r="H682" s="506"/>
      <c r="I682" s="506"/>
      <c r="J682" s="506"/>
      <c r="K682" s="507"/>
      <c r="L682" s="508"/>
      <c r="M682" s="508"/>
      <c r="N682" s="508"/>
      <c r="O682" s="509"/>
      <c r="P682" s="509"/>
    </row>
    <row r="683" spans="1:16" ht="21.75" customHeight="1" x14ac:dyDescent="0.3">
      <c r="A683" s="504"/>
      <c r="B683" s="504"/>
      <c r="C683" s="504"/>
      <c r="D683" s="504"/>
      <c r="E683" s="506"/>
      <c r="F683" s="506"/>
      <c r="G683" s="506"/>
      <c r="H683" s="506"/>
      <c r="I683" s="506"/>
      <c r="J683" s="506"/>
      <c r="K683" s="507"/>
      <c r="L683" s="508"/>
      <c r="M683" s="508"/>
      <c r="N683" s="508"/>
      <c r="O683" s="509"/>
      <c r="P683" s="509"/>
    </row>
    <row r="684" spans="1:16" ht="21.75" customHeight="1" x14ac:dyDescent="0.3">
      <c r="A684" s="504"/>
      <c r="B684" s="504"/>
      <c r="C684" s="504"/>
      <c r="D684" s="504"/>
      <c r="E684" s="506"/>
      <c r="F684" s="506"/>
      <c r="G684" s="506"/>
      <c r="H684" s="506"/>
      <c r="I684" s="506"/>
      <c r="J684" s="506"/>
      <c r="K684" s="507"/>
      <c r="L684" s="508"/>
      <c r="M684" s="508"/>
      <c r="N684" s="508"/>
      <c r="O684" s="509"/>
      <c r="P684" s="509"/>
    </row>
    <row r="685" spans="1:16" ht="21.75" customHeight="1" x14ac:dyDescent="0.3">
      <c r="A685" s="504"/>
      <c r="B685" s="504"/>
      <c r="C685" s="504"/>
      <c r="D685" s="504"/>
      <c r="E685" s="506"/>
      <c r="F685" s="506"/>
      <c r="G685" s="506"/>
      <c r="H685" s="506"/>
      <c r="I685" s="506"/>
      <c r="J685" s="506"/>
      <c r="K685" s="507"/>
      <c r="L685" s="508"/>
      <c r="M685" s="508"/>
      <c r="N685" s="508"/>
      <c r="O685" s="509"/>
      <c r="P685" s="509"/>
    </row>
    <row r="686" spans="1:16" ht="21.75" customHeight="1" x14ac:dyDescent="0.3">
      <c r="A686" s="504"/>
      <c r="B686" s="504"/>
      <c r="C686" s="504"/>
      <c r="D686" s="504"/>
      <c r="E686" s="506"/>
      <c r="F686" s="506"/>
      <c r="G686" s="506"/>
      <c r="H686" s="506"/>
      <c r="I686" s="506"/>
      <c r="J686" s="506"/>
      <c r="K686" s="507"/>
      <c r="L686" s="508"/>
      <c r="M686" s="508"/>
      <c r="N686" s="508"/>
      <c r="O686" s="509"/>
      <c r="P686" s="509"/>
    </row>
    <row r="687" spans="1:16" ht="21.75" customHeight="1" x14ac:dyDescent="0.3">
      <c r="A687" s="504"/>
      <c r="B687" s="504"/>
      <c r="C687" s="504"/>
      <c r="D687" s="504"/>
      <c r="E687" s="506"/>
      <c r="F687" s="506"/>
      <c r="G687" s="506"/>
      <c r="H687" s="506"/>
      <c r="I687" s="506"/>
      <c r="J687" s="506"/>
      <c r="K687" s="507"/>
      <c r="L687" s="508"/>
      <c r="M687" s="508"/>
      <c r="N687" s="508"/>
      <c r="O687" s="509"/>
      <c r="P687" s="509"/>
    </row>
    <row r="688" spans="1:16" ht="21.75" customHeight="1" x14ac:dyDescent="0.3">
      <c r="A688" s="504"/>
      <c r="B688" s="504"/>
      <c r="C688" s="504"/>
      <c r="D688" s="504"/>
      <c r="E688" s="506"/>
      <c r="F688" s="506"/>
      <c r="G688" s="506"/>
      <c r="H688" s="506"/>
      <c r="I688" s="506"/>
      <c r="J688" s="506"/>
      <c r="K688" s="507"/>
      <c r="L688" s="508"/>
      <c r="M688" s="508"/>
      <c r="N688" s="508"/>
      <c r="O688" s="509"/>
      <c r="P688" s="509"/>
    </row>
    <row r="689" spans="1:16" ht="21.75" customHeight="1" x14ac:dyDescent="0.3">
      <c r="A689" s="504"/>
      <c r="B689" s="504"/>
      <c r="C689" s="504"/>
      <c r="D689" s="504"/>
      <c r="E689" s="506"/>
      <c r="F689" s="506"/>
      <c r="G689" s="506"/>
      <c r="H689" s="506"/>
      <c r="I689" s="506"/>
      <c r="J689" s="506"/>
      <c r="K689" s="507"/>
      <c r="L689" s="508"/>
      <c r="M689" s="508"/>
      <c r="N689" s="508"/>
      <c r="O689" s="509"/>
      <c r="P689" s="509"/>
    </row>
    <row r="690" spans="1:16" ht="21.75" customHeight="1" x14ac:dyDescent="0.3">
      <c r="A690" s="504"/>
      <c r="B690" s="504"/>
      <c r="C690" s="504"/>
      <c r="D690" s="504"/>
      <c r="E690" s="506"/>
      <c r="F690" s="506"/>
      <c r="G690" s="506"/>
      <c r="H690" s="506"/>
      <c r="I690" s="506"/>
      <c r="J690" s="506"/>
      <c r="K690" s="507"/>
      <c r="L690" s="508"/>
      <c r="M690" s="508"/>
      <c r="N690" s="508"/>
      <c r="O690" s="509"/>
      <c r="P690" s="509"/>
    </row>
    <row r="691" spans="1:16" ht="21.75" customHeight="1" x14ac:dyDescent="0.3">
      <c r="A691" s="504"/>
      <c r="B691" s="504"/>
      <c r="C691" s="504"/>
      <c r="D691" s="504"/>
      <c r="E691" s="506"/>
      <c r="F691" s="506"/>
      <c r="G691" s="506"/>
      <c r="H691" s="506"/>
      <c r="I691" s="506"/>
      <c r="J691" s="506"/>
      <c r="K691" s="507"/>
      <c r="L691" s="508"/>
      <c r="M691" s="508"/>
      <c r="N691" s="508"/>
      <c r="O691" s="509"/>
      <c r="P691" s="509"/>
    </row>
    <row r="692" spans="1:16" ht="21.75" customHeight="1" x14ac:dyDescent="0.3">
      <c r="A692" s="504"/>
      <c r="B692" s="504"/>
      <c r="C692" s="504"/>
      <c r="D692" s="504"/>
      <c r="E692" s="506"/>
      <c r="F692" s="506"/>
      <c r="G692" s="506"/>
      <c r="H692" s="506"/>
      <c r="I692" s="506"/>
      <c r="J692" s="506"/>
      <c r="K692" s="507"/>
      <c r="L692" s="508"/>
      <c r="M692" s="508"/>
      <c r="N692" s="508"/>
      <c r="O692" s="509"/>
      <c r="P692" s="509"/>
    </row>
    <row r="693" spans="1:16" ht="21.75" customHeight="1" x14ac:dyDescent="0.3">
      <c r="A693" s="504"/>
      <c r="B693" s="504"/>
      <c r="C693" s="504"/>
      <c r="D693" s="504"/>
      <c r="E693" s="506"/>
      <c r="F693" s="506"/>
      <c r="G693" s="506"/>
      <c r="H693" s="506"/>
      <c r="I693" s="506"/>
      <c r="J693" s="506"/>
      <c r="K693" s="507"/>
      <c r="L693" s="508"/>
      <c r="M693" s="508"/>
      <c r="N693" s="508"/>
      <c r="O693" s="509"/>
      <c r="P693" s="509"/>
    </row>
    <row r="694" spans="1:16" ht="21.75" customHeight="1" x14ac:dyDescent="0.3">
      <c r="A694" s="504"/>
      <c r="B694" s="504"/>
      <c r="C694" s="504"/>
      <c r="D694" s="504"/>
      <c r="E694" s="506"/>
      <c r="F694" s="506"/>
      <c r="G694" s="506"/>
      <c r="H694" s="506"/>
      <c r="I694" s="506"/>
      <c r="J694" s="506"/>
      <c r="K694" s="507"/>
      <c r="L694" s="508"/>
      <c r="M694" s="508"/>
      <c r="N694" s="508"/>
      <c r="O694" s="509"/>
      <c r="P694" s="509"/>
    </row>
    <row r="695" spans="1:16" ht="21.75" customHeight="1" x14ac:dyDescent="0.3">
      <c r="A695" s="504"/>
      <c r="B695" s="504"/>
      <c r="C695" s="504"/>
      <c r="D695" s="504"/>
      <c r="E695" s="506"/>
      <c r="F695" s="506"/>
      <c r="G695" s="506"/>
      <c r="H695" s="506"/>
      <c r="I695" s="506"/>
      <c r="J695" s="506"/>
      <c r="K695" s="507"/>
      <c r="L695" s="508"/>
      <c r="M695" s="508"/>
      <c r="N695" s="508"/>
      <c r="O695" s="509"/>
      <c r="P695" s="509"/>
    </row>
    <row r="696" spans="1:16" ht="21.75" customHeight="1" x14ac:dyDescent="0.3">
      <c r="A696" s="504"/>
      <c r="B696" s="504"/>
      <c r="C696" s="504"/>
      <c r="D696" s="504"/>
      <c r="E696" s="506"/>
      <c r="F696" s="506"/>
      <c r="G696" s="506"/>
      <c r="H696" s="506"/>
      <c r="I696" s="506"/>
      <c r="J696" s="506"/>
      <c r="K696" s="507"/>
      <c r="L696" s="508"/>
      <c r="M696" s="508"/>
      <c r="N696" s="508"/>
      <c r="O696" s="509"/>
      <c r="P696" s="509"/>
    </row>
    <row r="697" spans="1:16" ht="21.75" customHeight="1" x14ac:dyDescent="0.3">
      <c r="A697" s="504"/>
      <c r="B697" s="504"/>
      <c r="C697" s="504"/>
      <c r="D697" s="504"/>
      <c r="E697" s="506"/>
      <c r="F697" s="506"/>
      <c r="G697" s="506"/>
      <c r="H697" s="506"/>
      <c r="I697" s="506"/>
      <c r="J697" s="506"/>
      <c r="K697" s="507"/>
      <c r="L697" s="508"/>
      <c r="M697" s="508"/>
      <c r="N697" s="508"/>
      <c r="O697" s="509"/>
      <c r="P697" s="509"/>
    </row>
    <row r="698" spans="1:16" ht="21.75" customHeight="1" x14ac:dyDescent="0.3">
      <c r="A698" s="504"/>
      <c r="B698" s="504"/>
      <c r="C698" s="504"/>
      <c r="D698" s="504"/>
      <c r="E698" s="506"/>
      <c r="F698" s="506"/>
      <c r="G698" s="506"/>
      <c r="H698" s="506"/>
      <c r="I698" s="506"/>
      <c r="J698" s="506"/>
      <c r="K698" s="507"/>
      <c r="L698" s="508"/>
      <c r="M698" s="508"/>
      <c r="N698" s="508"/>
      <c r="O698" s="509"/>
      <c r="P698" s="509"/>
    </row>
    <row r="699" spans="1:16" ht="21.75" customHeight="1" x14ac:dyDescent="0.3">
      <c r="A699" s="504"/>
      <c r="B699" s="504"/>
      <c r="C699" s="504"/>
      <c r="D699" s="504"/>
      <c r="E699" s="506"/>
      <c r="F699" s="506"/>
      <c r="G699" s="506"/>
      <c r="H699" s="506"/>
      <c r="I699" s="506"/>
      <c r="J699" s="506"/>
      <c r="K699" s="507"/>
      <c r="L699" s="508"/>
      <c r="M699" s="508"/>
      <c r="N699" s="508"/>
      <c r="O699" s="509"/>
      <c r="P699" s="509"/>
    </row>
    <row r="700" spans="1:16" ht="21.75" customHeight="1" x14ac:dyDescent="0.3">
      <c r="A700" s="504"/>
      <c r="B700" s="504"/>
      <c r="C700" s="504"/>
      <c r="D700" s="504"/>
      <c r="E700" s="506"/>
      <c r="F700" s="506"/>
      <c r="G700" s="506"/>
      <c r="H700" s="506"/>
      <c r="I700" s="506"/>
      <c r="J700" s="506"/>
      <c r="K700" s="507"/>
      <c r="L700" s="508"/>
      <c r="M700" s="508"/>
      <c r="N700" s="508"/>
      <c r="O700" s="509"/>
      <c r="P700" s="509"/>
    </row>
    <row r="701" spans="1:16" ht="21.75" customHeight="1" x14ac:dyDescent="0.3">
      <c r="A701" s="504"/>
      <c r="B701" s="504"/>
      <c r="C701" s="504"/>
      <c r="D701" s="504"/>
      <c r="E701" s="506"/>
      <c r="F701" s="506"/>
      <c r="G701" s="506"/>
      <c r="H701" s="506"/>
      <c r="I701" s="506"/>
      <c r="J701" s="506"/>
      <c r="K701" s="507"/>
      <c r="L701" s="508"/>
      <c r="M701" s="508"/>
      <c r="N701" s="508"/>
      <c r="O701" s="509"/>
      <c r="P701" s="509"/>
    </row>
    <row r="702" spans="1:16" ht="21.75" customHeight="1" x14ac:dyDescent="0.3">
      <c r="A702" s="504"/>
      <c r="B702" s="504"/>
      <c r="C702" s="504"/>
      <c r="D702" s="504"/>
      <c r="E702" s="506"/>
      <c r="F702" s="506"/>
      <c r="G702" s="506"/>
      <c r="H702" s="506"/>
      <c r="I702" s="506"/>
      <c r="J702" s="506"/>
      <c r="K702" s="507"/>
      <c r="L702" s="508"/>
      <c r="M702" s="508"/>
      <c r="N702" s="508"/>
      <c r="O702" s="509"/>
      <c r="P702" s="509"/>
    </row>
    <row r="703" spans="1:16" ht="21.75" customHeight="1" x14ac:dyDescent="0.3">
      <c r="A703" s="504"/>
      <c r="B703" s="504"/>
      <c r="C703" s="504"/>
      <c r="D703" s="504"/>
      <c r="E703" s="506"/>
      <c r="F703" s="506"/>
      <c r="G703" s="506"/>
      <c r="H703" s="506"/>
      <c r="I703" s="506"/>
      <c r="J703" s="506"/>
      <c r="K703" s="507"/>
      <c r="L703" s="508"/>
      <c r="M703" s="508"/>
      <c r="N703" s="508"/>
      <c r="O703" s="509"/>
      <c r="P703" s="509"/>
    </row>
    <row r="704" spans="1:16" ht="21.75" customHeight="1" x14ac:dyDescent="0.3">
      <c r="A704" s="504"/>
      <c r="B704" s="504"/>
      <c r="C704" s="504"/>
      <c r="D704" s="504"/>
      <c r="E704" s="506"/>
      <c r="F704" s="506"/>
      <c r="G704" s="506"/>
      <c r="H704" s="506"/>
      <c r="I704" s="506"/>
      <c r="J704" s="506"/>
      <c r="K704" s="507"/>
      <c r="L704" s="508"/>
      <c r="M704" s="508"/>
      <c r="N704" s="508"/>
      <c r="O704" s="509"/>
      <c r="P704" s="509"/>
    </row>
    <row r="705" spans="1:16" ht="21.75" customHeight="1" x14ac:dyDescent="0.3">
      <c r="A705" s="504"/>
      <c r="B705" s="504"/>
      <c r="C705" s="504"/>
      <c r="D705" s="504"/>
      <c r="E705" s="506"/>
      <c r="F705" s="506"/>
      <c r="G705" s="506"/>
      <c r="H705" s="506"/>
      <c r="I705" s="506"/>
      <c r="J705" s="506"/>
      <c r="K705" s="507"/>
      <c r="L705" s="508"/>
      <c r="M705" s="508"/>
      <c r="N705" s="508"/>
      <c r="O705" s="509"/>
      <c r="P705" s="509"/>
    </row>
    <row r="706" spans="1:16" ht="21.75" customHeight="1" x14ac:dyDescent="0.3">
      <c r="A706" s="504"/>
      <c r="B706" s="504"/>
      <c r="C706" s="504"/>
      <c r="D706" s="504"/>
      <c r="E706" s="506"/>
      <c r="F706" s="506"/>
      <c r="G706" s="506"/>
      <c r="H706" s="506"/>
      <c r="I706" s="506"/>
      <c r="J706" s="506"/>
      <c r="K706" s="507"/>
      <c r="L706" s="508"/>
      <c r="M706" s="508"/>
      <c r="N706" s="508"/>
      <c r="O706" s="509"/>
      <c r="P706" s="509"/>
    </row>
    <row r="707" spans="1:16" ht="21.75" customHeight="1" x14ac:dyDescent="0.3">
      <c r="A707" s="504"/>
      <c r="B707" s="504"/>
      <c r="C707" s="504"/>
      <c r="D707" s="504"/>
      <c r="E707" s="506"/>
      <c r="F707" s="506"/>
      <c r="G707" s="506"/>
      <c r="H707" s="506"/>
      <c r="I707" s="506"/>
      <c r="J707" s="506"/>
      <c r="K707" s="507"/>
      <c r="L707" s="508"/>
      <c r="M707" s="508"/>
      <c r="N707" s="508"/>
      <c r="O707" s="509"/>
      <c r="P707" s="509"/>
    </row>
    <row r="708" spans="1:16" ht="21.75" customHeight="1" x14ac:dyDescent="0.3">
      <c r="A708" s="504"/>
      <c r="B708" s="504"/>
      <c r="C708" s="504"/>
      <c r="D708" s="504"/>
      <c r="E708" s="506"/>
      <c r="F708" s="506"/>
      <c r="G708" s="506"/>
      <c r="H708" s="506"/>
      <c r="I708" s="506"/>
      <c r="J708" s="506"/>
      <c r="K708" s="507"/>
      <c r="L708" s="508"/>
      <c r="M708" s="508"/>
      <c r="N708" s="508"/>
      <c r="O708" s="509"/>
      <c r="P708" s="509"/>
    </row>
    <row r="709" spans="1:16" ht="21.75" customHeight="1" x14ac:dyDescent="0.3">
      <c r="A709" s="504"/>
      <c r="B709" s="504"/>
      <c r="C709" s="504"/>
      <c r="D709" s="504"/>
      <c r="E709" s="506"/>
      <c r="F709" s="506"/>
      <c r="G709" s="506"/>
      <c r="H709" s="506"/>
      <c r="I709" s="506"/>
      <c r="J709" s="506"/>
      <c r="K709" s="507"/>
      <c r="L709" s="508"/>
      <c r="M709" s="508"/>
      <c r="N709" s="508"/>
      <c r="O709" s="509"/>
      <c r="P709" s="509"/>
    </row>
    <row r="710" spans="1:16" ht="21.75" customHeight="1" x14ac:dyDescent="0.3">
      <c r="A710" s="504"/>
      <c r="B710" s="504"/>
      <c r="C710" s="504"/>
      <c r="D710" s="504"/>
      <c r="E710" s="506"/>
      <c r="F710" s="506"/>
      <c r="G710" s="506"/>
      <c r="H710" s="506"/>
      <c r="I710" s="506"/>
      <c r="J710" s="506"/>
      <c r="K710" s="507"/>
      <c r="L710" s="508"/>
      <c r="M710" s="508"/>
      <c r="N710" s="508"/>
      <c r="O710" s="509"/>
      <c r="P710" s="509"/>
    </row>
    <row r="711" spans="1:16" ht="21.75" customHeight="1" x14ac:dyDescent="0.3">
      <c r="A711" s="504"/>
      <c r="B711" s="504"/>
      <c r="C711" s="504"/>
      <c r="D711" s="504"/>
      <c r="E711" s="506"/>
      <c r="F711" s="506"/>
      <c r="G711" s="506"/>
      <c r="H711" s="506"/>
      <c r="I711" s="506"/>
      <c r="J711" s="506"/>
      <c r="K711" s="507"/>
      <c r="L711" s="508"/>
      <c r="M711" s="508"/>
      <c r="N711" s="508"/>
      <c r="O711" s="509"/>
      <c r="P711" s="509"/>
    </row>
    <row r="712" spans="1:16" ht="21.75" customHeight="1" x14ac:dyDescent="0.3">
      <c r="A712" s="504"/>
      <c r="B712" s="504"/>
      <c r="C712" s="504"/>
      <c r="D712" s="504"/>
      <c r="E712" s="506"/>
      <c r="F712" s="506"/>
      <c r="G712" s="506"/>
      <c r="H712" s="506"/>
      <c r="I712" s="506"/>
      <c r="J712" s="506"/>
      <c r="K712" s="507"/>
      <c r="L712" s="508"/>
      <c r="M712" s="508"/>
      <c r="N712" s="508"/>
      <c r="O712" s="509"/>
      <c r="P712" s="509"/>
    </row>
    <row r="713" spans="1:16" ht="21.75" customHeight="1" x14ac:dyDescent="0.3">
      <c r="A713" s="504"/>
      <c r="B713" s="504"/>
      <c r="C713" s="504"/>
      <c r="D713" s="504"/>
      <c r="E713" s="506"/>
      <c r="F713" s="506"/>
      <c r="G713" s="506"/>
      <c r="H713" s="506"/>
      <c r="I713" s="506"/>
      <c r="J713" s="506"/>
      <c r="K713" s="507"/>
      <c r="L713" s="508"/>
      <c r="M713" s="508"/>
      <c r="N713" s="508"/>
      <c r="O713" s="509"/>
      <c r="P713" s="509"/>
    </row>
    <row r="714" spans="1:16" ht="21.75" customHeight="1" x14ac:dyDescent="0.3">
      <c r="A714" s="504"/>
      <c r="B714" s="504"/>
      <c r="C714" s="504"/>
      <c r="D714" s="504"/>
      <c r="E714" s="506"/>
      <c r="F714" s="506"/>
      <c r="G714" s="506"/>
      <c r="H714" s="506"/>
      <c r="I714" s="506"/>
      <c r="J714" s="506"/>
      <c r="K714" s="507"/>
      <c r="L714" s="508"/>
      <c r="M714" s="508"/>
      <c r="N714" s="508"/>
      <c r="O714" s="509"/>
      <c r="P714" s="509"/>
    </row>
    <row r="715" spans="1:16" ht="21.75" customHeight="1" x14ac:dyDescent="0.3">
      <c r="A715" s="504"/>
      <c r="B715" s="504"/>
      <c r="C715" s="504"/>
      <c r="D715" s="504"/>
      <c r="E715" s="506"/>
      <c r="F715" s="506"/>
      <c r="G715" s="506"/>
      <c r="H715" s="506"/>
      <c r="I715" s="506"/>
      <c r="J715" s="506"/>
      <c r="K715" s="507"/>
      <c r="L715" s="508"/>
      <c r="M715" s="508"/>
      <c r="N715" s="508"/>
      <c r="O715" s="509"/>
      <c r="P715" s="509"/>
    </row>
    <row r="716" spans="1:16" ht="21.75" customHeight="1" x14ac:dyDescent="0.3">
      <c r="A716" s="504"/>
      <c r="B716" s="504"/>
      <c r="C716" s="504"/>
      <c r="D716" s="504"/>
      <c r="E716" s="506"/>
      <c r="F716" s="506"/>
      <c r="G716" s="506"/>
      <c r="H716" s="506"/>
      <c r="I716" s="506"/>
      <c r="J716" s="506"/>
      <c r="K716" s="507"/>
      <c r="L716" s="508"/>
      <c r="M716" s="508"/>
      <c r="N716" s="508"/>
      <c r="O716" s="509"/>
      <c r="P716" s="509"/>
    </row>
    <row r="717" spans="1:16" ht="21.75" customHeight="1" x14ac:dyDescent="0.3">
      <c r="A717" s="504"/>
      <c r="B717" s="504"/>
      <c r="C717" s="504"/>
      <c r="D717" s="504"/>
      <c r="E717" s="506"/>
      <c r="F717" s="506"/>
      <c r="G717" s="506"/>
      <c r="H717" s="506"/>
      <c r="I717" s="506"/>
      <c r="J717" s="506"/>
      <c r="K717" s="507"/>
      <c r="L717" s="508"/>
      <c r="M717" s="508"/>
      <c r="N717" s="508"/>
      <c r="O717" s="509"/>
      <c r="P717" s="509"/>
    </row>
    <row r="718" spans="1:16" ht="21.75" customHeight="1" x14ac:dyDescent="0.3">
      <c r="A718" s="504"/>
      <c r="B718" s="504"/>
      <c r="C718" s="504"/>
      <c r="D718" s="504"/>
      <c r="E718" s="506"/>
      <c r="F718" s="506"/>
      <c r="G718" s="506"/>
      <c r="H718" s="506"/>
      <c r="I718" s="506"/>
      <c r="J718" s="506"/>
      <c r="K718" s="507"/>
      <c r="L718" s="508"/>
      <c r="M718" s="508"/>
      <c r="N718" s="508"/>
      <c r="O718" s="509"/>
      <c r="P718" s="509"/>
    </row>
    <row r="719" spans="1:16" ht="21.75" customHeight="1" x14ac:dyDescent="0.3">
      <c r="A719" s="504"/>
      <c r="B719" s="504"/>
      <c r="C719" s="504"/>
      <c r="D719" s="504"/>
      <c r="E719" s="506"/>
      <c r="F719" s="506"/>
      <c r="G719" s="506"/>
      <c r="H719" s="506"/>
      <c r="I719" s="506"/>
      <c r="J719" s="506"/>
      <c r="K719" s="507"/>
      <c r="L719" s="508"/>
      <c r="M719" s="508"/>
      <c r="N719" s="508"/>
      <c r="O719" s="509"/>
      <c r="P719" s="509"/>
    </row>
    <row r="720" spans="1:16" ht="21.75" customHeight="1" x14ac:dyDescent="0.3">
      <c r="A720" s="504"/>
      <c r="B720" s="504"/>
      <c r="C720" s="504"/>
      <c r="D720" s="504"/>
      <c r="E720" s="506"/>
      <c r="F720" s="506"/>
      <c r="G720" s="506"/>
      <c r="H720" s="506"/>
      <c r="I720" s="506"/>
      <c r="J720" s="506"/>
      <c r="K720" s="507"/>
      <c r="L720" s="508"/>
      <c r="M720" s="508"/>
      <c r="N720" s="508"/>
      <c r="O720" s="509"/>
      <c r="P720" s="509"/>
    </row>
    <row r="721" spans="1:16" ht="21.75" customHeight="1" x14ac:dyDescent="0.3">
      <c r="A721" s="504"/>
      <c r="B721" s="504"/>
      <c r="C721" s="504"/>
      <c r="D721" s="504"/>
      <c r="E721" s="506"/>
      <c r="F721" s="506"/>
      <c r="G721" s="506"/>
      <c r="H721" s="506"/>
      <c r="I721" s="506"/>
      <c r="J721" s="506"/>
      <c r="K721" s="507"/>
      <c r="L721" s="508"/>
      <c r="M721" s="508"/>
      <c r="N721" s="508"/>
      <c r="O721" s="509"/>
      <c r="P721" s="509"/>
    </row>
    <row r="722" spans="1:16" ht="21.75" customHeight="1" x14ac:dyDescent="0.3">
      <c r="A722" s="504"/>
      <c r="B722" s="504"/>
      <c r="C722" s="504"/>
      <c r="D722" s="504"/>
      <c r="E722" s="506"/>
      <c r="F722" s="506"/>
      <c r="G722" s="506"/>
      <c r="H722" s="506"/>
      <c r="I722" s="506"/>
      <c r="J722" s="506"/>
      <c r="K722" s="507"/>
      <c r="L722" s="508"/>
      <c r="M722" s="508"/>
      <c r="N722" s="508"/>
      <c r="O722" s="509"/>
      <c r="P722" s="509"/>
    </row>
    <row r="723" spans="1:16" ht="21.75" customHeight="1" x14ac:dyDescent="0.3">
      <c r="A723" s="504"/>
      <c r="B723" s="504"/>
      <c r="C723" s="504"/>
      <c r="D723" s="504"/>
      <c r="E723" s="506"/>
      <c r="F723" s="506"/>
      <c r="G723" s="506"/>
      <c r="H723" s="506"/>
      <c r="I723" s="506"/>
      <c r="J723" s="506"/>
      <c r="K723" s="507"/>
      <c r="L723" s="508"/>
      <c r="M723" s="508"/>
      <c r="N723" s="508"/>
      <c r="O723" s="509"/>
      <c r="P723" s="509"/>
    </row>
    <row r="724" spans="1:16" ht="21.75" customHeight="1" x14ac:dyDescent="0.3">
      <c r="A724" s="504"/>
      <c r="B724" s="504"/>
      <c r="C724" s="504"/>
      <c r="D724" s="504"/>
      <c r="E724" s="506"/>
      <c r="F724" s="506"/>
      <c r="G724" s="506"/>
      <c r="H724" s="506"/>
      <c r="I724" s="506"/>
      <c r="J724" s="506"/>
      <c r="K724" s="507"/>
      <c r="L724" s="508"/>
      <c r="M724" s="508"/>
      <c r="N724" s="508"/>
      <c r="O724" s="509"/>
      <c r="P724" s="509"/>
    </row>
    <row r="725" spans="1:16" ht="21.75" customHeight="1" x14ac:dyDescent="0.3">
      <c r="A725" s="504"/>
      <c r="B725" s="504"/>
      <c r="C725" s="504"/>
      <c r="D725" s="504"/>
      <c r="E725" s="506"/>
      <c r="F725" s="506"/>
      <c r="G725" s="506"/>
      <c r="H725" s="506"/>
      <c r="I725" s="506"/>
      <c r="J725" s="506"/>
      <c r="K725" s="507"/>
      <c r="L725" s="508"/>
      <c r="M725" s="508"/>
      <c r="N725" s="508"/>
      <c r="O725" s="509"/>
      <c r="P725" s="509"/>
    </row>
    <row r="726" spans="1:16" ht="21.75" customHeight="1" x14ac:dyDescent="0.3">
      <c r="A726" s="504"/>
      <c r="B726" s="504"/>
      <c r="C726" s="504"/>
      <c r="D726" s="504"/>
      <c r="E726" s="506"/>
      <c r="F726" s="506"/>
      <c r="G726" s="506"/>
      <c r="H726" s="506"/>
      <c r="I726" s="506"/>
      <c r="J726" s="506"/>
      <c r="K726" s="507"/>
      <c r="L726" s="508"/>
      <c r="M726" s="508"/>
      <c r="N726" s="508"/>
      <c r="O726" s="509"/>
      <c r="P726" s="509"/>
    </row>
    <row r="727" spans="1:16" ht="21.75" customHeight="1" x14ac:dyDescent="0.3">
      <c r="A727" s="504"/>
      <c r="B727" s="504"/>
      <c r="C727" s="504"/>
      <c r="D727" s="504"/>
      <c r="E727" s="506"/>
      <c r="F727" s="506"/>
      <c r="G727" s="506"/>
      <c r="H727" s="506"/>
      <c r="I727" s="506"/>
      <c r="J727" s="506"/>
      <c r="K727" s="507"/>
      <c r="L727" s="508"/>
      <c r="M727" s="508"/>
      <c r="N727" s="508"/>
      <c r="O727" s="509"/>
      <c r="P727" s="509"/>
    </row>
    <row r="728" spans="1:16" ht="21.75" customHeight="1" x14ac:dyDescent="0.3">
      <c r="A728" s="504"/>
      <c r="B728" s="504"/>
      <c r="C728" s="504"/>
      <c r="D728" s="504"/>
      <c r="E728" s="506"/>
      <c r="F728" s="506"/>
      <c r="G728" s="506"/>
      <c r="H728" s="506"/>
      <c r="I728" s="506"/>
      <c r="J728" s="506"/>
      <c r="K728" s="507"/>
      <c r="L728" s="508"/>
      <c r="M728" s="508"/>
      <c r="N728" s="508"/>
      <c r="O728" s="509"/>
      <c r="P728" s="509"/>
    </row>
    <row r="729" spans="1:16" ht="21.75" customHeight="1" x14ac:dyDescent="0.3">
      <c r="A729" s="504"/>
      <c r="B729" s="504"/>
      <c r="C729" s="504"/>
      <c r="D729" s="504"/>
      <c r="E729" s="506"/>
      <c r="F729" s="506"/>
      <c r="G729" s="506"/>
      <c r="H729" s="506"/>
      <c r="I729" s="506"/>
      <c r="J729" s="506"/>
      <c r="K729" s="507"/>
      <c r="L729" s="508"/>
      <c r="M729" s="508"/>
      <c r="N729" s="508"/>
      <c r="O729" s="509"/>
      <c r="P729" s="509"/>
    </row>
    <row r="730" spans="1:16" ht="21.75" customHeight="1" x14ac:dyDescent="0.3">
      <c r="A730" s="504"/>
      <c r="B730" s="504"/>
      <c r="C730" s="504"/>
      <c r="D730" s="504"/>
      <c r="E730" s="506"/>
      <c r="F730" s="506"/>
      <c r="G730" s="506"/>
      <c r="H730" s="506"/>
      <c r="I730" s="506"/>
      <c r="J730" s="506"/>
      <c r="K730" s="507"/>
      <c r="L730" s="508"/>
      <c r="M730" s="508"/>
      <c r="N730" s="508"/>
      <c r="O730" s="509"/>
      <c r="P730" s="509"/>
    </row>
    <row r="731" spans="1:16" ht="21.75" customHeight="1" x14ac:dyDescent="0.3">
      <c r="A731" s="504"/>
      <c r="B731" s="504"/>
      <c r="C731" s="504"/>
      <c r="D731" s="504"/>
      <c r="E731" s="506"/>
      <c r="F731" s="506"/>
      <c r="G731" s="506"/>
      <c r="H731" s="506"/>
      <c r="I731" s="506"/>
      <c r="J731" s="506"/>
      <c r="K731" s="507"/>
      <c r="L731" s="508"/>
      <c r="M731" s="508"/>
      <c r="N731" s="508"/>
      <c r="O731" s="509"/>
      <c r="P731" s="509"/>
    </row>
    <row r="732" spans="1:16" ht="21.75" customHeight="1" x14ac:dyDescent="0.3">
      <c r="A732" s="504"/>
      <c r="B732" s="504"/>
      <c r="C732" s="504"/>
      <c r="D732" s="504"/>
      <c r="E732" s="506"/>
      <c r="F732" s="506"/>
      <c r="G732" s="506"/>
      <c r="H732" s="506"/>
      <c r="I732" s="506"/>
      <c r="J732" s="506"/>
      <c r="K732" s="507"/>
      <c r="L732" s="508"/>
      <c r="M732" s="508"/>
      <c r="N732" s="508"/>
      <c r="O732" s="509"/>
      <c r="P732" s="509"/>
    </row>
    <row r="733" spans="1:16" ht="21.75" customHeight="1" x14ac:dyDescent="0.3">
      <c r="A733" s="504"/>
      <c r="B733" s="504"/>
      <c r="C733" s="504"/>
      <c r="D733" s="504"/>
      <c r="E733" s="506"/>
      <c r="F733" s="506"/>
      <c r="G733" s="506"/>
      <c r="H733" s="506"/>
      <c r="I733" s="506"/>
      <c r="J733" s="506"/>
      <c r="K733" s="507"/>
      <c r="L733" s="508"/>
      <c r="M733" s="508"/>
      <c r="N733" s="508"/>
      <c r="O733" s="509"/>
      <c r="P733" s="509"/>
    </row>
    <row r="734" spans="1:16" ht="21.75" customHeight="1" x14ac:dyDescent="0.3">
      <c r="A734" s="504"/>
      <c r="B734" s="504"/>
      <c r="C734" s="504"/>
      <c r="D734" s="504"/>
      <c r="E734" s="506"/>
      <c r="F734" s="506"/>
      <c r="G734" s="506"/>
      <c r="H734" s="506"/>
      <c r="I734" s="506"/>
      <c r="J734" s="506"/>
      <c r="K734" s="507"/>
      <c r="L734" s="508"/>
      <c r="M734" s="508"/>
      <c r="N734" s="508"/>
      <c r="O734" s="509"/>
      <c r="P734" s="509"/>
    </row>
    <row r="735" spans="1:16" ht="21.75" customHeight="1" x14ac:dyDescent="0.3">
      <c r="A735" s="504"/>
      <c r="B735" s="504"/>
      <c r="C735" s="504"/>
      <c r="D735" s="504"/>
      <c r="E735" s="506"/>
      <c r="F735" s="506"/>
      <c r="G735" s="506"/>
      <c r="H735" s="506"/>
      <c r="I735" s="506"/>
      <c r="J735" s="506"/>
      <c r="K735" s="507"/>
      <c r="L735" s="508"/>
      <c r="M735" s="508"/>
      <c r="N735" s="508"/>
      <c r="O735" s="509"/>
      <c r="P735" s="509"/>
    </row>
    <row r="736" spans="1:16" ht="21.75" customHeight="1" x14ac:dyDescent="0.3">
      <c r="A736" s="504"/>
      <c r="B736" s="504"/>
      <c r="C736" s="504"/>
      <c r="D736" s="504"/>
      <c r="E736" s="506"/>
      <c r="F736" s="506"/>
      <c r="G736" s="506"/>
      <c r="H736" s="506"/>
      <c r="I736" s="506"/>
      <c r="J736" s="506"/>
      <c r="K736" s="507"/>
      <c r="L736" s="508"/>
      <c r="M736" s="508"/>
      <c r="N736" s="508"/>
      <c r="O736" s="509"/>
      <c r="P736" s="509"/>
    </row>
    <row r="737" spans="1:16" ht="21.75" customHeight="1" x14ac:dyDescent="0.3">
      <c r="A737" s="504"/>
      <c r="B737" s="504"/>
      <c r="C737" s="504"/>
      <c r="D737" s="504"/>
      <c r="E737" s="506"/>
      <c r="F737" s="506"/>
      <c r="G737" s="506"/>
      <c r="H737" s="506"/>
      <c r="I737" s="506"/>
      <c r="J737" s="506"/>
      <c r="K737" s="507"/>
      <c r="L737" s="508"/>
      <c r="M737" s="508"/>
      <c r="N737" s="508"/>
      <c r="O737" s="509"/>
      <c r="P737" s="509"/>
    </row>
    <row r="738" spans="1:16" ht="21.75" customHeight="1" x14ac:dyDescent="0.3">
      <c r="A738" s="504"/>
      <c r="B738" s="504"/>
      <c r="C738" s="504"/>
      <c r="D738" s="504"/>
      <c r="E738" s="506"/>
      <c r="F738" s="506"/>
      <c r="G738" s="506"/>
      <c r="H738" s="506"/>
      <c r="I738" s="506"/>
      <c r="J738" s="506"/>
      <c r="K738" s="507"/>
      <c r="L738" s="508"/>
      <c r="M738" s="508"/>
      <c r="N738" s="508"/>
      <c r="O738" s="509"/>
      <c r="P738" s="509"/>
    </row>
    <row r="739" spans="1:16" ht="21.75" customHeight="1" x14ac:dyDescent="0.3">
      <c r="A739" s="504"/>
      <c r="B739" s="504"/>
      <c r="C739" s="504"/>
      <c r="D739" s="504"/>
      <c r="E739" s="506"/>
      <c r="F739" s="506"/>
      <c r="G739" s="506"/>
      <c r="H739" s="506"/>
      <c r="I739" s="506"/>
      <c r="J739" s="506"/>
      <c r="K739" s="507"/>
      <c r="L739" s="508"/>
      <c r="M739" s="508"/>
      <c r="N739" s="508"/>
      <c r="O739" s="509"/>
      <c r="P739" s="509"/>
    </row>
    <row r="740" spans="1:16" ht="21.75" customHeight="1" x14ac:dyDescent="0.3">
      <c r="A740" s="504"/>
      <c r="B740" s="504"/>
      <c r="C740" s="504"/>
      <c r="D740" s="504"/>
      <c r="E740" s="506"/>
      <c r="F740" s="506"/>
      <c r="G740" s="506"/>
      <c r="H740" s="506"/>
      <c r="I740" s="506"/>
      <c r="J740" s="506"/>
      <c r="K740" s="507"/>
      <c r="L740" s="508"/>
      <c r="M740" s="508"/>
      <c r="N740" s="508"/>
      <c r="O740" s="509"/>
      <c r="P740" s="509"/>
    </row>
    <row r="741" spans="1:16" ht="21.75" customHeight="1" x14ac:dyDescent="0.3">
      <c r="A741" s="504"/>
      <c r="B741" s="504"/>
      <c r="C741" s="504"/>
      <c r="D741" s="504"/>
      <c r="E741" s="506"/>
      <c r="F741" s="506"/>
      <c r="G741" s="506"/>
      <c r="H741" s="506"/>
      <c r="I741" s="506"/>
      <c r="J741" s="506"/>
      <c r="K741" s="507"/>
      <c r="L741" s="508"/>
      <c r="M741" s="508"/>
      <c r="N741" s="508"/>
      <c r="O741" s="509"/>
      <c r="P741" s="509"/>
    </row>
    <row r="742" spans="1:16" ht="21.75" customHeight="1" x14ac:dyDescent="0.3">
      <c r="A742" s="504"/>
      <c r="B742" s="504"/>
      <c r="C742" s="504"/>
      <c r="D742" s="504"/>
      <c r="E742" s="506"/>
      <c r="F742" s="506"/>
      <c r="G742" s="506"/>
      <c r="H742" s="506"/>
      <c r="I742" s="506"/>
      <c r="J742" s="506"/>
      <c r="K742" s="507"/>
      <c r="L742" s="508"/>
      <c r="M742" s="508"/>
      <c r="N742" s="508"/>
      <c r="O742" s="509"/>
      <c r="P742" s="509"/>
    </row>
    <row r="743" spans="1:16" ht="21.75" customHeight="1" x14ac:dyDescent="0.3">
      <c r="A743" s="504"/>
      <c r="B743" s="504"/>
      <c r="C743" s="504"/>
      <c r="D743" s="504"/>
      <c r="E743" s="506"/>
      <c r="F743" s="506"/>
      <c r="G743" s="506"/>
      <c r="H743" s="506"/>
      <c r="I743" s="506"/>
      <c r="J743" s="506"/>
      <c r="K743" s="507"/>
      <c r="L743" s="508"/>
      <c r="M743" s="508"/>
      <c r="N743" s="508"/>
      <c r="O743" s="509"/>
      <c r="P743" s="509"/>
    </row>
    <row r="744" spans="1:16" ht="21.75" customHeight="1" x14ac:dyDescent="0.3">
      <c r="A744" s="504"/>
      <c r="B744" s="504"/>
      <c r="C744" s="504"/>
      <c r="D744" s="504"/>
      <c r="E744" s="506"/>
      <c r="F744" s="506"/>
      <c r="G744" s="506"/>
      <c r="H744" s="506"/>
      <c r="I744" s="506"/>
      <c r="J744" s="506"/>
      <c r="K744" s="507"/>
      <c r="L744" s="508"/>
      <c r="M744" s="508"/>
      <c r="N744" s="508"/>
      <c r="O744" s="509"/>
      <c r="P744" s="509"/>
    </row>
    <row r="745" spans="1:16" ht="21.75" customHeight="1" x14ac:dyDescent="0.3">
      <c r="A745" s="504"/>
      <c r="B745" s="504"/>
      <c r="C745" s="504"/>
      <c r="D745" s="504"/>
      <c r="E745" s="506"/>
      <c r="F745" s="506"/>
      <c r="G745" s="506"/>
      <c r="H745" s="506"/>
      <c r="I745" s="506"/>
      <c r="J745" s="506"/>
      <c r="K745" s="507"/>
      <c r="L745" s="508"/>
      <c r="M745" s="508"/>
      <c r="N745" s="508"/>
      <c r="O745" s="509"/>
      <c r="P745" s="509"/>
    </row>
    <row r="746" spans="1:16" ht="21.75" customHeight="1" x14ac:dyDescent="0.3">
      <c r="A746" s="504"/>
      <c r="B746" s="504"/>
      <c r="C746" s="504"/>
      <c r="D746" s="504"/>
      <c r="E746" s="506"/>
      <c r="F746" s="506"/>
      <c r="G746" s="506"/>
      <c r="H746" s="506"/>
      <c r="I746" s="506"/>
      <c r="J746" s="506"/>
      <c r="K746" s="507"/>
      <c r="L746" s="508"/>
      <c r="M746" s="508"/>
      <c r="N746" s="508"/>
      <c r="O746" s="509"/>
      <c r="P746" s="509"/>
    </row>
    <row r="747" spans="1:16" ht="21.75" customHeight="1" x14ac:dyDescent="0.3">
      <c r="A747" s="504"/>
      <c r="B747" s="504"/>
      <c r="C747" s="504"/>
      <c r="D747" s="504"/>
      <c r="E747" s="506"/>
      <c r="F747" s="506"/>
      <c r="G747" s="506"/>
      <c r="H747" s="506"/>
      <c r="I747" s="506"/>
      <c r="J747" s="506"/>
      <c r="K747" s="507"/>
      <c r="L747" s="508"/>
      <c r="M747" s="508"/>
      <c r="N747" s="508"/>
      <c r="O747" s="509"/>
      <c r="P747" s="509"/>
    </row>
    <row r="748" spans="1:16" ht="21.75" customHeight="1" x14ac:dyDescent="0.3">
      <c r="A748" s="504"/>
      <c r="B748" s="504"/>
      <c r="C748" s="504"/>
      <c r="D748" s="504"/>
      <c r="E748" s="506"/>
      <c r="F748" s="506"/>
      <c r="G748" s="506"/>
      <c r="H748" s="506"/>
      <c r="I748" s="506"/>
      <c r="J748" s="506"/>
      <c r="K748" s="507"/>
      <c r="L748" s="508"/>
      <c r="M748" s="508"/>
      <c r="N748" s="508"/>
      <c r="O748" s="509"/>
      <c r="P748" s="509"/>
    </row>
    <row r="749" spans="1:16" ht="21.75" customHeight="1" x14ac:dyDescent="0.3">
      <c r="A749" s="504"/>
      <c r="B749" s="504"/>
      <c r="C749" s="504"/>
      <c r="D749" s="504"/>
      <c r="E749" s="506"/>
      <c r="F749" s="506"/>
      <c r="G749" s="506"/>
      <c r="H749" s="506"/>
      <c r="I749" s="506"/>
      <c r="J749" s="506"/>
      <c r="K749" s="507"/>
      <c r="L749" s="508"/>
      <c r="M749" s="508"/>
      <c r="N749" s="508"/>
      <c r="O749" s="509"/>
      <c r="P749" s="509"/>
    </row>
    <row r="750" spans="1:16" ht="21.75" customHeight="1" x14ac:dyDescent="0.3">
      <c r="A750" s="504"/>
      <c r="B750" s="504"/>
      <c r="C750" s="504"/>
      <c r="D750" s="504"/>
      <c r="E750" s="506"/>
      <c r="F750" s="506"/>
      <c r="G750" s="506"/>
      <c r="H750" s="506"/>
      <c r="I750" s="506"/>
      <c r="J750" s="506"/>
      <c r="K750" s="507"/>
      <c r="L750" s="508"/>
      <c r="M750" s="508"/>
      <c r="N750" s="508"/>
      <c r="O750" s="509"/>
      <c r="P750" s="509"/>
    </row>
    <row r="751" spans="1:16" ht="21.75" customHeight="1" x14ac:dyDescent="0.3">
      <c r="A751" s="504"/>
      <c r="B751" s="504"/>
      <c r="C751" s="504"/>
      <c r="D751" s="504"/>
      <c r="E751" s="506"/>
      <c r="F751" s="506"/>
      <c r="G751" s="506"/>
      <c r="H751" s="506"/>
      <c r="I751" s="506"/>
      <c r="J751" s="506"/>
      <c r="K751" s="507"/>
      <c r="L751" s="508"/>
      <c r="M751" s="508"/>
      <c r="N751" s="508"/>
      <c r="O751" s="509"/>
      <c r="P751" s="509"/>
    </row>
    <row r="752" spans="1:16" ht="21.75" customHeight="1" x14ac:dyDescent="0.3">
      <c r="A752" s="504"/>
      <c r="B752" s="504"/>
      <c r="C752" s="504"/>
      <c r="D752" s="504"/>
      <c r="E752" s="506"/>
      <c r="F752" s="506"/>
      <c r="G752" s="506"/>
      <c r="H752" s="506"/>
      <c r="I752" s="506"/>
      <c r="J752" s="506"/>
      <c r="K752" s="507"/>
      <c r="L752" s="508"/>
      <c r="M752" s="508"/>
      <c r="N752" s="508"/>
      <c r="O752" s="509"/>
      <c r="P752" s="509"/>
    </row>
    <row r="753" spans="1:16" ht="21.75" customHeight="1" x14ac:dyDescent="0.3">
      <c r="A753" s="504"/>
      <c r="B753" s="504"/>
      <c r="C753" s="504"/>
      <c r="D753" s="504"/>
      <c r="E753" s="506"/>
      <c r="F753" s="506"/>
      <c r="G753" s="506"/>
      <c r="H753" s="506"/>
      <c r="I753" s="506"/>
      <c r="J753" s="506"/>
      <c r="K753" s="507"/>
      <c r="L753" s="508"/>
      <c r="M753" s="508"/>
      <c r="N753" s="508"/>
      <c r="O753" s="509"/>
      <c r="P753" s="509"/>
    </row>
    <row r="754" spans="1:16" ht="21.75" customHeight="1" x14ac:dyDescent="0.3">
      <c r="A754" s="504"/>
      <c r="B754" s="504"/>
      <c r="C754" s="504"/>
      <c r="D754" s="504"/>
      <c r="E754" s="506"/>
      <c r="F754" s="506"/>
      <c r="G754" s="506"/>
      <c r="H754" s="506"/>
      <c r="I754" s="506"/>
      <c r="J754" s="506"/>
      <c r="K754" s="507"/>
      <c r="L754" s="508"/>
      <c r="M754" s="508"/>
      <c r="N754" s="508"/>
      <c r="O754" s="509"/>
      <c r="P754" s="509"/>
    </row>
    <row r="755" spans="1:16" ht="21.75" customHeight="1" x14ac:dyDescent="0.3">
      <c r="A755" s="504"/>
      <c r="B755" s="504"/>
      <c r="C755" s="504"/>
      <c r="D755" s="504"/>
      <c r="E755" s="506"/>
      <c r="F755" s="506"/>
      <c r="G755" s="506"/>
      <c r="H755" s="506"/>
      <c r="I755" s="506"/>
      <c r="J755" s="506"/>
      <c r="K755" s="507"/>
      <c r="L755" s="508"/>
      <c r="M755" s="508"/>
      <c r="N755" s="508"/>
      <c r="O755" s="509"/>
      <c r="P755" s="509"/>
    </row>
    <row r="756" spans="1:16" ht="21.75" customHeight="1" x14ac:dyDescent="0.3">
      <c r="A756" s="504"/>
      <c r="B756" s="504"/>
      <c r="C756" s="504"/>
      <c r="D756" s="504"/>
      <c r="E756" s="506"/>
      <c r="F756" s="506"/>
      <c r="G756" s="506"/>
      <c r="H756" s="506"/>
      <c r="I756" s="506"/>
      <c r="J756" s="506"/>
      <c r="K756" s="507"/>
      <c r="L756" s="508"/>
      <c r="M756" s="508"/>
      <c r="N756" s="508"/>
      <c r="O756" s="509"/>
      <c r="P756" s="509"/>
    </row>
    <row r="757" spans="1:16" ht="21.75" customHeight="1" x14ac:dyDescent="0.3">
      <c r="A757" s="504"/>
      <c r="B757" s="504"/>
      <c r="C757" s="504"/>
      <c r="D757" s="504"/>
      <c r="E757" s="506"/>
      <c r="F757" s="506"/>
      <c r="G757" s="506"/>
      <c r="H757" s="506"/>
      <c r="I757" s="506"/>
      <c r="J757" s="506"/>
      <c r="K757" s="507"/>
      <c r="L757" s="508"/>
      <c r="M757" s="508"/>
      <c r="N757" s="508"/>
      <c r="O757" s="509"/>
      <c r="P757" s="509"/>
    </row>
    <row r="758" spans="1:16" ht="21.75" customHeight="1" x14ac:dyDescent="0.3">
      <c r="A758" s="504"/>
      <c r="B758" s="504"/>
      <c r="C758" s="504"/>
      <c r="D758" s="504"/>
      <c r="E758" s="506"/>
      <c r="F758" s="506"/>
      <c r="G758" s="506"/>
      <c r="H758" s="506"/>
      <c r="I758" s="506"/>
      <c r="J758" s="506"/>
      <c r="K758" s="507"/>
      <c r="L758" s="508"/>
      <c r="M758" s="508"/>
      <c r="N758" s="508"/>
      <c r="O758" s="509"/>
      <c r="P758" s="509"/>
    </row>
    <row r="759" spans="1:16" ht="21.75" customHeight="1" x14ac:dyDescent="0.3">
      <c r="A759" s="504"/>
      <c r="B759" s="504"/>
      <c r="C759" s="504"/>
      <c r="D759" s="504"/>
      <c r="E759" s="506"/>
      <c r="F759" s="506"/>
      <c r="G759" s="506"/>
      <c r="H759" s="506"/>
      <c r="I759" s="506"/>
      <c r="J759" s="506"/>
      <c r="K759" s="507"/>
      <c r="L759" s="508"/>
      <c r="M759" s="508"/>
      <c r="N759" s="508"/>
      <c r="O759" s="509"/>
      <c r="P759" s="509"/>
    </row>
    <row r="760" spans="1:16" ht="21.75" customHeight="1" x14ac:dyDescent="0.3">
      <c r="A760" s="504"/>
      <c r="B760" s="504"/>
      <c r="C760" s="504"/>
      <c r="D760" s="504"/>
      <c r="E760" s="506"/>
      <c r="F760" s="506"/>
      <c r="G760" s="506"/>
      <c r="H760" s="506"/>
      <c r="I760" s="506"/>
      <c r="J760" s="506"/>
      <c r="K760" s="507"/>
      <c r="L760" s="508"/>
      <c r="M760" s="508"/>
      <c r="N760" s="508"/>
      <c r="O760" s="509"/>
      <c r="P760" s="509"/>
    </row>
    <row r="761" spans="1:16" ht="21.75" customHeight="1" x14ac:dyDescent="0.3">
      <c r="A761" s="504"/>
      <c r="B761" s="504"/>
      <c r="C761" s="504"/>
      <c r="D761" s="504"/>
      <c r="E761" s="506"/>
      <c r="F761" s="506"/>
      <c r="G761" s="506"/>
      <c r="H761" s="506"/>
      <c r="I761" s="506"/>
      <c r="J761" s="506"/>
      <c r="K761" s="507"/>
      <c r="L761" s="508"/>
      <c r="M761" s="508"/>
      <c r="N761" s="508"/>
      <c r="O761" s="509"/>
      <c r="P761" s="509"/>
    </row>
    <row r="762" spans="1:16" ht="21.75" customHeight="1" x14ac:dyDescent="0.3">
      <c r="A762" s="504"/>
      <c r="B762" s="504"/>
      <c r="C762" s="504"/>
      <c r="D762" s="504"/>
      <c r="E762" s="506"/>
      <c r="F762" s="506"/>
      <c r="G762" s="506"/>
      <c r="H762" s="506"/>
      <c r="I762" s="506"/>
      <c r="J762" s="506"/>
      <c r="K762" s="507"/>
      <c r="L762" s="508"/>
      <c r="M762" s="508"/>
      <c r="N762" s="508"/>
      <c r="O762" s="509"/>
      <c r="P762" s="509"/>
    </row>
    <row r="763" spans="1:16" ht="21.75" customHeight="1" x14ac:dyDescent="0.3">
      <c r="A763" s="504"/>
      <c r="B763" s="504"/>
      <c r="C763" s="504"/>
      <c r="D763" s="504"/>
      <c r="E763" s="506"/>
      <c r="F763" s="506"/>
      <c r="G763" s="506"/>
      <c r="H763" s="506"/>
      <c r="I763" s="506"/>
      <c r="J763" s="506"/>
      <c r="K763" s="507"/>
      <c r="L763" s="508"/>
      <c r="M763" s="508"/>
      <c r="N763" s="508"/>
      <c r="O763" s="509"/>
      <c r="P763" s="509"/>
    </row>
    <row r="764" spans="1:16" ht="21.75" customHeight="1" x14ac:dyDescent="0.3">
      <c r="A764" s="504"/>
      <c r="B764" s="504"/>
      <c r="C764" s="504"/>
      <c r="D764" s="504"/>
      <c r="E764" s="506"/>
      <c r="F764" s="506"/>
      <c r="G764" s="506"/>
      <c r="H764" s="506"/>
      <c r="I764" s="506"/>
      <c r="J764" s="506"/>
      <c r="K764" s="507"/>
      <c r="L764" s="508"/>
      <c r="M764" s="508"/>
      <c r="N764" s="508"/>
      <c r="O764" s="509"/>
      <c r="P764" s="509"/>
    </row>
    <row r="765" spans="1:16" ht="21.75" customHeight="1" x14ac:dyDescent="0.3">
      <c r="A765" s="504"/>
      <c r="B765" s="504"/>
      <c r="C765" s="504"/>
      <c r="D765" s="504"/>
      <c r="E765" s="506"/>
      <c r="F765" s="506"/>
      <c r="G765" s="506"/>
      <c r="H765" s="506"/>
      <c r="I765" s="506"/>
      <c r="J765" s="506"/>
      <c r="K765" s="507"/>
      <c r="L765" s="508"/>
      <c r="M765" s="508"/>
      <c r="N765" s="508"/>
      <c r="O765" s="509"/>
      <c r="P765" s="509"/>
    </row>
    <row r="766" spans="1:16" ht="21.75" customHeight="1" x14ac:dyDescent="0.3">
      <c r="A766" s="504"/>
      <c r="B766" s="504"/>
      <c r="C766" s="504"/>
      <c r="D766" s="504"/>
      <c r="E766" s="506"/>
      <c r="F766" s="506"/>
      <c r="G766" s="506"/>
      <c r="H766" s="506"/>
      <c r="I766" s="506"/>
      <c r="J766" s="506"/>
      <c r="K766" s="507"/>
      <c r="L766" s="508"/>
      <c r="M766" s="508"/>
      <c r="N766" s="508"/>
      <c r="O766" s="509"/>
      <c r="P766" s="509"/>
    </row>
    <row r="767" spans="1:16" ht="21.75" customHeight="1" x14ac:dyDescent="0.3">
      <c r="A767" s="504"/>
      <c r="B767" s="504"/>
      <c r="C767" s="504"/>
      <c r="D767" s="504"/>
      <c r="E767" s="506"/>
      <c r="F767" s="506"/>
      <c r="G767" s="506"/>
      <c r="H767" s="506"/>
      <c r="I767" s="506"/>
      <c r="J767" s="506"/>
      <c r="K767" s="507"/>
      <c r="L767" s="508"/>
      <c r="M767" s="508"/>
      <c r="N767" s="508"/>
      <c r="O767" s="509"/>
      <c r="P767" s="509"/>
    </row>
    <row r="768" spans="1:16" ht="21.75" customHeight="1" x14ac:dyDescent="0.3">
      <c r="A768" s="504"/>
      <c r="B768" s="504"/>
      <c r="C768" s="504"/>
      <c r="D768" s="504"/>
      <c r="E768" s="506"/>
      <c r="F768" s="506"/>
      <c r="G768" s="506"/>
      <c r="H768" s="506"/>
      <c r="I768" s="506"/>
      <c r="J768" s="506"/>
      <c r="K768" s="507"/>
      <c r="L768" s="508"/>
      <c r="M768" s="508"/>
      <c r="N768" s="508"/>
      <c r="O768" s="509"/>
      <c r="P768" s="509"/>
    </row>
    <row r="769" spans="1:16" ht="21.75" customHeight="1" x14ac:dyDescent="0.3">
      <c r="A769" s="504"/>
      <c r="B769" s="504"/>
      <c r="C769" s="504"/>
      <c r="D769" s="504"/>
      <c r="E769" s="506"/>
      <c r="F769" s="506"/>
      <c r="G769" s="506"/>
      <c r="H769" s="506"/>
      <c r="I769" s="506"/>
      <c r="J769" s="506"/>
      <c r="K769" s="507"/>
      <c r="L769" s="508"/>
      <c r="M769" s="508"/>
      <c r="N769" s="508"/>
      <c r="O769" s="509"/>
      <c r="P769" s="509"/>
    </row>
    <row r="770" spans="1:16" ht="21.75" customHeight="1" x14ac:dyDescent="0.3">
      <c r="A770" s="504"/>
      <c r="B770" s="504"/>
      <c r="C770" s="504"/>
      <c r="D770" s="504"/>
      <c r="E770" s="506"/>
      <c r="F770" s="506"/>
      <c r="G770" s="506"/>
      <c r="H770" s="506"/>
      <c r="I770" s="506"/>
      <c r="J770" s="506"/>
      <c r="K770" s="507"/>
      <c r="L770" s="508"/>
      <c r="M770" s="508"/>
      <c r="N770" s="508"/>
      <c r="O770" s="509"/>
      <c r="P770" s="509"/>
    </row>
    <row r="771" spans="1:16" ht="21.75" customHeight="1" x14ac:dyDescent="0.3">
      <c r="A771" s="504"/>
      <c r="B771" s="504"/>
      <c r="C771" s="504"/>
      <c r="D771" s="504"/>
      <c r="E771" s="506"/>
      <c r="F771" s="506"/>
      <c r="G771" s="506"/>
      <c r="H771" s="506"/>
      <c r="I771" s="506"/>
      <c r="J771" s="506"/>
      <c r="K771" s="507"/>
      <c r="L771" s="508"/>
      <c r="M771" s="508"/>
      <c r="N771" s="508"/>
      <c r="O771" s="509"/>
      <c r="P771" s="509"/>
    </row>
    <row r="772" spans="1:16" ht="21.75" customHeight="1" x14ac:dyDescent="0.3">
      <c r="A772" s="504"/>
      <c r="B772" s="504"/>
      <c r="C772" s="504"/>
      <c r="D772" s="504"/>
      <c r="E772" s="506"/>
      <c r="F772" s="506"/>
      <c r="G772" s="506"/>
      <c r="H772" s="506"/>
      <c r="I772" s="506"/>
      <c r="J772" s="506"/>
      <c r="K772" s="507"/>
      <c r="L772" s="508"/>
      <c r="M772" s="508"/>
      <c r="N772" s="508"/>
      <c r="O772" s="509"/>
      <c r="P772" s="509"/>
    </row>
    <row r="773" spans="1:16" ht="21.75" customHeight="1" x14ac:dyDescent="0.3">
      <c r="A773" s="504"/>
      <c r="B773" s="504"/>
      <c r="C773" s="504"/>
      <c r="D773" s="504"/>
      <c r="E773" s="506"/>
      <c r="F773" s="506"/>
      <c r="G773" s="506"/>
      <c r="H773" s="506"/>
      <c r="I773" s="506"/>
      <c r="J773" s="506"/>
      <c r="K773" s="507"/>
      <c r="L773" s="508"/>
      <c r="M773" s="508"/>
      <c r="N773" s="508"/>
      <c r="O773" s="509"/>
      <c r="P773" s="509"/>
    </row>
    <row r="774" spans="1:16" ht="21.75" customHeight="1" x14ac:dyDescent="0.3">
      <c r="A774" s="504"/>
      <c r="B774" s="504"/>
      <c r="C774" s="504"/>
      <c r="D774" s="504"/>
      <c r="E774" s="506"/>
      <c r="F774" s="506"/>
      <c r="G774" s="506"/>
      <c r="H774" s="506"/>
      <c r="I774" s="506"/>
      <c r="J774" s="506"/>
      <c r="K774" s="507"/>
      <c r="L774" s="508"/>
      <c r="M774" s="508"/>
      <c r="N774" s="508"/>
      <c r="O774" s="509"/>
      <c r="P774" s="509"/>
    </row>
    <row r="775" spans="1:16" ht="21.75" customHeight="1" x14ac:dyDescent="0.3">
      <c r="A775" s="504"/>
      <c r="B775" s="504"/>
      <c r="C775" s="504"/>
      <c r="D775" s="504"/>
      <c r="E775" s="506"/>
      <c r="F775" s="506"/>
      <c r="G775" s="506"/>
      <c r="H775" s="506"/>
      <c r="I775" s="506"/>
      <c r="J775" s="506"/>
      <c r="K775" s="507"/>
      <c r="L775" s="508"/>
      <c r="M775" s="508"/>
      <c r="N775" s="508"/>
      <c r="O775" s="509"/>
      <c r="P775" s="509"/>
    </row>
    <row r="776" spans="1:16" ht="21.75" customHeight="1" x14ac:dyDescent="0.3">
      <c r="A776" s="504"/>
      <c r="B776" s="504"/>
      <c r="C776" s="504"/>
      <c r="D776" s="504"/>
      <c r="E776" s="506"/>
      <c r="F776" s="506"/>
      <c r="G776" s="506"/>
      <c r="H776" s="506"/>
      <c r="I776" s="506"/>
      <c r="J776" s="506"/>
      <c r="K776" s="507"/>
      <c r="L776" s="508"/>
      <c r="M776" s="508"/>
      <c r="N776" s="508"/>
      <c r="O776" s="509"/>
      <c r="P776" s="509"/>
    </row>
    <row r="777" spans="1:16" ht="21.75" customHeight="1" x14ac:dyDescent="0.3">
      <c r="A777" s="504"/>
      <c r="B777" s="504"/>
      <c r="C777" s="504"/>
      <c r="D777" s="504"/>
      <c r="E777" s="506"/>
      <c r="F777" s="506"/>
      <c r="G777" s="506"/>
      <c r="H777" s="506"/>
      <c r="I777" s="506"/>
      <c r="J777" s="506"/>
      <c r="K777" s="507"/>
      <c r="L777" s="508"/>
      <c r="M777" s="508"/>
      <c r="N777" s="508"/>
      <c r="O777" s="509"/>
      <c r="P777" s="509"/>
    </row>
    <row r="778" spans="1:16" ht="21.75" customHeight="1" x14ac:dyDescent="0.3">
      <c r="A778" s="504"/>
      <c r="B778" s="504"/>
      <c r="C778" s="504"/>
      <c r="D778" s="504"/>
      <c r="E778" s="506"/>
      <c r="F778" s="506"/>
      <c r="G778" s="506"/>
      <c r="H778" s="506"/>
      <c r="I778" s="506"/>
      <c r="J778" s="506"/>
      <c r="K778" s="507"/>
      <c r="L778" s="508"/>
      <c r="M778" s="508"/>
      <c r="N778" s="508"/>
      <c r="O778" s="509"/>
      <c r="P778" s="509"/>
    </row>
    <row r="779" spans="1:16" ht="21.75" customHeight="1" x14ac:dyDescent="0.3">
      <c r="A779" s="504"/>
      <c r="B779" s="504"/>
      <c r="C779" s="504"/>
      <c r="D779" s="504"/>
      <c r="E779" s="506"/>
      <c r="F779" s="506"/>
      <c r="G779" s="506"/>
      <c r="H779" s="506"/>
      <c r="I779" s="506"/>
      <c r="J779" s="506"/>
      <c r="K779" s="507"/>
      <c r="L779" s="508"/>
      <c r="M779" s="508"/>
      <c r="N779" s="508"/>
      <c r="O779" s="509"/>
      <c r="P779" s="509"/>
    </row>
    <row r="780" spans="1:16" ht="21.75" customHeight="1" x14ac:dyDescent="0.3">
      <c r="A780" s="504"/>
      <c r="B780" s="504"/>
      <c r="C780" s="504"/>
      <c r="D780" s="504"/>
      <c r="E780" s="506"/>
      <c r="F780" s="506"/>
      <c r="G780" s="506"/>
      <c r="H780" s="506"/>
      <c r="I780" s="506"/>
      <c r="J780" s="506"/>
      <c r="K780" s="507"/>
      <c r="L780" s="508"/>
      <c r="M780" s="508"/>
      <c r="N780" s="508"/>
      <c r="O780" s="509"/>
      <c r="P780" s="509"/>
    </row>
    <row r="781" spans="1:16" ht="21.75" customHeight="1" x14ac:dyDescent="0.3">
      <c r="A781" s="504"/>
      <c r="B781" s="504"/>
      <c r="C781" s="504"/>
      <c r="D781" s="504"/>
      <c r="E781" s="506"/>
      <c r="F781" s="506"/>
      <c r="G781" s="506"/>
      <c r="H781" s="506"/>
      <c r="I781" s="506"/>
      <c r="J781" s="506"/>
      <c r="K781" s="507"/>
      <c r="L781" s="508"/>
      <c r="M781" s="508"/>
      <c r="N781" s="508"/>
      <c r="O781" s="509"/>
      <c r="P781" s="509"/>
    </row>
    <row r="782" spans="1:16" ht="21.75" customHeight="1" x14ac:dyDescent="0.3">
      <c r="A782" s="504"/>
      <c r="B782" s="504"/>
      <c r="C782" s="504"/>
      <c r="D782" s="504"/>
      <c r="E782" s="506"/>
      <c r="F782" s="506"/>
      <c r="G782" s="506"/>
      <c r="H782" s="506"/>
      <c r="I782" s="506"/>
      <c r="J782" s="506"/>
      <c r="K782" s="507"/>
      <c r="L782" s="508"/>
      <c r="M782" s="508"/>
      <c r="N782" s="508"/>
      <c r="O782" s="509"/>
      <c r="P782" s="509"/>
    </row>
    <row r="783" spans="1:16" ht="21.75" customHeight="1" x14ac:dyDescent="0.3">
      <c r="A783" s="504"/>
      <c r="B783" s="504"/>
      <c r="C783" s="504"/>
      <c r="D783" s="504"/>
      <c r="E783" s="506"/>
      <c r="F783" s="506"/>
      <c r="G783" s="506"/>
      <c r="H783" s="506"/>
      <c r="I783" s="506"/>
      <c r="J783" s="506"/>
      <c r="K783" s="507"/>
      <c r="L783" s="508"/>
      <c r="M783" s="508"/>
      <c r="N783" s="508"/>
      <c r="O783" s="509"/>
      <c r="P783" s="509"/>
    </row>
    <row r="784" spans="1:16" ht="21.75" customHeight="1" x14ac:dyDescent="0.3">
      <c r="A784" s="504"/>
      <c r="B784" s="504"/>
      <c r="C784" s="504"/>
      <c r="D784" s="504"/>
      <c r="E784" s="506"/>
      <c r="F784" s="506"/>
      <c r="G784" s="506"/>
      <c r="H784" s="506"/>
      <c r="I784" s="506"/>
      <c r="J784" s="506"/>
      <c r="K784" s="507"/>
      <c r="L784" s="508"/>
      <c r="M784" s="508"/>
      <c r="N784" s="508"/>
      <c r="O784" s="509"/>
      <c r="P784" s="509"/>
    </row>
    <row r="785" spans="1:16" ht="21.75" customHeight="1" x14ac:dyDescent="0.3">
      <c r="A785" s="504"/>
      <c r="B785" s="504"/>
      <c r="C785" s="504"/>
      <c r="D785" s="504"/>
      <c r="E785" s="506"/>
      <c r="F785" s="506"/>
      <c r="G785" s="506"/>
      <c r="H785" s="506"/>
      <c r="I785" s="506"/>
      <c r="J785" s="506"/>
      <c r="K785" s="507"/>
      <c r="L785" s="508"/>
      <c r="M785" s="508"/>
      <c r="N785" s="508"/>
      <c r="O785" s="509"/>
      <c r="P785" s="509"/>
    </row>
    <row r="786" spans="1:16" ht="21.75" customHeight="1" x14ac:dyDescent="0.3">
      <c r="A786" s="504"/>
      <c r="B786" s="504"/>
      <c r="C786" s="504"/>
      <c r="D786" s="504"/>
      <c r="E786" s="506"/>
      <c r="F786" s="506"/>
      <c r="G786" s="506"/>
      <c r="H786" s="506"/>
      <c r="I786" s="506"/>
      <c r="J786" s="506"/>
      <c r="K786" s="507"/>
      <c r="L786" s="508"/>
      <c r="M786" s="508"/>
      <c r="N786" s="508"/>
      <c r="O786" s="509"/>
      <c r="P786" s="509"/>
    </row>
    <row r="787" spans="1:16" ht="21.75" customHeight="1" x14ac:dyDescent="0.3">
      <c r="A787" s="504"/>
      <c r="B787" s="504"/>
      <c r="C787" s="504"/>
      <c r="D787" s="504"/>
      <c r="E787" s="506"/>
      <c r="F787" s="506"/>
      <c r="G787" s="506"/>
      <c r="H787" s="506"/>
      <c r="I787" s="506"/>
      <c r="J787" s="506"/>
      <c r="K787" s="507"/>
      <c r="L787" s="508"/>
      <c r="M787" s="508"/>
      <c r="N787" s="508"/>
      <c r="O787" s="509"/>
      <c r="P787" s="509"/>
    </row>
    <row r="788" spans="1:16" ht="21.75" customHeight="1" x14ac:dyDescent="0.3">
      <c r="A788" s="504"/>
      <c r="B788" s="504"/>
      <c r="C788" s="504"/>
      <c r="D788" s="504"/>
      <c r="E788" s="506"/>
      <c r="F788" s="506"/>
      <c r="G788" s="506"/>
      <c r="H788" s="506"/>
      <c r="I788" s="506"/>
      <c r="J788" s="506"/>
      <c r="K788" s="507"/>
      <c r="L788" s="508"/>
      <c r="M788" s="508"/>
      <c r="N788" s="508"/>
      <c r="O788" s="509"/>
      <c r="P788" s="509"/>
    </row>
    <row r="789" spans="1:16" ht="21.75" customHeight="1" x14ac:dyDescent="0.3">
      <c r="A789" s="504"/>
      <c r="B789" s="504"/>
      <c r="C789" s="504"/>
      <c r="D789" s="504"/>
      <c r="E789" s="506"/>
      <c r="F789" s="506"/>
      <c r="G789" s="506"/>
      <c r="H789" s="506"/>
      <c r="I789" s="506"/>
      <c r="J789" s="506"/>
      <c r="K789" s="507"/>
      <c r="L789" s="508"/>
      <c r="M789" s="508"/>
      <c r="N789" s="508"/>
      <c r="O789" s="509"/>
      <c r="P789" s="509"/>
    </row>
    <row r="790" spans="1:16" ht="21.75" customHeight="1" x14ac:dyDescent="0.3">
      <c r="A790" s="504"/>
      <c r="B790" s="504"/>
      <c r="C790" s="504"/>
      <c r="D790" s="504"/>
      <c r="E790" s="506"/>
      <c r="F790" s="506"/>
      <c r="G790" s="506"/>
      <c r="H790" s="506"/>
      <c r="I790" s="506"/>
      <c r="J790" s="506"/>
      <c r="K790" s="507"/>
      <c r="L790" s="508"/>
      <c r="M790" s="508"/>
      <c r="N790" s="508"/>
      <c r="O790" s="509"/>
      <c r="P790" s="509"/>
    </row>
    <row r="791" spans="1:16" ht="21.75" customHeight="1" x14ac:dyDescent="0.3">
      <c r="A791" s="504"/>
      <c r="B791" s="504"/>
      <c r="C791" s="504"/>
      <c r="D791" s="504"/>
      <c r="E791" s="506"/>
      <c r="F791" s="506"/>
      <c r="G791" s="506"/>
      <c r="H791" s="506"/>
      <c r="I791" s="506"/>
      <c r="J791" s="506"/>
      <c r="K791" s="507"/>
      <c r="L791" s="508"/>
      <c r="M791" s="508"/>
      <c r="N791" s="508"/>
      <c r="O791" s="509"/>
      <c r="P791" s="509"/>
    </row>
    <row r="792" spans="1:16" ht="21.75" customHeight="1" x14ac:dyDescent="0.3">
      <c r="A792" s="504"/>
      <c r="B792" s="504"/>
      <c r="C792" s="504"/>
      <c r="D792" s="504"/>
      <c r="E792" s="506"/>
      <c r="F792" s="506"/>
      <c r="G792" s="506"/>
      <c r="H792" s="506"/>
      <c r="I792" s="506"/>
      <c r="J792" s="506"/>
      <c r="K792" s="507"/>
      <c r="L792" s="508"/>
      <c r="M792" s="508"/>
      <c r="N792" s="508"/>
      <c r="O792" s="509"/>
      <c r="P792" s="509"/>
    </row>
    <row r="793" spans="1:16" ht="21.75" customHeight="1" x14ac:dyDescent="0.3">
      <c r="A793" s="504"/>
      <c r="B793" s="504"/>
      <c r="C793" s="504"/>
      <c r="D793" s="504"/>
      <c r="E793" s="506"/>
      <c r="F793" s="506"/>
      <c r="G793" s="506"/>
      <c r="H793" s="506"/>
      <c r="I793" s="506"/>
      <c r="J793" s="506"/>
      <c r="K793" s="507"/>
      <c r="L793" s="508"/>
      <c r="M793" s="508"/>
      <c r="N793" s="508"/>
      <c r="O793" s="509"/>
      <c r="P793" s="509"/>
    </row>
    <row r="794" spans="1:16" ht="21.75" customHeight="1" x14ac:dyDescent="0.3">
      <c r="A794" s="504"/>
      <c r="B794" s="504"/>
      <c r="C794" s="504"/>
      <c r="D794" s="504"/>
      <c r="E794" s="506"/>
      <c r="F794" s="506"/>
      <c r="G794" s="506"/>
      <c r="H794" s="506"/>
      <c r="I794" s="506"/>
      <c r="J794" s="506"/>
      <c r="K794" s="507"/>
      <c r="L794" s="508"/>
      <c r="M794" s="508"/>
      <c r="N794" s="508"/>
      <c r="O794" s="509"/>
      <c r="P794" s="509"/>
    </row>
    <row r="795" spans="1:16" ht="21.75" customHeight="1" x14ac:dyDescent="0.3">
      <c r="A795" s="504"/>
      <c r="B795" s="504"/>
      <c r="C795" s="504"/>
      <c r="D795" s="504"/>
      <c r="E795" s="506"/>
      <c r="F795" s="506"/>
      <c r="G795" s="506"/>
      <c r="H795" s="506"/>
      <c r="I795" s="506"/>
      <c r="J795" s="506"/>
      <c r="K795" s="507"/>
      <c r="L795" s="508"/>
      <c r="M795" s="508"/>
      <c r="N795" s="508"/>
      <c r="O795" s="509"/>
      <c r="P795" s="509"/>
    </row>
    <row r="796" spans="1:16" ht="21.75" customHeight="1" x14ac:dyDescent="0.3">
      <c r="A796" s="504"/>
      <c r="B796" s="504"/>
      <c r="C796" s="504"/>
      <c r="D796" s="504"/>
      <c r="E796" s="506"/>
      <c r="F796" s="506"/>
      <c r="G796" s="506"/>
      <c r="H796" s="506"/>
      <c r="I796" s="506"/>
      <c r="J796" s="506"/>
      <c r="K796" s="507"/>
      <c r="L796" s="508"/>
      <c r="M796" s="508"/>
      <c r="N796" s="508"/>
      <c r="O796" s="509"/>
      <c r="P796" s="509"/>
    </row>
    <row r="797" spans="1:16" ht="21.75" customHeight="1" x14ac:dyDescent="0.3">
      <c r="A797" s="504"/>
      <c r="B797" s="504"/>
      <c r="C797" s="504"/>
      <c r="D797" s="504"/>
      <c r="E797" s="506"/>
      <c r="F797" s="506"/>
      <c r="G797" s="506"/>
      <c r="H797" s="506"/>
      <c r="I797" s="506"/>
      <c r="J797" s="506"/>
      <c r="K797" s="507"/>
      <c r="L797" s="508"/>
      <c r="M797" s="508"/>
      <c r="N797" s="508"/>
      <c r="O797" s="509"/>
      <c r="P797" s="509"/>
    </row>
    <row r="798" spans="1:16" ht="21.75" customHeight="1" x14ac:dyDescent="0.3">
      <c r="A798" s="504"/>
      <c r="B798" s="504"/>
      <c r="C798" s="504"/>
      <c r="D798" s="504"/>
      <c r="E798" s="506"/>
      <c r="F798" s="506"/>
      <c r="G798" s="506"/>
      <c r="H798" s="506"/>
      <c r="I798" s="506"/>
      <c r="J798" s="506"/>
      <c r="K798" s="507"/>
      <c r="L798" s="508"/>
      <c r="M798" s="508"/>
      <c r="N798" s="508"/>
      <c r="O798" s="509"/>
      <c r="P798" s="509"/>
    </row>
    <row r="799" spans="1:16" ht="21.75" customHeight="1" x14ac:dyDescent="0.3">
      <c r="A799" s="504"/>
      <c r="B799" s="504"/>
      <c r="C799" s="504"/>
      <c r="D799" s="504"/>
      <c r="E799" s="506"/>
      <c r="F799" s="506"/>
      <c r="G799" s="506"/>
      <c r="H799" s="506"/>
      <c r="I799" s="506"/>
      <c r="J799" s="506"/>
      <c r="K799" s="507"/>
      <c r="L799" s="508"/>
      <c r="M799" s="508"/>
      <c r="N799" s="508"/>
      <c r="O799" s="509"/>
      <c r="P799" s="509"/>
    </row>
    <row r="800" spans="1:16" ht="21.75" customHeight="1" x14ac:dyDescent="0.3">
      <c r="A800" s="504"/>
      <c r="B800" s="504"/>
      <c r="C800" s="504"/>
      <c r="D800" s="504"/>
      <c r="E800" s="506"/>
      <c r="F800" s="506"/>
      <c r="G800" s="506"/>
      <c r="H800" s="506"/>
      <c r="I800" s="506"/>
      <c r="J800" s="506"/>
      <c r="K800" s="507"/>
      <c r="L800" s="508"/>
      <c r="M800" s="508"/>
      <c r="N800" s="508"/>
      <c r="O800" s="509"/>
      <c r="P800" s="509"/>
    </row>
    <row r="801" spans="1:16" ht="21.75" customHeight="1" x14ac:dyDescent="0.3">
      <c r="A801" s="504"/>
      <c r="B801" s="504"/>
      <c r="C801" s="504"/>
      <c r="D801" s="504"/>
      <c r="E801" s="506"/>
      <c r="F801" s="506"/>
      <c r="G801" s="506"/>
      <c r="H801" s="506"/>
      <c r="I801" s="506"/>
      <c r="J801" s="506"/>
      <c r="K801" s="507"/>
      <c r="L801" s="508"/>
      <c r="M801" s="508"/>
      <c r="N801" s="508"/>
      <c r="O801" s="509"/>
      <c r="P801" s="509"/>
    </row>
    <row r="802" spans="1:16" ht="21.75" customHeight="1" x14ac:dyDescent="0.3">
      <c r="A802" s="504"/>
      <c r="B802" s="504"/>
      <c r="C802" s="504"/>
      <c r="D802" s="504"/>
      <c r="E802" s="506"/>
      <c r="F802" s="506"/>
      <c r="G802" s="506"/>
      <c r="H802" s="506"/>
      <c r="I802" s="506"/>
      <c r="J802" s="506"/>
      <c r="K802" s="507"/>
      <c r="L802" s="508"/>
      <c r="M802" s="508"/>
      <c r="N802" s="508"/>
      <c r="O802" s="509"/>
      <c r="P802" s="509"/>
    </row>
    <row r="803" spans="1:16" ht="21.75" customHeight="1" x14ac:dyDescent="0.3">
      <c r="A803" s="504"/>
      <c r="B803" s="504"/>
      <c r="C803" s="504"/>
      <c r="D803" s="504"/>
      <c r="E803" s="506"/>
      <c r="F803" s="506"/>
      <c r="G803" s="506"/>
      <c r="H803" s="506"/>
      <c r="I803" s="506"/>
      <c r="J803" s="506"/>
      <c r="K803" s="507"/>
      <c r="L803" s="508"/>
      <c r="M803" s="508"/>
      <c r="N803" s="508"/>
      <c r="O803" s="509"/>
      <c r="P803" s="509"/>
    </row>
    <row r="804" spans="1:16" ht="21.75" customHeight="1" x14ac:dyDescent="0.3">
      <c r="A804" s="504"/>
      <c r="B804" s="504"/>
      <c r="C804" s="504"/>
      <c r="D804" s="504"/>
      <c r="E804" s="506"/>
      <c r="F804" s="506"/>
      <c r="G804" s="506"/>
      <c r="H804" s="506"/>
      <c r="I804" s="506"/>
      <c r="J804" s="506"/>
      <c r="K804" s="507"/>
      <c r="L804" s="508"/>
      <c r="M804" s="508"/>
      <c r="N804" s="508"/>
      <c r="O804" s="509"/>
      <c r="P804" s="509"/>
    </row>
    <row r="805" spans="1:16" ht="21.75" customHeight="1" x14ac:dyDescent="0.3">
      <c r="A805" s="504"/>
      <c r="B805" s="504"/>
      <c r="C805" s="504"/>
      <c r="D805" s="504"/>
      <c r="E805" s="506"/>
      <c r="F805" s="506"/>
      <c r="G805" s="506"/>
      <c r="H805" s="506"/>
      <c r="I805" s="506"/>
      <c r="J805" s="506"/>
      <c r="K805" s="507"/>
      <c r="L805" s="508"/>
      <c r="M805" s="508"/>
      <c r="N805" s="508"/>
      <c r="O805" s="509"/>
      <c r="P805" s="509"/>
    </row>
    <row r="806" spans="1:16" ht="21.75" customHeight="1" x14ac:dyDescent="0.3">
      <c r="A806" s="504"/>
      <c r="B806" s="504"/>
      <c r="C806" s="504"/>
      <c r="D806" s="504"/>
      <c r="E806" s="506"/>
      <c r="F806" s="506"/>
      <c r="G806" s="506"/>
      <c r="H806" s="506"/>
      <c r="I806" s="506"/>
      <c r="J806" s="506"/>
      <c r="K806" s="507"/>
      <c r="L806" s="508"/>
      <c r="M806" s="508"/>
      <c r="N806" s="508"/>
      <c r="O806" s="509"/>
      <c r="P806" s="509"/>
    </row>
    <row r="807" spans="1:16" ht="21.75" customHeight="1" x14ac:dyDescent="0.3">
      <c r="A807" s="504"/>
      <c r="B807" s="504"/>
      <c r="C807" s="504"/>
      <c r="D807" s="504"/>
      <c r="E807" s="506"/>
      <c r="F807" s="506"/>
      <c r="G807" s="506"/>
      <c r="H807" s="506"/>
      <c r="I807" s="506"/>
      <c r="J807" s="506"/>
      <c r="K807" s="507"/>
      <c r="L807" s="508"/>
      <c r="M807" s="508"/>
      <c r="N807" s="508"/>
      <c r="O807" s="509"/>
      <c r="P807" s="509"/>
    </row>
    <row r="808" spans="1:16" ht="21.75" customHeight="1" x14ac:dyDescent="0.3">
      <c r="A808" s="504"/>
      <c r="B808" s="504"/>
      <c r="C808" s="504"/>
      <c r="D808" s="504"/>
      <c r="E808" s="506"/>
      <c r="F808" s="506"/>
      <c r="G808" s="506"/>
      <c r="H808" s="506"/>
      <c r="I808" s="506"/>
      <c r="J808" s="506"/>
      <c r="K808" s="507"/>
      <c r="L808" s="508"/>
      <c r="M808" s="508"/>
      <c r="N808" s="508"/>
      <c r="O808" s="509"/>
      <c r="P808" s="509"/>
    </row>
    <row r="809" spans="1:16" ht="21.75" customHeight="1" x14ac:dyDescent="0.3">
      <c r="A809" s="504"/>
      <c r="B809" s="504"/>
      <c r="C809" s="504"/>
      <c r="D809" s="504"/>
      <c r="E809" s="506"/>
      <c r="F809" s="506"/>
      <c r="G809" s="506"/>
      <c r="H809" s="506"/>
      <c r="I809" s="506"/>
      <c r="J809" s="506"/>
      <c r="K809" s="507"/>
      <c r="L809" s="508"/>
      <c r="M809" s="508"/>
      <c r="N809" s="508"/>
      <c r="O809" s="509"/>
      <c r="P809" s="509"/>
    </row>
    <row r="810" spans="1:16" ht="21.75" customHeight="1" x14ac:dyDescent="0.3">
      <c r="A810" s="504"/>
      <c r="B810" s="504"/>
      <c r="C810" s="504"/>
      <c r="D810" s="504"/>
      <c r="E810" s="506"/>
      <c r="F810" s="506"/>
      <c r="G810" s="506"/>
      <c r="H810" s="506"/>
      <c r="I810" s="506"/>
      <c r="J810" s="506"/>
      <c r="K810" s="507"/>
      <c r="L810" s="508"/>
      <c r="M810" s="508"/>
      <c r="N810" s="508"/>
      <c r="O810" s="509"/>
      <c r="P810" s="509"/>
    </row>
    <row r="811" spans="1:16" ht="21.75" customHeight="1" x14ac:dyDescent="0.3">
      <c r="A811" s="504"/>
      <c r="B811" s="504"/>
      <c r="C811" s="504"/>
      <c r="D811" s="504"/>
      <c r="E811" s="506"/>
      <c r="F811" s="506"/>
      <c r="G811" s="506"/>
      <c r="H811" s="506"/>
      <c r="I811" s="506"/>
      <c r="J811" s="506"/>
      <c r="K811" s="507"/>
      <c r="L811" s="508"/>
      <c r="M811" s="508"/>
      <c r="N811" s="508"/>
      <c r="O811" s="509"/>
      <c r="P811" s="509"/>
    </row>
    <row r="812" spans="1:16" ht="21.75" customHeight="1" x14ac:dyDescent="0.3">
      <c r="A812" s="504"/>
      <c r="B812" s="504"/>
      <c r="C812" s="504"/>
      <c r="D812" s="504"/>
      <c r="E812" s="506"/>
      <c r="F812" s="506"/>
      <c r="G812" s="506"/>
      <c r="H812" s="506"/>
      <c r="I812" s="506"/>
      <c r="J812" s="506"/>
      <c r="K812" s="507"/>
      <c r="L812" s="508"/>
      <c r="M812" s="508"/>
      <c r="N812" s="508"/>
      <c r="O812" s="509"/>
      <c r="P812" s="509"/>
    </row>
    <row r="813" spans="1:16" ht="21.75" customHeight="1" x14ac:dyDescent="0.3">
      <c r="A813" s="504"/>
      <c r="B813" s="504"/>
      <c r="C813" s="504"/>
      <c r="D813" s="504"/>
      <c r="E813" s="506"/>
      <c r="F813" s="506"/>
      <c r="G813" s="506"/>
      <c r="H813" s="506"/>
      <c r="I813" s="506"/>
      <c r="J813" s="506"/>
      <c r="K813" s="507"/>
      <c r="L813" s="508"/>
      <c r="M813" s="508"/>
      <c r="N813" s="508"/>
      <c r="O813" s="509"/>
      <c r="P813" s="509"/>
    </row>
    <row r="814" spans="1:16" ht="21.75" customHeight="1" x14ac:dyDescent="0.3">
      <c r="A814" s="504"/>
      <c r="B814" s="504"/>
      <c r="C814" s="504"/>
      <c r="D814" s="504"/>
      <c r="E814" s="506"/>
      <c r="F814" s="506"/>
      <c r="G814" s="506"/>
      <c r="H814" s="506"/>
      <c r="I814" s="506"/>
      <c r="J814" s="506"/>
      <c r="K814" s="507"/>
      <c r="L814" s="508"/>
      <c r="M814" s="508"/>
      <c r="N814" s="508"/>
      <c r="O814" s="509"/>
      <c r="P814" s="509"/>
    </row>
    <row r="815" spans="1:16" ht="21.75" customHeight="1" x14ac:dyDescent="0.3">
      <c r="A815" s="504"/>
      <c r="B815" s="504"/>
      <c r="C815" s="504"/>
      <c r="D815" s="504"/>
      <c r="E815" s="506"/>
      <c r="F815" s="506"/>
      <c r="G815" s="506"/>
      <c r="H815" s="506"/>
      <c r="I815" s="506"/>
      <c r="J815" s="506"/>
      <c r="K815" s="507"/>
      <c r="L815" s="508"/>
      <c r="M815" s="508"/>
      <c r="N815" s="508"/>
      <c r="O815" s="509"/>
      <c r="P815" s="509"/>
    </row>
    <row r="816" spans="1:16" ht="21.75" customHeight="1" x14ac:dyDescent="0.3">
      <c r="A816" s="504"/>
      <c r="B816" s="504"/>
      <c r="C816" s="504"/>
      <c r="D816" s="504"/>
      <c r="E816" s="506"/>
      <c r="F816" s="506"/>
      <c r="G816" s="506"/>
      <c r="H816" s="506"/>
      <c r="I816" s="506"/>
      <c r="J816" s="506"/>
      <c r="K816" s="507"/>
      <c r="L816" s="508"/>
      <c r="M816" s="508"/>
      <c r="N816" s="508"/>
      <c r="O816" s="509"/>
      <c r="P816" s="509"/>
    </row>
    <row r="817" spans="1:16" ht="21.75" customHeight="1" x14ac:dyDescent="0.3">
      <c r="A817" s="504"/>
      <c r="B817" s="504"/>
      <c r="C817" s="504"/>
      <c r="D817" s="504"/>
      <c r="E817" s="506"/>
      <c r="F817" s="506"/>
      <c r="G817" s="506"/>
      <c r="H817" s="506"/>
      <c r="I817" s="506"/>
      <c r="J817" s="506"/>
      <c r="K817" s="507"/>
      <c r="L817" s="508"/>
      <c r="M817" s="508"/>
      <c r="N817" s="508"/>
      <c r="O817" s="509"/>
      <c r="P817" s="509"/>
    </row>
    <row r="818" spans="1:16" ht="21.75" customHeight="1" x14ac:dyDescent="0.3">
      <c r="A818" s="504"/>
      <c r="B818" s="504"/>
      <c r="C818" s="504"/>
      <c r="D818" s="504"/>
      <c r="E818" s="506"/>
      <c r="F818" s="506"/>
      <c r="G818" s="506"/>
      <c r="H818" s="506"/>
      <c r="I818" s="506"/>
      <c r="J818" s="506"/>
      <c r="K818" s="507"/>
      <c r="L818" s="508"/>
      <c r="M818" s="508"/>
      <c r="N818" s="508"/>
      <c r="O818" s="509"/>
      <c r="P818" s="509"/>
    </row>
    <row r="819" spans="1:16" ht="21.75" customHeight="1" x14ac:dyDescent="0.3">
      <c r="A819" s="504"/>
      <c r="B819" s="504"/>
      <c r="C819" s="504"/>
      <c r="D819" s="504"/>
      <c r="E819" s="506"/>
      <c r="F819" s="506"/>
      <c r="G819" s="506"/>
      <c r="H819" s="506"/>
      <c r="I819" s="506"/>
      <c r="J819" s="506"/>
      <c r="K819" s="507"/>
      <c r="L819" s="508"/>
      <c r="M819" s="508"/>
      <c r="N819" s="508"/>
      <c r="O819" s="509"/>
      <c r="P819" s="509"/>
    </row>
    <row r="820" spans="1:16" ht="21.75" customHeight="1" x14ac:dyDescent="0.3">
      <c r="A820" s="504"/>
      <c r="B820" s="504"/>
      <c r="C820" s="504"/>
      <c r="D820" s="504"/>
      <c r="E820" s="506"/>
      <c r="F820" s="506"/>
      <c r="G820" s="506"/>
      <c r="H820" s="506"/>
      <c r="I820" s="506"/>
      <c r="J820" s="506"/>
      <c r="K820" s="507"/>
      <c r="L820" s="508"/>
      <c r="M820" s="508"/>
      <c r="N820" s="508"/>
      <c r="O820" s="509"/>
      <c r="P820" s="509"/>
    </row>
    <row r="821" spans="1:16" ht="21.75" customHeight="1" x14ac:dyDescent="0.3">
      <c r="A821" s="504"/>
      <c r="B821" s="504"/>
      <c r="C821" s="504"/>
      <c r="D821" s="504"/>
      <c r="E821" s="506"/>
      <c r="F821" s="506"/>
      <c r="G821" s="506"/>
      <c r="H821" s="506"/>
      <c r="I821" s="506"/>
      <c r="J821" s="506"/>
      <c r="K821" s="507"/>
      <c r="L821" s="508"/>
      <c r="M821" s="508"/>
      <c r="N821" s="508"/>
      <c r="O821" s="509"/>
      <c r="P821" s="509"/>
    </row>
    <row r="822" spans="1:16" ht="21.75" customHeight="1" x14ac:dyDescent="0.3">
      <c r="A822" s="504"/>
      <c r="B822" s="504"/>
      <c r="C822" s="504"/>
      <c r="D822" s="504"/>
      <c r="E822" s="506"/>
      <c r="F822" s="506"/>
      <c r="G822" s="506"/>
      <c r="H822" s="506"/>
      <c r="I822" s="506"/>
      <c r="J822" s="506"/>
      <c r="K822" s="507"/>
      <c r="L822" s="508"/>
      <c r="M822" s="508"/>
      <c r="N822" s="508"/>
      <c r="O822" s="509"/>
      <c r="P822" s="509"/>
    </row>
    <row r="823" spans="1:16" ht="21.75" customHeight="1" x14ac:dyDescent="0.3">
      <c r="A823" s="504"/>
      <c r="B823" s="504"/>
      <c r="C823" s="504"/>
      <c r="D823" s="504"/>
      <c r="E823" s="506"/>
      <c r="F823" s="506"/>
      <c r="G823" s="506"/>
      <c r="H823" s="506"/>
      <c r="I823" s="506"/>
      <c r="J823" s="506"/>
      <c r="K823" s="507"/>
      <c r="L823" s="508"/>
      <c r="M823" s="508"/>
      <c r="N823" s="508"/>
      <c r="O823" s="509"/>
      <c r="P823" s="509"/>
    </row>
    <row r="824" spans="1:16" ht="21.75" customHeight="1" x14ac:dyDescent="0.3">
      <c r="A824" s="504"/>
      <c r="B824" s="504"/>
      <c r="C824" s="504"/>
      <c r="D824" s="504"/>
      <c r="E824" s="506"/>
      <c r="F824" s="506"/>
      <c r="G824" s="506"/>
      <c r="H824" s="506"/>
      <c r="I824" s="506"/>
      <c r="J824" s="506"/>
      <c r="K824" s="507"/>
      <c r="L824" s="508"/>
      <c r="M824" s="508"/>
      <c r="N824" s="508"/>
      <c r="O824" s="509"/>
      <c r="P824" s="509"/>
    </row>
    <row r="825" spans="1:16" ht="21.75" customHeight="1" x14ac:dyDescent="0.3">
      <c r="A825" s="504"/>
      <c r="B825" s="504"/>
      <c r="C825" s="504"/>
      <c r="D825" s="504"/>
      <c r="E825" s="506"/>
      <c r="F825" s="506"/>
      <c r="G825" s="506"/>
      <c r="H825" s="506"/>
      <c r="I825" s="506"/>
      <c r="J825" s="506"/>
      <c r="K825" s="507"/>
      <c r="L825" s="508"/>
      <c r="M825" s="508"/>
      <c r="N825" s="508"/>
      <c r="O825" s="509"/>
      <c r="P825" s="509"/>
    </row>
    <row r="826" spans="1:16" ht="21.75" customHeight="1" x14ac:dyDescent="0.3">
      <c r="A826" s="504"/>
      <c r="B826" s="504"/>
      <c r="C826" s="504"/>
      <c r="D826" s="504"/>
      <c r="E826" s="506"/>
      <c r="F826" s="506"/>
      <c r="G826" s="506"/>
      <c r="H826" s="506"/>
      <c r="I826" s="506"/>
      <c r="J826" s="506"/>
      <c r="K826" s="507"/>
      <c r="L826" s="508"/>
      <c r="M826" s="508"/>
      <c r="N826" s="508"/>
      <c r="O826" s="509"/>
      <c r="P826" s="509"/>
    </row>
    <row r="827" spans="1:16" ht="21.75" customHeight="1" x14ac:dyDescent="0.3">
      <c r="A827" s="504"/>
      <c r="B827" s="504"/>
      <c r="C827" s="504"/>
      <c r="D827" s="504"/>
      <c r="E827" s="506"/>
      <c r="F827" s="506"/>
      <c r="G827" s="506"/>
      <c r="H827" s="506"/>
      <c r="I827" s="506"/>
      <c r="J827" s="506"/>
      <c r="K827" s="507"/>
      <c r="L827" s="508"/>
      <c r="M827" s="508"/>
      <c r="N827" s="508"/>
      <c r="O827" s="509"/>
      <c r="P827" s="509"/>
    </row>
    <row r="828" spans="1:16" ht="21.75" customHeight="1" x14ac:dyDescent="0.3">
      <c r="A828" s="504"/>
      <c r="B828" s="504"/>
      <c r="C828" s="504"/>
      <c r="D828" s="504"/>
      <c r="E828" s="506"/>
      <c r="F828" s="506"/>
      <c r="G828" s="506"/>
      <c r="H828" s="506"/>
      <c r="I828" s="506"/>
      <c r="J828" s="506"/>
      <c r="K828" s="507"/>
      <c r="L828" s="508"/>
      <c r="M828" s="508"/>
      <c r="N828" s="508"/>
      <c r="O828" s="509"/>
      <c r="P828" s="509"/>
    </row>
    <row r="829" spans="1:16" ht="21.75" customHeight="1" x14ac:dyDescent="0.3">
      <c r="A829" s="504"/>
      <c r="B829" s="504"/>
      <c r="C829" s="504"/>
      <c r="D829" s="504"/>
      <c r="E829" s="506"/>
      <c r="F829" s="506"/>
      <c r="G829" s="506"/>
      <c r="H829" s="506"/>
      <c r="I829" s="506"/>
      <c r="J829" s="506"/>
      <c r="K829" s="507"/>
      <c r="L829" s="508"/>
      <c r="M829" s="508"/>
      <c r="N829" s="508"/>
      <c r="O829" s="509"/>
      <c r="P829" s="509"/>
    </row>
    <row r="830" spans="1:16" ht="21.75" customHeight="1" x14ac:dyDescent="0.3">
      <c r="A830" s="504"/>
      <c r="B830" s="504"/>
      <c r="C830" s="504"/>
      <c r="D830" s="504"/>
      <c r="E830" s="506"/>
      <c r="F830" s="506"/>
      <c r="G830" s="506"/>
      <c r="H830" s="506"/>
      <c r="I830" s="506"/>
      <c r="J830" s="506"/>
      <c r="K830" s="507"/>
      <c r="L830" s="508"/>
      <c r="M830" s="508"/>
      <c r="N830" s="508"/>
      <c r="O830" s="509"/>
      <c r="P830" s="509"/>
    </row>
    <row r="831" spans="1:16" ht="21.75" customHeight="1" x14ac:dyDescent="0.3">
      <c r="A831" s="504"/>
      <c r="B831" s="504"/>
      <c r="C831" s="504"/>
      <c r="D831" s="504"/>
      <c r="E831" s="506"/>
      <c r="F831" s="506"/>
      <c r="G831" s="506"/>
      <c r="H831" s="506"/>
      <c r="I831" s="506"/>
      <c r="J831" s="506"/>
      <c r="K831" s="507"/>
      <c r="L831" s="508"/>
      <c r="M831" s="508"/>
      <c r="N831" s="508"/>
      <c r="O831" s="509"/>
      <c r="P831" s="509"/>
    </row>
    <row r="832" spans="1:16" ht="21.75" customHeight="1" x14ac:dyDescent="0.3">
      <c r="A832" s="504"/>
      <c r="B832" s="504"/>
      <c r="C832" s="504"/>
      <c r="D832" s="504"/>
      <c r="E832" s="506"/>
      <c r="F832" s="506"/>
      <c r="G832" s="506"/>
      <c r="H832" s="506"/>
      <c r="I832" s="506"/>
      <c r="J832" s="506"/>
      <c r="K832" s="507"/>
      <c r="L832" s="508"/>
      <c r="M832" s="508"/>
      <c r="N832" s="508"/>
      <c r="O832" s="509"/>
      <c r="P832" s="509"/>
    </row>
    <row r="833" spans="1:16" ht="21.75" customHeight="1" x14ac:dyDescent="0.3">
      <c r="A833" s="504"/>
      <c r="B833" s="504"/>
      <c r="C833" s="504"/>
      <c r="D833" s="504"/>
      <c r="E833" s="506"/>
      <c r="F833" s="506"/>
      <c r="G833" s="506"/>
      <c r="H833" s="506"/>
      <c r="I833" s="506"/>
      <c r="J833" s="506"/>
      <c r="K833" s="507"/>
      <c r="L833" s="508"/>
      <c r="M833" s="508"/>
      <c r="N833" s="508"/>
      <c r="O833" s="509"/>
      <c r="P833" s="509"/>
    </row>
    <row r="834" spans="1:16" ht="21.75" customHeight="1" x14ac:dyDescent="0.3">
      <c r="A834" s="504"/>
      <c r="B834" s="504"/>
      <c r="C834" s="504"/>
      <c r="D834" s="504"/>
      <c r="E834" s="506"/>
      <c r="F834" s="506"/>
      <c r="G834" s="506"/>
      <c r="H834" s="506"/>
      <c r="I834" s="506"/>
      <c r="J834" s="506"/>
      <c r="K834" s="507"/>
      <c r="L834" s="508"/>
      <c r="M834" s="508"/>
      <c r="N834" s="508"/>
      <c r="O834" s="509"/>
      <c r="P834" s="509"/>
    </row>
    <row r="835" spans="1:16" ht="21.75" customHeight="1" x14ac:dyDescent="0.3">
      <c r="A835" s="504"/>
      <c r="B835" s="504"/>
      <c r="C835" s="504"/>
      <c r="D835" s="504"/>
      <c r="E835" s="506"/>
      <c r="F835" s="506"/>
      <c r="G835" s="506"/>
      <c r="H835" s="506"/>
      <c r="I835" s="506"/>
      <c r="J835" s="506"/>
      <c r="K835" s="507"/>
      <c r="L835" s="508"/>
      <c r="M835" s="508"/>
      <c r="N835" s="508"/>
      <c r="O835" s="509"/>
      <c r="P835" s="509"/>
    </row>
    <row r="836" spans="1:16" ht="21.75" customHeight="1" x14ac:dyDescent="0.3">
      <c r="A836" s="504"/>
      <c r="B836" s="504"/>
      <c r="C836" s="504"/>
      <c r="D836" s="504"/>
      <c r="E836" s="506"/>
      <c r="F836" s="506"/>
      <c r="G836" s="506"/>
      <c r="H836" s="506"/>
      <c r="I836" s="506"/>
      <c r="J836" s="506"/>
      <c r="K836" s="507"/>
      <c r="L836" s="508"/>
      <c r="M836" s="508"/>
      <c r="N836" s="508"/>
      <c r="O836" s="509"/>
      <c r="P836" s="509"/>
    </row>
    <row r="837" spans="1:16" ht="21.75" customHeight="1" x14ac:dyDescent="0.3">
      <c r="A837" s="504"/>
      <c r="B837" s="504"/>
      <c r="C837" s="504"/>
      <c r="D837" s="504"/>
      <c r="E837" s="506"/>
      <c r="F837" s="506"/>
      <c r="G837" s="506"/>
      <c r="H837" s="506"/>
      <c r="I837" s="506"/>
      <c r="J837" s="506"/>
      <c r="K837" s="507"/>
      <c r="L837" s="508"/>
      <c r="M837" s="508"/>
      <c r="N837" s="508"/>
      <c r="O837" s="509"/>
      <c r="P837" s="509"/>
    </row>
    <row r="838" spans="1:16" ht="21.75" customHeight="1" x14ac:dyDescent="0.3">
      <c r="A838" s="504"/>
      <c r="B838" s="504"/>
      <c r="C838" s="504"/>
      <c r="D838" s="504"/>
      <c r="E838" s="506"/>
      <c r="F838" s="506"/>
      <c r="G838" s="506"/>
      <c r="H838" s="506"/>
      <c r="I838" s="506"/>
      <c r="J838" s="506"/>
      <c r="K838" s="507"/>
      <c r="L838" s="508"/>
      <c r="M838" s="508"/>
      <c r="N838" s="508"/>
      <c r="O838" s="509"/>
      <c r="P838" s="509"/>
    </row>
    <row r="839" spans="1:16" ht="21.75" customHeight="1" x14ac:dyDescent="0.3">
      <c r="A839" s="504"/>
      <c r="B839" s="504"/>
      <c r="C839" s="504"/>
      <c r="D839" s="504"/>
      <c r="E839" s="506"/>
      <c r="F839" s="506"/>
      <c r="G839" s="506"/>
      <c r="H839" s="506"/>
      <c r="I839" s="506"/>
      <c r="J839" s="506"/>
      <c r="K839" s="507"/>
      <c r="L839" s="508"/>
      <c r="M839" s="508"/>
      <c r="N839" s="508"/>
      <c r="O839" s="509"/>
      <c r="P839" s="509"/>
    </row>
    <row r="840" spans="1:16" ht="21.75" customHeight="1" x14ac:dyDescent="0.3">
      <c r="A840" s="504"/>
      <c r="B840" s="504"/>
      <c r="C840" s="504"/>
      <c r="D840" s="504"/>
      <c r="E840" s="506"/>
      <c r="F840" s="506"/>
      <c r="G840" s="506"/>
      <c r="H840" s="506"/>
      <c r="I840" s="506"/>
      <c r="J840" s="506"/>
      <c r="K840" s="507"/>
      <c r="L840" s="508"/>
      <c r="M840" s="508"/>
      <c r="N840" s="508"/>
      <c r="O840" s="509"/>
      <c r="P840" s="509"/>
    </row>
    <row r="841" spans="1:16" ht="21.75" customHeight="1" x14ac:dyDescent="0.3">
      <c r="A841" s="504"/>
      <c r="B841" s="504"/>
      <c r="C841" s="504"/>
      <c r="D841" s="504"/>
      <c r="E841" s="506"/>
      <c r="F841" s="506"/>
      <c r="G841" s="506"/>
      <c r="H841" s="506"/>
      <c r="I841" s="506"/>
      <c r="J841" s="506"/>
      <c r="K841" s="507"/>
      <c r="L841" s="508"/>
      <c r="M841" s="508"/>
      <c r="N841" s="508"/>
      <c r="O841" s="509"/>
      <c r="P841" s="509"/>
    </row>
    <row r="842" spans="1:16" ht="21.75" customHeight="1" x14ac:dyDescent="0.3">
      <c r="A842" s="504"/>
      <c r="B842" s="504"/>
      <c r="C842" s="504"/>
      <c r="D842" s="504"/>
      <c r="E842" s="506"/>
      <c r="F842" s="506"/>
      <c r="G842" s="506"/>
      <c r="H842" s="506"/>
      <c r="I842" s="506"/>
      <c r="J842" s="506"/>
      <c r="K842" s="507"/>
      <c r="L842" s="508"/>
      <c r="M842" s="508"/>
      <c r="N842" s="508"/>
      <c r="O842" s="509"/>
      <c r="P842" s="509"/>
    </row>
    <row r="843" spans="1:16" ht="21.75" customHeight="1" x14ac:dyDescent="0.3">
      <c r="A843" s="504"/>
      <c r="B843" s="504"/>
      <c r="C843" s="504"/>
      <c r="D843" s="504"/>
      <c r="E843" s="506"/>
      <c r="F843" s="506"/>
      <c r="G843" s="506"/>
      <c r="H843" s="506"/>
      <c r="I843" s="506"/>
      <c r="J843" s="506"/>
      <c r="K843" s="507"/>
      <c r="L843" s="508"/>
      <c r="M843" s="508"/>
      <c r="N843" s="508"/>
      <c r="O843" s="509"/>
      <c r="P843" s="509"/>
    </row>
    <row r="844" spans="1:16" ht="21.75" customHeight="1" x14ac:dyDescent="0.3">
      <c r="A844" s="504"/>
      <c r="B844" s="504"/>
      <c r="C844" s="504"/>
      <c r="D844" s="504"/>
      <c r="E844" s="506"/>
      <c r="F844" s="506"/>
      <c r="G844" s="506"/>
      <c r="H844" s="506"/>
      <c r="I844" s="506"/>
      <c r="J844" s="506"/>
      <c r="K844" s="507"/>
      <c r="L844" s="508"/>
      <c r="M844" s="508"/>
      <c r="N844" s="508"/>
      <c r="O844" s="509"/>
      <c r="P844" s="509"/>
    </row>
    <row r="845" spans="1:16" ht="21.75" customHeight="1" x14ac:dyDescent="0.3">
      <c r="A845" s="504"/>
      <c r="B845" s="504"/>
      <c r="C845" s="504"/>
      <c r="D845" s="504"/>
      <c r="E845" s="506"/>
      <c r="F845" s="506"/>
      <c r="G845" s="506"/>
      <c r="H845" s="506"/>
      <c r="I845" s="506"/>
      <c r="J845" s="506"/>
      <c r="K845" s="507"/>
      <c r="L845" s="508"/>
      <c r="M845" s="508"/>
      <c r="N845" s="508"/>
      <c r="O845" s="509"/>
      <c r="P845" s="509"/>
    </row>
    <row r="846" spans="1:16" ht="21.75" customHeight="1" x14ac:dyDescent="0.3">
      <c r="A846" s="504"/>
      <c r="B846" s="504"/>
      <c r="C846" s="504"/>
      <c r="D846" s="504"/>
      <c r="E846" s="506"/>
      <c r="F846" s="506"/>
      <c r="G846" s="506"/>
      <c r="H846" s="506"/>
      <c r="I846" s="506"/>
      <c r="J846" s="506"/>
      <c r="K846" s="507"/>
      <c r="L846" s="508"/>
      <c r="M846" s="508"/>
      <c r="N846" s="508"/>
      <c r="O846" s="509"/>
      <c r="P846" s="509"/>
    </row>
    <row r="847" spans="1:16" ht="21.75" customHeight="1" x14ac:dyDescent="0.3">
      <c r="A847" s="504"/>
      <c r="B847" s="504"/>
      <c r="C847" s="504"/>
      <c r="D847" s="504"/>
      <c r="E847" s="506"/>
      <c r="F847" s="506"/>
      <c r="G847" s="506"/>
      <c r="H847" s="506"/>
      <c r="I847" s="506"/>
      <c r="J847" s="506"/>
      <c r="K847" s="507"/>
      <c r="L847" s="508"/>
      <c r="M847" s="508"/>
      <c r="N847" s="508"/>
      <c r="O847" s="509"/>
      <c r="P847" s="509"/>
    </row>
    <row r="848" spans="1:16" ht="21.75" customHeight="1" x14ac:dyDescent="0.3">
      <c r="A848" s="504"/>
      <c r="B848" s="504"/>
      <c r="C848" s="504"/>
      <c r="D848" s="504"/>
      <c r="E848" s="506"/>
      <c r="F848" s="506"/>
      <c r="G848" s="506"/>
      <c r="H848" s="506"/>
      <c r="I848" s="506"/>
      <c r="J848" s="506"/>
      <c r="K848" s="507"/>
      <c r="L848" s="508"/>
      <c r="M848" s="508"/>
      <c r="N848" s="508"/>
      <c r="O848" s="509"/>
      <c r="P848" s="509"/>
    </row>
    <row r="849" spans="1:16" ht="21.75" customHeight="1" x14ac:dyDescent="0.3">
      <c r="A849" s="504"/>
      <c r="B849" s="504"/>
      <c r="C849" s="504"/>
      <c r="D849" s="504"/>
      <c r="E849" s="506"/>
      <c r="F849" s="506"/>
      <c r="G849" s="506"/>
      <c r="H849" s="506"/>
      <c r="I849" s="506"/>
      <c r="J849" s="506"/>
      <c r="K849" s="507"/>
      <c r="L849" s="508"/>
      <c r="M849" s="508"/>
      <c r="N849" s="508"/>
      <c r="O849" s="509"/>
      <c r="P849" s="509"/>
    </row>
    <row r="850" spans="1:16" ht="21.75" customHeight="1" x14ac:dyDescent="0.3">
      <c r="A850" s="504"/>
      <c r="B850" s="504"/>
      <c r="C850" s="504"/>
      <c r="D850" s="504"/>
      <c r="E850" s="506"/>
      <c r="F850" s="506"/>
      <c r="G850" s="506"/>
      <c r="H850" s="506"/>
      <c r="I850" s="506"/>
      <c r="J850" s="506"/>
      <c r="K850" s="507"/>
      <c r="L850" s="508"/>
      <c r="M850" s="508"/>
      <c r="N850" s="508"/>
      <c r="O850" s="509"/>
      <c r="P850" s="509"/>
    </row>
    <row r="851" spans="1:16" ht="21.75" customHeight="1" x14ac:dyDescent="0.3">
      <c r="A851" s="504"/>
      <c r="B851" s="504"/>
      <c r="C851" s="504"/>
      <c r="D851" s="504"/>
      <c r="E851" s="506"/>
      <c r="F851" s="506"/>
      <c r="G851" s="506"/>
      <c r="H851" s="506"/>
      <c r="I851" s="506"/>
      <c r="J851" s="506"/>
      <c r="K851" s="507"/>
      <c r="L851" s="508"/>
      <c r="M851" s="508"/>
      <c r="N851" s="508"/>
      <c r="O851" s="509"/>
      <c r="P851" s="509"/>
    </row>
    <row r="852" spans="1:16" ht="21.75" customHeight="1" x14ac:dyDescent="0.3">
      <c r="A852" s="504"/>
      <c r="B852" s="504"/>
      <c r="C852" s="504"/>
      <c r="D852" s="504"/>
      <c r="E852" s="506"/>
      <c r="F852" s="506"/>
      <c r="G852" s="506"/>
      <c r="H852" s="506"/>
      <c r="I852" s="506"/>
      <c r="J852" s="506"/>
      <c r="K852" s="507"/>
      <c r="L852" s="508"/>
      <c r="M852" s="508"/>
      <c r="N852" s="508"/>
      <c r="O852" s="509"/>
      <c r="P852" s="509"/>
    </row>
    <row r="853" spans="1:16" ht="21.75" customHeight="1" x14ac:dyDescent="0.3">
      <c r="A853" s="504"/>
      <c r="B853" s="504"/>
      <c r="C853" s="504"/>
      <c r="D853" s="504"/>
      <c r="E853" s="506"/>
      <c r="F853" s="506"/>
      <c r="G853" s="506"/>
      <c r="H853" s="506"/>
      <c r="I853" s="506"/>
      <c r="J853" s="506"/>
      <c r="K853" s="507"/>
      <c r="L853" s="508"/>
      <c r="M853" s="508"/>
      <c r="N853" s="508"/>
      <c r="O853" s="509"/>
      <c r="P853" s="509"/>
    </row>
    <row r="854" spans="1:16" ht="21.75" customHeight="1" x14ac:dyDescent="0.3">
      <c r="A854" s="504"/>
      <c r="B854" s="504"/>
      <c r="C854" s="504"/>
      <c r="D854" s="504"/>
      <c r="E854" s="506"/>
      <c r="F854" s="506"/>
      <c r="G854" s="506"/>
      <c r="H854" s="506"/>
      <c r="I854" s="506"/>
      <c r="J854" s="506"/>
      <c r="K854" s="507"/>
      <c r="L854" s="508"/>
      <c r="M854" s="508"/>
      <c r="N854" s="508"/>
      <c r="O854" s="509"/>
      <c r="P854" s="509"/>
    </row>
    <row r="855" spans="1:16" ht="21.75" customHeight="1" x14ac:dyDescent="0.3">
      <c r="A855" s="504"/>
      <c r="B855" s="504"/>
      <c r="C855" s="504"/>
      <c r="D855" s="504"/>
      <c r="E855" s="506"/>
      <c r="F855" s="506"/>
      <c r="G855" s="506"/>
      <c r="H855" s="506"/>
      <c r="I855" s="506"/>
      <c r="J855" s="506"/>
      <c r="K855" s="507"/>
      <c r="L855" s="508"/>
      <c r="M855" s="508"/>
      <c r="N855" s="508"/>
      <c r="O855" s="509"/>
      <c r="P855" s="509"/>
    </row>
    <row r="856" spans="1:16" ht="21.75" customHeight="1" x14ac:dyDescent="0.3">
      <c r="A856" s="504"/>
      <c r="B856" s="504"/>
      <c r="C856" s="504"/>
      <c r="D856" s="504"/>
      <c r="E856" s="506"/>
      <c r="F856" s="506"/>
      <c r="G856" s="506"/>
      <c r="H856" s="506"/>
      <c r="I856" s="506"/>
      <c r="J856" s="506"/>
      <c r="K856" s="507"/>
      <c r="L856" s="508"/>
      <c r="M856" s="508"/>
      <c r="N856" s="508"/>
      <c r="O856" s="509"/>
      <c r="P856" s="509"/>
    </row>
    <row r="857" spans="1:16" ht="21.75" customHeight="1" x14ac:dyDescent="0.3">
      <c r="A857" s="504"/>
      <c r="B857" s="504"/>
      <c r="C857" s="504"/>
      <c r="D857" s="504"/>
      <c r="E857" s="506"/>
      <c r="F857" s="506"/>
      <c r="G857" s="506"/>
      <c r="H857" s="506"/>
      <c r="I857" s="506"/>
      <c r="J857" s="506"/>
      <c r="K857" s="507"/>
      <c r="L857" s="508"/>
      <c r="M857" s="508"/>
      <c r="N857" s="508"/>
      <c r="O857" s="509"/>
      <c r="P857" s="509"/>
    </row>
    <row r="858" spans="1:16" ht="21.75" customHeight="1" x14ac:dyDescent="0.3">
      <c r="A858" s="504"/>
      <c r="B858" s="504"/>
      <c r="C858" s="504"/>
      <c r="D858" s="504"/>
      <c r="E858" s="506"/>
      <c r="F858" s="506"/>
      <c r="G858" s="506"/>
      <c r="H858" s="506"/>
      <c r="I858" s="506"/>
      <c r="J858" s="506"/>
      <c r="K858" s="507"/>
      <c r="L858" s="508"/>
      <c r="M858" s="508"/>
      <c r="N858" s="508"/>
      <c r="O858" s="509"/>
      <c r="P858" s="509"/>
    </row>
    <row r="859" spans="1:16" ht="21.75" customHeight="1" x14ac:dyDescent="0.3">
      <c r="A859" s="504"/>
      <c r="B859" s="504"/>
      <c r="C859" s="504"/>
      <c r="D859" s="504"/>
      <c r="E859" s="506"/>
      <c r="F859" s="506"/>
      <c r="G859" s="506"/>
      <c r="H859" s="506"/>
      <c r="I859" s="506"/>
      <c r="J859" s="506"/>
      <c r="K859" s="507"/>
      <c r="L859" s="508"/>
      <c r="M859" s="508"/>
      <c r="N859" s="508"/>
      <c r="O859" s="509"/>
      <c r="P859" s="509"/>
    </row>
    <row r="860" spans="1:16" ht="21.75" customHeight="1" x14ac:dyDescent="0.3">
      <c r="A860" s="504"/>
      <c r="B860" s="504"/>
      <c r="C860" s="504"/>
      <c r="D860" s="504"/>
      <c r="E860" s="506"/>
      <c r="F860" s="506"/>
      <c r="G860" s="506"/>
      <c r="H860" s="506"/>
      <c r="I860" s="506"/>
      <c r="J860" s="506"/>
      <c r="K860" s="507"/>
      <c r="L860" s="508"/>
      <c r="M860" s="508"/>
      <c r="N860" s="508"/>
      <c r="O860" s="509"/>
      <c r="P860" s="509"/>
    </row>
    <row r="861" spans="1:16" ht="21.75" customHeight="1" x14ac:dyDescent="0.3">
      <c r="A861" s="504"/>
      <c r="B861" s="504"/>
      <c r="C861" s="504"/>
      <c r="D861" s="504"/>
      <c r="E861" s="506"/>
      <c r="F861" s="506"/>
      <c r="G861" s="506"/>
      <c r="H861" s="506"/>
      <c r="I861" s="506"/>
      <c r="J861" s="506"/>
      <c r="K861" s="507"/>
      <c r="L861" s="508"/>
      <c r="M861" s="508"/>
      <c r="N861" s="508"/>
      <c r="O861" s="509"/>
      <c r="P861" s="509"/>
    </row>
    <row r="862" spans="1:16" ht="21.75" customHeight="1" x14ac:dyDescent="0.3">
      <c r="A862" s="504"/>
      <c r="B862" s="504"/>
      <c r="C862" s="504"/>
      <c r="D862" s="504"/>
      <c r="E862" s="506"/>
      <c r="F862" s="506"/>
      <c r="G862" s="506"/>
      <c r="H862" s="506"/>
      <c r="I862" s="506"/>
      <c r="J862" s="506"/>
      <c r="K862" s="507"/>
      <c r="L862" s="508"/>
      <c r="M862" s="508"/>
      <c r="N862" s="508"/>
      <c r="O862" s="509"/>
      <c r="P862" s="509"/>
    </row>
    <row r="863" spans="1:16" ht="21.75" customHeight="1" x14ac:dyDescent="0.3">
      <c r="A863" s="504"/>
      <c r="B863" s="504"/>
      <c r="C863" s="504"/>
      <c r="D863" s="504"/>
      <c r="E863" s="506"/>
      <c r="F863" s="506"/>
      <c r="G863" s="506"/>
      <c r="H863" s="506"/>
      <c r="I863" s="506"/>
      <c r="J863" s="506"/>
      <c r="K863" s="507"/>
      <c r="L863" s="508"/>
      <c r="M863" s="508"/>
      <c r="N863" s="508"/>
      <c r="O863" s="509"/>
      <c r="P863" s="509"/>
    </row>
    <row r="864" spans="1:16" ht="21.75" customHeight="1" x14ac:dyDescent="0.3">
      <c r="A864" s="504"/>
      <c r="B864" s="504"/>
      <c r="C864" s="504"/>
      <c r="D864" s="504"/>
      <c r="E864" s="506"/>
      <c r="F864" s="506"/>
      <c r="G864" s="506"/>
      <c r="H864" s="506"/>
      <c r="I864" s="506"/>
      <c r="J864" s="506"/>
      <c r="K864" s="507"/>
      <c r="L864" s="508"/>
      <c r="M864" s="508"/>
      <c r="N864" s="508"/>
      <c r="O864" s="509"/>
      <c r="P864" s="509"/>
    </row>
    <row r="865" spans="1:16" ht="21.75" customHeight="1" x14ac:dyDescent="0.3">
      <c r="A865" s="504"/>
      <c r="B865" s="504"/>
      <c r="C865" s="504"/>
      <c r="D865" s="504"/>
      <c r="E865" s="506"/>
      <c r="F865" s="506"/>
      <c r="G865" s="506"/>
      <c r="H865" s="506"/>
      <c r="I865" s="506"/>
      <c r="J865" s="506"/>
      <c r="K865" s="507"/>
      <c r="L865" s="508"/>
      <c r="M865" s="508"/>
      <c r="N865" s="508"/>
      <c r="O865" s="509"/>
      <c r="P865" s="509"/>
    </row>
    <row r="866" spans="1:16" ht="21.75" customHeight="1" x14ac:dyDescent="0.3">
      <c r="A866" s="504"/>
      <c r="B866" s="504"/>
      <c r="C866" s="504"/>
      <c r="D866" s="504"/>
      <c r="E866" s="506"/>
      <c r="F866" s="506"/>
      <c r="G866" s="506"/>
      <c r="H866" s="506"/>
      <c r="I866" s="506"/>
      <c r="J866" s="506"/>
      <c r="K866" s="507"/>
      <c r="L866" s="508"/>
      <c r="M866" s="508"/>
      <c r="N866" s="508"/>
      <c r="O866" s="509"/>
      <c r="P866" s="509"/>
    </row>
    <row r="867" spans="1:16" ht="21.75" customHeight="1" x14ac:dyDescent="0.3">
      <c r="A867" s="504"/>
      <c r="B867" s="504"/>
      <c r="C867" s="504"/>
      <c r="D867" s="504"/>
      <c r="E867" s="506"/>
      <c r="F867" s="506"/>
      <c r="G867" s="506"/>
      <c r="H867" s="506"/>
      <c r="I867" s="506"/>
      <c r="J867" s="506"/>
      <c r="K867" s="507"/>
      <c r="L867" s="508"/>
      <c r="M867" s="508"/>
      <c r="N867" s="508"/>
      <c r="O867" s="509"/>
      <c r="P867" s="509"/>
    </row>
    <row r="868" spans="1:16" ht="21.75" customHeight="1" x14ac:dyDescent="0.3">
      <c r="A868" s="504"/>
      <c r="B868" s="504"/>
      <c r="C868" s="504"/>
      <c r="D868" s="504"/>
      <c r="E868" s="506"/>
      <c r="F868" s="506"/>
      <c r="G868" s="506"/>
      <c r="H868" s="506"/>
      <c r="I868" s="506"/>
      <c r="J868" s="506"/>
      <c r="K868" s="507"/>
      <c r="L868" s="508"/>
      <c r="M868" s="508"/>
      <c r="N868" s="508"/>
      <c r="O868" s="509"/>
      <c r="P868" s="509"/>
    </row>
    <row r="869" spans="1:16" ht="21.75" customHeight="1" x14ac:dyDescent="0.3">
      <c r="A869" s="504"/>
      <c r="B869" s="504"/>
      <c r="C869" s="504"/>
      <c r="D869" s="504"/>
      <c r="E869" s="506"/>
      <c r="F869" s="506"/>
      <c r="G869" s="506"/>
      <c r="H869" s="506"/>
      <c r="I869" s="506"/>
      <c r="J869" s="506"/>
      <c r="K869" s="507"/>
      <c r="L869" s="508"/>
      <c r="M869" s="508"/>
      <c r="N869" s="508"/>
      <c r="O869" s="509"/>
      <c r="P869" s="509"/>
    </row>
    <row r="870" spans="1:16" ht="21.75" customHeight="1" x14ac:dyDescent="0.3">
      <c r="A870" s="504"/>
      <c r="B870" s="504"/>
      <c r="C870" s="504"/>
      <c r="D870" s="504"/>
      <c r="E870" s="506"/>
      <c r="F870" s="506"/>
      <c r="G870" s="506"/>
      <c r="H870" s="506"/>
      <c r="I870" s="506"/>
      <c r="J870" s="506"/>
      <c r="K870" s="507"/>
      <c r="L870" s="508"/>
      <c r="M870" s="508"/>
      <c r="N870" s="508"/>
      <c r="O870" s="509"/>
      <c r="P870" s="509"/>
    </row>
    <row r="871" spans="1:16" ht="21.75" customHeight="1" x14ac:dyDescent="0.3">
      <c r="A871" s="504"/>
      <c r="B871" s="504"/>
      <c r="C871" s="504"/>
      <c r="D871" s="504"/>
      <c r="E871" s="506"/>
      <c r="F871" s="506"/>
      <c r="G871" s="506"/>
      <c r="H871" s="506"/>
      <c r="I871" s="506"/>
      <c r="J871" s="506"/>
      <c r="K871" s="507"/>
      <c r="L871" s="508"/>
      <c r="M871" s="508"/>
      <c r="N871" s="508"/>
      <c r="O871" s="509"/>
      <c r="P871" s="509"/>
    </row>
    <row r="872" spans="1:16" ht="21.75" customHeight="1" x14ac:dyDescent="0.3">
      <c r="A872" s="504"/>
      <c r="B872" s="504"/>
      <c r="C872" s="504"/>
      <c r="D872" s="504"/>
      <c r="E872" s="506"/>
      <c r="F872" s="506"/>
      <c r="G872" s="506"/>
      <c r="H872" s="506"/>
      <c r="I872" s="506"/>
      <c r="J872" s="506"/>
      <c r="K872" s="507"/>
      <c r="L872" s="508"/>
      <c r="M872" s="508"/>
      <c r="N872" s="508"/>
      <c r="O872" s="509"/>
      <c r="P872" s="509"/>
    </row>
    <row r="873" spans="1:16" ht="21.75" customHeight="1" x14ac:dyDescent="0.3">
      <c r="A873" s="504"/>
      <c r="B873" s="504"/>
      <c r="C873" s="504"/>
      <c r="D873" s="504"/>
      <c r="E873" s="506"/>
      <c r="F873" s="506"/>
      <c r="G873" s="506"/>
      <c r="H873" s="506"/>
      <c r="I873" s="506"/>
      <c r="J873" s="506"/>
      <c r="K873" s="507"/>
      <c r="L873" s="508"/>
      <c r="M873" s="508"/>
      <c r="N873" s="508"/>
      <c r="O873" s="509"/>
      <c r="P873" s="509"/>
    </row>
    <row r="874" spans="1:16" ht="21.75" customHeight="1" x14ac:dyDescent="0.3">
      <c r="A874" s="504"/>
      <c r="B874" s="504"/>
      <c r="C874" s="504"/>
      <c r="D874" s="504"/>
      <c r="E874" s="506"/>
      <c r="F874" s="506"/>
      <c r="G874" s="506"/>
      <c r="H874" s="506"/>
      <c r="I874" s="506"/>
      <c r="J874" s="506"/>
      <c r="K874" s="507"/>
      <c r="L874" s="508"/>
      <c r="M874" s="508"/>
      <c r="N874" s="508"/>
      <c r="O874" s="509"/>
      <c r="P874" s="509"/>
    </row>
    <row r="875" spans="1:16" ht="21.75" customHeight="1" x14ac:dyDescent="0.3">
      <c r="A875" s="504"/>
      <c r="B875" s="504"/>
      <c r="C875" s="504"/>
      <c r="D875" s="504"/>
      <c r="E875" s="506"/>
      <c r="F875" s="506"/>
      <c r="G875" s="506"/>
      <c r="H875" s="506"/>
      <c r="I875" s="506"/>
      <c r="J875" s="506"/>
      <c r="K875" s="507"/>
      <c r="L875" s="508"/>
      <c r="M875" s="508"/>
      <c r="N875" s="508"/>
      <c r="O875" s="509"/>
      <c r="P875" s="509"/>
    </row>
    <row r="876" spans="1:16" ht="21.75" customHeight="1" x14ac:dyDescent="0.3">
      <c r="A876" s="504"/>
      <c r="B876" s="504"/>
      <c r="C876" s="504"/>
      <c r="D876" s="504"/>
      <c r="E876" s="506"/>
      <c r="F876" s="506"/>
      <c r="G876" s="506"/>
      <c r="H876" s="506"/>
      <c r="I876" s="506"/>
      <c r="J876" s="506"/>
      <c r="K876" s="507"/>
      <c r="L876" s="508"/>
      <c r="M876" s="508"/>
      <c r="N876" s="508"/>
      <c r="O876" s="509"/>
      <c r="P876" s="509"/>
    </row>
    <row r="877" spans="1:16" ht="21.75" customHeight="1" x14ac:dyDescent="0.3">
      <c r="A877" s="504"/>
      <c r="B877" s="504"/>
      <c r="C877" s="504"/>
      <c r="D877" s="504"/>
      <c r="E877" s="506"/>
      <c r="F877" s="506"/>
      <c r="G877" s="506"/>
      <c r="H877" s="506"/>
      <c r="I877" s="506"/>
      <c r="J877" s="506"/>
      <c r="K877" s="507"/>
      <c r="L877" s="508"/>
      <c r="M877" s="508"/>
      <c r="N877" s="508"/>
      <c r="O877" s="509"/>
      <c r="P877" s="509"/>
    </row>
    <row r="878" spans="1:16" ht="21.75" customHeight="1" x14ac:dyDescent="0.3">
      <c r="A878" s="504"/>
      <c r="B878" s="504"/>
      <c r="C878" s="504"/>
      <c r="D878" s="504"/>
      <c r="E878" s="506"/>
      <c r="F878" s="506"/>
      <c r="G878" s="506"/>
      <c r="H878" s="506"/>
      <c r="I878" s="506"/>
      <c r="J878" s="506"/>
      <c r="K878" s="507"/>
      <c r="L878" s="508"/>
      <c r="M878" s="508"/>
      <c r="N878" s="508"/>
      <c r="O878" s="509"/>
      <c r="P878" s="509"/>
    </row>
    <row r="879" spans="1:16" ht="21.75" customHeight="1" x14ac:dyDescent="0.3">
      <c r="A879" s="504"/>
      <c r="B879" s="504"/>
      <c r="C879" s="504"/>
      <c r="D879" s="504"/>
      <c r="E879" s="506"/>
      <c r="F879" s="506"/>
      <c r="G879" s="506"/>
      <c r="H879" s="506"/>
      <c r="I879" s="506"/>
      <c r="J879" s="506"/>
      <c r="K879" s="507"/>
      <c r="L879" s="508"/>
      <c r="M879" s="508"/>
      <c r="N879" s="508"/>
      <c r="O879" s="509"/>
      <c r="P879" s="509"/>
    </row>
    <row r="880" spans="1:16" ht="21.75" customHeight="1" x14ac:dyDescent="0.3">
      <c r="A880" s="504"/>
      <c r="B880" s="504"/>
      <c r="C880" s="504"/>
      <c r="D880" s="504"/>
      <c r="E880" s="506"/>
      <c r="F880" s="506"/>
      <c r="G880" s="506"/>
      <c r="H880" s="506"/>
      <c r="I880" s="506"/>
      <c r="J880" s="506"/>
      <c r="K880" s="507"/>
      <c r="L880" s="508"/>
      <c r="M880" s="508"/>
      <c r="N880" s="508"/>
      <c r="O880" s="509"/>
      <c r="P880" s="509"/>
    </row>
    <row r="881" spans="1:16" ht="21.75" customHeight="1" x14ac:dyDescent="0.3">
      <c r="A881" s="504"/>
      <c r="B881" s="504"/>
      <c r="C881" s="504"/>
      <c r="D881" s="504"/>
      <c r="E881" s="506"/>
      <c r="F881" s="506"/>
      <c r="G881" s="506"/>
      <c r="H881" s="506"/>
      <c r="I881" s="506"/>
      <c r="J881" s="506"/>
      <c r="K881" s="507"/>
      <c r="L881" s="508"/>
      <c r="M881" s="508"/>
      <c r="N881" s="508"/>
      <c r="O881" s="509"/>
      <c r="P881" s="509"/>
    </row>
    <row r="882" spans="1:16" ht="21.75" customHeight="1" x14ac:dyDescent="0.3">
      <c r="A882" s="504"/>
      <c r="B882" s="504"/>
      <c r="C882" s="504"/>
      <c r="D882" s="504"/>
      <c r="E882" s="506"/>
      <c r="F882" s="506"/>
      <c r="G882" s="506"/>
      <c r="H882" s="506"/>
      <c r="I882" s="506"/>
      <c r="J882" s="506"/>
      <c r="K882" s="507"/>
      <c r="L882" s="508"/>
      <c r="M882" s="508"/>
      <c r="N882" s="508"/>
      <c r="O882" s="509"/>
      <c r="P882" s="509"/>
    </row>
    <row r="883" spans="1:16" ht="21.75" customHeight="1" x14ac:dyDescent="0.3">
      <c r="A883" s="504"/>
      <c r="B883" s="504"/>
      <c r="C883" s="504"/>
      <c r="D883" s="504"/>
      <c r="E883" s="506"/>
      <c r="F883" s="506"/>
      <c r="G883" s="506"/>
      <c r="H883" s="506"/>
      <c r="I883" s="506"/>
      <c r="J883" s="506"/>
      <c r="K883" s="507"/>
      <c r="L883" s="508"/>
      <c r="M883" s="508"/>
      <c r="N883" s="508"/>
      <c r="O883" s="509"/>
      <c r="P883" s="509"/>
    </row>
    <row r="884" spans="1:16" ht="21.75" customHeight="1" x14ac:dyDescent="0.3">
      <c r="A884" s="504"/>
      <c r="B884" s="504"/>
      <c r="C884" s="504"/>
      <c r="D884" s="504"/>
      <c r="E884" s="506"/>
      <c r="F884" s="506"/>
      <c r="G884" s="506"/>
      <c r="H884" s="506"/>
      <c r="I884" s="506"/>
      <c r="J884" s="506"/>
      <c r="K884" s="507"/>
      <c r="L884" s="508"/>
      <c r="M884" s="508"/>
      <c r="N884" s="508"/>
      <c r="O884" s="509"/>
      <c r="P884" s="509"/>
    </row>
    <row r="885" spans="1:16" ht="21.75" customHeight="1" x14ac:dyDescent="0.3">
      <c r="A885" s="504"/>
      <c r="B885" s="504"/>
      <c r="C885" s="504"/>
      <c r="D885" s="504"/>
      <c r="E885" s="506"/>
      <c r="F885" s="506"/>
      <c r="G885" s="506"/>
      <c r="H885" s="506"/>
      <c r="I885" s="506"/>
      <c r="J885" s="506"/>
      <c r="K885" s="507"/>
      <c r="L885" s="508"/>
      <c r="M885" s="508"/>
      <c r="N885" s="508"/>
      <c r="O885" s="509"/>
      <c r="P885" s="509"/>
    </row>
    <row r="886" spans="1:16" ht="21.75" customHeight="1" x14ac:dyDescent="0.3">
      <c r="A886" s="504"/>
      <c r="B886" s="504"/>
      <c r="C886" s="504"/>
      <c r="D886" s="504"/>
      <c r="E886" s="506"/>
      <c r="F886" s="506"/>
      <c r="G886" s="506"/>
      <c r="H886" s="506"/>
      <c r="I886" s="506"/>
      <c r="J886" s="506"/>
      <c r="K886" s="507"/>
      <c r="L886" s="508"/>
      <c r="M886" s="508"/>
      <c r="N886" s="508"/>
      <c r="O886" s="509"/>
      <c r="P886" s="509"/>
    </row>
    <row r="887" spans="1:16" ht="21.75" customHeight="1" x14ac:dyDescent="0.3">
      <c r="A887" s="504"/>
      <c r="B887" s="504"/>
      <c r="C887" s="504"/>
      <c r="D887" s="504"/>
      <c r="E887" s="506"/>
      <c r="F887" s="506"/>
      <c r="G887" s="506"/>
      <c r="H887" s="506"/>
      <c r="I887" s="506"/>
      <c r="J887" s="506"/>
      <c r="K887" s="507"/>
      <c r="L887" s="508"/>
      <c r="M887" s="508"/>
      <c r="N887" s="508"/>
      <c r="O887" s="509"/>
      <c r="P887" s="509"/>
    </row>
    <row r="888" spans="1:16" ht="21.75" customHeight="1" x14ac:dyDescent="0.3">
      <c r="A888" s="504"/>
      <c r="B888" s="504"/>
      <c r="C888" s="504"/>
      <c r="D888" s="504"/>
      <c r="E888" s="506"/>
      <c r="F888" s="506"/>
      <c r="G888" s="506"/>
      <c r="H888" s="506"/>
      <c r="I888" s="506"/>
      <c r="J888" s="506"/>
      <c r="K888" s="507"/>
      <c r="L888" s="508"/>
      <c r="M888" s="508"/>
      <c r="N888" s="508"/>
      <c r="O888" s="509"/>
      <c r="P888" s="509"/>
    </row>
    <row r="889" spans="1:16" ht="21.75" customHeight="1" x14ac:dyDescent="0.3">
      <c r="A889" s="504"/>
      <c r="B889" s="504"/>
      <c r="C889" s="504"/>
      <c r="D889" s="504"/>
      <c r="E889" s="506"/>
      <c r="F889" s="506"/>
      <c r="G889" s="506"/>
      <c r="H889" s="506"/>
      <c r="I889" s="506"/>
      <c r="J889" s="506"/>
      <c r="K889" s="507"/>
      <c r="L889" s="508"/>
      <c r="M889" s="508"/>
      <c r="N889" s="508"/>
      <c r="O889" s="509"/>
      <c r="P889" s="509"/>
    </row>
    <row r="890" spans="1:16" ht="21.75" customHeight="1" x14ac:dyDescent="0.3">
      <c r="A890" s="504"/>
      <c r="B890" s="504"/>
      <c r="C890" s="504"/>
      <c r="D890" s="504"/>
      <c r="E890" s="506"/>
      <c r="F890" s="506"/>
      <c r="G890" s="506"/>
      <c r="H890" s="506"/>
      <c r="I890" s="506"/>
      <c r="J890" s="506"/>
      <c r="K890" s="507"/>
      <c r="L890" s="508"/>
      <c r="M890" s="508"/>
      <c r="N890" s="508"/>
      <c r="O890" s="509"/>
      <c r="P890" s="509"/>
    </row>
    <row r="891" spans="1:16" ht="21.75" customHeight="1" x14ac:dyDescent="0.3">
      <c r="A891" s="504"/>
      <c r="B891" s="504"/>
      <c r="C891" s="504"/>
      <c r="D891" s="504"/>
      <c r="E891" s="506"/>
      <c r="F891" s="506"/>
      <c r="G891" s="506"/>
      <c r="H891" s="506"/>
      <c r="I891" s="506"/>
      <c r="J891" s="506"/>
      <c r="K891" s="507"/>
      <c r="L891" s="508"/>
      <c r="M891" s="508"/>
      <c r="N891" s="508"/>
      <c r="O891" s="509"/>
      <c r="P891" s="509"/>
    </row>
    <row r="892" spans="1:16" ht="21.75" customHeight="1" x14ac:dyDescent="0.3">
      <c r="A892" s="504"/>
      <c r="B892" s="504"/>
      <c r="C892" s="504"/>
      <c r="D892" s="504"/>
      <c r="E892" s="506"/>
      <c r="F892" s="506"/>
      <c r="G892" s="506"/>
      <c r="H892" s="506"/>
      <c r="I892" s="506"/>
      <c r="J892" s="506"/>
      <c r="K892" s="507"/>
      <c r="L892" s="508"/>
      <c r="M892" s="508"/>
      <c r="N892" s="508"/>
      <c r="O892" s="509"/>
      <c r="P892" s="509"/>
    </row>
    <row r="893" spans="1:16" ht="21.75" customHeight="1" x14ac:dyDescent="0.3">
      <c r="A893" s="504"/>
      <c r="B893" s="504"/>
      <c r="C893" s="504"/>
      <c r="D893" s="504"/>
      <c r="E893" s="506"/>
      <c r="F893" s="506"/>
      <c r="G893" s="506"/>
      <c r="H893" s="506"/>
      <c r="I893" s="506"/>
      <c r="J893" s="506"/>
      <c r="K893" s="507"/>
      <c r="L893" s="508"/>
      <c r="M893" s="508"/>
      <c r="N893" s="508"/>
      <c r="O893" s="509"/>
      <c r="P893" s="509"/>
    </row>
    <row r="894" spans="1:16" ht="21.75" customHeight="1" x14ac:dyDescent="0.3">
      <c r="A894" s="504"/>
      <c r="B894" s="504"/>
      <c r="C894" s="504"/>
      <c r="D894" s="504"/>
      <c r="E894" s="506"/>
      <c r="F894" s="506"/>
      <c r="G894" s="506"/>
      <c r="H894" s="506"/>
      <c r="I894" s="506"/>
      <c r="J894" s="506"/>
      <c r="K894" s="507"/>
      <c r="L894" s="508"/>
      <c r="M894" s="508"/>
      <c r="N894" s="508"/>
      <c r="O894" s="509"/>
      <c r="P894" s="509"/>
    </row>
    <row r="895" spans="1:16" ht="21.75" customHeight="1" x14ac:dyDescent="0.3">
      <c r="A895" s="504"/>
      <c r="B895" s="504"/>
      <c r="C895" s="504"/>
      <c r="D895" s="504"/>
      <c r="E895" s="506"/>
      <c r="F895" s="506"/>
      <c r="G895" s="506"/>
      <c r="H895" s="506"/>
      <c r="I895" s="506"/>
      <c r="J895" s="506"/>
      <c r="K895" s="507"/>
      <c r="L895" s="508"/>
      <c r="M895" s="508"/>
      <c r="N895" s="508"/>
      <c r="O895" s="509"/>
      <c r="P895" s="509"/>
    </row>
    <row r="896" spans="1:16" ht="21.75" customHeight="1" x14ac:dyDescent="0.3">
      <c r="A896" s="504"/>
      <c r="B896" s="504"/>
      <c r="C896" s="504"/>
      <c r="D896" s="504"/>
      <c r="E896" s="506"/>
      <c r="F896" s="506"/>
      <c r="G896" s="506"/>
      <c r="H896" s="506"/>
      <c r="I896" s="506"/>
      <c r="J896" s="506"/>
      <c r="K896" s="507"/>
      <c r="L896" s="508"/>
      <c r="M896" s="508"/>
      <c r="N896" s="508"/>
      <c r="O896" s="509"/>
      <c r="P896" s="509"/>
    </row>
    <row r="897" spans="1:16" ht="21.75" customHeight="1" x14ac:dyDescent="0.3">
      <c r="A897" s="504"/>
      <c r="B897" s="504"/>
      <c r="C897" s="504"/>
      <c r="D897" s="504"/>
      <c r="E897" s="506"/>
      <c r="F897" s="506"/>
      <c r="G897" s="506"/>
      <c r="H897" s="506"/>
      <c r="I897" s="506"/>
      <c r="J897" s="506"/>
      <c r="K897" s="507"/>
      <c r="L897" s="508"/>
      <c r="M897" s="508"/>
      <c r="N897" s="508"/>
      <c r="O897" s="509"/>
      <c r="P897" s="509"/>
    </row>
    <row r="898" spans="1:16" ht="21.75" customHeight="1" x14ac:dyDescent="0.3">
      <c r="A898" s="504"/>
      <c r="B898" s="504"/>
      <c r="C898" s="504"/>
      <c r="D898" s="504"/>
      <c r="E898" s="506"/>
      <c r="F898" s="506"/>
      <c r="G898" s="506"/>
      <c r="H898" s="506"/>
      <c r="I898" s="506"/>
      <c r="J898" s="506"/>
      <c r="K898" s="507"/>
      <c r="L898" s="508"/>
      <c r="M898" s="508"/>
      <c r="N898" s="508"/>
      <c r="O898" s="509"/>
      <c r="P898" s="509"/>
    </row>
    <row r="899" spans="1:16" ht="21.75" customHeight="1" x14ac:dyDescent="0.3">
      <c r="A899" s="504"/>
      <c r="B899" s="504"/>
      <c r="C899" s="504"/>
      <c r="D899" s="504"/>
      <c r="E899" s="506"/>
      <c r="F899" s="506"/>
      <c r="G899" s="506"/>
      <c r="H899" s="506"/>
      <c r="I899" s="506"/>
      <c r="J899" s="506"/>
      <c r="K899" s="507"/>
      <c r="L899" s="508"/>
      <c r="M899" s="508"/>
      <c r="N899" s="508"/>
      <c r="O899" s="509"/>
      <c r="P899" s="509"/>
    </row>
    <row r="900" spans="1:16" ht="21.75" customHeight="1" x14ac:dyDescent="0.3">
      <c r="A900" s="504"/>
      <c r="B900" s="504"/>
      <c r="C900" s="504"/>
      <c r="D900" s="504"/>
      <c r="E900" s="506"/>
      <c r="F900" s="506"/>
      <c r="G900" s="506"/>
      <c r="H900" s="506"/>
      <c r="I900" s="506"/>
      <c r="J900" s="506"/>
      <c r="K900" s="507"/>
      <c r="L900" s="508"/>
      <c r="M900" s="508"/>
      <c r="N900" s="508"/>
      <c r="O900" s="509"/>
      <c r="P900" s="509"/>
    </row>
    <row r="901" spans="1:16" ht="21.75" customHeight="1" x14ac:dyDescent="0.3">
      <c r="A901" s="504"/>
      <c r="B901" s="504"/>
      <c r="C901" s="504"/>
      <c r="D901" s="504"/>
      <c r="E901" s="506"/>
      <c r="F901" s="506"/>
      <c r="G901" s="506"/>
      <c r="H901" s="506"/>
      <c r="I901" s="506"/>
      <c r="J901" s="506"/>
      <c r="K901" s="507"/>
      <c r="L901" s="508"/>
      <c r="M901" s="508"/>
      <c r="N901" s="508"/>
      <c r="O901" s="509"/>
      <c r="P901" s="509"/>
    </row>
    <row r="902" spans="1:16" ht="21.75" customHeight="1" x14ac:dyDescent="0.3">
      <c r="A902" s="504"/>
      <c r="B902" s="504"/>
      <c r="C902" s="504"/>
      <c r="D902" s="504"/>
      <c r="E902" s="506"/>
      <c r="F902" s="506"/>
      <c r="G902" s="506"/>
      <c r="H902" s="506"/>
      <c r="I902" s="506"/>
      <c r="J902" s="506"/>
      <c r="K902" s="507"/>
      <c r="L902" s="508"/>
      <c r="M902" s="508"/>
      <c r="N902" s="508"/>
      <c r="O902" s="509"/>
      <c r="P902" s="509"/>
    </row>
    <row r="903" spans="1:16" ht="21.75" customHeight="1" x14ac:dyDescent="0.3">
      <c r="A903" s="504"/>
      <c r="B903" s="504"/>
      <c r="C903" s="504"/>
      <c r="D903" s="504"/>
      <c r="E903" s="506"/>
      <c r="F903" s="506"/>
      <c r="G903" s="506"/>
      <c r="H903" s="506"/>
      <c r="I903" s="506"/>
      <c r="J903" s="506"/>
      <c r="K903" s="507"/>
      <c r="L903" s="508"/>
      <c r="M903" s="508"/>
      <c r="N903" s="508"/>
      <c r="O903" s="509"/>
      <c r="P903" s="509"/>
    </row>
    <row r="904" spans="1:16" ht="21.75" customHeight="1" x14ac:dyDescent="0.3">
      <c r="A904" s="504"/>
      <c r="B904" s="504"/>
      <c r="C904" s="504"/>
      <c r="D904" s="504"/>
      <c r="E904" s="506"/>
      <c r="F904" s="506"/>
      <c r="G904" s="506"/>
      <c r="H904" s="506"/>
      <c r="I904" s="506"/>
      <c r="J904" s="506"/>
      <c r="K904" s="507"/>
      <c r="L904" s="508"/>
      <c r="M904" s="508"/>
      <c r="N904" s="508"/>
      <c r="O904" s="509"/>
      <c r="P904" s="509"/>
    </row>
    <row r="905" spans="1:16" ht="21.75" customHeight="1" x14ac:dyDescent="0.3">
      <c r="A905" s="504"/>
      <c r="B905" s="504"/>
      <c r="C905" s="504"/>
      <c r="D905" s="504"/>
      <c r="E905" s="506"/>
      <c r="F905" s="506"/>
      <c r="G905" s="506"/>
      <c r="H905" s="506"/>
      <c r="I905" s="506"/>
      <c r="J905" s="506"/>
      <c r="K905" s="507"/>
      <c r="L905" s="508"/>
      <c r="M905" s="508"/>
      <c r="N905" s="508"/>
      <c r="O905" s="509"/>
      <c r="P905" s="509"/>
    </row>
    <row r="906" spans="1:16" ht="21.75" customHeight="1" x14ac:dyDescent="0.3">
      <c r="A906" s="504"/>
      <c r="B906" s="504"/>
      <c r="C906" s="504"/>
      <c r="D906" s="504"/>
      <c r="E906" s="506"/>
      <c r="F906" s="506"/>
      <c r="G906" s="506"/>
      <c r="H906" s="506"/>
      <c r="I906" s="506"/>
      <c r="J906" s="506"/>
      <c r="K906" s="507"/>
      <c r="L906" s="508"/>
      <c r="M906" s="508"/>
      <c r="N906" s="508"/>
      <c r="O906" s="509"/>
      <c r="P906" s="509"/>
    </row>
    <row r="907" spans="1:16" ht="21.75" customHeight="1" x14ac:dyDescent="0.3">
      <c r="A907" s="504"/>
      <c r="B907" s="504"/>
      <c r="C907" s="504"/>
      <c r="D907" s="504"/>
      <c r="E907" s="506"/>
      <c r="F907" s="506"/>
      <c r="G907" s="506"/>
      <c r="H907" s="506"/>
      <c r="I907" s="506"/>
      <c r="J907" s="506"/>
      <c r="K907" s="507"/>
      <c r="L907" s="508"/>
      <c r="M907" s="508"/>
      <c r="N907" s="508"/>
      <c r="O907" s="509"/>
      <c r="P907" s="509"/>
    </row>
    <row r="908" spans="1:16" ht="21.75" customHeight="1" x14ac:dyDescent="0.3">
      <c r="A908" s="504"/>
      <c r="B908" s="504"/>
      <c r="C908" s="504"/>
      <c r="D908" s="504"/>
      <c r="E908" s="506"/>
      <c r="F908" s="506"/>
      <c r="G908" s="506"/>
      <c r="H908" s="506"/>
      <c r="I908" s="506"/>
      <c r="J908" s="506"/>
      <c r="K908" s="507"/>
      <c r="L908" s="508"/>
      <c r="M908" s="508"/>
      <c r="N908" s="508"/>
      <c r="O908" s="509"/>
      <c r="P908" s="509"/>
    </row>
    <row r="909" spans="1:16" ht="21.75" customHeight="1" x14ac:dyDescent="0.3">
      <c r="A909" s="504"/>
      <c r="B909" s="504"/>
      <c r="C909" s="504"/>
      <c r="D909" s="504"/>
      <c r="E909" s="506"/>
      <c r="F909" s="506"/>
      <c r="G909" s="506"/>
      <c r="H909" s="506"/>
      <c r="I909" s="506"/>
      <c r="J909" s="506"/>
      <c r="K909" s="507"/>
      <c r="L909" s="508"/>
      <c r="M909" s="508"/>
      <c r="N909" s="508"/>
      <c r="O909" s="509"/>
      <c r="P909" s="509"/>
    </row>
    <row r="910" spans="1:16" ht="21.75" customHeight="1" x14ac:dyDescent="0.3">
      <c r="A910" s="504"/>
      <c r="B910" s="504"/>
      <c r="C910" s="504"/>
      <c r="D910" s="504"/>
      <c r="E910" s="506"/>
      <c r="F910" s="506"/>
      <c r="G910" s="506"/>
      <c r="H910" s="506"/>
      <c r="I910" s="506"/>
      <c r="J910" s="506"/>
      <c r="K910" s="507"/>
      <c r="L910" s="508"/>
      <c r="M910" s="508"/>
      <c r="N910" s="508"/>
      <c r="O910" s="509"/>
      <c r="P910" s="509"/>
    </row>
    <row r="911" spans="1:16" ht="21.75" customHeight="1" x14ac:dyDescent="0.3">
      <c r="A911" s="504"/>
      <c r="B911" s="504"/>
      <c r="C911" s="504"/>
      <c r="D911" s="504"/>
      <c r="E911" s="506"/>
      <c r="F911" s="506"/>
      <c r="G911" s="506"/>
      <c r="H911" s="506"/>
      <c r="I911" s="506"/>
      <c r="J911" s="506"/>
      <c r="K911" s="507"/>
      <c r="L911" s="508"/>
      <c r="M911" s="508"/>
      <c r="N911" s="508"/>
      <c r="O911" s="509"/>
      <c r="P911" s="509"/>
    </row>
    <row r="912" spans="1:16" ht="21.75" customHeight="1" x14ac:dyDescent="0.3">
      <c r="A912" s="504"/>
      <c r="B912" s="504"/>
      <c r="C912" s="504"/>
      <c r="D912" s="504"/>
      <c r="E912" s="506"/>
      <c r="F912" s="506"/>
      <c r="G912" s="506"/>
      <c r="H912" s="506"/>
      <c r="I912" s="506"/>
      <c r="J912" s="506"/>
      <c r="K912" s="507"/>
      <c r="L912" s="508"/>
      <c r="M912" s="508"/>
      <c r="N912" s="508"/>
      <c r="O912" s="509"/>
      <c r="P912" s="509"/>
    </row>
    <row r="913" spans="1:16" ht="21.75" customHeight="1" x14ac:dyDescent="0.3">
      <c r="A913" s="504"/>
      <c r="B913" s="504"/>
      <c r="C913" s="504"/>
      <c r="D913" s="504"/>
      <c r="E913" s="506"/>
      <c r="F913" s="506"/>
      <c r="G913" s="506"/>
      <c r="H913" s="506"/>
      <c r="I913" s="506"/>
      <c r="J913" s="506"/>
      <c r="K913" s="507"/>
      <c r="L913" s="508"/>
      <c r="M913" s="508"/>
      <c r="N913" s="508"/>
      <c r="O913" s="509"/>
      <c r="P913" s="509"/>
    </row>
    <row r="914" spans="1:16" ht="21.75" customHeight="1" x14ac:dyDescent="0.3">
      <c r="A914" s="504"/>
      <c r="B914" s="504"/>
      <c r="C914" s="504"/>
      <c r="D914" s="504"/>
      <c r="E914" s="506"/>
      <c r="F914" s="506"/>
      <c r="G914" s="506"/>
      <c r="H914" s="506"/>
      <c r="I914" s="506"/>
      <c r="J914" s="506"/>
      <c r="K914" s="507"/>
      <c r="L914" s="508"/>
      <c r="M914" s="508"/>
      <c r="N914" s="508"/>
      <c r="O914" s="509"/>
      <c r="P914" s="509"/>
    </row>
    <row r="915" spans="1:16" ht="21.75" customHeight="1" x14ac:dyDescent="0.3">
      <c r="A915" s="504"/>
      <c r="B915" s="504"/>
      <c r="C915" s="504"/>
      <c r="D915" s="504"/>
      <c r="E915" s="506"/>
      <c r="F915" s="506"/>
      <c r="G915" s="506"/>
      <c r="H915" s="506"/>
      <c r="I915" s="506"/>
      <c r="J915" s="506"/>
      <c r="K915" s="507"/>
      <c r="L915" s="508"/>
      <c r="M915" s="508"/>
      <c r="N915" s="508"/>
      <c r="O915" s="509"/>
      <c r="P915" s="509"/>
    </row>
    <row r="916" spans="1:16" ht="21.75" customHeight="1" x14ac:dyDescent="0.3">
      <c r="A916" s="504"/>
      <c r="B916" s="504"/>
      <c r="C916" s="504"/>
      <c r="D916" s="504"/>
      <c r="E916" s="506"/>
      <c r="F916" s="506"/>
      <c r="G916" s="506"/>
      <c r="H916" s="506"/>
      <c r="I916" s="506"/>
      <c r="J916" s="506"/>
      <c r="K916" s="507"/>
      <c r="L916" s="508"/>
      <c r="M916" s="508"/>
      <c r="N916" s="508"/>
      <c r="O916" s="509"/>
      <c r="P916" s="509"/>
    </row>
    <row r="917" spans="1:16" ht="21.75" customHeight="1" x14ac:dyDescent="0.3">
      <c r="A917" s="504"/>
      <c r="B917" s="504"/>
      <c r="C917" s="504"/>
      <c r="D917" s="504"/>
      <c r="E917" s="506"/>
      <c r="F917" s="506"/>
      <c r="G917" s="506"/>
      <c r="H917" s="506"/>
      <c r="I917" s="506"/>
      <c r="J917" s="506"/>
      <c r="K917" s="507"/>
      <c r="L917" s="508"/>
      <c r="M917" s="508"/>
      <c r="N917" s="508"/>
      <c r="O917" s="509"/>
      <c r="P917" s="509"/>
    </row>
    <row r="918" spans="1:16" ht="21.75" customHeight="1" x14ac:dyDescent="0.3">
      <c r="A918" s="504"/>
      <c r="B918" s="504"/>
      <c r="C918" s="504"/>
      <c r="D918" s="504"/>
      <c r="E918" s="506"/>
      <c r="F918" s="506"/>
      <c r="G918" s="506"/>
      <c r="H918" s="506"/>
      <c r="I918" s="506"/>
      <c r="J918" s="506"/>
      <c r="K918" s="507"/>
      <c r="L918" s="508"/>
      <c r="M918" s="508"/>
      <c r="N918" s="508"/>
      <c r="O918" s="509"/>
      <c r="P918" s="509"/>
    </row>
    <row r="919" spans="1:16" ht="21.75" customHeight="1" x14ac:dyDescent="0.3">
      <c r="A919" s="504"/>
      <c r="B919" s="504"/>
      <c r="C919" s="504"/>
      <c r="D919" s="504"/>
      <c r="E919" s="506"/>
      <c r="F919" s="506"/>
      <c r="G919" s="506"/>
      <c r="H919" s="506"/>
      <c r="I919" s="506"/>
      <c r="J919" s="506"/>
      <c r="K919" s="507"/>
      <c r="L919" s="508"/>
      <c r="M919" s="508"/>
      <c r="N919" s="508"/>
      <c r="O919" s="509"/>
      <c r="P919" s="509"/>
    </row>
    <row r="920" spans="1:16" ht="21.75" customHeight="1" x14ac:dyDescent="0.3">
      <c r="A920" s="504"/>
      <c r="B920" s="504"/>
      <c r="C920" s="504"/>
      <c r="D920" s="504"/>
      <c r="E920" s="506"/>
      <c r="F920" s="506"/>
      <c r="G920" s="506"/>
      <c r="H920" s="506"/>
      <c r="I920" s="506"/>
      <c r="J920" s="506"/>
      <c r="K920" s="507"/>
      <c r="L920" s="508"/>
      <c r="M920" s="508"/>
      <c r="N920" s="508"/>
      <c r="O920" s="509"/>
      <c r="P920" s="509"/>
    </row>
    <row r="921" spans="1:16" ht="21.75" customHeight="1" x14ac:dyDescent="0.3">
      <c r="A921" s="504"/>
      <c r="B921" s="504"/>
      <c r="C921" s="504"/>
      <c r="D921" s="504"/>
      <c r="E921" s="506"/>
      <c r="F921" s="506"/>
      <c r="G921" s="506"/>
      <c r="H921" s="506"/>
      <c r="I921" s="506"/>
      <c r="J921" s="506"/>
      <c r="K921" s="507"/>
      <c r="L921" s="508"/>
      <c r="M921" s="508"/>
      <c r="N921" s="508"/>
      <c r="O921" s="509"/>
      <c r="P921" s="509"/>
    </row>
    <row r="922" spans="1:16" ht="21.75" customHeight="1" x14ac:dyDescent="0.3">
      <c r="A922" s="504"/>
      <c r="B922" s="504"/>
      <c r="C922" s="504"/>
      <c r="D922" s="504"/>
      <c r="E922" s="506"/>
      <c r="F922" s="506"/>
      <c r="G922" s="506"/>
      <c r="H922" s="506"/>
      <c r="I922" s="506"/>
      <c r="J922" s="506"/>
      <c r="K922" s="507"/>
      <c r="L922" s="508"/>
      <c r="M922" s="508"/>
      <c r="N922" s="508"/>
      <c r="O922" s="509"/>
      <c r="P922" s="509"/>
    </row>
    <row r="923" spans="1:16" ht="21.75" customHeight="1" x14ac:dyDescent="0.3">
      <c r="A923" s="504"/>
      <c r="B923" s="504"/>
      <c r="C923" s="504"/>
      <c r="D923" s="504"/>
      <c r="E923" s="506"/>
      <c r="F923" s="506"/>
      <c r="G923" s="506"/>
      <c r="H923" s="506"/>
      <c r="I923" s="506"/>
      <c r="J923" s="506"/>
      <c r="K923" s="507"/>
      <c r="L923" s="508"/>
      <c r="M923" s="508"/>
      <c r="N923" s="508"/>
      <c r="O923" s="509"/>
      <c r="P923" s="509"/>
    </row>
    <row r="924" spans="1:16" ht="21.75" customHeight="1" x14ac:dyDescent="0.3">
      <c r="A924" s="504"/>
      <c r="B924" s="504"/>
      <c r="C924" s="504"/>
      <c r="D924" s="504"/>
      <c r="E924" s="506"/>
      <c r="F924" s="506"/>
      <c r="G924" s="506"/>
      <c r="H924" s="506"/>
      <c r="I924" s="506"/>
      <c r="J924" s="506"/>
      <c r="K924" s="507"/>
      <c r="L924" s="508"/>
      <c r="M924" s="508"/>
      <c r="N924" s="508"/>
      <c r="O924" s="509"/>
      <c r="P924" s="509"/>
    </row>
    <row r="925" spans="1:16" ht="21.75" customHeight="1" x14ac:dyDescent="0.3">
      <c r="A925" s="504"/>
      <c r="B925" s="504"/>
      <c r="C925" s="504"/>
      <c r="D925" s="504"/>
      <c r="E925" s="506"/>
      <c r="F925" s="506"/>
      <c r="G925" s="506"/>
      <c r="H925" s="506"/>
      <c r="I925" s="506"/>
      <c r="J925" s="506"/>
      <c r="K925" s="507"/>
      <c r="L925" s="508"/>
      <c r="M925" s="508"/>
      <c r="N925" s="508"/>
      <c r="O925" s="509"/>
      <c r="P925" s="509"/>
    </row>
    <row r="926" spans="1:16" ht="21.75" customHeight="1" x14ac:dyDescent="0.3">
      <c r="A926" s="504"/>
      <c r="B926" s="504"/>
      <c r="C926" s="504"/>
      <c r="D926" s="504"/>
      <c r="E926" s="506"/>
      <c r="F926" s="506"/>
      <c r="G926" s="506"/>
      <c r="H926" s="506"/>
      <c r="I926" s="506"/>
      <c r="J926" s="506"/>
      <c r="K926" s="507"/>
      <c r="L926" s="508"/>
      <c r="M926" s="508"/>
      <c r="N926" s="508"/>
      <c r="O926" s="509"/>
      <c r="P926" s="509"/>
    </row>
    <row r="927" spans="1:16" ht="21.75" customHeight="1" x14ac:dyDescent="0.3">
      <c r="A927" s="504"/>
      <c r="B927" s="504"/>
      <c r="C927" s="504"/>
      <c r="D927" s="504"/>
      <c r="E927" s="506"/>
      <c r="F927" s="506"/>
      <c r="G927" s="506"/>
      <c r="H927" s="506"/>
      <c r="I927" s="506"/>
      <c r="J927" s="506"/>
      <c r="K927" s="507"/>
      <c r="L927" s="508"/>
      <c r="M927" s="508"/>
      <c r="N927" s="508"/>
      <c r="O927" s="509"/>
      <c r="P927" s="509"/>
    </row>
    <row r="928" spans="1:16" ht="21.75" customHeight="1" x14ac:dyDescent="0.3">
      <c r="A928" s="504"/>
      <c r="B928" s="504"/>
      <c r="C928" s="504"/>
      <c r="D928" s="504"/>
      <c r="E928" s="506"/>
      <c r="F928" s="506"/>
      <c r="G928" s="506"/>
      <c r="H928" s="506"/>
      <c r="I928" s="506"/>
      <c r="J928" s="506"/>
      <c r="K928" s="507"/>
      <c r="L928" s="508"/>
      <c r="M928" s="508"/>
      <c r="N928" s="508"/>
      <c r="O928" s="509"/>
      <c r="P928" s="509"/>
    </row>
    <row r="929" spans="1:16" ht="21.75" customHeight="1" x14ac:dyDescent="0.3">
      <c r="A929" s="504"/>
      <c r="B929" s="504"/>
      <c r="C929" s="504"/>
      <c r="D929" s="504"/>
      <c r="E929" s="506"/>
      <c r="F929" s="506"/>
      <c r="G929" s="506"/>
      <c r="H929" s="506"/>
      <c r="I929" s="506"/>
      <c r="J929" s="506"/>
      <c r="K929" s="507"/>
      <c r="L929" s="508"/>
      <c r="M929" s="508"/>
      <c r="N929" s="508"/>
      <c r="O929" s="509"/>
      <c r="P929" s="509"/>
    </row>
    <row r="930" spans="1:16" ht="21.75" customHeight="1" x14ac:dyDescent="0.3">
      <c r="A930" s="504"/>
      <c r="B930" s="504"/>
      <c r="C930" s="504"/>
      <c r="D930" s="504"/>
      <c r="E930" s="506"/>
      <c r="F930" s="506"/>
      <c r="G930" s="506"/>
      <c r="H930" s="506"/>
      <c r="I930" s="506"/>
      <c r="J930" s="506"/>
      <c r="K930" s="507"/>
      <c r="L930" s="508"/>
      <c r="M930" s="508"/>
      <c r="N930" s="508"/>
      <c r="O930" s="509"/>
      <c r="P930" s="509"/>
    </row>
    <row r="931" spans="1:16" ht="21.75" customHeight="1" x14ac:dyDescent="0.3">
      <c r="A931" s="504"/>
      <c r="B931" s="504"/>
      <c r="C931" s="504"/>
      <c r="D931" s="504"/>
      <c r="E931" s="506"/>
      <c r="F931" s="506"/>
      <c r="G931" s="506"/>
      <c r="H931" s="506"/>
      <c r="I931" s="506"/>
      <c r="J931" s="506"/>
      <c r="K931" s="507"/>
      <c r="L931" s="508"/>
      <c r="M931" s="508"/>
      <c r="N931" s="508"/>
      <c r="O931" s="509"/>
      <c r="P931" s="509"/>
    </row>
    <row r="932" spans="1:16" ht="21.75" customHeight="1" x14ac:dyDescent="0.3">
      <c r="A932" s="504"/>
      <c r="B932" s="504"/>
      <c r="C932" s="504"/>
      <c r="D932" s="504"/>
      <c r="E932" s="506"/>
      <c r="F932" s="506"/>
      <c r="G932" s="506"/>
      <c r="H932" s="506"/>
      <c r="I932" s="506"/>
      <c r="J932" s="506"/>
      <c r="K932" s="507"/>
      <c r="L932" s="508"/>
      <c r="M932" s="508"/>
      <c r="N932" s="508"/>
      <c r="O932" s="509"/>
      <c r="P932" s="509"/>
    </row>
    <row r="933" spans="1:16" ht="21.75" customHeight="1" x14ac:dyDescent="0.3">
      <c r="A933" s="504"/>
      <c r="B933" s="504"/>
      <c r="C933" s="504"/>
      <c r="D933" s="504"/>
      <c r="E933" s="506"/>
      <c r="F933" s="506"/>
      <c r="G933" s="506"/>
      <c r="H933" s="506"/>
      <c r="I933" s="506"/>
      <c r="J933" s="506"/>
      <c r="K933" s="507"/>
      <c r="L933" s="508"/>
      <c r="M933" s="508"/>
      <c r="N933" s="508"/>
      <c r="O933" s="509"/>
      <c r="P933" s="509"/>
    </row>
    <row r="934" spans="1:16" ht="21.75" customHeight="1" x14ac:dyDescent="0.3">
      <c r="A934" s="504"/>
      <c r="B934" s="504"/>
      <c r="C934" s="504"/>
      <c r="D934" s="504"/>
      <c r="E934" s="506"/>
      <c r="F934" s="506"/>
      <c r="G934" s="506"/>
      <c r="H934" s="506"/>
      <c r="I934" s="506"/>
      <c r="J934" s="506"/>
      <c r="K934" s="507"/>
      <c r="L934" s="508"/>
      <c r="M934" s="508"/>
      <c r="N934" s="508"/>
      <c r="O934" s="509"/>
      <c r="P934" s="509"/>
    </row>
    <row r="935" spans="1:16" ht="21.75" customHeight="1" x14ac:dyDescent="0.3">
      <c r="A935" s="504"/>
      <c r="B935" s="504"/>
      <c r="C935" s="504"/>
      <c r="D935" s="504"/>
      <c r="E935" s="506"/>
      <c r="F935" s="506"/>
      <c r="G935" s="506"/>
      <c r="H935" s="506"/>
      <c r="I935" s="506"/>
      <c r="J935" s="506"/>
      <c r="K935" s="507"/>
      <c r="L935" s="508"/>
      <c r="M935" s="508"/>
      <c r="N935" s="508"/>
      <c r="O935" s="509"/>
      <c r="P935" s="509"/>
    </row>
    <row r="936" spans="1:16" ht="21.75" customHeight="1" x14ac:dyDescent="0.3">
      <c r="A936" s="504"/>
      <c r="B936" s="504"/>
      <c r="C936" s="504"/>
      <c r="D936" s="504"/>
      <c r="E936" s="506"/>
      <c r="F936" s="506"/>
      <c r="G936" s="506"/>
      <c r="H936" s="506"/>
      <c r="I936" s="506"/>
      <c r="J936" s="506"/>
      <c r="K936" s="507"/>
      <c r="L936" s="508"/>
      <c r="M936" s="508"/>
      <c r="N936" s="508"/>
      <c r="O936" s="509"/>
      <c r="P936" s="509"/>
    </row>
    <row r="937" spans="1:16" ht="21.75" customHeight="1" x14ac:dyDescent="0.3">
      <c r="A937" s="504"/>
      <c r="B937" s="504"/>
      <c r="C937" s="504"/>
      <c r="D937" s="504"/>
      <c r="E937" s="506"/>
      <c r="F937" s="506"/>
      <c r="G937" s="506"/>
      <c r="H937" s="506"/>
      <c r="I937" s="506"/>
      <c r="J937" s="506"/>
      <c r="K937" s="507"/>
      <c r="L937" s="508"/>
      <c r="M937" s="508"/>
      <c r="N937" s="508"/>
      <c r="O937" s="509"/>
      <c r="P937" s="509"/>
    </row>
    <row r="938" spans="1:16" ht="21.75" customHeight="1" x14ac:dyDescent="0.3">
      <c r="A938" s="504"/>
      <c r="B938" s="504"/>
      <c r="C938" s="504"/>
      <c r="D938" s="504"/>
      <c r="E938" s="506"/>
      <c r="F938" s="506"/>
      <c r="G938" s="506"/>
      <c r="H938" s="506"/>
      <c r="I938" s="506"/>
      <c r="J938" s="506"/>
      <c r="K938" s="507"/>
      <c r="L938" s="508"/>
      <c r="M938" s="508"/>
      <c r="N938" s="508"/>
      <c r="O938" s="509"/>
      <c r="P938" s="509"/>
    </row>
    <row r="939" spans="1:16" ht="21.75" customHeight="1" x14ac:dyDescent="0.3">
      <c r="A939" s="504"/>
      <c r="B939" s="504"/>
      <c r="C939" s="504"/>
      <c r="D939" s="504"/>
      <c r="E939" s="506"/>
      <c r="F939" s="506"/>
      <c r="G939" s="506"/>
      <c r="H939" s="506"/>
      <c r="I939" s="506"/>
      <c r="J939" s="506"/>
      <c r="K939" s="507"/>
      <c r="L939" s="508"/>
      <c r="M939" s="508"/>
      <c r="N939" s="508"/>
      <c r="O939" s="509"/>
      <c r="P939" s="509"/>
    </row>
    <row r="940" spans="1:16" ht="21.75" customHeight="1" x14ac:dyDescent="0.3">
      <c r="A940" s="504"/>
      <c r="B940" s="504"/>
      <c r="C940" s="504"/>
      <c r="D940" s="504"/>
      <c r="E940" s="506"/>
      <c r="F940" s="506"/>
      <c r="G940" s="506"/>
      <c r="H940" s="506"/>
      <c r="I940" s="506"/>
      <c r="J940" s="506"/>
      <c r="K940" s="507"/>
      <c r="L940" s="508"/>
      <c r="M940" s="508"/>
      <c r="N940" s="508"/>
      <c r="O940" s="509"/>
      <c r="P940" s="509"/>
    </row>
    <row r="941" spans="1:16" ht="21.75" customHeight="1" x14ac:dyDescent="0.3">
      <c r="A941" s="504"/>
      <c r="B941" s="504"/>
      <c r="C941" s="504"/>
      <c r="D941" s="504"/>
      <c r="E941" s="506"/>
      <c r="F941" s="506"/>
      <c r="G941" s="506"/>
      <c r="H941" s="506"/>
      <c r="I941" s="506"/>
      <c r="J941" s="506"/>
      <c r="K941" s="507"/>
      <c r="L941" s="508"/>
      <c r="M941" s="508"/>
      <c r="N941" s="508"/>
      <c r="O941" s="509"/>
      <c r="P941" s="509"/>
    </row>
    <row r="942" spans="1:16" ht="21.75" customHeight="1" x14ac:dyDescent="0.3">
      <c r="A942" s="504"/>
      <c r="B942" s="504"/>
      <c r="C942" s="504"/>
      <c r="D942" s="504"/>
      <c r="E942" s="506"/>
      <c r="F942" s="506"/>
      <c r="G942" s="506"/>
      <c r="H942" s="506"/>
      <c r="I942" s="506"/>
      <c r="J942" s="506"/>
      <c r="K942" s="507"/>
      <c r="L942" s="508"/>
      <c r="M942" s="508"/>
      <c r="N942" s="508"/>
      <c r="O942" s="509"/>
      <c r="P942" s="509"/>
    </row>
    <row r="943" spans="1:16" ht="21.75" customHeight="1" x14ac:dyDescent="0.3">
      <c r="A943" s="504"/>
      <c r="B943" s="504"/>
      <c r="C943" s="504"/>
      <c r="D943" s="504"/>
      <c r="E943" s="506"/>
      <c r="F943" s="506"/>
      <c r="G943" s="506"/>
      <c r="H943" s="506"/>
      <c r="I943" s="506"/>
      <c r="J943" s="506"/>
      <c r="K943" s="507"/>
      <c r="L943" s="508"/>
      <c r="M943" s="508"/>
      <c r="N943" s="508"/>
      <c r="O943" s="509"/>
      <c r="P943" s="509"/>
    </row>
    <row r="944" spans="1:16" ht="21.75" customHeight="1" x14ac:dyDescent="0.3">
      <c r="A944" s="504"/>
      <c r="B944" s="504"/>
      <c r="C944" s="504"/>
      <c r="D944" s="504"/>
      <c r="E944" s="506"/>
      <c r="F944" s="506"/>
      <c r="G944" s="506"/>
      <c r="H944" s="506"/>
      <c r="I944" s="506"/>
      <c r="J944" s="506"/>
      <c r="K944" s="507"/>
      <c r="L944" s="508"/>
      <c r="M944" s="508"/>
      <c r="N944" s="508"/>
      <c r="O944" s="509"/>
      <c r="P944" s="509"/>
    </row>
    <row r="945" spans="1:16" ht="21.75" customHeight="1" x14ac:dyDescent="0.3">
      <c r="A945" s="504"/>
      <c r="B945" s="504"/>
      <c r="C945" s="504"/>
      <c r="D945" s="504"/>
      <c r="E945" s="506"/>
      <c r="F945" s="506"/>
      <c r="G945" s="506"/>
      <c r="H945" s="506"/>
      <c r="I945" s="506"/>
      <c r="J945" s="506"/>
      <c r="K945" s="507"/>
      <c r="L945" s="508"/>
      <c r="M945" s="508"/>
      <c r="N945" s="508"/>
      <c r="O945" s="509"/>
      <c r="P945" s="509"/>
    </row>
    <row r="946" spans="1:16" ht="21.75" customHeight="1" x14ac:dyDescent="0.3">
      <c r="A946" s="504"/>
      <c r="B946" s="504"/>
      <c r="C946" s="504"/>
      <c r="D946" s="504"/>
      <c r="E946" s="506"/>
      <c r="F946" s="506"/>
      <c r="G946" s="506"/>
      <c r="H946" s="506"/>
      <c r="I946" s="506"/>
      <c r="J946" s="506"/>
      <c r="K946" s="507"/>
      <c r="L946" s="508"/>
      <c r="M946" s="508"/>
      <c r="N946" s="508"/>
      <c r="O946" s="509"/>
      <c r="P946" s="509"/>
    </row>
    <row r="947" spans="1:16" ht="21.75" customHeight="1" x14ac:dyDescent="0.3">
      <c r="A947" s="504"/>
      <c r="B947" s="504"/>
      <c r="C947" s="504"/>
      <c r="D947" s="504"/>
      <c r="E947" s="506"/>
      <c r="F947" s="506"/>
      <c r="G947" s="506"/>
      <c r="H947" s="506"/>
      <c r="I947" s="506"/>
      <c r="J947" s="506"/>
      <c r="K947" s="507"/>
      <c r="L947" s="508"/>
      <c r="M947" s="508"/>
      <c r="N947" s="508"/>
      <c r="O947" s="509"/>
      <c r="P947" s="509"/>
    </row>
    <row r="948" spans="1:16" ht="21.75" customHeight="1" x14ac:dyDescent="0.3">
      <c r="A948" s="504"/>
      <c r="B948" s="504"/>
      <c r="C948" s="504"/>
      <c r="D948" s="504"/>
      <c r="E948" s="506"/>
      <c r="F948" s="506"/>
      <c r="G948" s="506"/>
      <c r="H948" s="506"/>
      <c r="I948" s="506"/>
      <c r="J948" s="506"/>
      <c r="K948" s="507"/>
      <c r="L948" s="508"/>
      <c r="M948" s="508"/>
      <c r="N948" s="508"/>
      <c r="O948" s="509"/>
      <c r="P948" s="509"/>
    </row>
    <row r="949" spans="1:16" ht="21.75" customHeight="1" x14ac:dyDescent="0.3">
      <c r="A949" s="504"/>
      <c r="B949" s="504"/>
      <c r="C949" s="504"/>
      <c r="D949" s="504"/>
      <c r="E949" s="506"/>
      <c r="F949" s="506"/>
      <c r="G949" s="506"/>
      <c r="H949" s="506"/>
      <c r="I949" s="506"/>
      <c r="J949" s="506"/>
      <c r="K949" s="507"/>
      <c r="L949" s="508"/>
      <c r="M949" s="508"/>
      <c r="N949" s="508"/>
      <c r="O949" s="509"/>
      <c r="P949" s="509"/>
    </row>
    <row r="950" spans="1:16" ht="21.75" customHeight="1" x14ac:dyDescent="0.3">
      <c r="A950" s="504"/>
      <c r="B950" s="504"/>
      <c r="C950" s="504"/>
      <c r="D950" s="504"/>
      <c r="E950" s="506"/>
      <c r="F950" s="506"/>
      <c r="G950" s="506"/>
      <c r="H950" s="506"/>
      <c r="I950" s="506"/>
      <c r="J950" s="506"/>
      <c r="K950" s="507"/>
      <c r="L950" s="508"/>
      <c r="M950" s="508"/>
      <c r="N950" s="508"/>
      <c r="O950" s="509"/>
      <c r="P950" s="509"/>
    </row>
    <row r="951" spans="1:16" ht="21.75" customHeight="1" x14ac:dyDescent="0.3">
      <c r="A951" s="504"/>
      <c r="B951" s="504"/>
      <c r="C951" s="504"/>
      <c r="D951" s="504"/>
      <c r="E951" s="506"/>
      <c r="F951" s="506"/>
      <c r="G951" s="506"/>
      <c r="H951" s="506"/>
      <c r="I951" s="506"/>
      <c r="J951" s="506"/>
      <c r="K951" s="507"/>
      <c r="L951" s="508"/>
      <c r="M951" s="508"/>
      <c r="N951" s="508"/>
      <c r="O951" s="509"/>
      <c r="P951" s="509"/>
    </row>
    <row r="952" spans="1:16" ht="21.75" customHeight="1" x14ac:dyDescent="0.3">
      <c r="A952" s="504"/>
      <c r="B952" s="504"/>
      <c r="C952" s="504"/>
      <c r="D952" s="504"/>
      <c r="E952" s="506"/>
      <c r="F952" s="506"/>
      <c r="G952" s="506"/>
      <c r="H952" s="506"/>
      <c r="I952" s="506"/>
      <c r="J952" s="506"/>
      <c r="K952" s="507"/>
      <c r="L952" s="508"/>
      <c r="M952" s="508"/>
      <c r="N952" s="508"/>
      <c r="O952" s="509"/>
      <c r="P952" s="509"/>
    </row>
    <row r="953" spans="1:16" ht="21.75" customHeight="1" x14ac:dyDescent="0.3">
      <c r="A953" s="504"/>
      <c r="B953" s="504"/>
      <c r="C953" s="504"/>
      <c r="D953" s="504"/>
      <c r="E953" s="506"/>
      <c r="F953" s="506"/>
      <c r="G953" s="506"/>
      <c r="H953" s="506"/>
      <c r="I953" s="506"/>
      <c r="J953" s="506"/>
      <c r="K953" s="507"/>
      <c r="L953" s="508"/>
      <c r="M953" s="508"/>
      <c r="N953" s="508"/>
      <c r="O953" s="509"/>
      <c r="P953" s="509"/>
    </row>
    <row r="954" spans="1:16" ht="21.75" customHeight="1" x14ac:dyDescent="0.3">
      <c r="A954" s="504"/>
      <c r="B954" s="504"/>
      <c r="C954" s="504"/>
      <c r="D954" s="504"/>
      <c r="E954" s="506"/>
      <c r="F954" s="506"/>
      <c r="G954" s="506"/>
      <c r="H954" s="506"/>
      <c r="I954" s="506"/>
      <c r="J954" s="506"/>
      <c r="K954" s="507"/>
      <c r="L954" s="508"/>
      <c r="M954" s="508"/>
      <c r="N954" s="508"/>
      <c r="O954" s="509"/>
      <c r="P954" s="509"/>
    </row>
    <row r="955" spans="1:16" ht="21.75" customHeight="1" x14ac:dyDescent="0.3">
      <c r="A955" s="504"/>
      <c r="B955" s="504"/>
      <c r="C955" s="504"/>
      <c r="D955" s="504"/>
      <c r="E955" s="506"/>
      <c r="F955" s="506"/>
      <c r="G955" s="506"/>
      <c r="H955" s="506"/>
      <c r="I955" s="506"/>
      <c r="J955" s="506"/>
      <c r="K955" s="507"/>
      <c r="L955" s="508"/>
      <c r="M955" s="508"/>
      <c r="N955" s="508"/>
      <c r="O955" s="509"/>
      <c r="P955" s="509"/>
    </row>
    <row r="956" spans="1:16" ht="21.75" customHeight="1" x14ac:dyDescent="0.3">
      <c r="A956" s="504"/>
      <c r="B956" s="504"/>
      <c r="C956" s="504"/>
      <c r="D956" s="504"/>
      <c r="E956" s="506"/>
      <c r="F956" s="506"/>
      <c r="G956" s="506"/>
      <c r="H956" s="506"/>
      <c r="I956" s="506"/>
      <c r="J956" s="506"/>
      <c r="K956" s="507"/>
      <c r="L956" s="508"/>
      <c r="M956" s="508"/>
      <c r="N956" s="508"/>
      <c r="O956" s="509"/>
      <c r="P956" s="509"/>
    </row>
    <row r="957" spans="1:16" ht="21.75" customHeight="1" x14ac:dyDescent="0.3">
      <c r="A957" s="504"/>
      <c r="B957" s="504"/>
      <c r="C957" s="504"/>
      <c r="D957" s="504"/>
      <c r="E957" s="506"/>
      <c r="F957" s="506"/>
      <c r="G957" s="506"/>
      <c r="H957" s="506"/>
      <c r="I957" s="506"/>
      <c r="J957" s="506"/>
      <c r="K957" s="507"/>
      <c r="L957" s="508"/>
      <c r="M957" s="508"/>
      <c r="N957" s="508"/>
      <c r="O957" s="509"/>
      <c r="P957" s="509"/>
    </row>
    <row r="958" spans="1:16" ht="21.75" customHeight="1" x14ac:dyDescent="0.3">
      <c r="A958" s="504"/>
      <c r="B958" s="504"/>
      <c r="C958" s="504"/>
      <c r="D958" s="504"/>
      <c r="E958" s="506"/>
      <c r="F958" s="506"/>
      <c r="G958" s="506"/>
      <c r="H958" s="506"/>
      <c r="I958" s="506"/>
      <c r="J958" s="506"/>
      <c r="K958" s="507"/>
      <c r="L958" s="508"/>
      <c r="M958" s="508"/>
      <c r="N958" s="508"/>
      <c r="O958" s="509"/>
      <c r="P958" s="509"/>
    </row>
    <row r="959" spans="1:16" ht="21.75" customHeight="1" x14ac:dyDescent="0.3">
      <c r="A959" s="504"/>
      <c r="B959" s="504"/>
      <c r="C959" s="504"/>
      <c r="D959" s="504"/>
      <c r="E959" s="506"/>
      <c r="F959" s="506"/>
      <c r="G959" s="506"/>
      <c r="H959" s="506"/>
      <c r="I959" s="506"/>
      <c r="J959" s="506"/>
      <c r="K959" s="507"/>
      <c r="L959" s="508"/>
      <c r="M959" s="508"/>
      <c r="N959" s="508"/>
      <c r="O959" s="509"/>
      <c r="P959" s="509"/>
    </row>
    <row r="960" spans="1:16" ht="21.75" customHeight="1" x14ac:dyDescent="0.3">
      <c r="A960" s="504"/>
      <c r="B960" s="504"/>
      <c r="C960" s="504"/>
      <c r="D960" s="504"/>
      <c r="E960" s="506"/>
      <c r="F960" s="506"/>
      <c r="G960" s="506"/>
      <c r="H960" s="506"/>
      <c r="I960" s="506"/>
      <c r="J960" s="506"/>
      <c r="K960" s="507"/>
      <c r="L960" s="508"/>
      <c r="M960" s="508"/>
      <c r="N960" s="508"/>
      <c r="O960" s="509"/>
      <c r="P960" s="509"/>
    </row>
    <row r="961" spans="1:16" ht="21.75" customHeight="1" x14ac:dyDescent="0.3">
      <c r="A961" s="504"/>
      <c r="B961" s="504"/>
      <c r="C961" s="504"/>
      <c r="D961" s="504"/>
      <c r="E961" s="506"/>
      <c r="F961" s="506"/>
      <c r="G961" s="506"/>
      <c r="H961" s="506"/>
      <c r="I961" s="506"/>
      <c r="J961" s="506"/>
      <c r="K961" s="507"/>
      <c r="L961" s="508"/>
      <c r="M961" s="508"/>
      <c r="N961" s="508"/>
      <c r="O961" s="509"/>
      <c r="P961" s="509"/>
    </row>
    <row r="962" spans="1:16" ht="21.75" customHeight="1" x14ac:dyDescent="0.3">
      <c r="A962" s="504"/>
      <c r="B962" s="504"/>
      <c r="C962" s="504"/>
      <c r="D962" s="504"/>
      <c r="E962" s="506"/>
      <c r="F962" s="506"/>
      <c r="G962" s="506"/>
      <c r="H962" s="506"/>
      <c r="I962" s="506"/>
      <c r="J962" s="506"/>
      <c r="K962" s="507"/>
      <c r="L962" s="508"/>
      <c r="M962" s="508"/>
      <c r="N962" s="508"/>
      <c r="O962" s="509"/>
      <c r="P962" s="509"/>
    </row>
    <row r="963" spans="1:16" ht="21.75" customHeight="1" x14ac:dyDescent="0.3">
      <c r="A963" s="504"/>
      <c r="B963" s="504"/>
      <c r="C963" s="504"/>
      <c r="D963" s="504"/>
      <c r="E963" s="506"/>
      <c r="F963" s="506"/>
      <c r="G963" s="506"/>
      <c r="H963" s="506"/>
      <c r="I963" s="506"/>
      <c r="J963" s="506"/>
      <c r="K963" s="507"/>
      <c r="L963" s="508"/>
      <c r="M963" s="508"/>
      <c r="N963" s="508"/>
      <c r="O963" s="509"/>
      <c r="P963" s="509"/>
    </row>
    <row r="964" spans="1:16" ht="21.75" customHeight="1" x14ac:dyDescent="0.3">
      <c r="A964" s="504"/>
      <c r="B964" s="504"/>
      <c r="C964" s="504"/>
      <c r="D964" s="504"/>
      <c r="E964" s="506"/>
      <c r="F964" s="506"/>
      <c r="G964" s="506"/>
      <c r="H964" s="506"/>
      <c r="I964" s="506"/>
      <c r="J964" s="506"/>
      <c r="K964" s="507"/>
      <c r="L964" s="508"/>
      <c r="M964" s="508"/>
      <c r="N964" s="508"/>
      <c r="O964" s="509"/>
      <c r="P964" s="509"/>
    </row>
    <row r="965" spans="1:16" ht="21.75" customHeight="1" x14ac:dyDescent="0.3">
      <c r="A965" s="504"/>
      <c r="B965" s="504"/>
      <c r="C965" s="504"/>
      <c r="D965" s="504"/>
      <c r="E965" s="506"/>
      <c r="F965" s="506"/>
      <c r="G965" s="506"/>
      <c r="H965" s="506"/>
      <c r="I965" s="506"/>
      <c r="J965" s="506"/>
      <c r="K965" s="507"/>
      <c r="L965" s="508"/>
      <c r="M965" s="508"/>
      <c r="N965" s="508"/>
      <c r="O965" s="509"/>
      <c r="P965" s="509"/>
    </row>
    <row r="966" spans="1:16" ht="21.75" customHeight="1" x14ac:dyDescent="0.3">
      <c r="A966" s="504"/>
      <c r="B966" s="504"/>
      <c r="C966" s="504"/>
      <c r="D966" s="504"/>
      <c r="E966" s="506"/>
      <c r="F966" s="506"/>
      <c r="G966" s="506"/>
      <c r="H966" s="506"/>
      <c r="I966" s="506"/>
      <c r="J966" s="506"/>
      <c r="K966" s="507"/>
      <c r="L966" s="508"/>
      <c r="M966" s="508"/>
      <c r="N966" s="508"/>
      <c r="O966" s="509"/>
      <c r="P966" s="509"/>
    </row>
    <row r="967" spans="1:16" ht="21.75" customHeight="1" x14ac:dyDescent="0.3">
      <c r="A967" s="504"/>
      <c r="B967" s="504"/>
      <c r="C967" s="504"/>
      <c r="D967" s="504"/>
      <c r="E967" s="506"/>
      <c r="F967" s="506"/>
      <c r="G967" s="506"/>
      <c r="H967" s="506"/>
      <c r="I967" s="506"/>
      <c r="J967" s="506"/>
      <c r="K967" s="507"/>
      <c r="L967" s="508"/>
      <c r="M967" s="508"/>
      <c r="N967" s="508"/>
      <c r="O967" s="509"/>
      <c r="P967" s="509"/>
    </row>
    <row r="968" spans="1:16" ht="21.75" customHeight="1" x14ac:dyDescent="0.3">
      <c r="A968" s="504"/>
      <c r="B968" s="504"/>
      <c r="C968" s="504"/>
      <c r="D968" s="504"/>
      <c r="E968" s="506"/>
      <c r="F968" s="506"/>
      <c r="G968" s="506"/>
      <c r="H968" s="506"/>
      <c r="I968" s="506"/>
      <c r="J968" s="506"/>
      <c r="K968" s="507"/>
      <c r="L968" s="508"/>
      <c r="M968" s="508"/>
      <c r="N968" s="508"/>
      <c r="O968" s="509"/>
      <c r="P968" s="509"/>
    </row>
    <row r="969" spans="1:16" ht="21.75" customHeight="1" x14ac:dyDescent="0.3">
      <c r="A969" s="504"/>
      <c r="B969" s="504"/>
      <c r="C969" s="504"/>
      <c r="D969" s="504"/>
      <c r="E969" s="506"/>
      <c r="F969" s="506"/>
      <c r="G969" s="506"/>
      <c r="H969" s="506"/>
      <c r="I969" s="506"/>
      <c r="J969" s="506"/>
      <c r="K969" s="507"/>
      <c r="L969" s="508"/>
      <c r="M969" s="508"/>
      <c r="N969" s="508"/>
      <c r="O969" s="509"/>
      <c r="P969" s="509"/>
    </row>
    <row r="970" spans="1:16" ht="21.75" customHeight="1" x14ac:dyDescent="0.3">
      <c r="A970" s="504"/>
      <c r="B970" s="504"/>
      <c r="C970" s="504"/>
      <c r="D970" s="504"/>
      <c r="E970" s="506"/>
      <c r="F970" s="506"/>
      <c r="G970" s="506"/>
      <c r="H970" s="506"/>
      <c r="I970" s="506"/>
      <c r="J970" s="506"/>
      <c r="K970" s="507"/>
      <c r="L970" s="508"/>
      <c r="M970" s="508"/>
      <c r="N970" s="508"/>
      <c r="O970" s="509"/>
      <c r="P970" s="509"/>
    </row>
    <row r="971" spans="1:16" ht="21.75" customHeight="1" x14ac:dyDescent="0.3">
      <c r="A971" s="504"/>
      <c r="B971" s="504"/>
      <c r="C971" s="504"/>
      <c r="D971" s="504"/>
      <c r="E971" s="506"/>
      <c r="F971" s="506"/>
      <c r="G971" s="506"/>
      <c r="H971" s="506"/>
      <c r="I971" s="506"/>
      <c r="J971" s="506"/>
      <c r="K971" s="507"/>
      <c r="L971" s="508"/>
      <c r="M971" s="508"/>
      <c r="N971" s="508"/>
      <c r="O971" s="509"/>
      <c r="P971" s="509"/>
    </row>
    <row r="972" spans="1:16" ht="21.75" customHeight="1" x14ac:dyDescent="0.3">
      <c r="A972" s="504"/>
      <c r="B972" s="504"/>
      <c r="C972" s="504"/>
      <c r="D972" s="504"/>
      <c r="E972" s="506"/>
      <c r="F972" s="506"/>
      <c r="G972" s="506"/>
      <c r="H972" s="506"/>
      <c r="I972" s="506"/>
      <c r="J972" s="506"/>
      <c r="K972" s="507"/>
      <c r="L972" s="508"/>
      <c r="M972" s="508"/>
      <c r="N972" s="508"/>
      <c r="O972" s="509"/>
      <c r="P972" s="509"/>
    </row>
    <row r="973" spans="1:16" ht="21.75" customHeight="1" x14ac:dyDescent="0.3">
      <c r="A973" s="504"/>
      <c r="B973" s="504"/>
      <c r="C973" s="504"/>
      <c r="D973" s="504"/>
      <c r="E973" s="506"/>
      <c r="F973" s="506"/>
      <c r="G973" s="506"/>
      <c r="H973" s="506"/>
      <c r="I973" s="506"/>
      <c r="J973" s="506"/>
      <c r="K973" s="507"/>
      <c r="L973" s="508"/>
      <c r="M973" s="508"/>
      <c r="N973" s="508"/>
      <c r="O973" s="509"/>
      <c r="P973" s="509"/>
    </row>
    <row r="974" spans="1:16" ht="21.75" customHeight="1" x14ac:dyDescent="0.3">
      <c r="A974" s="504"/>
      <c r="B974" s="504"/>
      <c r="C974" s="504"/>
      <c r="D974" s="504"/>
      <c r="E974" s="506"/>
      <c r="F974" s="506"/>
      <c r="G974" s="506"/>
      <c r="H974" s="506"/>
      <c r="I974" s="506"/>
      <c r="J974" s="506"/>
      <c r="K974" s="507"/>
      <c r="L974" s="508"/>
      <c r="M974" s="508"/>
      <c r="N974" s="508"/>
      <c r="O974" s="509"/>
      <c r="P974" s="509"/>
    </row>
    <row r="975" spans="1:16" ht="21.75" customHeight="1" x14ac:dyDescent="0.3">
      <c r="A975" s="504"/>
      <c r="B975" s="504"/>
      <c r="C975" s="504"/>
      <c r="D975" s="504"/>
      <c r="E975" s="506"/>
      <c r="F975" s="506"/>
      <c r="G975" s="506"/>
      <c r="H975" s="506"/>
      <c r="I975" s="506"/>
      <c r="J975" s="506"/>
      <c r="K975" s="507"/>
      <c r="L975" s="508"/>
      <c r="M975" s="508"/>
      <c r="N975" s="508"/>
      <c r="O975" s="509"/>
      <c r="P975" s="509"/>
    </row>
    <row r="976" spans="1:16" ht="21.75" customHeight="1" x14ac:dyDescent="0.3">
      <c r="A976" s="504"/>
      <c r="B976" s="504"/>
      <c r="C976" s="504"/>
      <c r="D976" s="504"/>
      <c r="E976" s="506"/>
      <c r="F976" s="506"/>
      <c r="G976" s="506"/>
      <c r="H976" s="506"/>
      <c r="I976" s="506"/>
      <c r="J976" s="506"/>
      <c r="K976" s="507"/>
      <c r="L976" s="508"/>
      <c r="M976" s="508"/>
      <c r="N976" s="508"/>
      <c r="O976" s="509"/>
      <c r="P976" s="509"/>
    </row>
    <row r="977" spans="1:16" ht="21.75" customHeight="1" x14ac:dyDescent="0.3">
      <c r="A977" s="504"/>
      <c r="B977" s="504"/>
      <c r="C977" s="504"/>
      <c r="D977" s="504"/>
      <c r="E977" s="506"/>
      <c r="F977" s="506"/>
      <c r="G977" s="506"/>
      <c r="H977" s="506"/>
      <c r="I977" s="506"/>
      <c r="J977" s="506"/>
      <c r="K977" s="507"/>
      <c r="L977" s="508"/>
      <c r="M977" s="508"/>
      <c r="N977" s="508"/>
      <c r="O977" s="509"/>
      <c r="P977" s="509"/>
    </row>
    <row r="978" spans="1:16" ht="21.75" customHeight="1" x14ac:dyDescent="0.3">
      <c r="A978" s="504"/>
      <c r="B978" s="504"/>
      <c r="C978" s="504"/>
      <c r="D978" s="504"/>
      <c r="E978" s="506"/>
      <c r="F978" s="506"/>
      <c r="G978" s="506"/>
      <c r="H978" s="506"/>
      <c r="I978" s="506"/>
      <c r="J978" s="506"/>
      <c r="K978" s="507"/>
      <c r="L978" s="508"/>
      <c r="M978" s="508"/>
      <c r="N978" s="508"/>
      <c r="O978" s="509"/>
      <c r="P978" s="509"/>
    </row>
    <row r="979" spans="1:16" ht="21.75" customHeight="1" x14ac:dyDescent="0.3">
      <c r="A979" s="504"/>
      <c r="B979" s="504"/>
      <c r="C979" s="504"/>
      <c r="D979" s="504"/>
      <c r="E979" s="506"/>
      <c r="F979" s="506"/>
      <c r="G979" s="506"/>
      <c r="H979" s="506"/>
      <c r="I979" s="506"/>
      <c r="J979" s="506"/>
      <c r="K979" s="507"/>
      <c r="L979" s="508"/>
      <c r="M979" s="508"/>
      <c r="N979" s="508"/>
      <c r="O979" s="509"/>
      <c r="P979" s="509"/>
    </row>
    <row r="980" spans="1:16" ht="21.75" customHeight="1" x14ac:dyDescent="0.3">
      <c r="A980" s="504"/>
      <c r="B980" s="504"/>
      <c r="C980" s="504"/>
      <c r="D980" s="504"/>
      <c r="E980" s="506"/>
      <c r="F980" s="506"/>
      <c r="G980" s="506"/>
      <c r="H980" s="506"/>
      <c r="I980" s="506"/>
      <c r="J980" s="506"/>
      <c r="K980" s="507"/>
      <c r="L980" s="508"/>
      <c r="M980" s="508"/>
      <c r="N980" s="508"/>
      <c r="O980" s="509"/>
      <c r="P980" s="509"/>
    </row>
    <row r="981" spans="1:16" ht="21.75" customHeight="1" x14ac:dyDescent="0.3">
      <c r="A981" s="504"/>
      <c r="B981" s="504"/>
      <c r="C981" s="504"/>
      <c r="D981" s="504"/>
      <c r="E981" s="506"/>
      <c r="F981" s="506"/>
      <c r="G981" s="506"/>
      <c r="H981" s="506"/>
      <c r="I981" s="506"/>
      <c r="J981" s="506"/>
      <c r="K981" s="507"/>
      <c r="L981" s="508"/>
      <c r="M981" s="508"/>
      <c r="N981" s="508"/>
      <c r="O981" s="509"/>
      <c r="P981" s="509"/>
    </row>
    <row r="982" spans="1:16" ht="21.75" customHeight="1" x14ac:dyDescent="0.3">
      <c r="A982" s="504"/>
      <c r="B982" s="504"/>
      <c r="C982" s="504"/>
      <c r="D982" s="504"/>
      <c r="E982" s="506"/>
      <c r="F982" s="506"/>
      <c r="G982" s="506"/>
      <c r="H982" s="506"/>
      <c r="I982" s="506"/>
      <c r="J982" s="506"/>
      <c r="K982" s="507"/>
      <c r="L982" s="508"/>
      <c r="M982" s="508"/>
      <c r="N982" s="508"/>
      <c r="O982" s="509"/>
      <c r="P982" s="509"/>
    </row>
    <row r="983" spans="1:16" ht="21.75" customHeight="1" x14ac:dyDescent="0.3">
      <c r="A983" s="504"/>
      <c r="B983" s="504"/>
      <c r="C983" s="504"/>
      <c r="D983" s="504"/>
      <c r="E983" s="506"/>
      <c r="F983" s="506"/>
      <c r="G983" s="506"/>
      <c r="H983" s="506"/>
      <c r="I983" s="506"/>
      <c r="J983" s="506"/>
      <c r="K983" s="507"/>
      <c r="L983" s="508"/>
      <c r="M983" s="508"/>
      <c r="N983" s="508"/>
      <c r="O983" s="509"/>
      <c r="P983" s="509"/>
    </row>
    <row r="984" spans="1:16" ht="21.75" customHeight="1" x14ac:dyDescent="0.3">
      <c r="A984" s="504"/>
      <c r="B984" s="504"/>
      <c r="C984" s="504"/>
      <c r="D984" s="504"/>
      <c r="E984" s="506"/>
      <c r="F984" s="506"/>
      <c r="G984" s="506"/>
      <c r="H984" s="506"/>
      <c r="I984" s="506"/>
      <c r="J984" s="506"/>
      <c r="K984" s="507"/>
      <c r="L984" s="508"/>
      <c r="M984" s="508"/>
      <c r="N984" s="508"/>
      <c r="O984" s="509"/>
      <c r="P984" s="509"/>
    </row>
    <row r="985" spans="1:16" ht="21.75" customHeight="1" x14ac:dyDescent="0.3">
      <c r="A985" s="504"/>
      <c r="B985" s="504"/>
      <c r="C985" s="504"/>
      <c r="D985" s="504"/>
      <c r="E985" s="506"/>
      <c r="F985" s="506"/>
      <c r="G985" s="506"/>
      <c r="H985" s="506"/>
      <c r="I985" s="506"/>
      <c r="J985" s="506"/>
      <c r="K985" s="507"/>
      <c r="L985" s="508"/>
      <c r="M985" s="508"/>
      <c r="N985" s="508"/>
      <c r="O985" s="509"/>
      <c r="P985" s="509"/>
    </row>
    <row r="986" spans="1:16" ht="21.75" customHeight="1" x14ac:dyDescent="0.3">
      <c r="A986" s="504"/>
      <c r="B986" s="504"/>
      <c r="C986" s="504"/>
      <c r="D986" s="504"/>
      <c r="E986" s="506"/>
      <c r="F986" s="506"/>
      <c r="G986" s="506"/>
      <c r="H986" s="506"/>
      <c r="I986" s="506"/>
      <c r="J986" s="506"/>
      <c r="K986" s="507"/>
      <c r="L986" s="508"/>
      <c r="M986" s="508"/>
      <c r="N986" s="508"/>
      <c r="O986" s="509"/>
      <c r="P986" s="509"/>
    </row>
    <row r="987" spans="1:16" ht="21.75" customHeight="1" x14ac:dyDescent="0.3">
      <c r="A987" s="504"/>
      <c r="B987" s="504"/>
      <c r="C987" s="504"/>
      <c r="D987" s="504"/>
      <c r="E987" s="506"/>
      <c r="F987" s="506"/>
      <c r="G987" s="506"/>
      <c r="H987" s="506"/>
      <c r="I987" s="506"/>
      <c r="J987" s="506"/>
      <c r="K987" s="507"/>
      <c r="L987" s="508"/>
      <c r="M987" s="508"/>
      <c r="N987" s="508"/>
      <c r="O987" s="509"/>
      <c r="P987" s="509"/>
    </row>
    <row r="988" spans="1:16" ht="21.75" customHeight="1" x14ac:dyDescent="0.3">
      <c r="A988" s="504"/>
      <c r="B988" s="504"/>
      <c r="C988" s="504"/>
      <c r="D988" s="504"/>
      <c r="E988" s="506"/>
      <c r="F988" s="506"/>
      <c r="G988" s="506"/>
      <c r="H988" s="506"/>
      <c r="I988" s="506"/>
      <c r="J988" s="506"/>
      <c r="K988" s="507"/>
      <c r="L988" s="508"/>
      <c r="M988" s="508"/>
      <c r="N988" s="508"/>
      <c r="O988" s="509"/>
      <c r="P988" s="509"/>
    </row>
    <row r="989" spans="1:16" ht="21.75" customHeight="1" x14ac:dyDescent="0.3">
      <c r="A989" s="504"/>
      <c r="B989" s="504"/>
      <c r="C989" s="504"/>
      <c r="D989" s="504"/>
      <c r="E989" s="506"/>
      <c r="F989" s="506"/>
      <c r="G989" s="506"/>
      <c r="H989" s="506"/>
      <c r="I989" s="506"/>
      <c r="J989" s="506"/>
      <c r="K989" s="507"/>
      <c r="L989" s="508"/>
      <c r="M989" s="508"/>
      <c r="N989" s="508"/>
      <c r="O989" s="509"/>
      <c r="P989" s="509"/>
    </row>
    <row r="990" spans="1:16" ht="21.75" customHeight="1" x14ac:dyDescent="0.3">
      <c r="A990" s="504"/>
      <c r="B990" s="504"/>
      <c r="C990" s="504"/>
      <c r="D990" s="504"/>
      <c r="E990" s="506"/>
      <c r="F990" s="506"/>
      <c r="G990" s="506"/>
      <c r="H990" s="506"/>
      <c r="I990" s="506"/>
      <c r="J990" s="506"/>
      <c r="K990" s="507"/>
      <c r="L990" s="508"/>
      <c r="M990" s="508"/>
      <c r="N990" s="508"/>
      <c r="O990" s="509"/>
      <c r="P990" s="509"/>
    </row>
    <row r="991" spans="1:16" ht="21.75" customHeight="1" x14ac:dyDescent="0.3">
      <c r="A991" s="504"/>
      <c r="B991" s="504"/>
      <c r="C991" s="504"/>
      <c r="D991" s="504"/>
      <c r="E991" s="506"/>
      <c r="F991" s="506"/>
      <c r="G991" s="506"/>
      <c r="H991" s="506"/>
      <c r="I991" s="506"/>
      <c r="J991" s="506"/>
      <c r="K991" s="507"/>
      <c r="L991" s="508"/>
      <c r="M991" s="508"/>
      <c r="N991" s="508"/>
      <c r="O991" s="509"/>
      <c r="P991" s="509"/>
    </row>
    <row r="992" spans="1:16" ht="21.75" customHeight="1" x14ac:dyDescent="0.3">
      <c r="A992" s="504"/>
      <c r="B992" s="504"/>
      <c r="C992" s="504"/>
      <c r="D992" s="504"/>
      <c r="E992" s="506"/>
      <c r="F992" s="506"/>
      <c r="G992" s="506"/>
      <c r="H992" s="506"/>
      <c r="I992" s="506"/>
      <c r="J992" s="506"/>
      <c r="K992" s="507"/>
      <c r="L992" s="508"/>
      <c r="M992" s="508"/>
      <c r="N992" s="508"/>
      <c r="O992" s="509"/>
      <c r="P992" s="509"/>
    </row>
    <row r="993" spans="1:16" ht="21.75" customHeight="1" x14ac:dyDescent="0.3">
      <c r="A993" s="504"/>
      <c r="B993" s="504"/>
      <c r="C993" s="504"/>
      <c r="D993" s="504"/>
      <c r="E993" s="506"/>
      <c r="F993" s="506"/>
      <c r="G993" s="506"/>
      <c r="H993" s="506"/>
      <c r="I993" s="506"/>
      <c r="J993" s="506"/>
      <c r="K993" s="507"/>
      <c r="L993" s="508"/>
      <c r="M993" s="508"/>
      <c r="N993" s="508"/>
      <c r="O993" s="509"/>
      <c r="P993" s="509"/>
    </row>
    <row r="994" spans="1:16" ht="21.75" customHeight="1" x14ac:dyDescent="0.3">
      <c r="A994" s="504"/>
      <c r="B994" s="504"/>
      <c r="C994" s="504"/>
      <c r="D994" s="504"/>
      <c r="E994" s="506"/>
      <c r="F994" s="506"/>
      <c r="G994" s="506"/>
      <c r="H994" s="506"/>
      <c r="I994" s="506"/>
      <c r="J994" s="506"/>
      <c r="K994" s="507"/>
      <c r="L994" s="508"/>
      <c r="M994" s="508"/>
      <c r="N994" s="508"/>
      <c r="O994" s="509"/>
      <c r="P994" s="509"/>
    </row>
    <row r="995" spans="1:16" ht="21.75" customHeight="1" x14ac:dyDescent="0.3">
      <c r="A995" s="504"/>
      <c r="B995" s="504"/>
      <c r="C995" s="504"/>
      <c r="D995" s="504"/>
      <c r="E995" s="506"/>
      <c r="F995" s="506"/>
      <c r="G995" s="506"/>
      <c r="H995" s="506"/>
      <c r="I995" s="506"/>
      <c r="J995" s="506"/>
      <c r="K995" s="507"/>
      <c r="L995" s="508"/>
      <c r="M995" s="508"/>
      <c r="N995" s="508"/>
      <c r="O995" s="509"/>
      <c r="P995" s="509"/>
    </row>
    <row r="996" spans="1:16" ht="21.75" customHeight="1" x14ac:dyDescent="0.3">
      <c r="A996" s="504"/>
      <c r="B996" s="504"/>
      <c r="C996" s="504"/>
      <c r="D996" s="504"/>
      <c r="E996" s="506"/>
      <c r="F996" s="506"/>
      <c r="G996" s="506"/>
      <c r="H996" s="506"/>
      <c r="I996" s="506"/>
      <c r="J996" s="506"/>
      <c r="K996" s="507"/>
      <c r="L996" s="508"/>
      <c r="M996" s="508"/>
      <c r="N996" s="508"/>
      <c r="O996" s="509"/>
      <c r="P996" s="509"/>
    </row>
    <row r="997" spans="1:16" ht="21.75" customHeight="1" x14ac:dyDescent="0.3">
      <c r="A997" s="504"/>
      <c r="B997" s="504"/>
      <c r="C997" s="504"/>
      <c r="D997" s="504"/>
      <c r="E997" s="506"/>
      <c r="F997" s="506"/>
      <c r="G997" s="506"/>
      <c r="H997" s="506"/>
      <c r="I997" s="506"/>
      <c r="J997" s="506"/>
      <c r="K997" s="507"/>
      <c r="L997" s="508"/>
      <c r="M997" s="508"/>
      <c r="N997" s="508"/>
      <c r="O997" s="509"/>
      <c r="P997" s="509"/>
    </row>
    <row r="998" spans="1:16" ht="21.75" customHeight="1" x14ac:dyDescent="0.3">
      <c r="A998" s="504"/>
      <c r="B998" s="504"/>
      <c r="C998" s="504"/>
      <c r="D998" s="504"/>
      <c r="E998" s="506"/>
      <c r="F998" s="506"/>
      <c r="G998" s="506"/>
      <c r="H998" s="506"/>
      <c r="I998" s="506"/>
      <c r="J998" s="506"/>
      <c r="K998" s="507"/>
      <c r="L998" s="508"/>
      <c r="M998" s="508"/>
      <c r="N998" s="508"/>
      <c r="O998" s="509"/>
      <c r="P998" s="509"/>
    </row>
    <row r="999" spans="1:16" ht="21.75" customHeight="1" x14ac:dyDescent="0.3">
      <c r="A999" s="504"/>
      <c r="B999" s="504"/>
      <c r="C999" s="504"/>
      <c r="D999" s="504"/>
      <c r="E999" s="506"/>
      <c r="F999" s="506"/>
      <c r="G999" s="506"/>
      <c r="H999" s="506"/>
      <c r="I999" s="506"/>
      <c r="J999" s="506"/>
      <c r="K999" s="507"/>
      <c r="L999" s="508"/>
      <c r="M999" s="508"/>
      <c r="N999" s="508"/>
      <c r="O999" s="509"/>
      <c r="P999" s="509"/>
    </row>
    <row r="1000" spans="1:16" ht="21.75" customHeight="1" x14ac:dyDescent="0.3">
      <c r="A1000" s="504"/>
      <c r="B1000" s="504"/>
      <c r="C1000" s="504"/>
      <c r="D1000" s="504"/>
      <c r="E1000" s="506"/>
      <c r="F1000" s="506"/>
      <c r="G1000" s="506"/>
      <c r="H1000" s="506"/>
      <c r="I1000" s="506"/>
      <c r="J1000" s="506"/>
      <c r="K1000" s="507"/>
      <c r="L1000" s="508"/>
      <c r="M1000" s="508"/>
      <c r="N1000" s="508"/>
      <c r="O1000" s="509"/>
      <c r="P1000" s="509"/>
    </row>
    <row r="1001" spans="1:16" ht="21.75" customHeight="1" x14ac:dyDescent="0.3">
      <c r="A1001" s="504"/>
      <c r="B1001" s="504"/>
      <c r="C1001" s="504"/>
      <c r="D1001" s="504"/>
      <c r="E1001" s="506"/>
      <c r="F1001" s="506"/>
      <c r="G1001" s="506"/>
      <c r="H1001" s="506"/>
      <c r="I1001" s="506"/>
      <c r="J1001" s="506"/>
      <c r="K1001" s="507"/>
      <c r="L1001" s="508"/>
      <c r="M1001" s="508"/>
      <c r="N1001" s="508"/>
      <c r="O1001" s="509"/>
      <c r="P1001" s="509"/>
    </row>
    <row r="1002" spans="1:16" ht="21.75" customHeight="1" x14ac:dyDescent="0.3">
      <c r="A1002" s="504"/>
      <c r="B1002" s="504"/>
      <c r="C1002" s="504"/>
      <c r="D1002" s="504"/>
      <c r="E1002" s="506"/>
      <c r="F1002" s="506"/>
      <c r="G1002" s="506"/>
      <c r="H1002" s="506"/>
      <c r="I1002" s="506"/>
      <c r="J1002" s="506"/>
      <c r="K1002" s="507"/>
      <c r="L1002" s="508"/>
      <c r="M1002" s="508"/>
      <c r="N1002" s="508"/>
      <c r="O1002" s="509"/>
      <c r="P1002" s="509"/>
    </row>
    <row r="1003" spans="1:16" ht="21.75" customHeight="1" x14ac:dyDescent="0.3">
      <c r="A1003" s="504"/>
      <c r="B1003" s="504"/>
      <c r="C1003" s="504"/>
      <c r="D1003" s="504"/>
      <c r="E1003" s="506"/>
      <c r="F1003" s="506"/>
      <c r="G1003" s="506"/>
      <c r="H1003" s="506"/>
      <c r="I1003" s="506"/>
      <c r="J1003" s="506"/>
      <c r="K1003" s="507"/>
      <c r="L1003" s="508"/>
      <c r="M1003" s="508"/>
      <c r="N1003" s="508"/>
      <c r="O1003" s="509"/>
      <c r="P1003" s="509"/>
    </row>
    <row r="1004" spans="1:16" ht="21.75" customHeight="1" x14ac:dyDescent="0.3">
      <c r="A1004" s="504"/>
      <c r="B1004" s="504"/>
      <c r="C1004" s="504"/>
      <c r="D1004" s="504"/>
      <c r="E1004" s="506"/>
      <c r="F1004" s="506"/>
      <c r="G1004" s="506"/>
      <c r="H1004" s="506"/>
      <c r="I1004" s="506"/>
      <c r="J1004" s="506"/>
      <c r="K1004" s="507"/>
      <c r="L1004" s="508"/>
      <c r="M1004" s="508"/>
      <c r="N1004" s="508"/>
      <c r="O1004" s="509"/>
      <c r="P1004" s="509"/>
    </row>
    <row r="1005" spans="1:16" ht="21.75" customHeight="1" x14ac:dyDescent="0.3">
      <c r="A1005" s="504"/>
      <c r="B1005" s="504"/>
      <c r="C1005" s="504"/>
      <c r="D1005" s="504"/>
      <c r="E1005" s="506"/>
      <c r="F1005" s="506"/>
      <c r="G1005" s="506"/>
      <c r="H1005" s="506"/>
      <c r="I1005" s="506"/>
      <c r="J1005" s="506"/>
      <c r="K1005" s="507"/>
      <c r="L1005" s="508"/>
      <c r="M1005" s="508"/>
      <c r="N1005" s="508"/>
      <c r="O1005" s="509"/>
      <c r="P1005" s="509"/>
    </row>
    <row r="1006" spans="1:16" ht="21.75" customHeight="1" x14ac:dyDescent="0.3">
      <c r="A1006" s="504"/>
      <c r="B1006" s="504"/>
      <c r="C1006" s="504"/>
      <c r="D1006" s="504"/>
      <c r="E1006" s="506"/>
      <c r="F1006" s="506"/>
      <c r="G1006" s="506"/>
      <c r="H1006" s="506"/>
      <c r="I1006" s="506"/>
      <c r="J1006" s="506"/>
      <c r="K1006" s="507"/>
      <c r="L1006" s="508"/>
      <c r="M1006" s="508"/>
      <c r="N1006" s="508"/>
      <c r="O1006" s="509"/>
      <c r="P1006" s="509"/>
    </row>
    <row r="1007" spans="1:16" ht="21.75" customHeight="1" x14ac:dyDescent="0.3">
      <c r="A1007" s="504"/>
      <c r="B1007" s="504"/>
      <c r="C1007" s="504"/>
      <c r="D1007" s="504"/>
      <c r="E1007" s="506"/>
      <c r="F1007" s="506"/>
      <c r="G1007" s="506"/>
      <c r="H1007" s="506"/>
      <c r="I1007" s="506"/>
      <c r="J1007" s="506"/>
      <c r="K1007" s="507"/>
      <c r="L1007" s="508"/>
      <c r="M1007" s="508"/>
      <c r="N1007" s="508"/>
      <c r="O1007" s="509"/>
      <c r="P1007" s="509"/>
    </row>
    <row r="1008" spans="1:16" ht="21.75" customHeight="1" x14ac:dyDescent="0.3">
      <c r="A1008" s="504"/>
      <c r="B1008" s="504"/>
      <c r="C1008" s="504"/>
      <c r="D1008" s="504"/>
      <c r="E1008" s="506"/>
      <c r="F1008" s="506"/>
      <c r="G1008" s="506"/>
      <c r="H1008" s="506"/>
      <c r="I1008" s="506"/>
      <c r="J1008" s="506"/>
      <c r="K1008" s="507"/>
      <c r="L1008" s="508"/>
      <c r="M1008" s="508"/>
      <c r="N1008" s="508"/>
      <c r="O1008" s="509"/>
      <c r="P1008" s="509"/>
    </row>
    <row r="1009" spans="1:16" ht="21.75" customHeight="1" x14ac:dyDescent="0.3">
      <c r="A1009" s="504"/>
      <c r="B1009" s="504"/>
      <c r="C1009" s="504"/>
      <c r="D1009" s="504"/>
      <c r="E1009" s="506"/>
      <c r="F1009" s="506"/>
      <c r="G1009" s="506"/>
      <c r="H1009" s="506"/>
      <c r="I1009" s="506"/>
      <c r="J1009" s="506"/>
      <c r="K1009" s="507"/>
      <c r="L1009" s="508"/>
      <c r="M1009" s="508"/>
      <c r="N1009" s="508"/>
      <c r="O1009" s="509"/>
      <c r="P1009" s="509"/>
    </row>
    <row r="1010" spans="1:16" ht="21.75" customHeight="1" x14ac:dyDescent="0.3">
      <c r="A1010" s="504"/>
      <c r="B1010" s="504"/>
      <c r="C1010" s="504"/>
      <c r="D1010" s="504"/>
      <c r="E1010" s="506"/>
      <c r="F1010" s="506"/>
      <c r="G1010" s="506"/>
      <c r="H1010" s="506"/>
      <c r="I1010" s="506"/>
      <c r="J1010" s="506"/>
      <c r="K1010" s="507"/>
      <c r="L1010" s="508"/>
      <c r="M1010" s="508"/>
      <c r="N1010" s="508"/>
      <c r="O1010" s="509"/>
      <c r="P1010" s="509"/>
    </row>
    <row r="1011" spans="1:16" ht="21.75" customHeight="1" x14ac:dyDescent="0.3">
      <c r="A1011" s="504"/>
      <c r="B1011" s="504"/>
      <c r="C1011" s="504"/>
      <c r="D1011" s="504"/>
      <c r="E1011" s="506"/>
      <c r="F1011" s="506"/>
      <c r="G1011" s="506"/>
      <c r="H1011" s="506"/>
      <c r="I1011" s="506"/>
      <c r="J1011" s="506"/>
      <c r="K1011" s="507"/>
      <c r="L1011" s="508"/>
      <c r="M1011" s="508"/>
      <c r="N1011" s="508"/>
      <c r="O1011" s="509"/>
      <c r="P1011" s="509"/>
    </row>
    <row r="1012" spans="1:16" ht="21.75" customHeight="1" x14ac:dyDescent="0.3">
      <c r="A1012" s="504"/>
      <c r="B1012" s="504"/>
      <c r="C1012" s="504"/>
      <c r="D1012" s="504"/>
      <c r="E1012" s="506"/>
      <c r="F1012" s="506"/>
      <c r="G1012" s="506"/>
      <c r="H1012" s="506"/>
      <c r="I1012" s="506"/>
      <c r="J1012" s="506"/>
      <c r="K1012" s="507"/>
      <c r="L1012" s="508"/>
      <c r="M1012" s="508"/>
      <c r="N1012" s="508"/>
      <c r="O1012" s="509"/>
      <c r="P1012" s="509"/>
    </row>
    <row r="1013" spans="1:16" ht="21.75" customHeight="1" x14ac:dyDescent="0.3">
      <c r="A1013" s="504"/>
      <c r="B1013" s="504"/>
      <c r="C1013" s="504"/>
      <c r="D1013" s="504"/>
      <c r="E1013" s="506"/>
      <c r="F1013" s="506"/>
      <c r="G1013" s="506"/>
      <c r="H1013" s="506"/>
      <c r="I1013" s="506"/>
      <c r="J1013" s="506"/>
      <c r="K1013" s="507"/>
      <c r="L1013" s="508"/>
      <c r="M1013" s="508"/>
      <c r="N1013" s="508"/>
      <c r="O1013" s="509"/>
      <c r="P1013" s="509"/>
    </row>
    <row r="1014" spans="1:16" ht="21.75" customHeight="1" x14ac:dyDescent="0.3">
      <c r="A1014" s="504"/>
      <c r="B1014" s="504"/>
      <c r="C1014" s="504"/>
      <c r="D1014" s="504"/>
      <c r="E1014" s="506"/>
      <c r="F1014" s="506"/>
      <c r="G1014" s="506"/>
      <c r="H1014" s="506"/>
      <c r="I1014" s="506"/>
      <c r="J1014" s="506"/>
      <c r="K1014" s="507"/>
      <c r="L1014" s="508"/>
      <c r="M1014" s="508"/>
      <c r="N1014" s="508"/>
      <c r="O1014" s="509"/>
      <c r="P1014" s="509"/>
    </row>
    <row r="1015" spans="1:16" ht="21.75" customHeight="1" x14ac:dyDescent="0.3">
      <c r="A1015" s="504"/>
      <c r="B1015" s="504"/>
      <c r="C1015" s="504"/>
      <c r="D1015" s="504"/>
      <c r="E1015" s="506"/>
      <c r="F1015" s="506"/>
      <c r="G1015" s="506"/>
      <c r="H1015" s="506"/>
      <c r="I1015" s="506"/>
      <c r="J1015" s="506"/>
      <c r="K1015" s="507"/>
      <c r="L1015" s="508"/>
      <c r="M1015" s="508"/>
      <c r="N1015" s="508"/>
      <c r="O1015" s="509"/>
      <c r="P1015" s="509"/>
    </row>
    <row r="1016" spans="1:16" ht="21.75" customHeight="1" x14ac:dyDescent="0.3">
      <c r="A1016" s="504"/>
      <c r="B1016" s="504"/>
      <c r="C1016" s="504"/>
      <c r="D1016" s="504"/>
      <c r="E1016" s="506"/>
      <c r="F1016" s="506"/>
      <c r="G1016" s="506"/>
      <c r="H1016" s="506"/>
      <c r="I1016" s="506"/>
      <c r="J1016" s="506"/>
      <c r="K1016" s="507"/>
      <c r="L1016" s="508"/>
      <c r="M1016" s="508"/>
      <c r="N1016" s="508"/>
      <c r="O1016" s="509"/>
      <c r="P1016" s="509"/>
    </row>
    <row r="1017" spans="1:16" ht="21.75" customHeight="1" x14ac:dyDescent="0.3">
      <c r="A1017" s="504"/>
      <c r="B1017" s="504"/>
      <c r="C1017" s="504"/>
      <c r="D1017" s="504"/>
      <c r="E1017" s="506"/>
      <c r="F1017" s="506"/>
      <c r="G1017" s="506"/>
      <c r="H1017" s="506"/>
      <c r="I1017" s="506"/>
      <c r="J1017" s="506"/>
      <c r="K1017" s="507"/>
      <c r="L1017" s="508"/>
      <c r="M1017" s="508"/>
      <c r="N1017" s="508"/>
      <c r="O1017" s="509"/>
      <c r="P1017" s="509"/>
    </row>
    <row r="1018" spans="1:16" ht="21.75" customHeight="1" x14ac:dyDescent="0.3">
      <c r="A1018" s="504"/>
      <c r="B1018" s="504"/>
      <c r="C1018" s="504"/>
      <c r="D1018" s="504"/>
      <c r="E1018" s="506"/>
      <c r="F1018" s="506"/>
      <c r="G1018" s="506"/>
      <c r="H1018" s="506"/>
      <c r="I1018" s="506"/>
      <c r="J1018" s="506"/>
      <c r="K1018" s="507"/>
      <c r="L1018" s="508"/>
      <c r="M1018" s="508"/>
      <c r="N1018" s="508"/>
      <c r="O1018" s="509"/>
      <c r="P1018" s="509"/>
    </row>
    <row r="1019" spans="1:16" ht="21.75" customHeight="1" x14ac:dyDescent="0.3">
      <c r="A1019" s="504"/>
      <c r="B1019" s="504"/>
      <c r="C1019" s="504"/>
      <c r="D1019" s="504"/>
      <c r="E1019" s="506"/>
      <c r="F1019" s="506"/>
      <c r="G1019" s="506"/>
      <c r="H1019" s="506"/>
      <c r="I1019" s="506"/>
      <c r="J1019" s="506"/>
      <c r="K1019" s="507"/>
      <c r="L1019" s="508"/>
      <c r="M1019" s="508"/>
      <c r="N1019" s="508"/>
      <c r="O1019" s="509"/>
      <c r="P1019" s="509"/>
    </row>
    <row r="1020" spans="1:16" ht="21.75" customHeight="1" x14ac:dyDescent="0.3">
      <c r="A1020" s="504"/>
      <c r="B1020" s="504"/>
      <c r="C1020" s="504"/>
      <c r="D1020" s="504"/>
      <c r="E1020" s="506"/>
      <c r="F1020" s="506"/>
      <c r="G1020" s="506"/>
      <c r="H1020" s="506"/>
      <c r="I1020" s="506"/>
      <c r="J1020" s="506"/>
      <c r="K1020" s="507"/>
      <c r="L1020" s="508"/>
      <c r="M1020" s="508"/>
      <c r="N1020" s="508"/>
      <c r="O1020" s="509"/>
      <c r="P1020" s="509"/>
    </row>
    <row r="1021" spans="1:16" ht="21.75" customHeight="1" x14ac:dyDescent="0.3">
      <c r="A1021" s="504"/>
      <c r="B1021" s="504"/>
      <c r="C1021" s="504"/>
      <c r="D1021" s="504"/>
      <c r="E1021" s="506"/>
      <c r="F1021" s="506"/>
      <c r="G1021" s="506"/>
      <c r="H1021" s="506"/>
      <c r="I1021" s="506"/>
      <c r="J1021" s="506"/>
      <c r="K1021" s="507"/>
      <c r="L1021" s="508"/>
      <c r="M1021" s="508"/>
      <c r="N1021" s="508"/>
      <c r="O1021" s="509"/>
      <c r="P1021" s="509"/>
    </row>
    <row r="1022" spans="1:16" ht="21.75" customHeight="1" x14ac:dyDescent="0.3">
      <c r="A1022" s="504"/>
      <c r="B1022" s="504"/>
      <c r="C1022" s="504"/>
      <c r="D1022" s="504"/>
      <c r="E1022" s="506"/>
      <c r="F1022" s="506"/>
      <c r="G1022" s="506"/>
      <c r="H1022" s="506"/>
      <c r="I1022" s="506"/>
      <c r="J1022" s="506"/>
      <c r="K1022" s="507"/>
      <c r="L1022" s="508"/>
      <c r="M1022" s="508"/>
      <c r="N1022" s="508"/>
      <c r="O1022" s="509"/>
      <c r="P1022" s="509"/>
    </row>
    <row r="1023" spans="1:16" ht="21.75" customHeight="1" x14ac:dyDescent="0.3">
      <c r="A1023" s="504"/>
      <c r="B1023" s="504"/>
      <c r="C1023" s="504"/>
      <c r="D1023" s="504"/>
      <c r="E1023" s="506"/>
      <c r="F1023" s="506"/>
      <c r="G1023" s="506"/>
      <c r="H1023" s="506"/>
      <c r="I1023" s="506"/>
      <c r="J1023" s="506"/>
      <c r="K1023" s="507"/>
      <c r="L1023" s="508"/>
      <c r="M1023" s="508"/>
      <c r="N1023" s="508"/>
      <c r="O1023" s="509"/>
      <c r="P1023" s="509"/>
    </row>
    <row r="1024" spans="1:16" ht="21.75" customHeight="1" x14ac:dyDescent="0.3">
      <c r="A1024" s="504"/>
      <c r="B1024" s="504"/>
      <c r="C1024" s="504"/>
      <c r="D1024" s="504"/>
      <c r="E1024" s="506"/>
      <c r="F1024" s="506"/>
      <c r="G1024" s="506"/>
      <c r="H1024" s="506"/>
      <c r="I1024" s="506"/>
      <c r="J1024" s="506"/>
      <c r="K1024" s="507"/>
      <c r="L1024" s="508"/>
      <c r="M1024" s="508"/>
      <c r="N1024" s="508"/>
      <c r="O1024" s="509"/>
      <c r="P1024" s="509"/>
    </row>
    <row r="1025" spans="1:16" ht="21.75" customHeight="1" x14ac:dyDescent="0.3">
      <c r="A1025" s="504"/>
      <c r="B1025" s="504"/>
      <c r="C1025" s="504"/>
      <c r="D1025" s="504"/>
      <c r="E1025" s="506"/>
      <c r="F1025" s="506"/>
      <c r="G1025" s="506"/>
      <c r="H1025" s="506"/>
      <c r="I1025" s="506"/>
      <c r="J1025" s="506"/>
      <c r="K1025" s="507"/>
      <c r="L1025" s="508"/>
      <c r="M1025" s="508"/>
      <c r="N1025" s="508"/>
      <c r="O1025" s="509"/>
      <c r="P1025" s="509"/>
    </row>
    <row r="1026" spans="1:16" ht="21.75" customHeight="1" x14ac:dyDescent="0.3">
      <c r="A1026" s="504"/>
      <c r="B1026" s="504"/>
      <c r="C1026" s="504"/>
      <c r="D1026" s="504"/>
      <c r="E1026" s="506"/>
      <c r="F1026" s="506"/>
      <c r="G1026" s="506"/>
      <c r="H1026" s="506"/>
      <c r="I1026" s="506"/>
      <c r="J1026" s="506"/>
      <c r="K1026" s="507"/>
      <c r="L1026" s="508"/>
      <c r="M1026" s="508"/>
      <c r="N1026" s="508"/>
      <c r="O1026" s="509"/>
      <c r="P1026" s="509"/>
    </row>
    <row r="1027" spans="1:16" ht="21.75" customHeight="1" x14ac:dyDescent="0.3">
      <c r="A1027" s="504"/>
      <c r="B1027" s="504"/>
      <c r="C1027" s="504"/>
      <c r="D1027" s="504"/>
      <c r="E1027" s="506"/>
      <c r="F1027" s="506"/>
      <c r="G1027" s="506"/>
      <c r="H1027" s="506"/>
      <c r="I1027" s="506"/>
      <c r="J1027" s="506"/>
      <c r="K1027" s="507"/>
      <c r="L1027" s="508"/>
      <c r="M1027" s="508"/>
      <c r="N1027" s="508"/>
      <c r="O1027" s="509"/>
      <c r="P1027" s="509"/>
    </row>
    <row r="1028" spans="1:16" ht="21.75" customHeight="1" x14ac:dyDescent="0.3">
      <c r="A1028" s="504"/>
      <c r="B1028" s="504"/>
      <c r="C1028" s="504"/>
      <c r="D1028" s="504"/>
      <c r="E1028" s="506"/>
      <c r="F1028" s="506"/>
      <c r="G1028" s="506"/>
      <c r="H1028" s="506"/>
      <c r="I1028" s="506"/>
      <c r="J1028" s="506"/>
      <c r="K1028" s="507"/>
      <c r="L1028" s="508"/>
      <c r="M1028" s="508"/>
      <c r="N1028" s="508"/>
      <c r="O1028" s="509"/>
      <c r="P1028" s="509"/>
    </row>
    <row r="1029" spans="1:16" ht="21.75" customHeight="1" x14ac:dyDescent="0.3">
      <c r="A1029" s="504"/>
      <c r="B1029" s="504"/>
      <c r="C1029" s="504"/>
      <c r="D1029" s="504"/>
      <c r="E1029" s="506"/>
      <c r="F1029" s="506"/>
      <c r="G1029" s="506"/>
      <c r="H1029" s="506"/>
      <c r="I1029" s="506"/>
      <c r="J1029" s="506"/>
      <c r="K1029" s="507"/>
      <c r="L1029" s="508"/>
      <c r="M1029" s="508"/>
      <c r="N1029" s="508"/>
      <c r="O1029" s="509"/>
      <c r="P1029" s="509"/>
    </row>
    <row r="1030" spans="1:16" ht="21.75" customHeight="1" x14ac:dyDescent="0.3">
      <c r="A1030" s="504"/>
      <c r="B1030" s="504"/>
      <c r="C1030" s="504"/>
      <c r="D1030" s="504"/>
      <c r="E1030" s="506"/>
      <c r="F1030" s="506"/>
      <c r="G1030" s="506"/>
      <c r="H1030" s="506"/>
      <c r="I1030" s="506"/>
      <c r="J1030" s="506"/>
      <c r="K1030" s="507"/>
      <c r="L1030" s="508"/>
      <c r="M1030" s="508"/>
      <c r="N1030" s="508"/>
      <c r="O1030" s="509"/>
      <c r="P1030" s="509"/>
    </row>
    <row r="1031" spans="1:16" ht="21.75" customHeight="1" x14ac:dyDescent="0.3">
      <c r="A1031" s="504"/>
      <c r="B1031" s="504"/>
      <c r="C1031" s="504"/>
      <c r="D1031" s="504"/>
      <c r="E1031" s="506"/>
      <c r="F1031" s="506"/>
      <c r="G1031" s="506"/>
      <c r="H1031" s="506"/>
      <c r="I1031" s="506"/>
      <c r="J1031" s="506"/>
      <c r="K1031" s="507"/>
      <c r="L1031" s="508"/>
      <c r="M1031" s="508"/>
      <c r="N1031" s="508"/>
      <c r="O1031" s="509"/>
      <c r="P1031" s="509"/>
    </row>
    <row r="1032" spans="1:16" ht="21.75" customHeight="1" x14ac:dyDescent="0.3">
      <c r="A1032" s="504"/>
      <c r="B1032" s="504"/>
      <c r="C1032" s="504"/>
      <c r="D1032" s="504"/>
      <c r="E1032" s="506"/>
      <c r="F1032" s="506"/>
      <c r="G1032" s="506"/>
      <c r="H1032" s="506"/>
      <c r="I1032" s="506"/>
      <c r="J1032" s="506"/>
      <c r="K1032" s="507"/>
      <c r="L1032" s="508"/>
      <c r="M1032" s="508"/>
      <c r="N1032" s="508"/>
      <c r="O1032" s="509"/>
      <c r="P1032" s="509"/>
    </row>
    <row r="1033" spans="1:16" ht="21.75" customHeight="1" x14ac:dyDescent="0.3">
      <c r="A1033" s="504"/>
      <c r="B1033" s="504"/>
      <c r="C1033" s="504"/>
      <c r="D1033" s="504"/>
      <c r="E1033" s="506"/>
      <c r="F1033" s="506"/>
      <c r="G1033" s="506"/>
      <c r="H1033" s="506"/>
      <c r="I1033" s="506"/>
      <c r="J1033" s="506"/>
      <c r="K1033" s="507"/>
      <c r="L1033" s="508"/>
      <c r="M1033" s="508"/>
      <c r="N1033" s="508"/>
      <c r="O1033" s="509"/>
      <c r="P1033" s="509"/>
    </row>
    <row r="1034" spans="1:16" ht="21.75" customHeight="1" x14ac:dyDescent="0.3">
      <c r="A1034" s="504"/>
      <c r="B1034" s="504"/>
      <c r="C1034" s="504"/>
      <c r="D1034" s="504"/>
      <c r="E1034" s="506"/>
      <c r="F1034" s="506"/>
      <c r="G1034" s="506"/>
      <c r="H1034" s="506"/>
      <c r="I1034" s="506"/>
      <c r="J1034" s="506"/>
      <c r="K1034" s="507"/>
      <c r="L1034" s="508"/>
      <c r="M1034" s="508"/>
      <c r="N1034" s="508"/>
      <c r="O1034" s="509"/>
      <c r="P1034" s="509"/>
    </row>
    <row r="1035" spans="1:16" ht="21.75" customHeight="1" x14ac:dyDescent="0.3">
      <c r="A1035" s="504"/>
      <c r="B1035" s="504"/>
      <c r="C1035" s="504"/>
      <c r="D1035" s="504"/>
      <c r="E1035" s="506"/>
      <c r="F1035" s="506"/>
      <c r="G1035" s="506"/>
      <c r="H1035" s="506"/>
      <c r="I1035" s="506"/>
      <c r="J1035" s="506"/>
      <c r="K1035" s="507"/>
      <c r="L1035" s="508"/>
      <c r="M1035" s="508"/>
      <c r="N1035" s="508"/>
      <c r="O1035" s="509"/>
      <c r="P1035" s="509"/>
    </row>
    <row r="1036" spans="1:16" ht="21.75" customHeight="1" x14ac:dyDescent="0.3">
      <c r="A1036" s="504"/>
      <c r="B1036" s="504"/>
      <c r="C1036" s="504"/>
      <c r="D1036" s="504"/>
      <c r="E1036" s="506"/>
      <c r="F1036" s="506"/>
      <c r="G1036" s="506"/>
      <c r="H1036" s="506"/>
      <c r="I1036" s="506"/>
      <c r="J1036" s="506"/>
      <c r="K1036" s="507"/>
      <c r="L1036" s="508"/>
      <c r="M1036" s="508"/>
      <c r="N1036" s="508"/>
      <c r="O1036" s="509"/>
      <c r="P1036" s="509"/>
    </row>
    <row r="1037" spans="1:16" ht="21.75" customHeight="1" x14ac:dyDescent="0.3">
      <c r="A1037" s="504"/>
      <c r="B1037" s="504"/>
      <c r="C1037" s="504"/>
      <c r="D1037" s="504"/>
      <c r="E1037" s="506"/>
      <c r="F1037" s="506"/>
      <c r="G1037" s="506"/>
      <c r="H1037" s="506"/>
      <c r="I1037" s="506"/>
      <c r="J1037" s="506"/>
      <c r="K1037" s="507"/>
      <c r="L1037" s="508"/>
      <c r="M1037" s="508"/>
      <c r="N1037" s="508"/>
      <c r="O1037" s="509"/>
      <c r="P1037" s="509"/>
    </row>
    <row r="1038" spans="1:16" ht="21.75" customHeight="1" x14ac:dyDescent="0.3">
      <c r="A1038" s="504"/>
      <c r="B1038" s="504"/>
      <c r="C1038" s="504"/>
      <c r="D1038" s="504"/>
      <c r="E1038" s="506"/>
      <c r="F1038" s="506"/>
      <c r="G1038" s="506"/>
      <c r="H1038" s="506"/>
      <c r="I1038" s="506"/>
      <c r="J1038" s="506"/>
      <c r="K1038" s="507"/>
      <c r="L1038" s="508"/>
      <c r="M1038" s="508"/>
      <c r="N1038" s="508"/>
      <c r="O1038" s="509"/>
      <c r="P1038" s="509"/>
    </row>
    <row r="1039" spans="1:16" ht="21.75" customHeight="1" x14ac:dyDescent="0.3">
      <c r="A1039" s="504"/>
      <c r="B1039" s="504"/>
      <c r="C1039" s="504"/>
      <c r="D1039" s="504"/>
      <c r="E1039" s="506"/>
      <c r="F1039" s="506"/>
      <c r="G1039" s="506"/>
      <c r="H1039" s="506"/>
      <c r="I1039" s="506"/>
      <c r="J1039" s="506"/>
      <c r="K1039" s="507"/>
      <c r="L1039" s="508"/>
      <c r="M1039" s="508"/>
      <c r="N1039" s="508"/>
      <c r="O1039" s="509"/>
      <c r="P1039" s="509"/>
    </row>
    <row r="1040" spans="1:16" ht="21.75" customHeight="1" x14ac:dyDescent="0.3">
      <c r="A1040" s="504"/>
      <c r="B1040" s="504"/>
      <c r="C1040" s="504"/>
      <c r="D1040" s="504"/>
      <c r="E1040" s="506"/>
      <c r="F1040" s="506"/>
      <c r="G1040" s="506"/>
      <c r="H1040" s="506"/>
      <c r="I1040" s="506"/>
      <c r="J1040" s="506"/>
      <c r="K1040" s="507"/>
      <c r="L1040" s="508"/>
      <c r="M1040" s="508"/>
      <c r="N1040" s="508"/>
      <c r="O1040" s="509"/>
      <c r="P1040" s="509"/>
    </row>
    <row r="1041" spans="1:16" ht="21.75" customHeight="1" x14ac:dyDescent="0.3">
      <c r="A1041" s="504"/>
      <c r="B1041" s="504"/>
      <c r="C1041" s="504"/>
      <c r="D1041" s="504"/>
      <c r="E1041" s="506"/>
      <c r="F1041" s="506"/>
      <c r="G1041" s="506"/>
      <c r="H1041" s="506"/>
      <c r="I1041" s="506"/>
      <c r="J1041" s="506"/>
      <c r="K1041" s="507"/>
      <c r="L1041" s="508"/>
      <c r="M1041" s="508"/>
      <c r="N1041" s="508"/>
      <c r="O1041" s="509"/>
      <c r="P1041" s="509"/>
    </row>
    <row r="1042" spans="1:16" ht="21.75" customHeight="1" x14ac:dyDescent="0.3">
      <c r="A1042" s="504"/>
      <c r="B1042" s="504"/>
      <c r="C1042" s="504"/>
      <c r="D1042" s="504"/>
      <c r="E1042" s="506"/>
      <c r="F1042" s="506"/>
      <c r="G1042" s="506"/>
      <c r="H1042" s="506"/>
      <c r="I1042" s="506"/>
      <c r="J1042" s="506"/>
      <c r="K1042" s="507"/>
      <c r="L1042" s="508"/>
      <c r="M1042" s="508"/>
      <c r="N1042" s="508"/>
      <c r="O1042" s="509"/>
      <c r="P1042" s="509"/>
    </row>
    <row r="1043" spans="1:16" ht="21.75" customHeight="1" x14ac:dyDescent="0.3">
      <c r="A1043" s="504"/>
      <c r="B1043" s="504"/>
      <c r="C1043" s="504"/>
      <c r="D1043" s="504"/>
      <c r="E1043" s="506"/>
      <c r="F1043" s="506"/>
      <c r="G1043" s="506"/>
      <c r="H1043" s="506"/>
      <c r="I1043" s="506"/>
      <c r="J1043" s="506"/>
      <c r="K1043" s="507"/>
      <c r="L1043" s="508"/>
      <c r="M1043" s="508"/>
      <c r="N1043" s="508"/>
      <c r="O1043" s="509"/>
      <c r="P1043" s="509"/>
    </row>
    <row r="1044" spans="1:16" ht="21.75" customHeight="1" x14ac:dyDescent="0.3">
      <c r="A1044" s="504"/>
      <c r="B1044" s="504"/>
      <c r="C1044" s="504"/>
      <c r="D1044" s="504"/>
      <c r="E1044" s="506"/>
      <c r="F1044" s="506"/>
      <c r="G1044" s="506"/>
      <c r="H1044" s="506"/>
      <c r="I1044" s="506"/>
      <c r="J1044" s="506"/>
      <c r="K1044" s="507"/>
      <c r="L1044" s="508"/>
      <c r="M1044" s="508"/>
      <c r="N1044" s="508"/>
      <c r="O1044" s="509"/>
      <c r="P1044" s="509"/>
    </row>
    <row r="1045" spans="1:16" ht="21.75" customHeight="1" x14ac:dyDescent="0.3">
      <c r="A1045" s="504"/>
      <c r="B1045" s="504"/>
      <c r="C1045" s="504"/>
      <c r="D1045" s="504"/>
      <c r="E1045" s="506"/>
      <c r="F1045" s="506"/>
      <c r="G1045" s="506"/>
      <c r="H1045" s="506"/>
      <c r="I1045" s="506"/>
      <c r="J1045" s="506"/>
      <c r="K1045" s="507"/>
      <c r="L1045" s="508"/>
      <c r="M1045" s="508"/>
      <c r="N1045" s="508"/>
      <c r="O1045" s="509"/>
      <c r="P1045" s="509"/>
    </row>
    <row r="1046" spans="1:16" ht="21.75" customHeight="1" x14ac:dyDescent="0.3">
      <c r="A1046" s="504"/>
      <c r="B1046" s="504"/>
      <c r="C1046" s="504"/>
      <c r="D1046" s="504"/>
      <c r="E1046" s="506"/>
      <c r="F1046" s="506"/>
      <c r="G1046" s="506"/>
      <c r="H1046" s="506"/>
      <c r="I1046" s="506"/>
      <c r="J1046" s="506"/>
      <c r="K1046" s="507"/>
      <c r="L1046" s="508"/>
      <c r="M1046" s="508"/>
      <c r="N1046" s="508"/>
      <c r="O1046" s="509"/>
      <c r="P1046" s="509"/>
    </row>
    <row r="1047" spans="1:16" ht="21.75" customHeight="1" x14ac:dyDescent="0.3">
      <c r="A1047" s="504"/>
      <c r="B1047" s="504"/>
      <c r="C1047" s="504"/>
      <c r="D1047" s="504"/>
      <c r="E1047" s="506"/>
      <c r="F1047" s="506"/>
      <c r="G1047" s="506"/>
      <c r="H1047" s="506"/>
      <c r="I1047" s="506"/>
      <c r="J1047" s="506"/>
      <c r="K1047" s="507"/>
      <c r="L1047" s="508"/>
      <c r="M1047" s="508"/>
      <c r="N1047" s="508"/>
      <c r="O1047" s="509"/>
      <c r="P1047" s="509"/>
    </row>
    <row r="1048" spans="1:16" ht="21.75" customHeight="1" x14ac:dyDescent="0.3">
      <c r="A1048" s="504"/>
      <c r="B1048" s="504"/>
      <c r="C1048" s="504"/>
      <c r="D1048" s="504"/>
      <c r="E1048" s="506"/>
      <c r="F1048" s="506"/>
      <c r="G1048" s="506"/>
      <c r="H1048" s="506"/>
      <c r="I1048" s="506"/>
      <c r="J1048" s="506"/>
      <c r="K1048" s="507"/>
      <c r="L1048" s="508"/>
      <c r="M1048" s="508"/>
      <c r="N1048" s="508"/>
      <c r="O1048" s="509"/>
      <c r="P1048" s="509"/>
    </row>
    <row r="1049" spans="1:16" ht="21.75" customHeight="1" x14ac:dyDescent="0.3">
      <c r="A1049" s="504"/>
      <c r="B1049" s="504"/>
      <c r="C1049" s="504"/>
      <c r="D1049" s="504"/>
      <c r="E1049" s="506"/>
      <c r="F1049" s="506"/>
      <c r="G1049" s="506"/>
      <c r="H1049" s="506"/>
      <c r="I1049" s="506"/>
      <c r="J1049" s="506"/>
      <c r="K1049" s="507"/>
      <c r="L1049" s="508"/>
      <c r="M1049" s="508"/>
      <c r="N1049" s="508"/>
      <c r="O1049" s="509"/>
      <c r="P1049" s="509"/>
    </row>
    <row r="1050" spans="1:16" ht="21.75" customHeight="1" x14ac:dyDescent="0.3">
      <c r="A1050" s="504"/>
      <c r="B1050" s="504"/>
      <c r="C1050" s="504"/>
      <c r="D1050" s="504"/>
      <c r="E1050" s="506"/>
      <c r="F1050" s="506"/>
      <c r="G1050" s="506"/>
      <c r="H1050" s="506"/>
      <c r="I1050" s="506"/>
      <c r="J1050" s="506"/>
      <c r="K1050" s="507"/>
      <c r="L1050" s="508"/>
      <c r="M1050" s="508"/>
      <c r="N1050" s="508"/>
      <c r="O1050" s="509"/>
      <c r="P1050" s="509"/>
    </row>
    <row r="1051" spans="1:16" ht="21.75" customHeight="1" x14ac:dyDescent="0.3">
      <c r="A1051" s="504"/>
      <c r="B1051" s="504"/>
      <c r="C1051" s="504"/>
      <c r="D1051" s="504"/>
      <c r="E1051" s="506"/>
      <c r="F1051" s="506"/>
      <c r="G1051" s="506"/>
      <c r="H1051" s="506"/>
      <c r="I1051" s="506"/>
      <c r="J1051" s="506"/>
      <c r="K1051" s="507"/>
      <c r="L1051" s="508"/>
      <c r="M1051" s="508"/>
      <c r="N1051" s="508"/>
      <c r="O1051" s="509"/>
      <c r="P1051" s="509"/>
    </row>
    <row r="1052" spans="1:16" ht="21.75" customHeight="1" x14ac:dyDescent="0.3">
      <c r="A1052" s="504"/>
      <c r="B1052" s="504"/>
      <c r="C1052" s="504"/>
      <c r="D1052" s="504"/>
      <c r="E1052" s="506"/>
      <c r="F1052" s="506"/>
      <c r="G1052" s="506"/>
      <c r="H1052" s="506"/>
      <c r="I1052" s="506"/>
      <c r="J1052" s="506"/>
      <c r="K1052" s="507"/>
      <c r="L1052" s="508"/>
      <c r="M1052" s="508"/>
      <c r="N1052" s="508"/>
      <c r="O1052" s="509"/>
      <c r="P1052" s="509"/>
    </row>
    <row r="1053" spans="1:16" ht="21.75" customHeight="1" x14ac:dyDescent="0.3">
      <c r="A1053" s="504"/>
      <c r="B1053" s="504"/>
      <c r="C1053" s="504"/>
      <c r="D1053" s="504"/>
      <c r="E1053" s="506"/>
      <c r="F1053" s="506"/>
      <c r="G1053" s="506"/>
      <c r="H1053" s="506"/>
      <c r="I1053" s="506"/>
      <c r="J1053" s="506"/>
      <c r="K1053" s="507"/>
      <c r="L1053" s="508"/>
      <c r="M1053" s="508"/>
      <c r="N1053" s="508"/>
      <c r="O1053" s="509"/>
      <c r="P1053" s="509"/>
    </row>
    <row r="1054" spans="1:16" ht="21.75" customHeight="1" x14ac:dyDescent="0.3">
      <c r="A1054" s="504"/>
      <c r="B1054" s="504"/>
      <c r="C1054" s="504"/>
      <c r="D1054" s="504"/>
      <c r="E1054" s="506"/>
      <c r="F1054" s="506"/>
      <c r="G1054" s="506"/>
      <c r="H1054" s="506"/>
      <c r="I1054" s="506"/>
      <c r="J1054" s="506"/>
      <c r="K1054" s="507"/>
      <c r="L1054" s="508"/>
      <c r="M1054" s="508"/>
      <c r="N1054" s="508"/>
      <c r="O1054" s="509"/>
      <c r="P1054" s="509"/>
    </row>
    <row r="1055" spans="1:16" ht="21.75" customHeight="1" x14ac:dyDescent="0.3">
      <c r="A1055" s="504"/>
      <c r="B1055" s="504"/>
      <c r="C1055" s="504"/>
      <c r="D1055" s="504"/>
      <c r="E1055" s="506"/>
      <c r="F1055" s="506"/>
      <c r="G1055" s="506"/>
      <c r="H1055" s="506"/>
      <c r="I1055" s="506"/>
      <c r="J1055" s="506"/>
      <c r="K1055" s="507"/>
      <c r="L1055" s="508"/>
      <c r="M1055" s="508"/>
      <c r="N1055" s="508"/>
      <c r="O1055" s="509"/>
      <c r="P1055" s="509"/>
    </row>
    <row r="1056" spans="1:16" ht="21.75" customHeight="1" x14ac:dyDescent="0.3">
      <c r="A1056" s="504"/>
      <c r="B1056" s="504"/>
      <c r="C1056" s="504"/>
      <c r="D1056" s="504"/>
      <c r="E1056" s="506"/>
      <c r="F1056" s="506"/>
      <c r="G1056" s="506"/>
      <c r="H1056" s="506"/>
      <c r="I1056" s="506"/>
      <c r="J1056" s="506"/>
      <c r="K1056" s="507"/>
      <c r="L1056" s="508"/>
      <c r="M1056" s="508"/>
      <c r="N1056" s="508"/>
      <c r="O1056" s="509"/>
      <c r="P1056" s="509"/>
    </row>
    <row r="1057" spans="1:16" ht="21.75" customHeight="1" x14ac:dyDescent="0.3">
      <c r="A1057" s="504"/>
      <c r="B1057" s="504"/>
      <c r="C1057" s="504"/>
      <c r="D1057" s="504"/>
      <c r="E1057" s="506"/>
      <c r="F1057" s="506"/>
      <c r="G1057" s="506"/>
      <c r="H1057" s="506"/>
      <c r="I1057" s="506"/>
      <c r="J1057" s="506"/>
      <c r="K1057" s="507"/>
      <c r="L1057" s="508"/>
      <c r="M1057" s="508"/>
      <c r="N1057" s="508"/>
      <c r="O1057" s="509"/>
      <c r="P1057" s="509"/>
    </row>
    <row r="1058" spans="1:16" ht="21.75" customHeight="1" x14ac:dyDescent="0.3">
      <c r="A1058" s="504"/>
      <c r="B1058" s="504"/>
      <c r="C1058" s="504"/>
      <c r="D1058" s="504"/>
      <c r="E1058" s="506"/>
      <c r="F1058" s="506"/>
      <c r="G1058" s="506"/>
      <c r="H1058" s="506"/>
      <c r="I1058" s="506"/>
      <c r="J1058" s="506"/>
      <c r="K1058" s="507"/>
      <c r="L1058" s="508"/>
      <c r="M1058" s="508"/>
      <c r="N1058" s="508"/>
      <c r="O1058" s="509"/>
      <c r="P1058" s="509"/>
    </row>
    <row r="1059" spans="1:16" ht="21.75" customHeight="1" x14ac:dyDescent="0.3">
      <c r="A1059" s="504"/>
      <c r="B1059" s="504"/>
      <c r="C1059" s="504"/>
      <c r="D1059" s="504"/>
      <c r="E1059" s="506"/>
      <c r="F1059" s="506"/>
      <c r="G1059" s="506"/>
      <c r="H1059" s="506"/>
      <c r="I1059" s="506"/>
      <c r="J1059" s="506"/>
      <c r="K1059" s="507"/>
      <c r="L1059" s="508"/>
      <c r="M1059" s="508"/>
      <c r="N1059" s="508"/>
      <c r="O1059" s="509"/>
      <c r="P1059" s="509"/>
    </row>
    <row r="1060" spans="1:16" ht="21.75" customHeight="1" x14ac:dyDescent="0.3">
      <c r="A1060" s="504"/>
      <c r="B1060" s="504"/>
      <c r="C1060" s="504"/>
      <c r="D1060" s="504"/>
      <c r="E1060" s="506"/>
      <c r="F1060" s="506"/>
      <c r="G1060" s="506"/>
      <c r="H1060" s="506"/>
      <c r="I1060" s="506"/>
      <c r="J1060" s="506"/>
      <c r="K1060" s="507"/>
      <c r="L1060" s="508"/>
      <c r="M1060" s="508"/>
      <c r="N1060" s="508"/>
      <c r="O1060" s="509"/>
      <c r="P1060" s="509"/>
    </row>
    <row r="1061" spans="1:16" ht="21.75" customHeight="1" x14ac:dyDescent="0.3">
      <c r="A1061" s="504"/>
      <c r="B1061" s="504"/>
      <c r="C1061" s="504"/>
      <c r="D1061" s="504"/>
      <c r="E1061" s="506"/>
      <c r="F1061" s="506"/>
      <c r="G1061" s="506"/>
      <c r="H1061" s="506"/>
      <c r="I1061" s="506"/>
      <c r="J1061" s="506"/>
      <c r="K1061" s="507"/>
      <c r="L1061" s="508"/>
      <c r="M1061" s="508"/>
      <c r="N1061" s="508"/>
      <c r="O1061" s="509"/>
      <c r="P1061" s="509"/>
    </row>
    <row r="1062" spans="1:16" ht="21.75" customHeight="1" x14ac:dyDescent="0.3">
      <c r="A1062" s="504"/>
      <c r="B1062" s="504"/>
      <c r="C1062" s="504"/>
      <c r="D1062" s="504"/>
      <c r="E1062" s="506"/>
      <c r="F1062" s="506"/>
      <c r="G1062" s="506"/>
      <c r="H1062" s="506"/>
      <c r="I1062" s="506"/>
      <c r="J1062" s="506"/>
      <c r="K1062" s="507"/>
      <c r="L1062" s="508"/>
      <c r="M1062" s="508"/>
      <c r="N1062" s="508"/>
      <c r="O1062" s="509"/>
      <c r="P1062" s="509"/>
    </row>
    <row r="1063" spans="1:16" ht="21.75" customHeight="1" x14ac:dyDescent="0.3">
      <c r="A1063" s="504"/>
      <c r="B1063" s="504"/>
      <c r="C1063" s="504"/>
      <c r="D1063" s="504"/>
      <c r="E1063" s="506"/>
      <c r="F1063" s="506"/>
      <c r="G1063" s="506"/>
      <c r="H1063" s="506"/>
      <c r="I1063" s="506"/>
      <c r="J1063" s="506"/>
      <c r="K1063" s="507"/>
      <c r="L1063" s="508"/>
      <c r="M1063" s="508"/>
      <c r="N1063" s="508"/>
      <c r="O1063" s="509"/>
      <c r="P1063" s="509"/>
    </row>
    <row r="1064" spans="1:16" ht="21.75" customHeight="1" x14ac:dyDescent="0.3">
      <c r="A1064" s="504"/>
      <c r="B1064" s="504"/>
      <c r="C1064" s="504"/>
      <c r="D1064" s="504"/>
      <c r="E1064" s="506"/>
      <c r="F1064" s="506"/>
      <c r="G1064" s="506"/>
      <c r="H1064" s="506"/>
      <c r="I1064" s="506"/>
      <c r="J1064" s="506"/>
      <c r="K1064" s="507"/>
      <c r="L1064" s="508"/>
      <c r="M1064" s="508"/>
      <c r="N1064" s="508"/>
      <c r="O1064" s="509"/>
      <c r="P1064" s="509"/>
    </row>
    <row r="1065" spans="1:16" ht="21.75" customHeight="1" x14ac:dyDescent="0.3">
      <c r="A1065" s="504"/>
      <c r="B1065" s="504"/>
      <c r="C1065" s="504"/>
      <c r="D1065" s="504"/>
      <c r="E1065" s="506"/>
      <c r="F1065" s="506"/>
      <c r="G1065" s="506"/>
      <c r="H1065" s="506"/>
      <c r="I1065" s="506"/>
      <c r="J1065" s="506"/>
      <c r="K1065" s="507"/>
      <c r="L1065" s="508"/>
      <c r="M1065" s="508"/>
      <c r="N1065" s="508"/>
      <c r="O1065" s="509"/>
      <c r="P1065" s="509"/>
    </row>
    <row r="1066" spans="1:16" ht="21.75" customHeight="1" x14ac:dyDescent="0.3">
      <c r="A1066" s="504"/>
      <c r="B1066" s="504"/>
      <c r="C1066" s="504"/>
      <c r="D1066" s="504"/>
      <c r="E1066" s="506"/>
      <c r="F1066" s="506"/>
      <c r="G1066" s="506"/>
      <c r="H1066" s="506"/>
      <c r="I1066" s="506"/>
      <c r="J1066" s="506"/>
      <c r="K1066" s="507"/>
      <c r="L1066" s="508"/>
      <c r="M1066" s="508"/>
      <c r="N1066" s="508"/>
      <c r="O1066" s="509"/>
      <c r="P1066" s="509"/>
    </row>
    <row r="1067" spans="1:16" ht="21.75" customHeight="1" x14ac:dyDescent="0.3">
      <c r="A1067" s="504"/>
      <c r="B1067" s="504"/>
      <c r="C1067" s="504"/>
      <c r="D1067" s="504"/>
      <c r="E1067" s="506"/>
      <c r="F1067" s="506"/>
      <c r="G1067" s="506"/>
      <c r="H1067" s="506"/>
      <c r="I1067" s="506"/>
      <c r="J1067" s="506"/>
      <c r="K1067" s="507"/>
      <c r="L1067" s="508"/>
      <c r="M1067" s="508"/>
      <c r="N1067" s="508"/>
      <c r="O1067" s="509"/>
      <c r="P1067" s="509"/>
    </row>
    <row r="1068" spans="1:16" ht="21.75" customHeight="1" x14ac:dyDescent="0.3">
      <c r="A1068" s="504"/>
      <c r="B1068" s="504"/>
      <c r="C1068" s="504"/>
      <c r="D1068" s="504"/>
      <c r="E1068" s="506"/>
      <c r="F1068" s="506"/>
      <c r="G1068" s="506"/>
      <c r="H1068" s="506"/>
      <c r="I1068" s="506"/>
      <c r="J1068" s="506"/>
      <c r="K1068" s="507"/>
      <c r="L1068" s="508"/>
      <c r="M1068" s="508"/>
      <c r="N1068" s="508"/>
      <c r="O1068" s="509"/>
      <c r="P1068" s="509"/>
    </row>
    <row r="1069" spans="1:16" ht="21.75" customHeight="1" x14ac:dyDescent="0.3">
      <c r="A1069" s="504"/>
      <c r="B1069" s="504"/>
      <c r="C1069" s="504"/>
      <c r="D1069" s="504"/>
      <c r="E1069" s="506"/>
      <c r="F1069" s="506"/>
      <c r="G1069" s="506"/>
      <c r="H1069" s="506"/>
      <c r="I1069" s="506"/>
      <c r="J1069" s="506"/>
      <c r="K1069" s="507"/>
      <c r="L1069" s="508"/>
      <c r="M1069" s="508"/>
      <c r="N1069" s="508"/>
      <c r="O1069" s="509"/>
      <c r="P1069" s="509"/>
    </row>
    <row r="1070" spans="1:16" ht="21.75" customHeight="1" x14ac:dyDescent="0.3">
      <c r="A1070" s="504"/>
      <c r="B1070" s="504"/>
      <c r="C1070" s="504"/>
      <c r="D1070" s="504"/>
      <c r="E1070" s="506"/>
      <c r="F1070" s="506"/>
      <c r="G1070" s="506"/>
      <c r="H1070" s="506"/>
      <c r="I1070" s="506"/>
      <c r="J1070" s="506"/>
      <c r="K1070" s="507"/>
      <c r="L1070" s="508"/>
      <c r="M1070" s="508"/>
      <c r="N1070" s="508"/>
      <c r="O1070" s="509"/>
      <c r="P1070" s="509"/>
    </row>
    <row r="1071" spans="1:16" ht="21.75" customHeight="1" x14ac:dyDescent="0.3">
      <c r="A1071" s="504"/>
      <c r="B1071" s="504"/>
      <c r="C1071" s="504"/>
      <c r="D1071" s="504"/>
      <c r="E1071" s="506"/>
      <c r="F1071" s="506"/>
      <c r="G1071" s="506"/>
      <c r="H1071" s="506"/>
      <c r="I1071" s="506"/>
      <c r="J1071" s="506"/>
      <c r="K1071" s="507"/>
      <c r="L1071" s="508"/>
      <c r="M1071" s="508"/>
      <c r="N1071" s="508"/>
      <c r="O1071" s="509"/>
      <c r="P1071" s="509"/>
    </row>
    <row r="1072" spans="1:16" ht="21.75" customHeight="1" x14ac:dyDescent="0.3">
      <c r="A1072" s="504"/>
      <c r="B1072" s="504"/>
      <c r="C1072" s="504"/>
      <c r="D1072" s="504"/>
      <c r="E1072" s="506"/>
      <c r="F1072" s="506"/>
      <c r="G1072" s="506"/>
      <c r="H1072" s="506"/>
      <c r="I1072" s="506"/>
      <c r="J1072" s="506"/>
      <c r="K1072" s="507"/>
      <c r="L1072" s="508"/>
      <c r="M1072" s="508"/>
      <c r="N1072" s="508"/>
      <c r="O1072" s="509"/>
      <c r="P1072" s="509"/>
    </row>
    <row r="1073" spans="1:16" ht="21.75" customHeight="1" x14ac:dyDescent="0.3">
      <c r="A1073" s="504"/>
      <c r="B1073" s="504"/>
      <c r="C1073" s="504"/>
      <c r="D1073" s="504"/>
      <c r="E1073" s="506"/>
      <c r="F1073" s="506"/>
      <c r="G1073" s="506"/>
      <c r="H1073" s="506"/>
      <c r="I1073" s="506"/>
      <c r="J1073" s="506"/>
      <c r="K1073" s="507"/>
      <c r="L1073" s="508"/>
      <c r="M1073" s="508"/>
      <c r="N1073" s="508"/>
      <c r="O1073" s="509"/>
      <c r="P1073" s="509"/>
    </row>
    <row r="1074" spans="1:16" ht="21.75" customHeight="1" x14ac:dyDescent="0.3">
      <c r="A1074" s="504"/>
      <c r="B1074" s="504"/>
      <c r="C1074" s="504"/>
      <c r="D1074" s="504"/>
      <c r="E1074" s="506"/>
      <c r="F1074" s="506"/>
      <c r="G1074" s="506"/>
      <c r="H1074" s="506"/>
      <c r="I1074" s="506"/>
      <c r="J1074" s="506"/>
      <c r="K1074" s="507"/>
      <c r="L1074" s="508"/>
      <c r="M1074" s="508"/>
      <c r="N1074" s="508"/>
      <c r="O1074" s="509"/>
      <c r="P1074" s="509"/>
    </row>
    <row r="1075" spans="1:16" ht="21.75" customHeight="1" x14ac:dyDescent="0.3">
      <c r="A1075" s="504"/>
      <c r="B1075" s="504"/>
      <c r="C1075" s="504"/>
      <c r="D1075" s="504"/>
      <c r="E1075" s="506"/>
      <c r="F1075" s="506"/>
      <c r="G1075" s="506"/>
      <c r="H1075" s="506"/>
      <c r="I1075" s="506"/>
      <c r="J1075" s="506"/>
      <c r="K1075" s="507"/>
      <c r="L1075" s="508"/>
      <c r="M1075" s="508"/>
      <c r="N1075" s="508"/>
      <c r="O1075" s="509"/>
      <c r="P1075" s="509"/>
    </row>
    <row r="1076" spans="1:16" ht="21.75" customHeight="1" x14ac:dyDescent="0.3">
      <c r="A1076" s="504"/>
      <c r="B1076" s="504"/>
      <c r="C1076" s="504"/>
      <c r="D1076" s="504"/>
      <c r="E1076" s="506"/>
      <c r="F1076" s="506"/>
      <c r="G1076" s="506"/>
      <c r="H1076" s="506"/>
      <c r="I1076" s="506"/>
      <c r="J1076" s="506"/>
      <c r="K1076" s="507"/>
      <c r="L1076" s="508"/>
      <c r="M1076" s="508"/>
      <c r="N1076" s="508"/>
      <c r="O1076" s="509"/>
      <c r="P1076" s="509"/>
    </row>
    <row r="1077" spans="1:16" ht="21.75" customHeight="1" x14ac:dyDescent="0.3">
      <c r="A1077" s="504"/>
      <c r="B1077" s="504"/>
      <c r="C1077" s="504"/>
      <c r="D1077" s="504"/>
      <c r="E1077" s="506"/>
      <c r="F1077" s="506"/>
      <c r="G1077" s="506"/>
      <c r="H1077" s="506"/>
      <c r="I1077" s="506"/>
      <c r="J1077" s="506"/>
      <c r="K1077" s="507"/>
      <c r="L1077" s="508"/>
      <c r="M1077" s="508"/>
      <c r="N1077" s="508"/>
      <c r="O1077" s="509"/>
      <c r="P1077" s="509"/>
    </row>
    <row r="1078" spans="1:16" ht="21.75" customHeight="1" x14ac:dyDescent="0.3">
      <c r="A1078" s="504"/>
      <c r="B1078" s="504"/>
      <c r="C1078" s="504"/>
      <c r="D1078" s="504"/>
      <c r="E1078" s="506"/>
      <c r="F1078" s="506"/>
      <c r="G1078" s="506"/>
      <c r="H1078" s="506"/>
      <c r="I1078" s="506"/>
      <c r="J1078" s="506"/>
      <c r="K1078" s="507"/>
      <c r="L1078" s="508"/>
      <c r="M1078" s="508"/>
      <c r="N1078" s="508"/>
      <c r="O1078" s="509"/>
      <c r="P1078" s="509"/>
    </row>
    <row r="1079" spans="1:16" ht="21.75" customHeight="1" x14ac:dyDescent="0.3">
      <c r="A1079" s="504"/>
      <c r="B1079" s="504"/>
      <c r="C1079" s="504"/>
      <c r="D1079" s="504"/>
      <c r="E1079" s="506"/>
      <c r="F1079" s="506"/>
      <c r="G1079" s="506"/>
      <c r="H1079" s="506"/>
      <c r="I1079" s="506"/>
      <c r="J1079" s="506"/>
      <c r="K1079" s="507"/>
      <c r="L1079" s="508"/>
      <c r="M1079" s="508"/>
      <c r="N1079" s="508"/>
      <c r="O1079" s="509"/>
      <c r="P1079" s="509"/>
    </row>
    <row r="1080" spans="1:16" ht="21.75" customHeight="1" x14ac:dyDescent="0.3">
      <c r="A1080" s="504"/>
      <c r="B1080" s="504"/>
      <c r="C1080" s="504"/>
      <c r="D1080" s="504"/>
      <c r="E1080" s="506"/>
      <c r="F1080" s="506"/>
      <c r="G1080" s="506"/>
      <c r="H1080" s="506"/>
      <c r="I1080" s="506"/>
      <c r="J1080" s="506"/>
      <c r="K1080" s="507"/>
      <c r="L1080" s="508"/>
      <c r="M1080" s="508"/>
      <c r="N1080" s="508"/>
      <c r="O1080" s="509"/>
      <c r="P1080" s="509"/>
    </row>
    <row r="1081" spans="1:16" ht="21.75" customHeight="1" x14ac:dyDescent="0.3">
      <c r="A1081" s="504"/>
      <c r="B1081" s="504"/>
      <c r="C1081" s="504"/>
      <c r="D1081" s="504"/>
      <c r="E1081" s="506"/>
      <c r="F1081" s="506"/>
      <c r="G1081" s="506"/>
      <c r="H1081" s="506"/>
      <c r="I1081" s="506"/>
      <c r="J1081" s="506"/>
      <c r="K1081" s="507"/>
      <c r="L1081" s="508"/>
      <c r="M1081" s="508"/>
      <c r="N1081" s="508"/>
      <c r="O1081" s="509"/>
      <c r="P1081" s="509"/>
    </row>
    <row r="1082" spans="1:16" ht="21.75" customHeight="1" x14ac:dyDescent="0.3">
      <c r="A1082" s="504"/>
      <c r="B1082" s="504"/>
      <c r="C1082" s="504"/>
      <c r="D1082" s="504"/>
      <c r="E1082" s="506"/>
      <c r="F1082" s="506"/>
      <c r="G1082" s="506"/>
      <c r="H1082" s="506"/>
      <c r="I1082" s="506"/>
      <c r="J1082" s="506"/>
      <c r="K1082" s="507"/>
      <c r="L1082" s="508"/>
      <c r="M1082" s="508"/>
      <c r="N1082" s="508"/>
      <c r="O1082" s="509"/>
      <c r="P1082" s="509"/>
    </row>
    <row r="1083" spans="1:16" ht="21.75" customHeight="1" x14ac:dyDescent="0.3">
      <c r="A1083" s="504"/>
      <c r="B1083" s="504"/>
      <c r="C1083" s="504"/>
      <c r="D1083" s="504"/>
      <c r="E1083" s="506"/>
      <c r="F1083" s="506"/>
      <c r="G1083" s="506"/>
      <c r="H1083" s="506"/>
      <c r="I1083" s="506"/>
      <c r="J1083" s="506"/>
      <c r="K1083" s="507"/>
      <c r="L1083" s="508"/>
      <c r="M1083" s="508"/>
      <c r="N1083" s="508"/>
      <c r="O1083" s="509"/>
      <c r="P1083" s="509"/>
    </row>
    <row r="1084" spans="1:16" ht="21.75" customHeight="1" x14ac:dyDescent="0.3">
      <c r="A1084" s="504"/>
      <c r="B1084" s="504"/>
      <c r="C1084" s="504"/>
      <c r="D1084" s="504"/>
      <c r="E1084" s="506"/>
      <c r="F1084" s="506"/>
      <c r="G1084" s="506"/>
      <c r="H1084" s="506"/>
      <c r="I1084" s="506"/>
      <c r="J1084" s="506"/>
      <c r="K1084" s="507"/>
      <c r="L1084" s="508"/>
      <c r="M1084" s="508"/>
      <c r="N1084" s="508"/>
      <c r="O1084" s="509"/>
      <c r="P1084" s="509"/>
    </row>
    <row r="1085" spans="1:16" ht="21.75" customHeight="1" x14ac:dyDescent="0.3">
      <c r="A1085" s="504"/>
      <c r="B1085" s="504"/>
      <c r="C1085" s="504"/>
      <c r="D1085" s="504"/>
      <c r="E1085" s="506"/>
      <c r="F1085" s="506"/>
      <c r="G1085" s="506"/>
      <c r="H1085" s="506"/>
      <c r="I1085" s="506"/>
      <c r="J1085" s="506"/>
      <c r="K1085" s="507"/>
      <c r="L1085" s="508"/>
      <c r="M1085" s="508"/>
      <c r="N1085" s="508"/>
      <c r="O1085" s="509"/>
      <c r="P1085" s="509"/>
    </row>
    <row r="1086" spans="1:16" ht="21.75" customHeight="1" x14ac:dyDescent="0.3">
      <c r="A1086" s="504"/>
      <c r="B1086" s="504"/>
      <c r="C1086" s="504"/>
      <c r="D1086" s="504"/>
      <c r="E1086" s="506"/>
      <c r="F1086" s="506"/>
      <c r="G1086" s="506"/>
      <c r="H1086" s="506"/>
      <c r="I1086" s="506"/>
      <c r="J1086" s="506"/>
      <c r="K1086" s="507"/>
      <c r="L1086" s="508"/>
      <c r="M1086" s="508"/>
      <c r="N1086" s="508"/>
      <c r="O1086" s="509"/>
      <c r="P1086" s="509"/>
    </row>
    <row r="1087" spans="1:16" ht="21.75" customHeight="1" x14ac:dyDescent="0.3">
      <c r="A1087" s="504"/>
      <c r="B1087" s="504"/>
      <c r="C1087" s="504"/>
      <c r="D1087" s="504"/>
      <c r="E1087" s="506"/>
      <c r="F1087" s="506"/>
      <c r="G1087" s="506"/>
      <c r="H1087" s="506"/>
      <c r="I1087" s="506"/>
      <c r="J1087" s="506"/>
      <c r="K1087" s="507"/>
      <c r="L1087" s="508"/>
      <c r="M1087" s="508"/>
      <c r="N1087" s="508"/>
      <c r="O1087" s="509"/>
      <c r="P1087" s="509"/>
    </row>
    <row r="1088" spans="1:16" ht="21.75" customHeight="1" x14ac:dyDescent="0.3">
      <c r="A1088" s="504"/>
      <c r="B1088" s="504"/>
      <c r="C1088" s="504"/>
      <c r="D1088" s="504"/>
      <c r="E1088" s="506"/>
      <c r="F1088" s="506"/>
      <c r="G1088" s="506"/>
      <c r="H1088" s="506"/>
      <c r="I1088" s="506"/>
      <c r="J1088" s="506"/>
      <c r="K1088" s="507"/>
      <c r="L1088" s="508"/>
      <c r="M1088" s="508"/>
      <c r="N1088" s="508"/>
      <c r="O1088" s="509"/>
      <c r="P1088" s="509"/>
    </row>
    <row r="1089" spans="1:16" ht="21.75" customHeight="1" x14ac:dyDescent="0.3">
      <c r="A1089" s="504"/>
      <c r="B1089" s="504"/>
      <c r="C1089" s="504"/>
      <c r="D1089" s="504"/>
      <c r="E1089" s="506"/>
      <c r="F1089" s="506"/>
      <c r="G1089" s="506"/>
      <c r="H1089" s="506"/>
      <c r="I1089" s="506"/>
      <c r="J1089" s="506"/>
      <c r="K1089" s="507"/>
      <c r="L1089" s="508"/>
      <c r="M1089" s="508"/>
      <c r="N1089" s="508"/>
      <c r="O1089" s="509"/>
      <c r="P1089" s="509"/>
    </row>
    <row r="1090" spans="1:16" ht="21.75" customHeight="1" x14ac:dyDescent="0.3">
      <c r="A1090" s="504"/>
      <c r="B1090" s="504"/>
      <c r="C1090" s="504"/>
      <c r="D1090" s="504"/>
      <c r="E1090" s="506"/>
      <c r="F1090" s="506"/>
      <c r="G1090" s="506"/>
      <c r="H1090" s="506"/>
      <c r="I1090" s="506"/>
      <c r="J1090" s="506"/>
      <c r="K1090" s="507"/>
      <c r="L1090" s="508"/>
      <c r="M1090" s="508"/>
      <c r="N1090" s="508"/>
      <c r="O1090" s="509"/>
      <c r="P1090" s="509"/>
    </row>
    <row r="1091" spans="1:16" ht="21.75" customHeight="1" x14ac:dyDescent="0.3">
      <c r="A1091" s="504"/>
      <c r="B1091" s="504"/>
      <c r="C1091" s="504"/>
      <c r="D1091" s="504"/>
      <c r="E1091" s="506"/>
      <c r="F1091" s="506"/>
      <c r="G1091" s="506"/>
      <c r="H1091" s="506"/>
      <c r="I1091" s="506"/>
      <c r="J1091" s="506"/>
      <c r="K1091" s="507"/>
      <c r="L1091" s="508"/>
      <c r="M1091" s="508"/>
      <c r="N1091" s="508"/>
      <c r="O1091" s="509"/>
      <c r="P1091" s="509"/>
    </row>
    <row r="1092" spans="1:16" ht="21.75" customHeight="1" x14ac:dyDescent="0.3">
      <c r="A1092" s="504"/>
      <c r="B1092" s="504"/>
      <c r="C1092" s="504"/>
      <c r="D1092" s="504"/>
      <c r="E1092" s="506"/>
      <c r="F1092" s="506"/>
      <c r="G1092" s="506"/>
      <c r="H1092" s="506"/>
      <c r="I1092" s="506"/>
      <c r="J1092" s="506"/>
      <c r="K1092" s="507"/>
      <c r="L1092" s="508"/>
      <c r="M1092" s="508"/>
      <c r="N1092" s="508"/>
      <c r="O1092" s="509"/>
      <c r="P1092" s="509"/>
    </row>
    <row r="1093" spans="1:16" ht="21.75" customHeight="1" x14ac:dyDescent="0.3">
      <c r="A1093" s="504"/>
      <c r="B1093" s="504"/>
      <c r="C1093" s="504"/>
      <c r="D1093" s="504"/>
      <c r="E1093" s="506"/>
      <c r="F1093" s="506"/>
      <c r="G1093" s="506"/>
      <c r="H1093" s="506"/>
      <c r="I1093" s="506"/>
      <c r="J1093" s="506"/>
      <c r="K1093" s="507"/>
      <c r="L1093" s="508"/>
      <c r="M1093" s="508"/>
      <c r="N1093" s="508"/>
      <c r="O1093" s="509"/>
      <c r="P1093" s="509"/>
    </row>
    <row r="1094" spans="1:16" ht="21.75" customHeight="1" x14ac:dyDescent="0.3">
      <c r="A1094" s="504"/>
      <c r="B1094" s="504"/>
      <c r="C1094" s="504"/>
      <c r="D1094" s="504"/>
      <c r="E1094" s="506"/>
      <c r="F1094" s="506"/>
      <c r="G1094" s="506"/>
      <c r="H1094" s="506"/>
      <c r="I1094" s="506"/>
      <c r="J1094" s="506"/>
      <c r="K1094" s="507"/>
      <c r="L1094" s="508"/>
      <c r="M1094" s="508"/>
      <c r="N1094" s="508"/>
      <c r="O1094" s="509"/>
      <c r="P1094" s="509"/>
    </row>
    <row r="1095" spans="1:16" ht="21.75" customHeight="1" x14ac:dyDescent="0.3">
      <c r="A1095" s="504"/>
      <c r="B1095" s="504"/>
      <c r="C1095" s="504"/>
      <c r="D1095" s="504"/>
      <c r="E1095" s="506"/>
      <c r="F1095" s="506"/>
      <c r="G1095" s="506"/>
      <c r="H1095" s="506"/>
      <c r="I1095" s="506"/>
      <c r="J1095" s="506"/>
      <c r="K1095" s="507"/>
      <c r="L1095" s="508"/>
      <c r="M1095" s="508"/>
      <c r="N1095" s="508"/>
      <c r="O1095" s="509"/>
      <c r="P1095" s="509"/>
    </row>
    <row r="1096" spans="1:16" ht="21.75" customHeight="1" x14ac:dyDescent="0.3">
      <c r="A1096" s="504"/>
      <c r="B1096" s="504"/>
      <c r="C1096" s="504"/>
      <c r="D1096" s="504"/>
      <c r="E1096" s="506"/>
      <c r="F1096" s="506"/>
      <c r="G1096" s="506"/>
      <c r="H1096" s="506"/>
      <c r="I1096" s="506"/>
      <c r="J1096" s="506"/>
      <c r="K1096" s="507"/>
      <c r="L1096" s="508"/>
      <c r="M1096" s="508"/>
      <c r="N1096" s="508"/>
      <c r="O1096" s="509"/>
      <c r="P1096" s="509"/>
    </row>
    <row r="1097" spans="1:16" ht="21.75" customHeight="1" x14ac:dyDescent="0.3">
      <c r="A1097" s="504"/>
      <c r="B1097" s="504"/>
      <c r="C1097" s="504"/>
      <c r="D1097" s="504"/>
      <c r="E1097" s="506"/>
      <c r="F1097" s="506"/>
      <c r="G1097" s="506"/>
      <c r="H1097" s="506"/>
      <c r="I1097" s="506"/>
      <c r="J1097" s="506"/>
      <c r="K1097" s="507"/>
      <c r="L1097" s="508"/>
      <c r="M1097" s="508"/>
      <c r="N1097" s="508"/>
      <c r="O1097" s="509"/>
      <c r="P1097" s="509"/>
    </row>
    <row r="1098" spans="1:16" ht="21.75" customHeight="1" x14ac:dyDescent="0.3">
      <c r="A1098" s="504"/>
      <c r="B1098" s="504"/>
      <c r="C1098" s="504"/>
      <c r="D1098" s="504"/>
      <c r="E1098" s="506"/>
      <c r="F1098" s="506"/>
      <c r="G1098" s="506"/>
      <c r="H1098" s="506"/>
      <c r="I1098" s="506"/>
      <c r="J1098" s="506"/>
      <c r="K1098" s="507"/>
      <c r="L1098" s="508"/>
      <c r="M1098" s="508"/>
      <c r="N1098" s="508"/>
      <c r="O1098" s="509"/>
      <c r="P1098" s="509"/>
    </row>
    <row r="1099" spans="1:16" ht="21.75" customHeight="1" x14ac:dyDescent="0.3">
      <c r="A1099" s="504"/>
      <c r="B1099" s="504"/>
      <c r="C1099" s="504"/>
      <c r="D1099" s="504"/>
      <c r="E1099" s="506"/>
      <c r="F1099" s="506"/>
      <c r="G1099" s="506"/>
      <c r="H1099" s="506"/>
      <c r="I1099" s="506"/>
      <c r="J1099" s="506"/>
      <c r="K1099" s="507"/>
      <c r="L1099" s="508"/>
      <c r="M1099" s="508"/>
      <c r="N1099" s="508"/>
      <c r="O1099" s="509"/>
      <c r="P1099" s="509"/>
    </row>
    <row r="1100" spans="1:16" ht="21.75" customHeight="1" x14ac:dyDescent="0.3">
      <c r="A1100" s="504"/>
      <c r="B1100" s="504"/>
      <c r="C1100" s="504"/>
      <c r="D1100" s="504"/>
      <c r="E1100" s="506"/>
      <c r="F1100" s="506"/>
      <c r="G1100" s="506"/>
      <c r="H1100" s="506"/>
      <c r="I1100" s="506"/>
      <c r="J1100" s="506"/>
      <c r="K1100" s="507"/>
      <c r="L1100" s="508"/>
      <c r="M1100" s="508"/>
      <c r="N1100" s="508"/>
      <c r="O1100" s="509"/>
      <c r="P1100" s="509"/>
    </row>
    <row r="1101" spans="1:16" ht="21.75" customHeight="1" x14ac:dyDescent="0.3">
      <c r="A1101" s="504"/>
      <c r="B1101" s="504"/>
      <c r="C1101" s="504"/>
      <c r="D1101" s="504"/>
      <c r="E1101" s="506"/>
      <c r="F1101" s="506"/>
      <c r="G1101" s="506"/>
      <c r="H1101" s="506"/>
      <c r="I1101" s="506"/>
      <c r="J1101" s="506"/>
      <c r="K1101" s="507"/>
      <c r="L1101" s="508"/>
      <c r="M1101" s="508"/>
      <c r="N1101" s="508"/>
      <c r="O1101" s="509"/>
      <c r="P1101" s="509"/>
    </row>
    <row r="1102" spans="1:16" ht="21.75" customHeight="1" x14ac:dyDescent="0.3">
      <c r="A1102" s="504"/>
      <c r="B1102" s="504"/>
      <c r="C1102" s="504"/>
      <c r="D1102" s="504"/>
      <c r="E1102" s="506"/>
      <c r="F1102" s="506"/>
      <c r="G1102" s="506"/>
      <c r="H1102" s="506"/>
      <c r="I1102" s="506"/>
      <c r="J1102" s="506"/>
      <c r="K1102" s="507"/>
      <c r="L1102" s="508"/>
      <c r="M1102" s="508"/>
      <c r="N1102" s="508"/>
      <c r="O1102" s="509"/>
      <c r="P1102" s="509"/>
    </row>
    <row r="1103" spans="1:16" ht="21.75" customHeight="1" x14ac:dyDescent="0.3">
      <c r="A1103" s="504"/>
      <c r="B1103" s="504"/>
      <c r="C1103" s="504"/>
      <c r="D1103" s="504"/>
      <c r="E1103" s="506"/>
      <c r="F1103" s="506"/>
      <c r="G1103" s="506"/>
      <c r="H1103" s="506"/>
      <c r="I1103" s="506"/>
      <c r="J1103" s="506"/>
      <c r="K1103" s="507"/>
      <c r="L1103" s="508"/>
      <c r="M1103" s="508"/>
      <c r="N1103" s="508"/>
      <c r="O1103" s="509"/>
      <c r="P1103" s="509"/>
    </row>
    <row r="1104" spans="1:16" ht="21.75" customHeight="1" x14ac:dyDescent="0.3">
      <c r="A1104" s="504"/>
      <c r="B1104" s="504"/>
      <c r="C1104" s="504"/>
      <c r="D1104" s="504"/>
      <c r="E1104" s="506"/>
      <c r="F1104" s="506"/>
      <c r="G1104" s="506"/>
      <c r="H1104" s="506"/>
      <c r="I1104" s="506"/>
      <c r="J1104" s="506"/>
      <c r="K1104" s="507"/>
      <c r="L1104" s="508"/>
      <c r="M1104" s="508"/>
      <c r="N1104" s="508"/>
      <c r="O1104" s="509"/>
      <c r="P1104" s="509"/>
    </row>
    <row r="1105" spans="1:16" ht="21.75" customHeight="1" x14ac:dyDescent="0.3">
      <c r="A1105" s="504"/>
      <c r="B1105" s="504"/>
      <c r="C1105" s="504"/>
      <c r="D1105" s="504"/>
      <c r="E1105" s="506"/>
      <c r="F1105" s="506"/>
      <c r="G1105" s="506"/>
      <c r="H1105" s="506"/>
      <c r="I1105" s="506"/>
      <c r="J1105" s="506"/>
      <c r="K1105" s="507"/>
      <c r="L1105" s="508"/>
      <c r="M1105" s="508"/>
      <c r="N1105" s="508"/>
      <c r="O1105" s="509"/>
      <c r="P1105" s="509"/>
    </row>
    <row r="1106" spans="1:16" ht="21.75" customHeight="1" x14ac:dyDescent="0.3">
      <c r="A1106" s="504"/>
      <c r="B1106" s="504"/>
      <c r="C1106" s="504"/>
      <c r="D1106" s="504"/>
      <c r="E1106" s="506"/>
      <c r="F1106" s="506"/>
      <c r="G1106" s="506"/>
      <c r="H1106" s="506"/>
      <c r="I1106" s="506"/>
      <c r="J1106" s="506"/>
      <c r="K1106" s="507"/>
      <c r="L1106" s="508"/>
      <c r="M1106" s="508"/>
      <c r="N1106" s="508"/>
      <c r="O1106" s="509"/>
      <c r="P1106" s="509"/>
    </row>
    <row r="1107" spans="1:16" ht="21.75" customHeight="1" x14ac:dyDescent="0.3">
      <c r="A1107" s="504"/>
      <c r="B1107" s="504"/>
      <c r="C1107" s="504"/>
      <c r="D1107" s="504"/>
      <c r="E1107" s="506"/>
      <c r="F1107" s="506"/>
      <c r="G1107" s="506"/>
      <c r="H1107" s="506"/>
      <c r="I1107" s="506"/>
      <c r="J1107" s="506"/>
      <c r="K1107" s="507"/>
      <c r="L1107" s="508"/>
      <c r="M1107" s="508"/>
      <c r="N1107" s="508"/>
      <c r="O1107" s="509"/>
      <c r="P1107" s="509"/>
    </row>
    <row r="1108" spans="1:16" ht="21.75" customHeight="1" x14ac:dyDescent="0.3">
      <c r="A1108" s="504"/>
      <c r="B1108" s="504"/>
      <c r="C1108" s="504"/>
      <c r="D1108" s="504"/>
      <c r="E1108" s="506"/>
      <c r="F1108" s="506"/>
      <c r="G1108" s="506"/>
      <c r="H1108" s="506"/>
      <c r="I1108" s="506"/>
      <c r="J1108" s="506"/>
      <c r="K1108" s="507"/>
      <c r="L1108" s="508"/>
      <c r="M1108" s="508"/>
      <c r="N1108" s="508"/>
      <c r="O1108" s="509"/>
      <c r="P1108" s="509"/>
    </row>
    <row r="1109" spans="1:16" ht="21.75" customHeight="1" x14ac:dyDescent="0.3">
      <c r="A1109" s="504"/>
      <c r="B1109" s="504"/>
      <c r="C1109" s="504"/>
      <c r="D1109" s="504"/>
      <c r="E1109" s="506"/>
      <c r="F1109" s="506"/>
      <c r="G1109" s="506"/>
      <c r="H1109" s="506"/>
      <c r="I1109" s="506"/>
      <c r="J1109" s="506"/>
      <c r="K1109" s="507"/>
      <c r="L1109" s="508"/>
      <c r="M1109" s="508"/>
      <c r="N1109" s="508"/>
      <c r="O1109" s="509"/>
      <c r="P1109" s="509"/>
    </row>
    <row r="1110" spans="1:16" ht="21.75" customHeight="1" x14ac:dyDescent="0.3">
      <c r="A1110" s="504"/>
      <c r="B1110" s="504"/>
      <c r="C1110" s="504"/>
      <c r="D1110" s="504"/>
      <c r="E1110" s="506"/>
      <c r="F1110" s="506"/>
      <c r="G1110" s="506"/>
      <c r="H1110" s="506"/>
      <c r="I1110" s="506"/>
      <c r="J1110" s="506"/>
      <c r="K1110" s="507"/>
      <c r="L1110" s="508"/>
      <c r="M1110" s="508"/>
      <c r="N1110" s="508"/>
      <c r="O1110" s="509"/>
      <c r="P1110" s="509"/>
    </row>
    <row r="1111" spans="1:16" ht="21.75" customHeight="1" x14ac:dyDescent="0.3">
      <c r="A1111" s="504"/>
      <c r="B1111" s="504"/>
      <c r="C1111" s="504"/>
      <c r="D1111" s="504"/>
      <c r="E1111" s="506"/>
      <c r="F1111" s="506"/>
      <c r="G1111" s="506"/>
      <c r="H1111" s="506"/>
      <c r="I1111" s="506"/>
      <c r="J1111" s="506"/>
      <c r="K1111" s="507"/>
      <c r="L1111" s="508"/>
      <c r="M1111" s="508"/>
      <c r="N1111" s="508"/>
      <c r="O1111" s="509"/>
      <c r="P1111" s="509"/>
    </row>
    <row r="1112" spans="1:16" ht="21.75" customHeight="1" x14ac:dyDescent="0.3">
      <c r="A1112" s="504"/>
      <c r="B1112" s="504"/>
      <c r="C1112" s="504"/>
      <c r="D1112" s="504"/>
      <c r="E1112" s="506"/>
      <c r="F1112" s="506"/>
      <c r="G1112" s="506"/>
      <c r="H1112" s="506"/>
      <c r="I1112" s="506"/>
      <c r="J1112" s="506"/>
      <c r="K1112" s="507"/>
      <c r="L1112" s="508"/>
      <c r="M1112" s="508"/>
      <c r="N1112" s="508"/>
      <c r="O1112" s="509"/>
      <c r="P1112" s="509"/>
    </row>
    <row r="1113" spans="1:16" ht="21.75" customHeight="1" x14ac:dyDescent="0.3">
      <c r="A1113" s="504"/>
      <c r="B1113" s="504"/>
      <c r="C1113" s="504"/>
      <c r="D1113" s="504"/>
      <c r="E1113" s="506"/>
      <c r="F1113" s="506"/>
      <c r="G1113" s="506"/>
      <c r="H1113" s="506"/>
      <c r="I1113" s="506"/>
      <c r="J1113" s="506"/>
      <c r="K1113" s="507"/>
      <c r="L1113" s="508"/>
      <c r="M1113" s="508"/>
      <c r="N1113" s="508"/>
      <c r="O1113" s="509"/>
      <c r="P1113" s="509"/>
    </row>
    <row r="1114" spans="1:16" ht="21.75" customHeight="1" x14ac:dyDescent="0.3">
      <c r="A1114" s="504"/>
      <c r="B1114" s="504"/>
      <c r="C1114" s="504"/>
      <c r="D1114" s="504"/>
      <c r="E1114" s="506"/>
      <c r="F1114" s="506"/>
      <c r="G1114" s="506"/>
      <c r="H1114" s="506"/>
      <c r="I1114" s="506"/>
      <c r="J1114" s="506"/>
      <c r="K1114" s="507"/>
      <c r="L1114" s="508"/>
      <c r="M1114" s="508"/>
      <c r="N1114" s="508"/>
      <c r="O1114" s="509"/>
      <c r="P1114" s="509"/>
    </row>
    <row r="1115" spans="1:16" ht="21.75" customHeight="1" x14ac:dyDescent="0.3">
      <c r="A1115" s="504"/>
      <c r="B1115" s="504"/>
      <c r="C1115" s="504"/>
      <c r="D1115" s="504"/>
      <c r="E1115" s="506"/>
      <c r="F1115" s="506"/>
      <c r="G1115" s="506"/>
      <c r="H1115" s="506"/>
      <c r="I1115" s="506"/>
      <c r="J1115" s="506"/>
      <c r="K1115" s="507"/>
      <c r="L1115" s="508"/>
      <c r="M1115" s="508"/>
      <c r="N1115" s="508"/>
      <c r="O1115" s="509"/>
      <c r="P1115" s="509"/>
    </row>
    <row r="1116" spans="1:16" ht="21.75" customHeight="1" x14ac:dyDescent="0.3">
      <c r="A1116" s="504"/>
      <c r="B1116" s="504"/>
      <c r="C1116" s="504"/>
      <c r="D1116" s="504"/>
      <c r="E1116" s="506"/>
      <c r="F1116" s="506"/>
      <c r="G1116" s="506"/>
      <c r="H1116" s="506"/>
      <c r="I1116" s="506"/>
      <c r="J1116" s="506"/>
      <c r="K1116" s="507"/>
      <c r="L1116" s="508"/>
      <c r="M1116" s="508"/>
      <c r="N1116" s="508"/>
      <c r="O1116" s="509"/>
      <c r="P1116" s="509"/>
    </row>
    <row r="1117" spans="1:16" ht="21.75" customHeight="1" x14ac:dyDescent="0.3">
      <c r="A1117" s="504"/>
      <c r="B1117" s="504"/>
      <c r="C1117" s="504"/>
      <c r="D1117" s="504"/>
      <c r="E1117" s="506"/>
      <c r="F1117" s="506"/>
      <c r="G1117" s="506"/>
      <c r="H1117" s="506"/>
      <c r="I1117" s="506"/>
      <c r="J1117" s="506"/>
      <c r="K1117" s="507"/>
      <c r="L1117" s="508"/>
      <c r="M1117" s="508"/>
      <c r="N1117" s="508"/>
      <c r="O1117" s="509"/>
      <c r="P1117" s="509"/>
    </row>
    <row r="1118" spans="1:16" ht="21.75" customHeight="1" x14ac:dyDescent="0.3">
      <c r="A1118" s="504"/>
      <c r="B1118" s="504"/>
      <c r="C1118" s="504"/>
      <c r="D1118" s="504"/>
      <c r="E1118" s="506"/>
      <c r="F1118" s="506"/>
      <c r="G1118" s="506"/>
      <c r="H1118" s="506"/>
      <c r="I1118" s="506"/>
      <c r="J1118" s="506"/>
      <c r="K1118" s="507"/>
      <c r="L1118" s="508"/>
      <c r="M1118" s="508"/>
      <c r="N1118" s="508"/>
      <c r="O1118" s="509"/>
      <c r="P1118" s="509"/>
    </row>
    <row r="1119" spans="1:16" ht="21.75" customHeight="1" x14ac:dyDescent="0.3">
      <c r="A1119" s="504"/>
      <c r="B1119" s="504"/>
      <c r="C1119" s="504"/>
      <c r="D1119" s="504"/>
      <c r="E1119" s="506"/>
      <c r="F1119" s="506"/>
      <c r="G1119" s="506"/>
      <c r="H1119" s="506"/>
      <c r="I1119" s="506"/>
      <c r="J1119" s="506"/>
      <c r="K1119" s="507"/>
      <c r="L1119" s="508"/>
      <c r="M1119" s="508"/>
      <c r="N1119" s="508"/>
      <c r="O1119" s="509"/>
      <c r="P1119" s="509"/>
    </row>
    <row r="1120" spans="1:16" ht="21.75" customHeight="1" x14ac:dyDescent="0.3">
      <c r="A1120" s="504"/>
      <c r="B1120" s="504"/>
      <c r="C1120" s="504"/>
      <c r="D1120" s="504"/>
      <c r="E1120" s="506"/>
      <c r="F1120" s="506"/>
      <c r="G1120" s="506"/>
      <c r="H1120" s="506"/>
      <c r="I1120" s="506"/>
      <c r="J1120" s="506"/>
      <c r="K1120" s="507"/>
      <c r="L1120" s="508"/>
      <c r="M1120" s="508"/>
      <c r="N1120" s="508"/>
      <c r="O1120" s="509"/>
      <c r="P1120" s="509"/>
    </row>
    <row r="1121" spans="1:16" ht="21.75" customHeight="1" x14ac:dyDescent="0.3">
      <c r="A1121" s="504"/>
      <c r="B1121" s="504"/>
      <c r="C1121" s="504"/>
      <c r="D1121" s="504"/>
      <c r="E1121" s="506"/>
      <c r="F1121" s="506"/>
      <c r="G1121" s="506"/>
      <c r="H1121" s="506"/>
      <c r="I1121" s="506"/>
      <c r="J1121" s="506"/>
      <c r="K1121" s="507"/>
      <c r="L1121" s="508"/>
      <c r="M1121" s="508"/>
      <c r="N1121" s="508"/>
      <c r="O1121" s="509"/>
      <c r="P1121" s="509"/>
    </row>
    <row r="1122" spans="1:16" ht="21.75" customHeight="1" x14ac:dyDescent="0.3">
      <c r="A1122" s="504"/>
      <c r="B1122" s="504"/>
      <c r="C1122" s="504"/>
      <c r="D1122" s="504"/>
      <c r="E1122" s="506"/>
      <c r="F1122" s="506"/>
      <c r="G1122" s="506"/>
      <c r="H1122" s="506"/>
      <c r="I1122" s="506"/>
      <c r="J1122" s="506"/>
      <c r="K1122" s="507"/>
      <c r="L1122" s="508"/>
      <c r="M1122" s="508"/>
      <c r="N1122" s="508"/>
      <c r="O1122" s="509"/>
      <c r="P1122" s="509"/>
    </row>
    <row r="1123" spans="1:16" ht="21.75" customHeight="1" x14ac:dyDescent="0.3">
      <c r="A1123" s="504"/>
      <c r="B1123" s="504"/>
      <c r="C1123" s="504"/>
      <c r="D1123" s="504"/>
      <c r="E1123" s="506"/>
      <c r="F1123" s="506"/>
      <c r="G1123" s="506"/>
      <c r="H1123" s="506"/>
      <c r="I1123" s="506"/>
      <c r="J1123" s="506"/>
      <c r="K1123" s="507"/>
      <c r="L1123" s="508"/>
      <c r="M1123" s="508"/>
      <c r="N1123" s="508"/>
      <c r="O1123" s="509"/>
      <c r="P1123" s="509"/>
    </row>
    <row r="1124" spans="1:16" ht="21.75" customHeight="1" x14ac:dyDescent="0.3">
      <c r="A1124" s="504"/>
      <c r="B1124" s="504"/>
      <c r="C1124" s="504"/>
      <c r="D1124" s="504"/>
      <c r="E1124" s="506"/>
      <c r="F1124" s="506"/>
      <c r="G1124" s="506"/>
      <c r="H1124" s="506"/>
      <c r="I1124" s="506"/>
      <c r="J1124" s="506"/>
      <c r="K1124" s="507"/>
      <c r="L1124" s="508"/>
      <c r="M1124" s="508"/>
      <c r="N1124" s="508"/>
      <c r="O1124" s="509"/>
      <c r="P1124" s="509"/>
    </row>
    <row r="1125" spans="1:16" ht="21.75" customHeight="1" x14ac:dyDescent="0.3">
      <c r="A1125" s="504"/>
      <c r="B1125" s="504"/>
      <c r="C1125" s="504"/>
      <c r="D1125" s="504"/>
      <c r="E1125" s="506"/>
      <c r="F1125" s="506"/>
      <c r="G1125" s="506"/>
      <c r="H1125" s="506"/>
      <c r="I1125" s="506"/>
      <c r="J1125" s="506"/>
      <c r="K1125" s="507"/>
      <c r="L1125" s="508"/>
      <c r="M1125" s="508"/>
      <c r="N1125" s="508"/>
      <c r="O1125" s="509"/>
      <c r="P1125" s="509"/>
    </row>
    <row r="1126" spans="1:16" ht="21.75" customHeight="1" x14ac:dyDescent="0.3">
      <c r="A1126" s="504"/>
      <c r="B1126" s="504"/>
      <c r="C1126" s="504"/>
      <c r="D1126" s="504"/>
      <c r="E1126" s="506"/>
      <c r="F1126" s="506"/>
      <c r="G1126" s="506"/>
      <c r="H1126" s="506"/>
      <c r="I1126" s="506"/>
      <c r="J1126" s="506"/>
      <c r="K1126" s="507"/>
      <c r="L1126" s="508"/>
      <c r="M1126" s="508"/>
      <c r="N1126" s="508"/>
      <c r="O1126" s="509"/>
      <c r="P1126" s="509"/>
    </row>
    <row r="1127" spans="1:16" ht="21.75" customHeight="1" x14ac:dyDescent="0.3">
      <c r="A1127" s="504"/>
      <c r="B1127" s="504"/>
      <c r="C1127" s="504"/>
      <c r="D1127" s="504"/>
      <c r="E1127" s="506"/>
      <c r="F1127" s="506"/>
      <c r="G1127" s="506"/>
      <c r="H1127" s="506"/>
      <c r="I1127" s="506"/>
      <c r="J1127" s="506"/>
      <c r="K1127" s="507"/>
      <c r="L1127" s="508"/>
      <c r="M1127" s="508"/>
      <c r="N1127" s="508"/>
      <c r="O1127" s="509"/>
      <c r="P1127" s="509"/>
    </row>
    <row r="1128" spans="1:16" ht="21.75" customHeight="1" x14ac:dyDescent="0.3">
      <c r="A1128" s="504"/>
      <c r="B1128" s="504"/>
      <c r="C1128" s="504"/>
      <c r="D1128" s="504"/>
      <c r="E1128" s="506"/>
      <c r="F1128" s="506"/>
      <c r="G1128" s="506"/>
      <c r="H1128" s="506"/>
      <c r="I1128" s="506"/>
      <c r="J1128" s="506"/>
      <c r="K1128" s="507"/>
      <c r="L1128" s="508"/>
      <c r="M1128" s="508"/>
      <c r="N1128" s="508"/>
      <c r="O1128" s="509"/>
      <c r="P1128" s="509"/>
    </row>
    <row r="1129" spans="1:16" ht="21.75" customHeight="1" x14ac:dyDescent="0.3">
      <c r="A1129" s="504"/>
      <c r="B1129" s="504"/>
      <c r="C1129" s="504"/>
      <c r="D1129" s="504"/>
      <c r="E1129" s="506"/>
      <c r="F1129" s="506"/>
      <c r="G1129" s="506"/>
      <c r="H1129" s="506"/>
      <c r="I1129" s="506"/>
      <c r="J1129" s="506"/>
      <c r="K1129" s="507"/>
      <c r="L1129" s="508"/>
      <c r="M1129" s="508"/>
      <c r="N1129" s="508"/>
      <c r="O1129" s="509"/>
      <c r="P1129" s="509"/>
    </row>
    <row r="1130" spans="1:16" ht="21.75" customHeight="1" x14ac:dyDescent="0.3">
      <c r="A1130" s="504"/>
      <c r="B1130" s="504"/>
      <c r="C1130" s="504"/>
      <c r="D1130" s="504"/>
      <c r="E1130" s="506"/>
      <c r="F1130" s="506"/>
      <c r="G1130" s="506"/>
      <c r="H1130" s="506"/>
      <c r="I1130" s="506"/>
      <c r="J1130" s="506"/>
      <c r="K1130" s="507"/>
      <c r="L1130" s="508"/>
      <c r="M1130" s="508"/>
      <c r="N1130" s="508"/>
      <c r="O1130" s="509"/>
      <c r="P1130" s="509"/>
    </row>
    <row r="1131" spans="1:16" ht="21.75" customHeight="1" x14ac:dyDescent="0.3">
      <c r="A1131" s="504"/>
      <c r="B1131" s="504"/>
      <c r="C1131" s="504"/>
      <c r="D1131" s="504"/>
      <c r="E1131" s="506"/>
      <c r="F1131" s="506"/>
      <c r="G1131" s="506"/>
      <c r="H1131" s="506"/>
      <c r="I1131" s="506"/>
      <c r="J1131" s="506"/>
      <c r="K1131" s="507"/>
      <c r="L1131" s="508"/>
      <c r="M1131" s="508"/>
      <c r="N1131" s="508"/>
      <c r="O1131" s="509"/>
      <c r="P1131" s="509"/>
    </row>
    <row r="1132" spans="1:16" ht="21.75" customHeight="1" x14ac:dyDescent="0.3">
      <c r="A1132" s="504"/>
      <c r="B1132" s="504"/>
      <c r="C1132" s="504"/>
      <c r="D1132" s="504"/>
      <c r="E1132" s="506"/>
      <c r="F1132" s="506"/>
      <c r="G1132" s="506"/>
      <c r="H1132" s="506"/>
      <c r="I1132" s="506"/>
      <c r="J1132" s="506"/>
      <c r="K1132" s="507"/>
      <c r="L1132" s="508"/>
      <c r="M1132" s="508"/>
      <c r="N1132" s="508"/>
      <c r="O1132" s="509"/>
      <c r="P1132" s="509"/>
    </row>
    <row r="1133" spans="1:16" ht="21.75" customHeight="1" x14ac:dyDescent="0.3">
      <c r="A1133" s="504"/>
      <c r="B1133" s="504"/>
      <c r="C1133" s="504"/>
      <c r="D1133" s="504"/>
      <c r="E1133" s="506"/>
      <c r="F1133" s="506"/>
      <c r="G1133" s="506"/>
      <c r="H1133" s="506"/>
      <c r="I1133" s="506"/>
      <c r="J1133" s="506"/>
      <c r="K1133" s="507"/>
      <c r="L1133" s="508"/>
      <c r="M1133" s="508"/>
      <c r="N1133" s="508"/>
      <c r="O1133" s="509"/>
      <c r="P1133" s="509"/>
    </row>
    <row r="1134" spans="1:16" ht="21.75" customHeight="1" x14ac:dyDescent="0.3">
      <c r="A1134" s="504"/>
      <c r="B1134" s="504"/>
      <c r="C1134" s="504"/>
      <c r="D1134" s="504"/>
      <c r="E1134" s="506"/>
      <c r="F1134" s="506"/>
      <c r="G1134" s="506"/>
      <c r="H1134" s="506"/>
      <c r="I1134" s="506"/>
      <c r="J1134" s="506"/>
      <c r="K1134" s="507"/>
      <c r="L1134" s="508"/>
      <c r="M1134" s="508"/>
      <c r="N1134" s="508"/>
      <c r="O1134" s="509"/>
      <c r="P1134" s="509"/>
    </row>
    <row r="1135" spans="1:16" ht="21.75" customHeight="1" x14ac:dyDescent="0.3">
      <c r="A1135" s="504"/>
      <c r="B1135" s="504"/>
      <c r="C1135" s="504"/>
      <c r="D1135" s="504"/>
      <c r="E1135" s="506"/>
      <c r="F1135" s="506"/>
      <c r="G1135" s="506"/>
      <c r="H1135" s="506"/>
      <c r="I1135" s="506"/>
      <c r="J1135" s="506"/>
      <c r="K1135" s="507"/>
      <c r="L1135" s="508"/>
      <c r="M1135" s="508"/>
      <c r="N1135" s="508"/>
      <c r="O1135" s="509"/>
      <c r="P1135" s="509"/>
    </row>
    <row r="1136" spans="1:16" ht="21.75" customHeight="1" x14ac:dyDescent="0.3">
      <c r="A1136" s="504"/>
      <c r="B1136" s="504"/>
      <c r="C1136" s="504"/>
      <c r="D1136" s="504"/>
      <c r="E1136" s="506"/>
      <c r="F1136" s="506"/>
      <c r="G1136" s="506"/>
      <c r="H1136" s="506"/>
      <c r="I1136" s="506"/>
      <c r="J1136" s="506"/>
      <c r="K1136" s="507"/>
      <c r="L1136" s="508"/>
      <c r="M1136" s="508"/>
      <c r="N1136" s="508"/>
      <c r="O1136" s="509"/>
      <c r="P1136" s="509"/>
    </row>
    <row r="1137" spans="1:16" ht="21.75" customHeight="1" x14ac:dyDescent="0.3">
      <c r="A1137" s="504"/>
      <c r="B1137" s="504"/>
      <c r="C1137" s="504"/>
      <c r="D1137" s="504"/>
      <c r="E1137" s="506"/>
      <c r="F1137" s="506"/>
      <c r="G1137" s="506"/>
      <c r="H1137" s="506"/>
      <c r="I1137" s="506"/>
      <c r="J1137" s="506"/>
      <c r="K1137" s="507"/>
      <c r="L1137" s="508"/>
      <c r="M1137" s="508"/>
      <c r="N1137" s="508"/>
      <c r="O1137" s="509"/>
      <c r="P1137" s="509"/>
    </row>
    <row r="1138" spans="1:16" ht="21.75" customHeight="1" x14ac:dyDescent="0.3">
      <c r="A1138" s="504"/>
      <c r="B1138" s="504"/>
      <c r="C1138" s="504"/>
      <c r="D1138" s="504"/>
      <c r="E1138" s="506"/>
      <c r="F1138" s="506"/>
      <c r="G1138" s="506"/>
      <c r="H1138" s="506"/>
      <c r="I1138" s="506"/>
      <c r="J1138" s="506"/>
      <c r="K1138" s="507"/>
      <c r="L1138" s="508"/>
      <c r="M1138" s="508"/>
      <c r="N1138" s="508"/>
      <c r="O1138" s="509"/>
      <c r="P1138" s="509"/>
    </row>
    <row r="1139" spans="1:16" ht="21.75" customHeight="1" x14ac:dyDescent="0.3">
      <c r="A1139" s="504"/>
      <c r="B1139" s="504"/>
      <c r="C1139" s="504"/>
      <c r="D1139" s="504"/>
      <c r="E1139" s="506"/>
      <c r="F1139" s="506"/>
      <c r="G1139" s="506"/>
      <c r="H1139" s="506"/>
      <c r="I1139" s="506"/>
      <c r="J1139" s="506"/>
      <c r="K1139" s="507"/>
      <c r="L1139" s="508"/>
      <c r="M1139" s="508"/>
      <c r="N1139" s="508"/>
      <c r="O1139" s="509"/>
      <c r="P1139" s="509"/>
    </row>
    <row r="1140" spans="1:16" ht="21.75" customHeight="1" x14ac:dyDescent="0.3">
      <c r="A1140" s="504"/>
      <c r="B1140" s="504"/>
      <c r="C1140" s="504"/>
      <c r="D1140" s="504"/>
      <c r="E1140" s="506"/>
      <c r="F1140" s="506"/>
      <c r="G1140" s="506"/>
      <c r="H1140" s="506"/>
      <c r="I1140" s="506"/>
      <c r="J1140" s="506"/>
      <c r="K1140" s="507"/>
      <c r="L1140" s="508"/>
      <c r="M1140" s="508"/>
      <c r="N1140" s="508"/>
      <c r="O1140" s="509"/>
      <c r="P1140" s="509"/>
    </row>
    <row r="1141" spans="1:16" ht="21.75" customHeight="1" x14ac:dyDescent="0.3">
      <c r="A1141" s="504"/>
      <c r="B1141" s="504"/>
      <c r="C1141" s="504"/>
      <c r="D1141" s="504"/>
      <c r="E1141" s="506"/>
      <c r="F1141" s="506"/>
      <c r="G1141" s="506"/>
      <c r="H1141" s="506"/>
      <c r="I1141" s="506"/>
      <c r="J1141" s="506"/>
      <c r="K1141" s="507"/>
      <c r="L1141" s="508"/>
      <c r="M1141" s="508"/>
      <c r="N1141" s="508"/>
      <c r="O1141" s="509"/>
      <c r="P1141" s="509"/>
    </row>
    <row r="1142" spans="1:16" ht="21.75" customHeight="1" x14ac:dyDescent="0.3">
      <c r="A1142" s="504"/>
      <c r="B1142" s="504"/>
      <c r="C1142" s="504"/>
      <c r="D1142" s="504"/>
      <c r="E1142" s="506"/>
      <c r="F1142" s="506"/>
      <c r="G1142" s="506"/>
      <c r="H1142" s="506"/>
      <c r="I1142" s="506"/>
      <c r="J1142" s="506"/>
      <c r="K1142" s="507"/>
      <c r="L1142" s="508"/>
      <c r="M1142" s="508"/>
      <c r="N1142" s="508"/>
      <c r="O1142" s="509"/>
      <c r="P1142" s="509"/>
    </row>
    <row r="1143" spans="1:16" ht="21.75" customHeight="1" x14ac:dyDescent="0.3">
      <c r="A1143" s="504"/>
      <c r="B1143" s="504"/>
      <c r="C1143" s="504"/>
      <c r="D1143" s="504"/>
      <c r="E1143" s="506"/>
      <c r="F1143" s="506"/>
      <c r="G1143" s="506"/>
      <c r="H1143" s="506"/>
      <c r="I1143" s="506"/>
      <c r="J1143" s="506"/>
      <c r="K1143" s="507"/>
      <c r="L1143" s="508"/>
      <c r="M1143" s="508"/>
      <c r="N1143" s="508"/>
      <c r="O1143" s="509"/>
      <c r="P1143" s="509"/>
    </row>
  </sheetData>
  <mergeCells count="49">
    <mergeCell ref="D310:G310"/>
    <mergeCell ref="D317:E317"/>
    <mergeCell ref="D329:G329"/>
    <mergeCell ref="D336:E336"/>
    <mergeCell ref="D140:G140"/>
    <mergeCell ref="D147:E147"/>
    <mergeCell ref="D220:G220"/>
    <mergeCell ref="D227:E227"/>
    <mergeCell ref="D250:G250"/>
    <mergeCell ref="D257:E257"/>
    <mergeCell ref="D271:G271"/>
    <mergeCell ref="D118:G118"/>
    <mergeCell ref="D125:E125"/>
    <mergeCell ref="D278:E278"/>
    <mergeCell ref="D290:G290"/>
    <mergeCell ref="D297:E297"/>
    <mergeCell ref="D60:E60"/>
    <mergeCell ref="D66:G66"/>
    <mergeCell ref="D73:E73"/>
    <mergeCell ref="D94:G94"/>
    <mergeCell ref="D101:E101"/>
    <mergeCell ref="D44:F44"/>
    <mergeCell ref="D48:E48"/>
    <mergeCell ref="B52:G52"/>
    <mergeCell ref="D53:G53"/>
    <mergeCell ref="D56:F56"/>
    <mergeCell ref="D31:F31"/>
    <mergeCell ref="D35:E35"/>
    <mergeCell ref="A38:G38"/>
    <mergeCell ref="B39:G39"/>
    <mergeCell ref="D41:G41"/>
    <mergeCell ref="D18:G18"/>
    <mergeCell ref="D21:F21"/>
    <mergeCell ref="D25:E25"/>
    <mergeCell ref="A27:G27"/>
    <mergeCell ref="D28:G28"/>
    <mergeCell ref="A7:G7"/>
    <mergeCell ref="D8:G8"/>
    <mergeCell ref="D11:F11"/>
    <mergeCell ref="D15:E15"/>
    <mergeCell ref="A17:G17"/>
    <mergeCell ref="H5:H6"/>
    <mergeCell ref="I5:K5"/>
    <mergeCell ref="L5:M5"/>
    <mergeCell ref="N5:P5"/>
    <mergeCell ref="A5:G6"/>
    <mergeCell ref="A1:P1"/>
    <mergeCell ref="A2:P2"/>
    <mergeCell ref="A3:P3"/>
  </mergeCells>
  <printOptions horizontalCentered="1"/>
  <pageMargins left="0.23622047244094491" right="0.27559055118110237" top="0.31496062992125984" bottom="0.39370078740157483" header="0" footer="0"/>
  <pageSetup paperSize="9" scale="39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46" max="16383" man="1"/>
    <brk id="326" max="16383" man="1"/>
    <brk id="400" max="16383" man="1"/>
    <brk id="486" max="16383" man="1"/>
    <brk id="563" max="16383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J7" sqref="J7"/>
      <selection pane="bottomLeft" activeCell="J569" sqref="J569"/>
    </sheetView>
  </sheetViews>
  <sheetFormatPr defaultColWidth="12.6640625" defaultRowHeight="15" customHeight="1" x14ac:dyDescent="0.3"/>
  <cols>
    <col min="1" max="3" width="2.75" customWidth="1"/>
    <col min="4" max="6" width="5" customWidth="1"/>
    <col min="7" max="7" width="70.9140625" customWidth="1"/>
    <col min="8" max="8" width="9.5" customWidth="1"/>
    <col min="9" max="10" width="13.9140625" customWidth="1"/>
    <col min="11" max="11" width="10.08203125" bestFit="1" customWidth="1"/>
    <col min="12" max="12" width="16.33203125" bestFit="1" customWidth="1"/>
    <col min="13" max="13" width="17.6640625" customWidth="1"/>
    <col min="14" max="14" width="19.5" customWidth="1"/>
    <col min="15" max="15" width="16.5" customWidth="1"/>
    <col min="16" max="16" width="18" customWidth="1"/>
  </cols>
  <sheetData>
    <row r="1" spans="1:16" ht="18" customHeight="1" x14ac:dyDescent="0.3">
      <c r="A1" s="512" t="s">
        <v>0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</row>
    <row r="2" spans="1:16" ht="18" customHeight="1" x14ac:dyDescent="0.3">
      <c r="A2" s="512" t="s">
        <v>250</v>
      </c>
      <c r="B2" s="512"/>
      <c r="C2" s="512"/>
      <c r="D2" s="512"/>
      <c r="E2" s="512"/>
      <c r="F2" s="512"/>
      <c r="G2" s="512"/>
      <c r="H2" s="512"/>
      <c r="I2" s="512"/>
      <c r="J2" s="512"/>
      <c r="K2" s="512"/>
      <c r="L2" s="512"/>
      <c r="M2" s="512"/>
      <c r="N2" s="512"/>
      <c r="O2" s="512"/>
      <c r="P2" s="512"/>
    </row>
    <row r="3" spans="1:16" ht="18" customHeight="1" x14ac:dyDescent="0.3">
      <c r="A3" s="512" t="s">
        <v>272</v>
      </c>
      <c r="B3" s="512"/>
      <c r="C3" s="512"/>
      <c r="D3" s="512"/>
      <c r="E3" s="512"/>
      <c r="F3" s="512"/>
      <c r="G3" s="512"/>
      <c r="H3" s="512"/>
      <c r="I3" s="512"/>
      <c r="J3" s="512"/>
      <c r="K3" s="512"/>
      <c r="L3" s="512"/>
      <c r="M3" s="512"/>
      <c r="N3" s="512"/>
      <c r="O3" s="512"/>
      <c r="P3" s="512"/>
    </row>
    <row r="4" spans="1:16" ht="33.75" customHeight="1" x14ac:dyDescent="0.3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3">
      <c r="A5" s="520" t="s">
        <v>2</v>
      </c>
      <c r="B5" s="521"/>
      <c r="C5" s="521"/>
      <c r="D5" s="521"/>
      <c r="E5" s="521"/>
      <c r="F5" s="521"/>
      <c r="G5" s="522"/>
      <c r="H5" s="513" t="s">
        <v>3</v>
      </c>
      <c r="I5" s="515" t="s">
        <v>4</v>
      </c>
      <c r="J5" s="516"/>
      <c r="K5" s="517"/>
      <c r="L5" s="518" t="s">
        <v>5</v>
      </c>
      <c r="M5" s="517"/>
      <c r="N5" s="519" t="s">
        <v>6</v>
      </c>
      <c r="O5" s="516"/>
      <c r="P5" s="517"/>
    </row>
    <row r="6" spans="1:16" ht="21.75" customHeight="1" x14ac:dyDescent="0.3">
      <c r="A6" s="523"/>
      <c r="B6" s="524"/>
      <c r="C6" s="524"/>
      <c r="D6" s="524"/>
      <c r="E6" s="524"/>
      <c r="F6" s="524"/>
      <c r="G6" s="525"/>
      <c r="H6" s="514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45">
      <c r="A7" s="526" t="s">
        <v>15</v>
      </c>
      <c r="B7" s="516"/>
      <c r="C7" s="516"/>
      <c r="D7" s="516"/>
      <c r="E7" s="516"/>
      <c r="F7" s="516"/>
      <c r="G7" s="517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45">
      <c r="A8" s="17"/>
      <c r="B8" s="18"/>
      <c r="C8" s="19" t="s">
        <v>16</v>
      </c>
      <c r="D8" s="527" t="s">
        <v>17</v>
      </c>
      <c r="E8" s="528"/>
      <c r="F8" s="528"/>
      <c r="G8" s="528"/>
      <c r="H8" s="20" t="s">
        <v>12</v>
      </c>
      <c r="I8" s="21"/>
      <c r="J8" s="21"/>
      <c r="K8" s="22"/>
      <c r="L8" s="23">
        <f t="shared" ref="L8:N8" ca="1" si="0">L9+L10</f>
        <v>6304111</v>
      </c>
      <c r="M8" s="23">
        <f t="shared" ca="1" si="0"/>
        <v>2259755</v>
      </c>
      <c r="N8" s="23">
        <f t="shared" ca="1" si="0"/>
        <v>2223614.09</v>
      </c>
      <c r="O8" s="22">
        <f t="shared" ref="O8:O16" ca="1" si="1">IF(L8&gt;0,N8*100/L8,0)</f>
        <v>35.272445075919507</v>
      </c>
      <c r="P8" s="22">
        <f t="shared" ref="P8:P16" ca="1" si="2">IF(M8&gt;0,N8*100/M8,0)</f>
        <v>98.400671311712998</v>
      </c>
    </row>
    <row r="9" spans="1:16" ht="21.75" customHeight="1" x14ac:dyDescent="0.45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45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6304111</v>
      </c>
      <c r="M10" s="30">
        <f t="shared" ca="1" si="4"/>
        <v>2259755</v>
      </c>
      <c r="N10" s="30">
        <f t="shared" ca="1" si="4"/>
        <v>2223614.09</v>
      </c>
      <c r="O10" s="29">
        <f t="shared" ca="1" si="1"/>
        <v>35.272445075919507</v>
      </c>
      <c r="P10" s="29">
        <f t="shared" ca="1" si="2"/>
        <v>98.400671311712998</v>
      </c>
    </row>
    <row r="11" spans="1:16" ht="21.75" customHeight="1" x14ac:dyDescent="0.45">
      <c r="A11" s="31"/>
      <c r="B11" s="32"/>
      <c r="C11" s="33" t="s">
        <v>16</v>
      </c>
      <c r="D11" s="529" t="s">
        <v>20</v>
      </c>
      <c r="E11" s="530"/>
      <c r="F11" s="530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45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5912311</v>
      </c>
      <c r="M12" s="38">
        <f t="shared" ca="1" si="6"/>
        <v>1867955</v>
      </c>
      <c r="N12" s="38">
        <f t="shared" ca="1" si="6"/>
        <v>1831814.0899999999</v>
      </c>
      <c r="O12" s="38">
        <f t="shared" ca="1" si="1"/>
        <v>30.983046899934731</v>
      </c>
      <c r="P12" s="38">
        <f t="shared" ca="1" si="2"/>
        <v>98.06521516845963</v>
      </c>
    </row>
    <row r="13" spans="1:16" ht="21.75" customHeight="1" x14ac:dyDescent="0.45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1732200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45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4180111</v>
      </c>
      <c r="M14" s="38">
        <f t="shared" si="8"/>
        <v>0</v>
      </c>
      <c r="N14" s="38">
        <f t="shared" ca="1" si="8"/>
        <v>513203.08999999985</v>
      </c>
      <c r="O14" s="38">
        <f t="shared" ca="1" si="1"/>
        <v>12.277259862238104</v>
      </c>
      <c r="P14" s="38">
        <f t="shared" si="2"/>
        <v>0</v>
      </c>
    </row>
    <row r="15" spans="1:16" ht="21.75" customHeight="1" x14ac:dyDescent="0.45">
      <c r="A15" s="31"/>
      <c r="B15" s="32"/>
      <c r="C15" s="33" t="s">
        <v>16</v>
      </c>
      <c r="D15" s="529" t="s">
        <v>23</v>
      </c>
      <c r="E15" s="530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45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391800</v>
      </c>
      <c r="M16" s="38">
        <f t="shared" ca="1" si="10"/>
        <v>391800</v>
      </c>
      <c r="N16" s="38">
        <f t="shared" ca="1" si="10"/>
        <v>391800</v>
      </c>
      <c r="O16" s="49">
        <f t="shared" ca="1" si="1"/>
        <v>100</v>
      </c>
      <c r="P16" s="49">
        <f t="shared" ca="1" si="2"/>
        <v>100</v>
      </c>
    </row>
    <row r="17" spans="1:16" ht="21.75" customHeight="1" x14ac:dyDescent="0.45">
      <c r="A17" s="526" t="s">
        <v>24</v>
      </c>
      <c r="B17" s="516"/>
      <c r="C17" s="516"/>
      <c r="D17" s="516"/>
      <c r="E17" s="516"/>
      <c r="F17" s="516"/>
      <c r="G17" s="517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45">
      <c r="A18" s="17"/>
      <c r="B18" s="18"/>
      <c r="C18" s="19" t="s">
        <v>16</v>
      </c>
      <c r="D18" s="527" t="s">
        <v>17</v>
      </c>
      <c r="E18" s="528"/>
      <c r="F18" s="528"/>
      <c r="G18" s="528"/>
      <c r="H18" s="20" t="s">
        <v>12</v>
      </c>
      <c r="I18" s="21"/>
      <c r="J18" s="21"/>
      <c r="K18" s="22"/>
      <c r="L18" s="23">
        <f t="shared" ref="L18:N18" ca="1" si="11">L19+L20</f>
        <v>3768875</v>
      </c>
      <c r="M18" s="23">
        <f t="shared" ca="1" si="11"/>
        <v>2259755</v>
      </c>
      <c r="N18" s="23">
        <f t="shared" ca="1" si="11"/>
        <v>1710411</v>
      </c>
      <c r="O18" s="22">
        <f t="shared" ref="O18:O20" ca="1" si="12">IF(L18&gt;0,N18*100/L18,0)</f>
        <v>45.382534575967632</v>
      </c>
      <c r="P18" s="22">
        <f t="shared" ref="P18:P26" ca="1" si="13">IF(M18&gt;0,N18*100/M18,0)</f>
        <v>75.690107998433461</v>
      </c>
    </row>
    <row r="19" spans="1:16" ht="21.75" customHeight="1" x14ac:dyDescent="0.45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45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3768875</v>
      </c>
      <c r="M20" s="30">
        <f t="shared" ca="1" si="15"/>
        <v>2259755</v>
      </c>
      <c r="N20" s="30">
        <f t="shared" ca="1" si="15"/>
        <v>1710411</v>
      </c>
      <c r="O20" s="29">
        <f t="shared" ca="1" si="12"/>
        <v>45.382534575967632</v>
      </c>
      <c r="P20" s="29">
        <f t="shared" ca="1" si="13"/>
        <v>75.690107998433461</v>
      </c>
    </row>
    <row r="21" spans="1:16" ht="21.75" customHeight="1" x14ac:dyDescent="0.45">
      <c r="A21" s="31"/>
      <c r="B21" s="32"/>
      <c r="C21" s="33" t="s">
        <v>16</v>
      </c>
      <c r="D21" s="529" t="s">
        <v>20</v>
      </c>
      <c r="E21" s="530"/>
      <c r="F21" s="530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45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3377075</v>
      </c>
      <c r="M22" s="41">
        <f t="shared" ca="1" si="18"/>
        <v>1867955</v>
      </c>
      <c r="N22" s="38">
        <f t="shared" ca="1" si="18"/>
        <v>1318611</v>
      </c>
      <c r="O22" s="38">
        <f t="shared" ca="1" si="17"/>
        <v>39.045949527327643</v>
      </c>
      <c r="P22" s="38">
        <f t="shared" ca="1" si="13"/>
        <v>70.591154497833188</v>
      </c>
    </row>
    <row r="23" spans="1:16" ht="21.75" customHeight="1" x14ac:dyDescent="0.45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1732200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45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1644875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45">
      <c r="A25" s="31"/>
      <c r="B25" s="32"/>
      <c r="C25" s="33" t="s">
        <v>16</v>
      </c>
      <c r="D25" s="529" t="s">
        <v>23</v>
      </c>
      <c r="E25" s="530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45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391800</v>
      </c>
      <c r="M26" s="49">
        <f t="shared" ca="1" si="22"/>
        <v>391800</v>
      </c>
      <c r="N26" s="49">
        <f t="shared" ca="1" si="22"/>
        <v>391800</v>
      </c>
      <c r="O26" s="49">
        <f t="shared" ca="1" si="17"/>
        <v>100</v>
      </c>
      <c r="P26" s="49">
        <f t="shared" ca="1" si="13"/>
        <v>100</v>
      </c>
    </row>
    <row r="27" spans="1:16" ht="21.75" customHeight="1" x14ac:dyDescent="0.45">
      <c r="A27" s="526" t="s">
        <v>25</v>
      </c>
      <c r="B27" s="516"/>
      <c r="C27" s="516"/>
      <c r="D27" s="516"/>
      <c r="E27" s="516"/>
      <c r="F27" s="516"/>
      <c r="G27" s="517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45">
      <c r="A28" s="17"/>
      <c r="B28" s="18"/>
      <c r="C28" s="19" t="s">
        <v>16</v>
      </c>
      <c r="D28" s="527" t="s">
        <v>17</v>
      </c>
      <c r="E28" s="528"/>
      <c r="F28" s="528"/>
      <c r="G28" s="528"/>
      <c r="H28" s="20" t="s">
        <v>12</v>
      </c>
      <c r="I28" s="21"/>
      <c r="J28" s="21"/>
      <c r="K28" s="22"/>
      <c r="L28" s="23">
        <f t="shared" ref="L28:N28" ca="1" si="23">L29+L30</f>
        <v>2535236</v>
      </c>
      <c r="M28" s="23">
        <f t="shared" si="23"/>
        <v>0</v>
      </c>
      <c r="N28" s="23">
        <f t="shared" ca="1" si="23"/>
        <v>513203.08999999985</v>
      </c>
      <c r="O28" s="22">
        <f t="shared" ref="O28:O30" ca="1" si="24">IF(L28&gt;0,N28*100/L28,0)</f>
        <v>20.242813292332542</v>
      </c>
      <c r="P28" s="22">
        <f t="shared" ref="P28:P37" si="25">IF(M28&gt;0,N28*100/M28,0)</f>
        <v>0</v>
      </c>
    </row>
    <row r="29" spans="1:16" ht="21.75" customHeight="1" x14ac:dyDescent="0.45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45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2535236</v>
      </c>
      <c r="M30" s="30">
        <f t="shared" si="27"/>
        <v>0</v>
      </c>
      <c r="N30" s="30">
        <f t="shared" ca="1" si="27"/>
        <v>513203.08999999985</v>
      </c>
      <c r="O30" s="29">
        <f t="shared" ca="1" si="24"/>
        <v>20.242813292332542</v>
      </c>
      <c r="P30" s="29">
        <f t="shared" si="25"/>
        <v>0</v>
      </c>
    </row>
    <row r="31" spans="1:16" ht="21.75" customHeight="1" x14ac:dyDescent="0.45">
      <c r="A31" s="31"/>
      <c r="B31" s="32"/>
      <c r="C31" s="33" t="s">
        <v>16</v>
      </c>
      <c r="D31" s="529" t="s">
        <v>20</v>
      </c>
      <c r="E31" s="530"/>
      <c r="F31" s="530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45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2535236</v>
      </c>
      <c r="M32" s="38">
        <f t="shared" si="30"/>
        <v>0</v>
      </c>
      <c r="N32" s="38">
        <f t="shared" ca="1" si="30"/>
        <v>513203.08999999985</v>
      </c>
      <c r="O32" s="38">
        <f t="shared" ca="1" si="29"/>
        <v>20.242813292332542</v>
      </c>
      <c r="P32" s="38">
        <f t="shared" si="25"/>
        <v>0</v>
      </c>
    </row>
    <row r="33" spans="1:16" ht="21.75" customHeight="1" x14ac:dyDescent="0.45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45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2535236</v>
      </c>
      <c r="M34" s="38">
        <f t="shared" si="32"/>
        <v>0</v>
      </c>
      <c r="N34" s="38">
        <f t="shared" ca="1" si="32"/>
        <v>513203.08999999985</v>
      </c>
      <c r="O34" s="38">
        <f t="shared" ca="1" si="29"/>
        <v>20.242813292332542</v>
      </c>
      <c r="P34" s="38">
        <f t="shared" si="25"/>
        <v>0</v>
      </c>
    </row>
    <row r="35" spans="1:16" ht="21.75" customHeight="1" x14ac:dyDescent="0.45">
      <c r="A35" s="31"/>
      <c r="B35" s="32"/>
      <c r="C35" s="33" t="s">
        <v>16</v>
      </c>
      <c r="D35" s="529" t="s">
        <v>23</v>
      </c>
      <c r="E35" s="530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45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3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3768875</v>
      </c>
      <c r="M37" s="54">
        <f t="shared" ca="1" si="33"/>
        <v>2259755</v>
      </c>
      <c r="N37" s="54">
        <f t="shared" ca="1" si="33"/>
        <v>1710411</v>
      </c>
      <c r="O37" s="55">
        <f t="shared" ca="1" si="29"/>
        <v>45.382534575967632</v>
      </c>
      <c r="P37" s="55">
        <f t="shared" ca="1" si="25"/>
        <v>75.690107998433461</v>
      </c>
    </row>
    <row r="38" spans="1:16" ht="21.75" customHeight="1" x14ac:dyDescent="0.45">
      <c r="A38" s="531" t="s">
        <v>27</v>
      </c>
      <c r="B38" s="516"/>
      <c r="C38" s="516"/>
      <c r="D38" s="516"/>
      <c r="E38" s="516"/>
      <c r="F38" s="516"/>
      <c r="G38" s="517"/>
      <c r="H38" s="56"/>
      <c r="I38" s="57"/>
      <c r="J38" s="57"/>
      <c r="K38" s="58"/>
      <c r="L38" s="59"/>
      <c r="M38" s="59"/>
      <c r="N38" s="59"/>
      <c r="O38" s="59"/>
      <c r="P38" s="59"/>
    </row>
    <row r="39" spans="1:16" ht="21.75" customHeight="1" x14ac:dyDescent="0.45">
      <c r="A39" s="60"/>
      <c r="B39" s="532" t="s">
        <v>28</v>
      </c>
      <c r="C39" s="528"/>
      <c r="D39" s="528"/>
      <c r="E39" s="528"/>
      <c r="F39" s="528"/>
      <c r="G39" s="528"/>
      <c r="H39" s="61"/>
      <c r="I39" s="62"/>
      <c r="J39" s="62"/>
      <c r="K39" s="63"/>
      <c r="L39" s="64"/>
      <c r="M39" s="64"/>
      <c r="N39" s="64"/>
      <c r="O39" s="63"/>
      <c r="P39" s="63"/>
    </row>
    <row r="40" spans="1:16" ht="21.75" customHeight="1" x14ac:dyDescent="0.45">
      <c r="A40" s="65"/>
      <c r="B40" s="66" t="s">
        <v>29</v>
      </c>
      <c r="C40" s="67"/>
      <c r="D40" s="67"/>
      <c r="E40" s="67"/>
      <c r="F40" s="67"/>
      <c r="G40" s="67"/>
      <c r="H40" s="68"/>
      <c r="I40" s="69"/>
      <c r="J40" s="69"/>
      <c r="K40" s="70"/>
      <c r="L40" s="71"/>
      <c r="M40" s="71"/>
      <c r="N40" s="71"/>
      <c r="O40" s="70"/>
      <c r="P40" s="70"/>
    </row>
    <row r="41" spans="1:16" ht="21.75" customHeight="1" x14ac:dyDescent="0.45">
      <c r="A41" s="72"/>
      <c r="B41" s="73"/>
      <c r="C41" s="74" t="s">
        <v>16</v>
      </c>
      <c r="D41" s="533" t="s">
        <v>17</v>
      </c>
      <c r="E41" s="530"/>
      <c r="F41" s="530"/>
      <c r="G41" s="530"/>
      <c r="H41" s="75" t="s">
        <v>12</v>
      </c>
      <c r="I41" s="76"/>
      <c r="J41" s="76"/>
      <c r="K41" s="77"/>
      <c r="L41" s="78">
        <f t="shared" ref="L41:N41" ca="1" si="34">L42+L43</f>
        <v>811700</v>
      </c>
      <c r="M41" s="78">
        <f t="shared" ca="1" si="34"/>
        <v>501900</v>
      </c>
      <c r="N41" s="78">
        <f t="shared" ca="1" si="34"/>
        <v>414867</v>
      </c>
      <c r="O41" s="77">
        <f t="shared" ref="O41:O43" ca="1" si="35">IF(L41&gt;0,N41*100/L41,0)</f>
        <v>51.110878403350995</v>
      </c>
      <c r="P41" s="77">
        <f t="shared" ref="P41:P43" ca="1" si="36">IF(M41&gt;0,N41*100/M41,0)</f>
        <v>82.659294680215183</v>
      </c>
    </row>
    <row r="42" spans="1:16" ht="21.75" customHeight="1" x14ac:dyDescent="0.45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45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811700</v>
      </c>
      <c r="M43" s="78">
        <f t="shared" ca="1" si="38"/>
        <v>501900</v>
      </c>
      <c r="N43" s="78">
        <f t="shared" ca="1" si="38"/>
        <v>414867</v>
      </c>
      <c r="O43" s="77">
        <f t="shared" ca="1" si="35"/>
        <v>51.110878403350995</v>
      </c>
      <c r="P43" s="77">
        <f t="shared" ca="1" si="36"/>
        <v>82.659294680215183</v>
      </c>
    </row>
    <row r="44" spans="1:16" ht="21.75" customHeight="1" x14ac:dyDescent="0.45">
      <c r="A44" s="79"/>
      <c r="B44" s="80"/>
      <c r="C44" s="81" t="s">
        <v>16</v>
      </c>
      <c r="D44" s="534" t="s">
        <v>20</v>
      </c>
      <c r="E44" s="530"/>
      <c r="F44" s="530"/>
      <c r="G44" s="82" t="s">
        <v>18</v>
      </c>
      <c r="H44" s="83" t="s">
        <v>12</v>
      </c>
      <c r="I44" s="84"/>
      <c r="J44" s="84"/>
      <c r="K44" s="85"/>
      <c r="L44" s="86">
        <v>0</v>
      </c>
      <c r="M44" s="510"/>
      <c r="N44" s="511"/>
      <c r="O44" s="511"/>
      <c r="P44" s="511"/>
    </row>
    <row r="45" spans="1:16" ht="21.75" customHeight="1" x14ac:dyDescent="0.45">
      <c r="A45" s="79"/>
      <c r="B45" s="80"/>
      <c r="C45" s="80"/>
      <c r="D45" s="80"/>
      <c r="E45" s="88"/>
      <c r="F45" s="89"/>
      <c r="G45" s="82" t="s">
        <v>19</v>
      </c>
      <c r="H45" s="83" t="s">
        <v>12</v>
      </c>
      <c r="I45" s="84"/>
      <c r="J45" s="84"/>
      <c r="K45" s="85"/>
      <c r="L45" s="38">
        <f ca="1">L46+L47</f>
        <v>619700</v>
      </c>
      <c r="M45" s="49">
        <f ca="1">IFERROR(__xludf.DUMMYFUNCTION("IMPORTRANGE(""https://docs.google.com/spreadsheets/d/1Yj_ptqi66GCucihVvJfMjLAmec39IyEx_6qawtMGysU/edit?usp=sharing"",""สบก!Q26"")"),309900)</f>
        <v>309900</v>
      </c>
      <c r="N45" s="49">
        <f ca="1">IFERROR(__xludf.DUMMYFUNCTION("IMPORTRANGE(""https://docs.google.com/spreadsheets/d/1Yj_ptqi66GCucihVvJfMjLAmec39IyEx_6qawtMGysU/edit?usp=sharing"",""สบก!R26"")"),222867)</f>
        <v>222867</v>
      </c>
      <c r="O45" s="38">
        <f ca="1">IF(L45&gt;0,N45*100/L45,0)</f>
        <v>35.963692109085038</v>
      </c>
      <c r="P45" s="38">
        <f ca="1">IF(M45&gt;0,N45*100/M45,0)</f>
        <v>71.915779283639878</v>
      </c>
    </row>
    <row r="46" spans="1:16" ht="21.75" customHeight="1" x14ac:dyDescent="0.45">
      <c r="A46" s="79"/>
      <c r="B46" s="80"/>
      <c r="C46" s="80"/>
      <c r="D46" s="80"/>
      <c r="E46" s="88"/>
      <c r="F46" s="88"/>
      <c r="G46" s="82" t="s">
        <v>21</v>
      </c>
      <c r="H46" s="83" t="s">
        <v>12</v>
      </c>
      <c r="I46" s="84"/>
      <c r="J46" s="84"/>
      <c r="K46" s="85"/>
      <c r="L46" s="49">
        <f ca="1">IFERROR(__xludf.DUMMYFUNCTION("IMPORTRANGE(""https://docs.google.com/spreadsheets/d/1Yj_ptqi66GCucihVvJfMjLAmec39IyEx_6qawtMGysU/edit?usp=sharing"",""สบก!M26"")"),619700)</f>
        <v>619700</v>
      </c>
      <c r="M46" s="41"/>
      <c r="N46" s="38"/>
      <c r="O46" s="38"/>
      <c r="P46" s="38"/>
    </row>
    <row r="47" spans="1:16" ht="21.75" customHeight="1" x14ac:dyDescent="0.45">
      <c r="A47" s="79"/>
      <c r="B47" s="80"/>
      <c r="C47" s="80"/>
      <c r="D47" s="80"/>
      <c r="E47" s="88"/>
      <c r="F47" s="88"/>
      <c r="G47" s="82" t="s">
        <v>22</v>
      </c>
      <c r="H47" s="83" t="s">
        <v>12</v>
      </c>
      <c r="I47" s="84"/>
      <c r="J47" s="84"/>
      <c r="K47" s="85"/>
      <c r="L47" s="49">
        <f ca="1">IFERROR(__xludf.DUMMYFUNCTION("IMPORTRANGE(""https://docs.google.com/spreadsheets/d/1Yj_ptqi66GCucihVvJfMjLAmec39IyEx_6qawtMGysU/edit?usp=sharing"",""สบก!N26"")"),0)</f>
        <v>0</v>
      </c>
      <c r="M47" s="41"/>
      <c r="N47" s="38"/>
      <c r="O47" s="38"/>
      <c r="P47" s="38"/>
    </row>
    <row r="48" spans="1:16" ht="21.75" customHeight="1" x14ac:dyDescent="0.45">
      <c r="A48" s="79"/>
      <c r="B48" s="80"/>
      <c r="C48" s="81" t="s">
        <v>16</v>
      </c>
      <c r="D48" s="534" t="s">
        <v>23</v>
      </c>
      <c r="E48" s="530"/>
      <c r="F48" s="88"/>
      <c r="G48" s="82" t="s">
        <v>18</v>
      </c>
      <c r="H48" s="83" t="s">
        <v>12</v>
      </c>
      <c r="I48" s="84"/>
      <c r="J48" s="84"/>
      <c r="K48" s="85"/>
      <c r="L48" s="50">
        <v>0</v>
      </c>
      <c r="M48" s="41"/>
      <c r="N48" s="41"/>
      <c r="O48" s="41"/>
      <c r="P48" s="41"/>
    </row>
    <row r="49" spans="1:16" ht="21.75" customHeight="1" x14ac:dyDescent="0.45">
      <c r="A49" s="90"/>
      <c r="B49" s="91"/>
      <c r="C49" s="91"/>
      <c r="D49" s="91"/>
      <c r="E49" s="92"/>
      <c r="F49" s="92"/>
      <c r="G49" s="93" t="s">
        <v>19</v>
      </c>
      <c r="H49" s="94" t="s">
        <v>12</v>
      </c>
      <c r="I49" s="95"/>
      <c r="J49" s="95"/>
      <c r="K49" s="96"/>
      <c r="L49" s="49">
        <f ca="1">IFERROR(__xludf.DUMMYFUNCTION("IMPORTRANGE(""https://docs.google.com/spreadsheets/d/1Yj_ptqi66GCucihVvJfMjLAmec39IyEx_6qawtMGysU/edit?usp=sharing"",""สบก!O26"")"),192000)</f>
        <v>192000</v>
      </c>
      <c r="M49" s="49">
        <f ca="1">L49</f>
        <v>192000</v>
      </c>
      <c r="N49" s="49">
        <f ca="1">IFERROR(__xludf.DUMMYFUNCTION("IMPORTRANGE(""https://docs.google.com/spreadsheets/d/1Yj_ptqi66GCucihVvJfMjLAmec39IyEx_6qawtMGysU/edit?usp=sharing"",""สบก!S26"")"),192000)</f>
        <v>192000</v>
      </c>
      <c r="O49" s="49">
        <f ca="1">IF(L49&gt;0,N49*100/L49,0)</f>
        <v>100</v>
      </c>
      <c r="P49" s="49">
        <f ca="1">IF(M49&gt;0,N49*100/M49,0)</f>
        <v>100</v>
      </c>
    </row>
    <row r="50" spans="1:16" ht="21.75" customHeight="1" x14ac:dyDescent="0.45">
      <c r="A50" s="97" t="s">
        <v>30</v>
      </c>
      <c r="B50" s="98"/>
      <c r="C50" s="98"/>
      <c r="D50" s="98"/>
      <c r="E50" s="98"/>
      <c r="F50" s="98"/>
      <c r="G50" s="98"/>
      <c r="H50" s="99"/>
      <c r="I50" s="100"/>
      <c r="J50" s="100"/>
      <c r="K50" s="101"/>
      <c r="L50" s="102"/>
      <c r="M50" s="102"/>
      <c r="N50" s="102"/>
      <c r="O50" s="101"/>
      <c r="P50" s="101"/>
    </row>
    <row r="51" spans="1:16" ht="21.75" customHeight="1" x14ac:dyDescent="0.45">
      <c r="A51" s="103"/>
      <c r="B51" s="104" t="s">
        <v>31</v>
      </c>
      <c r="C51" s="104"/>
      <c r="D51" s="104"/>
      <c r="E51" s="104"/>
      <c r="F51" s="104"/>
      <c r="G51" s="104"/>
      <c r="H51" s="105"/>
      <c r="I51" s="106"/>
      <c r="J51" s="106"/>
      <c r="K51" s="107"/>
      <c r="L51" s="108"/>
      <c r="M51" s="108"/>
      <c r="N51" s="108"/>
      <c r="O51" s="107"/>
      <c r="P51" s="107"/>
    </row>
    <row r="52" spans="1:16" ht="21.75" customHeight="1" x14ac:dyDescent="0.45">
      <c r="A52" s="109"/>
      <c r="B52" s="535" t="s">
        <v>32</v>
      </c>
      <c r="C52" s="530"/>
      <c r="D52" s="530"/>
      <c r="E52" s="530"/>
      <c r="F52" s="530"/>
      <c r="G52" s="530"/>
      <c r="H52" s="110"/>
      <c r="I52" s="111"/>
      <c r="J52" s="111"/>
      <c r="K52" s="112"/>
      <c r="L52" s="113"/>
      <c r="M52" s="113"/>
      <c r="N52" s="113"/>
      <c r="O52" s="112"/>
      <c r="P52" s="112"/>
    </row>
    <row r="53" spans="1:16" ht="21.75" customHeight="1" x14ac:dyDescent="0.45">
      <c r="A53" s="114"/>
      <c r="B53" s="115"/>
      <c r="C53" s="116" t="s">
        <v>16</v>
      </c>
      <c r="D53" s="536" t="s">
        <v>17</v>
      </c>
      <c r="E53" s="530"/>
      <c r="F53" s="530"/>
      <c r="G53" s="530"/>
      <c r="H53" s="117" t="s">
        <v>12</v>
      </c>
      <c r="I53" s="118"/>
      <c r="J53" s="118"/>
      <c r="K53" s="119"/>
      <c r="L53" s="120">
        <f t="shared" ref="L53:N53" ca="1" si="39">L54+L55</f>
        <v>456000</v>
      </c>
      <c r="M53" s="120">
        <f t="shared" ca="1" si="39"/>
        <v>241500</v>
      </c>
      <c r="N53" s="120">
        <f t="shared" ca="1" si="39"/>
        <v>189657</v>
      </c>
      <c r="O53" s="119">
        <f t="shared" ref="O53:O55" ca="1" si="40">IF(L53&gt;0,N53*100/L53,0)</f>
        <v>41.591447368421051</v>
      </c>
      <c r="P53" s="119">
        <f t="shared" ref="P53:P55" ca="1" si="41">IF(M53&gt;0,N53*100/M53,0)</f>
        <v>78.532919254658381</v>
      </c>
    </row>
    <row r="54" spans="1:16" ht="21.75" customHeight="1" x14ac:dyDescent="0.45">
      <c r="A54" s="114"/>
      <c r="B54" s="115"/>
      <c r="C54" s="115"/>
      <c r="D54" s="115"/>
      <c r="E54" s="115"/>
      <c r="F54" s="115"/>
      <c r="G54" s="116" t="s">
        <v>18</v>
      </c>
      <c r="H54" s="117" t="s">
        <v>12</v>
      </c>
      <c r="I54" s="118"/>
      <c r="J54" s="118"/>
      <c r="K54" s="119"/>
      <c r="L54" s="120">
        <f t="shared" ref="L54:N54" si="42">L56+L60</f>
        <v>0</v>
      </c>
      <c r="M54" s="120">
        <f t="shared" si="42"/>
        <v>0</v>
      </c>
      <c r="N54" s="120">
        <f t="shared" si="42"/>
        <v>0</v>
      </c>
      <c r="O54" s="119">
        <f t="shared" si="40"/>
        <v>0</v>
      </c>
      <c r="P54" s="119">
        <f t="shared" si="41"/>
        <v>0</v>
      </c>
    </row>
    <row r="55" spans="1:16" ht="21.75" customHeight="1" x14ac:dyDescent="0.45">
      <c r="A55" s="114"/>
      <c r="B55" s="115"/>
      <c r="C55" s="115"/>
      <c r="D55" s="115"/>
      <c r="E55" s="115"/>
      <c r="F55" s="115"/>
      <c r="G55" s="116" t="s">
        <v>19</v>
      </c>
      <c r="H55" s="117" t="s">
        <v>12</v>
      </c>
      <c r="I55" s="118"/>
      <c r="J55" s="118"/>
      <c r="K55" s="119"/>
      <c r="L55" s="120">
        <f t="shared" ref="L55:N55" ca="1" si="43">L57+L61</f>
        <v>456000</v>
      </c>
      <c r="M55" s="120">
        <f t="shared" ca="1" si="43"/>
        <v>241500</v>
      </c>
      <c r="N55" s="120">
        <f t="shared" ca="1" si="43"/>
        <v>189657</v>
      </c>
      <c r="O55" s="119">
        <f t="shared" ca="1" si="40"/>
        <v>41.591447368421051</v>
      </c>
      <c r="P55" s="119">
        <f t="shared" ca="1" si="41"/>
        <v>78.532919254658381</v>
      </c>
    </row>
    <row r="56" spans="1:16" ht="21.75" customHeight="1" x14ac:dyDescent="0.45">
      <c r="A56" s="79"/>
      <c r="B56" s="80"/>
      <c r="C56" s="81" t="s">
        <v>16</v>
      </c>
      <c r="D56" s="534" t="s">
        <v>20</v>
      </c>
      <c r="E56" s="530"/>
      <c r="F56" s="530"/>
      <c r="G56" s="82" t="s">
        <v>18</v>
      </c>
      <c r="H56" s="83" t="s">
        <v>12</v>
      </c>
      <c r="I56" s="84"/>
      <c r="J56" s="84"/>
      <c r="K56" s="85"/>
      <c r="L56" s="511">
        <v>0</v>
      </c>
      <c r="M56" s="510"/>
      <c r="N56" s="511"/>
      <c r="O56" s="511"/>
      <c r="P56" s="511"/>
    </row>
    <row r="57" spans="1:16" ht="21.75" customHeight="1" x14ac:dyDescent="0.45">
      <c r="A57" s="79"/>
      <c r="B57" s="80"/>
      <c r="C57" s="80"/>
      <c r="D57" s="80"/>
      <c r="E57" s="88"/>
      <c r="F57" s="89"/>
      <c r="G57" s="82" t="s">
        <v>19</v>
      </c>
      <c r="H57" s="83" t="s">
        <v>12</v>
      </c>
      <c r="I57" s="84"/>
      <c r="J57" s="84"/>
      <c r="K57" s="85"/>
      <c r="L57" s="38">
        <f ca="1">L58+L59</f>
        <v>456000</v>
      </c>
      <c r="M57" s="49">
        <f ca="1">IFERROR(__xludf.DUMMYFUNCTION("IMPORTRANGE(""https://docs.google.com/spreadsheets/d/1Yj_ptqi66GCucihVvJfMjLAmec39IyEx_6qawtMGysU/edit?usp=sharing"",""สบก!Z26"")"),241500)</f>
        <v>241500</v>
      </c>
      <c r="N57" s="49">
        <f ca="1">IFERROR(__xludf.DUMMYFUNCTION("IMPORTRANGE(""https://docs.google.com/spreadsheets/d/1Yj_ptqi66GCucihVvJfMjLAmec39IyEx_6qawtMGysU/edit?usp=sharing"",""สบก!AA26"")"),189657)</f>
        <v>189657</v>
      </c>
      <c r="O57" s="38">
        <f ca="1">IF(L57&gt;0,N57*100/L57,0)</f>
        <v>41.591447368421051</v>
      </c>
      <c r="P57" s="38">
        <f ca="1">IF(M57&gt;0,N57*100/M57,0)</f>
        <v>78.532919254658381</v>
      </c>
    </row>
    <row r="58" spans="1:16" ht="21.75" customHeight="1" x14ac:dyDescent="0.45">
      <c r="A58" s="79"/>
      <c r="B58" s="80"/>
      <c r="C58" s="80"/>
      <c r="D58" s="80"/>
      <c r="E58" s="88"/>
      <c r="F58" s="88"/>
      <c r="G58" s="82" t="s">
        <v>21</v>
      </c>
      <c r="H58" s="83" t="s">
        <v>12</v>
      </c>
      <c r="I58" s="84"/>
      <c r="J58" s="84"/>
      <c r="K58" s="85"/>
      <c r="L58" s="49">
        <f ca="1">IFERROR(__xludf.DUMMYFUNCTION("IMPORTRANGE(""https://docs.google.com/spreadsheets/d/1Yj_ptqi66GCucihVvJfMjLAmec39IyEx_6qawtMGysU/edit?usp=sharing"",""สบก!V26"")"),456000)</f>
        <v>456000</v>
      </c>
      <c r="M58" s="41"/>
      <c r="N58" s="38"/>
      <c r="O58" s="38"/>
      <c r="P58" s="38"/>
    </row>
    <row r="59" spans="1:16" ht="21.75" customHeight="1" x14ac:dyDescent="0.45">
      <c r="A59" s="79"/>
      <c r="B59" s="80"/>
      <c r="C59" s="80"/>
      <c r="D59" s="80"/>
      <c r="E59" s="88"/>
      <c r="F59" s="88"/>
      <c r="G59" s="82" t="s">
        <v>22</v>
      </c>
      <c r="H59" s="83" t="s">
        <v>12</v>
      </c>
      <c r="I59" s="84"/>
      <c r="J59" s="84"/>
      <c r="K59" s="85"/>
      <c r="L59" s="49">
        <f ca="1">IFERROR(__xludf.DUMMYFUNCTION("IMPORTRANGE(""https://docs.google.com/spreadsheets/d/1Yj_ptqi66GCucihVvJfMjLAmec39IyEx_6qawtMGysU/edit?usp=sharing"",""สบก!W26"")"),0)</f>
        <v>0</v>
      </c>
      <c r="M59" s="41"/>
      <c r="N59" s="38"/>
      <c r="O59" s="38"/>
      <c r="P59" s="38"/>
    </row>
    <row r="60" spans="1:16" ht="21.75" customHeight="1" x14ac:dyDescent="0.45">
      <c r="A60" s="79"/>
      <c r="B60" s="80"/>
      <c r="C60" s="81" t="s">
        <v>16</v>
      </c>
      <c r="D60" s="534" t="s">
        <v>23</v>
      </c>
      <c r="E60" s="530"/>
      <c r="F60" s="88"/>
      <c r="G60" s="82" t="s">
        <v>18</v>
      </c>
      <c r="H60" s="83" t="s">
        <v>12</v>
      </c>
      <c r="I60" s="84"/>
      <c r="J60" s="84"/>
      <c r="K60" s="85"/>
      <c r="L60" s="50">
        <v>0</v>
      </c>
      <c r="M60" s="41"/>
      <c r="N60" s="41"/>
      <c r="O60" s="41"/>
      <c r="P60" s="41"/>
    </row>
    <row r="61" spans="1:16" ht="21.75" customHeight="1" x14ac:dyDescent="0.45">
      <c r="A61" s="90"/>
      <c r="B61" s="91"/>
      <c r="C61" s="91"/>
      <c r="D61" s="91"/>
      <c r="E61" s="92"/>
      <c r="F61" s="92"/>
      <c r="G61" s="93" t="s">
        <v>19</v>
      </c>
      <c r="H61" s="94" t="s">
        <v>12</v>
      </c>
      <c r="I61" s="95"/>
      <c r="J61" s="95"/>
      <c r="K61" s="96"/>
      <c r="L61" s="49">
        <f ca="1">IFERROR(__xludf.DUMMYFUNCTION("IMPORTRANGE(""https://docs.google.com/spreadsheets/d/1Yj_ptqi66GCucihVvJfMjLAmec39IyEx_6qawtMGysU/edit?usp=sharing"",""สบก!X26"")"),0)</f>
        <v>0</v>
      </c>
      <c r="M61" s="49"/>
      <c r="N61" s="49">
        <f ca="1">IFERROR(__xludf.DUMMYFUNCTION("IMPORTRANGE(""https://docs.google.com/spreadsheets/d/1Yj_ptqi66GCucihVvJfMjLAmec39IyEx_6qawtMGysU/edit?usp=sharing"",""สบก!AB26"")"),0)</f>
        <v>0</v>
      </c>
      <c r="O61" s="49">
        <f ca="1">IF(L61&gt;0,N61*100/L61,0)</f>
        <v>0</v>
      </c>
      <c r="P61" s="49"/>
    </row>
    <row r="62" spans="1:16" ht="21.75" customHeight="1" x14ac:dyDescent="0.3">
      <c r="A62" s="121" t="s">
        <v>33</v>
      </c>
      <c r="B62" s="122"/>
      <c r="C62" s="122"/>
      <c r="D62" s="122"/>
      <c r="E62" s="123"/>
      <c r="F62" s="123"/>
      <c r="G62" s="123"/>
      <c r="H62" s="124"/>
      <c r="I62" s="125"/>
      <c r="J62" s="125"/>
      <c r="K62" s="126"/>
      <c r="L62" s="127"/>
      <c r="M62" s="127"/>
      <c r="N62" s="127"/>
      <c r="O62" s="127"/>
      <c r="P62" s="127"/>
    </row>
    <row r="63" spans="1:16" ht="21.75" customHeight="1" x14ac:dyDescent="0.3">
      <c r="A63" s="128" t="s">
        <v>34</v>
      </c>
      <c r="B63" s="129"/>
      <c r="C63" s="130"/>
      <c r="D63" s="129"/>
      <c r="E63" s="131"/>
      <c r="F63" s="131"/>
      <c r="G63" s="131"/>
      <c r="H63" s="132"/>
      <c r="I63" s="133"/>
      <c r="J63" s="133"/>
      <c r="K63" s="134"/>
      <c r="L63" s="135"/>
      <c r="M63" s="135"/>
      <c r="N63" s="135"/>
      <c r="O63" s="136"/>
      <c r="P63" s="136"/>
    </row>
    <row r="64" spans="1:16" ht="21.75" customHeight="1" x14ac:dyDescent="0.3">
      <c r="A64" s="137"/>
      <c r="B64" s="138" t="s">
        <v>35</v>
      </c>
      <c r="C64" s="138"/>
      <c r="D64" s="139"/>
      <c r="E64" s="138"/>
      <c r="F64" s="138"/>
      <c r="G64" s="138"/>
      <c r="H64" s="140" t="s">
        <v>36</v>
      </c>
      <c r="I64" s="141">
        <f ca="1">IFERROR(__xludf.DUMMYFUNCTION("IMPORTRANGE(""https://docs.google.com/spreadsheets/d/11923uPwbBZFjjGgGUA6NLw09EwE0CqkOc4q9oUmW1yo/edit?usp=sharing"",""พะเยา!I9"")"),1)</f>
        <v>1</v>
      </c>
      <c r="J64" s="141">
        <f ca="1">IFERROR(__xludf.DUMMYFUNCTION("IMPORTRANGE(""https://docs.google.com/spreadsheets/d/11923uPwbBZFjjGgGUA6NLw09EwE0CqkOc4q9oUmW1yo/edit?usp=sharing"",""พะเยา!J9"")"),0)</f>
        <v>0</v>
      </c>
      <c r="K64" s="142">
        <f t="shared" ref="K64:K65" ca="1" si="44">IF(I64&gt;0,J64*100/I64,0)</f>
        <v>0</v>
      </c>
      <c r="L64" s="143"/>
      <c r="M64" s="143"/>
      <c r="N64" s="144"/>
      <c r="O64" s="142"/>
      <c r="P64" s="142"/>
    </row>
    <row r="65" spans="1:16" ht="21.75" customHeight="1" x14ac:dyDescent="0.3">
      <c r="A65" s="137"/>
      <c r="B65" s="138"/>
      <c r="C65" s="138"/>
      <c r="D65" s="139"/>
      <c r="E65" s="138"/>
      <c r="F65" s="138"/>
      <c r="G65" s="138"/>
      <c r="H65" s="140" t="s">
        <v>37</v>
      </c>
      <c r="I65" s="141">
        <f ca="1">IFERROR(__xludf.DUMMYFUNCTION("IMPORTRANGE(""https://docs.google.com/spreadsheets/d/11923uPwbBZFjjGgGUA6NLw09EwE0CqkOc4q9oUmW1yo/edit?usp=sharing"",""พะเยา!I10"")"),30)</f>
        <v>30</v>
      </c>
      <c r="J65" s="141">
        <f ca="1">IFERROR(__xludf.DUMMYFUNCTION("IMPORTRANGE(""https://docs.google.com/spreadsheets/d/11923uPwbBZFjjGgGUA6NLw09EwE0CqkOc4q9oUmW1yo/edit?usp=sharing"",""พะเยา!J10"")"),0)</f>
        <v>0</v>
      </c>
      <c r="K65" s="142">
        <f t="shared" ca="1" si="44"/>
        <v>0</v>
      </c>
      <c r="L65" s="144"/>
      <c r="M65" s="144"/>
      <c r="N65" s="144"/>
      <c r="O65" s="142"/>
      <c r="P65" s="142"/>
    </row>
    <row r="66" spans="1:16" ht="21.75" customHeight="1" x14ac:dyDescent="0.45">
      <c r="A66" s="145"/>
      <c r="B66" s="146"/>
      <c r="C66" s="147" t="s">
        <v>16</v>
      </c>
      <c r="D66" s="537" t="s">
        <v>17</v>
      </c>
      <c r="E66" s="528"/>
      <c r="F66" s="528"/>
      <c r="G66" s="528"/>
      <c r="H66" s="148" t="s">
        <v>12</v>
      </c>
      <c r="I66" s="149"/>
      <c r="J66" s="149"/>
      <c r="K66" s="150"/>
      <c r="L66" s="151">
        <f t="shared" ref="L66:N66" ca="1" si="45">L67+L68</f>
        <v>382000</v>
      </c>
      <c r="M66" s="151">
        <f t="shared" ca="1" si="45"/>
        <v>227620</v>
      </c>
      <c r="N66" s="151">
        <f t="shared" ca="1" si="45"/>
        <v>54304</v>
      </c>
      <c r="O66" s="150">
        <f t="shared" ref="O66:O68" ca="1" si="46">IF(L66&gt;0,N66*100/L66,0)</f>
        <v>14.215706806282723</v>
      </c>
      <c r="P66" s="150">
        <f t="shared" ref="P66:P68" ca="1" si="47">IF(M66&gt;0,N66*100/M66,0)</f>
        <v>23.857306036376418</v>
      </c>
    </row>
    <row r="67" spans="1:16" ht="21.75" customHeight="1" x14ac:dyDescent="0.45">
      <c r="A67" s="152"/>
      <c r="B67" s="32"/>
      <c r="C67" s="32"/>
      <c r="D67" s="32"/>
      <c r="E67" s="32"/>
      <c r="F67" s="32"/>
      <c r="G67" s="33" t="s">
        <v>18</v>
      </c>
      <c r="H67" s="153" t="s">
        <v>12</v>
      </c>
      <c r="I67" s="154"/>
      <c r="J67" s="154"/>
      <c r="K67" s="155"/>
      <c r="L67" s="87">
        <f t="shared" ref="L67:N67" si="48">L69+L73</f>
        <v>0</v>
      </c>
      <c r="M67" s="87">
        <f t="shared" si="48"/>
        <v>0</v>
      </c>
      <c r="N67" s="87">
        <f t="shared" si="48"/>
        <v>0</v>
      </c>
      <c r="O67" s="155">
        <f t="shared" si="46"/>
        <v>0</v>
      </c>
      <c r="P67" s="155">
        <f t="shared" si="47"/>
        <v>0</v>
      </c>
    </row>
    <row r="68" spans="1:16" ht="21.75" customHeight="1" x14ac:dyDescent="0.45">
      <c r="A68" s="152"/>
      <c r="B68" s="32"/>
      <c r="C68" s="32"/>
      <c r="D68" s="32"/>
      <c r="E68" s="32"/>
      <c r="F68" s="32"/>
      <c r="G68" s="33" t="s">
        <v>19</v>
      </c>
      <c r="H68" s="153" t="s">
        <v>12</v>
      </c>
      <c r="I68" s="154"/>
      <c r="J68" s="154"/>
      <c r="K68" s="155"/>
      <c r="L68" s="87">
        <f t="shared" ref="L68:N68" ca="1" si="49">L70+L74</f>
        <v>382000</v>
      </c>
      <c r="M68" s="87">
        <f t="shared" ca="1" si="49"/>
        <v>227620</v>
      </c>
      <c r="N68" s="87">
        <f t="shared" ca="1" si="49"/>
        <v>54304</v>
      </c>
      <c r="O68" s="155">
        <f t="shared" ca="1" si="46"/>
        <v>14.215706806282723</v>
      </c>
      <c r="P68" s="155">
        <f t="shared" ca="1" si="47"/>
        <v>23.857306036376418</v>
      </c>
    </row>
    <row r="69" spans="1:16" ht="21.75" customHeight="1" x14ac:dyDescent="0.3">
      <c r="A69" s="156"/>
      <c r="B69" s="157"/>
      <c r="C69" s="157" t="s">
        <v>16</v>
      </c>
      <c r="D69" s="158" t="s">
        <v>38</v>
      </c>
      <c r="E69" s="159"/>
      <c r="F69" s="159"/>
      <c r="G69" s="160" t="s">
        <v>39</v>
      </c>
      <c r="H69" s="161" t="s">
        <v>12</v>
      </c>
      <c r="I69" s="162" t="s">
        <v>40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3">
      <c r="A70" s="156"/>
      <c r="B70" s="157"/>
      <c r="C70" s="157"/>
      <c r="D70" s="166"/>
      <c r="E70" s="159"/>
      <c r="F70" s="159" t="s">
        <v>40</v>
      </c>
      <c r="G70" s="160" t="s">
        <v>41</v>
      </c>
      <c r="H70" s="161" t="s">
        <v>12</v>
      </c>
      <c r="I70" s="162"/>
      <c r="J70" s="162"/>
      <c r="K70" s="163"/>
      <c r="L70" s="167">
        <f ca="1">L71+L72</f>
        <v>382000</v>
      </c>
      <c r="M70" s="167">
        <f ca="1">IFERROR(__xludf.DUMMYFUNCTION("IMPORTRANGE(""https://docs.google.com/spreadsheets/d/1Yj_ptqi66GCucihVvJfMjLAmec39IyEx_6qawtMGysU/edit?usp=sharing"",""สบก!AI26"")"),227620)</f>
        <v>227620</v>
      </c>
      <c r="N70" s="168">
        <f ca="1">IFERROR(__xludf.DUMMYFUNCTION("IMPORTRANGE(""https://docs.google.com/spreadsheets/d/1Yj_ptqi66GCucihVvJfMjLAmec39IyEx_6qawtMGysU/edit?usp=sharing"",""สบก!AJ26"")"),54304)</f>
        <v>54304</v>
      </c>
      <c r="O70" s="168">
        <f ca="1">IF(L70&gt;0,N70*100/L70,0)</f>
        <v>14.215706806282723</v>
      </c>
      <c r="P70" s="168">
        <f ca="1">IF(M70&gt;0,N70*100/M70,0)</f>
        <v>23.857306036376418</v>
      </c>
    </row>
    <row r="71" spans="1:16" ht="21.75" customHeight="1" x14ac:dyDescent="0.3">
      <c r="A71" s="156"/>
      <c r="B71" s="157"/>
      <c r="C71" s="157"/>
      <c r="D71" s="166"/>
      <c r="E71" s="159"/>
      <c r="F71" s="159"/>
      <c r="G71" s="169" t="s">
        <v>42</v>
      </c>
      <c r="H71" s="161" t="s">
        <v>12</v>
      </c>
      <c r="I71" s="162"/>
      <c r="J71" s="162"/>
      <c r="K71" s="163"/>
      <c r="L71" s="167">
        <f ca="1">IFERROR(__xludf.DUMMYFUNCTION("IMPORTRANGE(""https://docs.google.com/spreadsheets/d/1Yj_ptqi66GCucihVvJfMjLAmec39IyEx_6qawtMGysU/edit?usp=sharing"",""สบก!AE26"")"),0)</f>
        <v>0</v>
      </c>
      <c r="M71" s="167"/>
      <c r="N71" s="167"/>
      <c r="O71" s="168"/>
      <c r="P71" s="168"/>
    </row>
    <row r="72" spans="1:16" ht="21.75" customHeight="1" x14ac:dyDescent="0.3">
      <c r="A72" s="156"/>
      <c r="B72" s="157"/>
      <c r="C72" s="157"/>
      <c r="D72" s="166"/>
      <c r="E72" s="159"/>
      <c r="F72" s="159"/>
      <c r="G72" s="169" t="s">
        <v>43</v>
      </c>
      <c r="H72" s="161" t="s">
        <v>12</v>
      </c>
      <c r="I72" s="162"/>
      <c r="J72" s="162"/>
      <c r="K72" s="163"/>
      <c r="L72" s="167">
        <f ca="1">IFERROR(__xludf.DUMMYFUNCTION("IMPORTRANGE(""https://docs.google.com/spreadsheets/d/1Yj_ptqi66GCucihVvJfMjLAmec39IyEx_6qawtMGysU/edit?usp=sharing"",""สบก!AF26"")"),382000)</f>
        <v>382000</v>
      </c>
      <c r="M72" s="167"/>
      <c r="N72" s="167"/>
      <c r="O72" s="168"/>
      <c r="P72" s="168"/>
    </row>
    <row r="73" spans="1:16" ht="21.75" customHeight="1" x14ac:dyDescent="0.45">
      <c r="A73" s="170"/>
      <c r="B73" s="80"/>
      <c r="C73" s="81" t="s">
        <v>16</v>
      </c>
      <c r="D73" s="534" t="s">
        <v>23</v>
      </c>
      <c r="E73" s="530"/>
      <c r="F73" s="88"/>
      <c r="G73" s="82" t="s">
        <v>18</v>
      </c>
      <c r="H73" s="171" t="s">
        <v>12</v>
      </c>
      <c r="I73" s="84"/>
      <c r="J73" s="84"/>
      <c r="K73" s="85"/>
      <c r="L73" s="41">
        <v>0</v>
      </c>
      <c r="M73" s="41"/>
      <c r="N73" s="41"/>
      <c r="O73" s="41"/>
      <c r="P73" s="41"/>
    </row>
    <row r="74" spans="1:16" ht="21.75" customHeight="1" x14ac:dyDescent="0.45">
      <c r="A74" s="172"/>
      <c r="B74" s="91"/>
      <c r="C74" s="91"/>
      <c r="D74" s="173"/>
      <c r="E74" s="92"/>
      <c r="F74" s="92"/>
      <c r="G74" s="93" t="s">
        <v>19</v>
      </c>
      <c r="H74" s="174" t="s">
        <v>12</v>
      </c>
      <c r="I74" s="95"/>
      <c r="J74" s="95"/>
      <c r="K74" s="96"/>
      <c r="L74" s="49">
        <f ca="1">IFERROR(__xludf.DUMMYFUNCTION("IMPORTRANGE(""https://docs.google.com/spreadsheets/d/1Yj_ptqi66GCucihVvJfMjLAmec39IyEx_6qawtMGysU/edit?usp=sharing"",""สบก!AG26"")"),0)</f>
        <v>0</v>
      </c>
      <c r="M74" s="49"/>
      <c r="N74" s="49">
        <f ca="1">IFERROR(__xludf.DUMMYFUNCTION("IMPORTRANGE(""https://docs.google.com/spreadsheets/d/1Yj_ptqi66GCucihVvJfMjLAmec39IyEx_6qawtMGysU/edit?usp=sharing"",""สบก!AK26"")"),0)</f>
        <v>0</v>
      </c>
      <c r="O74" s="49">
        <f ca="1">IF(L74&gt;0,N74*100/L74,0)</f>
        <v>0</v>
      </c>
      <c r="P74" s="49"/>
    </row>
    <row r="75" spans="1:16" ht="21.75" customHeight="1" x14ac:dyDescent="0.3">
      <c r="A75" s="175"/>
      <c r="B75" s="176"/>
      <c r="C75" s="157" t="s">
        <v>16</v>
      </c>
      <c r="D75" s="177" t="s">
        <v>44</v>
      </c>
      <c r="E75" s="178"/>
      <c r="F75" s="178"/>
      <c r="G75" s="179"/>
      <c r="H75" s="180"/>
      <c r="I75" s="162"/>
      <c r="J75" s="162"/>
      <c r="K75" s="163"/>
      <c r="L75" s="181"/>
      <c r="M75" s="181"/>
      <c r="N75" s="181"/>
      <c r="O75" s="181"/>
      <c r="P75" s="181"/>
    </row>
    <row r="76" spans="1:16" ht="21.75" customHeight="1" x14ac:dyDescent="0.3">
      <c r="A76" s="175"/>
      <c r="B76" s="176"/>
      <c r="C76" s="176"/>
      <c r="D76" s="182">
        <v>1</v>
      </c>
      <c r="E76" s="183" t="s">
        <v>45</v>
      </c>
      <c r="F76" s="184"/>
      <c r="G76" s="185"/>
      <c r="H76" s="186"/>
      <c r="I76" s="187"/>
      <c r="J76" s="188">
        <f ca="1">IFERROR(__xludf.DUMMYFUNCTION("IMPORTRANGE(""https://docs.google.com/spreadsheets/d/11923uPwbBZFjjGgGUA6NLw09EwE0CqkOc4q9oUmW1yo/edit?usp=sharing"",""พะเยา!J16"")"),0)</f>
        <v>0</v>
      </c>
      <c r="K76" s="163"/>
      <c r="L76" s="181"/>
      <c r="M76" s="181"/>
      <c r="N76" s="181"/>
      <c r="O76" s="181"/>
      <c r="P76" s="181"/>
    </row>
    <row r="77" spans="1:16" ht="21.75" customHeight="1" x14ac:dyDescent="0.3">
      <c r="A77" s="175"/>
      <c r="B77" s="176"/>
      <c r="C77" s="176"/>
      <c r="D77" s="189">
        <v>2</v>
      </c>
      <c r="E77" s="190" t="s">
        <v>46</v>
      </c>
      <c r="F77" s="191"/>
      <c r="G77" s="192"/>
      <c r="H77" s="186"/>
      <c r="I77" s="187"/>
      <c r="J77" s="188">
        <f ca="1">IFERROR(__xludf.DUMMYFUNCTION("IMPORTRANGE(""https://docs.google.com/spreadsheets/d/11923uPwbBZFjjGgGUA6NLw09EwE0CqkOc4q9oUmW1yo/edit?usp=sharing"",""พะเยา!J17"")"),1)</f>
        <v>1</v>
      </c>
      <c r="K77" s="163"/>
      <c r="L77" s="181" t="s">
        <v>40</v>
      </c>
      <c r="M77" s="181"/>
      <c r="N77" s="181" t="s">
        <v>40</v>
      </c>
      <c r="O77" s="181"/>
      <c r="P77" s="181"/>
    </row>
    <row r="78" spans="1:16" ht="21.75" customHeight="1" x14ac:dyDescent="0.3">
      <c r="A78" s="175"/>
      <c r="B78" s="176"/>
      <c r="C78" s="176"/>
      <c r="D78" s="193"/>
      <c r="E78" s="194" t="s">
        <v>47</v>
      </c>
      <c r="F78" s="195"/>
      <c r="G78" s="196"/>
      <c r="H78" s="186"/>
      <c r="I78" s="187"/>
      <c r="J78" s="188">
        <f ca="1">IFERROR(__xludf.DUMMYFUNCTION("IMPORTRANGE(""https://docs.google.com/spreadsheets/d/11923uPwbBZFjjGgGUA6NLw09EwE0CqkOc4q9oUmW1yo/edit?usp=sharing"",""พะเยา!J18"")"),1)</f>
        <v>1</v>
      </c>
      <c r="K78" s="163"/>
      <c r="L78" s="181"/>
      <c r="M78" s="181"/>
      <c r="N78" s="181"/>
      <c r="O78" s="181"/>
      <c r="P78" s="181"/>
    </row>
    <row r="79" spans="1:16" ht="21.75" customHeight="1" x14ac:dyDescent="0.3">
      <c r="A79" s="175"/>
      <c r="B79" s="176"/>
      <c r="C79" s="176"/>
      <c r="D79" s="193"/>
      <c r="E79" s="194" t="s">
        <v>48</v>
      </c>
      <c r="F79" s="195"/>
      <c r="G79" s="196"/>
      <c r="H79" s="186"/>
      <c r="I79" s="187"/>
      <c r="J79" s="197">
        <f ca="1">IFERROR(__xludf.DUMMYFUNCTION("IMPORTRANGE(""https://docs.google.com/spreadsheets/d/11923uPwbBZFjjGgGUA6NLw09EwE0CqkOc4q9oUmW1yo/edit?usp=sharing"",""พะเยา!J19"")"),1)</f>
        <v>1</v>
      </c>
      <c r="K79" s="163"/>
      <c r="L79" s="181"/>
      <c r="M79" s="181"/>
      <c r="N79" s="181"/>
      <c r="O79" s="181"/>
      <c r="P79" s="181"/>
    </row>
    <row r="80" spans="1:16" ht="21.75" customHeight="1" x14ac:dyDescent="0.3">
      <c r="A80" s="175"/>
      <c r="B80" s="176"/>
      <c r="C80" s="176"/>
      <c r="D80" s="193"/>
      <c r="E80" s="198"/>
      <c r="F80" s="194" t="s">
        <v>49</v>
      </c>
      <c r="G80" s="195"/>
      <c r="H80" s="199" t="s">
        <v>36</v>
      </c>
      <c r="I80" s="200">
        <f ca="1">IFERROR(__xludf.DUMMYFUNCTION("IMPORTRANGE(""https://docs.google.com/spreadsheets/d/11923uPwbBZFjjGgGUA6NLw09EwE0CqkOc4q9oUmW1yo/edit?usp=sharing"",""พะเยา!I20"")"),1)</f>
        <v>1</v>
      </c>
      <c r="J80" s="200">
        <f ca="1">IFERROR(__xludf.DUMMYFUNCTION("IMPORTRANGE(""https://docs.google.com/spreadsheets/d/11923uPwbBZFjjGgGUA6NLw09EwE0CqkOc4q9oUmW1yo/edit?usp=sharing"",""พะเยา!J20"")"),0)</f>
        <v>0</v>
      </c>
      <c r="K80" s="201">
        <f t="shared" ref="K80:K88" ca="1" si="50">IF(I80&gt;0,J80*100/I80,0)</f>
        <v>0</v>
      </c>
      <c r="L80" s="181"/>
      <c r="M80" s="181"/>
      <c r="N80" s="181"/>
      <c r="O80" s="181"/>
      <c r="P80" s="181"/>
    </row>
    <row r="81" spans="1:16" ht="21.75" customHeight="1" x14ac:dyDescent="0.3">
      <c r="A81" s="175"/>
      <c r="B81" s="176"/>
      <c r="C81" s="176"/>
      <c r="D81" s="193"/>
      <c r="E81" s="198"/>
      <c r="F81" s="195"/>
      <c r="G81" s="196"/>
      <c r="H81" s="199" t="s">
        <v>37</v>
      </c>
      <c r="I81" s="200">
        <f ca="1">IFERROR(__xludf.DUMMYFUNCTION("IMPORTRANGE(""https://docs.google.com/spreadsheets/d/11923uPwbBZFjjGgGUA6NLw09EwE0CqkOc4q9oUmW1yo/edit?usp=sharing"",""พะเยา!I21"")"),30)</f>
        <v>30</v>
      </c>
      <c r="J81" s="200">
        <f ca="1">IFERROR(__xludf.DUMMYFUNCTION("IMPORTRANGE(""https://docs.google.com/spreadsheets/d/11923uPwbBZFjjGgGUA6NLw09EwE0CqkOc4q9oUmW1yo/edit?usp=sharing"",""พะเยา!J21"")"),0)</f>
        <v>0</v>
      </c>
      <c r="K81" s="201">
        <f t="shared" ca="1" si="50"/>
        <v>0</v>
      </c>
      <c r="L81" s="181"/>
      <c r="M81" s="181"/>
      <c r="N81" s="181"/>
      <c r="O81" s="181"/>
      <c r="P81" s="181"/>
    </row>
    <row r="82" spans="1:16" ht="21.75" customHeight="1" x14ac:dyDescent="0.3">
      <c r="A82" s="175"/>
      <c r="B82" s="176"/>
      <c r="C82" s="176"/>
      <c r="D82" s="193"/>
      <c r="E82" s="198"/>
      <c r="F82" s="195"/>
      <c r="G82" s="195" t="s">
        <v>50</v>
      </c>
      <c r="H82" s="180" t="s">
        <v>36</v>
      </c>
      <c r="I82" s="202">
        <f ca="1">IFERROR(__xludf.DUMMYFUNCTION("IMPORTRANGE(""https://docs.google.com/spreadsheets/d/11923uPwbBZFjjGgGUA6NLw09EwE0CqkOc4q9oUmW1yo/edit?usp=sharing"",""พะเยา!I22"")"),1)</f>
        <v>1</v>
      </c>
      <c r="J82" s="203">
        <f ca="1">IFERROR(__xludf.DUMMYFUNCTION("IMPORTRANGE(""https://docs.google.com/spreadsheets/d/11923uPwbBZFjjGgGUA6NLw09EwE0CqkOc4q9oUmW1yo/edit?usp=sharing"",""พะเยา!J22"")"),0)</f>
        <v>0</v>
      </c>
      <c r="K82" s="163">
        <f t="shared" ca="1" si="50"/>
        <v>0</v>
      </c>
      <c r="L82" s="181"/>
      <c r="M82" s="181"/>
      <c r="N82" s="181"/>
      <c r="O82" s="181"/>
      <c r="P82" s="181"/>
    </row>
    <row r="83" spans="1:16" ht="21.75" customHeight="1" x14ac:dyDescent="0.3">
      <c r="A83" s="175"/>
      <c r="B83" s="176"/>
      <c r="C83" s="176"/>
      <c r="D83" s="193"/>
      <c r="E83" s="198"/>
      <c r="F83" s="195"/>
      <c r="G83" s="196"/>
      <c r="H83" s="180" t="s">
        <v>37</v>
      </c>
      <c r="I83" s="202">
        <f ca="1">IFERROR(__xludf.DUMMYFUNCTION("IMPORTRANGE(""https://docs.google.com/spreadsheets/d/11923uPwbBZFjjGgGUA6NLw09EwE0CqkOc4q9oUmW1yo/edit?usp=sharing"",""พะเยา!I23"")"),30)</f>
        <v>30</v>
      </c>
      <c r="J83" s="203">
        <f ca="1">IFERROR(__xludf.DUMMYFUNCTION("IMPORTRANGE(""https://docs.google.com/spreadsheets/d/11923uPwbBZFjjGgGUA6NLw09EwE0CqkOc4q9oUmW1yo/edit?usp=sharing"",""พะเยา!J23"")"),0)</f>
        <v>0</v>
      </c>
      <c r="K83" s="163">
        <f t="shared" ca="1" si="50"/>
        <v>0</v>
      </c>
      <c r="L83" s="181"/>
      <c r="M83" s="181"/>
      <c r="N83" s="181"/>
      <c r="O83" s="181"/>
      <c r="P83" s="181"/>
    </row>
    <row r="84" spans="1:16" ht="21.75" customHeight="1" x14ac:dyDescent="0.3">
      <c r="A84" s="175"/>
      <c r="B84" s="176"/>
      <c r="C84" s="176"/>
      <c r="D84" s="193"/>
      <c r="E84" s="198"/>
      <c r="F84" s="195"/>
      <c r="G84" s="195" t="s">
        <v>51</v>
      </c>
      <c r="H84" s="180" t="s">
        <v>36</v>
      </c>
      <c r="I84" s="202">
        <f ca="1">IFERROR(__xludf.DUMMYFUNCTION("IMPORTRANGE(""https://docs.google.com/spreadsheets/d/11923uPwbBZFjjGgGUA6NLw09EwE0CqkOc4q9oUmW1yo/edit?usp=sharing"",""พะเยา!I24"")"),0)</f>
        <v>0</v>
      </c>
      <c r="J84" s="188">
        <f ca="1">IFERROR(__xludf.DUMMYFUNCTION("IMPORTRANGE(""https://docs.google.com/spreadsheets/d/11923uPwbBZFjjGgGUA6NLw09EwE0CqkOc4q9oUmW1yo/edit?usp=sharing"",""พะเยา!J24"")"),0)</f>
        <v>0</v>
      </c>
      <c r="K84" s="163">
        <f t="shared" ca="1" si="50"/>
        <v>0</v>
      </c>
      <c r="L84" s="181"/>
      <c r="M84" s="181"/>
      <c r="N84" s="181"/>
      <c r="O84" s="181"/>
      <c r="P84" s="181"/>
    </row>
    <row r="85" spans="1:16" ht="21.75" customHeight="1" x14ac:dyDescent="0.3">
      <c r="A85" s="175"/>
      <c r="B85" s="176"/>
      <c r="C85" s="176"/>
      <c r="D85" s="193"/>
      <c r="E85" s="198"/>
      <c r="F85" s="195"/>
      <c r="G85" s="196"/>
      <c r="H85" s="180" t="s">
        <v>37</v>
      </c>
      <c r="I85" s="202">
        <f ca="1">IFERROR(__xludf.DUMMYFUNCTION("IMPORTRANGE(""https://docs.google.com/spreadsheets/d/11923uPwbBZFjjGgGUA6NLw09EwE0CqkOc4q9oUmW1yo/edit?usp=sharing"",""พะเยา!I25"")"),0)</f>
        <v>0</v>
      </c>
      <c r="J85" s="188">
        <f ca="1">IFERROR(__xludf.DUMMYFUNCTION("IMPORTRANGE(""https://docs.google.com/spreadsheets/d/11923uPwbBZFjjGgGUA6NLw09EwE0CqkOc4q9oUmW1yo/edit?usp=sharing"",""พะเยา!J25"")"),0)</f>
        <v>0</v>
      </c>
      <c r="K85" s="163">
        <f t="shared" ca="1" si="50"/>
        <v>0</v>
      </c>
      <c r="L85" s="181"/>
      <c r="M85" s="181"/>
      <c r="N85" s="181"/>
      <c r="O85" s="181"/>
      <c r="P85" s="181"/>
    </row>
    <row r="86" spans="1:16" ht="21.75" customHeight="1" x14ac:dyDescent="0.3">
      <c r="A86" s="175"/>
      <c r="B86" s="176"/>
      <c r="C86" s="176"/>
      <c r="D86" s="193"/>
      <c r="E86" s="198"/>
      <c r="F86" s="195"/>
      <c r="G86" s="195" t="s">
        <v>52</v>
      </c>
      <c r="H86" s="180" t="s">
        <v>36</v>
      </c>
      <c r="I86" s="202">
        <f ca="1">IFERROR(__xludf.DUMMYFUNCTION("IMPORTRANGE(""https://docs.google.com/spreadsheets/d/11923uPwbBZFjjGgGUA6NLw09EwE0CqkOc4q9oUmW1yo/edit?usp=sharing"",""พะเยา!I26"")"),0)</f>
        <v>0</v>
      </c>
      <c r="J86" s="203">
        <f ca="1">IFERROR(__xludf.DUMMYFUNCTION("IMPORTRANGE(""https://docs.google.com/spreadsheets/d/11923uPwbBZFjjGgGUA6NLw09EwE0CqkOc4q9oUmW1yo/edit?usp=sharing"",""พะเยา!J26"")"),0)</f>
        <v>0</v>
      </c>
      <c r="K86" s="163">
        <f t="shared" ca="1" si="50"/>
        <v>0</v>
      </c>
      <c r="L86" s="181"/>
      <c r="M86" s="181"/>
      <c r="N86" s="181"/>
      <c r="O86" s="181"/>
      <c r="P86" s="181"/>
    </row>
    <row r="87" spans="1:16" ht="21.75" customHeight="1" x14ac:dyDescent="0.3">
      <c r="A87" s="175"/>
      <c r="B87" s="176"/>
      <c r="C87" s="176"/>
      <c r="D87" s="193"/>
      <c r="E87" s="198"/>
      <c r="F87" s="195"/>
      <c r="G87" s="196"/>
      <c r="H87" s="180" t="s">
        <v>37</v>
      </c>
      <c r="I87" s="202">
        <f ca="1">IFERROR(__xludf.DUMMYFUNCTION("IMPORTRANGE(""https://docs.google.com/spreadsheets/d/11923uPwbBZFjjGgGUA6NLw09EwE0CqkOc4q9oUmW1yo/edit?usp=sharing"",""พะเยา!I27"")"),0)</f>
        <v>0</v>
      </c>
      <c r="J87" s="203">
        <f ca="1">IFERROR(__xludf.DUMMYFUNCTION("IMPORTRANGE(""https://docs.google.com/spreadsheets/d/11923uPwbBZFjjGgGUA6NLw09EwE0CqkOc4q9oUmW1yo/edit?usp=sharing"",""พะเยา!J27"")"),0)</f>
        <v>0</v>
      </c>
      <c r="K87" s="163">
        <f t="shared" ca="1" si="50"/>
        <v>0</v>
      </c>
      <c r="L87" s="181"/>
      <c r="M87" s="181"/>
      <c r="N87" s="181"/>
      <c r="O87" s="181"/>
      <c r="P87" s="181"/>
    </row>
    <row r="88" spans="1:16" ht="21.75" customHeight="1" x14ac:dyDescent="0.3">
      <c r="A88" s="175"/>
      <c r="B88" s="176"/>
      <c r="C88" s="176"/>
      <c r="D88" s="193"/>
      <c r="E88" s="198"/>
      <c r="F88" s="204" t="s">
        <v>53</v>
      </c>
      <c r="G88" s="195"/>
      <c r="H88" s="180" t="s">
        <v>37</v>
      </c>
      <c r="I88" s="202">
        <f ca="1">IFERROR(__xludf.DUMMYFUNCTION("IMPORTRANGE(""https://docs.google.com/spreadsheets/d/11923uPwbBZFjjGgGUA6NLw09EwE0CqkOc4q9oUmW1yo/edit?usp=sharing"",""พะเยา!I28"")"),30)</f>
        <v>30</v>
      </c>
      <c r="J88" s="203">
        <f ca="1">IFERROR(__xludf.DUMMYFUNCTION("IMPORTRANGE(""https://docs.google.com/spreadsheets/d/11923uPwbBZFjjGgGUA6NLw09EwE0CqkOc4q9oUmW1yo/edit?usp=sharing"",""พะเยา!J28"")"),0)</f>
        <v>0</v>
      </c>
      <c r="K88" s="163">
        <f t="shared" ca="1" si="50"/>
        <v>0</v>
      </c>
      <c r="L88" s="181"/>
      <c r="M88" s="181"/>
      <c r="N88" s="181"/>
      <c r="O88" s="181"/>
      <c r="P88" s="181"/>
    </row>
    <row r="89" spans="1:16" ht="21.75" customHeight="1" x14ac:dyDescent="0.3">
      <c r="A89" s="175"/>
      <c r="B89" s="176"/>
      <c r="C89" s="176"/>
      <c r="D89" s="193"/>
      <c r="E89" s="194" t="s">
        <v>54</v>
      </c>
      <c r="F89" s="195"/>
      <c r="G89" s="196"/>
      <c r="H89" s="186"/>
      <c r="I89" s="187"/>
      <c r="J89" s="197">
        <f ca="1">IFERROR(__xludf.DUMMYFUNCTION("IMPORTRANGE(""https://docs.google.com/spreadsheets/d/11923uPwbBZFjjGgGUA6NLw09EwE0CqkOc4q9oUmW1yo/edit?usp=sharing"",""พะเยา!J29"")"),0)</f>
        <v>0</v>
      </c>
      <c r="K89" s="163"/>
      <c r="L89" s="181"/>
      <c r="M89" s="181"/>
      <c r="N89" s="181"/>
      <c r="O89" s="181"/>
      <c r="P89" s="181"/>
    </row>
    <row r="90" spans="1:16" ht="21.75" customHeight="1" x14ac:dyDescent="0.3">
      <c r="A90" s="175"/>
      <c r="B90" s="176"/>
      <c r="C90" s="176"/>
      <c r="D90" s="205">
        <v>3</v>
      </c>
      <c r="E90" s="206" t="s">
        <v>55</v>
      </c>
      <c r="F90" s="207"/>
      <c r="G90" s="208"/>
      <c r="H90" s="186"/>
      <c r="I90" s="187"/>
      <c r="J90" s="209">
        <f ca="1">IFERROR(__xludf.DUMMYFUNCTION("IMPORTRANGE(""https://docs.google.com/spreadsheets/d/11923uPwbBZFjjGgGUA6NLw09EwE0CqkOc4q9oUmW1yo/edit?usp=sharing"",""พะเยา!J30"")"),0)</f>
        <v>0</v>
      </c>
      <c r="K90" s="163"/>
      <c r="L90" s="181"/>
      <c r="M90" s="181"/>
      <c r="N90" s="181"/>
      <c r="O90" s="181"/>
      <c r="P90" s="181"/>
    </row>
    <row r="91" spans="1:16" ht="21.75" customHeight="1" x14ac:dyDescent="0.3">
      <c r="A91" s="210" t="s">
        <v>56</v>
      </c>
      <c r="B91" s="211"/>
      <c r="C91" s="212"/>
      <c r="D91" s="211"/>
      <c r="E91" s="213"/>
      <c r="F91" s="213"/>
      <c r="G91" s="214"/>
      <c r="H91" s="215"/>
      <c r="I91" s="216"/>
      <c r="J91" s="216"/>
      <c r="K91" s="217"/>
      <c r="L91" s="218"/>
      <c r="M91" s="218"/>
      <c r="N91" s="218"/>
      <c r="O91" s="219"/>
      <c r="P91" s="219"/>
    </row>
    <row r="92" spans="1:16" ht="21.75" customHeight="1" x14ac:dyDescent="0.3">
      <c r="A92" s="137"/>
      <c r="B92" s="138" t="s">
        <v>57</v>
      </c>
      <c r="C92" s="138"/>
      <c r="D92" s="139"/>
      <c r="E92" s="138"/>
      <c r="F92" s="138"/>
      <c r="G92" s="220"/>
      <c r="H92" s="140" t="s">
        <v>37</v>
      </c>
      <c r="I92" s="141">
        <f ca="1">IFERROR(__xludf.DUMMYFUNCTION("IMPORTRANGE(""https://docs.google.com/spreadsheets/d/11923uPwbBZFjjGgGUA6NLw09EwE0CqkOc4q9oUmW1yo/edit?usp=sharing"",""พะเยา!I32"")"),7)</f>
        <v>7</v>
      </c>
      <c r="J92" s="141">
        <f ca="1">IFERROR(__xludf.DUMMYFUNCTION("IMPORTRANGE(""https://docs.google.com/spreadsheets/d/11923uPwbBZFjjGgGUA6NLw09EwE0CqkOc4q9oUmW1yo/edit?usp=sharing"",""พะเยา!J32"")"),7)</f>
        <v>7</v>
      </c>
      <c r="K92" s="142">
        <f t="shared" ref="K92:K93" ca="1" si="51">IF(I92&gt;0,J92*100/I92,0)</f>
        <v>100</v>
      </c>
      <c r="L92" s="221"/>
      <c r="M92" s="221"/>
      <c r="N92" s="222"/>
      <c r="O92" s="142"/>
      <c r="P92" s="142"/>
    </row>
    <row r="93" spans="1:16" ht="21.75" customHeight="1" x14ac:dyDescent="0.3">
      <c r="A93" s="137"/>
      <c r="B93" s="138"/>
      <c r="C93" s="138"/>
      <c r="D93" s="139" t="s">
        <v>58</v>
      </c>
      <c r="E93" s="138"/>
      <c r="F93" s="138"/>
      <c r="G93" s="220"/>
      <c r="H93" s="140" t="s">
        <v>59</v>
      </c>
      <c r="I93" s="141">
        <f ca="1">IFERROR(__xludf.DUMMYFUNCTION("IMPORTRANGE(""https://docs.google.com/spreadsheets/d/11923uPwbBZFjjGgGUA6NLw09EwE0CqkOc4q9oUmW1yo/edit?usp=sharing"",""พะเยา!I33"")"),2)</f>
        <v>2</v>
      </c>
      <c r="J93" s="141">
        <f ca="1">IFERROR(__xludf.DUMMYFUNCTION("IMPORTRANGE(""https://docs.google.com/spreadsheets/d/11923uPwbBZFjjGgGUA6NLw09EwE0CqkOc4q9oUmW1yo/edit?usp=sharing"",""พะเยา!J33"")"),0)</f>
        <v>0</v>
      </c>
      <c r="K93" s="142">
        <f t="shared" ca="1" si="51"/>
        <v>0</v>
      </c>
      <c r="L93" s="222"/>
      <c r="M93" s="222"/>
      <c r="N93" s="222"/>
      <c r="O93" s="142"/>
      <c r="P93" s="142"/>
    </row>
    <row r="94" spans="1:16" ht="21.75" customHeight="1" x14ac:dyDescent="0.45">
      <c r="A94" s="145"/>
      <c r="B94" s="146"/>
      <c r="C94" s="147" t="s">
        <v>16</v>
      </c>
      <c r="D94" s="537" t="s">
        <v>17</v>
      </c>
      <c r="E94" s="528"/>
      <c r="F94" s="528"/>
      <c r="G94" s="528"/>
      <c r="H94" s="148" t="s">
        <v>12</v>
      </c>
      <c r="I94" s="162"/>
      <c r="J94" s="162"/>
      <c r="K94" s="163"/>
      <c r="L94" s="151">
        <f t="shared" ref="L94:N94" ca="1" si="52">L95+L96</f>
        <v>318960</v>
      </c>
      <c r="M94" s="151">
        <f t="shared" ca="1" si="52"/>
        <v>265590</v>
      </c>
      <c r="N94" s="151">
        <f t="shared" ca="1" si="52"/>
        <v>228359</v>
      </c>
      <c r="O94" s="150">
        <f t="shared" ref="O94:O96" ca="1" si="53">IF(L94&gt;0,N94*100/L94,0)</f>
        <v>71.594870830198147</v>
      </c>
      <c r="P94" s="150">
        <f t="shared" ref="P94:P96" ca="1" si="54">IF(M94&gt;0,N94*100/M94,0)</f>
        <v>85.98177642230506</v>
      </c>
    </row>
    <row r="95" spans="1:16" ht="21.75" customHeight="1" x14ac:dyDescent="0.45">
      <c r="A95" s="152"/>
      <c r="B95" s="32"/>
      <c r="C95" s="32"/>
      <c r="D95" s="32"/>
      <c r="E95" s="32"/>
      <c r="F95" s="32"/>
      <c r="G95" s="33" t="s">
        <v>18</v>
      </c>
      <c r="H95" s="153" t="s">
        <v>12</v>
      </c>
      <c r="I95" s="162"/>
      <c r="J95" s="162"/>
      <c r="K95" s="163"/>
      <c r="L95" s="87">
        <f t="shared" ref="L95:N95" si="55">L97+L101</f>
        <v>0</v>
      </c>
      <c r="M95" s="87">
        <f t="shared" si="55"/>
        <v>0</v>
      </c>
      <c r="N95" s="87">
        <f t="shared" si="55"/>
        <v>0</v>
      </c>
      <c r="O95" s="155">
        <f t="shared" si="53"/>
        <v>0</v>
      </c>
      <c r="P95" s="155">
        <f t="shared" si="54"/>
        <v>0</v>
      </c>
    </row>
    <row r="96" spans="1:16" ht="21.75" customHeight="1" x14ac:dyDescent="0.45">
      <c r="A96" s="152"/>
      <c r="B96" s="32"/>
      <c r="C96" s="32"/>
      <c r="D96" s="32"/>
      <c r="E96" s="32"/>
      <c r="F96" s="32"/>
      <c r="G96" s="33" t="s">
        <v>19</v>
      </c>
      <c r="H96" s="153" t="s">
        <v>12</v>
      </c>
      <c r="I96" s="162"/>
      <c r="J96" s="162"/>
      <c r="K96" s="163"/>
      <c r="L96" s="87">
        <f t="shared" ref="L96:N96" ca="1" si="56">L98+L102</f>
        <v>318960</v>
      </c>
      <c r="M96" s="87">
        <f t="shared" ca="1" si="56"/>
        <v>265590</v>
      </c>
      <c r="N96" s="87">
        <f t="shared" ca="1" si="56"/>
        <v>228359</v>
      </c>
      <c r="O96" s="155">
        <f t="shared" ca="1" si="53"/>
        <v>71.594870830198147</v>
      </c>
      <c r="P96" s="155">
        <f t="shared" ca="1" si="54"/>
        <v>85.98177642230506</v>
      </c>
    </row>
    <row r="97" spans="1:16" ht="21.75" customHeight="1" x14ac:dyDescent="0.3">
      <c r="A97" s="156"/>
      <c r="B97" s="157"/>
      <c r="C97" s="157" t="s">
        <v>16</v>
      </c>
      <c r="D97" s="158" t="s">
        <v>38</v>
      </c>
      <c r="E97" s="159"/>
      <c r="F97" s="159"/>
      <c r="G97" s="160" t="s">
        <v>39</v>
      </c>
      <c r="H97" s="161" t="s">
        <v>12</v>
      </c>
      <c r="I97" s="162" t="s">
        <v>40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3">
      <c r="A98" s="156"/>
      <c r="B98" s="157"/>
      <c r="C98" s="157"/>
      <c r="D98" s="166"/>
      <c r="E98" s="159"/>
      <c r="F98" s="159" t="s">
        <v>40</v>
      </c>
      <c r="G98" s="160" t="s">
        <v>41</v>
      </c>
      <c r="H98" s="161" t="s">
        <v>12</v>
      </c>
      <c r="I98" s="162"/>
      <c r="J98" s="162"/>
      <c r="K98" s="163"/>
      <c r="L98" s="167">
        <f ca="1">L99+L100</f>
        <v>134160</v>
      </c>
      <c r="M98" s="167">
        <f ca="1">IFERROR(__xludf.DUMMYFUNCTION("IMPORTRANGE(""https://docs.google.com/spreadsheets/d/1Yj_ptqi66GCucihVvJfMjLAmec39IyEx_6qawtMGysU/edit?usp=sharing"",""สบก!AR26"")"),80790)</f>
        <v>80790</v>
      </c>
      <c r="N98" s="168">
        <f ca="1">IFERROR(__xludf.DUMMYFUNCTION("IMPORTRANGE(""https://docs.google.com/spreadsheets/d/1Yj_ptqi66GCucihVvJfMjLAmec39IyEx_6qawtMGysU/edit?usp=sharing"",""สบก!AS26"")"),43559)</f>
        <v>43559</v>
      </c>
      <c r="O98" s="168">
        <f ca="1">IF(L98&gt;0,N98*100/L98,0)</f>
        <v>32.467948717948715</v>
      </c>
      <c r="P98" s="168">
        <f ca="1">IF(M98&gt;0,N98*100/M98,0)</f>
        <v>53.916326278004703</v>
      </c>
    </row>
    <row r="99" spans="1:16" ht="21.75" customHeight="1" x14ac:dyDescent="0.3">
      <c r="A99" s="156"/>
      <c r="B99" s="157"/>
      <c r="C99" s="157"/>
      <c r="D99" s="166"/>
      <c r="E99" s="159"/>
      <c r="F99" s="159"/>
      <c r="G99" s="169" t="s">
        <v>42</v>
      </c>
      <c r="H99" s="161" t="s">
        <v>12</v>
      </c>
      <c r="I99" s="162"/>
      <c r="J99" s="162"/>
      <c r="K99" s="163"/>
      <c r="L99" s="167">
        <f ca="1">IFERROR(__xludf.DUMMYFUNCTION("IMPORTRANGE(""https://docs.google.com/spreadsheets/d/1Yj_ptqi66GCucihVvJfMjLAmec39IyEx_6qawtMGysU/edit?usp=sharing"",""สบก!AN26"")"),0)</f>
        <v>0</v>
      </c>
      <c r="M99" s="167"/>
      <c r="N99" s="167"/>
      <c r="O99" s="168"/>
      <c r="P99" s="168"/>
    </row>
    <row r="100" spans="1:16" ht="21.75" customHeight="1" x14ac:dyDescent="0.3">
      <c r="A100" s="156"/>
      <c r="B100" s="157"/>
      <c r="C100" s="157"/>
      <c r="D100" s="166"/>
      <c r="E100" s="159"/>
      <c r="F100" s="159"/>
      <c r="G100" s="169" t="s">
        <v>43</v>
      </c>
      <c r="H100" s="161" t="s">
        <v>12</v>
      </c>
      <c r="I100" s="162"/>
      <c r="J100" s="187"/>
      <c r="K100" s="223"/>
      <c r="L100" s="167">
        <f ca="1">IFERROR(__xludf.DUMMYFUNCTION("IMPORTRANGE(""https://docs.google.com/spreadsheets/d/1Yj_ptqi66GCucihVvJfMjLAmec39IyEx_6qawtMGysU/edit?usp=sharing"",""สบก!AO26"")"),134160)</f>
        <v>134160</v>
      </c>
      <c r="M100" s="167"/>
      <c r="N100" s="167"/>
      <c r="O100" s="168"/>
      <c r="P100" s="168"/>
    </row>
    <row r="101" spans="1:16" ht="21.75" customHeight="1" x14ac:dyDescent="0.45">
      <c r="A101" s="170"/>
      <c r="B101" s="80"/>
      <c r="C101" s="81" t="s">
        <v>16</v>
      </c>
      <c r="D101" s="534" t="s">
        <v>23</v>
      </c>
      <c r="E101" s="530"/>
      <c r="F101" s="88"/>
      <c r="G101" s="82" t="s">
        <v>18</v>
      </c>
      <c r="H101" s="171" t="s">
        <v>12</v>
      </c>
      <c r="I101" s="187"/>
      <c r="J101" s="187"/>
      <c r="K101" s="223"/>
      <c r="L101" s="41">
        <v>0</v>
      </c>
      <c r="M101" s="41"/>
      <c r="N101" s="41"/>
      <c r="O101" s="41"/>
      <c r="P101" s="41"/>
    </row>
    <row r="102" spans="1:16" ht="21.75" customHeight="1" x14ac:dyDescent="0.45">
      <c r="A102" s="172"/>
      <c r="B102" s="91"/>
      <c r="C102" s="91"/>
      <c r="D102" s="173"/>
      <c r="E102" s="92"/>
      <c r="F102" s="92"/>
      <c r="G102" s="93" t="s">
        <v>19</v>
      </c>
      <c r="H102" s="174" t="s">
        <v>12</v>
      </c>
      <c r="I102" s="187"/>
      <c r="J102" s="187"/>
      <c r="K102" s="223"/>
      <c r="L102" s="49">
        <f ca="1">IFERROR(__xludf.DUMMYFUNCTION("IMPORTRANGE(""https://docs.google.com/spreadsheets/d/1Yj_ptqi66GCucihVvJfMjLAmec39IyEx_6qawtMGysU/edit?usp=sharing"",""สบก!AP26"")"),184800)</f>
        <v>184800</v>
      </c>
      <c r="M102" s="49">
        <f ca="1">L102</f>
        <v>184800</v>
      </c>
      <c r="N102" s="49">
        <f ca="1">IFERROR(__xludf.DUMMYFUNCTION("IMPORTRANGE(""https://docs.google.com/spreadsheets/d/1Yj_ptqi66GCucihVvJfMjLAmec39IyEx_6qawtMGysU/edit?usp=sharing"",""สบก!AT26"")"),184800)</f>
        <v>184800</v>
      </c>
      <c r="O102" s="49">
        <f ca="1">IF(L102&gt;0,N102*100/L102,0)</f>
        <v>100</v>
      </c>
      <c r="P102" s="49">
        <f ca="1">IF(M102&gt;0,N102*100/M102,0)</f>
        <v>100</v>
      </c>
    </row>
    <row r="103" spans="1:16" ht="21.75" customHeight="1" x14ac:dyDescent="0.3">
      <c r="A103" s="175"/>
      <c r="B103" s="176"/>
      <c r="C103" s="157" t="s">
        <v>16</v>
      </c>
      <c r="D103" s="177" t="s">
        <v>44</v>
      </c>
      <c r="E103" s="178"/>
      <c r="F103" s="178"/>
      <c r="G103" s="179"/>
      <c r="H103" s="180"/>
      <c r="I103" s="162"/>
      <c r="J103" s="187"/>
      <c r="K103" s="223"/>
      <c r="L103" s="168"/>
      <c r="M103" s="168"/>
      <c r="N103" s="168"/>
      <c r="O103" s="181"/>
      <c r="P103" s="181"/>
    </row>
    <row r="104" spans="1:16" ht="21.75" customHeight="1" x14ac:dyDescent="0.3">
      <c r="A104" s="175"/>
      <c r="B104" s="176"/>
      <c r="C104" s="176"/>
      <c r="D104" s="182">
        <v>1</v>
      </c>
      <c r="E104" s="183" t="s">
        <v>45</v>
      </c>
      <c r="F104" s="184"/>
      <c r="G104" s="185"/>
      <c r="H104" s="186"/>
      <c r="I104" s="187"/>
      <c r="J104" s="187">
        <f ca="1">IFERROR(__xludf.DUMMYFUNCTION("IMPORTRANGE(""https://docs.google.com/spreadsheets/d/11923uPwbBZFjjGgGUA6NLw09EwE0CqkOc4q9oUmW1yo/edit?usp=sharing"",""พะเยา!J39"")"),0)</f>
        <v>0</v>
      </c>
      <c r="K104" s="223"/>
      <c r="L104" s="168"/>
      <c r="M104" s="168"/>
      <c r="N104" s="168"/>
      <c r="O104" s="181"/>
      <c r="P104" s="181"/>
    </row>
    <row r="105" spans="1:16" ht="21.75" customHeight="1" x14ac:dyDescent="0.3">
      <c r="A105" s="175"/>
      <c r="B105" s="176"/>
      <c r="C105" s="176"/>
      <c r="D105" s="189">
        <v>2</v>
      </c>
      <c r="E105" s="190" t="s">
        <v>46</v>
      </c>
      <c r="F105" s="191"/>
      <c r="G105" s="192"/>
      <c r="H105" s="186"/>
      <c r="I105" s="187"/>
      <c r="J105" s="187">
        <f ca="1">IFERROR(__xludf.DUMMYFUNCTION("IMPORTRANGE(""https://docs.google.com/spreadsheets/d/11923uPwbBZFjjGgGUA6NLw09EwE0CqkOc4q9oUmW1yo/edit?usp=sharing"",""พะเยา!J40"")"),1)</f>
        <v>1</v>
      </c>
      <c r="K105" s="223"/>
      <c r="L105" s="168" t="s">
        <v>40</v>
      </c>
      <c r="M105" s="168"/>
      <c r="N105" s="168" t="s">
        <v>40</v>
      </c>
      <c r="O105" s="181"/>
      <c r="P105" s="181"/>
    </row>
    <row r="106" spans="1:16" ht="21.75" customHeight="1" x14ac:dyDescent="0.3">
      <c r="A106" s="175"/>
      <c r="B106" s="176"/>
      <c r="C106" s="176"/>
      <c r="D106" s="193"/>
      <c r="E106" s="194" t="s">
        <v>47</v>
      </c>
      <c r="F106" s="195"/>
      <c r="G106" s="196"/>
      <c r="H106" s="186"/>
      <c r="I106" s="187"/>
      <c r="J106" s="187">
        <f ca="1">IFERROR(__xludf.DUMMYFUNCTION("IMPORTRANGE(""https://docs.google.com/spreadsheets/d/11923uPwbBZFjjGgGUA6NLw09EwE0CqkOc4q9oUmW1yo/edit?usp=sharing"",""พะเยา!J41"")"),1)</f>
        <v>1</v>
      </c>
      <c r="K106" s="223"/>
      <c r="L106" s="168"/>
      <c r="M106" s="168"/>
      <c r="N106" s="168"/>
      <c r="O106" s="181"/>
      <c r="P106" s="181"/>
    </row>
    <row r="107" spans="1:16" ht="21.75" customHeight="1" x14ac:dyDescent="0.3">
      <c r="A107" s="175"/>
      <c r="B107" s="176"/>
      <c r="C107" s="176"/>
      <c r="D107" s="193"/>
      <c r="E107" s="194" t="s">
        <v>48</v>
      </c>
      <c r="F107" s="195"/>
      <c r="G107" s="196"/>
      <c r="H107" s="186"/>
      <c r="I107" s="187"/>
      <c r="J107" s="187">
        <f ca="1">IFERROR(__xludf.DUMMYFUNCTION("IMPORTRANGE(""https://docs.google.com/spreadsheets/d/11923uPwbBZFjjGgGUA6NLw09EwE0CqkOc4q9oUmW1yo/edit?usp=sharing"",""พะเยา!J42"")"),1)</f>
        <v>1</v>
      </c>
      <c r="K107" s="223"/>
      <c r="L107" s="168"/>
      <c r="M107" s="168"/>
      <c r="N107" s="168"/>
      <c r="O107" s="181"/>
      <c r="P107" s="181"/>
    </row>
    <row r="108" spans="1:16" ht="21.75" customHeight="1" x14ac:dyDescent="0.3">
      <c r="A108" s="175"/>
      <c r="B108" s="176"/>
      <c r="C108" s="176"/>
      <c r="D108" s="193"/>
      <c r="E108" s="195"/>
      <c r="F108" s="195" t="s">
        <v>60</v>
      </c>
      <c r="G108" s="195"/>
      <c r="H108" s="180" t="s">
        <v>61</v>
      </c>
      <c r="I108" s="202">
        <f ca="1">IFERROR(__xludf.DUMMYFUNCTION("IMPORTRANGE(""https://docs.google.com/spreadsheets/d/11923uPwbBZFjjGgGUA6NLw09EwE0CqkOc4q9oUmW1yo/edit?usp=sharing"",""พะเยา!I43"")"),1)</f>
        <v>1</v>
      </c>
      <c r="J108" s="203">
        <f ca="1">IFERROR(__xludf.DUMMYFUNCTION("IMPORTRANGE(""https://docs.google.com/spreadsheets/d/11923uPwbBZFjjGgGUA6NLw09EwE0CqkOc4q9oUmW1yo/edit?usp=sharing"",""พะเยา!J43"")"),1)</f>
        <v>1</v>
      </c>
      <c r="K108" s="223">
        <f t="shared" ref="K108:K113" ca="1" si="57">IF(I108&gt;0,J108*100/I108,0)</f>
        <v>100</v>
      </c>
      <c r="L108" s="168"/>
      <c r="M108" s="168"/>
      <c r="N108" s="168"/>
      <c r="O108" s="181"/>
      <c r="P108" s="181"/>
    </row>
    <row r="109" spans="1:16" ht="21.75" customHeight="1" x14ac:dyDescent="0.3">
      <c r="A109" s="175"/>
      <c r="B109" s="176"/>
      <c r="C109" s="176"/>
      <c r="D109" s="193"/>
      <c r="E109" s="198"/>
      <c r="F109" s="194" t="s">
        <v>62</v>
      </c>
      <c r="G109" s="195"/>
      <c r="H109" s="180" t="s">
        <v>37</v>
      </c>
      <c r="I109" s="202">
        <f ca="1">IFERROR(__xludf.DUMMYFUNCTION("IMPORTRANGE(""https://docs.google.com/spreadsheets/d/11923uPwbBZFjjGgGUA6NLw09EwE0CqkOc4q9oUmW1yo/edit?usp=sharing"",""พะเยา!I44"")"),7)</f>
        <v>7</v>
      </c>
      <c r="J109" s="203">
        <f ca="1">IFERROR(__xludf.DUMMYFUNCTION("IMPORTRANGE(""https://docs.google.com/spreadsheets/d/11923uPwbBZFjjGgGUA6NLw09EwE0CqkOc4q9oUmW1yo/edit?usp=sharing"",""พะเยา!J44"")"),7)</f>
        <v>7</v>
      </c>
      <c r="K109" s="223">
        <f t="shared" ca="1" si="57"/>
        <v>100</v>
      </c>
      <c r="L109" s="168"/>
      <c r="M109" s="168"/>
      <c r="N109" s="168"/>
      <c r="O109" s="181"/>
      <c r="P109" s="181"/>
    </row>
    <row r="110" spans="1:16" ht="21.75" customHeight="1" x14ac:dyDescent="0.3">
      <c r="A110" s="175"/>
      <c r="B110" s="176"/>
      <c r="C110" s="176"/>
      <c r="D110" s="193"/>
      <c r="E110" s="198"/>
      <c r="F110" s="195"/>
      <c r="G110" s="224" t="s">
        <v>63</v>
      </c>
      <c r="H110" s="180" t="s">
        <v>37</v>
      </c>
      <c r="I110" s="202">
        <f ca="1">IFERROR(__xludf.DUMMYFUNCTION("IMPORTRANGE(""https://docs.google.com/spreadsheets/d/11923uPwbBZFjjGgGUA6NLw09EwE0CqkOc4q9oUmW1yo/edit?usp=sharing"",""พะเยา!I45"")"),7)</f>
        <v>7</v>
      </c>
      <c r="J110" s="203">
        <f ca="1">IFERROR(__xludf.DUMMYFUNCTION("IMPORTRANGE(""https://docs.google.com/spreadsheets/d/11923uPwbBZFjjGgGUA6NLw09EwE0CqkOc4q9oUmW1yo/edit?usp=sharing"",""พะเยา!J45"")"),7)</f>
        <v>7</v>
      </c>
      <c r="K110" s="223">
        <f t="shared" ca="1" si="57"/>
        <v>100</v>
      </c>
      <c r="L110" s="168"/>
      <c r="M110" s="168"/>
      <c r="N110" s="168"/>
      <c r="O110" s="181"/>
      <c r="P110" s="181"/>
    </row>
    <row r="111" spans="1:16" ht="21.75" customHeight="1" x14ac:dyDescent="0.3">
      <c r="A111" s="175"/>
      <c r="B111" s="176"/>
      <c r="C111" s="176"/>
      <c r="D111" s="193"/>
      <c r="E111" s="198"/>
      <c r="F111" s="195"/>
      <c r="G111" s="224" t="s">
        <v>64</v>
      </c>
      <c r="H111" s="180" t="s">
        <v>37</v>
      </c>
      <c r="I111" s="202">
        <f ca="1">IFERROR(__xludf.DUMMYFUNCTION("IMPORTRANGE(""https://docs.google.com/spreadsheets/d/11923uPwbBZFjjGgGUA6NLw09EwE0CqkOc4q9oUmW1yo/edit?usp=sharing"",""พะเยา!I46"")"),7)</f>
        <v>7</v>
      </c>
      <c r="J111" s="203">
        <f ca="1">IFERROR(__xludf.DUMMYFUNCTION("IMPORTRANGE(""https://docs.google.com/spreadsheets/d/11923uPwbBZFjjGgGUA6NLw09EwE0CqkOc4q9oUmW1yo/edit?usp=sharing"",""พะเยา!J46"")"),0)</f>
        <v>0</v>
      </c>
      <c r="K111" s="223">
        <f t="shared" ca="1" si="57"/>
        <v>0</v>
      </c>
      <c r="L111" s="168"/>
      <c r="M111" s="168"/>
      <c r="N111" s="168"/>
      <c r="O111" s="181"/>
      <c r="P111" s="181"/>
    </row>
    <row r="112" spans="1:16" ht="21.75" customHeight="1" x14ac:dyDescent="0.3">
      <c r="A112" s="175"/>
      <c r="B112" s="176"/>
      <c r="C112" s="176"/>
      <c r="D112" s="193"/>
      <c r="E112" s="198"/>
      <c r="F112" s="195"/>
      <c r="G112" s="225" t="s">
        <v>65</v>
      </c>
      <c r="H112" s="180" t="s">
        <v>37</v>
      </c>
      <c r="I112" s="202">
        <f ca="1">IFERROR(__xludf.DUMMYFUNCTION("IMPORTRANGE(""https://docs.google.com/spreadsheets/d/11923uPwbBZFjjGgGUA6NLw09EwE0CqkOc4q9oUmW1yo/edit?usp=sharing"",""พะเยา!I47"")"),7)</f>
        <v>7</v>
      </c>
      <c r="J112" s="203">
        <f ca="1">IFERROR(__xludf.DUMMYFUNCTION("IMPORTRANGE(""https://docs.google.com/spreadsheets/d/11923uPwbBZFjjGgGUA6NLw09EwE0CqkOc4q9oUmW1yo/edit?usp=sharing"",""พะเยา!J47"")"),0)</f>
        <v>0</v>
      </c>
      <c r="K112" s="223">
        <f t="shared" ca="1" si="57"/>
        <v>0</v>
      </c>
      <c r="L112" s="168"/>
      <c r="M112" s="168"/>
      <c r="N112" s="168"/>
      <c r="O112" s="181"/>
      <c r="P112" s="181"/>
    </row>
    <row r="113" spans="1:16" ht="21.75" customHeight="1" x14ac:dyDescent="0.3">
      <c r="A113" s="175"/>
      <c r="B113" s="176"/>
      <c r="C113" s="176"/>
      <c r="D113" s="193"/>
      <c r="E113" s="198"/>
      <c r="F113" s="195" t="s">
        <v>66</v>
      </c>
      <c r="G113" s="195"/>
      <c r="H113" s="180" t="s">
        <v>59</v>
      </c>
      <c r="I113" s="202">
        <f ca="1">IFERROR(__xludf.DUMMYFUNCTION("IMPORTRANGE(""https://docs.google.com/spreadsheets/d/11923uPwbBZFjjGgGUA6NLw09EwE0CqkOc4q9oUmW1yo/edit?usp=sharing"",""พะเยา!I48"")"),2)</f>
        <v>2</v>
      </c>
      <c r="J113" s="203">
        <f ca="1">IFERROR(__xludf.DUMMYFUNCTION("IMPORTRANGE(""https://docs.google.com/spreadsheets/d/11923uPwbBZFjjGgGUA6NLw09EwE0CqkOc4q9oUmW1yo/edit?usp=sharing"",""พะเยา!J48"")"),0)</f>
        <v>0</v>
      </c>
      <c r="K113" s="223">
        <f t="shared" ca="1" si="57"/>
        <v>0</v>
      </c>
      <c r="L113" s="168"/>
      <c r="M113" s="168"/>
      <c r="N113" s="168"/>
      <c r="O113" s="181"/>
      <c r="P113" s="181"/>
    </row>
    <row r="114" spans="1:16" ht="21.75" customHeight="1" x14ac:dyDescent="0.3">
      <c r="A114" s="175"/>
      <c r="B114" s="176"/>
      <c r="C114" s="176"/>
      <c r="D114" s="193"/>
      <c r="E114" s="194" t="s">
        <v>54</v>
      </c>
      <c r="F114" s="195"/>
      <c r="G114" s="196"/>
      <c r="H114" s="186"/>
      <c r="I114" s="187"/>
      <c r="J114" s="187">
        <f ca="1">IFERROR(__xludf.DUMMYFUNCTION("IMPORTRANGE(""https://docs.google.com/spreadsheets/d/11923uPwbBZFjjGgGUA6NLw09EwE0CqkOc4q9oUmW1yo/edit?usp=sharing"",""พะเยา!J49"")"),0)</f>
        <v>0</v>
      </c>
      <c r="K114" s="223"/>
      <c r="L114" s="168"/>
      <c r="M114" s="168"/>
      <c r="N114" s="168"/>
      <c r="O114" s="181"/>
      <c r="P114" s="181"/>
    </row>
    <row r="115" spans="1:16" ht="21.75" customHeight="1" x14ac:dyDescent="0.3">
      <c r="A115" s="175"/>
      <c r="B115" s="176"/>
      <c r="C115" s="176"/>
      <c r="D115" s="205">
        <v>3</v>
      </c>
      <c r="E115" s="206" t="s">
        <v>55</v>
      </c>
      <c r="F115" s="207"/>
      <c r="G115" s="208"/>
      <c r="H115" s="186"/>
      <c r="I115" s="187"/>
      <c r="J115" s="226">
        <f ca="1">IFERROR(__xludf.DUMMYFUNCTION("IMPORTRANGE(""https://docs.google.com/spreadsheets/d/11923uPwbBZFjjGgGUA6NLw09EwE0CqkOc4q9oUmW1yo/edit?usp=sharing"",""พะเยา!J50"")"),0)</f>
        <v>0</v>
      </c>
      <c r="K115" s="223"/>
      <c r="L115" s="168"/>
      <c r="M115" s="168"/>
      <c r="N115" s="168"/>
      <c r="O115" s="181"/>
      <c r="P115" s="181"/>
    </row>
    <row r="116" spans="1:16" ht="21.75" customHeight="1" x14ac:dyDescent="0.3">
      <c r="A116" s="210" t="s">
        <v>67</v>
      </c>
      <c r="B116" s="227"/>
      <c r="C116" s="228"/>
      <c r="D116" s="227"/>
      <c r="E116" s="229"/>
      <c r="F116" s="229"/>
      <c r="G116" s="230"/>
      <c r="H116" s="215"/>
      <c r="I116" s="216"/>
      <c r="J116" s="216"/>
      <c r="K116" s="217"/>
      <c r="L116" s="218"/>
      <c r="M116" s="218"/>
      <c r="N116" s="218"/>
      <c r="O116" s="219"/>
      <c r="P116" s="219"/>
    </row>
    <row r="117" spans="1:16" ht="21.75" customHeight="1" x14ac:dyDescent="0.3">
      <c r="A117" s="137"/>
      <c r="B117" s="138" t="s">
        <v>68</v>
      </c>
      <c r="C117" s="231"/>
      <c r="D117" s="139"/>
      <c r="E117" s="138"/>
      <c r="F117" s="138"/>
      <c r="G117" s="220"/>
      <c r="H117" s="140" t="s">
        <v>37</v>
      </c>
      <c r="I117" s="141">
        <f ca="1">IFERROR(__xludf.DUMMYFUNCTION("IMPORTRANGE(""https://docs.google.com/spreadsheets/d/11923uPwbBZFjjGgGUA6NLw09EwE0CqkOc4q9oUmW1yo/edit?usp=sharing"",""พะเยา!I52"")"),20)</f>
        <v>20</v>
      </c>
      <c r="J117" s="141">
        <f ca="1">IFERROR(__xludf.DUMMYFUNCTION("IMPORTRANGE(""https://docs.google.com/spreadsheets/d/11923uPwbBZFjjGgGUA6NLw09EwE0CqkOc4q9oUmW1yo/edit?usp=sharing"",""พะเยา!J52"")"),20)</f>
        <v>20</v>
      </c>
      <c r="K117" s="142">
        <f ca="1">IF(I117&gt;0,J117*100/I117,0)</f>
        <v>100</v>
      </c>
      <c r="L117" s="143"/>
      <c r="M117" s="143"/>
      <c r="N117" s="144"/>
      <c r="O117" s="142"/>
      <c r="P117" s="142"/>
    </row>
    <row r="118" spans="1:16" ht="21.75" customHeight="1" x14ac:dyDescent="0.45">
      <c r="A118" s="145"/>
      <c r="B118" s="146"/>
      <c r="C118" s="147" t="s">
        <v>16</v>
      </c>
      <c r="D118" s="537" t="s">
        <v>17</v>
      </c>
      <c r="E118" s="528"/>
      <c r="F118" s="528"/>
      <c r="G118" s="528"/>
      <c r="H118" s="148" t="s">
        <v>12</v>
      </c>
      <c r="I118" s="162"/>
      <c r="J118" s="162"/>
      <c r="K118" s="163"/>
      <c r="L118" s="151">
        <f t="shared" ref="L118:N118" ca="1" si="58">L119+L120</f>
        <v>82440</v>
      </c>
      <c r="M118" s="151">
        <f t="shared" ca="1" si="58"/>
        <v>66440</v>
      </c>
      <c r="N118" s="151">
        <f t="shared" ca="1" si="58"/>
        <v>38876</v>
      </c>
      <c r="O118" s="150">
        <f t="shared" ref="O118:O120" ca="1" si="59">IF(L118&gt;0,N118*100/L118,0)</f>
        <v>47.156720038816111</v>
      </c>
      <c r="P118" s="150">
        <f t="shared" ref="P118:P120" ca="1" si="60">IF(M118&gt;0,N118*100/M118,0)</f>
        <v>58.512944009632754</v>
      </c>
    </row>
    <row r="119" spans="1:16" ht="21.75" customHeight="1" x14ac:dyDescent="0.45">
      <c r="A119" s="152"/>
      <c r="B119" s="32"/>
      <c r="C119" s="32"/>
      <c r="D119" s="32"/>
      <c r="E119" s="32"/>
      <c r="F119" s="32"/>
      <c r="G119" s="33" t="s">
        <v>18</v>
      </c>
      <c r="H119" s="153" t="s">
        <v>12</v>
      </c>
      <c r="I119" s="162"/>
      <c r="J119" s="162"/>
      <c r="K119" s="163"/>
      <c r="L119" s="87">
        <f t="shared" ref="L119:N119" si="61">L121+L125</f>
        <v>0</v>
      </c>
      <c r="M119" s="87">
        <f t="shared" si="61"/>
        <v>0</v>
      </c>
      <c r="N119" s="87">
        <f t="shared" si="61"/>
        <v>0</v>
      </c>
      <c r="O119" s="155">
        <f t="shared" si="59"/>
        <v>0</v>
      </c>
      <c r="P119" s="155">
        <f t="shared" si="60"/>
        <v>0</v>
      </c>
    </row>
    <row r="120" spans="1:16" ht="21.75" customHeight="1" x14ac:dyDescent="0.45">
      <c r="A120" s="152"/>
      <c r="B120" s="32"/>
      <c r="C120" s="32"/>
      <c r="D120" s="32"/>
      <c r="E120" s="32"/>
      <c r="F120" s="32"/>
      <c r="G120" s="33" t="s">
        <v>19</v>
      </c>
      <c r="H120" s="153" t="s">
        <v>12</v>
      </c>
      <c r="I120" s="162"/>
      <c r="J120" s="162"/>
      <c r="K120" s="163"/>
      <c r="L120" s="87">
        <f t="shared" ref="L120:N120" ca="1" si="62">L122+L126</f>
        <v>82440</v>
      </c>
      <c r="M120" s="87">
        <f t="shared" ca="1" si="62"/>
        <v>66440</v>
      </c>
      <c r="N120" s="87">
        <f t="shared" ca="1" si="62"/>
        <v>38876</v>
      </c>
      <c r="O120" s="155">
        <f t="shared" ca="1" si="59"/>
        <v>47.156720038816111</v>
      </c>
      <c r="P120" s="155">
        <f t="shared" ca="1" si="60"/>
        <v>58.512944009632754</v>
      </c>
    </row>
    <row r="121" spans="1:16" ht="21.75" customHeight="1" x14ac:dyDescent="0.3">
      <c r="A121" s="156"/>
      <c r="B121" s="157"/>
      <c r="C121" s="157" t="s">
        <v>16</v>
      </c>
      <c r="D121" s="158" t="s">
        <v>38</v>
      </c>
      <c r="E121" s="159"/>
      <c r="F121" s="159"/>
      <c r="G121" s="160" t="s">
        <v>39</v>
      </c>
      <c r="H121" s="161" t="s">
        <v>12</v>
      </c>
      <c r="I121" s="162" t="s">
        <v>40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3">
      <c r="A122" s="156"/>
      <c r="B122" s="157"/>
      <c r="C122" s="157"/>
      <c r="D122" s="166"/>
      <c r="E122" s="159"/>
      <c r="F122" s="159" t="s">
        <v>40</v>
      </c>
      <c r="G122" s="160" t="s">
        <v>41</v>
      </c>
      <c r="H122" s="161" t="s">
        <v>12</v>
      </c>
      <c r="I122" s="162"/>
      <c r="J122" s="162"/>
      <c r="K122" s="163"/>
      <c r="L122" s="167">
        <f ca="1">L123+L124</f>
        <v>82440</v>
      </c>
      <c r="M122" s="167">
        <f ca="1">IFERROR(__xludf.DUMMYFUNCTION("IMPORTRANGE(""https://docs.google.com/spreadsheets/d/1Yj_ptqi66GCucihVvJfMjLAmec39IyEx_6qawtMGysU/edit?usp=sharing"",""สบก!BA26"")"),66440)</f>
        <v>66440</v>
      </c>
      <c r="N122" s="168">
        <f ca="1">IFERROR(__xludf.DUMMYFUNCTION("IMPORTRANGE(""https://docs.google.com/spreadsheets/d/1Yj_ptqi66GCucihVvJfMjLAmec39IyEx_6qawtMGysU/edit?usp=sharing"",""สบก!BB26"")"),38876)</f>
        <v>38876</v>
      </c>
      <c r="O122" s="168">
        <f ca="1">IF(L122&gt;0,N122*100/L122,0)</f>
        <v>47.156720038816111</v>
      </c>
      <c r="P122" s="168">
        <f ca="1">IF(M122&gt;0,N122*100/M122,0)</f>
        <v>58.512944009632754</v>
      </c>
    </row>
    <row r="123" spans="1:16" ht="21.75" customHeight="1" x14ac:dyDescent="0.3">
      <c r="A123" s="156"/>
      <c r="B123" s="157"/>
      <c r="C123" s="157"/>
      <c r="D123" s="166"/>
      <c r="E123" s="159"/>
      <c r="F123" s="159"/>
      <c r="G123" s="169" t="s">
        <v>42</v>
      </c>
      <c r="H123" s="161" t="s">
        <v>12</v>
      </c>
      <c r="I123" s="162"/>
      <c r="J123" s="162"/>
      <c r="K123" s="163"/>
      <c r="L123" s="167">
        <f ca="1">IFERROR(__xludf.DUMMYFUNCTION("IMPORTRANGE(""https://docs.google.com/spreadsheets/d/1Yj_ptqi66GCucihVvJfMjLAmec39IyEx_6qawtMGysU/edit?usp=sharing"",""สบก!AW26"")"),0)</f>
        <v>0</v>
      </c>
      <c r="M123" s="167"/>
      <c r="N123" s="167"/>
      <c r="O123" s="168"/>
      <c r="P123" s="168"/>
    </row>
    <row r="124" spans="1:16" ht="21.75" customHeight="1" x14ac:dyDescent="0.3">
      <c r="A124" s="156"/>
      <c r="B124" s="157"/>
      <c r="C124" s="157"/>
      <c r="D124" s="166"/>
      <c r="E124" s="159"/>
      <c r="F124" s="159"/>
      <c r="G124" s="169" t="s">
        <v>43</v>
      </c>
      <c r="H124" s="161" t="s">
        <v>12</v>
      </c>
      <c r="I124" s="162"/>
      <c r="J124" s="187"/>
      <c r="K124" s="223"/>
      <c r="L124" s="167">
        <f ca="1">IFERROR(__xludf.DUMMYFUNCTION("IMPORTRANGE(""https://docs.google.com/spreadsheets/d/1Yj_ptqi66GCucihVvJfMjLAmec39IyEx_6qawtMGysU/edit?usp=sharing"",""สบก!AX26"")"),82440)</f>
        <v>82440</v>
      </c>
      <c r="M124" s="167"/>
      <c r="N124" s="167"/>
      <c r="O124" s="168"/>
      <c r="P124" s="168"/>
    </row>
    <row r="125" spans="1:16" ht="21.75" customHeight="1" x14ac:dyDescent="0.45">
      <c r="A125" s="170"/>
      <c r="B125" s="80"/>
      <c r="C125" s="81" t="s">
        <v>16</v>
      </c>
      <c r="D125" s="534" t="s">
        <v>23</v>
      </c>
      <c r="E125" s="530"/>
      <c r="F125" s="88"/>
      <c r="G125" s="82" t="s">
        <v>18</v>
      </c>
      <c r="H125" s="171" t="s">
        <v>12</v>
      </c>
      <c r="I125" s="187"/>
      <c r="J125" s="187"/>
      <c r="K125" s="223"/>
      <c r="L125" s="41">
        <v>0</v>
      </c>
      <c r="M125" s="41"/>
      <c r="N125" s="41"/>
      <c r="O125" s="41"/>
      <c r="P125" s="41"/>
    </row>
    <row r="126" spans="1:16" ht="21.75" customHeight="1" x14ac:dyDescent="0.45">
      <c r="A126" s="172"/>
      <c r="B126" s="91"/>
      <c r="C126" s="91"/>
      <c r="D126" s="173"/>
      <c r="E126" s="92"/>
      <c r="F126" s="92"/>
      <c r="G126" s="93" t="s">
        <v>19</v>
      </c>
      <c r="H126" s="174" t="s">
        <v>12</v>
      </c>
      <c r="I126" s="187"/>
      <c r="J126" s="187"/>
      <c r="K126" s="223"/>
      <c r="L126" s="49">
        <f ca="1">IFERROR(__xludf.DUMMYFUNCTION("IMPORTRANGE(""https://docs.google.com/spreadsheets/d/1Yj_ptqi66GCucihVvJfMjLAmec39IyEx_6qawtMGysU/edit?usp=sharing"",""สบก!AY26"")"),0)</f>
        <v>0</v>
      </c>
      <c r="M126" s="49"/>
      <c r="N126" s="49">
        <f ca="1">IFERROR(__xludf.DUMMYFUNCTION("IMPORTRANGE(""https://docs.google.com/spreadsheets/d/1Yj_ptqi66GCucihVvJfMjLAmec39IyEx_6qawtMGysU/edit?usp=sharing"",""สบก!BC26"")"),0)</f>
        <v>0</v>
      </c>
      <c r="O126" s="49">
        <f ca="1">IF(L126&gt;0,N126*100/L126,0)</f>
        <v>0</v>
      </c>
      <c r="P126" s="49"/>
    </row>
    <row r="127" spans="1:16" ht="21.75" customHeight="1" x14ac:dyDescent="0.3">
      <c r="A127" s="175"/>
      <c r="B127" s="176"/>
      <c r="C127" s="157" t="s">
        <v>16</v>
      </c>
      <c r="D127" s="232" t="s">
        <v>251</v>
      </c>
      <c r="E127" s="178"/>
      <c r="F127" s="178"/>
      <c r="G127" s="179"/>
      <c r="H127" s="180"/>
      <c r="I127" s="162"/>
      <c r="J127" s="187"/>
      <c r="K127" s="223"/>
      <c r="L127" s="168"/>
      <c r="M127" s="168"/>
      <c r="N127" s="168"/>
      <c r="O127" s="181"/>
      <c r="P127" s="181"/>
    </row>
    <row r="128" spans="1:16" ht="21.75" customHeight="1" x14ac:dyDescent="0.3">
      <c r="A128" s="175"/>
      <c r="B128" s="176"/>
      <c r="C128" s="176"/>
      <c r="D128" s="182">
        <v>1</v>
      </c>
      <c r="E128" s="183" t="s">
        <v>45</v>
      </c>
      <c r="F128" s="184"/>
      <c r="G128" s="185"/>
      <c r="H128" s="186"/>
      <c r="I128" s="187"/>
      <c r="J128" s="203">
        <f ca="1">IFERROR(__xludf.DUMMYFUNCTION("IMPORTRANGE(""https://docs.google.com/spreadsheets/d/11923uPwbBZFjjGgGUA6NLw09EwE0CqkOc4q9oUmW1yo/edit?usp=sharing"",""พะเยา!J58"")"),0)</f>
        <v>0</v>
      </c>
      <c r="K128" s="223"/>
      <c r="L128" s="168"/>
      <c r="M128" s="168"/>
      <c r="N128" s="168"/>
      <c r="O128" s="181"/>
      <c r="P128" s="181"/>
    </row>
    <row r="129" spans="1:16" ht="21.75" customHeight="1" x14ac:dyDescent="0.3">
      <c r="A129" s="175"/>
      <c r="B129" s="176"/>
      <c r="C129" s="176"/>
      <c r="D129" s="189">
        <v>2</v>
      </c>
      <c r="E129" s="190" t="s">
        <v>46</v>
      </c>
      <c r="F129" s="191"/>
      <c r="G129" s="192"/>
      <c r="H129" s="186"/>
      <c r="I129" s="187"/>
      <c r="J129" s="187">
        <f ca="1">IFERROR(__xludf.DUMMYFUNCTION("IMPORTRANGE(""https://docs.google.com/spreadsheets/d/11923uPwbBZFjjGgGUA6NLw09EwE0CqkOc4q9oUmW1yo/edit?usp=sharing"",""พะเยา!J59"")"),1)</f>
        <v>1</v>
      </c>
      <c r="K129" s="223"/>
      <c r="L129" s="168" t="s">
        <v>40</v>
      </c>
      <c r="M129" s="168"/>
      <c r="N129" s="168" t="s">
        <v>40</v>
      </c>
      <c r="O129" s="181"/>
      <c r="P129" s="181"/>
    </row>
    <row r="130" spans="1:16" ht="21.75" customHeight="1" x14ac:dyDescent="0.3">
      <c r="A130" s="175"/>
      <c r="B130" s="176"/>
      <c r="C130" s="176"/>
      <c r="D130" s="193"/>
      <c r="E130" s="194" t="s">
        <v>47</v>
      </c>
      <c r="F130" s="195"/>
      <c r="G130" s="196"/>
      <c r="H130" s="186"/>
      <c r="I130" s="187"/>
      <c r="J130" s="187">
        <f ca="1">IFERROR(__xludf.DUMMYFUNCTION("IMPORTRANGE(""https://docs.google.com/spreadsheets/d/11923uPwbBZFjjGgGUA6NLw09EwE0CqkOc4q9oUmW1yo/edit?usp=sharing"",""พะเยา!J60"")"),1)</f>
        <v>1</v>
      </c>
      <c r="K130" s="223"/>
      <c r="L130" s="168"/>
      <c r="M130" s="168"/>
      <c r="N130" s="168"/>
      <c r="O130" s="181"/>
      <c r="P130" s="181"/>
    </row>
    <row r="131" spans="1:16" ht="21.75" customHeight="1" x14ac:dyDescent="0.3">
      <c r="A131" s="175"/>
      <c r="B131" s="176"/>
      <c r="C131" s="176"/>
      <c r="D131" s="193"/>
      <c r="E131" s="194" t="s">
        <v>48</v>
      </c>
      <c r="F131" s="195"/>
      <c r="G131" s="196"/>
      <c r="H131" s="186"/>
      <c r="I131" s="187"/>
      <c r="J131" s="187">
        <f ca="1">IFERROR(__xludf.DUMMYFUNCTION("IMPORTRANGE(""https://docs.google.com/spreadsheets/d/11923uPwbBZFjjGgGUA6NLw09EwE0CqkOc4q9oUmW1yo/edit?usp=sharing"",""พะเยา!J61"")"),1)</f>
        <v>1</v>
      </c>
      <c r="K131" s="223"/>
      <c r="L131" s="168"/>
      <c r="M131" s="168"/>
      <c r="N131" s="168"/>
      <c r="O131" s="181"/>
      <c r="P131" s="181"/>
    </row>
    <row r="132" spans="1:16" ht="21.75" customHeight="1" x14ac:dyDescent="0.3">
      <c r="A132" s="175"/>
      <c r="B132" s="176"/>
      <c r="C132" s="176"/>
      <c r="D132" s="193"/>
      <c r="E132" s="198"/>
      <c r="F132" s="194" t="s">
        <v>70</v>
      </c>
      <c r="G132" s="196"/>
      <c r="H132" s="180" t="s">
        <v>37</v>
      </c>
      <c r="I132" s="187">
        <f ca="1">IFERROR(__xludf.DUMMYFUNCTION("IMPORTRANGE(""https://docs.google.com/spreadsheets/d/11923uPwbBZFjjGgGUA6NLw09EwE0CqkOc4q9oUmW1yo/edit?usp=sharing"",""พะเยา!I62"")"),20)</f>
        <v>20</v>
      </c>
      <c r="J132" s="203">
        <f ca="1">IFERROR(__xludf.DUMMYFUNCTION("IMPORTRANGE(""https://docs.google.com/spreadsheets/d/11923uPwbBZFjjGgGUA6NLw09EwE0CqkOc4q9oUmW1yo/edit?usp=sharing"",""พะเยา!J62"")"),20)</f>
        <v>20</v>
      </c>
      <c r="K132" s="223">
        <f t="shared" ref="K132:K133" ca="1" si="63">IF(I132&gt;0,J132*100/I132,0)</f>
        <v>100</v>
      </c>
      <c r="L132" s="168"/>
      <c r="M132" s="168"/>
      <c r="N132" s="168"/>
      <c r="O132" s="181"/>
      <c r="P132" s="181"/>
    </row>
    <row r="133" spans="1:16" ht="21.75" customHeight="1" x14ac:dyDescent="0.3">
      <c r="A133" s="175"/>
      <c r="B133" s="176"/>
      <c r="C133" s="176"/>
      <c r="D133" s="193"/>
      <c r="E133" s="198"/>
      <c r="F133" s="194" t="s">
        <v>71</v>
      </c>
      <c r="G133" s="196"/>
      <c r="H133" s="180" t="s">
        <v>37</v>
      </c>
      <c r="I133" s="187">
        <f ca="1">IFERROR(__xludf.DUMMYFUNCTION("IMPORTRANGE(""https://docs.google.com/spreadsheets/d/11923uPwbBZFjjGgGUA6NLw09EwE0CqkOc4q9oUmW1yo/edit?usp=sharing"",""พะเยา!I63"")"),20)</f>
        <v>20</v>
      </c>
      <c r="J133" s="203">
        <f ca="1">IFERROR(__xludf.DUMMYFUNCTION("IMPORTRANGE(""https://docs.google.com/spreadsheets/d/11923uPwbBZFjjGgGUA6NLw09EwE0CqkOc4q9oUmW1yo/edit?usp=sharing"",""พะเยา!J63"")"),0)</f>
        <v>0</v>
      </c>
      <c r="K133" s="223">
        <f t="shared" ca="1" si="63"/>
        <v>0</v>
      </c>
      <c r="L133" s="168"/>
      <c r="M133" s="168"/>
      <c r="N133" s="168"/>
      <c r="O133" s="181"/>
      <c r="P133" s="181"/>
    </row>
    <row r="134" spans="1:16" ht="21.75" customHeight="1" x14ac:dyDescent="0.3">
      <c r="A134" s="175"/>
      <c r="B134" s="176"/>
      <c r="C134" s="176"/>
      <c r="D134" s="193"/>
      <c r="E134" s="194" t="s">
        <v>54</v>
      </c>
      <c r="F134" s="195"/>
      <c r="G134" s="196"/>
      <c r="H134" s="186"/>
      <c r="I134" s="187"/>
      <c r="J134" s="187">
        <f ca="1">IFERROR(__xludf.DUMMYFUNCTION("IMPORTRANGE(""https://docs.google.com/spreadsheets/d/11923uPwbBZFjjGgGUA6NLw09EwE0CqkOc4q9oUmW1yo/edit?usp=sharing"",""พะเยา!J64"")"),0)</f>
        <v>0</v>
      </c>
      <c r="K134" s="223"/>
      <c r="L134" s="168"/>
      <c r="M134" s="168"/>
      <c r="N134" s="168"/>
      <c r="O134" s="181"/>
      <c r="P134" s="181"/>
    </row>
    <row r="135" spans="1:16" ht="21.75" customHeight="1" x14ac:dyDescent="0.3">
      <c r="A135" s="233"/>
      <c r="B135" s="234"/>
      <c r="C135" s="234"/>
      <c r="D135" s="235">
        <v>3</v>
      </c>
      <c r="E135" s="236" t="s">
        <v>55</v>
      </c>
      <c r="F135" s="237"/>
      <c r="G135" s="238"/>
      <c r="H135" s="239"/>
      <c r="I135" s="240"/>
      <c r="J135" s="241">
        <f ca="1">IFERROR(__xludf.DUMMYFUNCTION("IMPORTRANGE(""https://docs.google.com/spreadsheets/d/11923uPwbBZFjjGgGUA6NLw09EwE0CqkOc4q9oUmW1yo/edit?usp=sharing"",""พะเยา!J65"")"),0)</f>
        <v>0</v>
      </c>
      <c r="K135" s="242"/>
      <c r="L135" s="243"/>
      <c r="M135" s="243"/>
      <c r="N135" s="243"/>
      <c r="O135" s="244"/>
      <c r="P135" s="244"/>
    </row>
    <row r="136" spans="1:16" ht="21.75" customHeight="1" x14ac:dyDescent="0.3">
      <c r="A136" s="245" t="s">
        <v>72</v>
      </c>
      <c r="B136" s="246"/>
      <c r="C136" s="246"/>
      <c r="D136" s="246"/>
      <c r="E136" s="247"/>
      <c r="F136" s="247"/>
      <c r="G136" s="248"/>
      <c r="H136" s="249"/>
      <c r="I136" s="250"/>
      <c r="J136" s="250"/>
      <c r="K136" s="251"/>
      <c r="L136" s="252"/>
      <c r="M136" s="252"/>
      <c r="N136" s="252"/>
      <c r="O136" s="252"/>
      <c r="P136" s="252"/>
    </row>
    <row r="137" spans="1:16" ht="21.75" customHeight="1" x14ac:dyDescent="0.3">
      <c r="A137" s="253" t="s">
        <v>73</v>
      </c>
      <c r="B137" s="254"/>
      <c r="C137" s="254"/>
      <c r="D137" s="255"/>
      <c r="E137" s="255"/>
      <c r="F137" s="255"/>
      <c r="G137" s="256"/>
      <c r="H137" s="257"/>
      <c r="I137" s="258"/>
      <c r="J137" s="258"/>
      <c r="K137" s="259"/>
      <c r="L137" s="259"/>
      <c r="M137" s="259"/>
      <c r="N137" s="259"/>
      <c r="O137" s="260"/>
      <c r="P137" s="260"/>
    </row>
    <row r="138" spans="1:16" ht="21.75" customHeight="1" x14ac:dyDescent="0.3">
      <c r="A138" s="261"/>
      <c r="B138" s="262" t="s">
        <v>74</v>
      </c>
      <c r="C138" s="263"/>
      <c r="D138" s="262"/>
      <c r="E138" s="262"/>
      <c r="F138" s="262"/>
      <c r="G138" s="264"/>
      <c r="H138" s="265" t="s">
        <v>37</v>
      </c>
      <c r="I138" s="266">
        <f ca="1">IFERROR(__xludf.DUMMYFUNCTION("IMPORTRANGE(""https://docs.google.com/spreadsheets/d/11923uPwbBZFjjGgGUA6NLw09EwE0CqkOc4q9oUmW1yo/edit?usp=sharing"",""พะเยา!I68"")"),55)</f>
        <v>55</v>
      </c>
      <c r="J138" s="266">
        <f ca="1">IFERROR(__xludf.DUMMYFUNCTION("IMPORTRANGE(""https://docs.google.com/spreadsheets/d/11923uPwbBZFjjGgGUA6NLw09EwE0CqkOc4q9oUmW1yo/edit?usp=sharing"",""พะเยา!J68"")"),55)</f>
        <v>55</v>
      </c>
      <c r="K138" s="267">
        <f ca="1">IF(I138&gt;0,J138*100/I138,0)</f>
        <v>100</v>
      </c>
      <c r="L138" s="268"/>
      <c r="M138" s="268"/>
      <c r="N138" s="268"/>
      <c r="O138" s="267"/>
      <c r="P138" s="267"/>
    </row>
    <row r="139" spans="1:16" ht="21.75" customHeight="1" x14ac:dyDescent="0.3">
      <c r="A139" s="261"/>
      <c r="B139" s="262" t="s">
        <v>75</v>
      </c>
      <c r="C139" s="263"/>
      <c r="D139" s="262"/>
      <c r="E139" s="262"/>
      <c r="F139" s="262"/>
      <c r="G139" s="264"/>
      <c r="H139" s="265"/>
      <c r="I139" s="266"/>
      <c r="J139" s="266"/>
      <c r="K139" s="267"/>
      <c r="L139" s="268"/>
      <c r="M139" s="268"/>
      <c r="N139" s="268"/>
      <c r="O139" s="267"/>
      <c r="P139" s="267"/>
    </row>
    <row r="140" spans="1:16" ht="21.75" customHeight="1" x14ac:dyDescent="0.45">
      <c r="A140" s="145"/>
      <c r="B140" s="146"/>
      <c r="C140" s="147" t="s">
        <v>16</v>
      </c>
      <c r="D140" s="537" t="s">
        <v>17</v>
      </c>
      <c r="E140" s="528"/>
      <c r="F140" s="528"/>
      <c r="G140" s="528"/>
      <c r="H140" s="148" t="s">
        <v>12</v>
      </c>
      <c r="I140" s="162"/>
      <c r="J140" s="162"/>
      <c r="K140" s="163"/>
      <c r="L140" s="151">
        <f t="shared" ref="L140:N140" ca="1" si="64">L141+L142</f>
        <v>828600</v>
      </c>
      <c r="M140" s="151">
        <f t="shared" ca="1" si="64"/>
        <v>456950</v>
      </c>
      <c r="N140" s="151">
        <f t="shared" ca="1" si="64"/>
        <v>406241</v>
      </c>
      <c r="O140" s="150">
        <f t="shared" ref="O140:O142" ca="1" si="65">IF(L140&gt;0,N140*100/L140,0)</f>
        <v>49.027395607048035</v>
      </c>
      <c r="P140" s="150">
        <f t="shared" ref="P140:P142" ca="1" si="66">IF(M140&gt;0,N140*100/M140,0)</f>
        <v>88.902724586935108</v>
      </c>
    </row>
    <row r="141" spans="1:16" ht="21.75" customHeight="1" x14ac:dyDescent="0.45">
      <c r="A141" s="152"/>
      <c r="B141" s="32"/>
      <c r="C141" s="32"/>
      <c r="D141" s="32"/>
      <c r="E141" s="32"/>
      <c r="F141" s="32"/>
      <c r="G141" s="33" t="s">
        <v>18</v>
      </c>
      <c r="H141" s="153" t="s">
        <v>12</v>
      </c>
      <c r="I141" s="162"/>
      <c r="J141" s="162"/>
      <c r="K141" s="163"/>
      <c r="L141" s="87">
        <f t="shared" ref="L141:N141" si="67">L143+L147</f>
        <v>0</v>
      </c>
      <c r="M141" s="87">
        <f t="shared" si="67"/>
        <v>0</v>
      </c>
      <c r="N141" s="87">
        <f t="shared" si="67"/>
        <v>0</v>
      </c>
      <c r="O141" s="155">
        <f t="shared" si="65"/>
        <v>0</v>
      </c>
      <c r="P141" s="155">
        <f t="shared" si="66"/>
        <v>0</v>
      </c>
    </row>
    <row r="142" spans="1:16" ht="21.75" customHeight="1" x14ac:dyDescent="0.45">
      <c r="A142" s="152"/>
      <c r="B142" s="32"/>
      <c r="C142" s="32"/>
      <c r="D142" s="32"/>
      <c r="E142" s="32"/>
      <c r="F142" s="32"/>
      <c r="G142" s="33" t="s">
        <v>19</v>
      </c>
      <c r="H142" s="153" t="s">
        <v>12</v>
      </c>
      <c r="I142" s="162"/>
      <c r="J142" s="162"/>
      <c r="K142" s="163"/>
      <c r="L142" s="87">
        <f t="shared" ref="L142:N142" ca="1" si="68">L144+L148</f>
        <v>828600</v>
      </c>
      <c r="M142" s="87">
        <f t="shared" ca="1" si="68"/>
        <v>456950</v>
      </c>
      <c r="N142" s="87">
        <f t="shared" ca="1" si="68"/>
        <v>406241</v>
      </c>
      <c r="O142" s="155">
        <f t="shared" ca="1" si="65"/>
        <v>49.027395607048035</v>
      </c>
      <c r="P142" s="155">
        <f t="shared" ca="1" si="66"/>
        <v>88.902724586935108</v>
      </c>
    </row>
    <row r="143" spans="1:16" ht="21.75" customHeight="1" x14ac:dyDescent="0.3">
      <c r="A143" s="156"/>
      <c r="B143" s="157"/>
      <c r="C143" s="157" t="s">
        <v>16</v>
      </c>
      <c r="D143" s="158" t="s">
        <v>38</v>
      </c>
      <c r="E143" s="159"/>
      <c r="F143" s="159"/>
      <c r="G143" s="160" t="s">
        <v>39</v>
      </c>
      <c r="H143" s="161" t="s">
        <v>12</v>
      </c>
      <c r="I143" s="162" t="s">
        <v>40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3">
      <c r="A144" s="156"/>
      <c r="B144" s="157"/>
      <c r="C144" s="157"/>
      <c r="D144" s="166"/>
      <c r="E144" s="159"/>
      <c r="F144" s="159" t="s">
        <v>40</v>
      </c>
      <c r="G144" s="160" t="s">
        <v>41</v>
      </c>
      <c r="H144" s="161" t="s">
        <v>12</v>
      </c>
      <c r="I144" s="162"/>
      <c r="J144" s="162"/>
      <c r="K144" s="163"/>
      <c r="L144" s="167">
        <f ca="1">L145+L146</f>
        <v>828600</v>
      </c>
      <c r="M144" s="167">
        <f ca="1">IFERROR(__xludf.DUMMYFUNCTION("IMPORTRANGE(""https://docs.google.com/spreadsheets/d/1Yj_ptqi66GCucihVvJfMjLAmec39IyEx_6qawtMGysU/edit?usp=sharing"",""สบก!BJ26"")"),456950)</f>
        <v>456950</v>
      </c>
      <c r="N144" s="168">
        <f ca="1">IFERROR(__xludf.DUMMYFUNCTION("IMPORTRANGE(""https://docs.google.com/spreadsheets/d/1Yj_ptqi66GCucihVvJfMjLAmec39IyEx_6qawtMGysU/edit?usp=sharing"",""สบก!BK26"")"),406241)</f>
        <v>406241</v>
      </c>
      <c r="O144" s="168">
        <f ca="1">IF(L144&gt;0,N144*100/L144,0)</f>
        <v>49.027395607048035</v>
      </c>
      <c r="P144" s="168">
        <f ca="1">IF(M144&gt;0,N144*100/M144,0)</f>
        <v>88.902724586935108</v>
      </c>
    </row>
    <row r="145" spans="1:16" ht="21.75" customHeight="1" x14ac:dyDescent="0.3">
      <c r="A145" s="156"/>
      <c r="B145" s="157"/>
      <c r="C145" s="157"/>
      <c r="D145" s="166"/>
      <c r="E145" s="159"/>
      <c r="F145" s="159"/>
      <c r="G145" s="169" t="s">
        <v>42</v>
      </c>
      <c r="H145" s="161" t="s">
        <v>12</v>
      </c>
      <c r="I145" s="162"/>
      <c r="J145" s="162"/>
      <c r="K145" s="163"/>
      <c r="L145" s="167">
        <f ca="1">IFERROR(__xludf.DUMMYFUNCTION("IMPORTRANGE(""https://docs.google.com/spreadsheets/d/1Yj_ptqi66GCucihVvJfMjLAmec39IyEx_6qawtMGysU/edit?usp=sharing"",""สบก!BF26"")"),462100)</f>
        <v>462100</v>
      </c>
      <c r="M145" s="167"/>
      <c r="N145" s="167"/>
      <c r="O145" s="168"/>
      <c r="P145" s="168"/>
    </row>
    <row r="146" spans="1:16" ht="21.75" customHeight="1" x14ac:dyDescent="0.3">
      <c r="A146" s="156"/>
      <c r="B146" s="157"/>
      <c r="C146" s="157"/>
      <c r="D146" s="166"/>
      <c r="E146" s="159"/>
      <c r="F146" s="159"/>
      <c r="G146" s="169" t="s">
        <v>43</v>
      </c>
      <c r="H146" s="161" t="s">
        <v>12</v>
      </c>
      <c r="I146" s="162"/>
      <c r="J146" s="162"/>
      <c r="K146" s="163"/>
      <c r="L146" s="167">
        <f ca="1">IFERROR(__xludf.DUMMYFUNCTION("IMPORTRANGE(""https://docs.google.com/spreadsheets/d/1Yj_ptqi66GCucihVvJfMjLAmec39IyEx_6qawtMGysU/edit?usp=sharing"",""สบก!BG26"")"),366500)</f>
        <v>366500</v>
      </c>
      <c r="M146" s="167"/>
      <c r="N146" s="167"/>
      <c r="O146" s="168"/>
      <c r="P146" s="168"/>
    </row>
    <row r="147" spans="1:16" ht="21.75" customHeight="1" x14ac:dyDescent="0.45">
      <c r="A147" s="170"/>
      <c r="B147" s="80"/>
      <c r="C147" s="81" t="s">
        <v>16</v>
      </c>
      <c r="D147" s="534" t="s">
        <v>23</v>
      </c>
      <c r="E147" s="530"/>
      <c r="F147" s="88"/>
      <c r="G147" s="82" t="s">
        <v>18</v>
      </c>
      <c r="H147" s="171" t="s">
        <v>12</v>
      </c>
      <c r="I147" s="187"/>
      <c r="J147" s="187"/>
      <c r="K147" s="223"/>
      <c r="L147" s="41">
        <v>0</v>
      </c>
      <c r="M147" s="41"/>
      <c r="N147" s="41"/>
      <c r="O147" s="41"/>
      <c r="P147" s="41"/>
    </row>
    <row r="148" spans="1:16" ht="21.75" customHeight="1" x14ac:dyDescent="0.45">
      <c r="A148" s="172"/>
      <c r="B148" s="91"/>
      <c r="C148" s="91"/>
      <c r="D148" s="173"/>
      <c r="E148" s="92"/>
      <c r="F148" s="92"/>
      <c r="G148" s="93" t="s">
        <v>19</v>
      </c>
      <c r="H148" s="174" t="s">
        <v>12</v>
      </c>
      <c r="I148" s="187"/>
      <c r="J148" s="187"/>
      <c r="K148" s="223"/>
      <c r="L148" s="49">
        <f ca="1">IFERROR(__xludf.DUMMYFUNCTION("IMPORTRANGE(""https://docs.google.com/spreadsheets/d/1Yj_ptqi66GCucihVvJfMjLAmec39IyEx_6qawtMGysU/edit?usp=sharing"",""สบก!BH26"")"),0)</f>
        <v>0</v>
      </c>
      <c r="M148" s="49"/>
      <c r="N148" s="49">
        <f ca="1">IFERROR(__xludf.DUMMYFUNCTION("IMPORTRANGE(""https://docs.google.com/spreadsheets/d/1Yj_ptqi66GCucihVvJfMjLAmec39IyEx_6qawtMGysU/edit?usp=sharing"",""สบก!BL26"")"),0)</f>
        <v>0</v>
      </c>
      <c r="O148" s="49">
        <f ca="1">IF(L148&gt;0,N148*100/L148,0)</f>
        <v>0</v>
      </c>
      <c r="P148" s="49"/>
    </row>
    <row r="149" spans="1:16" ht="21.75" customHeight="1" x14ac:dyDescent="0.3">
      <c r="A149" s="269"/>
      <c r="B149" s="270"/>
      <c r="C149" s="271" t="s">
        <v>76</v>
      </c>
      <c r="D149" s="271"/>
      <c r="E149" s="271"/>
      <c r="F149" s="271"/>
      <c r="G149" s="272"/>
      <c r="H149" s="273" t="s">
        <v>77</v>
      </c>
      <c r="I149" s="274">
        <f ca="1">IFERROR(__xludf.DUMMYFUNCTION("IMPORTRANGE(""https://docs.google.com/spreadsheets/d/11923uPwbBZFjjGgGUA6NLw09EwE0CqkOc4q9oUmW1yo/edit?usp=sharing"",""พะเยา!I74"")"),4)</f>
        <v>4</v>
      </c>
      <c r="J149" s="274">
        <f ca="1">IFERROR(__xludf.DUMMYFUNCTION("IMPORTRANGE(""https://docs.google.com/spreadsheets/d/11923uPwbBZFjjGgGUA6NLw09EwE0CqkOc4q9oUmW1yo/edit?usp=sharing"",""พะเยา!J74"")"),1)</f>
        <v>1</v>
      </c>
      <c r="K149" s="275">
        <f ca="1">IF(I149&gt;0,J149*100/I149,0)</f>
        <v>25</v>
      </c>
      <c r="L149" s="276"/>
      <c r="M149" s="276"/>
      <c r="N149" s="276"/>
      <c r="O149" s="276"/>
      <c r="P149" s="276"/>
    </row>
    <row r="150" spans="1:16" ht="21.75" customHeight="1" x14ac:dyDescent="0.3">
      <c r="A150" s="156"/>
      <c r="B150" s="157"/>
      <c r="C150" s="157" t="s">
        <v>16</v>
      </c>
      <c r="D150" s="158" t="s">
        <v>38</v>
      </c>
      <c r="E150" s="159"/>
      <c r="F150" s="159"/>
      <c r="G150" s="160" t="s">
        <v>39</v>
      </c>
      <c r="H150" s="161" t="s">
        <v>12</v>
      </c>
      <c r="I150" s="162" t="s">
        <v>40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3">
      <c r="A151" s="156"/>
      <c r="B151" s="157"/>
      <c r="C151" s="157"/>
      <c r="D151" s="166"/>
      <c r="E151" s="159"/>
      <c r="F151" s="159" t="s">
        <v>40</v>
      </c>
      <c r="G151" s="160" t="s">
        <v>41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3">
      <c r="A152" s="156"/>
      <c r="B152" s="157"/>
      <c r="C152" s="157"/>
      <c r="D152" s="166"/>
      <c r="E152" s="159"/>
      <c r="F152" s="159"/>
      <c r="G152" s="169" t="s">
        <v>43</v>
      </c>
      <c r="H152" s="161" t="s">
        <v>12</v>
      </c>
      <c r="I152" s="162"/>
      <c r="J152" s="162"/>
      <c r="K152" s="163"/>
      <c r="L152" s="168"/>
      <c r="M152" s="168"/>
      <c r="N152" s="167"/>
      <c r="O152" s="168"/>
      <c r="P152" s="168"/>
    </row>
    <row r="153" spans="1:16" ht="21.75" customHeight="1" x14ac:dyDescent="0.3">
      <c r="A153" s="175"/>
      <c r="B153" s="176"/>
      <c r="C153" s="157" t="s">
        <v>16</v>
      </c>
      <c r="D153" s="177" t="s">
        <v>44</v>
      </c>
      <c r="E153" s="178"/>
      <c r="F153" s="178"/>
      <c r="G153" s="179"/>
      <c r="H153" s="180"/>
      <c r="I153" s="162"/>
      <c r="J153" s="162"/>
      <c r="K153" s="163"/>
      <c r="L153" s="181"/>
      <c r="M153" s="181"/>
      <c r="N153" s="181"/>
      <c r="O153" s="181"/>
      <c r="P153" s="181"/>
    </row>
    <row r="154" spans="1:16" ht="21.75" customHeight="1" x14ac:dyDescent="0.3">
      <c r="A154" s="175"/>
      <c r="B154" s="176"/>
      <c r="C154" s="176"/>
      <c r="D154" s="182">
        <v>1</v>
      </c>
      <c r="E154" s="183" t="s">
        <v>45</v>
      </c>
      <c r="F154" s="184"/>
      <c r="G154" s="185"/>
      <c r="H154" s="186"/>
      <c r="I154" s="187"/>
      <c r="J154" s="188">
        <f ca="1">IFERROR(__xludf.DUMMYFUNCTION("IMPORTRANGE(""https://docs.google.com/spreadsheets/d/11923uPwbBZFjjGgGUA6NLw09EwE0CqkOc4q9oUmW1yo/edit?usp=sharing"",""พะเยา!J79"")"),0)</f>
        <v>0</v>
      </c>
      <c r="K154" s="163"/>
      <c r="L154" s="181"/>
      <c r="M154" s="181"/>
      <c r="N154" s="181"/>
      <c r="O154" s="181"/>
      <c r="P154" s="181"/>
    </row>
    <row r="155" spans="1:16" ht="21.75" customHeight="1" x14ac:dyDescent="0.3">
      <c r="A155" s="175"/>
      <c r="B155" s="176"/>
      <c r="C155" s="176"/>
      <c r="D155" s="189">
        <v>2</v>
      </c>
      <c r="E155" s="190" t="s">
        <v>46</v>
      </c>
      <c r="F155" s="191"/>
      <c r="G155" s="192"/>
      <c r="H155" s="186"/>
      <c r="I155" s="187"/>
      <c r="J155" s="197">
        <f ca="1">IFERROR(__xludf.DUMMYFUNCTION("IMPORTRANGE(""https://docs.google.com/spreadsheets/d/11923uPwbBZFjjGgGUA6NLw09EwE0CqkOc4q9oUmW1yo/edit?usp=sharing"",""พะเยา!J80"")"),1)</f>
        <v>1</v>
      </c>
      <c r="K155" s="163"/>
      <c r="L155" s="181"/>
      <c r="M155" s="181"/>
      <c r="N155" s="181"/>
      <c r="O155" s="181"/>
      <c r="P155" s="181"/>
    </row>
    <row r="156" spans="1:16" ht="21.75" customHeight="1" x14ac:dyDescent="0.3">
      <c r="A156" s="175"/>
      <c r="B156" s="176"/>
      <c r="C156" s="176"/>
      <c r="D156" s="193"/>
      <c r="E156" s="194" t="s">
        <v>47</v>
      </c>
      <c r="F156" s="195"/>
      <c r="G156" s="196"/>
      <c r="H156" s="186"/>
      <c r="I156" s="187"/>
      <c r="J156" s="197">
        <f ca="1">IFERROR(__xludf.DUMMYFUNCTION("IMPORTRANGE(""https://docs.google.com/spreadsheets/d/11923uPwbBZFjjGgGUA6NLw09EwE0CqkOc4q9oUmW1yo/edit?usp=sharing"",""พะเยา!J81"")"),1)</f>
        <v>1</v>
      </c>
      <c r="K156" s="163"/>
      <c r="L156" s="181"/>
      <c r="M156" s="181"/>
      <c r="N156" s="181"/>
      <c r="O156" s="181"/>
      <c r="P156" s="181"/>
    </row>
    <row r="157" spans="1:16" ht="21.75" customHeight="1" x14ac:dyDescent="0.3">
      <c r="A157" s="175"/>
      <c r="B157" s="176"/>
      <c r="C157" s="176"/>
      <c r="D157" s="193"/>
      <c r="E157" s="194" t="s">
        <v>48</v>
      </c>
      <c r="F157" s="195"/>
      <c r="G157" s="196"/>
      <c r="H157" s="186"/>
      <c r="I157" s="187"/>
      <c r="J157" s="197">
        <f ca="1">IFERROR(__xludf.DUMMYFUNCTION("IMPORTRANGE(""https://docs.google.com/spreadsheets/d/11923uPwbBZFjjGgGUA6NLw09EwE0CqkOc4q9oUmW1yo/edit?usp=sharing"",""พะเยา!J82"")"),1)</f>
        <v>1</v>
      </c>
      <c r="K157" s="163"/>
      <c r="L157" s="181"/>
      <c r="M157" s="181"/>
      <c r="N157" s="181"/>
      <c r="O157" s="181"/>
      <c r="P157" s="181"/>
    </row>
    <row r="158" spans="1:16" ht="21.75" customHeight="1" x14ac:dyDescent="0.3">
      <c r="A158" s="175"/>
      <c r="B158" s="176"/>
      <c r="C158" s="176"/>
      <c r="D158" s="193"/>
      <c r="E158" s="198"/>
      <c r="F158" s="194" t="s">
        <v>78</v>
      </c>
      <c r="G158" s="196"/>
      <c r="H158" s="180" t="s">
        <v>77</v>
      </c>
      <c r="I158" s="187">
        <f ca="1">IFERROR(__xludf.DUMMYFUNCTION("IMPORTRANGE(""https://docs.google.com/spreadsheets/d/11923uPwbBZFjjGgGUA6NLw09EwE0CqkOc4q9oUmW1yo/edit?usp=sharing"",""พะเยา!I83"")"),4)</f>
        <v>4</v>
      </c>
      <c r="J158" s="188">
        <f ca="1">IFERROR(__xludf.DUMMYFUNCTION("IMPORTRANGE(""https://docs.google.com/spreadsheets/d/11923uPwbBZFjjGgGUA6NLw09EwE0CqkOc4q9oUmW1yo/edit?usp=sharing"",""พะเยา!J83"")"),1)</f>
        <v>1</v>
      </c>
      <c r="K158" s="163">
        <f ca="1">IF(I158&gt;0,J158*100/I158,0)</f>
        <v>25</v>
      </c>
      <c r="L158" s="181"/>
      <c r="M158" s="181"/>
      <c r="N158" s="181"/>
      <c r="O158" s="181"/>
      <c r="P158" s="181"/>
    </row>
    <row r="159" spans="1:16" ht="21.75" customHeight="1" x14ac:dyDescent="0.3">
      <c r="A159" s="175"/>
      <c r="B159" s="176"/>
      <c r="C159" s="176"/>
      <c r="D159" s="193"/>
      <c r="E159" s="195"/>
      <c r="F159" s="277" t="s">
        <v>79</v>
      </c>
      <c r="G159" s="196"/>
      <c r="H159" s="278" t="s">
        <v>37</v>
      </c>
      <c r="I159" s="187"/>
      <c r="J159" s="203">
        <f ca="1">IFERROR(__xludf.DUMMYFUNCTION("IMPORTRANGE(""https://docs.google.com/spreadsheets/d/11923uPwbBZFjjGgGUA6NLw09EwE0CqkOc4q9oUmW1yo/edit?usp=sharing"",""พะเยา!J84"")"),60)</f>
        <v>60</v>
      </c>
      <c r="K159" s="163"/>
      <c r="L159" s="181"/>
      <c r="M159" s="181"/>
      <c r="N159" s="181"/>
      <c r="O159" s="181"/>
      <c r="P159" s="181"/>
    </row>
    <row r="160" spans="1:16" ht="21.75" customHeight="1" x14ac:dyDescent="0.45">
      <c r="A160" s="175"/>
      <c r="B160" s="176"/>
      <c r="C160" s="176"/>
      <c r="D160" s="193"/>
      <c r="E160" s="195"/>
      <c r="F160" s="195"/>
      <c r="G160" s="279" t="s">
        <v>80</v>
      </c>
      <c r="H160" s="278" t="s">
        <v>37</v>
      </c>
      <c r="I160" s="187"/>
      <c r="J160" s="280">
        <f ca="1">IFERROR(__xludf.DUMMYFUNCTION("IMPORTRANGE(""https://docs.google.com/spreadsheets/d/11923uPwbBZFjjGgGUA6NLw09EwE0CqkOc4q9oUmW1yo/edit?usp=sharing"",""พะเยา!J85"")"),60)</f>
        <v>60</v>
      </c>
      <c r="K160" s="163"/>
      <c r="L160" s="181"/>
      <c r="M160" s="181"/>
      <c r="N160" s="181"/>
      <c r="O160" s="181"/>
      <c r="P160" s="181"/>
    </row>
    <row r="161" spans="1:16" ht="21.75" customHeight="1" x14ac:dyDescent="0.45">
      <c r="A161" s="175"/>
      <c r="B161" s="176"/>
      <c r="C161" s="176"/>
      <c r="D161" s="193"/>
      <c r="E161" s="195"/>
      <c r="F161" s="195"/>
      <c r="G161" s="279" t="s">
        <v>81</v>
      </c>
      <c r="H161" s="278" t="s">
        <v>37</v>
      </c>
      <c r="I161" s="187"/>
      <c r="J161" s="280">
        <f ca="1">IFERROR(__xludf.DUMMYFUNCTION("IMPORTRANGE(""https://docs.google.com/spreadsheets/d/11923uPwbBZFjjGgGUA6NLw09EwE0CqkOc4q9oUmW1yo/edit?usp=sharing"",""พะเยา!J86"")"),0)</f>
        <v>0</v>
      </c>
      <c r="K161" s="163"/>
      <c r="L161" s="181"/>
      <c r="M161" s="181"/>
      <c r="N161" s="181"/>
      <c r="O161" s="181"/>
      <c r="P161" s="181"/>
    </row>
    <row r="162" spans="1:16" ht="21.75" customHeight="1" x14ac:dyDescent="0.3">
      <c r="A162" s="175"/>
      <c r="B162" s="176"/>
      <c r="C162" s="176"/>
      <c r="D162" s="193"/>
      <c r="E162" s="194" t="s">
        <v>54</v>
      </c>
      <c r="F162" s="195"/>
      <c r="G162" s="196"/>
      <c r="H162" s="186"/>
      <c r="I162" s="187"/>
      <c r="J162" s="197">
        <f ca="1">IFERROR(__xludf.DUMMYFUNCTION("IMPORTRANGE(""https://docs.google.com/spreadsheets/d/11923uPwbBZFjjGgGUA6NLw09EwE0CqkOc4q9oUmW1yo/edit?usp=sharing"",""พะเยา!J87"")"),0)</f>
        <v>0</v>
      </c>
      <c r="K162" s="163"/>
      <c r="L162" s="181"/>
      <c r="M162" s="181"/>
      <c r="N162" s="181"/>
      <c r="O162" s="181"/>
      <c r="P162" s="181"/>
    </row>
    <row r="163" spans="1:16" ht="21.75" customHeight="1" x14ac:dyDescent="0.3">
      <c r="A163" s="175"/>
      <c r="B163" s="176"/>
      <c r="C163" s="176"/>
      <c r="D163" s="205">
        <v>3</v>
      </c>
      <c r="E163" s="206" t="s">
        <v>55</v>
      </c>
      <c r="F163" s="207"/>
      <c r="G163" s="208"/>
      <c r="H163" s="186"/>
      <c r="I163" s="187"/>
      <c r="J163" s="209">
        <f ca="1">IFERROR(__xludf.DUMMYFUNCTION("IMPORTRANGE(""https://docs.google.com/spreadsheets/d/11923uPwbBZFjjGgGUA6NLw09EwE0CqkOc4q9oUmW1yo/edit?usp=sharing"",""พะเยา!J88"")"),0)</f>
        <v>0</v>
      </c>
      <c r="K163" s="163"/>
      <c r="L163" s="181"/>
      <c r="M163" s="181"/>
      <c r="N163" s="181"/>
      <c r="O163" s="181"/>
      <c r="P163" s="181"/>
    </row>
    <row r="164" spans="1:16" ht="21.75" customHeight="1" x14ac:dyDescent="0.3">
      <c r="A164" s="269"/>
      <c r="B164" s="270"/>
      <c r="C164" s="271" t="s">
        <v>82</v>
      </c>
      <c r="D164" s="271"/>
      <c r="E164" s="271"/>
      <c r="F164" s="271"/>
      <c r="G164" s="272"/>
      <c r="H164" s="281" t="s">
        <v>83</v>
      </c>
      <c r="I164" s="282">
        <f ca="1">IFERROR(__xludf.DUMMYFUNCTION("IMPORTRANGE(""https://docs.google.com/spreadsheets/d/11923uPwbBZFjjGgGUA6NLw09EwE0CqkOc4q9oUmW1yo/edit?usp=sharing"",""พะเยา!I89"")"),2)</f>
        <v>2</v>
      </c>
      <c r="J164" s="282">
        <f ca="1">IFERROR(__xludf.DUMMYFUNCTION("IMPORTRANGE(""https://docs.google.com/spreadsheets/d/11923uPwbBZFjjGgGUA6NLw09EwE0CqkOc4q9oUmW1yo/edit?usp=sharing"",""พะเยา!J89"")"),2)</f>
        <v>2</v>
      </c>
      <c r="K164" s="283">
        <f ca="1">IF(I164&gt;0,J164*100/I164,0)</f>
        <v>100</v>
      </c>
      <c r="L164" s="276"/>
      <c r="M164" s="276"/>
      <c r="N164" s="276"/>
      <c r="O164" s="276"/>
      <c r="P164" s="276"/>
    </row>
    <row r="165" spans="1:16" ht="21.75" customHeight="1" x14ac:dyDescent="0.3">
      <c r="A165" s="156"/>
      <c r="B165" s="157"/>
      <c r="C165" s="157" t="s">
        <v>16</v>
      </c>
      <c r="D165" s="158" t="s">
        <v>38</v>
      </c>
      <c r="E165" s="159"/>
      <c r="F165" s="159"/>
      <c r="G165" s="160" t="s">
        <v>39</v>
      </c>
      <c r="H165" s="161" t="s">
        <v>12</v>
      </c>
      <c r="I165" s="162" t="s">
        <v>40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3">
      <c r="A166" s="156"/>
      <c r="B166" s="157"/>
      <c r="C166" s="157"/>
      <c r="D166" s="166"/>
      <c r="E166" s="159"/>
      <c r="F166" s="159" t="s">
        <v>40</v>
      </c>
      <c r="G166" s="160" t="s">
        <v>41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3">
      <c r="A167" s="156"/>
      <c r="B167" s="157"/>
      <c r="C167" s="157"/>
      <c r="D167" s="166"/>
      <c r="E167" s="159"/>
      <c r="F167" s="159"/>
      <c r="G167" s="169" t="s">
        <v>43</v>
      </c>
      <c r="H167" s="161" t="s">
        <v>12</v>
      </c>
      <c r="I167" s="162"/>
      <c r="J167" s="162"/>
      <c r="K167" s="163"/>
      <c r="L167" s="168"/>
      <c r="M167" s="168"/>
      <c r="N167" s="167"/>
      <c r="O167" s="168"/>
      <c r="P167" s="168"/>
    </row>
    <row r="168" spans="1:16" ht="21.75" customHeight="1" x14ac:dyDescent="0.3">
      <c r="A168" s="175"/>
      <c r="B168" s="176"/>
      <c r="C168" s="157" t="s">
        <v>16</v>
      </c>
      <c r="D168" s="177" t="s">
        <v>44</v>
      </c>
      <c r="E168" s="178"/>
      <c r="F168" s="178"/>
      <c r="G168" s="179"/>
      <c r="H168" s="180"/>
      <c r="I168" s="162"/>
      <c r="J168" s="162"/>
      <c r="K168" s="163"/>
      <c r="L168" s="181"/>
      <c r="M168" s="181"/>
      <c r="N168" s="181"/>
      <c r="O168" s="181"/>
      <c r="P168" s="181"/>
    </row>
    <row r="169" spans="1:16" ht="21.75" customHeight="1" x14ac:dyDescent="0.3">
      <c r="A169" s="175"/>
      <c r="B169" s="176"/>
      <c r="C169" s="176"/>
      <c r="D169" s="182">
        <v>1</v>
      </c>
      <c r="E169" s="183" t="s">
        <v>45</v>
      </c>
      <c r="F169" s="184"/>
      <c r="G169" s="185"/>
      <c r="H169" s="186"/>
      <c r="I169" s="187"/>
      <c r="J169" s="188">
        <f ca="1">IFERROR(__xludf.DUMMYFUNCTION("IMPORTRANGE(""https://docs.google.com/spreadsheets/d/11923uPwbBZFjjGgGUA6NLw09EwE0CqkOc4q9oUmW1yo/edit?usp=sharing"",""พะเยา!J94"")"),0)</f>
        <v>0</v>
      </c>
      <c r="K169" s="163"/>
      <c r="L169" s="181"/>
      <c r="M169" s="181"/>
      <c r="N169" s="181"/>
      <c r="O169" s="181"/>
      <c r="P169" s="181"/>
    </row>
    <row r="170" spans="1:16" ht="21.75" customHeight="1" x14ac:dyDescent="0.3">
      <c r="A170" s="175"/>
      <c r="B170" s="176"/>
      <c r="C170" s="176"/>
      <c r="D170" s="189">
        <v>2</v>
      </c>
      <c r="E170" s="190" t="s">
        <v>46</v>
      </c>
      <c r="F170" s="191"/>
      <c r="G170" s="192"/>
      <c r="H170" s="186"/>
      <c r="I170" s="187"/>
      <c r="J170" s="197">
        <f ca="1">IFERROR(__xludf.DUMMYFUNCTION("IMPORTRANGE(""https://docs.google.com/spreadsheets/d/11923uPwbBZFjjGgGUA6NLw09EwE0CqkOc4q9oUmW1yo/edit?usp=sharing"",""พะเยา!J95"")"),1)</f>
        <v>1</v>
      </c>
      <c r="K170" s="163"/>
      <c r="L170" s="181"/>
      <c r="M170" s="181"/>
      <c r="N170" s="181"/>
      <c r="O170" s="181"/>
      <c r="P170" s="181"/>
    </row>
    <row r="171" spans="1:16" ht="21.75" customHeight="1" x14ac:dyDescent="0.3">
      <c r="A171" s="175"/>
      <c r="B171" s="176"/>
      <c r="C171" s="176"/>
      <c r="D171" s="193"/>
      <c r="E171" s="194" t="s">
        <v>47</v>
      </c>
      <c r="F171" s="195"/>
      <c r="G171" s="196"/>
      <c r="H171" s="186"/>
      <c r="I171" s="187"/>
      <c r="J171" s="197">
        <f ca="1">IFERROR(__xludf.DUMMYFUNCTION("IMPORTRANGE(""https://docs.google.com/spreadsheets/d/11923uPwbBZFjjGgGUA6NLw09EwE0CqkOc4q9oUmW1yo/edit?usp=sharing"",""พะเยา!J96"")"),1)</f>
        <v>1</v>
      </c>
      <c r="K171" s="163"/>
      <c r="L171" s="181"/>
      <c r="M171" s="181"/>
      <c r="N171" s="181"/>
      <c r="O171" s="181"/>
      <c r="P171" s="181"/>
    </row>
    <row r="172" spans="1:16" ht="21.75" customHeight="1" x14ac:dyDescent="0.3">
      <c r="A172" s="175"/>
      <c r="B172" s="176"/>
      <c r="C172" s="176"/>
      <c r="D172" s="193"/>
      <c r="E172" s="194" t="s">
        <v>48</v>
      </c>
      <c r="F172" s="195"/>
      <c r="G172" s="196"/>
      <c r="H172" s="186"/>
      <c r="I172" s="187"/>
      <c r="J172" s="197">
        <f ca="1">IFERROR(__xludf.DUMMYFUNCTION("IMPORTRANGE(""https://docs.google.com/spreadsheets/d/11923uPwbBZFjjGgGUA6NLw09EwE0CqkOc4q9oUmW1yo/edit?usp=sharing"",""พะเยา!J97"")"),1)</f>
        <v>1</v>
      </c>
      <c r="K172" s="163"/>
      <c r="L172" s="181"/>
      <c r="M172" s="181"/>
      <c r="N172" s="181"/>
      <c r="O172" s="181"/>
      <c r="P172" s="181"/>
    </row>
    <row r="173" spans="1:16" ht="21.75" customHeight="1" x14ac:dyDescent="0.3">
      <c r="A173" s="175"/>
      <c r="B173" s="176"/>
      <c r="C173" s="176"/>
      <c r="D173" s="193"/>
      <c r="E173" s="198"/>
      <c r="F173" s="204" t="s">
        <v>84</v>
      </c>
      <c r="G173" s="196"/>
      <c r="H173" s="180" t="s">
        <v>83</v>
      </c>
      <c r="I173" s="187">
        <f ca="1">IFERROR(__xludf.DUMMYFUNCTION("IMPORTRANGE(""https://docs.google.com/spreadsheets/d/11923uPwbBZFjjGgGUA6NLw09EwE0CqkOc4q9oUmW1yo/edit?usp=sharing"",""พะเยา!I98"")"),2)</f>
        <v>2</v>
      </c>
      <c r="J173" s="188">
        <f ca="1">IFERROR(__xludf.DUMMYFUNCTION("IMPORTRANGE(""https://docs.google.com/spreadsheets/d/11923uPwbBZFjjGgGUA6NLw09EwE0CqkOc4q9oUmW1yo/edit?usp=sharing"",""พะเยา!J98"")"),2)</f>
        <v>2</v>
      </c>
      <c r="K173" s="163">
        <f ca="1">IF(I173&gt;0,J173*100/I173,0)</f>
        <v>100</v>
      </c>
      <c r="L173" s="168"/>
      <c r="M173" s="168"/>
      <c r="N173" s="167"/>
      <c r="O173" s="168"/>
      <c r="P173" s="168"/>
    </row>
    <row r="174" spans="1:16" ht="21.75" customHeight="1" x14ac:dyDescent="0.3">
      <c r="A174" s="175"/>
      <c r="B174" s="176"/>
      <c r="C174" s="176"/>
      <c r="D174" s="193"/>
      <c r="E174" s="194" t="s">
        <v>54</v>
      </c>
      <c r="F174" s="195"/>
      <c r="G174" s="196"/>
      <c r="H174" s="186"/>
      <c r="I174" s="187"/>
      <c r="J174" s="197">
        <f ca="1">IFERROR(__xludf.DUMMYFUNCTION("IMPORTRANGE(""https://docs.google.com/spreadsheets/d/11923uPwbBZFjjGgGUA6NLw09EwE0CqkOc4q9oUmW1yo/edit?usp=sharing"",""พะเยา!J99"")"),0)</f>
        <v>0</v>
      </c>
      <c r="K174" s="163"/>
      <c r="L174" s="181"/>
      <c r="M174" s="181"/>
      <c r="N174" s="181"/>
      <c r="O174" s="181"/>
      <c r="P174" s="181"/>
    </row>
    <row r="175" spans="1:16" ht="21.75" customHeight="1" x14ac:dyDescent="0.3">
      <c r="A175" s="175"/>
      <c r="B175" s="176"/>
      <c r="C175" s="176"/>
      <c r="D175" s="205">
        <v>3</v>
      </c>
      <c r="E175" s="206" t="s">
        <v>55</v>
      </c>
      <c r="F175" s="207"/>
      <c r="G175" s="208"/>
      <c r="H175" s="186"/>
      <c r="I175" s="187"/>
      <c r="J175" s="209">
        <f ca="1">IFERROR(__xludf.DUMMYFUNCTION("IMPORTRANGE(""https://docs.google.com/spreadsheets/d/11923uPwbBZFjjGgGUA6NLw09EwE0CqkOc4q9oUmW1yo/edit?usp=sharing"",""พะเยา!J100"")"),0)</f>
        <v>0</v>
      </c>
      <c r="K175" s="163"/>
      <c r="L175" s="181"/>
      <c r="M175" s="181"/>
      <c r="N175" s="181"/>
      <c r="O175" s="181"/>
      <c r="P175" s="181"/>
    </row>
    <row r="176" spans="1:16" ht="21.75" customHeight="1" x14ac:dyDescent="0.3">
      <c r="A176" s="269"/>
      <c r="B176" s="270"/>
      <c r="C176" s="271" t="s">
        <v>85</v>
      </c>
      <c r="D176" s="271"/>
      <c r="E176" s="271"/>
      <c r="F176" s="271"/>
      <c r="G176" s="272"/>
      <c r="H176" s="281" t="s">
        <v>83</v>
      </c>
      <c r="I176" s="282">
        <f ca="1">IFERROR(__xludf.DUMMYFUNCTION("IMPORTRANGE(""https://docs.google.com/spreadsheets/d/11923uPwbBZFjjGgGUA6NLw09EwE0CqkOc4q9oUmW1yo/edit?usp=sharing"",""พะเยา!I101"")"),0)</f>
        <v>0</v>
      </c>
      <c r="J176" s="282">
        <f ca="1">IFERROR(__xludf.DUMMYFUNCTION("IMPORTRANGE(""https://docs.google.com/spreadsheets/d/11923uPwbBZFjjGgGUA6NLw09EwE0CqkOc4q9oUmW1yo/edit?usp=sharing"",""พะเยา!J101"")"),0)</f>
        <v>0</v>
      </c>
      <c r="K176" s="283">
        <f ca="1">IF(I176&gt;0,J176*100/I176,0)</f>
        <v>0</v>
      </c>
      <c r="L176" s="276"/>
      <c r="M176" s="276"/>
      <c r="N176" s="276"/>
      <c r="O176" s="276"/>
      <c r="P176" s="276"/>
    </row>
    <row r="177" spans="1:16" ht="21.75" customHeight="1" x14ac:dyDescent="0.3">
      <c r="A177" s="156"/>
      <c r="B177" s="157"/>
      <c r="C177" s="157" t="s">
        <v>16</v>
      </c>
      <c r="D177" s="158" t="s">
        <v>38</v>
      </c>
      <c r="E177" s="159"/>
      <c r="F177" s="159"/>
      <c r="G177" s="160" t="s">
        <v>39</v>
      </c>
      <c r="H177" s="161" t="s">
        <v>12</v>
      </c>
      <c r="I177" s="162" t="s">
        <v>40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3">
      <c r="A178" s="156"/>
      <c r="B178" s="157"/>
      <c r="C178" s="157"/>
      <c r="D178" s="166"/>
      <c r="E178" s="159"/>
      <c r="F178" s="159" t="s">
        <v>40</v>
      </c>
      <c r="G178" s="160" t="s">
        <v>41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3">
      <c r="A179" s="156"/>
      <c r="B179" s="157"/>
      <c r="C179" s="157"/>
      <c r="D179" s="166"/>
      <c r="E179" s="159"/>
      <c r="F179" s="159"/>
      <c r="G179" s="169" t="s">
        <v>43</v>
      </c>
      <c r="H179" s="161" t="s">
        <v>12</v>
      </c>
      <c r="I179" s="162"/>
      <c r="J179" s="187"/>
      <c r="K179" s="223"/>
      <c r="L179" s="168"/>
      <c r="M179" s="168"/>
      <c r="N179" s="167"/>
      <c r="O179" s="168"/>
      <c r="P179" s="168"/>
    </row>
    <row r="180" spans="1:16" ht="21.75" customHeight="1" x14ac:dyDescent="0.3">
      <c r="A180" s="175"/>
      <c r="B180" s="176"/>
      <c r="C180" s="157" t="s">
        <v>16</v>
      </c>
      <c r="D180" s="177" t="s">
        <v>44</v>
      </c>
      <c r="E180" s="178"/>
      <c r="F180" s="178"/>
      <c r="G180" s="179"/>
      <c r="H180" s="180"/>
      <c r="I180" s="162"/>
      <c r="J180" s="187"/>
      <c r="K180" s="223"/>
      <c r="L180" s="168"/>
      <c r="M180" s="168"/>
      <c r="N180" s="168"/>
      <c r="O180" s="181"/>
      <c r="P180" s="181"/>
    </row>
    <row r="181" spans="1:16" ht="21.75" customHeight="1" x14ac:dyDescent="0.3">
      <c r="A181" s="175"/>
      <c r="B181" s="176"/>
      <c r="C181" s="176"/>
      <c r="D181" s="182">
        <v>1</v>
      </c>
      <c r="E181" s="183" t="s">
        <v>45</v>
      </c>
      <c r="F181" s="184"/>
      <c r="G181" s="185"/>
      <c r="H181" s="186"/>
      <c r="I181" s="187"/>
      <c r="J181" s="187">
        <f ca="1">IFERROR(__xludf.DUMMYFUNCTION("IMPORTRANGE(""https://docs.google.com/spreadsheets/d/11923uPwbBZFjjGgGUA6NLw09EwE0CqkOc4q9oUmW1yo/edit?usp=sharing"",""พะเยา!J106"")"),0)</f>
        <v>0</v>
      </c>
      <c r="K181" s="223"/>
      <c r="L181" s="168"/>
      <c r="M181" s="168"/>
      <c r="N181" s="168"/>
      <c r="O181" s="181"/>
      <c r="P181" s="181"/>
    </row>
    <row r="182" spans="1:16" ht="21.75" customHeight="1" x14ac:dyDescent="0.3">
      <c r="A182" s="175"/>
      <c r="B182" s="176"/>
      <c r="C182" s="176"/>
      <c r="D182" s="189">
        <v>2</v>
      </c>
      <c r="E182" s="190" t="s">
        <v>46</v>
      </c>
      <c r="F182" s="191"/>
      <c r="G182" s="192"/>
      <c r="H182" s="186"/>
      <c r="I182" s="187"/>
      <c r="J182" s="187">
        <f ca="1">IFERROR(__xludf.DUMMYFUNCTION("IMPORTRANGE(""https://docs.google.com/spreadsheets/d/11923uPwbBZFjjGgGUA6NLw09EwE0CqkOc4q9oUmW1yo/edit?usp=sharing"",""พะเยา!J107"")"),0)</f>
        <v>0</v>
      </c>
      <c r="K182" s="223"/>
      <c r="L182" s="168"/>
      <c r="M182" s="168"/>
      <c r="N182" s="168"/>
      <c r="O182" s="181"/>
      <c r="P182" s="181"/>
    </row>
    <row r="183" spans="1:16" ht="21.75" customHeight="1" x14ac:dyDescent="0.3">
      <c r="A183" s="175"/>
      <c r="B183" s="176"/>
      <c r="C183" s="176"/>
      <c r="D183" s="193"/>
      <c r="E183" s="194" t="s">
        <v>47</v>
      </c>
      <c r="F183" s="195"/>
      <c r="G183" s="196"/>
      <c r="H183" s="186"/>
      <c r="I183" s="187"/>
      <c r="J183" s="187">
        <f ca="1">IFERROR(__xludf.DUMMYFUNCTION("IMPORTRANGE(""https://docs.google.com/spreadsheets/d/11923uPwbBZFjjGgGUA6NLw09EwE0CqkOc4q9oUmW1yo/edit?usp=sharing"",""พะเยา!J108"")"),0)</f>
        <v>0</v>
      </c>
      <c r="K183" s="223"/>
      <c r="L183" s="168"/>
      <c r="M183" s="168"/>
      <c r="N183" s="168"/>
      <c r="O183" s="181"/>
      <c r="P183" s="181"/>
    </row>
    <row r="184" spans="1:16" ht="21.75" customHeight="1" x14ac:dyDescent="0.3">
      <c r="A184" s="175"/>
      <c r="B184" s="176"/>
      <c r="C184" s="176"/>
      <c r="D184" s="193"/>
      <c r="E184" s="194" t="s">
        <v>48</v>
      </c>
      <c r="F184" s="195"/>
      <c r="G184" s="196"/>
      <c r="H184" s="186"/>
      <c r="I184" s="187"/>
      <c r="J184" s="187">
        <f ca="1">IFERROR(__xludf.DUMMYFUNCTION("IMPORTRANGE(""https://docs.google.com/spreadsheets/d/11923uPwbBZFjjGgGUA6NLw09EwE0CqkOc4q9oUmW1yo/edit?usp=sharing"",""พะเยา!J109"")"),0)</f>
        <v>0</v>
      </c>
      <c r="K184" s="223"/>
      <c r="L184" s="168"/>
      <c r="M184" s="168"/>
      <c r="N184" s="168"/>
      <c r="O184" s="181"/>
      <c r="P184" s="181"/>
    </row>
    <row r="185" spans="1:16" ht="21.75" customHeight="1" x14ac:dyDescent="0.3">
      <c r="A185" s="175"/>
      <c r="B185" s="176"/>
      <c r="C185" s="176"/>
      <c r="D185" s="193"/>
      <c r="E185" s="198"/>
      <c r="F185" s="194" t="s">
        <v>86</v>
      </c>
      <c r="G185" s="196"/>
      <c r="H185" s="180" t="s">
        <v>83</v>
      </c>
      <c r="I185" s="187">
        <f ca="1">IFERROR(__xludf.DUMMYFUNCTION("IMPORTRANGE(""https://docs.google.com/spreadsheets/d/11923uPwbBZFjjGgGUA6NLw09EwE0CqkOc4q9oUmW1yo/edit?usp=sharing"",""พะเยา!I110"")"),0)</f>
        <v>0</v>
      </c>
      <c r="J185" s="203">
        <f ca="1">IFERROR(__xludf.DUMMYFUNCTION("IMPORTRANGE(""https://docs.google.com/spreadsheets/d/11923uPwbBZFjjGgGUA6NLw09EwE0CqkOc4q9oUmW1yo/edit?usp=sharing"",""พะเยา!J110"")"),0)</f>
        <v>0</v>
      </c>
      <c r="K185" s="223">
        <f t="shared" ref="K185:K186" ca="1" si="69">IF(I185&gt;0,J185*100/I185,0)</f>
        <v>0</v>
      </c>
      <c r="L185" s="168"/>
      <c r="M185" s="168"/>
      <c r="N185" s="167"/>
      <c r="O185" s="168"/>
      <c r="P185" s="168"/>
    </row>
    <row r="186" spans="1:16" ht="21.75" customHeight="1" x14ac:dyDescent="0.3">
      <c r="A186" s="175"/>
      <c r="B186" s="176"/>
      <c r="C186" s="176"/>
      <c r="D186" s="193"/>
      <c r="E186" s="198"/>
      <c r="F186" s="194" t="s">
        <v>87</v>
      </c>
      <c r="G186" s="196"/>
      <c r="H186" s="180" t="s">
        <v>83</v>
      </c>
      <c r="I186" s="187">
        <f ca="1">IFERROR(__xludf.DUMMYFUNCTION("IMPORTRANGE(""https://docs.google.com/spreadsheets/d/11923uPwbBZFjjGgGUA6NLw09EwE0CqkOc4q9oUmW1yo/edit?usp=sharing"",""พะเยา!I111"")"),0)</f>
        <v>0</v>
      </c>
      <c r="J186" s="203">
        <f ca="1">IFERROR(__xludf.DUMMYFUNCTION("IMPORTRANGE(""https://docs.google.com/spreadsheets/d/11923uPwbBZFjjGgGUA6NLw09EwE0CqkOc4q9oUmW1yo/edit?usp=sharing"",""พะเยา!J111"")"),0)</f>
        <v>0</v>
      </c>
      <c r="K186" s="223">
        <f t="shared" ca="1" si="69"/>
        <v>0</v>
      </c>
      <c r="L186" s="168"/>
      <c r="M186" s="168"/>
      <c r="N186" s="167"/>
      <c r="O186" s="168"/>
      <c r="P186" s="168"/>
    </row>
    <row r="187" spans="1:16" ht="21.75" customHeight="1" x14ac:dyDescent="0.3">
      <c r="A187" s="175"/>
      <c r="B187" s="176"/>
      <c r="C187" s="176"/>
      <c r="D187" s="193"/>
      <c r="E187" s="194" t="s">
        <v>54</v>
      </c>
      <c r="F187" s="195"/>
      <c r="G187" s="196"/>
      <c r="H187" s="186"/>
      <c r="I187" s="187"/>
      <c r="J187" s="187">
        <f ca="1">IFERROR(__xludf.DUMMYFUNCTION("IMPORTRANGE(""https://docs.google.com/spreadsheets/d/11923uPwbBZFjjGgGUA6NLw09EwE0CqkOc4q9oUmW1yo/edit?usp=sharing"",""พะเยา!J112"")"),0)</f>
        <v>0</v>
      </c>
      <c r="K187" s="223"/>
      <c r="L187" s="168"/>
      <c r="M187" s="168"/>
      <c r="N187" s="168"/>
      <c r="O187" s="181"/>
      <c r="P187" s="181"/>
    </row>
    <row r="188" spans="1:16" ht="21.75" customHeight="1" x14ac:dyDescent="0.3">
      <c r="A188" s="175"/>
      <c r="B188" s="176"/>
      <c r="C188" s="176"/>
      <c r="D188" s="205">
        <v>3</v>
      </c>
      <c r="E188" s="206" t="s">
        <v>55</v>
      </c>
      <c r="F188" s="207"/>
      <c r="G188" s="208"/>
      <c r="H188" s="186"/>
      <c r="I188" s="187"/>
      <c r="J188" s="226">
        <f ca="1">IFERROR(__xludf.DUMMYFUNCTION("IMPORTRANGE(""https://docs.google.com/spreadsheets/d/11923uPwbBZFjjGgGUA6NLw09EwE0CqkOc4q9oUmW1yo/edit?usp=sharing"",""พะเยา!J113"")"),0)</f>
        <v>0</v>
      </c>
      <c r="K188" s="223"/>
      <c r="L188" s="168"/>
      <c r="M188" s="168"/>
      <c r="N188" s="168"/>
      <c r="O188" s="181"/>
      <c r="P188" s="181"/>
    </row>
    <row r="189" spans="1:16" ht="21.75" customHeight="1" x14ac:dyDescent="0.3">
      <c r="A189" s="269"/>
      <c r="B189" s="270"/>
      <c r="C189" s="271" t="s">
        <v>88</v>
      </c>
      <c r="D189" s="271"/>
      <c r="E189" s="271"/>
      <c r="F189" s="271"/>
      <c r="G189" s="272"/>
      <c r="H189" s="284" t="s">
        <v>89</v>
      </c>
      <c r="I189" s="282">
        <f ca="1">IFERROR(__xludf.DUMMYFUNCTION("IMPORTRANGE(""https://docs.google.com/spreadsheets/d/11923uPwbBZFjjGgGUA6NLw09EwE0CqkOc4q9oUmW1yo/edit?usp=sharing"",""พะเยา!I114"")"),20000)</f>
        <v>20000</v>
      </c>
      <c r="J189" s="282">
        <f ca="1">IFERROR(__xludf.DUMMYFUNCTION("IMPORTRANGE(""https://docs.google.com/spreadsheets/d/11923uPwbBZFjjGgGUA6NLw09EwE0CqkOc4q9oUmW1yo/edit?usp=sharing"",""พะเยา!J114"")"),0)</f>
        <v>0</v>
      </c>
      <c r="K189" s="283">
        <f ca="1">IF(I189&gt;0,J189*100/I189,0)</f>
        <v>0</v>
      </c>
      <c r="L189" s="276"/>
      <c r="M189" s="276"/>
      <c r="N189" s="276"/>
      <c r="O189" s="276"/>
      <c r="P189" s="276"/>
    </row>
    <row r="190" spans="1:16" ht="21.75" customHeight="1" x14ac:dyDescent="0.3">
      <c r="A190" s="156"/>
      <c r="B190" s="157"/>
      <c r="C190" s="157" t="s">
        <v>16</v>
      </c>
      <c r="D190" s="158" t="s">
        <v>38</v>
      </c>
      <c r="E190" s="159"/>
      <c r="F190" s="159"/>
      <c r="G190" s="160" t="s">
        <v>39</v>
      </c>
      <c r="H190" s="161" t="s">
        <v>12</v>
      </c>
      <c r="I190" s="162" t="s">
        <v>40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3">
      <c r="A191" s="156"/>
      <c r="B191" s="157"/>
      <c r="C191" s="157"/>
      <c r="D191" s="166"/>
      <c r="E191" s="159"/>
      <c r="F191" s="159" t="s">
        <v>40</v>
      </c>
      <c r="G191" s="160" t="s">
        <v>41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3">
      <c r="A192" s="156"/>
      <c r="B192" s="157"/>
      <c r="C192" s="157"/>
      <c r="D192" s="166"/>
      <c r="E192" s="159"/>
      <c r="F192" s="159"/>
      <c r="G192" s="169" t="s">
        <v>43</v>
      </c>
      <c r="H192" s="161" t="s">
        <v>12</v>
      </c>
      <c r="I192" s="162"/>
      <c r="J192" s="162"/>
      <c r="K192" s="163"/>
      <c r="L192" s="168"/>
      <c r="M192" s="168"/>
      <c r="N192" s="167"/>
      <c r="O192" s="168"/>
      <c r="P192" s="168"/>
    </row>
    <row r="193" spans="1:16" ht="21.75" customHeight="1" x14ac:dyDescent="0.3">
      <c r="A193" s="175"/>
      <c r="B193" s="176"/>
      <c r="C193" s="157" t="s">
        <v>16</v>
      </c>
      <c r="D193" s="177" t="s">
        <v>44</v>
      </c>
      <c r="E193" s="178"/>
      <c r="F193" s="178"/>
      <c r="G193" s="179"/>
      <c r="H193" s="180"/>
      <c r="I193" s="162"/>
      <c r="J193" s="162"/>
      <c r="K193" s="163"/>
      <c r="L193" s="181"/>
      <c r="M193" s="181"/>
      <c r="N193" s="181"/>
      <c r="O193" s="181"/>
      <c r="P193" s="181"/>
    </row>
    <row r="194" spans="1:16" ht="21.75" customHeight="1" x14ac:dyDescent="0.3">
      <c r="A194" s="175"/>
      <c r="B194" s="176"/>
      <c r="C194" s="176"/>
      <c r="D194" s="182">
        <v>1</v>
      </c>
      <c r="E194" s="183" t="s">
        <v>45</v>
      </c>
      <c r="F194" s="184"/>
      <c r="G194" s="185"/>
      <c r="H194" s="186"/>
      <c r="I194" s="187"/>
      <c r="J194" s="197">
        <f ca="1">IFERROR(__xludf.DUMMYFUNCTION("IMPORTRANGE(""https://docs.google.com/spreadsheets/d/11923uPwbBZFjjGgGUA6NLw09EwE0CqkOc4q9oUmW1yo/edit?usp=sharing"",""พะเยา!J119"")"),0)</f>
        <v>0</v>
      </c>
      <c r="K194" s="163"/>
      <c r="L194" s="181"/>
      <c r="M194" s="181"/>
      <c r="N194" s="181"/>
      <c r="O194" s="181"/>
      <c r="P194" s="181"/>
    </row>
    <row r="195" spans="1:16" ht="21.75" customHeight="1" x14ac:dyDescent="0.3">
      <c r="A195" s="175"/>
      <c r="B195" s="176"/>
      <c r="C195" s="176"/>
      <c r="D195" s="189">
        <v>2</v>
      </c>
      <c r="E195" s="190" t="s">
        <v>46</v>
      </c>
      <c r="F195" s="191"/>
      <c r="G195" s="192"/>
      <c r="H195" s="186"/>
      <c r="I195" s="187"/>
      <c r="J195" s="188">
        <f ca="1">IFERROR(__xludf.DUMMYFUNCTION("IMPORTRANGE(""https://docs.google.com/spreadsheets/d/11923uPwbBZFjjGgGUA6NLw09EwE0CqkOc4q9oUmW1yo/edit?usp=sharing"",""พะเยา!J120"")"),1)</f>
        <v>1</v>
      </c>
      <c r="K195" s="163"/>
      <c r="L195" s="181"/>
      <c r="M195" s="181"/>
      <c r="N195" s="181"/>
      <c r="O195" s="181"/>
      <c r="P195" s="181"/>
    </row>
    <row r="196" spans="1:16" ht="21.75" customHeight="1" x14ac:dyDescent="0.3">
      <c r="A196" s="175"/>
      <c r="B196" s="176"/>
      <c r="C196" s="176"/>
      <c r="D196" s="193"/>
      <c r="E196" s="194" t="s">
        <v>47</v>
      </c>
      <c r="F196" s="195"/>
      <c r="G196" s="196"/>
      <c r="H196" s="186"/>
      <c r="I196" s="187"/>
      <c r="J196" s="188">
        <f ca="1">IFERROR(__xludf.DUMMYFUNCTION("IMPORTRANGE(""https://docs.google.com/spreadsheets/d/11923uPwbBZFjjGgGUA6NLw09EwE0CqkOc4q9oUmW1yo/edit?usp=sharing"",""พะเยา!J121"")"),1)</f>
        <v>1</v>
      </c>
      <c r="K196" s="163"/>
      <c r="L196" s="181"/>
      <c r="M196" s="181"/>
      <c r="N196" s="181"/>
      <c r="O196" s="181"/>
      <c r="P196" s="181"/>
    </row>
    <row r="197" spans="1:16" ht="21.75" customHeight="1" x14ac:dyDescent="0.3">
      <c r="A197" s="175"/>
      <c r="B197" s="176"/>
      <c r="C197" s="176"/>
      <c r="D197" s="193"/>
      <c r="E197" s="194" t="s">
        <v>48</v>
      </c>
      <c r="F197" s="195"/>
      <c r="G197" s="196"/>
      <c r="H197" s="186"/>
      <c r="I197" s="187"/>
      <c r="J197" s="197">
        <f ca="1">IFERROR(__xludf.DUMMYFUNCTION("IMPORTRANGE(""https://docs.google.com/spreadsheets/d/11923uPwbBZFjjGgGUA6NLw09EwE0CqkOc4q9oUmW1yo/edit?usp=sharing"",""พะเยา!J122"")"),1)</f>
        <v>1</v>
      </c>
      <c r="K197" s="163"/>
      <c r="L197" s="181"/>
      <c r="M197" s="181"/>
      <c r="N197" s="181"/>
      <c r="O197" s="181"/>
      <c r="P197" s="181"/>
    </row>
    <row r="198" spans="1:16" ht="21.75" customHeight="1" x14ac:dyDescent="0.3">
      <c r="A198" s="175"/>
      <c r="B198" s="176"/>
      <c r="C198" s="176"/>
      <c r="D198" s="193"/>
      <c r="E198" s="195"/>
      <c r="F198" s="195" t="s">
        <v>90</v>
      </c>
      <c r="G198" s="196"/>
      <c r="H198" s="180"/>
      <c r="I198" s="187"/>
      <c r="J198" s="187"/>
      <c r="K198" s="163"/>
      <c r="L198" s="181"/>
      <c r="M198" s="181"/>
      <c r="N198" s="181"/>
      <c r="O198" s="181"/>
      <c r="P198" s="181"/>
    </row>
    <row r="199" spans="1:16" ht="21.75" customHeight="1" x14ac:dyDescent="0.3">
      <c r="A199" s="175"/>
      <c r="B199" s="176"/>
      <c r="C199" s="176"/>
      <c r="D199" s="193"/>
      <c r="E199" s="198"/>
      <c r="F199" s="195"/>
      <c r="G199" s="194" t="s">
        <v>91</v>
      </c>
      <c r="H199" s="180" t="s">
        <v>89</v>
      </c>
      <c r="I199" s="187">
        <f ca="1">IFERROR(__xludf.DUMMYFUNCTION("IMPORTRANGE(""https://docs.google.com/spreadsheets/d/11923uPwbBZFjjGgGUA6NLw09EwE0CqkOc4q9oUmW1yo/edit?usp=sharing"",""พะเยา!I124"")"),20000)</f>
        <v>20000</v>
      </c>
      <c r="J199" s="188">
        <f ca="1">IFERROR(__xludf.DUMMYFUNCTION("IMPORTRANGE(""https://docs.google.com/spreadsheets/d/11923uPwbBZFjjGgGUA6NLw09EwE0CqkOc4q9oUmW1yo/edit?usp=sharing"",""พะเยา!J124"")"),20000)</f>
        <v>20000</v>
      </c>
      <c r="K199" s="163">
        <f t="shared" ref="K199:K201" ca="1" si="70">IF(I199&gt;0,J199*100/I199,0)</f>
        <v>100</v>
      </c>
      <c r="L199" s="181"/>
      <c r="M199" s="181"/>
      <c r="N199" s="181"/>
      <c r="O199" s="181"/>
      <c r="P199" s="181"/>
    </row>
    <row r="200" spans="1:16" ht="21.75" customHeight="1" x14ac:dyDescent="0.3">
      <c r="A200" s="175"/>
      <c r="B200" s="176"/>
      <c r="C200" s="176"/>
      <c r="D200" s="193"/>
      <c r="E200" s="198"/>
      <c r="F200" s="195"/>
      <c r="G200" s="194" t="s">
        <v>92</v>
      </c>
      <c r="H200" s="180" t="s">
        <v>89</v>
      </c>
      <c r="I200" s="187">
        <f ca="1">IFERROR(__xludf.DUMMYFUNCTION("IMPORTRANGE(""https://docs.google.com/spreadsheets/d/11923uPwbBZFjjGgGUA6NLw09EwE0CqkOc4q9oUmW1yo/edit?usp=sharing"",""พะเยา!I125"")"),20000)</f>
        <v>20000</v>
      </c>
      <c r="J200" s="188">
        <f ca="1">IFERROR(__xludf.DUMMYFUNCTION("IMPORTRANGE(""https://docs.google.com/spreadsheets/d/11923uPwbBZFjjGgGUA6NLw09EwE0CqkOc4q9oUmW1yo/edit?usp=sharing"",""พะเยา!J125"")"),0)</f>
        <v>0</v>
      </c>
      <c r="K200" s="163">
        <f t="shared" ca="1" si="70"/>
        <v>0</v>
      </c>
      <c r="L200" s="168"/>
      <c r="M200" s="168"/>
      <c r="N200" s="167"/>
      <c r="O200" s="168"/>
      <c r="P200" s="168"/>
    </row>
    <row r="201" spans="1:16" ht="21.75" customHeight="1" x14ac:dyDescent="0.3">
      <c r="A201" s="175"/>
      <c r="B201" s="176"/>
      <c r="C201" s="176"/>
      <c r="D201" s="193"/>
      <c r="E201" s="198"/>
      <c r="F201" s="195" t="s">
        <v>93</v>
      </c>
      <c r="G201" s="196"/>
      <c r="H201" s="180" t="s">
        <v>37</v>
      </c>
      <c r="I201" s="187">
        <f ca="1">IFERROR(__xludf.DUMMYFUNCTION("IMPORTRANGE(""https://docs.google.com/spreadsheets/d/11923uPwbBZFjjGgGUA6NLw09EwE0CqkOc4q9oUmW1yo/edit?usp=sharing"",""พะเยา!I126"")"),15)</f>
        <v>15</v>
      </c>
      <c r="J201" s="188">
        <f ca="1">IFERROR(__xludf.DUMMYFUNCTION("IMPORTRANGE(""https://docs.google.com/spreadsheets/d/11923uPwbBZFjjGgGUA6NLw09EwE0CqkOc4q9oUmW1yo/edit?usp=sharing"",""พะเยา!J126"")"),15)</f>
        <v>15</v>
      </c>
      <c r="K201" s="163">
        <f t="shared" ca="1" si="70"/>
        <v>100</v>
      </c>
      <c r="L201" s="168"/>
      <c r="M201" s="168"/>
      <c r="N201" s="167"/>
      <c r="O201" s="168"/>
      <c r="P201" s="168"/>
    </row>
    <row r="202" spans="1:16" ht="21.75" customHeight="1" x14ac:dyDescent="0.3">
      <c r="A202" s="175"/>
      <c r="B202" s="176"/>
      <c r="C202" s="176"/>
      <c r="D202" s="193"/>
      <c r="E202" s="194" t="s">
        <v>54</v>
      </c>
      <c r="F202" s="195"/>
      <c r="G202" s="196"/>
      <c r="H202" s="186"/>
      <c r="I202" s="187"/>
      <c r="J202" s="197">
        <f ca="1">IFERROR(__xludf.DUMMYFUNCTION("IMPORTRANGE(""https://docs.google.com/spreadsheets/d/11923uPwbBZFjjGgGUA6NLw09EwE0CqkOc4q9oUmW1yo/edit?usp=sharing"",""พะเยา!J127"")"),0)</f>
        <v>0</v>
      </c>
      <c r="K202" s="163"/>
      <c r="L202" s="181"/>
      <c r="M202" s="181"/>
      <c r="N202" s="181"/>
      <c r="O202" s="181"/>
      <c r="P202" s="181"/>
    </row>
    <row r="203" spans="1:16" ht="21.75" customHeight="1" x14ac:dyDescent="0.3">
      <c r="A203" s="233"/>
      <c r="B203" s="234"/>
      <c r="C203" s="234"/>
      <c r="D203" s="235">
        <v>3</v>
      </c>
      <c r="E203" s="236" t="s">
        <v>55</v>
      </c>
      <c r="F203" s="237"/>
      <c r="G203" s="238"/>
      <c r="H203" s="239"/>
      <c r="I203" s="240"/>
      <c r="J203" s="285">
        <f ca="1">IFERROR(__xludf.DUMMYFUNCTION("IMPORTRANGE(""https://docs.google.com/spreadsheets/d/11923uPwbBZFjjGgGUA6NLw09EwE0CqkOc4q9oUmW1yo/edit?usp=sharing"",""พะเยา!J128"")"),0)</f>
        <v>0</v>
      </c>
      <c r="K203" s="286"/>
      <c r="L203" s="244"/>
      <c r="M203" s="244"/>
      <c r="N203" s="244"/>
      <c r="O203" s="244"/>
      <c r="P203" s="244"/>
    </row>
    <row r="204" spans="1:16" ht="21.75" customHeight="1" x14ac:dyDescent="0.3">
      <c r="A204" s="269"/>
      <c r="B204" s="270"/>
      <c r="C204" s="287" t="s">
        <v>94</v>
      </c>
      <c r="D204" s="271"/>
      <c r="E204" s="271"/>
      <c r="F204" s="271"/>
      <c r="G204" s="272"/>
      <c r="H204" s="284" t="s">
        <v>37</v>
      </c>
      <c r="I204" s="282">
        <f ca="1">IFERROR(__xludf.DUMMYFUNCTION("IMPORTRANGE(""https://docs.google.com/spreadsheets/d/11923uPwbBZFjjGgGUA6NLw09EwE0CqkOc4q9oUmW1yo/edit?usp=sharing"",""พะเยา!I129"")"),40)</f>
        <v>40</v>
      </c>
      <c r="J204" s="282">
        <f ca="1">IFERROR(__xludf.DUMMYFUNCTION("IMPORTRANGE(""https://docs.google.com/spreadsheets/d/11923uPwbBZFjjGgGUA6NLw09EwE0CqkOc4q9oUmW1yo/edit?usp=sharing"",""พะเยา!J129"")"),40)</f>
        <v>40</v>
      </c>
      <c r="K204" s="283">
        <f ca="1">IF(I204&gt;0,J204*100/I204,0)</f>
        <v>100</v>
      </c>
      <c r="L204" s="276"/>
      <c r="M204" s="276"/>
      <c r="N204" s="276"/>
      <c r="O204" s="276"/>
      <c r="P204" s="276"/>
    </row>
    <row r="205" spans="1:16" ht="21.75" customHeight="1" x14ac:dyDescent="0.3">
      <c r="A205" s="156"/>
      <c r="B205" s="157"/>
      <c r="C205" s="157" t="s">
        <v>16</v>
      </c>
      <c r="D205" s="158" t="s">
        <v>38</v>
      </c>
      <c r="E205" s="159"/>
      <c r="F205" s="159"/>
      <c r="G205" s="160" t="s">
        <v>39</v>
      </c>
      <c r="H205" s="161" t="s">
        <v>12</v>
      </c>
      <c r="I205" s="162" t="s">
        <v>40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3">
      <c r="A206" s="156"/>
      <c r="B206" s="157"/>
      <c r="C206" s="157"/>
      <c r="D206" s="166"/>
      <c r="E206" s="159"/>
      <c r="F206" s="159" t="s">
        <v>40</v>
      </c>
      <c r="G206" s="160" t="s">
        <v>41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3">
      <c r="A207" s="156"/>
      <c r="B207" s="157"/>
      <c r="C207" s="157"/>
      <c r="D207" s="166"/>
      <c r="E207" s="159"/>
      <c r="F207" s="159"/>
      <c r="G207" s="169" t="s">
        <v>43</v>
      </c>
      <c r="H207" s="161" t="s">
        <v>12</v>
      </c>
      <c r="I207" s="162"/>
      <c r="J207" s="187"/>
      <c r="K207" s="223"/>
      <c r="L207" s="168"/>
      <c r="M207" s="168"/>
      <c r="N207" s="167"/>
      <c r="O207" s="168"/>
      <c r="P207" s="168"/>
    </row>
    <row r="208" spans="1:16" ht="21.75" customHeight="1" x14ac:dyDescent="0.3">
      <c r="A208" s="175"/>
      <c r="B208" s="176"/>
      <c r="C208" s="157" t="s">
        <v>16</v>
      </c>
      <c r="D208" s="177" t="s">
        <v>44</v>
      </c>
      <c r="E208" s="178"/>
      <c r="F208" s="178"/>
      <c r="G208" s="179"/>
      <c r="H208" s="180"/>
      <c r="I208" s="162"/>
      <c r="J208" s="187"/>
      <c r="K208" s="223"/>
      <c r="L208" s="168"/>
      <c r="M208" s="168"/>
      <c r="N208" s="168"/>
      <c r="O208" s="181"/>
      <c r="P208" s="181"/>
    </row>
    <row r="209" spans="1:16" ht="21.75" customHeight="1" x14ac:dyDescent="0.3">
      <c r="A209" s="175"/>
      <c r="B209" s="176"/>
      <c r="C209" s="176"/>
      <c r="D209" s="182">
        <v>1</v>
      </c>
      <c r="E209" s="183" t="s">
        <v>45</v>
      </c>
      <c r="F209" s="184"/>
      <c r="G209" s="185"/>
      <c r="H209" s="186"/>
      <c r="I209" s="187"/>
      <c r="J209" s="187">
        <f ca="1">IFERROR(__xludf.DUMMYFUNCTION("IMPORTRANGE(""https://docs.google.com/spreadsheets/d/11923uPwbBZFjjGgGUA6NLw09EwE0CqkOc4q9oUmW1yo/edit?usp=sharing"",""พะเยา!J134"")"),0)</f>
        <v>0</v>
      </c>
      <c r="K209" s="223"/>
      <c r="L209" s="168"/>
      <c r="M209" s="168"/>
      <c r="N209" s="168"/>
      <c r="O209" s="181"/>
      <c r="P209" s="181"/>
    </row>
    <row r="210" spans="1:16" ht="21.75" customHeight="1" x14ac:dyDescent="0.3">
      <c r="A210" s="175"/>
      <c r="B210" s="176"/>
      <c r="C210" s="176"/>
      <c r="D210" s="189">
        <v>2</v>
      </c>
      <c r="E210" s="190" t="s">
        <v>46</v>
      </c>
      <c r="F210" s="191"/>
      <c r="G210" s="192"/>
      <c r="H210" s="186"/>
      <c r="I210" s="187"/>
      <c r="J210" s="187">
        <f ca="1">IFERROR(__xludf.DUMMYFUNCTION("IMPORTRANGE(""https://docs.google.com/spreadsheets/d/11923uPwbBZFjjGgGUA6NLw09EwE0CqkOc4q9oUmW1yo/edit?usp=sharing"",""พะเยา!J135"")"),1)</f>
        <v>1</v>
      </c>
      <c r="K210" s="223"/>
      <c r="L210" s="168"/>
      <c r="M210" s="168"/>
      <c r="N210" s="168"/>
      <c r="O210" s="181"/>
      <c r="P210" s="181"/>
    </row>
    <row r="211" spans="1:16" ht="21.75" customHeight="1" x14ac:dyDescent="0.3">
      <c r="A211" s="175"/>
      <c r="B211" s="176"/>
      <c r="C211" s="176"/>
      <c r="D211" s="193"/>
      <c r="E211" s="194" t="s">
        <v>47</v>
      </c>
      <c r="F211" s="195"/>
      <c r="G211" s="196"/>
      <c r="H211" s="186"/>
      <c r="I211" s="187"/>
      <c r="J211" s="187">
        <f ca="1">IFERROR(__xludf.DUMMYFUNCTION("IMPORTRANGE(""https://docs.google.com/spreadsheets/d/11923uPwbBZFjjGgGUA6NLw09EwE0CqkOc4q9oUmW1yo/edit?usp=sharing"",""พะเยา!J136"")"),1)</f>
        <v>1</v>
      </c>
      <c r="K211" s="223"/>
      <c r="L211" s="168"/>
      <c r="M211" s="168"/>
      <c r="N211" s="168"/>
      <c r="O211" s="181"/>
      <c r="P211" s="181"/>
    </row>
    <row r="212" spans="1:16" ht="21.75" customHeight="1" x14ac:dyDescent="0.3">
      <c r="A212" s="175"/>
      <c r="B212" s="176"/>
      <c r="C212" s="176"/>
      <c r="D212" s="193"/>
      <c r="E212" s="194" t="s">
        <v>48</v>
      </c>
      <c r="F212" s="195"/>
      <c r="G212" s="196"/>
      <c r="H212" s="186"/>
      <c r="I212" s="187"/>
      <c r="J212" s="187">
        <f ca="1">IFERROR(__xludf.DUMMYFUNCTION("IMPORTRANGE(""https://docs.google.com/spreadsheets/d/11923uPwbBZFjjGgGUA6NLw09EwE0CqkOc4q9oUmW1yo/edit?usp=sharing"",""พะเยา!J137"")"),1)</f>
        <v>1</v>
      </c>
      <c r="K212" s="223"/>
      <c r="L212" s="168"/>
      <c r="M212" s="168"/>
      <c r="N212" s="168"/>
      <c r="O212" s="181"/>
      <c r="P212" s="181"/>
    </row>
    <row r="213" spans="1:16" ht="21.75" customHeight="1" x14ac:dyDescent="0.3">
      <c r="A213" s="175"/>
      <c r="B213" s="176"/>
      <c r="C213" s="176"/>
      <c r="D213" s="193"/>
      <c r="E213" s="198"/>
      <c r="F213" s="195" t="s">
        <v>95</v>
      </c>
      <c r="G213" s="196"/>
      <c r="H213" s="180" t="s">
        <v>37</v>
      </c>
      <c r="I213" s="187">
        <f ca="1">IFERROR(__xludf.DUMMYFUNCTION("IMPORTRANGE(""https://docs.google.com/spreadsheets/d/11923uPwbBZFjjGgGUA6NLw09EwE0CqkOc4q9oUmW1yo/edit?usp=sharing"",""พะเยา!I138"")"),40)</f>
        <v>40</v>
      </c>
      <c r="J213" s="203">
        <f ca="1">IFERROR(__xludf.DUMMYFUNCTION("IMPORTRANGE(""https://docs.google.com/spreadsheets/d/11923uPwbBZFjjGgGUA6NLw09EwE0CqkOc4q9oUmW1yo/edit?usp=sharing"",""พะเยา!J138"")"),40)</f>
        <v>40</v>
      </c>
      <c r="K213" s="223">
        <f ca="1">IF(I213&gt;0,J213*100/I213,0)</f>
        <v>100</v>
      </c>
      <c r="L213" s="168"/>
      <c r="M213" s="168"/>
      <c r="N213" s="167"/>
      <c r="O213" s="168"/>
      <c r="P213" s="168"/>
    </row>
    <row r="214" spans="1:16" ht="21.75" customHeight="1" x14ac:dyDescent="0.3">
      <c r="A214" s="175"/>
      <c r="B214" s="176"/>
      <c r="C214" s="176"/>
      <c r="D214" s="193"/>
      <c r="E214" s="198"/>
      <c r="F214" s="194" t="s">
        <v>53</v>
      </c>
      <c r="G214" s="196"/>
      <c r="H214" s="180"/>
      <c r="I214" s="187"/>
      <c r="J214" s="187"/>
      <c r="K214" s="223"/>
      <c r="L214" s="168"/>
      <c r="M214" s="168"/>
      <c r="N214" s="168"/>
      <c r="O214" s="181"/>
      <c r="P214" s="181"/>
    </row>
    <row r="215" spans="1:16" ht="21.75" customHeight="1" x14ac:dyDescent="0.3">
      <c r="A215" s="175"/>
      <c r="B215" s="176"/>
      <c r="C215" s="176"/>
      <c r="D215" s="193"/>
      <c r="E215" s="198"/>
      <c r="F215" s="195"/>
      <c r="G215" s="225" t="s">
        <v>96</v>
      </c>
      <c r="H215" s="180" t="s">
        <v>37</v>
      </c>
      <c r="I215" s="187">
        <f ca="1">IFERROR(__xludf.DUMMYFUNCTION("IMPORTRANGE(""https://docs.google.com/spreadsheets/d/11923uPwbBZFjjGgGUA6NLw09EwE0CqkOc4q9oUmW1yo/edit?usp=sharing"",""พะเยา!I140"")"),40)</f>
        <v>40</v>
      </c>
      <c r="J215" s="203">
        <f ca="1">IFERROR(__xludf.DUMMYFUNCTION("IMPORTRANGE(""https://docs.google.com/spreadsheets/d/11923uPwbBZFjjGgGUA6NLw09EwE0CqkOc4q9oUmW1yo/edit?usp=sharing"",""พะเยา!J140"")"),0)</f>
        <v>0</v>
      </c>
      <c r="K215" s="223">
        <f t="shared" ref="K215:K216" ca="1" si="71">IF(I215&gt;0,J215*100/I215,0)</f>
        <v>0</v>
      </c>
      <c r="L215" s="168"/>
      <c r="M215" s="168"/>
      <c r="N215" s="167"/>
      <c r="O215" s="168"/>
      <c r="P215" s="168"/>
    </row>
    <row r="216" spans="1:16" ht="21.75" customHeight="1" x14ac:dyDescent="0.3">
      <c r="A216" s="175"/>
      <c r="B216" s="176"/>
      <c r="C216" s="176"/>
      <c r="D216" s="193"/>
      <c r="E216" s="198"/>
      <c r="F216" s="195"/>
      <c r="G216" s="225" t="s">
        <v>97</v>
      </c>
      <c r="H216" s="180" t="s">
        <v>59</v>
      </c>
      <c r="I216" s="187">
        <f ca="1">IFERROR(__xludf.DUMMYFUNCTION("IMPORTRANGE(""https://docs.google.com/spreadsheets/d/11923uPwbBZFjjGgGUA6NLw09EwE0CqkOc4q9oUmW1yo/edit?usp=sharing"",""พะเยา!I141"")"),2)</f>
        <v>2</v>
      </c>
      <c r="J216" s="203">
        <f ca="1">IFERROR(__xludf.DUMMYFUNCTION("IMPORTRANGE(""https://docs.google.com/spreadsheets/d/11923uPwbBZFjjGgGUA6NLw09EwE0CqkOc4q9oUmW1yo/edit?usp=sharing"",""พะเยา!J141"")"),0)</f>
        <v>0</v>
      </c>
      <c r="K216" s="223">
        <f t="shared" ca="1" si="71"/>
        <v>0</v>
      </c>
      <c r="L216" s="168"/>
      <c r="M216" s="168"/>
      <c r="N216" s="167"/>
      <c r="O216" s="168"/>
      <c r="P216" s="168"/>
    </row>
    <row r="217" spans="1:16" ht="21.75" customHeight="1" x14ac:dyDescent="0.3">
      <c r="A217" s="175"/>
      <c r="B217" s="176"/>
      <c r="C217" s="176"/>
      <c r="D217" s="193"/>
      <c r="E217" s="194" t="s">
        <v>54</v>
      </c>
      <c r="F217" s="195"/>
      <c r="G217" s="196"/>
      <c r="H217" s="186"/>
      <c r="I217" s="187"/>
      <c r="J217" s="187">
        <f ca="1">IFERROR(__xludf.DUMMYFUNCTION("IMPORTRANGE(""https://docs.google.com/spreadsheets/d/11923uPwbBZFjjGgGUA6NLw09EwE0CqkOc4q9oUmW1yo/edit?usp=sharing"",""พะเยา!J142"")"),0)</f>
        <v>0</v>
      </c>
      <c r="K217" s="223"/>
      <c r="L217" s="168"/>
      <c r="M217" s="168"/>
      <c r="N217" s="168"/>
      <c r="O217" s="181"/>
      <c r="P217" s="181"/>
    </row>
    <row r="218" spans="1:16" ht="21.75" customHeight="1" x14ac:dyDescent="0.3">
      <c r="A218" s="233"/>
      <c r="B218" s="234"/>
      <c r="C218" s="234"/>
      <c r="D218" s="235">
        <v>3</v>
      </c>
      <c r="E218" s="236" t="s">
        <v>55</v>
      </c>
      <c r="F218" s="237"/>
      <c r="G218" s="238"/>
      <c r="H218" s="239"/>
      <c r="I218" s="240"/>
      <c r="J218" s="241">
        <f ca="1">IFERROR(__xludf.DUMMYFUNCTION("IMPORTRANGE(""https://docs.google.com/spreadsheets/d/11923uPwbBZFjjGgGUA6NLw09EwE0CqkOc4q9oUmW1yo/edit?usp=sharing"",""พะเยา!J143"")"),0)</f>
        <v>0</v>
      </c>
      <c r="K218" s="242"/>
      <c r="L218" s="243"/>
      <c r="M218" s="243"/>
      <c r="N218" s="243"/>
      <c r="O218" s="244"/>
      <c r="P218" s="244"/>
    </row>
    <row r="219" spans="1:16" ht="21.75" customHeight="1" x14ac:dyDescent="0.3">
      <c r="A219" s="261"/>
      <c r="B219" s="262" t="s">
        <v>98</v>
      </c>
      <c r="C219" s="263"/>
      <c r="D219" s="262"/>
      <c r="E219" s="262"/>
      <c r="F219" s="262"/>
      <c r="G219" s="264"/>
      <c r="H219" s="265" t="s">
        <v>37</v>
      </c>
      <c r="I219" s="266">
        <f ca="1">IFERROR(__xludf.DUMMYFUNCTION("IMPORTRANGE(""https://docs.google.com/spreadsheets/d/11923uPwbBZFjjGgGUA6NLw09EwE0CqkOc4q9oUmW1yo/edit?usp=sharing"",""พะเยา!I144"")"),15)</f>
        <v>15</v>
      </c>
      <c r="J219" s="266">
        <f ca="1">IFERROR(__xludf.DUMMYFUNCTION("IMPORTRANGE(""https://docs.google.com/spreadsheets/d/11923uPwbBZFjjGgGUA6NLw09EwE0CqkOc4q9oUmW1yo/edit?usp=sharing"",""พะเยา!J144"")"),15)</f>
        <v>15</v>
      </c>
      <c r="K219" s="267">
        <f ca="1">IF(I219&gt;0,J219*100/I219,0)</f>
        <v>100</v>
      </c>
      <c r="L219" s="268"/>
      <c r="M219" s="268"/>
      <c r="N219" s="268"/>
      <c r="O219" s="267"/>
      <c r="P219" s="267"/>
    </row>
    <row r="220" spans="1:16" ht="21.75" customHeight="1" x14ac:dyDescent="0.45">
      <c r="A220" s="145"/>
      <c r="B220" s="146"/>
      <c r="C220" s="147" t="s">
        <v>16</v>
      </c>
      <c r="D220" s="537" t="s">
        <v>17</v>
      </c>
      <c r="E220" s="528"/>
      <c r="F220" s="528"/>
      <c r="G220" s="528"/>
      <c r="H220" s="148" t="s">
        <v>12</v>
      </c>
      <c r="I220" s="162"/>
      <c r="J220" s="162"/>
      <c r="K220" s="163"/>
      <c r="L220" s="151">
        <f t="shared" ref="L220:N220" ca="1" si="72">L221+L222</f>
        <v>21125</v>
      </c>
      <c r="M220" s="151">
        <f t="shared" ca="1" si="72"/>
        <v>21125</v>
      </c>
      <c r="N220" s="151">
        <f t="shared" ca="1" si="72"/>
        <v>21125</v>
      </c>
      <c r="O220" s="150">
        <f t="shared" ref="O220:O222" ca="1" si="73">IF(L220&gt;0,N220*100/L220,0)</f>
        <v>100</v>
      </c>
      <c r="P220" s="150">
        <f t="shared" ref="P220:P222" ca="1" si="74">IF(M220&gt;0,N220*100/M220,0)</f>
        <v>100</v>
      </c>
    </row>
    <row r="221" spans="1:16" ht="21.75" customHeight="1" x14ac:dyDescent="0.45">
      <c r="A221" s="152"/>
      <c r="B221" s="32"/>
      <c r="C221" s="32"/>
      <c r="D221" s="32"/>
      <c r="E221" s="32"/>
      <c r="F221" s="32"/>
      <c r="G221" s="33" t="s">
        <v>18</v>
      </c>
      <c r="H221" s="153" t="s">
        <v>12</v>
      </c>
      <c r="I221" s="162"/>
      <c r="J221" s="162"/>
      <c r="K221" s="163"/>
      <c r="L221" s="87">
        <f t="shared" ref="L221:N221" si="75">L223+L227</f>
        <v>0</v>
      </c>
      <c r="M221" s="87">
        <f t="shared" si="75"/>
        <v>0</v>
      </c>
      <c r="N221" s="87">
        <f t="shared" si="75"/>
        <v>0</v>
      </c>
      <c r="O221" s="155">
        <f t="shared" si="73"/>
        <v>0</v>
      </c>
      <c r="P221" s="155">
        <f t="shared" si="74"/>
        <v>0</v>
      </c>
    </row>
    <row r="222" spans="1:16" ht="21.75" customHeight="1" x14ac:dyDescent="0.45">
      <c r="A222" s="152"/>
      <c r="B222" s="32"/>
      <c r="C222" s="32"/>
      <c r="D222" s="32"/>
      <c r="E222" s="32"/>
      <c r="F222" s="32"/>
      <c r="G222" s="33" t="s">
        <v>19</v>
      </c>
      <c r="H222" s="153" t="s">
        <v>12</v>
      </c>
      <c r="I222" s="162"/>
      <c r="J222" s="162"/>
      <c r="K222" s="163"/>
      <c r="L222" s="87">
        <f t="shared" ref="L222:N222" ca="1" si="76">L224+L228</f>
        <v>21125</v>
      </c>
      <c r="M222" s="87">
        <f t="shared" ca="1" si="76"/>
        <v>21125</v>
      </c>
      <c r="N222" s="87">
        <f t="shared" ca="1" si="76"/>
        <v>21125</v>
      </c>
      <c r="O222" s="155">
        <f t="shared" ca="1" si="73"/>
        <v>100</v>
      </c>
      <c r="P222" s="155">
        <f t="shared" ca="1" si="74"/>
        <v>100</v>
      </c>
    </row>
    <row r="223" spans="1:16" ht="21.75" customHeight="1" x14ac:dyDescent="0.3">
      <c r="A223" s="156"/>
      <c r="B223" s="157"/>
      <c r="C223" s="157" t="s">
        <v>16</v>
      </c>
      <c r="D223" s="158" t="s">
        <v>38</v>
      </c>
      <c r="E223" s="159"/>
      <c r="F223" s="159"/>
      <c r="G223" s="160" t="s">
        <v>39</v>
      </c>
      <c r="H223" s="161" t="s">
        <v>12</v>
      </c>
      <c r="I223" s="162" t="s">
        <v>40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3">
      <c r="A224" s="156"/>
      <c r="B224" s="157"/>
      <c r="C224" s="157"/>
      <c r="D224" s="166"/>
      <c r="E224" s="159"/>
      <c r="F224" s="159" t="s">
        <v>40</v>
      </c>
      <c r="G224" s="160" t="s">
        <v>41</v>
      </c>
      <c r="H224" s="161" t="s">
        <v>12</v>
      </c>
      <c r="I224" s="162"/>
      <c r="J224" s="162"/>
      <c r="K224" s="163"/>
      <c r="L224" s="167">
        <f ca="1">L225+L226</f>
        <v>21125</v>
      </c>
      <c r="M224" s="167">
        <f ca="1">IFERROR(__xludf.DUMMYFUNCTION("IMPORTRANGE(""https://docs.google.com/spreadsheets/d/1Yj_ptqi66GCucihVvJfMjLAmec39IyEx_6qawtMGysU/edit?usp=sharing"",""สบก!BS26"")"),21125)</f>
        <v>21125</v>
      </c>
      <c r="N224" s="168">
        <f ca="1">IFERROR(__xludf.DUMMYFUNCTION("IMPORTRANGE(""https://docs.google.com/spreadsheets/d/1Yj_ptqi66GCucihVvJfMjLAmec39IyEx_6qawtMGysU/edit?usp=sharing"",""สบก!BT26"")"),21125)</f>
        <v>21125</v>
      </c>
      <c r="O224" s="168">
        <f ca="1">IF(L224&gt;0,N224*100/L224,0)</f>
        <v>100</v>
      </c>
      <c r="P224" s="168">
        <f ca="1">IF(M224&gt;0,N224*100/M224,0)</f>
        <v>100</v>
      </c>
    </row>
    <row r="225" spans="1:16" ht="21.75" customHeight="1" x14ac:dyDescent="0.3">
      <c r="A225" s="156"/>
      <c r="B225" s="157"/>
      <c r="C225" s="157"/>
      <c r="D225" s="166"/>
      <c r="E225" s="159"/>
      <c r="F225" s="159"/>
      <c r="G225" s="169" t="s">
        <v>42</v>
      </c>
      <c r="H225" s="161" t="s">
        <v>12</v>
      </c>
      <c r="I225" s="162"/>
      <c r="J225" s="162"/>
      <c r="K225" s="163"/>
      <c r="L225" s="167">
        <f ca="1">IFERROR(__xludf.DUMMYFUNCTION("IMPORTRANGE(""https://docs.google.com/spreadsheets/d/1Yj_ptqi66GCucihVvJfMjLAmec39IyEx_6qawtMGysU/edit?usp=sharing"",""สบก!BO26"")"),0)</f>
        <v>0</v>
      </c>
      <c r="M225" s="167"/>
      <c r="N225" s="167"/>
      <c r="O225" s="168"/>
      <c r="P225" s="168"/>
    </row>
    <row r="226" spans="1:16" ht="21.75" customHeight="1" x14ac:dyDescent="0.3">
      <c r="A226" s="156"/>
      <c r="B226" s="157"/>
      <c r="C226" s="157"/>
      <c r="D226" s="166"/>
      <c r="E226" s="159"/>
      <c r="F226" s="159"/>
      <c r="G226" s="169" t="s">
        <v>43</v>
      </c>
      <c r="H226" s="161" t="s">
        <v>12</v>
      </c>
      <c r="I226" s="162"/>
      <c r="J226" s="162"/>
      <c r="K226" s="163"/>
      <c r="L226" s="167">
        <f ca="1">IFERROR(__xludf.DUMMYFUNCTION("IMPORTRANGE(""https://docs.google.com/spreadsheets/d/1Yj_ptqi66GCucihVvJfMjLAmec39IyEx_6qawtMGysU/edit?usp=sharing"",""สบก!BP26"")"),21125)</f>
        <v>21125</v>
      </c>
      <c r="M226" s="167"/>
      <c r="N226" s="167"/>
      <c r="O226" s="168"/>
      <c r="P226" s="168"/>
    </row>
    <row r="227" spans="1:16" ht="21.75" customHeight="1" x14ac:dyDescent="0.45">
      <c r="A227" s="170"/>
      <c r="B227" s="80"/>
      <c r="C227" s="81" t="s">
        <v>16</v>
      </c>
      <c r="D227" s="534" t="s">
        <v>23</v>
      </c>
      <c r="E227" s="530"/>
      <c r="F227" s="88"/>
      <c r="G227" s="82" t="s">
        <v>18</v>
      </c>
      <c r="H227" s="171" t="s">
        <v>12</v>
      </c>
      <c r="I227" s="200"/>
      <c r="J227" s="200"/>
      <c r="K227" s="288"/>
      <c r="L227" s="41">
        <v>0</v>
      </c>
      <c r="M227" s="41"/>
      <c r="N227" s="41"/>
      <c r="O227" s="41"/>
      <c r="P227" s="41"/>
    </row>
    <row r="228" spans="1:16" ht="21.75" customHeight="1" x14ac:dyDescent="0.45">
      <c r="A228" s="172"/>
      <c r="B228" s="91"/>
      <c r="C228" s="91"/>
      <c r="D228" s="173"/>
      <c r="E228" s="92"/>
      <c r="F228" s="92"/>
      <c r="G228" s="93" t="s">
        <v>19</v>
      </c>
      <c r="H228" s="174" t="s">
        <v>12</v>
      </c>
      <c r="I228" s="200"/>
      <c r="J228" s="200"/>
      <c r="K228" s="288"/>
      <c r="L228" s="49">
        <f ca="1">IFERROR(__xludf.DUMMYFUNCTION("IMPORTRANGE(""https://docs.google.com/spreadsheets/d/1Yj_ptqi66GCucihVvJfMjLAmec39IyEx_6qawtMGysU/edit?usp=sharing"",""สบก!BQ26"")"),0)</f>
        <v>0</v>
      </c>
      <c r="M228" s="49"/>
      <c r="N228" s="49">
        <f ca="1">IFERROR(__xludf.DUMMYFUNCTION("IMPORTRANGE(""https://docs.google.com/spreadsheets/d/1Yj_ptqi66GCucihVvJfMjLAmec39IyEx_6qawtMGysU/edit?usp=sharing"",""สบก!BU26"")"),0)</f>
        <v>0</v>
      </c>
      <c r="O228" s="49">
        <f ca="1">IF(L228&gt;0,N228*100/L228,0)</f>
        <v>0</v>
      </c>
      <c r="P228" s="49"/>
    </row>
    <row r="229" spans="1:16" ht="21.75" customHeight="1" x14ac:dyDescent="0.3">
      <c r="A229" s="175"/>
      <c r="B229" s="289"/>
      <c r="C229" s="263" t="s">
        <v>99</v>
      </c>
      <c r="D229" s="262"/>
      <c r="E229" s="262"/>
      <c r="F229" s="262"/>
      <c r="G229" s="264"/>
      <c r="H229" s="265" t="s">
        <v>37</v>
      </c>
      <c r="I229" s="266">
        <f ca="1">IFERROR(__xludf.DUMMYFUNCTION("IMPORTRANGE(""https://docs.google.com/spreadsheets/d/11923uPwbBZFjjGgGUA6NLw09EwE0CqkOc4q9oUmW1yo/edit?usp=sharing"",""พะเยา!I149"")"),15)</f>
        <v>15</v>
      </c>
      <c r="J229" s="266">
        <f ca="1">IFERROR(__xludf.DUMMYFUNCTION("IMPORTRANGE(""https://docs.google.com/spreadsheets/d/11923uPwbBZFjjGgGUA6NLw09EwE0CqkOc4q9oUmW1yo/edit?usp=sharing"",""พะเยา!J149"")"),15)</f>
        <v>15</v>
      </c>
      <c r="K229" s="267">
        <f ca="1">IF(I229&gt;0,J229*100/I229,0)</f>
        <v>100</v>
      </c>
      <c r="L229" s="290"/>
      <c r="M229" s="290"/>
      <c r="N229" s="290"/>
      <c r="O229" s="290"/>
      <c r="P229" s="290"/>
    </row>
    <row r="230" spans="1:16" ht="21.75" customHeight="1" x14ac:dyDescent="0.3">
      <c r="A230" s="175"/>
      <c r="B230" s="176"/>
      <c r="C230" s="157" t="s">
        <v>16</v>
      </c>
      <c r="D230" s="177" t="s">
        <v>44</v>
      </c>
      <c r="E230" s="178"/>
      <c r="F230" s="178"/>
      <c r="G230" s="179"/>
      <c r="H230" s="180"/>
      <c r="I230" s="162"/>
      <c r="J230" s="162"/>
      <c r="K230" s="163"/>
      <c r="L230" s="181"/>
      <c r="M230" s="181"/>
      <c r="N230" s="181"/>
      <c r="O230" s="181"/>
      <c r="P230" s="181"/>
    </row>
    <row r="231" spans="1:16" ht="21.75" customHeight="1" x14ac:dyDescent="0.3">
      <c r="A231" s="175"/>
      <c r="B231" s="176"/>
      <c r="C231" s="176"/>
      <c r="D231" s="182">
        <v>1</v>
      </c>
      <c r="E231" s="183" t="s">
        <v>45</v>
      </c>
      <c r="F231" s="184"/>
      <c r="G231" s="185"/>
      <c r="H231" s="186"/>
      <c r="I231" s="187"/>
      <c r="J231" s="197">
        <f ca="1">IFERROR(__xludf.DUMMYFUNCTION("IMPORTRANGE(""https://docs.google.com/spreadsheets/d/11923uPwbBZFjjGgGUA6NLw09EwE0CqkOc4q9oUmW1yo/edit?usp=sharing"",""พะเยา!J151"")"),0)</f>
        <v>0</v>
      </c>
      <c r="K231" s="163"/>
      <c r="L231" s="181"/>
      <c r="M231" s="181"/>
      <c r="N231" s="181"/>
      <c r="O231" s="181"/>
      <c r="P231" s="181"/>
    </row>
    <row r="232" spans="1:16" ht="21.75" customHeight="1" x14ac:dyDescent="0.3">
      <c r="A232" s="175"/>
      <c r="B232" s="176"/>
      <c r="C232" s="176"/>
      <c r="D232" s="189">
        <v>2</v>
      </c>
      <c r="E232" s="190" t="s">
        <v>46</v>
      </c>
      <c r="F232" s="191"/>
      <c r="G232" s="192"/>
      <c r="H232" s="186"/>
      <c r="I232" s="187"/>
      <c r="J232" s="188">
        <f ca="1">IFERROR(__xludf.DUMMYFUNCTION("IMPORTRANGE(""https://docs.google.com/spreadsheets/d/11923uPwbBZFjjGgGUA6NLw09EwE0CqkOc4q9oUmW1yo/edit?usp=sharing"",""พะเยา!J152"")"),1)</f>
        <v>1</v>
      </c>
      <c r="K232" s="163"/>
      <c r="L232" s="181" t="s">
        <v>40</v>
      </c>
      <c r="M232" s="181"/>
      <c r="N232" s="181" t="s">
        <v>40</v>
      </c>
      <c r="O232" s="181"/>
      <c r="P232" s="181"/>
    </row>
    <row r="233" spans="1:16" ht="21.75" customHeight="1" x14ac:dyDescent="0.3">
      <c r="A233" s="175"/>
      <c r="B233" s="176"/>
      <c r="C233" s="176"/>
      <c r="D233" s="193"/>
      <c r="E233" s="194" t="s">
        <v>47</v>
      </c>
      <c r="F233" s="195"/>
      <c r="G233" s="196"/>
      <c r="H233" s="186"/>
      <c r="I233" s="187"/>
      <c r="J233" s="188">
        <f ca="1">IFERROR(__xludf.DUMMYFUNCTION("IMPORTRANGE(""https://docs.google.com/spreadsheets/d/11923uPwbBZFjjGgGUA6NLw09EwE0CqkOc4q9oUmW1yo/edit?usp=sharing"",""พะเยา!J153"")"),1)</f>
        <v>1</v>
      </c>
      <c r="K233" s="163"/>
      <c r="L233" s="181"/>
      <c r="M233" s="181"/>
      <c r="N233" s="181"/>
      <c r="O233" s="181"/>
      <c r="P233" s="181"/>
    </row>
    <row r="234" spans="1:16" ht="21.75" customHeight="1" x14ac:dyDescent="0.3">
      <c r="A234" s="175"/>
      <c r="B234" s="176"/>
      <c r="C234" s="176"/>
      <c r="D234" s="193"/>
      <c r="E234" s="194" t="s">
        <v>48</v>
      </c>
      <c r="F234" s="195"/>
      <c r="G234" s="196"/>
      <c r="H234" s="186"/>
      <c r="I234" s="187"/>
      <c r="J234" s="197">
        <f ca="1">IFERROR(__xludf.DUMMYFUNCTION("IMPORTRANGE(""https://docs.google.com/spreadsheets/d/11923uPwbBZFjjGgGUA6NLw09EwE0CqkOc4q9oUmW1yo/edit?usp=sharing"",""พะเยา!J154"")"),1)</f>
        <v>1</v>
      </c>
      <c r="K234" s="163"/>
      <c r="L234" s="181"/>
      <c r="M234" s="181"/>
      <c r="N234" s="181"/>
      <c r="O234" s="181"/>
      <c r="P234" s="181"/>
    </row>
    <row r="235" spans="1:16" ht="21.75" customHeight="1" x14ac:dyDescent="0.3">
      <c r="A235" s="175"/>
      <c r="B235" s="176"/>
      <c r="C235" s="176"/>
      <c r="D235" s="193"/>
      <c r="E235" s="198"/>
      <c r="F235" s="195"/>
      <c r="G235" s="291" t="s">
        <v>70</v>
      </c>
      <c r="H235" s="186" t="s">
        <v>37</v>
      </c>
      <c r="I235" s="187">
        <f ca="1">IFERROR(__xludf.DUMMYFUNCTION("IMPORTRANGE(""https://docs.google.com/spreadsheets/d/11923uPwbBZFjjGgGUA6NLw09EwE0CqkOc4q9oUmW1yo/edit?usp=sharing"",""พะเยา!I155"")"),15)</f>
        <v>15</v>
      </c>
      <c r="J235" s="188">
        <f ca="1">IFERROR(__xludf.DUMMYFUNCTION("IMPORTRANGE(""https://docs.google.com/spreadsheets/d/11923uPwbBZFjjGgGUA6NLw09EwE0CqkOc4q9oUmW1yo/edit?usp=sharing"",""พะเยา!J155"")"),15)</f>
        <v>15</v>
      </c>
      <c r="K235" s="163">
        <f ca="1">IF(I235&gt;0,J235*100/I235,0)</f>
        <v>100</v>
      </c>
      <c r="L235" s="181"/>
      <c r="M235" s="181"/>
      <c r="N235" s="181"/>
      <c r="O235" s="181"/>
      <c r="P235" s="181"/>
    </row>
    <row r="236" spans="1:16" ht="21.75" customHeight="1" x14ac:dyDescent="0.3">
      <c r="A236" s="175"/>
      <c r="B236" s="176"/>
      <c r="C236" s="176"/>
      <c r="D236" s="193"/>
      <c r="E236" s="194" t="s">
        <v>54</v>
      </c>
      <c r="F236" s="195"/>
      <c r="G236" s="196"/>
      <c r="H236" s="186"/>
      <c r="I236" s="187"/>
      <c r="J236" s="197">
        <f ca="1">IFERROR(__xludf.DUMMYFUNCTION("IMPORTRANGE(""https://docs.google.com/spreadsheets/d/11923uPwbBZFjjGgGUA6NLw09EwE0CqkOc4q9oUmW1yo/edit?usp=sharing"",""พะเยา!J156"")"),0)</f>
        <v>0</v>
      </c>
      <c r="K236" s="163"/>
      <c r="L236" s="181"/>
      <c r="M236" s="181"/>
      <c r="N236" s="181"/>
      <c r="O236" s="181"/>
      <c r="P236" s="181"/>
    </row>
    <row r="237" spans="1:16" ht="21.75" customHeight="1" x14ac:dyDescent="0.3">
      <c r="A237" s="175"/>
      <c r="B237" s="176"/>
      <c r="C237" s="176"/>
      <c r="D237" s="205">
        <v>3</v>
      </c>
      <c r="E237" s="206" t="s">
        <v>55</v>
      </c>
      <c r="F237" s="207"/>
      <c r="G237" s="208"/>
      <c r="H237" s="186"/>
      <c r="I237" s="187"/>
      <c r="J237" s="209">
        <f ca="1">IFERROR(__xludf.DUMMYFUNCTION("IMPORTRANGE(""https://docs.google.com/spreadsheets/d/11923uPwbBZFjjGgGUA6NLw09EwE0CqkOc4q9oUmW1yo/edit?usp=sharing"",""พะเยา!J157"")"),0)</f>
        <v>0</v>
      </c>
      <c r="K237" s="163"/>
      <c r="L237" s="181"/>
      <c r="M237" s="181"/>
      <c r="N237" s="181"/>
      <c r="O237" s="181"/>
      <c r="P237" s="181"/>
    </row>
    <row r="238" spans="1:16" ht="21.75" customHeight="1" x14ac:dyDescent="0.3">
      <c r="A238" s="175"/>
      <c r="B238" s="176"/>
      <c r="C238" s="263" t="s">
        <v>100</v>
      </c>
      <c r="D238" s="292"/>
      <c r="E238" s="262"/>
      <c r="F238" s="262"/>
      <c r="G238" s="264"/>
      <c r="H238" s="265" t="s">
        <v>37</v>
      </c>
      <c r="I238" s="266">
        <f ca="1">IFERROR(__xludf.DUMMYFUNCTION("IMPORTRANGE(""https://docs.google.com/spreadsheets/d/11923uPwbBZFjjGgGUA6NLw09EwE0CqkOc4q9oUmW1yo/edit?usp=sharing"",""พะเยา!I158"")"),0)</f>
        <v>0</v>
      </c>
      <c r="J238" s="266">
        <f ca="1">IFERROR(__xludf.DUMMYFUNCTION("IMPORTRANGE(""https://docs.google.com/spreadsheets/d/11923uPwbBZFjjGgGUA6NLw09EwE0CqkOc4q9oUmW1yo/edit?usp=sharing"",""พะเยา!J158"")"),0)</f>
        <v>0</v>
      </c>
      <c r="K238" s="267">
        <f ca="1">IF(I238&gt;0,J238*100/I238,0)</f>
        <v>0</v>
      </c>
      <c r="L238" s="181"/>
      <c r="M238" s="181"/>
      <c r="N238" s="181"/>
      <c r="O238" s="181"/>
      <c r="P238" s="181"/>
    </row>
    <row r="239" spans="1:16" ht="21.75" customHeight="1" x14ac:dyDescent="0.3">
      <c r="A239" s="175"/>
      <c r="B239" s="176"/>
      <c r="C239" s="157" t="s">
        <v>16</v>
      </c>
      <c r="D239" s="177" t="s">
        <v>44</v>
      </c>
      <c r="E239" s="178"/>
      <c r="F239" s="178"/>
      <c r="G239" s="179"/>
      <c r="H239" s="180"/>
      <c r="I239" s="162"/>
      <c r="J239" s="162"/>
      <c r="K239" s="163"/>
      <c r="L239" s="181"/>
      <c r="M239" s="181"/>
      <c r="N239" s="181"/>
      <c r="O239" s="181"/>
      <c r="P239" s="181"/>
    </row>
    <row r="240" spans="1:16" ht="21.75" customHeight="1" x14ac:dyDescent="0.3">
      <c r="A240" s="175"/>
      <c r="B240" s="176"/>
      <c r="C240" s="176"/>
      <c r="D240" s="182">
        <v>1</v>
      </c>
      <c r="E240" s="183" t="s">
        <v>45</v>
      </c>
      <c r="F240" s="184"/>
      <c r="G240" s="185"/>
      <c r="H240" s="186"/>
      <c r="I240" s="187"/>
      <c r="J240" s="187" t="str">
        <f ca="1">IFERROR(__xludf.DUMMYFUNCTION("IMPORTRANGE(""https://docs.google.com/spreadsheets/d/11923uPwbBZFjjGgGUA6NLw09EwE0CqkOc4q9oUmW1yo/edit?usp=sharing"",""พะเยา!J159"")"),"")</f>
        <v/>
      </c>
      <c r="K240" s="163"/>
      <c r="L240" s="181"/>
      <c r="M240" s="181"/>
      <c r="N240" s="181"/>
      <c r="O240" s="181"/>
      <c r="P240" s="181"/>
    </row>
    <row r="241" spans="1:16" ht="21.75" customHeight="1" x14ac:dyDescent="0.3">
      <c r="A241" s="175"/>
      <c r="B241" s="176"/>
      <c r="C241" s="176"/>
      <c r="D241" s="189">
        <v>2</v>
      </c>
      <c r="E241" s="190" t="s">
        <v>46</v>
      </c>
      <c r="F241" s="191"/>
      <c r="G241" s="192"/>
      <c r="H241" s="186"/>
      <c r="I241" s="187"/>
      <c r="J241" s="187">
        <f ca="1">IFERROR(__xludf.DUMMYFUNCTION("IMPORTRANGE(""https://docs.google.com/spreadsheets/d/11923uPwbBZFjjGgGUA6NLw09EwE0CqkOc4q9oUmW1yo/edit?usp=sharing"",""พะเยา!J161"")"),0)</f>
        <v>0</v>
      </c>
      <c r="K241" s="163"/>
      <c r="L241" s="181" t="s">
        <v>40</v>
      </c>
      <c r="M241" s="181"/>
      <c r="N241" s="181" t="s">
        <v>40</v>
      </c>
      <c r="O241" s="181"/>
      <c r="P241" s="181"/>
    </row>
    <row r="242" spans="1:16" ht="21.75" customHeight="1" x14ac:dyDescent="0.3">
      <c r="A242" s="175"/>
      <c r="B242" s="176"/>
      <c r="C242" s="176"/>
      <c r="D242" s="193"/>
      <c r="E242" s="194" t="s">
        <v>47</v>
      </c>
      <c r="F242" s="195"/>
      <c r="G242" s="196"/>
      <c r="H242" s="186"/>
      <c r="I242" s="187"/>
      <c r="J242" s="187">
        <f ca="1">IFERROR(__xludf.DUMMYFUNCTION("IMPORTRANGE(""https://docs.google.com/spreadsheets/d/11923uPwbBZFjjGgGUA6NLw09EwE0CqkOc4q9oUmW1yo/edit?usp=sharing"",""พะเยา!J162"")"),0)</f>
        <v>0</v>
      </c>
      <c r="K242" s="163"/>
      <c r="L242" s="181"/>
      <c r="M242" s="181"/>
      <c r="N242" s="181"/>
      <c r="O242" s="181"/>
      <c r="P242" s="181"/>
    </row>
    <row r="243" spans="1:16" ht="21.75" customHeight="1" x14ac:dyDescent="0.3">
      <c r="A243" s="175"/>
      <c r="B243" s="176"/>
      <c r="C243" s="176"/>
      <c r="D243" s="193"/>
      <c r="E243" s="194" t="s">
        <v>48</v>
      </c>
      <c r="F243" s="195"/>
      <c r="G243" s="196"/>
      <c r="H243" s="186"/>
      <c r="I243" s="187"/>
      <c r="J243" s="187">
        <f ca="1">IFERROR(__xludf.DUMMYFUNCTION("IMPORTRANGE(""https://docs.google.com/spreadsheets/d/11923uPwbBZFjjGgGUA6NLw09EwE0CqkOc4q9oUmW1yo/edit?usp=sharing"",""พะเยา!J163"")"),0)</f>
        <v>0</v>
      </c>
      <c r="K243" s="163"/>
      <c r="L243" s="181"/>
      <c r="M243" s="181"/>
      <c r="N243" s="181"/>
      <c r="O243" s="181"/>
      <c r="P243" s="181"/>
    </row>
    <row r="244" spans="1:16" ht="21.75" customHeight="1" x14ac:dyDescent="0.3">
      <c r="A244" s="175"/>
      <c r="B244" s="176"/>
      <c r="C244" s="176"/>
      <c r="D244" s="193"/>
      <c r="E244" s="195"/>
      <c r="F244" s="194" t="s">
        <v>101</v>
      </c>
      <c r="G244" s="195"/>
      <c r="H244" s="186" t="s">
        <v>37</v>
      </c>
      <c r="I244" s="203">
        <f ca="1">IFERROR(__xludf.DUMMYFUNCTION("IMPORTRANGE(""https://docs.google.com/spreadsheets/d/11923uPwbBZFjjGgGUA6NLw09EwE0CqkOc4q9oUmW1yo/edit?usp=sharing"",""พะเยา!I164"")"),0)</f>
        <v>0</v>
      </c>
      <c r="J244" s="187">
        <f ca="1">IFERROR(__xludf.DUMMYFUNCTION("IMPORTRANGE(""https://docs.google.com/spreadsheets/d/11923uPwbBZFjjGgGUA6NLw09EwE0CqkOc4q9oUmW1yo/edit?usp=sharing"",""พะเยา!J164"")"),0)</f>
        <v>0</v>
      </c>
      <c r="K244" s="163">
        <f ca="1">IF(I244&gt;0,J244*100/I244,0)</f>
        <v>0</v>
      </c>
      <c r="L244" s="181"/>
      <c r="M244" s="181"/>
      <c r="N244" s="181"/>
      <c r="O244" s="181"/>
      <c r="P244" s="181"/>
    </row>
    <row r="245" spans="1:16" ht="21.75" customHeight="1" x14ac:dyDescent="0.3">
      <c r="A245" s="175"/>
      <c r="B245" s="176"/>
      <c r="C245" s="176"/>
      <c r="D245" s="193"/>
      <c r="E245" s="194" t="s">
        <v>54</v>
      </c>
      <c r="F245" s="195"/>
      <c r="G245" s="196"/>
      <c r="H245" s="186"/>
      <c r="I245" s="187"/>
      <c r="J245" s="187">
        <f ca="1">IFERROR(__xludf.DUMMYFUNCTION("IMPORTRANGE(""https://docs.google.com/spreadsheets/d/11923uPwbBZFjjGgGUA6NLw09EwE0CqkOc4q9oUmW1yo/edit?usp=sharing"",""พะเยา!J165"")"),0)</f>
        <v>0</v>
      </c>
      <c r="K245" s="163"/>
      <c r="L245" s="181"/>
      <c r="M245" s="181"/>
      <c r="N245" s="181"/>
      <c r="O245" s="181"/>
      <c r="P245" s="181"/>
    </row>
    <row r="246" spans="1:16" ht="21.75" customHeight="1" x14ac:dyDescent="0.3">
      <c r="A246" s="233"/>
      <c r="B246" s="234"/>
      <c r="C246" s="234"/>
      <c r="D246" s="235">
        <v>3</v>
      </c>
      <c r="E246" s="236" t="s">
        <v>55</v>
      </c>
      <c r="F246" s="237"/>
      <c r="G246" s="238"/>
      <c r="H246" s="239"/>
      <c r="I246" s="240"/>
      <c r="J246" s="241">
        <f ca="1">IFERROR(__xludf.DUMMYFUNCTION("IMPORTRANGE(""https://docs.google.com/spreadsheets/d/11923uPwbBZFjjGgGUA6NLw09EwE0CqkOc4q9oUmW1yo/edit?usp=sharing"",""พะเยา!J166"")"),0)</f>
        <v>0</v>
      </c>
      <c r="K246" s="286"/>
      <c r="L246" s="244"/>
      <c r="M246" s="244"/>
      <c r="N246" s="244"/>
      <c r="O246" s="244"/>
      <c r="P246" s="244"/>
    </row>
    <row r="247" spans="1:16" ht="21.75" customHeight="1" x14ac:dyDescent="0.3">
      <c r="A247" s="293" t="s">
        <v>102</v>
      </c>
      <c r="B247" s="294"/>
      <c r="C247" s="294"/>
      <c r="D247" s="294"/>
      <c r="E247" s="295"/>
      <c r="F247" s="295"/>
      <c r="G247" s="296"/>
      <c r="H247" s="297"/>
      <c r="I247" s="298"/>
      <c r="J247" s="298"/>
      <c r="K247" s="299"/>
      <c r="L247" s="300"/>
      <c r="M247" s="300"/>
      <c r="N247" s="300"/>
      <c r="O247" s="301"/>
      <c r="P247" s="301"/>
    </row>
    <row r="248" spans="1:16" ht="21.75" customHeight="1" x14ac:dyDescent="0.3">
      <c r="A248" s="302" t="s">
        <v>103</v>
      </c>
      <c r="B248" s="303"/>
      <c r="C248" s="303"/>
      <c r="D248" s="304"/>
      <c r="E248" s="304"/>
      <c r="F248" s="304"/>
      <c r="G248" s="305"/>
      <c r="H248" s="306"/>
      <c r="I248" s="307"/>
      <c r="J248" s="307"/>
      <c r="K248" s="308"/>
      <c r="L248" s="308"/>
      <c r="M248" s="308"/>
      <c r="N248" s="308"/>
      <c r="O248" s="309"/>
      <c r="P248" s="309"/>
    </row>
    <row r="249" spans="1:16" ht="21.75" customHeight="1" x14ac:dyDescent="0.3">
      <c r="A249" s="310"/>
      <c r="B249" s="311" t="s">
        <v>104</v>
      </c>
      <c r="C249" s="311"/>
      <c r="D249" s="311"/>
      <c r="E249" s="311"/>
      <c r="F249" s="311"/>
      <c r="G249" s="312"/>
      <c r="H249" s="313" t="s">
        <v>37</v>
      </c>
      <c r="I249" s="314">
        <f ca="1">IFERROR(__xludf.DUMMYFUNCTION("IMPORTRANGE(""https://docs.google.com/spreadsheets/d/11923uPwbBZFjjGgGUA6NLw09EwE0CqkOc4q9oUmW1yo/edit?usp=sharing"",""พะเยา!I169"")"),20)</f>
        <v>20</v>
      </c>
      <c r="J249" s="314">
        <f ca="1">IFERROR(__xludf.DUMMYFUNCTION("IMPORTRANGE(""https://docs.google.com/spreadsheets/d/11923uPwbBZFjjGgGUA6NLw09EwE0CqkOc4q9oUmW1yo/edit?usp=sharing"",""พะเยา!J169"")"),20)</f>
        <v>20</v>
      </c>
      <c r="K249" s="315">
        <f ca="1">IF(I249&gt;0,J249*100/I249,0)</f>
        <v>100</v>
      </c>
      <c r="L249" s="316"/>
      <c r="M249" s="316"/>
      <c r="N249" s="316"/>
      <c r="O249" s="315"/>
      <c r="P249" s="315"/>
    </row>
    <row r="250" spans="1:16" ht="21.75" customHeight="1" x14ac:dyDescent="0.45">
      <c r="A250" s="145"/>
      <c r="B250" s="146"/>
      <c r="C250" s="147" t="s">
        <v>16</v>
      </c>
      <c r="D250" s="537" t="s">
        <v>17</v>
      </c>
      <c r="E250" s="528"/>
      <c r="F250" s="528"/>
      <c r="G250" s="528"/>
      <c r="H250" s="148" t="s">
        <v>12</v>
      </c>
      <c r="I250" s="162"/>
      <c r="J250" s="162"/>
      <c r="K250" s="163"/>
      <c r="L250" s="151">
        <f t="shared" ref="L250:N250" ca="1" si="77">L251+L252</f>
        <v>71400</v>
      </c>
      <c r="M250" s="151">
        <f t="shared" ca="1" si="77"/>
        <v>37000</v>
      </c>
      <c r="N250" s="151">
        <f t="shared" ca="1" si="77"/>
        <v>24274</v>
      </c>
      <c r="O250" s="150">
        <f t="shared" ref="O250:O252" ca="1" si="78">IF(L250&gt;0,N250*100/L250,0)</f>
        <v>33.997198879551817</v>
      </c>
      <c r="P250" s="150">
        <f t="shared" ref="P250:P252" ca="1" si="79">IF(M250&gt;0,N250*100/M250,0)</f>
        <v>65.605405405405406</v>
      </c>
    </row>
    <row r="251" spans="1:16" ht="21.75" customHeight="1" x14ac:dyDescent="0.45">
      <c r="A251" s="152"/>
      <c r="B251" s="32"/>
      <c r="C251" s="32"/>
      <c r="D251" s="32"/>
      <c r="E251" s="32"/>
      <c r="F251" s="32"/>
      <c r="G251" s="33" t="s">
        <v>18</v>
      </c>
      <c r="H251" s="153" t="s">
        <v>12</v>
      </c>
      <c r="I251" s="162"/>
      <c r="J251" s="162"/>
      <c r="K251" s="163"/>
      <c r="L251" s="87">
        <f t="shared" ref="L251:N251" si="80">L253+L257</f>
        <v>0</v>
      </c>
      <c r="M251" s="87">
        <f t="shared" si="80"/>
        <v>0</v>
      </c>
      <c r="N251" s="87">
        <f t="shared" si="80"/>
        <v>0</v>
      </c>
      <c r="O251" s="155">
        <f t="shared" si="78"/>
        <v>0</v>
      </c>
      <c r="P251" s="155">
        <f t="shared" si="79"/>
        <v>0</v>
      </c>
    </row>
    <row r="252" spans="1:16" ht="21.75" customHeight="1" x14ac:dyDescent="0.45">
      <c r="A252" s="152"/>
      <c r="B252" s="32"/>
      <c r="C252" s="32"/>
      <c r="D252" s="32"/>
      <c r="E252" s="32"/>
      <c r="F252" s="32"/>
      <c r="G252" s="33" t="s">
        <v>19</v>
      </c>
      <c r="H252" s="153" t="s">
        <v>12</v>
      </c>
      <c r="I252" s="162"/>
      <c r="J252" s="162"/>
      <c r="K252" s="163"/>
      <c r="L252" s="87">
        <f t="shared" ref="L252:N252" ca="1" si="81">L254+L258</f>
        <v>71400</v>
      </c>
      <c r="M252" s="87">
        <f t="shared" ca="1" si="81"/>
        <v>37000</v>
      </c>
      <c r="N252" s="87">
        <f t="shared" ca="1" si="81"/>
        <v>24274</v>
      </c>
      <c r="O252" s="155">
        <f t="shared" ca="1" si="78"/>
        <v>33.997198879551817</v>
      </c>
      <c r="P252" s="155">
        <f t="shared" ca="1" si="79"/>
        <v>65.605405405405406</v>
      </c>
    </row>
    <row r="253" spans="1:16" ht="21.75" customHeight="1" x14ac:dyDescent="0.3">
      <c r="A253" s="156"/>
      <c r="B253" s="157"/>
      <c r="C253" s="157" t="s">
        <v>16</v>
      </c>
      <c r="D253" s="158" t="s">
        <v>38</v>
      </c>
      <c r="E253" s="159"/>
      <c r="F253" s="159"/>
      <c r="G253" s="160" t="s">
        <v>39</v>
      </c>
      <c r="H253" s="161" t="s">
        <v>12</v>
      </c>
      <c r="I253" s="162" t="s">
        <v>40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3">
      <c r="A254" s="156"/>
      <c r="B254" s="157"/>
      <c r="C254" s="157"/>
      <c r="D254" s="166"/>
      <c r="E254" s="159"/>
      <c r="F254" s="159" t="s">
        <v>40</v>
      </c>
      <c r="G254" s="160" t="s">
        <v>41</v>
      </c>
      <c r="H254" s="161" t="s">
        <v>12</v>
      </c>
      <c r="I254" s="162"/>
      <c r="J254" s="162"/>
      <c r="K254" s="163"/>
      <c r="L254" s="167">
        <f ca="1">L255+L256</f>
        <v>71400</v>
      </c>
      <c r="M254" s="167">
        <f ca="1">IFERROR(__xludf.DUMMYFUNCTION("IMPORTRANGE(""https://docs.google.com/spreadsheets/d/1Yj_ptqi66GCucihVvJfMjLAmec39IyEx_6qawtMGysU/edit?usp=sharing"",""สบก!CB26"")"),37000)</f>
        <v>37000</v>
      </c>
      <c r="N254" s="168">
        <f ca="1">IFERROR(__xludf.DUMMYFUNCTION("IMPORTRANGE(""https://docs.google.com/spreadsheets/d/1Yj_ptqi66GCucihVvJfMjLAmec39IyEx_6qawtMGysU/edit?usp=sharing"",""สบก!CC26"")"),24274)</f>
        <v>24274</v>
      </c>
      <c r="O254" s="168">
        <f ca="1">IF(L254&gt;0,N254*100/L254,0)</f>
        <v>33.997198879551817</v>
      </c>
      <c r="P254" s="168">
        <f ca="1">IF(M254&gt;0,N254*100/M254,0)</f>
        <v>65.605405405405406</v>
      </c>
    </row>
    <row r="255" spans="1:16" ht="21.75" customHeight="1" x14ac:dyDescent="0.3">
      <c r="A255" s="156"/>
      <c r="B255" s="157"/>
      <c r="C255" s="157"/>
      <c r="D255" s="166"/>
      <c r="E255" s="159"/>
      <c r="F255" s="159"/>
      <c r="G255" s="169" t="s">
        <v>42</v>
      </c>
      <c r="H255" s="161" t="s">
        <v>12</v>
      </c>
      <c r="I255" s="162"/>
      <c r="J255" s="162"/>
      <c r="K255" s="163"/>
      <c r="L255" s="167">
        <f ca="1">IFERROR(__xludf.DUMMYFUNCTION("IMPORTRANGE(""https://docs.google.com/spreadsheets/d/1Yj_ptqi66GCucihVvJfMjLAmec39IyEx_6qawtMGysU/edit?usp=sharing"",""สบก!BX26"")"),0)</f>
        <v>0</v>
      </c>
      <c r="M255" s="167"/>
      <c r="N255" s="167"/>
      <c r="O255" s="168"/>
      <c r="P255" s="168"/>
    </row>
    <row r="256" spans="1:16" ht="21.75" customHeight="1" x14ac:dyDescent="0.3">
      <c r="A256" s="156"/>
      <c r="B256" s="157"/>
      <c r="C256" s="157"/>
      <c r="D256" s="166"/>
      <c r="E256" s="159"/>
      <c r="F256" s="159"/>
      <c r="G256" s="169" t="s">
        <v>43</v>
      </c>
      <c r="H256" s="161" t="s">
        <v>12</v>
      </c>
      <c r="I256" s="162"/>
      <c r="J256" s="162"/>
      <c r="K256" s="163"/>
      <c r="L256" s="167">
        <f ca="1">IFERROR(__xludf.DUMMYFUNCTION("IMPORTRANGE(""https://docs.google.com/spreadsheets/d/1Yj_ptqi66GCucihVvJfMjLAmec39IyEx_6qawtMGysU/edit?usp=sharing"",""สบก!BY26"")"),71400)</f>
        <v>71400</v>
      </c>
      <c r="M256" s="167"/>
      <c r="N256" s="167"/>
      <c r="O256" s="168"/>
      <c r="P256" s="168"/>
    </row>
    <row r="257" spans="1:16" ht="21.75" customHeight="1" x14ac:dyDescent="0.45">
      <c r="A257" s="170"/>
      <c r="B257" s="80"/>
      <c r="C257" s="81" t="s">
        <v>16</v>
      </c>
      <c r="D257" s="534" t="s">
        <v>23</v>
      </c>
      <c r="E257" s="530"/>
      <c r="F257" s="88"/>
      <c r="G257" s="82" t="s">
        <v>18</v>
      </c>
      <c r="H257" s="171" t="s">
        <v>12</v>
      </c>
      <c r="I257" s="162"/>
      <c r="J257" s="162"/>
      <c r="K257" s="163"/>
      <c r="L257" s="41">
        <v>0</v>
      </c>
      <c r="M257" s="41"/>
      <c r="N257" s="41"/>
      <c r="O257" s="41"/>
      <c r="P257" s="41"/>
    </row>
    <row r="258" spans="1:16" ht="21.75" customHeight="1" x14ac:dyDescent="0.45">
      <c r="A258" s="172"/>
      <c r="B258" s="91"/>
      <c r="C258" s="91"/>
      <c r="D258" s="173"/>
      <c r="E258" s="92"/>
      <c r="F258" s="92"/>
      <c r="G258" s="93" t="s">
        <v>19</v>
      </c>
      <c r="H258" s="174" t="s">
        <v>12</v>
      </c>
      <c r="I258" s="162"/>
      <c r="J258" s="162"/>
      <c r="K258" s="163"/>
      <c r="L258" s="49">
        <f ca="1">IFERROR(__xludf.DUMMYFUNCTION("IMPORTRANGE(""https://docs.google.com/spreadsheets/d/1Yj_ptqi66GCucihVvJfMjLAmec39IyEx_6qawtMGysU/edit?usp=sharing"",""สบก!BZ26"")"),0)</f>
        <v>0</v>
      </c>
      <c r="M258" s="49"/>
      <c r="N258" s="49">
        <f ca="1">IFERROR(__xludf.DUMMYFUNCTION("IMPORTRANGE(""https://docs.google.com/spreadsheets/d/1Yj_ptqi66GCucihVvJfMjLAmec39IyEx_6qawtMGysU/edit?usp=sharing"",""สบก!CD26"")"),0)</f>
        <v>0</v>
      </c>
      <c r="O258" s="49">
        <f ca="1">IF(L258&gt;0,N258*100/L258,0)</f>
        <v>0</v>
      </c>
      <c r="P258" s="49"/>
    </row>
    <row r="259" spans="1:16" ht="21.75" customHeight="1" x14ac:dyDescent="0.3">
      <c r="A259" s="175"/>
      <c r="B259" s="176"/>
      <c r="C259" s="157" t="s">
        <v>16</v>
      </c>
      <c r="D259" s="177" t="s">
        <v>44</v>
      </c>
      <c r="E259" s="178"/>
      <c r="F259" s="178"/>
      <c r="G259" s="179"/>
      <c r="H259" s="180"/>
      <c r="I259" s="162"/>
      <c r="J259" s="162"/>
      <c r="K259" s="163"/>
      <c r="L259" s="181"/>
      <c r="M259" s="181"/>
      <c r="N259" s="181"/>
      <c r="O259" s="181"/>
      <c r="P259" s="181"/>
    </row>
    <row r="260" spans="1:16" ht="21.75" customHeight="1" x14ac:dyDescent="0.3">
      <c r="A260" s="175"/>
      <c r="B260" s="176"/>
      <c r="C260" s="176"/>
      <c r="D260" s="182">
        <v>1</v>
      </c>
      <c r="E260" s="183" t="s">
        <v>45</v>
      </c>
      <c r="F260" s="184"/>
      <c r="G260" s="185"/>
      <c r="H260" s="186"/>
      <c r="I260" s="187"/>
      <c r="J260" s="188">
        <f ca="1">IFERROR(__xludf.DUMMYFUNCTION("IMPORTRANGE(""https://docs.google.com/spreadsheets/d/11923uPwbBZFjjGgGUA6NLw09EwE0CqkOc4q9oUmW1yo/edit?usp=sharing"",""พะเยา!J175"")"),0)</f>
        <v>0</v>
      </c>
      <c r="K260" s="163"/>
      <c r="L260" s="181"/>
      <c r="M260" s="181"/>
      <c r="N260" s="181"/>
      <c r="O260" s="181"/>
      <c r="P260" s="181"/>
    </row>
    <row r="261" spans="1:16" ht="21.75" customHeight="1" x14ac:dyDescent="0.3">
      <c r="A261" s="175"/>
      <c r="B261" s="176"/>
      <c r="C261" s="176"/>
      <c r="D261" s="189">
        <v>2</v>
      </c>
      <c r="E261" s="190" t="s">
        <v>46</v>
      </c>
      <c r="F261" s="191"/>
      <c r="G261" s="192"/>
      <c r="H261" s="186"/>
      <c r="I261" s="187"/>
      <c r="J261" s="197">
        <f ca="1">IFERROR(__xludf.DUMMYFUNCTION("IMPORTRANGE(""https://docs.google.com/spreadsheets/d/11923uPwbBZFjjGgGUA6NLw09EwE0CqkOc4q9oUmW1yo/edit?usp=sharing"",""พะเยา!J176"")"),1)</f>
        <v>1</v>
      </c>
      <c r="K261" s="163"/>
      <c r="L261" s="181" t="s">
        <v>40</v>
      </c>
      <c r="M261" s="181"/>
      <c r="N261" s="181" t="s">
        <v>40</v>
      </c>
      <c r="O261" s="181"/>
      <c r="P261" s="181"/>
    </row>
    <row r="262" spans="1:16" ht="21.75" customHeight="1" x14ac:dyDescent="0.3">
      <c r="A262" s="175"/>
      <c r="B262" s="176"/>
      <c r="C262" s="176"/>
      <c r="D262" s="193"/>
      <c r="E262" s="194" t="s">
        <v>47</v>
      </c>
      <c r="F262" s="195"/>
      <c r="G262" s="196"/>
      <c r="H262" s="186"/>
      <c r="I262" s="187"/>
      <c r="J262" s="197">
        <f ca="1">IFERROR(__xludf.DUMMYFUNCTION("IMPORTRANGE(""https://docs.google.com/spreadsheets/d/11923uPwbBZFjjGgGUA6NLw09EwE0CqkOc4q9oUmW1yo/edit?usp=sharing"",""พะเยา!J177"")"),1)</f>
        <v>1</v>
      </c>
      <c r="K262" s="163"/>
      <c r="L262" s="181"/>
      <c r="M262" s="181"/>
      <c r="N262" s="181"/>
      <c r="O262" s="181"/>
      <c r="P262" s="181"/>
    </row>
    <row r="263" spans="1:16" ht="21.75" customHeight="1" x14ac:dyDescent="0.3">
      <c r="A263" s="175"/>
      <c r="B263" s="176"/>
      <c r="C263" s="176"/>
      <c r="D263" s="193"/>
      <c r="E263" s="194" t="s">
        <v>48</v>
      </c>
      <c r="F263" s="195"/>
      <c r="G263" s="196"/>
      <c r="H263" s="186"/>
      <c r="I263" s="187"/>
      <c r="J263" s="197">
        <f ca="1">IFERROR(__xludf.DUMMYFUNCTION("IMPORTRANGE(""https://docs.google.com/spreadsheets/d/11923uPwbBZFjjGgGUA6NLw09EwE0CqkOc4q9oUmW1yo/edit?usp=sharing"",""พะเยา!J178"")"),1)</f>
        <v>1</v>
      </c>
      <c r="K263" s="163"/>
      <c r="L263" s="181"/>
      <c r="M263" s="181"/>
      <c r="N263" s="181"/>
      <c r="O263" s="181"/>
      <c r="P263" s="181"/>
    </row>
    <row r="264" spans="1:16" ht="21.75" customHeight="1" x14ac:dyDescent="0.3">
      <c r="A264" s="175"/>
      <c r="B264" s="176"/>
      <c r="C264" s="176"/>
      <c r="D264" s="193"/>
      <c r="E264" s="198"/>
      <c r="F264" s="194" t="s">
        <v>105</v>
      </c>
      <c r="G264" s="196"/>
      <c r="H264" s="180" t="s">
        <v>59</v>
      </c>
      <c r="I264" s="187">
        <f ca="1">IFERROR(__xludf.DUMMYFUNCTION("IMPORTRANGE(""https://docs.google.com/spreadsheets/d/11923uPwbBZFjjGgGUA6NLw09EwE0CqkOc4q9oUmW1yo/edit?usp=sharing"",""พะเยา!I179"")"),1)</f>
        <v>1</v>
      </c>
      <c r="J264" s="188">
        <f ca="1">IFERROR(__xludf.DUMMYFUNCTION("IMPORTRANGE(""https://docs.google.com/spreadsheets/d/11923uPwbBZFjjGgGUA6NLw09EwE0CqkOc4q9oUmW1yo/edit?usp=sharing"",""พะเยา!J179"")"),1)</f>
        <v>1</v>
      </c>
      <c r="K264" s="163">
        <f t="shared" ref="K264:K267" ca="1" si="82">IF(I264&gt;0,J264*100/I264,0)</f>
        <v>100</v>
      </c>
      <c r="L264" s="181"/>
      <c r="M264" s="181"/>
      <c r="N264" s="181"/>
      <c r="O264" s="181"/>
      <c r="P264" s="181"/>
    </row>
    <row r="265" spans="1:16" ht="21.75" customHeight="1" x14ac:dyDescent="0.3">
      <c r="A265" s="175"/>
      <c r="B265" s="176"/>
      <c r="C265" s="176"/>
      <c r="D265" s="193"/>
      <c r="E265" s="198"/>
      <c r="F265" s="194" t="s">
        <v>106</v>
      </c>
      <c r="G265" s="196"/>
      <c r="H265" s="180" t="s">
        <v>37</v>
      </c>
      <c r="I265" s="187">
        <f ca="1">IFERROR(__xludf.DUMMYFUNCTION("IMPORTRANGE(""https://docs.google.com/spreadsheets/d/11923uPwbBZFjjGgGUA6NLw09EwE0CqkOc4q9oUmW1yo/edit?usp=sharing"",""พะเยา!I180"")"),20)</f>
        <v>20</v>
      </c>
      <c r="J265" s="188">
        <f ca="1">IFERROR(__xludf.DUMMYFUNCTION("IMPORTRANGE(""https://docs.google.com/spreadsheets/d/11923uPwbBZFjjGgGUA6NLw09EwE0CqkOc4q9oUmW1yo/edit?usp=sharing"",""พะเยา!J180"")"),20)</f>
        <v>20</v>
      </c>
      <c r="K265" s="163">
        <f t="shared" ca="1" si="82"/>
        <v>100</v>
      </c>
      <c r="L265" s="181"/>
      <c r="M265" s="181"/>
      <c r="N265" s="181"/>
      <c r="O265" s="181"/>
      <c r="P265" s="181"/>
    </row>
    <row r="266" spans="1:16" ht="21.75" customHeight="1" x14ac:dyDescent="0.3">
      <c r="A266" s="175"/>
      <c r="B266" s="176"/>
      <c r="C266" s="176"/>
      <c r="D266" s="193"/>
      <c r="E266" s="198"/>
      <c r="F266" s="194" t="s">
        <v>107</v>
      </c>
      <c r="G266" s="196"/>
      <c r="H266" s="180" t="s">
        <v>37</v>
      </c>
      <c r="I266" s="187">
        <f ca="1">IFERROR(__xludf.DUMMYFUNCTION("IMPORTRANGE(""https://docs.google.com/spreadsheets/d/11923uPwbBZFjjGgGUA6NLw09EwE0CqkOc4q9oUmW1yo/edit?usp=sharing"",""พะเยา!I181"")"),20)</f>
        <v>20</v>
      </c>
      <c r="J266" s="188">
        <f ca="1">IFERROR(__xludf.DUMMYFUNCTION("IMPORTRANGE(""https://docs.google.com/spreadsheets/d/11923uPwbBZFjjGgGUA6NLw09EwE0CqkOc4q9oUmW1yo/edit?usp=sharing"",""พะเยา!J181"")"),0)</f>
        <v>0</v>
      </c>
      <c r="K266" s="163">
        <f t="shared" ca="1" si="82"/>
        <v>0</v>
      </c>
      <c r="L266" s="181"/>
      <c r="M266" s="181"/>
      <c r="N266" s="181"/>
      <c r="O266" s="181"/>
      <c r="P266" s="181"/>
    </row>
    <row r="267" spans="1:16" ht="21.75" customHeight="1" x14ac:dyDescent="0.3">
      <c r="A267" s="175"/>
      <c r="B267" s="176"/>
      <c r="C267" s="176"/>
      <c r="D267" s="193"/>
      <c r="E267" s="198"/>
      <c r="F267" s="194" t="s">
        <v>108</v>
      </c>
      <c r="G267" s="196"/>
      <c r="H267" s="180" t="s">
        <v>37</v>
      </c>
      <c r="I267" s="187">
        <f ca="1">IFERROR(__xludf.DUMMYFUNCTION("IMPORTRANGE(""https://docs.google.com/spreadsheets/d/11923uPwbBZFjjGgGUA6NLw09EwE0CqkOc4q9oUmW1yo/edit?usp=sharing"",""พะเยา!I182"")"),1)</f>
        <v>1</v>
      </c>
      <c r="J267" s="188">
        <f ca="1">IFERROR(__xludf.DUMMYFUNCTION("IMPORTRANGE(""https://docs.google.com/spreadsheets/d/11923uPwbBZFjjGgGUA6NLw09EwE0CqkOc4q9oUmW1yo/edit?usp=sharing"",""พะเยา!J182"")"),1)</f>
        <v>1</v>
      </c>
      <c r="K267" s="163">
        <f t="shared" ca="1" si="82"/>
        <v>100</v>
      </c>
      <c r="L267" s="181"/>
      <c r="M267" s="181"/>
      <c r="N267" s="181"/>
      <c r="O267" s="181"/>
      <c r="P267" s="181"/>
    </row>
    <row r="268" spans="1:16" ht="21.75" customHeight="1" x14ac:dyDescent="0.3">
      <c r="A268" s="175"/>
      <c r="B268" s="176"/>
      <c r="C268" s="176"/>
      <c r="D268" s="193"/>
      <c r="E268" s="194" t="s">
        <v>54</v>
      </c>
      <c r="F268" s="195"/>
      <c r="G268" s="196"/>
      <c r="H268" s="186"/>
      <c r="I268" s="187"/>
      <c r="J268" s="197">
        <f ca="1">IFERROR(__xludf.DUMMYFUNCTION("IMPORTRANGE(""https://docs.google.com/spreadsheets/d/11923uPwbBZFjjGgGUA6NLw09EwE0CqkOc4q9oUmW1yo/edit?usp=sharing"",""พะเยา!J183"")"),0)</f>
        <v>0</v>
      </c>
      <c r="K268" s="163"/>
      <c r="L268" s="181"/>
      <c r="M268" s="181"/>
      <c r="N268" s="181"/>
      <c r="O268" s="181"/>
      <c r="P268" s="181"/>
    </row>
    <row r="269" spans="1:16" ht="21.75" customHeight="1" x14ac:dyDescent="0.3">
      <c r="A269" s="233"/>
      <c r="B269" s="234"/>
      <c r="C269" s="234"/>
      <c r="D269" s="235">
        <v>3</v>
      </c>
      <c r="E269" s="236" t="s">
        <v>55</v>
      </c>
      <c r="F269" s="237"/>
      <c r="G269" s="238"/>
      <c r="H269" s="239"/>
      <c r="I269" s="240"/>
      <c r="J269" s="285">
        <f ca="1">IFERROR(__xludf.DUMMYFUNCTION("IMPORTRANGE(""https://docs.google.com/spreadsheets/d/11923uPwbBZFjjGgGUA6NLw09EwE0CqkOc4q9oUmW1yo/edit?usp=sharing"",""พะเยา!J184"")"),0)</f>
        <v>0</v>
      </c>
      <c r="K269" s="286"/>
      <c r="L269" s="244"/>
      <c r="M269" s="244"/>
      <c r="N269" s="244"/>
      <c r="O269" s="244"/>
      <c r="P269" s="244"/>
    </row>
    <row r="270" spans="1:16" ht="21.75" customHeight="1" x14ac:dyDescent="0.3">
      <c r="A270" s="310"/>
      <c r="B270" s="311" t="s">
        <v>109</v>
      </c>
      <c r="C270" s="311"/>
      <c r="D270" s="311"/>
      <c r="E270" s="311"/>
      <c r="F270" s="311"/>
      <c r="G270" s="312"/>
      <c r="H270" s="313" t="s">
        <v>37</v>
      </c>
      <c r="I270" s="314">
        <f ca="1">IFERROR(__xludf.DUMMYFUNCTION("IMPORTRANGE(""https://docs.google.com/spreadsheets/d/11923uPwbBZFjjGgGUA6NLw09EwE0CqkOc4q9oUmW1yo/edit?usp=sharing"",""พะเยา!I185"")"),20)</f>
        <v>20</v>
      </c>
      <c r="J270" s="314">
        <f ca="1">IFERROR(__xludf.DUMMYFUNCTION("IMPORTRANGE(""https://docs.google.com/spreadsheets/d/11923uPwbBZFjjGgGUA6NLw09EwE0CqkOc4q9oUmW1yo/edit?usp=sharing"",""พะเยา!J185"")"),20)</f>
        <v>20</v>
      </c>
      <c r="K270" s="315">
        <f ca="1">IF(I270&gt;0,J270*100/I270,0)</f>
        <v>100</v>
      </c>
      <c r="L270" s="316"/>
      <c r="M270" s="316"/>
      <c r="N270" s="316"/>
      <c r="O270" s="315"/>
      <c r="P270" s="315"/>
    </row>
    <row r="271" spans="1:16" ht="21.75" customHeight="1" x14ac:dyDescent="0.45">
      <c r="A271" s="145"/>
      <c r="B271" s="146"/>
      <c r="C271" s="147" t="s">
        <v>16</v>
      </c>
      <c r="D271" s="537" t="s">
        <v>17</v>
      </c>
      <c r="E271" s="528"/>
      <c r="F271" s="528"/>
      <c r="G271" s="528"/>
      <c r="H271" s="148" t="s">
        <v>12</v>
      </c>
      <c r="I271" s="162"/>
      <c r="J271" s="162"/>
      <c r="K271" s="163"/>
      <c r="L271" s="151">
        <f t="shared" ref="L271:N271" ca="1" si="83">L272+L273</f>
        <v>183600</v>
      </c>
      <c r="M271" s="151">
        <f t="shared" ca="1" si="83"/>
        <v>88000</v>
      </c>
      <c r="N271" s="151">
        <f t="shared" ca="1" si="83"/>
        <v>80729</v>
      </c>
      <c r="O271" s="150">
        <f t="shared" ref="O271:O273" ca="1" si="84">IF(L271&gt;0,N271*100/L271,0)</f>
        <v>43.97004357298475</v>
      </c>
      <c r="P271" s="150">
        <f t="shared" ref="P271:P273" ca="1" si="85">IF(M271&gt;0,N271*100/M271,0)</f>
        <v>91.737499999999997</v>
      </c>
    </row>
    <row r="272" spans="1:16" ht="21.75" customHeight="1" x14ac:dyDescent="0.45">
      <c r="A272" s="152"/>
      <c r="B272" s="32"/>
      <c r="C272" s="32"/>
      <c r="D272" s="32"/>
      <c r="E272" s="32"/>
      <c r="F272" s="32"/>
      <c r="G272" s="33" t="s">
        <v>18</v>
      </c>
      <c r="H272" s="153" t="s">
        <v>12</v>
      </c>
      <c r="I272" s="162"/>
      <c r="J272" s="162"/>
      <c r="K272" s="163"/>
      <c r="L272" s="87">
        <f t="shared" ref="L272:N272" si="86">L274+L278</f>
        <v>0</v>
      </c>
      <c r="M272" s="87">
        <f t="shared" si="86"/>
        <v>0</v>
      </c>
      <c r="N272" s="87">
        <f t="shared" si="86"/>
        <v>0</v>
      </c>
      <c r="O272" s="155">
        <f t="shared" si="84"/>
        <v>0</v>
      </c>
      <c r="P272" s="155">
        <f t="shared" si="85"/>
        <v>0</v>
      </c>
    </row>
    <row r="273" spans="1:16" ht="21.75" customHeight="1" x14ac:dyDescent="0.45">
      <c r="A273" s="152"/>
      <c r="B273" s="32"/>
      <c r="C273" s="32"/>
      <c r="D273" s="32"/>
      <c r="E273" s="32"/>
      <c r="F273" s="32"/>
      <c r="G273" s="33" t="s">
        <v>19</v>
      </c>
      <c r="H273" s="153" t="s">
        <v>12</v>
      </c>
      <c r="I273" s="162"/>
      <c r="J273" s="162"/>
      <c r="K273" s="163"/>
      <c r="L273" s="87">
        <f t="shared" ref="L273:N273" ca="1" si="87">L275+L279</f>
        <v>183600</v>
      </c>
      <c r="M273" s="87">
        <f t="shared" ca="1" si="87"/>
        <v>88000</v>
      </c>
      <c r="N273" s="87">
        <f t="shared" ca="1" si="87"/>
        <v>80729</v>
      </c>
      <c r="O273" s="155">
        <f t="shared" ca="1" si="84"/>
        <v>43.97004357298475</v>
      </c>
      <c r="P273" s="155">
        <f t="shared" ca="1" si="85"/>
        <v>91.737499999999997</v>
      </c>
    </row>
    <row r="274" spans="1:16" ht="21.75" customHeight="1" x14ac:dyDescent="0.3">
      <c r="A274" s="156"/>
      <c r="B274" s="157"/>
      <c r="C274" s="157" t="s">
        <v>16</v>
      </c>
      <c r="D274" s="158" t="s">
        <v>38</v>
      </c>
      <c r="E274" s="159"/>
      <c r="F274" s="159"/>
      <c r="G274" s="160" t="s">
        <v>39</v>
      </c>
      <c r="H274" s="161" t="s">
        <v>12</v>
      </c>
      <c r="I274" s="162" t="s">
        <v>40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3">
      <c r="A275" s="156"/>
      <c r="B275" s="157"/>
      <c r="C275" s="157"/>
      <c r="D275" s="166"/>
      <c r="E275" s="159"/>
      <c r="F275" s="159" t="s">
        <v>40</v>
      </c>
      <c r="G275" s="160" t="s">
        <v>41</v>
      </c>
      <c r="H275" s="161" t="s">
        <v>12</v>
      </c>
      <c r="I275" s="162"/>
      <c r="J275" s="162"/>
      <c r="K275" s="163"/>
      <c r="L275" s="167">
        <f ca="1">L276+L277</f>
        <v>183600</v>
      </c>
      <c r="M275" s="167">
        <f ca="1">IFERROR(__xludf.DUMMYFUNCTION("IMPORTRANGE(""https://docs.google.com/spreadsheets/d/1Yj_ptqi66GCucihVvJfMjLAmec39IyEx_6qawtMGysU/edit?usp=sharing"",""สบก!CK26"")"),88000)</f>
        <v>88000</v>
      </c>
      <c r="N275" s="168">
        <f ca="1">IFERROR(__xludf.DUMMYFUNCTION("IMPORTRANGE(""https://docs.google.com/spreadsheets/d/1Yj_ptqi66GCucihVvJfMjLAmec39IyEx_6qawtMGysU/edit?usp=sharing"",""สบก!CL26"")"),80729)</f>
        <v>80729</v>
      </c>
      <c r="O275" s="168">
        <f ca="1">IF(L275&gt;0,N275*100/L275,0)</f>
        <v>43.97004357298475</v>
      </c>
      <c r="P275" s="168">
        <f ca="1">IF(M275&gt;0,N275*100/M275,0)</f>
        <v>91.737499999999997</v>
      </c>
    </row>
    <row r="276" spans="1:16" ht="21.75" customHeight="1" x14ac:dyDescent="0.3">
      <c r="A276" s="156"/>
      <c r="B276" s="157"/>
      <c r="C276" s="157"/>
      <c r="D276" s="166"/>
      <c r="E276" s="159"/>
      <c r="F276" s="159"/>
      <c r="G276" s="169" t="s">
        <v>42</v>
      </c>
      <c r="H276" s="161" t="s">
        <v>12</v>
      </c>
      <c r="I276" s="162"/>
      <c r="J276" s="162"/>
      <c r="K276" s="163"/>
      <c r="L276" s="167">
        <f ca="1">IFERROR(__xludf.DUMMYFUNCTION("IMPORTRANGE(""https://docs.google.com/spreadsheets/d/1Yj_ptqi66GCucihVvJfMjLAmec39IyEx_6qawtMGysU/edit?usp=sharing"",""สบก!CG26"")"),0)</f>
        <v>0</v>
      </c>
      <c r="M276" s="167"/>
      <c r="N276" s="167"/>
      <c r="O276" s="168"/>
      <c r="P276" s="168"/>
    </row>
    <row r="277" spans="1:16" ht="21.75" customHeight="1" x14ac:dyDescent="0.3">
      <c r="A277" s="156"/>
      <c r="B277" s="157"/>
      <c r="C277" s="157"/>
      <c r="D277" s="166"/>
      <c r="E277" s="159"/>
      <c r="F277" s="159"/>
      <c r="G277" s="169" t="s">
        <v>43</v>
      </c>
      <c r="H277" s="161" t="s">
        <v>12</v>
      </c>
      <c r="I277" s="162"/>
      <c r="J277" s="162"/>
      <c r="K277" s="163"/>
      <c r="L277" s="167">
        <f ca="1">IFERROR(__xludf.DUMMYFUNCTION("IMPORTRANGE(""https://docs.google.com/spreadsheets/d/1Yj_ptqi66GCucihVvJfMjLAmec39IyEx_6qawtMGysU/edit?usp=sharing"",""สบก!CH26"")"),183600)</f>
        <v>183600</v>
      </c>
      <c r="M277" s="167"/>
      <c r="N277" s="167"/>
      <c r="O277" s="168"/>
      <c r="P277" s="168"/>
    </row>
    <row r="278" spans="1:16" ht="21.75" customHeight="1" x14ac:dyDescent="0.45">
      <c r="A278" s="170"/>
      <c r="B278" s="80"/>
      <c r="C278" s="81" t="s">
        <v>16</v>
      </c>
      <c r="D278" s="534" t="s">
        <v>23</v>
      </c>
      <c r="E278" s="530"/>
      <c r="F278" s="88"/>
      <c r="G278" s="82" t="s">
        <v>18</v>
      </c>
      <c r="H278" s="171" t="s">
        <v>12</v>
      </c>
      <c r="I278" s="162"/>
      <c r="J278" s="162"/>
      <c r="K278" s="163"/>
      <c r="L278" s="41">
        <v>0</v>
      </c>
      <c r="M278" s="41"/>
      <c r="N278" s="41"/>
      <c r="O278" s="41"/>
      <c r="P278" s="41"/>
    </row>
    <row r="279" spans="1:16" ht="21.75" customHeight="1" x14ac:dyDescent="0.45">
      <c r="A279" s="172"/>
      <c r="B279" s="91"/>
      <c r="C279" s="91"/>
      <c r="D279" s="173"/>
      <c r="E279" s="92"/>
      <c r="F279" s="92"/>
      <c r="G279" s="93" t="s">
        <v>19</v>
      </c>
      <c r="H279" s="174" t="s">
        <v>12</v>
      </c>
      <c r="I279" s="162"/>
      <c r="J279" s="162"/>
      <c r="K279" s="163"/>
      <c r="L279" s="49">
        <f ca="1">IFERROR(__xludf.DUMMYFUNCTION("IMPORTRANGE(""https://docs.google.com/spreadsheets/d/1Yj_ptqi66GCucihVvJfMjLAmec39IyEx_6qawtMGysU/edit?usp=sharing"",""สบก!CI26"")"),0)</f>
        <v>0</v>
      </c>
      <c r="M279" s="49"/>
      <c r="N279" s="49">
        <f ca="1">IFERROR(__xludf.DUMMYFUNCTION("IMPORTRANGE(""https://docs.google.com/spreadsheets/d/1Yj_ptqi66GCucihVvJfMjLAmec39IyEx_6qawtMGysU/edit?usp=sharing"",""สบก!CM26"")"),0)</f>
        <v>0</v>
      </c>
      <c r="O279" s="49">
        <f ca="1">IF(L279&gt;0,N279*100/L279,0)</f>
        <v>0</v>
      </c>
      <c r="P279" s="49"/>
    </row>
    <row r="280" spans="1:16" ht="21.75" customHeight="1" x14ac:dyDescent="0.3">
      <c r="A280" s="175"/>
      <c r="B280" s="176"/>
      <c r="C280" s="157" t="s">
        <v>16</v>
      </c>
      <c r="D280" s="177" t="s">
        <v>44</v>
      </c>
      <c r="E280" s="178"/>
      <c r="F280" s="178"/>
      <c r="G280" s="179"/>
      <c r="H280" s="180"/>
      <c r="I280" s="162"/>
      <c r="J280" s="162"/>
      <c r="K280" s="163"/>
      <c r="L280" s="181"/>
      <c r="M280" s="181"/>
      <c r="N280" s="181"/>
      <c r="O280" s="181"/>
      <c r="P280" s="181"/>
    </row>
    <row r="281" spans="1:16" ht="21.75" customHeight="1" x14ac:dyDescent="0.3">
      <c r="A281" s="175"/>
      <c r="B281" s="176"/>
      <c r="C281" s="176"/>
      <c r="D281" s="182">
        <v>1</v>
      </c>
      <c r="E281" s="183" t="s">
        <v>45</v>
      </c>
      <c r="F281" s="184"/>
      <c r="G281" s="185"/>
      <c r="H281" s="186"/>
      <c r="I281" s="187"/>
      <c r="J281" s="188">
        <f ca="1">IFERROR(__xludf.DUMMYFUNCTION("IMPORTRANGE(""https://docs.google.com/spreadsheets/d/11923uPwbBZFjjGgGUA6NLw09EwE0CqkOc4q9oUmW1yo/edit?usp=sharing"",""พะเยา!J191"")"),0)</f>
        <v>0</v>
      </c>
      <c r="K281" s="163"/>
      <c r="L281" s="181"/>
      <c r="M281" s="181"/>
      <c r="N281" s="181"/>
      <c r="O281" s="181"/>
      <c r="P281" s="181"/>
    </row>
    <row r="282" spans="1:16" ht="21.75" customHeight="1" x14ac:dyDescent="0.3">
      <c r="A282" s="175"/>
      <c r="B282" s="176"/>
      <c r="C282" s="176"/>
      <c r="D282" s="189">
        <v>2</v>
      </c>
      <c r="E282" s="190" t="s">
        <v>46</v>
      </c>
      <c r="F282" s="191"/>
      <c r="G282" s="192"/>
      <c r="H282" s="186"/>
      <c r="I282" s="187"/>
      <c r="J282" s="197">
        <f ca="1">IFERROR(__xludf.DUMMYFUNCTION("IMPORTRANGE(""https://docs.google.com/spreadsheets/d/11923uPwbBZFjjGgGUA6NLw09EwE0CqkOc4q9oUmW1yo/edit?usp=sharing"",""พะเยา!J192"")"),1)</f>
        <v>1</v>
      </c>
      <c r="K282" s="163"/>
      <c r="L282" s="181"/>
      <c r="M282" s="181"/>
      <c r="N282" s="181"/>
      <c r="O282" s="181"/>
      <c r="P282" s="181"/>
    </row>
    <row r="283" spans="1:16" ht="21.75" customHeight="1" x14ac:dyDescent="0.3">
      <c r="A283" s="175"/>
      <c r="B283" s="176"/>
      <c r="C283" s="176"/>
      <c r="D283" s="193"/>
      <c r="E283" s="194" t="s">
        <v>47</v>
      </c>
      <c r="F283" s="195"/>
      <c r="G283" s="196"/>
      <c r="H283" s="186"/>
      <c r="I283" s="187"/>
      <c r="J283" s="197">
        <f ca="1">IFERROR(__xludf.DUMMYFUNCTION("IMPORTRANGE(""https://docs.google.com/spreadsheets/d/11923uPwbBZFjjGgGUA6NLw09EwE0CqkOc4q9oUmW1yo/edit?usp=sharing"",""พะเยา!J193"")"),1)</f>
        <v>1</v>
      </c>
      <c r="K283" s="163"/>
      <c r="L283" s="181"/>
      <c r="M283" s="181"/>
      <c r="N283" s="181"/>
      <c r="O283" s="181"/>
      <c r="P283" s="181"/>
    </row>
    <row r="284" spans="1:16" ht="21.75" customHeight="1" x14ac:dyDescent="0.3">
      <c r="A284" s="175"/>
      <c r="B284" s="176"/>
      <c r="C284" s="176"/>
      <c r="D284" s="193"/>
      <c r="E284" s="194" t="s">
        <v>48</v>
      </c>
      <c r="F284" s="195"/>
      <c r="G284" s="196"/>
      <c r="H284" s="186"/>
      <c r="I284" s="187"/>
      <c r="J284" s="197">
        <f ca="1">IFERROR(__xludf.DUMMYFUNCTION("IMPORTRANGE(""https://docs.google.com/spreadsheets/d/11923uPwbBZFjjGgGUA6NLw09EwE0CqkOc4q9oUmW1yo/edit?usp=sharing"",""พะเยา!J194"")"),1)</f>
        <v>1</v>
      </c>
      <c r="K284" s="163"/>
      <c r="L284" s="181"/>
      <c r="M284" s="181"/>
      <c r="N284" s="181"/>
      <c r="O284" s="181"/>
      <c r="P284" s="181"/>
    </row>
    <row r="285" spans="1:16" ht="21.75" customHeight="1" x14ac:dyDescent="0.3">
      <c r="A285" s="175"/>
      <c r="B285" s="176"/>
      <c r="C285" s="176"/>
      <c r="D285" s="193"/>
      <c r="E285" s="195"/>
      <c r="F285" s="194" t="s">
        <v>110</v>
      </c>
      <c r="G285" s="196"/>
      <c r="H285" s="186" t="s">
        <v>37</v>
      </c>
      <c r="I285" s="187">
        <f ca="1">IFERROR(__xludf.DUMMYFUNCTION("IMPORTRANGE(""https://docs.google.com/spreadsheets/d/11923uPwbBZFjjGgGUA6NLw09EwE0CqkOc4q9oUmW1yo/edit?usp=sharing"",""พะเยา!I195"")"),20)</f>
        <v>20</v>
      </c>
      <c r="J285" s="188">
        <f ca="1">IFERROR(__xludf.DUMMYFUNCTION("IMPORTRANGE(""https://docs.google.com/spreadsheets/d/11923uPwbBZFjjGgGUA6NLw09EwE0CqkOc4q9oUmW1yo/edit?usp=sharing"",""พะเยา!J195"")"),20)</f>
        <v>20</v>
      </c>
      <c r="K285" s="163">
        <f ca="1">IF(I285&gt;0,J285*100/I285,0)</f>
        <v>100</v>
      </c>
      <c r="L285" s="181"/>
      <c r="M285" s="181"/>
      <c r="N285" s="181"/>
      <c r="O285" s="181"/>
      <c r="P285" s="181"/>
    </row>
    <row r="286" spans="1:16" ht="21.75" customHeight="1" x14ac:dyDescent="0.3">
      <c r="A286" s="175"/>
      <c r="B286" s="176"/>
      <c r="C286" s="176"/>
      <c r="D286" s="193"/>
      <c r="E286" s="194" t="s">
        <v>54</v>
      </c>
      <c r="F286" s="195"/>
      <c r="G286" s="196"/>
      <c r="H286" s="186"/>
      <c r="I286" s="187"/>
      <c r="J286" s="197">
        <f ca="1">IFERROR(__xludf.DUMMYFUNCTION("IMPORTRANGE(""https://docs.google.com/spreadsheets/d/11923uPwbBZFjjGgGUA6NLw09EwE0CqkOc4q9oUmW1yo/edit?usp=sharing"",""พะเยา!J196"")"),0)</f>
        <v>0</v>
      </c>
      <c r="K286" s="163"/>
      <c r="L286" s="181"/>
      <c r="M286" s="181"/>
      <c r="N286" s="181"/>
      <c r="O286" s="181"/>
      <c r="P286" s="181"/>
    </row>
    <row r="287" spans="1:16" ht="21.75" customHeight="1" x14ac:dyDescent="0.3">
      <c r="A287" s="175"/>
      <c r="B287" s="176"/>
      <c r="C287" s="176"/>
      <c r="D287" s="205">
        <v>3</v>
      </c>
      <c r="E287" s="206" t="s">
        <v>55</v>
      </c>
      <c r="F287" s="207"/>
      <c r="G287" s="208"/>
      <c r="H287" s="186"/>
      <c r="I287" s="187"/>
      <c r="J287" s="209">
        <f ca="1">IFERROR(__xludf.DUMMYFUNCTION("IMPORTRANGE(""https://docs.google.com/spreadsheets/d/11923uPwbBZFjjGgGUA6NLw09EwE0CqkOc4q9oUmW1yo/edit?usp=sharing"",""พะเยา!J197"")"),0)</f>
        <v>0</v>
      </c>
      <c r="K287" s="163"/>
      <c r="L287" s="181"/>
      <c r="M287" s="181"/>
      <c r="N287" s="181"/>
      <c r="O287" s="181"/>
      <c r="P287" s="181"/>
    </row>
    <row r="288" spans="1:16" ht="21.75" customHeight="1" x14ac:dyDescent="0.3">
      <c r="A288" s="302" t="s">
        <v>111</v>
      </c>
      <c r="B288" s="303"/>
      <c r="C288" s="303"/>
      <c r="D288" s="304"/>
      <c r="E288" s="303"/>
      <c r="F288" s="303"/>
      <c r="G288" s="317"/>
      <c r="H288" s="318"/>
      <c r="I288" s="319"/>
      <c r="J288" s="319"/>
      <c r="K288" s="320"/>
      <c r="L288" s="320"/>
      <c r="M288" s="320"/>
      <c r="N288" s="320"/>
      <c r="O288" s="309"/>
      <c r="P288" s="309"/>
    </row>
    <row r="289" spans="1:16" ht="21.75" customHeight="1" x14ac:dyDescent="0.3">
      <c r="A289" s="321"/>
      <c r="B289" s="311" t="s">
        <v>112</v>
      </c>
      <c r="C289" s="322"/>
      <c r="D289" s="323"/>
      <c r="E289" s="311"/>
      <c r="F289" s="311"/>
      <c r="G289" s="312"/>
      <c r="H289" s="313" t="s">
        <v>37</v>
      </c>
      <c r="I289" s="314">
        <f ca="1">IFERROR(__xludf.DUMMYFUNCTION("IMPORTRANGE(""https://docs.google.com/spreadsheets/d/11923uPwbBZFjjGgGUA6NLw09EwE0CqkOc4q9oUmW1yo/edit?usp=sharing"",""พะเยา!I199"")"),0)</f>
        <v>0</v>
      </c>
      <c r="J289" s="314">
        <f ca="1">IFERROR(__xludf.DUMMYFUNCTION("IMPORTRANGE(""https://docs.google.com/spreadsheets/d/11923uPwbBZFjjGgGUA6NLw09EwE0CqkOc4q9oUmW1yo/edit?usp=sharing"",""พะเยา!J199"")"),0)</f>
        <v>0</v>
      </c>
      <c r="K289" s="315">
        <f ca="1">IF(I289&gt;0,J289*100/I289,0)</f>
        <v>0</v>
      </c>
      <c r="L289" s="316"/>
      <c r="M289" s="316"/>
      <c r="N289" s="316"/>
      <c r="O289" s="315"/>
      <c r="P289" s="315"/>
    </row>
    <row r="290" spans="1:16" ht="21.75" customHeight="1" x14ac:dyDescent="0.45">
      <c r="A290" s="145"/>
      <c r="B290" s="146"/>
      <c r="C290" s="147" t="s">
        <v>16</v>
      </c>
      <c r="D290" s="537" t="s">
        <v>17</v>
      </c>
      <c r="E290" s="528"/>
      <c r="F290" s="528"/>
      <c r="G290" s="528"/>
      <c r="H290" s="148" t="s">
        <v>12</v>
      </c>
      <c r="I290" s="187"/>
      <c r="J290" s="187"/>
      <c r="K290" s="223"/>
      <c r="L290" s="151">
        <f t="shared" ref="L290:N290" ca="1" si="88">L291+L292</f>
        <v>0</v>
      </c>
      <c r="M290" s="151">
        <f t="shared" ca="1" si="88"/>
        <v>0</v>
      </c>
      <c r="N290" s="151">
        <f t="shared" ca="1" si="88"/>
        <v>0</v>
      </c>
      <c r="O290" s="150">
        <f t="shared" ref="O290:O292" ca="1" si="89">IF(L290&gt;0,N290*100/L290,0)</f>
        <v>0</v>
      </c>
      <c r="P290" s="150">
        <f t="shared" ref="P290:P292" ca="1" si="90">IF(M290&gt;0,N290*100/M290,0)</f>
        <v>0</v>
      </c>
    </row>
    <row r="291" spans="1:16" ht="21.75" customHeight="1" x14ac:dyDescent="0.45">
      <c r="A291" s="152"/>
      <c r="B291" s="32"/>
      <c r="C291" s="32"/>
      <c r="D291" s="32"/>
      <c r="E291" s="32"/>
      <c r="F291" s="32"/>
      <c r="G291" s="33" t="s">
        <v>18</v>
      </c>
      <c r="H291" s="153" t="s">
        <v>12</v>
      </c>
      <c r="I291" s="187"/>
      <c r="J291" s="187"/>
      <c r="K291" s="223"/>
      <c r="L291" s="87">
        <f t="shared" ref="L291:N291" si="91">L293+L297</f>
        <v>0</v>
      </c>
      <c r="M291" s="87">
        <f t="shared" si="91"/>
        <v>0</v>
      </c>
      <c r="N291" s="87">
        <f t="shared" si="91"/>
        <v>0</v>
      </c>
      <c r="O291" s="155">
        <f t="shared" si="89"/>
        <v>0</v>
      </c>
      <c r="P291" s="155">
        <f t="shared" si="90"/>
        <v>0</v>
      </c>
    </row>
    <row r="292" spans="1:16" ht="21.75" customHeight="1" x14ac:dyDescent="0.45">
      <c r="A292" s="152"/>
      <c r="B292" s="32"/>
      <c r="C292" s="32"/>
      <c r="D292" s="32"/>
      <c r="E292" s="32"/>
      <c r="F292" s="32"/>
      <c r="G292" s="33" t="s">
        <v>19</v>
      </c>
      <c r="H292" s="153" t="s">
        <v>12</v>
      </c>
      <c r="I292" s="187"/>
      <c r="J292" s="187"/>
      <c r="K292" s="223"/>
      <c r="L292" s="87">
        <f t="shared" ref="L292:N292" ca="1" si="92">L294+L298</f>
        <v>0</v>
      </c>
      <c r="M292" s="87">
        <f t="shared" ca="1" si="92"/>
        <v>0</v>
      </c>
      <c r="N292" s="87">
        <f t="shared" ca="1" si="92"/>
        <v>0</v>
      </c>
      <c r="O292" s="155">
        <f t="shared" ca="1" si="89"/>
        <v>0</v>
      </c>
      <c r="P292" s="155">
        <f t="shared" ca="1" si="90"/>
        <v>0</v>
      </c>
    </row>
    <row r="293" spans="1:16" ht="21.75" customHeight="1" x14ac:dyDescent="0.3">
      <c r="A293" s="156"/>
      <c r="B293" s="157"/>
      <c r="C293" s="157" t="s">
        <v>16</v>
      </c>
      <c r="D293" s="158" t="s">
        <v>38</v>
      </c>
      <c r="E293" s="159"/>
      <c r="F293" s="159"/>
      <c r="G293" s="160" t="s">
        <v>39</v>
      </c>
      <c r="H293" s="161" t="s">
        <v>12</v>
      </c>
      <c r="I293" s="187" t="s">
        <v>40</v>
      </c>
      <c r="J293" s="187"/>
      <c r="K293" s="223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3">
      <c r="A294" s="156"/>
      <c r="B294" s="157"/>
      <c r="C294" s="157"/>
      <c r="D294" s="166"/>
      <c r="E294" s="159"/>
      <c r="F294" s="159" t="s">
        <v>40</v>
      </c>
      <c r="G294" s="160" t="s">
        <v>41</v>
      </c>
      <c r="H294" s="161" t="s">
        <v>12</v>
      </c>
      <c r="I294" s="187"/>
      <c r="J294" s="187"/>
      <c r="K294" s="223"/>
      <c r="L294" s="167">
        <f ca="1">L295+L296</f>
        <v>0</v>
      </c>
      <c r="M294" s="167">
        <f ca="1">IFERROR(__xludf.DUMMYFUNCTION("IMPORTRANGE(""https://docs.google.com/spreadsheets/d/1Yj_ptqi66GCucihVvJfMjLAmec39IyEx_6qawtMGysU/edit?usp=sharing"",""สบก!CT26"")"),0)</f>
        <v>0</v>
      </c>
      <c r="N294" s="168">
        <f ca="1">IFERROR(__xludf.DUMMYFUNCTION("IMPORTRANGE(""https://docs.google.com/spreadsheets/d/1Yj_ptqi66GCucihVvJfMjLAmec39IyEx_6qawtMGysU/edit?usp=sharing"",""สบก!CU26"")"),0)</f>
        <v>0</v>
      </c>
      <c r="O294" s="168">
        <f ca="1">IF(L294&gt;0,N294*100/L294,0)</f>
        <v>0</v>
      </c>
      <c r="P294" s="168">
        <f ca="1">IF(M294&gt;0,N294*100/M294,0)</f>
        <v>0</v>
      </c>
    </row>
    <row r="295" spans="1:16" ht="21.75" customHeight="1" x14ac:dyDescent="0.3">
      <c r="A295" s="156"/>
      <c r="B295" s="157"/>
      <c r="C295" s="157"/>
      <c r="D295" s="166"/>
      <c r="E295" s="159"/>
      <c r="F295" s="159"/>
      <c r="G295" s="169" t="s">
        <v>42</v>
      </c>
      <c r="H295" s="161" t="s">
        <v>12</v>
      </c>
      <c r="I295" s="187"/>
      <c r="J295" s="187"/>
      <c r="K295" s="223"/>
      <c r="L295" s="167">
        <f ca="1">IFERROR(__xludf.DUMMYFUNCTION("IMPORTRANGE(""https://docs.google.com/spreadsheets/d/1Yj_ptqi66GCucihVvJfMjLAmec39IyEx_6qawtMGysU/edit?usp=sharing"",""สบก!CP26"")"),0)</f>
        <v>0</v>
      </c>
      <c r="M295" s="167"/>
      <c r="N295" s="167"/>
      <c r="O295" s="168"/>
      <c r="P295" s="168"/>
    </row>
    <row r="296" spans="1:16" ht="21.75" customHeight="1" x14ac:dyDescent="0.3">
      <c r="A296" s="156"/>
      <c r="B296" s="157"/>
      <c r="C296" s="157"/>
      <c r="D296" s="166"/>
      <c r="E296" s="159"/>
      <c r="F296" s="159"/>
      <c r="G296" s="169" t="s">
        <v>43</v>
      </c>
      <c r="H296" s="161" t="s">
        <v>12</v>
      </c>
      <c r="I296" s="187"/>
      <c r="J296" s="187"/>
      <c r="K296" s="223"/>
      <c r="L296" s="167">
        <f ca="1">IFERROR(__xludf.DUMMYFUNCTION("IMPORTRANGE(""https://docs.google.com/spreadsheets/d/1Yj_ptqi66GCucihVvJfMjLAmec39IyEx_6qawtMGysU/edit?usp=sharing"",""สบก!CQ26"")"),0)</f>
        <v>0</v>
      </c>
      <c r="M296" s="167"/>
      <c r="N296" s="167"/>
      <c r="O296" s="168"/>
      <c r="P296" s="168"/>
    </row>
    <row r="297" spans="1:16" ht="21.75" customHeight="1" x14ac:dyDescent="0.45">
      <c r="A297" s="170"/>
      <c r="B297" s="80"/>
      <c r="C297" s="81" t="s">
        <v>16</v>
      </c>
      <c r="D297" s="534" t="s">
        <v>23</v>
      </c>
      <c r="E297" s="530"/>
      <c r="F297" s="88"/>
      <c r="G297" s="82" t="s">
        <v>18</v>
      </c>
      <c r="H297" s="171" t="s">
        <v>12</v>
      </c>
      <c r="I297" s="187"/>
      <c r="J297" s="187"/>
      <c r="K297" s="223"/>
      <c r="L297" s="41">
        <v>0</v>
      </c>
      <c r="M297" s="41"/>
      <c r="N297" s="41"/>
      <c r="O297" s="41"/>
      <c r="P297" s="41"/>
    </row>
    <row r="298" spans="1:16" ht="21.75" customHeight="1" x14ac:dyDescent="0.45">
      <c r="A298" s="172"/>
      <c r="B298" s="91"/>
      <c r="C298" s="91"/>
      <c r="D298" s="173"/>
      <c r="E298" s="92"/>
      <c r="F298" s="92"/>
      <c r="G298" s="93" t="s">
        <v>19</v>
      </c>
      <c r="H298" s="174" t="s">
        <v>12</v>
      </c>
      <c r="I298" s="187"/>
      <c r="J298" s="187"/>
      <c r="K298" s="223"/>
      <c r="L298" s="49">
        <f ca="1">IFERROR(__xludf.DUMMYFUNCTION("IMPORTRANGE(""https://docs.google.com/spreadsheets/d/1Yj_ptqi66GCucihVvJfMjLAmec39IyEx_6qawtMGysU/edit?usp=sharing"",""สบก!CR26"")"),0)</f>
        <v>0</v>
      </c>
      <c r="M298" s="49"/>
      <c r="N298" s="49">
        <f ca="1">IFERROR(__xludf.DUMMYFUNCTION("IMPORTRANGE(""https://docs.google.com/spreadsheets/d/1Yj_ptqi66GCucihVvJfMjLAmec39IyEx_6qawtMGysU/edit?usp=sharing"",""สบก!CV26"")"),0)</f>
        <v>0</v>
      </c>
      <c r="O298" s="49">
        <f ca="1">IF(L298&gt;0,N298*100/L298,0)</f>
        <v>0</v>
      </c>
      <c r="P298" s="49"/>
    </row>
    <row r="299" spans="1:16" ht="21.75" customHeight="1" x14ac:dyDescent="0.3">
      <c r="A299" s="175"/>
      <c r="B299" s="176"/>
      <c r="C299" s="157" t="s">
        <v>16</v>
      </c>
      <c r="D299" s="177" t="s">
        <v>44</v>
      </c>
      <c r="E299" s="178"/>
      <c r="F299" s="178"/>
      <c r="G299" s="179"/>
      <c r="H299" s="180"/>
      <c r="I299" s="187"/>
      <c r="J299" s="187"/>
      <c r="K299" s="223"/>
      <c r="L299" s="168"/>
      <c r="M299" s="168"/>
      <c r="N299" s="168"/>
      <c r="O299" s="181"/>
      <c r="P299" s="181"/>
    </row>
    <row r="300" spans="1:16" ht="21.75" customHeight="1" x14ac:dyDescent="0.3">
      <c r="A300" s="175"/>
      <c r="B300" s="176"/>
      <c r="C300" s="176"/>
      <c r="D300" s="182">
        <v>1</v>
      </c>
      <c r="E300" s="183" t="s">
        <v>45</v>
      </c>
      <c r="F300" s="184"/>
      <c r="G300" s="185"/>
      <c r="H300" s="186"/>
      <c r="I300" s="187"/>
      <c r="J300" s="187">
        <f ca="1">IFERROR(__xludf.DUMMYFUNCTION("IMPORTRANGE(""https://docs.google.com/spreadsheets/d/11923uPwbBZFjjGgGUA6NLw09EwE0CqkOc4q9oUmW1yo/edit?usp=sharing"",""พะเยา!J205"")"),0)</f>
        <v>0</v>
      </c>
      <c r="K300" s="223"/>
      <c r="L300" s="168"/>
      <c r="M300" s="168"/>
      <c r="N300" s="168"/>
      <c r="O300" s="181"/>
      <c r="P300" s="181"/>
    </row>
    <row r="301" spans="1:16" ht="21.75" customHeight="1" x14ac:dyDescent="0.3">
      <c r="A301" s="175"/>
      <c r="B301" s="176"/>
      <c r="C301" s="176"/>
      <c r="D301" s="189">
        <v>2</v>
      </c>
      <c r="E301" s="190" t="s">
        <v>46</v>
      </c>
      <c r="F301" s="191"/>
      <c r="G301" s="192"/>
      <c r="H301" s="186"/>
      <c r="I301" s="187"/>
      <c r="J301" s="187">
        <f ca="1">IFERROR(__xludf.DUMMYFUNCTION("IMPORTRANGE(""https://docs.google.com/spreadsheets/d/11923uPwbBZFjjGgGUA6NLw09EwE0CqkOc4q9oUmW1yo/edit?usp=sharing"",""พะเยา!J206"")"),0)</f>
        <v>0</v>
      </c>
      <c r="K301" s="223"/>
      <c r="L301" s="168" t="s">
        <v>40</v>
      </c>
      <c r="M301" s="168"/>
      <c r="N301" s="168" t="s">
        <v>40</v>
      </c>
      <c r="O301" s="181"/>
      <c r="P301" s="181"/>
    </row>
    <row r="302" spans="1:16" ht="21.75" customHeight="1" x14ac:dyDescent="0.3">
      <c r="A302" s="175"/>
      <c r="B302" s="176"/>
      <c r="C302" s="176"/>
      <c r="D302" s="193"/>
      <c r="E302" s="194" t="s">
        <v>47</v>
      </c>
      <c r="F302" s="195"/>
      <c r="G302" s="196"/>
      <c r="H302" s="186"/>
      <c r="I302" s="187"/>
      <c r="J302" s="187">
        <f ca="1">IFERROR(__xludf.DUMMYFUNCTION("IMPORTRANGE(""https://docs.google.com/spreadsheets/d/11923uPwbBZFjjGgGUA6NLw09EwE0CqkOc4q9oUmW1yo/edit?usp=sharing"",""พะเยา!J207"")"),0)</f>
        <v>0</v>
      </c>
      <c r="K302" s="223"/>
      <c r="L302" s="168"/>
      <c r="M302" s="168"/>
      <c r="N302" s="168"/>
      <c r="O302" s="181"/>
      <c r="P302" s="181"/>
    </row>
    <row r="303" spans="1:16" ht="21.75" customHeight="1" x14ac:dyDescent="0.3">
      <c r="A303" s="175"/>
      <c r="B303" s="176"/>
      <c r="C303" s="176"/>
      <c r="D303" s="193"/>
      <c r="E303" s="194" t="s">
        <v>48</v>
      </c>
      <c r="F303" s="195"/>
      <c r="G303" s="196"/>
      <c r="H303" s="186"/>
      <c r="I303" s="187"/>
      <c r="J303" s="187">
        <f ca="1">IFERROR(__xludf.DUMMYFUNCTION("IMPORTRANGE(""https://docs.google.com/spreadsheets/d/11923uPwbBZFjjGgGUA6NLw09EwE0CqkOc4q9oUmW1yo/edit?usp=sharing"",""พะเยา!J208"")"),0)</f>
        <v>0</v>
      </c>
      <c r="K303" s="223"/>
      <c r="L303" s="168"/>
      <c r="M303" s="168"/>
      <c r="N303" s="168"/>
      <c r="O303" s="181"/>
      <c r="P303" s="181"/>
    </row>
    <row r="304" spans="1:16" ht="21.75" customHeight="1" x14ac:dyDescent="0.3">
      <c r="A304" s="175"/>
      <c r="B304" s="176"/>
      <c r="C304" s="176"/>
      <c r="D304" s="193"/>
      <c r="E304" s="198"/>
      <c r="F304" s="194" t="s">
        <v>113</v>
      </c>
      <c r="G304" s="196"/>
      <c r="H304" s="180" t="s">
        <v>37</v>
      </c>
      <c r="I304" s="187">
        <f ca="1">IFERROR(__xludf.DUMMYFUNCTION("IMPORTRANGE(""https://docs.google.com/spreadsheets/d/11923uPwbBZFjjGgGUA6NLw09EwE0CqkOc4q9oUmW1yo/edit?usp=sharing"",""พะเยา!I209"")"),0)</f>
        <v>0</v>
      </c>
      <c r="J304" s="203">
        <f ca="1">IFERROR(__xludf.DUMMYFUNCTION("IMPORTRANGE(""https://docs.google.com/spreadsheets/d/11923uPwbBZFjjGgGUA6NLw09EwE0CqkOc4q9oUmW1yo/edit?usp=sharing"",""พะเยา!J209"")"),0)</f>
        <v>0</v>
      </c>
      <c r="K304" s="223">
        <f ca="1">IF(I304&gt;0,J304*100/I304,0)</f>
        <v>0</v>
      </c>
      <c r="L304" s="168"/>
      <c r="M304" s="168"/>
      <c r="N304" s="168"/>
      <c r="O304" s="181"/>
      <c r="P304" s="181"/>
    </row>
    <row r="305" spans="1:16" ht="21.75" customHeight="1" x14ac:dyDescent="0.3">
      <c r="A305" s="175"/>
      <c r="B305" s="176"/>
      <c r="C305" s="176"/>
      <c r="D305" s="193"/>
      <c r="E305" s="198"/>
      <c r="F305" s="194" t="s">
        <v>114</v>
      </c>
      <c r="G305" s="196"/>
      <c r="H305" s="180"/>
      <c r="I305" s="187"/>
      <c r="J305" s="187"/>
      <c r="K305" s="223"/>
      <c r="L305" s="168"/>
      <c r="M305" s="168"/>
      <c r="N305" s="168"/>
      <c r="O305" s="181"/>
      <c r="P305" s="181"/>
    </row>
    <row r="306" spans="1:16" ht="21.75" customHeight="1" x14ac:dyDescent="0.3">
      <c r="A306" s="175"/>
      <c r="B306" s="176"/>
      <c r="C306" s="176"/>
      <c r="D306" s="193"/>
      <c r="E306" s="198"/>
      <c r="F306" s="195" t="s">
        <v>53</v>
      </c>
      <c r="G306" s="196"/>
      <c r="H306" s="180" t="s">
        <v>37</v>
      </c>
      <c r="I306" s="187">
        <f ca="1">IFERROR(__xludf.DUMMYFUNCTION("IMPORTRANGE(""https://docs.google.com/spreadsheets/d/11923uPwbBZFjjGgGUA6NLw09EwE0CqkOc4q9oUmW1yo/edit?usp=sharing"",""พะเยา!I211"")"),0)</f>
        <v>0</v>
      </c>
      <c r="J306" s="203">
        <f ca="1">IFERROR(__xludf.DUMMYFUNCTION("IMPORTRANGE(""https://docs.google.com/spreadsheets/d/11923uPwbBZFjjGgGUA6NLw09EwE0CqkOc4q9oUmW1yo/edit?usp=sharing"",""พะเยา!J211"")"),0)</f>
        <v>0</v>
      </c>
      <c r="K306" s="223">
        <f ca="1">IF(I306&gt;0,J306*100/I306,0)</f>
        <v>0</v>
      </c>
      <c r="L306" s="168"/>
      <c r="M306" s="168"/>
      <c r="N306" s="168"/>
      <c r="O306" s="181"/>
      <c r="P306" s="181"/>
    </row>
    <row r="307" spans="1:16" ht="21.75" customHeight="1" x14ac:dyDescent="0.3">
      <c r="A307" s="175"/>
      <c r="B307" s="176"/>
      <c r="C307" s="176"/>
      <c r="D307" s="193"/>
      <c r="E307" s="194" t="s">
        <v>54</v>
      </c>
      <c r="F307" s="195"/>
      <c r="G307" s="196"/>
      <c r="H307" s="186"/>
      <c r="I307" s="187"/>
      <c r="J307" s="187">
        <f ca="1">IFERROR(__xludf.DUMMYFUNCTION("IMPORTRANGE(""https://docs.google.com/spreadsheets/d/11923uPwbBZFjjGgGUA6NLw09EwE0CqkOc4q9oUmW1yo/edit?usp=sharing"",""พะเยา!J212"")"),0)</f>
        <v>0</v>
      </c>
      <c r="K307" s="223"/>
      <c r="L307" s="168"/>
      <c r="M307" s="168"/>
      <c r="N307" s="168"/>
      <c r="O307" s="181"/>
      <c r="P307" s="181"/>
    </row>
    <row r="308" spans="1:16" ht="21.75" customHeight="1" x14ac:dyDescent="0.3">
      <c r="A308" s="175"/>
      <c r="B308" s="176"/>
      <c r="C308" s="176"/>
      <c r="D308" s="205">
        <v>3</v>
      </c>
      <c r="E308" s="206" t="s">
        <v>55</v>
      </c>
      <c r="F308" s="207"/>
      <c r="G308" s="208"/>
      <c r="H308" s="186"/>
      <c r="I308" s="187"/>
      <c r="J308" s="324">
        <f ca="1">IFERROR(__xludf.DUMMYFUNCTION("IMPORTRANGE(""https://docs.google.com/spreadsheets/d/11923uPwbBZFjjGgGUA6NLw09EwE0CqkOc4q9oUmW1yo/edit?usp=sharing"",""พะเยา!J213"")"),0)</f>
        <v>0</v>
      </c>
      <c r="K308" s="223"/>
      <c r="L308" s="168"/>
      <c r="M308" s="168"/>
      <c r="N308" s="168"/>
      <c r="O308" s="181"/>
      <c r="P308" s="181"/>
    </row>
    <row r="309" spans="1:16" ht="21.75" customHeight="1" x14ac:dyDescent="0.3">
      <c r="A309" s="325"/>
      <c r="B309" s="326" t="s">
        <v>115</v>
      </c>
      <c r="C309" s="327"/>
      <c r="D309" s="328"/>
      <c r="E309" s="326"/>
      <c r="F309" s="326"/>
      <c r="G309" s="329"/>
      <c r="H309" s="330" t="s">
        <v>116</v>
      </c>
      <c r="I309" s="331">
        <f ca="1">IFERROR(__xludf.DUMMYFUNCTION("IMPORTRANGE(""https://docs.google.com/spreadsheets/d/11923uPwbBZFjjGgGUA6NLw09EwE0CqkOc4q9oUmW1yo/edit?usp=sharing"",""พะเยา!I214"")"),0)</f>
        <v>0</v>
      </c>
      <c r="J309" s="331">
        <f ca="1">IFERROR(__xludf.DUMMYFUNCTION("IMPORTRANGE(""https://docs.google.com/spreadsheets/d/11923uPwbBZFjjGgGUA6NLw09EwE0CqkOc4q9oUmW1yo/edit?usp=sharing"",""พะเยา!J214"")"),0)</f>
        <v>0</v>
      </c>
      <c r="K309" s="332">
        <f ca="1">IF(I309&gt;0,J309*100/I309,0)</f>
        <v>0</v>
      </c>
      <c r="L309" s="333"/>
      <c r="M309" s="333"/>
      <c r="N309" s="333"/>
      <c r="O309" s="332"/>
      <c r="P309" s="332"/>
    </row>
    <row r="310" spans="1:16" ht="21.75" customHeight="1" x14ac:dyDescent="0.45">
      <c r="A310" s="145"/>
      <c r="B310" s="146"/>
      <c r="C310" s="147" t="s">
        <v>16</v>
      </c>
      <c r="D310" s="537" t="s">
        <v>17</v>
      </c>
      <c r="E310" s="528"/>
      <c r="F310" s="528"/>
      <c r="G310" s="528"/>
      <c r="H310" s="148" t="s">
        <v>12</v>
      </c>
      <c r="I310" s="334"/>
      <c r="J310" s="334"/>
      <c r="K310" s="335"/>
      <c r="L310" s="151">
        <f t="shared" ref="L310:N310" ca="1" si="93">L311+L312</f>
        <v>0</v>
      </c>
      <c r="M310" s="151">
        <f t="shared" ca="1" si="93"/>
        <v>0</v>
      </c>
      <c r="N310" s="151">
        <f t="shared" ca="1" si="93"/>
        <v>0</v>
      </c>
      <c r="O310" s="150">
        <f t="shared" ref="O310:O312" ca="1" si="94">IF(L310&gt;0,N310*100/L310,0)</f>
        <v>0</v>
      </c>
      <c r="P310" s="150">
        <f t="shared" ref="P310:P312" ca="1" si="95">IF(M310&gt;0,N310*100/M310,0)</f>
        <v>0</v>
      </c>
    </row>
    <row r="311" spans="1:16" ht="21.75" customHeight="1" x14ac:dyDescent="0.45">
      <c r="A311" s="152"/>
      <c r="B311" s="32"/>
      <c r="C311" s="32"/>
      <c r="D311" s="32"/>
      <c r="E311" s="32"/>
      <c r="F311" s="32"/>
      <c r="G311" s="33" t="s">
        <v>18</v>
      </c>
      <c r="H311" s="153" t="s">
        <v>12</v>
      </c>
      <c r="I311" s="334"/>
      <c r="J311" s="334"/>
      <c r="K311" s="335"/>
      <c r="L311" s="87">
        <f t="shared" ref="L311:N311" si="96">L313+L317</f>
        <v>0</v>
      </c>
      <c r="M311" s="87">
        <f t="shared" si="96"/>
        <v>0</v>
      </c>
      <c r="N311" s="87">
        <f t="shared" si="96"/>
        <v>0</v>
      </c>
      <c r="O311" s="155">
        <f t="shared" si="94"/>
        <v>0</v>
      </c>
      <c r="P311" s="155">
        <f t="shared" si="95"/>
        <v>0</v>
      </c>
    </row>
    <row r="312" spans="1:16" ht="21.75" customHeight="1" x14ac:dyDescent="0.45">
      <c r="A312" s="152"/>
      <c r="B312" s="32"/>
      <c r="C312" s="32"/>
      <c r="D312" s="32"/>
      <c r="E312" s="32"/>
      <c r="F312" s="32"/>
      <c r="G312" s="33" t="s">
        <v>19</v>
      </c>
      <c r="H312" s="153" t="s">
        <v>12</v>
      </c>
      <c r="I312" s="334"/>
      <c r="J312" s="334"/>
      <c r="K312" s="335"/>
      <c r="L312" s="87">
        <f t="shared" ref="L312:N312" ca="1" si="97">L314+L318</f>
        <v>0</v>
      </c>
      <c r="M312" s="87">
        <f t="shared" ca="1" si="97"/>
        <v>0</v>
      </c>
      <c r="N312" s="87">
        <f t="shared" ca="1" si="97"/>
        <v>0</v>
      </c>
      <c r="O312" s="155">
        <f t="shared" ca="1" si="94"/>
        <v>0</v>
      </c>
      <c r="P312" s="155">
        <f t="shared" ca="1" si="95"/>
        <v>0</v>
      </c>
    </row>
    <row r="313" spans="1:16" ht="21.75" customHeight="1" x14ac:dyDescent="0.3">
      <c r="A313" s="156"/>
      <c r="B313" s="157"/>
      <c r="C313" s="157" t="s">
        <v>16</v>
      </c>
      <c r="D313" s="158" t="s">
        <v>38</v>
      </c>
      <c r="E313" s="159"/>
      <c r="F313" s="159"/>
      <c r="G313" s="160" t="s">
        <v>39</v>
      </c>
      <c r="H313" s="161" t="s">
        <v>12</v>
      </c>
      <c r="I313" s="162" t="s">
        <v>40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3">
      <c r="A314" s="156"/>
      <c r="B314" s="157"/>
      <c r="C314" s="157"/>
      <c r="D314" s="166"/>
      <c r="E314" s="159"/>
      <c r="F314" s="159" t="s">
        <v>40</v>
      </c>
      <c r="G314" s="160" t="s">
        <v>41</v>
      </c>
      <c r="H314" s="161" t="s">
        <v>12</v>
      </c>
      <c r="I314" s="162"/>
      <c r="J314" s="162"/>
      <c r="K314" s="163"/>
      <c r="L314" s="167">
        <f ca="1">L315+L316</f>
        <v>0</v>
      </c>
      <c r="M314" s="167">
        <f ca="1">IFERROR(__xludf.DUMMYFUNCTION("IMPORTRANGE(""https://docs.google.com/spreadsheets/d/1Yj_ptqi66GCucihVvJfMjLAmec39IyEx_6qawtMGysU/edit?usp=sharing"",""สบก!DC26"")"),0)</f>
        <v>0</v>
      </c>
      <c r="N314" s="168">
        <f ca="1">IFERROR(__xludf.DUMMYFUNCTION("IMPORTRANGE(""https://docs.google.com/spreadsheets/d/1Yj_ptqi66GCucihVvJfMjLAmec39IyEx_6qawtMGysU/edit?usp=sharing"",""สบก!DD26"")"),0)</f>
        <v>0</v>
      </c>
      <c r="O314" s="168">
        <f ca="1">IF(L314&gt;0,N314*100/L314,0)</f>
        <v>0</v>
      </c>
      <c r="P314" s="168">
        <f ca="1">IF(M314&gt;0,N314*100/M314,0)</f>
        <v>0</v>
      </c>
    </row>
    <row r="315" spans="1:16" ht="21.75" customHeight="1" x14ac:dyDescent="0.3">
      <c r="A315" s="156"/>
      <c r="B315" s="157"/>
      <c r="C315" s="157"/>
      <c r="D315" s="166"/>
      <c r="E315" s="159"/>
      <c r="F315" s="159"/>
      <c r="G315" s="169" t="s">
        <v>42</v>
      </c>
      <c r="H315" s="161" t="s">
        <v>12</v>
      </c>
      <c r="I315" s="162"/>
      <c r="J315" s="162"/>
      <c r="K315" s="163"/>
      <c r="L315" s="167">
        <f ca="1">IFERROR(__xludf.DUMMYFUNCTION("IMPORTRANGE(""https://docs.google.com/spreadsheets/d/1Yj_ptqi66GCucihVvJfMjLAmec39IyEx_6qawtMGysU/edit?usp=sharing"",""สบก!CY26"")"),0)</f>
        <v>0</v>
      </c>
      <c r="M315" s="167"/>
      <c r="N315" s="167"/>
      <c r="O315" s="168"/>
      <c r="P315" s="168"/>
    </row>
    <row r="316" spans="1:16" ht="21.75" customHeight="1" x14ac:dyDescent="0.3">
      <c r="A316" s="156"/>
      <c r="B316" s="157"/>
      <c r="C316" s="157"/>
      <c r="D316" s="166"/>
      <c r="E316" s="159"/>
      <c r="F316" s="159"/>
      <c r="G316" s="169" t="s">
        <v>43</v>
      </c>
      <c r="H316" s="161" t="s">
        <v>12</v>
      </c>
      <c r="I316" s="162"/>
      <c r="J316" s="187"/>
      <c r="K316" s="223"/>
      <c r="L316" s="167">
        <f ca="1">IFERROR(__xludf.DUMMYFUNCTION("IMPORTRANGE(""https://docs.google.com/spreadsheets/d/1Yj_ptqi66GCucihVvJfMjLAmec39IyEx_6qawtMGysU/edit?usp=sharing"",""สบก!CZ26"")"),0)</f>
        <v>0</v>
      </c>
      <c r="M316" s="167"/>
      <c r="N316" s="167"/>
      <c r="O316" s="168"/>
      <c r="P316" s="168"/>
    </row>
    <row r="317" spans="1:16" ht="21.75" customHeight="1" x14ac:dyDescent="0.45">
      <c r="A317" s="170"/>
      <c r="B317" s="80"/>
      <c r="C317" s="81" t="s">
        <v>16</v>
      </c>
      <c r="D317" s="534" t="s">
        <v>23</v>
      </c>
      <c r="E317" s="530"/>
      <c r="F317" s="88"/>
      <c r="G317" s="82" t="s">
        <v>18</v>
      </c>
      <c r="H317" s="171" t="s">
        <v>12</v>
      </c>
      <c r="I317" s="162"/>
      <c r="J317" s="187"/>
      <c r="K317" s="223"/>
      <c r="L317" s="41">
        <v>0</v>
      </c>
      <c r="M317" s="41"/>
      <c r="N317" s="41"/>
      <c r="O317" s="41"/>
      <c r="P317" s="41"/>
    </row>
    <row r="318" spans="1:16" ht="21.75" customHeight="1" x14ac:dyDescent="0.45">
      <c r="A318" s="172"/>
      <c r="B318" s="91"/>
      <c r="C318" s="91"/>
      <c r="D318" s="173"/>
      <c r="E318" s="92"/>
      <c r="F318" s="92"/>
      <c r="G318" s="93" t="s">
        <v>19</v>
      </c>
      <c r="H318" s="174" t="s">
        <v>12</v>
      </c>
      <c r="I318" s="162"/>
      <c r="J318" s="187"/>
      <c r="K318" s="223"/>
      <c r="L318" s="49">
        <f ca="1">IFERROR(__xludf.DUMMYFUNCTION("IMPORTRANGE(""https://docs.google.com/spreadsheets/d/1Yj_ptqi66GCucihVvJfMjLAmec39IyEx_6qawtMGysU/edit?usp=sharing"",""สบก!DA26"")"),0)</f>
        <v>0</v>
      </c>
      <c r="M318" s="49"/>
      <c r="N318" s="49">
        <f ca="1">IFERROR(__xludf.DUMMYFUNCTION("IMPORTRANGE(""https://docs.google.com/spreadsheets/d/1Yj_ptqi66GCucihVvJfMjLAmec39IyEx_6qawtMGysU/edit?usp=sharing"",""สบก!DE26"")"),0)</f>
        <v>0</v>
      </c>
      <c r="O318" s="49">
        <f ca="1">IF(L318&gt;0,N318*100/L318,0)</f>
        <v>0</v>
      </c>
      <c r="P318" s="49"/>
    </row>
    <row r="319" spans="1:16" ht="21.75" customHeight="1" x14ac:dyDescent="0.3">
      <c r="A319" s="175"/>
      <c r="B319" s="176"/>
      <c r="C319" s="157" t="s">
        <v>16</v>
      </c>
      <c r="D319" s="177" t="s">
        <v>44</v>
      </c>
      <c r="E319" s="178"/>
      <c r="F319" s="178"/>
      <c r="G319" s="179"/>
      <c r="H319" s="180"/>
      <c r="I319" s="162"/>
      <c r="J319" s="187"/>
      <c r="K319" s="223"/>
      <c r="L319" s="168"/>
      <c r="M319" s="168"/>
      <c r="N319" s="168"/>
      <c r="O319" s="181"/>
      <c r="P319" s="181"/>
    </row>
    <row r="320" spans="1:16" ht="21.75" customHeight="1" x14ac:dyDescent="0.3">
      <c r="A320" s="175"/>
      <c r="B320" s="176"/>
      <c r="C320" s="176"/>
      <c r="D320" s="182">
        <v>1</v>
      </c>
      <c r="E320" s="183" t="s">
        <v>45</v>
      </c>
      <c r="F320" s="184"/>
      <c r="G320" s="185"/>
      <c r="H320" s="186"/>
      <c r="I320" s="187"/>
      <c r="J320" s="187">
        <f ca="1">IFERROR(__xludf.DUMMYFUNCTION("IMPORTRANGE(""https://docs.google.com/spreadsheets/d/11923uPwbBZFjjGgGUA6NLw09EwE0CqkOc4q9oUmW1yo/edit?usp=sharing"",""พะเยา!J220"")"),0)</f>
        <v>0</v>
      </c>
      <c r="K320" s="223"/>
      <c r="L320" s="168"/>
      <c r="M320" s="168"/>
      <c r="N320" s="168"/>
      <c r="O320" s="181"/>
      <c r="P320" s="181"/>
    </row>
    <row r="321" spans="1:16" ht="21.75" customHeight="1" x14ac:dyDescent="0.3">
      <c r="A321" s="175"/>
      <c r="B321" s="176"/>
      <c r="C321" s="176"/>
      <c r="D321" s="189">
        <v>2</v>
      </c>
      <c r="E321" s="190" t="s">
        <v>46</v>
      </c>
      <c r="F321" s="191"/>
      <c r="G321" s="192"/>
      <c r="H321" s="186"/>
      <c r="I321" s="187"/>
      <c r="J321" s="187">
        <f ca="1">IFERROR(__xludf.DUMMYFUNCTION("IMPORTRANGE(""https://docs.google.com/spreadsheets/d/11923uPwbBZFjjGgGUA6NLw09EwE0CqkOc4q9oUmW1yo/edit?usp=sharing"",""พะเยา!J221"")"),0)</f>
        <v>0</v>
      </c>
      <c r="K321" s="223"/>
      <c r="L321" s="168" t="s">
        <v>40</v>
      </c>
      <c r="M321" s="168"/>
      <c r="N321" s="168" t="s">
        <v>40</v>
      </c>
      <c r="O321" s="181"/>
      <c r="P321" s="181"/>
    </row>
    <row r="322" spans="1:16" ht="21.75" customHeight="1" x14ac:dyDescent="0.3">
      <c r="A322" s="175"/>
      <c r="B322" s="176"/>
      <c r="C322" s="176"/>
      <c r="D322" s="193"/>
      <c r="E322" s="194" t="s">
        <v>47</v>
      </c>
      <c r="F322" s="195"/>
      <c r="G322" s="196"/>
      <c r="H322" s="186"/>
      <c r="I322" s="187"/>
      <c r="J322" s="187">
        <f ca="1">IFERROR(__xludf.DUMMYFUNCTION("IMPORTRANGE(""https://docs.google.com/spreadsheets/d/11923uPwbBZFjjGgGUA6NLw09EwE0CqkOc4q9oUmW1yo/edit?usp=sharing"",""พะเยา!J222"")"),0)</f>
        <v>0</v>
      </c>
      <c r="K322" s="223"/>
      <c r="L322" s="168"/>
      <c r="M322" s="168"/>
      <c r="N322" s="168"/>
      <c r="O322" s="181"/>
      <c r="P322" s="181"/>
    </row>
    <row r="323" spans="1:16" ht="21.75" customHeight="1" x14ac:dyDescent="0.3">
      <c r="A323" s="175"/>
      <c r="B323" s="176"/>
      <c r="C323" s="176"/>
      <c r="D323" s="193"/>
      <c r="E323" s="194" t="s">
        <v>48</v>
      </c>
      <c r="F323" s="195"/>
      <c r="G323" s="196"/>
      <c r="H323" s="186"/>
      <c r="I323" s="187"/>
      <c r="J323" s="187">
        <f ca="1">IFERROR(__xludf.DUMMYFUNCTION("IMPORTRANGE(""https://docs.google.com/spreadsheets/d/11923uPwbBZFjjGgGUA6NLw09EwE0CqkOc4q9oUmW1yo/edit?usp=sharing"",""พะเยา!J223"")"),0)</f>
        <v>0</v>
      </c>
      <c r="K323" s="223"/>
      <c r="L323" s="168"/>
      <c r="M323" s="168"/>
      <c r="N323" s="168"/>
      <c r="O323" s="181"/>
      <c r="P323" s="181"/>
    </row>
    <row r="324" spans="1:16" ht="21.75" customHeight="1" x14ac:dyDescent="0.3">
      <c r="A324" s="175"/>
      <c r="B324" s="176"/>
      <c r="C324" s="176"/>
      <c r="D324" s="193"/>
      <c r="E324" s="198"/>
      <c r="F324" s="194" t="s">
        <v>117</v>
      </c>
      <c r="G324" s="196"/>
      <c r="H324" s="186" t="s">
        <v>116</v>
      </c>
      <c r="I324" s="187">
        <f ca="1">IFERROR(__xludf.DUMMYFUNCTION("IMPORTRANGE(""https://docs.google.com/spreadsheets/d/11923uPwbBZFjjGgGUA6NLw09EwE0CqkOc4q9oUmW1yo/edit?usp=sharing"",""พะเยา!I224"")"),0)</f>
        <v>0</v>
      </c>
      <c r="J324" s="203">
        <f ca="1">IFERROR(__xludf.DUMMYFUNCTION("IMPORTRANGE(""https://docs.google.com/spreadsheets/d/11923uPwbBZFjjGgGUA6NLw09EwE0CqkOc4q9oUmW1yo/edit?usp=sharing"",""พะเยา!J224"")"),0)</f>
        <v>0</v>
      </c>
      <c r="K324" s="223">
        <f ca="1">IF(I324&gt;0,J324*100/I324,0)</f>
        <v>0</v>
      </c>
      <c r="L324" s="168"/>
      <c r="M324" s="168"/>
      <c r="N324" s="168"/>
      <c r="O324" s="181"/>
      <c r="P324" s="181"/>
    </row>
    <row r="325" spans="1:16" ht="21.75" customHeight="1" x14ac:dyDescent="0.3">
      <c r="A325" s="175"/>
      <c r="B325" s="176"/>
      <c r="C325" s="176"/>
      <c r="D325" s="193"/>
      <c r="E325" s="194" t="s">
        <v>54</v>
      </c>
      <c r="F325" s="195"/>
      <c r="G325" s="196"/>
      <c r="H325" s="186"/>
      <c r="I325" s="187"/>
      <c r="J325" s="187">
        <f ca="1">IFERROR(__xludf.DUMMYFUNCTION("IMPORTRANGE(""https://docs.google.com/spreadsheets/d/11923uPwbBZFjjGgGUA6NLw09EwE0CqkOc4q9oUmW1yo/edit?usp=sharing"",""พะเยา!J225"")"),0)</f>
        <v>0</v>
      </c>
      <c r="K325" s="223"/>
      <c r="L325" s="168"/>
      <c r="M325" s="168"/>
      <c r="N325" s="168"/>
      <c r="O325" s="181"/>
      <c r="P325" s="181"/>
    </row>
    <row r="326" spans="1:16" ht="21.75" customHeight="1" x14ac:dyDescent="0.3">
      <c r="A326" s="175"/>
      <c r="B326" s="176"/>
      <c r="C326" s="176"/>
      <c r="D326" s="205">
        <v>3</v>
      </c>
      <c r="E326" s="206" t="s">
        <v>55</v>
      </c>
      <c r="F326" s="207"/>
      <c r="G326" s="208"/>
      <c r="H326" s="186"/>
      <c r="I326" s="187"/>
      <c r="J326" s="226">
        <f ca="1">IFERROR(__xludf.DUMMYFUNCTION("IMPORTRANGE(""https://docs.google.com/spreadsheets/d/11923uPwbBZFjjGgGUA6NLw09EwE0CqkOc4q9oUmW1yo/edit?usp=sharing"",""พะเยา!J226"")"),0)</f>
        <v>0</v>
      </c>
      <c r="K326" s="223"/>
      <c r="L326" s="168"/>
      <c r="M326" s="168"/>
      <c r="N326" s="168"/>
      <c r="O326" s="181"/>
      <c r="P326" s="181"/>
    </row>
    <row r="327" spans="1:16" ht="21.75" customHeight="1" x14ac:dyDescent="0.3">
      <c r="A327" s="302" t="s">
        <v>118</v>
      </c>
      <c r="B327" s="303"/>
      <c r="C327" s="303"/>
      <c r="D327" s="304"/>
      <c r="E327" s="303"/>
      <c r="F327" s="303"/>
      <c r="G327" s="317"/>
      <c r="H327" s="306"/>
      <c r="I327" s="307"/>
      <c r="J327" s="307"/>
      <c r="K327" s="308"/>
      <c r="L327" s="308"/>
      <c r="M327" s="308"/>
      <c r="N327" s="308"/>
      <c r="O327" s="309"/>
      <c r="P327" s="309"/>
    </row>
    <row r="328" spans="1:16" ht="21.75" customHeight="1" x14ac:dyDescent="0.3">
      <c r="A328" s="310"/>
      <c r="B328" s="336" t="s">
        <v>119</v>
      </c>
      <c r="C328" s="323"/>
      <c r="D328" s="311"/>
      <c r="E328" s="311"/>
      <c r="F328" s="311"/>
      <c r="G328" s="312"/>
      <c r="H328" s="313" t="s">
        <v>37</v>
      </c>
      <c r="I328" s="337">
        <f ca="1">IFERROR(__xludf.DUMMYFUNCTION("IMPORTRANGE(""https://docs.google.com/spreadsheets/d/11923uPwbBZFjjGgGUA6NLw09EwE0CqkOc4q9oUmW1yo/edit?usp=sharing"",""พะเยา!I228"")"),580)</f>
        <v>580</v>
      </c>
      <c r="J328" s="337">
        <f ca="1">IFERROR(__xludf.DUMMYFUNCTION("IMPORTRANGE(""https://docs.google.com/spreadsheets/d/11923uPwbBZFjjGgGUA6NLw09EwE0CqkOc4q9oUmW1yo/edit?usp=sharing"",""พะเยา!J228"")"),160)</f>
        <v>160</v>
      </c>
      <c r="K328" s="315">
        <f ca="1">IF(I328&gt;0,J328*100/I328,0)</f>
        <v>27.586206896551722</v>
      </c>
      <c r="L328" s="316"/>
      <c r="M328" s="316"/>
      <c r="N328" s="316"/>
      <c r="O328" s="315"/>
      <c r="P328" s="315"/>
    </row>
    <row r="329" spans="1:16" ht="21.75" customHeight="1" x14ac:dyDescent="0.45">
      <c r="A329" s="145"/>
      <c r="B329" s="146"/>
      <c r="C329" s="147" t="s">
        <v>16</v>
      </c>
      <c r="D329" s="537" t="s">
        <v>17</v>
      </c>
      <c r="E329" s="528"/>
      <c r="F329" s="528"/>
      <c r="G329" s="528"/>
      <c r="H329" s="148" t="s">
        <v>12</v>
      </c>
      <c r="I329" s="162"/>
      <c r="J329" s="162"/>
      <c r="K329" s="163"/>
      <c r="L329" s="151">
        <f t="shared" ref="L329:N329" ca="1" si="98">L330+L331</f>
        <v>613050</v>
      </c>
      <c r="M329" s="151">
        <f t="shared" ca="1" si="98"/>
        <v>353630</v>
      </c>
      <c r="N329" s="151">
        <f t="shared" ca="1" si="98"/>
        <v>251979</v>
      </c>
      <c r="O329" s="150">
        <f t="shared" ref="O329:O331" ca="1" si="99">IF(L329&gt;0,N329*100/L329,0)</f>
        <v>41.10252018595547</v>
      </c>
      <c r="P329" s="150">
        <f t="shared" ref="P329:P331" ca="1" si="100">IF(M329&gt;0,N329*100/M329,0)</f>
        <v>71.254984022848745</v>
      </c>
    </row>
    <row r="330" spans="1:16" ht="21.75" customHeight="1" x14ac:dyDescent="0.45">
      <c r="A330" s="152"/>
      <c r="B330" s="32"/>
      <c r="C330" s="32"/>
      <c r="D330" s="32"/>
      <c r="E330" s="32"/>
      <c r="F330" s="32"/>
      <c r="G330" s="33" t="s">
        <v>18</v>
      </c>
      <c r="H330" s="153" t="s">
        <v>12</v>
      </c>
      <c r="I330" s="162"/>
      <c r="J330" s="162"/>
      <c r="K330" s="163"/>
      <c r="L330" s="87">
        <f t="shared" ref="L330:N330" si="101">L332+L336</f>
        <v>0</v>
      </c>
      <c r="M330" s="87">
        <f t="shared" si="101"/>
        <v>0</v>
      </c>
      <c r="N330" s="87">
        <f t="shared" si="101"/>
        <v>0</v>
      </c>
      <c r="O330" s="155">
        <f t="shared" si="99"/>
        <v>0</v>
      </c>
      <c r="P330" s="155">
        <f t="shared" si="100"/>
        <v>0</v>
      </c>
    </row>
    <row r="331" spans="1:16" ht="21.75" customHeight="1" x14ac:dyDescent="0.45">
      <c r="A331" s="152"/>
      <c r="B331" s="32"/>
      <c r="C331" s="32"/>
      <c r="D331" s="32"/>
      <c r="E331" s="32"/>
      <c r="F331" s="32"/>
      <c r="G331" s="33" t="s">
        <v>19</v>
      </c>
      <c r="H331" s="153" t="s">
        <v>12</v>
      </c>
      <c r="I331" s="162"/>
      <c r="J331" s="162"/>
      <c r="K331" s="163"/>
      <c r="L331" s="87">
        <f t="shared" ref="L331:N331" ca="1" si="102">L333+L337</f>
        <v>613050</v>
      </c>
      <c r="M331" s="87">
        <f t="shared" ca="1" si="102"/>
        <v>353630</v>
      </c>
      <c r="N331" s="87">
        <f t="shared" ca="1" si="102"/>
        <v>251979</v>
      </c>
      <c r="O331" s="155">
        <f t="shared" ca="1" si="99"/>
        <v>41.10252018595547</v>
      </c>
      <c r="P331" s="155">
        <f t="shared" ca="1" si="100"/>
        <v>71.254984022848745</v>
      </c>
    </row>
    <row r="332" spans="1:16" ht="21.75" customHeight="1" x14ac:dyDescent="0.3">
      <c r="A332" s="156"/>
      <c r="B332" s="157"/>
      <c r="C332" s="157" t="s">
        <v>16</v>
      </c>
      <c r="D332" s="158" t="s">
        <v>38</v>
      </c>
      <c r="E332" s="159"/>
      <c r="F332" s="159"/>
      <c r="G332" s="160" t="s">
        <v>39</v>
      </c>
      <c r="H332" s="161" t="s">
        <v>12</v>
      </c>
      <c r="I332" s="162" t="s">
        <v>40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3">
      <c r="A333" s="156"/>
      <c r="B333" s="157"/>
      <c r="C333" s="157"/>
      <c r="D333" s="166"/>
      <c r="E333" s="159"/>
      <c r="F333" s="159" t="s">
        <v>40</v>
      </c>
      <c r="G333" s="160" t="s">
        <v>41</v>
      </c>
      <c r="H333" s="161" t="s">
        <v>12</v>
      </c>
      <c r="I333" s="162"/>
      <c r="J333" s="162"/>
      <c r="K333" s="163"/>
      <c r="L333" s="167">
        <f ca="1">L334+L335</f>
        <v>598050</v>
      </c>
      <c r="M333" s="167">
        <f ca="1">IFERROR(__xludf.DUMMYFUNCTION("IMPORTRANGE(""https://docs.google.com/spreadsheets/d/1Yj_ptqi66GCucihVvJfMjLAmec39IyEx_6qawtMGysU/edit?usp=sharing"",""สบก!DL26"")"),338630)</f>
        <v>338630</v>
      </c>
      <c r="N333" s="168">
        <f ca="1">IFERROR(__xludf.DUMMYFUNCTION("IMPORTRANGE(""https://docs.google.com/spreadsheets/d/1Yj_ptqi66GCucihVvJfMjLAmec39IyEx_6qawtMGysU/edit?usp=sharing"",""สบก!DM26"")"),236979)</f>
        <v>236979</v>
      </c>
      <c r="O333" s="168">
        <f ca="1">IF(L333&gt;0,N333*100/L333,0)</f>
        <v>39.62528216704289</v>
      </c>
      <c r="P333" s="168">
        <f ca="1">IF(M333&gt;0,N333*100/M333,0)</f>
        <v>69.981690931104751</v>
      </c>
    </row>
    <row r="334" spans="1:16" ht="21.75" customHeight="1" x14ac:dyDescent="0.3">
      <c r="A334" s="156"/>
      <c r="B334" s="157"/>
      <c r="C334" s="157"/>
      <c r="D334" s="166"/>
      <c r="E334" s="159"/>
      <c r="F334" s="159"/>
      <c r="G334" s="169" t="s">
        <v>42</v>
      </c>
      <c r="H334" s="161" t="s">
        <v>12</v>
      </c>
      <c r="I334" s="162"/>
      <c r="J334" s="162"/>
      <c r="K334" s="163"/>
      <c r="L334" s="167">
        <f ca="1">IFERROR(__xludf.DUMMYFUNCTION("IMPORTRANGE(""https://docs.google.com/spreadsheets/d/1Yj_ptqi66GCucihVvJfMjLAmec39IyEx_6qawtMGysU/edit?usp=sharing"",""สบก!DH26"")"),194400)</f>
        <v>194400</v>
      </c>
      <c r="M334" s="167"/>
      <c r="N334" s="167"/>
      <c r="O334" s="168"/>
      <c r="P334" s="168"/>
    </row>
    <row r="335" spans="1:16" ht="21.75" customHeight="1" x14ac:dyDescent="0.3">
      <c r="A335" s="156"/>
      <c r="B335" s="157"/>
      <c r="C335" s="157"/>
      <c r="D335" s="166"/>
      <c r="E335" s="159"/>
      <c r="F335" s="159"/>
      <c r="G335" s="169" t="s">
        <v>43</v>
      </c>
      <c r="H335" s="161" t="s">
        <v>12</v>
      </c>
      <c r="I335" s="162"/>
      <c r="J335" s="162"/>
      <c r="K335" s="163"/>
      <c r="L335" s="167">
        <f ca="1">IFERROR(__xludf.DUMMYFUNCTION("IMPORTRANGE(""https://docs.google.com/spreadsheets/d/1Yj_ptqi66GCucihVvJfMjLAmec39IyEx_6qawtMGysU/edit?usp=sharing"",""สบก!DI26"")"),403650)</f>
        <v>403650</v>
      </c>
      <c r="M335" s="167"/>
      <c r="N335" s="167"/>
      <c r="O335" s="168"/>
      <c r="P335" s="168"/>
    </row>
    <row r="336" spans="1:16" ht="21.75" customHeight="1" x14ac:dyDescent="0.45">
      <c r="A336" s="170"/>
      <c r="B336" s="80"/>
      <c r="C336" s="81" t="s">
        <v>16</v>
      </c>
      <c r="D336" s="534" t="s">
        <v>23</v>
      </c>
      <c r="E336" s="530"/>
      <c r="F336" s="88"/>
      <c r="G336" s="82" t="s">
        <v>18</v>
      </c>
      <c r="H336" s="171" t="s">
        <v>12</v>
      </c>
      <c r="I336" s="162"/>
      <c r="J336" s="162"/>
      <c r="K336" s="163"/>
      <c r="L336" s="41">
        <v>0</v>
      </c>
      <c r="M336" s="41"/>
      <c r="N336" s="41"/>
      <c r="O336" s="41"/>
      <c r="P336" s="41"/>
    </row>
    <row r="337" spans="1:16" ht="21.75" customHeight="1" x14ac:dyDescent="0.45">
      <c r="A337" s="172"/>
      <c r="B337" s="91"/>
      <c r="C337" s="91"/>
      <c r="D337" s="173"/>
      <c r="E337" s="92"/>
      <c r="F337" s="92"/>
      <c r="G337" s="93" t="s">
        <v>19</v>
      </c>
      <c r="H337" s="174" t="s">
        <v>12</v>
      </c>
      <c r="I337" s="162"/>
      <c r="J337" s="162"/>
      <c r="K337" s="163"/>
      <c r="L337" s="49">
        <f ca="1">IFERROR(__xludf.DUMMYFUNCTION("IMPORTRANGE(""https://docs.google.com/spreadsheets/d/1Yj_ptqi66GCucihVvJfMjLAmec39IyEx_6qawtMGysU/edit?usp=sharing"",""สบก!DJ26"")"),15000)</f>
        <v>15000</v>
      </c>
      <c r="M337" s="49">
        <f ca="1">L337</f>
        <v>15000</v>
      </c>
      <c r="N337" s="49">
        <f ca="1">IFERROR(__xludf.DUMMYFUNCTION("IMPORTRANGE(""https://docs.google.com/spreadsheets/d/1Yj_ptqi66GCucihVvJfMjLAmec39IyEx_6qawtMGysU/edit?usp=sharing"",""สบก!DN26"")"),15000)</f>
        <v>15000</v>
      </c>
      <c r="O337" s="49">
        <f ca="1">IF(L337&gt;0,N337*100/L337,0)</f>
        <v>100</v>
      </c>
      <c r="P337" s="49">
        <f ca="1">IF(M337&gt;0,N337*100/M337,0)</f>
        <v>100</v>
      </c>
    </row>
    <row r="338" spans="1:16" ht="21.75" customHeight="1" x14ac:dyDescent="0.3">
      <c r="A338" s="175"/>
      <c r="B338" s="289"/>
      <c r="C338" s="338" t="s">
        <v>120</v>
      </c>
      <c r="D338" s="195"/>
      <c r="E338" s="195"/>
      <c r="F338" s="195"/>
      <c r="G338" s="196"/>
      <c r="H338" s="180"/>
      <c r="I338" s="339"/>
      <c r="J338" s="339"/>
      <c r="K338" s="340"/>
      <c r="L338" s="181"/>
      <c r="M338" s="181"/>
      <c r="N338" s="181"/>
      <c r="O338" s="341"/>
      <c r="P338" s="341"/>
    </row>
    <row r="339" spans="1:16" ht="21.75" customHeight="1" x14ac:dyDescent="0.3">
      <c r="A339" s="175"/>
      <c r="B339" s="289"/>
      <c r="C339" s="176"/>
      <c r="D339" s="195"/>
      <c r="E339" s="194" t="s">
        <v>121</v>
      </c>
      <c r="F339" s="195"/>
      <c r="G339" s="196"/>
      <c r="H339" s="342" t="s">
        <v>37</v>
      </c>
      <c r="I339" s="203">
        <f ca="1">IFERROR(__xludf.DUMMYFUNCTION("IMPORTRANGE(""https://docs.google.com/spreadsheets/d/11923uPwbBZFjjGgGUA6NLw09EwE0CqkOc4q9oUmW1yo/edit?usp=sharing"",""พะเยา!I234"")"),0)</f>
        <v>0</v>
      </c>
      <c r="J339" s="187">
        <f ca="1">IFERROR(__xludf.DUMMYFUNCTION("IMPORTRANGE(""https://docs.google.com/spreadsheets/d/11923uPwbBZFjjGgGUA6NLw09EwE0CqkOc4q9oUmW1yo/edit?usp=sharing"",""พะเยา!J234"")"),57)</f>
        <v>57</v>
      </c>
      <c r="K339" s="340">
        <f t="shared" ref="K339:K346" ca="1" si="103">IF(I339&gt;0,J339*100/I339,0)</f>
        <v>0</v>
      </c>
      <c r="L339" s="181"/>
      <c r="M339" s="181"/>
      <c r="N339" s="181"/>
      <c r="O339" s="341"/>
      <c r="P339" s="341"/>
    </row>
    <row r="340" spans="1:16" ht="21.75" customHeight="1" x14ac:dyDescent="0.3">
      <c r="A340" s="175"/>
      <c r="B340" s="289"/>
      <c r="C340" s="176"/>
      <c r="D340" s="195"/>
      <c r="E340" s="195"/>
      <c r="F340" s="195"/>
      <c r="G340" s="196"/>
      <c r="H340" s="342" t="s">
        <v>122</v>
      </c>
      <c r="I340" s="187">
        <f ca="1">IFERROR(__xludf.DUMMYFUNCTION("IMPORTRANGE(""https://docs.google.com/spreadsheets/d/11923uPwbBZFjjGgGUA6NLw09EwE0CqkOc4q9oUmW1yo/edit?usp=sharing"",""พะเยา!I235"")"),2000)</f>
        <v>2000</v>
      </c>
      <c r="J340" s="187">
        <f ca="1">IFERROR(__xludf.DUMMYFUNCTION("IMPORTRANGE(""https://docs.google.com/spreadsheets/d/11923uPwbBZFjjGgGUA6NLw09EwE0CqkOc4q9oUmW1yo/edit?usp=sharing"",""พะเยา!J235"")"),444.24)</f>
        <v>444.24</v>
      </c>
      <c r="K340" s="340">
        <f t="shared" ca="1" si="103"/>
        <v>22.212</v>
      </c>
      <c r="L340" s="181"/>
      <c r="M340" s="181"/>
      <c r="N340" s="181"/>
      <c r="O340" s="341"/>
      <c r="P340" s="341"/>
    </row>
    <row r="341" spans="1:16" ht="21.75" customHeight="1" x14ac:dyDescent="0.3">
      <c r="A341" s="175"/>
      <c r="B341" s="289"/>
      <c r="C341" s="176"/>
      <c r="D341" s="195"/>
      <c r="E341" s="194" t="s">
        <v>123</v>
      </c>
      <c r="F341" s="195"/>
      <c r="G341" s="196"/>
      <c r="H341" s="180" t="s">
        <v>37</v>
      </c>
      <c r="I341" s="187">
        <f ca="1">IFERROR(__xludf.DUMMYFUNCTION("IMPORTRANGE(""https://docs.google.com/spreadsheets/d/11923uPwbBZFjjGgGUA6NLw09EwE0CqkOc4q9oUmW1yo/edit?usp=sharing"",""พะเยา!I236"")"),580)</f>
        <v>580</v>
      </c>
      <c r="J341" s="187">
        <f ca="1">IFERROR(__xludf.DUMMYFUNCTION("IMPORTRANGE(""https://docs.google.com/spreadsheets/d/11923uPwbBZFjjGgGUA6NLw09EwE0CqkOc4q9oUmW1yo/edit?usp=sharing"",""พะเยา!J236"")"),155)</f>
        <v>155</v>
      </c>
      <c r="K341" s="340">
        <f t="shared" ca="1" si="103"/>
        <v>26.724137931034484</v>
      </c>
      <c r="L341" s="181"/>
      <c r="M341" s="181"/>
      <c r="N341" s="181"/>
      <c r="O341" s="341"/>
      <c r="P341" s="341"/>
    </row>
    <row r="342" spans="1:16" ht="21.75" customHeight="1" x14ac:dyDescent="0.3">
      <c r="A342" s="175"/>
      <c r="B342" s="289"/>
      <c r="C342" s="176"/>
      <c r="D342" s="195"/>
      <c r="E342" s="195"/>
      <c r="F342" s="195"/>
      <c r="G342" s="196"/>
      <c r="H342" s="180" t="s">
        <v>122</v>
      </c>
      <c r="I342" s="343">
        <f ca="1">IFERROR(__xludf.DUMMYFUNCTION("IMPORTRANGE(""https://docs.google.com/spreadsheets/d/11923uPwbBZFjjGgGUA6NLw09EwE0CqkOc4q9oUmW1yo/edit?usp=sharing"",""พะเยา!I237"")"),0)</f>
        <v>0</v>
      </c>
      <c r="J342" s="187">
        <f ca="1">IFERROR(__xludf.DUMMYFUNCTION("IMPORTRANGE(""https://docs.google.com/spreadsheets/d/11923uPwbBZFjjGgGUA6NLw09EwE0CqkOc4q9oUmW1yo/edit?usp=sharing"",""พะเยา!J237"")"),1108.29)</f>
        <v>1108.29</v>
      </c>
      <c r="K342" s="340">
        <f t="shared" ca="1" si="103"/>
        <v>0</v>
      </c>
      <c r="L342" s="181"/>
      <c r="M342" s="181"/>
      <c r="N342" s="181"/>
      <c r="O342" s="341"/>
      <c r="P342" s="341"/>
    </row>
    <row r="343" spans="1:16" ht="21.75" customHeight="1" x14ac:dyDescent="0.3">
      <c r="A343" s="175"/>
      <c r="B343" s="289"/>
      <c r="C343" s="176"/>
      <c r="D343" s="195"/>
      <c r="E343" s="194" t="s">
        <v>124</v>
      </c>
      <c r="F343" s="195"/>
      <c r="G343" s="196"/>
      <c r="H343" s="180" t="s">
        <v>37</v>
      </c>
      <c r="I343" s="187">
        <f ca="1">IFERROR(__xludf.DUMMYFUNCTION("IMPORTRANGE(""https://docs.google.com/spreadsheets/d/11923uPwbBZFjjGgGUA6NLw09EwE0CqkOc4q9oUmW1yo/edit?usp=sharing"",""พะเยา!I238"")"),580)</f>
        <v>580</v>
      </c>
      <c r="J343" s="187">
        <f ca="1">IFERROR(__xludf.DUMMYFUNCTION("IMPORTRANGE(""https://docs.google.com/spreadsheets/d/11923uPwbBZFjjGgGUA6NLw09EwE0CqkOc4q9oUmW1yo/edit?usp=sharing"",""พะเยา!J238"")"),0)</f>
        <v>0</v>
      </c>
      <c r="K343" s="340">
        <f t="shared" ca="1" si="103"/>
        <v>0</v>
      </c>
      <c r="L343" s="181"/>
      <c r="M343" s="181"/>
      <c r="N343" s="181"/>
      <c r="O343" s="341"/>
      <c r="P343" s="341"/>
    </row>
    <row r="344" spans="1:16" ht="21.75" customHeight="1" x14ac:dyDescent="0.3">
      <c r="A344" s="175"/>
      <c r="B344" s="289"/>
      <c r="C344" s="176"/>
      <c r="D344" s="195"/>
      <c r="E344" s="195"/>
      <c r="F344" s="195"/>
      <c r="G344" s="196"/>
      <c r="H344" s="180" t="s">
        <v>122</v>
      </c>
      <c r="I344" s="343">
        <f ca="1">IFERROR(__xludf.DUMMYFUNCTION("IMPORTRANGE(""https://docs.google.com/spreadsheets/d/11923uPwbBZFjjGgGUA6NLw09EwE0CqkOc4q9oUmW1yo/edit?usp=sharing"",""พะเยา!I239"")"),0)</f>
        <v>0</v>
      </c>
      <c r="J344" s="187">
        <f ca="1">IFERROR(__xludf.DUMMYFUNCTION("IMPORTRANGE(""https://docs.google.com/spreadsheets/d/11923uPwbBZFjjGgGUA6NLw09EwE0CqkOc4q9oUmW1yo/edit?usp=sharing"",""พะเยา!J239"")"),0)</f>
        <v>0</v>
      </c>
      <c r="K344" s="340">
        <f t="shared" ca="1" si="103"/>
        <v>0</v>
      </c>
      <c r="L344" s="181"/>
      <c r="M344" s="181"/>
      <c r="N344" s="181"/>
      <c r="O344" s="341"/>
      <c r="P344" s="341"/>
    </row>
    <row r="345" spans="1:16" ht="21.75" customHeight="1" x14ac:dyDescent="0.3">
      <c r="A345" s="175"/>
      <c r="B345" s="289"/>
      <c r="C345" s="176"/>
      <c r="D345" s="195"/>
      <c r="E345" s="194" t="s">
        <v>125</v>
      </c>
      <c r="F345" s="195"/>
      <c r="G345" s="196"/>
      <c r="H345" s="180" t="s">
        <v>37</v>
      </c>
      <c r="I345" s="187">
        <f ca="1">IFERROR(__xludf.DUMMYFUNCTION("IMPORTRANGE(""https://docs.google.com/spreadsheets/d/11923uPwbBZFjjGgGUA6NLw09EwE0CqkOc4q9oUmW1yo/edit?usp=sharing"",""พะเยา!I240"")"),580)</f>
        <v>580</v>
      </c>
      <c r="J345" s="187">
        <f ca="1">IFERROR(__xludf.DUMMYFUNCTION("IMPORTRANGE(""https://docs.google.com/spreadsheets/d/11923uPwbBZFjjGgGUA6NLw09EwE0CqkOc4q9oUmW1yo/edit?usp=sharing"",""พะเยา!J240"")"),160)</f>
        <v>160</v>
      </c>
      <c r="K345" s="340">
        <f t="shared" ca="1" si="103"/>
        <v>27.586206896551722</v>
      </c>
      <c r="L345" s="181"/>
      <c r="M345" s="181"/>
      <c r="N345" s="181"/>
      <c r="O345" s="341"/>
      <c r="P345" s="341"/>
    </row>
    <row r="346" spans="1:16" ht="21.75" customHeight="1" x14ac:dyDescent="0.3">
      <c r="A346" s="233"/>
      <c r="B346" s="344"/>
      <c r="C346" s="234"/>
      <c r="D346" s="344"/>
      <c r="E346" s="345"/>
      <c r="F346" s="345"/>
      <c r="G346" s="346"/>
      <c r="H346" s="347" t="s">
        <v>122</v>
      </c>
      <c r="I346" s="348">
        <f ca="1">IFERROR(__xludf.DUMMYFUNCTION("IMPORTRANGE(""https://docs.google.com/spreadsheets/d/11923uPwbBZFjjGgGUA6NLw09EwE0CqkOc4q9oUmW1yo/edit?usp=sharing"",""พะเยา!I241"")"),0)</f>
        <v>0</v>
      </c>
      <c r="J346" s="187">
        <f ca="1">IFERROR(__xludf.DUMMYFUNCTION("IMPORTRANGE(""https://docs.google.com/spreadsheets/d/11923uPwbBZFjjGgGUA6NLw09EwE0CqkOc4q9oUmW1yo/edit?usp=sharing"",""พะเยา!J241"")"),1141.34)</f>
        <v>1141.3399999999999</v>
      </c>
      <c r="K346" s="349">
        <f t="shared" ca="1" si="103"/>
        <v>0</v>
      </c>
      <c r="L346" s="244"/>
      <c r="M346" s="244"/>
      <c r="N346" s="244"/>
      <c r="O346" s="350"/>
      <c r="P346" s="350"/>
    </row>
    <row r="347" spans="1:16" ht="21.75" customHeight="1" x14ac:dyDescent="0.3">
      <c r="A347" s="351" t="s">
        <v>126</v>
      </c>
      <c r="B347" s="352"/>
      <c r="C347" s="352"/>
      <c r="D347" s="352"/>
      <c r="E347" s="352"/>
      <c r="F347" s="352"/>
      <c r="G347" s="353"/>
      <c r="H347" s="354"/>
      <c r="I347" s="355"/>
      <c r="J347" s="355"/>
      <c r="K347" s="356"/>
      <c r="L347" s="356">
        <f ca="1">IFERROR(__xludf.DUMMYFUNCTION("IMPORTRANGE(""https://docs.google.com/spreadsheets/d/11923uPwbBZFjjGgGUA6NLw09EwE0CqkOc4q9oUmW1yo/edit?usp=sharing"",""พะเยา!L242"")"),2535236)</f>
        <v>2535236</v>
      </c>
      <c r="M347" s="356"/>
      <c r="N347" s="356">
        <f ca="1">IFERROR(__xludf.DUMMYFUNCTION("IMPORTRANGE(""https://docs.google.com/spreadsheets/d/11923uPwbBZFjjGgGUA6NLw09EwE0CqkOc4q9oUmW1yo/edit?usp=sharing"",""พะเยา!M242"")"),513203.089999999)</f>
        <v>513203.08999999898</v>
      </c>
      <c r="O347" s="356">
        <f ca="1">+IF(L347&gt;0,N347*100/L347,0)</f>
        <v>20.242813292332507</v>
      </c>
      <c r="P347" s="356"/>
    </row>
    <row r="348" spans="1:16" ht="21.75" customHeight="1" x14ac:dyDescent="0.3">
      <c r="A348" s="357" t="s">
        <v>127</v>
      </c>
      <c r="B348" s="358"/>
      <c r="C348" s="358"/>
      <c r="D348" s="358"/>
      <c r="E348" s="358"/>
      <c r="F348" s="358"/>
      <c r="G348" s="359"/>
      <c r="H348" s="360"/>
      <c r="I348" s="361"/>
      <c r="J348" s="361"/>
      <c r="K348" s="362"/>
      <c r="L348" s="362"/>
      <c r="M348" s="362"/>
      <c r="N348" s="362"/>
      <c r="O348" s="363"/>
      <c r="P348" s="363"/>
    </row>
    <row r="349" spans="1:16" ht="21.75" customHeight="1" x14ac:dyDescent="0.3">
      <c r="A349" s="364"/>
      <c r="B349" s="365">
        <v>1</v>
      </c>
      <c r="C349" s="366" t="s">
        <v>128</v>
      </c>
      <c r="D349" s="366"/>
      <c r="E349" s="366"/>
      <c r="F349" s="366"/>
      <c r="G349" s="367"/>
      <c r="H349" s="368" t="s">
        <v>122</v>
      </c>
      <c r="I349" s="369">
        <f ca="1">IFERROR(__xludf.DUMMYFUNCTION("IMPORTRANGE(""https://docs.google.com/spreadsheets/d/11923uPwbBZFjjGgGUA6NLw09EwE0CqkOc4q9oUmW1yo/edit?usp=sharing"",""พะเยา!I244"")"),105)</f>
        <v>105</v>
      </c>
      <c r="J349" s="369">
        <f ca="1">IFERROR(__xludf.DUMMYFUNCTION("IMPORTRANGE(""https://docs.google.com/spreadsheets/d/11923uPwbBZFjjGgGUA6NLw09EwE0CqkOc4q9oUmW1yo/edit?usp=sharing"",""พะเยา!J244"")"),0)</f>
        <v>0</v>
      </c>
      <c r="K349" s="370">
        <f t="shared" ref="K349:K350" ca="1" si="104">IF(I349&gt;0,J349*100/I349,0)</f>
        <v>0</v>
      </c>
      <c r="L349" s="371">
        <f ca="1">IFERROR(__xludf.DUMMYFUNCTION("IMPORTRANGE(""https://docs.google.com/spreadsheets/d/11923uPwbBZFjjGgGUA6NLw09EwE0CqkOc4q9oUmW1yo/edit?usp=sharing"",""พะเยา!L244"")"),363980)</f>
        <v>363980</v>
      </c>
      <c r="M349" s="371"/>
      <c r="N349" s="371">
        <f ca="1">IFERROR(__xludf.DUMMYFUNCTION("IMPORTRANGE(""https://docs.google.com/spreadsheets/d/11923uPwbBZFjjGgGUA6NLw09EwE0CqkOc4q9oUmW1yo/edit?usp=sharing"",""พะเยา!M244"")"),95282.7399999999)</f>
        <v>95282.739999999903</v>
      </c>
      <c r="O349" s="371">
        <f ca="1">+IF(L349&gt;0,N349*100/L349,0)</f>
        <v>26.178015275564565</v>
      </c>
      <c r="P349" s="371"/>
    </row>
    <row r="350" spans="1:16" ht="21.75" customHeight="1" x14ac:dyDescent="0.3">
      <c r="A350" s="364"/>
      <c r="B350" s="365"/>
      <c r="C350" s="366"/>
      <c r="D350" s="366"/>
      <c r="E350" s="366"/>
      <c r="F350" s="366"/>
      <c r="G350" s="367"/>
      <c r="H350" s="368" t="s">
        <v>37</v>
      </c>
      <c r="I350" s="369">
        <f ca="1">IFERROR(__xludf.DUMMYFUNCTION("IMPORTRANGE(""https://docs.google.com/spreadsheets/d/11923uPwbBZFjjGgGUA6NLw09EwE0CqkOc4q9oUmW1yo/edit?usp=sharing"",""พะเยา!I245"")"),60)</f>
        <v>60</v>
      </c>
      <c r="J350" s="369">
        <f ca="1">IFERROR(__xludf.DUMMYFUNCTION("IMPORTRANGE(""https://docs.google.com/spreadsheets/d/11923uPwbBZFjjGgGUA6NLw09EwE0CqkOc4q9oUmW1yo/edit?usp=sharing"",""พะเยา!J245"")"),0)</f>
        <v>0</v>
      </c>
      <c r="K350" s="370">
        <f t="shared" ca="1" si="104"/>
        <v>0</v>
      </c>
      <c r="L350" s="371"/>
      <c r="M350" s="371"/>
      <c r="N350" s="371"/>
      <c r="O350" s="371"/>
      <c r="P350" s="371"/>
    </row>
    <row r="351" spans="1:16" ht="21.75" customHeight="1" x14ac:dyDescent="0.3">
      <c r="A351" s="156"/>
      <c r="B351" s="157"/>
      <c r="C351" s="157" t="s">
        <v>16</v>
      </c>
      <c r="D351" s="158" t="s">
        <v>38</v>
      </c>
      <c r="E351" s="159"/>
      <c r="F351" s="159"/>
      <c r="G351" s="160" t="s">
        <v>39</v>
      </c>
      <c r="H351" s="161" t="s">
        <v>12</v>
      </c>
      <c r="I351" s="162" t="s">
        <v>40</v>
      </c>
      <c r="J351" s="162"/>
      <c r="K351" s="163"/>
      <c r="L351" s="164">
        <f ca="1">IFERROR(__xludf.DUMMYFUNCTION("IMPORTRANGE(""https://docs.google.com/spreadsheets/d/11923uPwbBZFjjGgGUA6NLw09EwE0CqkOc4q9oUmW1yo/edit?usp=sharing"",""พะเยา!L246"")"),0)</f>
        <v>0</v>
      </c>
      <c r="M351" s="164"/>
      <c r="N351" s="164">
        <f ca="1">IFERROR(__xludf.DUMMYFUNCTION("IMPORTRANGE(""https://docs.google.com/spreadsheets/d/11923uPwbBZFjjGgGUA6NLw09EwE0CqkOc4q9oUmW1yo/edit?usp=sharing"",""พะเยา!M246"")"),0)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3">
      <c r="A352" s="156"/>
      <c r="B352" s="157"/>
      <c r="C352" s="157"/>
      <c r="D352" s="166"/>
      <c r="E352" s="159"/>
      <c r="F352" s="159" t="s">
        <v>40</v>
      </c>
      <c r="G352" s="160" t="s">
        <v>41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IFERROR(__xludf.DUMMYFUNCTION("IMPORTRANGE(""https://docs.google.com/spreadsheets/d/11923uPwbBZFjjGgGUA6NLw09EwE0CqkOc4q9oUmW1yo/edit?usp=sharing"",""พะเยา!L247"")"),363980)</f>
        <v>363980</v>
      </c>
      <c r="M352" s="165"/>
      <c r="N352" s="164">
        <f ca="1">IFERROR(__xludf.DUMMYFUNCTION("IMPORTRANGE(""https://docs.google.com/spreadsheets/d/11923uPwbBZFjjGgGUA6NLw09EwE0CqkOc4q9oUmW1yo/edit?usp=sharing"",""พะเยา!M247"")"),95282.7399999999)</f>
        <v>95282.739999999903</v>
      </c>
      <c r="O352" s="165">
        <f t="shared" ca="1" si="105"/>
        <v>26.178015275564565</v>
      </c>
      <c r="P352" s="165"/>
    </row>
    <row r="353" spans="1:16" ht="21.75" customHeight="1" x14ac:dyDescent="0.3">
      <c r="A353" s="156"/>
      <c r="B353" s="157"/>
      <c r="C353" s="157"/>
      <c r="D353" s="166"/>
      <c r="E353" s="159"/>
      <c r="F353" s="159"/>
      <c r="G353" s="372" t="s">
        <v>129</v>
      </c>
      <c r="H353" s="161" t="s">
        <v>12</v>
      </c>
      <c r="I353" s="162"/>
      <c r="J353" s="162"/>
      <c r="K353" s="163"/>
      <c r="L353" s="168">
        <f ca="1">IFERROR(__xludf.DUMMYFUNCTION("IMPORTRANGE(""https://docs.google.com/spreadsheets/d/11923uPwbBZFjjGgGUA6NLw09EwE0CqkOc4q9oUmW1yo/edit?usp=sharing"",""พะเยา!L248"")"),0)</f>
        <v>0</v>
      </c>
      <c r="M353" s="168"/>
      <c r="N353" s="168">
        <f ca="1">IFERROR(__xludf.DUMMYFUNCTION("IMPORTRANGE(""https://docs.google.com/spreadsheets/d/11923uPwbBZFjjGgGUA6NLw09EwE0CqkOc4q9oUmW1yo/edit?usp=sharing"",""พะเยา!M248"")"),0)</f>
        <v>0</v>
      </c>
      <c r="O353" s="168">
        <f t="shared" ca="1" si="105"/>
        <v>0</v>
      </c>
      <c r="P353" s="168"/>
    </row>
    <row r="354" spans="1:16" ht="21.75" customHeight="1" x14ac:dyDescent="0.3">
      <c r="A354" s="156"/>
      <c r="B354" s="157"/>
      <c r="C354" s="157"/>
      <c r="D354" s="166"/>
      <c r="E354" s="159"/>
      <c r="F354" s="159"/>
      <c r="G354" s="372" t="s">
        <v>130</v>
      </c>
      <c r="H354" s="161" t="s">
        <v>12</v>
      </c>
      <c r="I354" s="162"/>
      <c r="J354" s="162"/>
      <c r="K354" s="163"/>
      <c r="L354" s="168">
        <f ca="1">IFERROR(__xludf.DUMMYFUNCTION("IMPORTRANGE(""https://docs.google.com/spreadsheets/d/11923uPwbBZFjjGgGUA6NLw09EwE0CqkOc4q9oUmW1yo/edit?usp=sharing"",""พะเยา!L249"")"),363980)</f>
        <v>363980</v>
      </c>
      <c r="M354" s="168"/>
      <c r="N354" s="167">
        <f ca="1">IFERROR(__xludf.DUMMYFUNCTION("IMPORTRANGE(""https://docs.google.com/spreadsheets/d/11923uPwbBZFjjGgGUA6NLw09EwE0CqkOc4q9oUmW1yo/edit?usp=sharing"",""พะเยา!M249"")"),95282.7399999999)</f>
        <v>95282.739999999903</v>
      </c>
      <c r="O354" s="168">
        <f t="shared" ca="1" si="105"/>
        <v>26.178015275564565</v>
      </c>
      <c r="P354" s="168"/>
    </row>
    <row r="355" spans="1:16" ht="21.75" customHeight="1" x14ac:dyDescent="0.3">
      <c r="A355" s="373"/>
      <c r="B355" s="374"/>
      <c r="C355" s="157"/>
      <c r="D355" s="375"/>
      <c r="E355" s="159"/>
      <c r="F355" s="159"/>
      <c r="G355" s="376" t="s">
        <v>131</v>
      </c>
      <c r="H355" s="161" t="s">
        <v>12</v>
      </c>
      <c r="I355" s="187"/>
      <c r="J355" s="187"/>
      <c r="K355" s="223"/>
      <c r="L355" s="168"/>
      <c r="M355" s="168"/>
      <c r="N355" s="377">
        <f ca="1">IFERROR(__xludf.DUMMYFUNCTION("IMPORTRANGE(""https://docs.google.com/spreadsheets/d/11923uPwbBZFjjGgGUA6NLw09EwE0CqkOc4q9oUmW1yo/edit?usp=sharing"",""พะเยา!M250"")"),38200)</f>
        <v>38200</v>
      </c>
      <c r="O355" s="168"/>
      <c r="P355" s="168"/>
    </row>
    <row r="356" spans="1:16" ht="21.75" customHeight="1" x14ac:dyDescent="0.3">
      <c r="A356" s="373"/>
      <c r="B356" s="374"/>
      <c r="C356" s="157"/>
      <c r="D356" s="375"/>
      <c r="E356" s="159"/>
      <c r="F356" s="159"/>
      <c r="G356" s="376" t="s">
        <v>132</v>
      </c>
      <c r="H356" s="161" t="s">
        <v>12</v>
      </c>
      <c r="I356" s="187"/>
      <c r="J356" s="187"/>
      <c r="K356" s="223"/>
      <c r="L356" s="168"/>
      <c r="M356" s="168"/>
      <c r="N356" s="377">
        <f ca="1">IFERROR(__xludf.DUMMYFUNCTION("IMPORTRANGE(""https://docs.google.com/spreadsheets/d/11923uPwbBZFjjGgGUA6NLw09EwE0CqkOc4q9oUmW1yo/edit?usp=sharing"",""พะเยา!M251"")"),0)</f>
        <v>0</v>
      </c>
      <c r="O356" s="168"/>
      <c r="P356" s="168"/>
    </row>
    <row r="357" spans="1:16" ht="21.75" customHeight="1" x14ac:dyDescent="0.3">
      <c r="A357" s="373"/>
      <c r="B357" s="374"/>
      <c r="C357" s="157"/>
      <c r="D357" s="375"/>
      <c r="E357" s="159"/>
      <c r="F357" s="159"/>
      <c r="G357" s="376" t="s">
        <v>133</v>
      </c>
      <c r="H357" s="161" t="s">
        <v>12</v>
      </c>
      <c r="I357" s="187"/>
      <c r="J357" s="187"/>
      <c r="K357" s="223"/>
      <c r="L357" s="168"/>
      <c r="M357" s="168"/>
      <c r="N357" s="377">
        <f ca="1">IFERROR(__xludf.DUMMYFUNCTION("IMPORTRANGE(""https://docs.google.com/spreadsheets/d/11923uPwbBZFjjGgGUA6NLw09EwE0CqkOc4q9oUmW1yo/edit?usp=sharing"",""พะเยา!M252"")"),37233.74)</f>
        <v>37233.74</v>
      </c>
      <c r="O357" s="168"/>
      <c r="P357" s="168"/>
    </row>
    <row r="358" spans="1:16" ht="21.75" customHeight="1" x14ac:dyDescent="0.3">
      <c r="A358" s="373"/>
      <c r="B358" s="374"/>
      <c r="C358" s="157"/>
      <c r="D358" s="375"/>
      <c r="E358" s="159"/>
      <c r="F358" s="159"/>
      <c r="G358" s="376" t="s">
        <v>134</v>
      </c>
      <c r="H358" s="161" t="s">
        <v>12</v>
      </c>
      <c r="I358" s="187"/>
      <c r="J358" s="187"/>
      <c r="K358" s="223"/>
      <c r="L358" s="168"/>
      <c r="M358" s="168"/>
      <c r="N358" s="377">
        <f ca="1">IFERROR(__xludf.DUMMYFUNCTION("IMPORTRANGE(""https://docs.google.com/spreadsheets/d/11923uPwbBZFjjGgGUA6NLw09EwE0CqkOc4q9oUmW1yo/edit?usp=sharing"",""พะเยา!M253"")"),19849)</f>
        <v>19849</v>
      </c>
      <c r="O358" s="168"/>
      <c r="P358" s="168"/>
    </row>
    <row r="359" spans="1:16" ht="21.75" customHeight="1" x14ac:dyDescent="0.3">
      <c r="A359" s="175"/>
      <c r="B359" s="176"/>
      <c r="C359" s="157" t="s">
        <v>16</v>
      </c>
      <c r="D359" s="177" t="s">
        <v>44</v>
      </c>
      <c r="E359" s="178"/>
      <c r="F359" s="178"/>
      <c r="G359" s="179"/>
      <c r="H359" s="180"/>
      <c r="I359" s="162"/>
      <c r="J359" s="162"/>
      <c r="K359" s="163"/>
      <c r="L359" s="181"/>
      <c r="M359" s="181"/>
      <c r="N359" s="181"/>
      <c r="O359" s="181"/>
      <c r="P359" s="181"/>
    </row>
    <row r="360" spans="1:16" ht="21.75" customHeight="1" x14ac:dyDescent="0.3">
      <c r="A360" s="175"/>
      <c r="B360" s="176"/>
      <c r="C360" s="176"/>
      <c r="D360" s="182">
        <v>1</v>
      </c>
      <c r="E360" s="183" t="s">
        <v>45</v>
      </c>
      <c r="F360" s="184"/>
      <c r="G360" s="185"/>
      <c r="H360" s="186"/>
      <c r="I360" s="187"/>
      <c r="J360" s="197">
        <f ca="1">IFERROR(__xludf.DUMMYFUNCTION("IMPORTRANGE(""https://docs.google.com/spreadsheets/d/11923uPwbBZFjjGgGUA6NLw09EwE0CqkOc4q9oUmW1yo/edit?usp=sharing"",""พะเยา!J255"")"),0)</f>
        <v>0</v>
      </c>
      <c r="K360" s="163"/>
      <c r="L360" s="181"/>
      <c r="M360" s="181"/>
      <c r="N360" s="181"/>
      <c r="O360" s="181"/>
      <c r="P360" s="181"/>
    </row>
    <row r="361" spans="1:16" ht="21.75" customHeight="1" x14ac:dyDescent="0.3">
      <c r="A361" s="175"/>
      <c r="B361" s="176"/>
      <c r="C361" s="176"/>
      <c r="D361" s="189">
        <v>2</v>
      </c>
      <c r="E361" s="190" t="s">
        <v>46</v>
      </c>
      <c r="F361" s="191"/>
      <c r="G361" s="192"/>
      <c r="H361" s="186"/>
      <c r="I361" s="187"/>
      <c r="J361" s="188">
        <f ca="1">IFERROR(__xludf.DUMMYFUNCTION("IMPORTRANGE(""https://docs.google.com/spreadsheets/d/11923uPwbBZFjjGgGUA6NLw09EwE0CqkOc4q9oUmW1yo/edit?usp=sharing"",""พะเยา!J256"")"),1)</f>
        <v>1</v>
      </c>
      <c r="K361" s="163"/>
      <c r="L361" s="181" t="s">
        <v>40</v>
      </c>
      <c r="M361" s="181"/>
      <c r="N361" s="181" t="s">
        <v>40</v>
      </c>
      <c r="O361" s="181"/>
      <c r="P361" s="181"/>
    </row>
    <row r="362" spans="1:16" ht="21.75" customHeight="1" x14ac:dyDescent="0.3">
      <c r="A362" s="175"/>
      <c r="B362" s="176"/>
      <c r="C362" s="176"/>
      <c r="D362" s="193"/>
      <c r="E362" s="194" t="s">
        <v>47</v>
      </c>
      <c r="F362" s="195"/>
      <c r="G362" s="196"/>
      <c r="H362" s="186"/>
      <c r="I362" s="187"/>
      <c r="J362" s="188">
        <f ca="1">IFERROR(__xludf.DUMMYFUNCTION("IMPORTRANGE(""https://docs.google.com/spreadsheets/d/11923uPwbBZFjjGgGUA6NLw09EwE0CqkOc4q9oUmW1yo/edit?usp=sharing"",""พะเยา!J257"")"),1)</f>
        <v>1</v>
      </c>
      <c r="K362" s="163"/>
      <c r="L362" s="181"/>
      <c r="M362" s="181"/>
      <c r="N362" s="181"/>
      <c r="O362" s="181"/>
      <c r="P362" s="181"/>
    </row>
    <row r="363" spans="1:16" ht="21.75" customHeight="1" x14ac:dyDescent="0.3">
      <c r="A363" s="175"/>
      <c r="B363" s="176"/>
      <c r="C363" s="176"/>
      <c r="D363" s="193"/>
      <c r="E363" s="194" t="s">
        <v>48</v>
      </c>
      <c r="F363" s="195"/>
      <c r="G363" s="196"/>
      <c r="H363" s="186"/>
      <c r="I363" s="187"/>
      <c r="J363" s="197">
        <f ca="1">IFERROR(__xludf.DUMMYFUNCTION("IMPORTRANGE(""https://docs.google.com/spreadsheets/d/11923uPwbBZFjjGgGUA6NLw09EwE0CqkOc4q9oUmW1yo/edit?usp=sharing"",""พะเยา!J258"")"),1)</f>
        <v>1</v>
      </c>
      <c r="K363" s="163"/>
      <c r="L363" s="181"/>
      <c r="M363" s="181"/>
      <c r="N363" s="181"/>
      <c r="O363" s="181"/>
      <c r="P363" s="181"/>
    </row>
    <row r="364" spans="1:16" ht="21.75" hidden="1" customHeight="1" x14ac:dyDescent="0.3">
      <c r="A364" s="175"/>
      <c r="B364" s="176"/>
      <c r="C364" s="176"/>
      <c r="D364" s="193"/>
      <c r="E364" s="198"/>
      <c r="F364" s="194" t="s">
        <v>70</v>
      </c>
      <c r="G364" s="196"/>
      <c r="H364" s="180"/>
      <c r="I364" s="187"/>
      <c r="J364" s="187">
        <f ca="1">IFERROR(__xludf.DUMMYFUNCTION("IMPORTRANGE(""https://docs.google.com/spreadsheets/d/11923uPwbBZFjjGgGUA6NLw09EwE0CqkOc4q9oUmW1yo/edit?usp=sharing"",""พะเยา!J166"")"),0)</f>
        <v>0</v>
      </c>
      <c r="K364" s="163"/>
      <c r="L364" s="181"/>
      <c r="M364" s="181"/>
      <c r="N364" s="181"/>
      <c r="O364" s="181"/>
      <c r="P364" s="181"/>
    </row>
    <row r="365" spans="1:16" ht="21.75" hidden="1" customHeight="1" x14ac:dyDescent="0.3">
      <c r="A365" s="175"/>
      <c r="B365" s="176"/>
      <c r="C365" s="176"/>
      <c r="D365" s="193"/>
      <c r="E365" s="198"/>
      <c r="F365" s="195"/>
      <c r="G365" s="225" t="s">
        <v>135</v>
      </c>
      <c r="H365" s="180" t="s">
        <v>37</v>
      </c>
      <c r="I365" s="187">
        <f ca="1">IFERROR(__xludf.DUMMYFUNCTION("IMPORTRANGE(""https://docs.google.com/spreadsheets/d/1C3CXT74ZlgGe6_JY_1olB1XN4rF0dxEuIIF-xsYjHgg/edit?usp=sharing"",""งบกองทุน!f63"")"),0)</f>
        <v>0</v>
      </c>
      <c r="J365" s="187">
        <f ca="1">IFERROR(__xludf.DUMMYFUNCTION("IMPORTRANGE(""https://docs.google.com/spreadsheets/d/11923uPwbBZFjjGgGUA6NLw09EwE0CqkOc4q9oUmW1yo/edit?usp=sharing"",""พะเยา!J166"")"),0)</f>
        <v>0</v>
      </c>
      <c r="K365" s="163">
        <f ca="1">IF(I365&gt;0,J365*100/I365,0)</f>
        <v>0</v>
      </c>
      <c r="L365" s="181"/>
      <c r="M365" s="181"/>
      <c r="N365" s="181"/>
      <c r="O365" s="181"/>
      <c r="P365" s="181"/>
    </row>
    <row r="366" spans="1:16" ht="21.75" hidden="1" customHeight="1" x14ac:dyDescent="0.3">
      <c r="A366" s="175"/>
      <c r="B366" s="176"/>
      <c r="C366" s="176"/>
      <c r="D366" s="193"/>
      <c r="E366" s="198"/>
      <c r="F366" s="195"/>
      <c r="G366" s="196" t="s">
        <v>136</v>
      </c>
      <c r="H366" s="180"/>
      <c r="I366" s="162"/>
      <c r="J366" s="187">
        <f ca="1">IFERROR(__xludf.DUMMYFUNCTION("IMPORTRANGE(""https://docs.google.com/spreadsheets/d/11923uPwbBZFjjGgGUA6NLw09EwE0CqkOc4q9oUmW1yo/edit?usp=sharing"",""พะเยา!J166"")"),0)</f>
        <v>0</v>
      </c>
      <c r="K366" s="163"/>
      <c r="L366" s="181"/>
      <c r="M366" s="181"/>
      <c r="N366" s="181"/>
      <c r="O366" s="181"/>
      <c r="P366" s="181"/>
    </row>
    <row r="367" spans="1:16" ht="21.75" hidden="1" customHeight="1" x14ac:dyDescent="0.3">
      <c r="A367" s="175"/>
      <c r="B367" s="176"/>
      <c r="C367" s="176"/>
      <c r="D367" s="193"/>
      <c r="E367" s="198"/>
      <c r="F367" s="195"/>
      <c r="G367" s="225" t="s">
        <v>137</v>
      </c>
      <c r="H367" s="186" t="s">
        <v>122</v>
      </c>
      <c r="I367" s="187">
        <f ca="1">SUM(I369,I371)</f>
        <v>0</v>
      </c>
      <c r="J367" s="187">
        <f ca="1">IFERROR(__xludf.DUMMYFUNCTION("IMPORTRANGE(""https://docs.google.com/spreadsheets/d/11923uPwbBZFjjGgGUA6NLw09EwE0CqkOc4q9oUmW1yo/edit?usp=sharing"",""พะเยา!J166"")"),0)</f>
        <v>0</v>
      </c>
      <c r="K367" s="163">
        <f t="shared" ref="K367:K373" ca="1" si="106">IF(I367&gt;0,J367*100/I367,0)</f>
        <v>0</v>
      </c>
      <c r="L367" s="181"/>
      <c r="M367" s="181"/>
      <c r="N367" s="181"/>
      <c r="O367" s="181"/>
      <c r="P367" s="181"/>
    </row>
    <row r="368" spans="1:16" ht="21.75" customHeight="1" x14ac:dyDescent="0.3">
      <c r="A368" s="175"/>
      <c r="B368" s="176"/>
      <c r="C368" s="176"/>
      <c r="D368" s="193"/>
      <c r="E368" s="198"/>
      <c r="F368" s="378" t="s">
        <v>138</v>
      </c>
      <c r="G368" s="379"/>
      <c r="H368" s="186" t="s">
        <v>37</v>
      </c>
      <c r="I368" s="162">
        <f ca="1">IFERROR(__xludf.DUMMYFUNCTION("IMPORTRANGE(""https://docs.google.com/spreadsheets/d/11923uPwbBZFjjGgGUA6NLw09EwE0CqkOc4q9oUmW1yo/edit?usp=sharing"",""พะเยา!I263"")"),60)</f>
        <v>60</v>
      </c>
      <c r="J368" s="187">
        <f ca="1">IFERROR(__xludf.DUMMYFUNCTION("IMPORTRANGE(""https://docs.google.com/spreadsheets/d/11923uPwbBZFjjGgGUA6NLw09EwE0CqkOc4q9oUmW1yo/edit?usp=sharing"",""พะเยา!J263"")"),0)</f>
        <v>0</v>
      </c>
      <c r="K368" s="163">
        <f t="shared" ca="1" si="106"/>
        <v>0</v>
      </c>
      <c r="L368" s="181"/>
      <c r="M368" s="181"/>
      <c r="N368" s="181"/>
      <c r="O368" s="181"/>
      <c r="P368" s="181"/>
    </row>
    <row r="369" spans="1:16" ht="21.75" hidden="1" customHeight="1" x14ac:dyDescent="0.3">
      <c r="A369" s="175"/>
      <c r="B369" s="176"/>
      <c r="C369" s="176"/>
      <c r="D369" s="193"/>
      <c r="E369" s="198"/>
      <c r="F369" s="195"/>
      <c r="G369" s="379"/>
      <c r="H369" s="180" t="s">
        <v>122</v>
      </c>
      <c r="I369" s="162">
        <f ca="1">IFERROR(__xludf.DUMMYFUNCTION("IMPORTRANGE(""https://docs.google.com/spreadsheets/d/11923uPwbBZFjjGgGUA6NLw09EwE0CqkOc4q9oUmW1yo/edit?usp=sharing"",""พะเยา!I164"")"),0)</f>
        <v>0</v>
      </c>
      <c r="J369" s="203">
        <f ca="1">IFERROR(__xludf.DUMMYFUNCTION("IMPORTRANGE(""https://docs.google.com/spreadsheets/d/11923uPwbBZFjjGgGUA6NLw09EwE0CqkOc4q9oUmW1yo/edit?usp=sharing"",""พะเยา!J164"")"),0)</f>
        <v>0</v>
      </c>
      <c r="K369" s="163">
        <f t="shared" ca="1" si="106"/>
        <v>0</v>
      </c>
      <c r="L369" s="181"/>
      <c r="M369" s="181"/>
      <c r="N369" s="181"/>
      <c r="O369" s="181"/>
      <c r="P369" s="181"/>
    </row>
    <row r="370" spans="1:16" ht="21.75" customHeight="1" x14ac:dyDescent="0.3">
      <c r="A370" s="175"/>
      <c r="B370" s="176"/>
      <c r="C370" s="176"/>
      <c r="D370" s="193"/>
      <c r="E370" s="198"/>
      <c r="F370" s="195"/>
      <c r="G370" s="378" t="s">
        <v>139</v>
      </c>
      <c r="H370" s="180" t="s">
        <v>37</v>
      </c>
      <c r="I370" s="162">
        <f ca="1">IFERROR(__xludf.DUMMYFUNCTION("IMPORTRANGE(""https://docs.google.com/spreadsheets/d/11923uPwbBZFjjGgGUA6NLw09EwE0CqkOc4q9oUmW1yo/edit?usp=sharing"",""พะเยา!I265"")"),60)</f>
        <v>60</v>
      </c>
      <c r="J370" s="203">
        <f ca="1">IFERROR(__xludf.DUMMYFUNCTION("IMPORTRANGE(""https://docs.google.com/spreadsheets/d/11923uPwbBZFjjGgGUA6NLw09EwE0CqkOc4q9oUmW1yo/edit?usp=sharing"",""พะเยา!J265"")"),40)</f>
        <v>40</v>
      </c>
      <c r="K370" s="163">
        <f t="shared" ca="1" si="106"/>
        <v>66.666666666666671</v>
      </c>
      <c r="L370" s="181"/>
      <c r="M370" s="181"/>
      <c r="N370" s="181"/>
      <c r="O370" s="181"/>
      <c r="P370" s="181"/>
    </row>
    <row r="371" spans="1:16" ht="21.75" hidden="1" customHeight="1" x14ac:dyDescent="0.3">
      <c r="A371" s="175"/>
      <c r="B371" s="176"/>
      <c r="C371" s="176"/>
      <c r="D371" s="193"/>
      <c r="E371" s="198"/>
      <c r="F371" s="195"/>
      <c r="G371" s="379"/>
      <c r="H371" s="180" t="s">
        <v>122</v>
      </c>
      <c r="I371" s="162">
        <f ca="1">IFERROR(__xludf.DUMMYFUNCTION("IMPORTRANGE(""https://docs.google.com/spreadsheets/d/11923uPwbBZFjjGgGUA6NLw09EwE0CqkOc4q9oUmW1yo/edit?usp=sharing"",""พะเยา!I164"")"),0)</f>
        <v>0</v>
      </c>
      <c r="J371" s="188">
        <f ca="1">IFERROR(__xludf.DUMMYFUNCTION("IMPORTRANGE(""https://docs.google.com/spreadsheets/d/11923uPwbBZFjjGgGUA6NLw09EwE0CqkOc4q9oUmW1yo/edit?usp=sharing"",""พะเยา!J164"")"),0)</f>
        <v>0</v>
      </c>
      <c r="K371" s="163">
        <f t="shared" ca="1" si="106"/>
        <v>0</v>
      </c>
      <c r="L371" s="181"/>
      <c r="M371" s="181"/>
      <c r="N371" s="181"/>
      <c r="O371" s="181"/>
      <c r="P371" s="181"/>
    </row>
    <row r="372" spans="1:16" ht="21.75" customHeight="1" x14ac:dyDescent="0.3">
      <c r="A372" s="175"/>
      <c r="B372" s="176"/>
      <c r="C372" s="176"/>
      <c r="D372" s="193"/>
      <c r="E372" s="198"/>
      <c r="F372" s="195"/>
      <c r="G372" s="378" t="s">
        <v>140</v>
      </c>
      <c r="H372" s="180" t="s">
        <v>37</v>
      </c>
      <c r="I372" s="162">
        <f ca="1">IFERROR(__xludf.DUMMYFUNCTION("IMPORTRANGE(""https://docs.google.com/spreadsheets/d/11923uPwbBZFjjGgGUA6NLw09EwE0CqkOc4q9oUmW1yo/edit?usp=sharing"",""พะเยา!I267"")"),60)</f>
        <v>60</v>
      </c>
      <c r="J372" s="188">
        <f ca="1">IFERROR(__xludf.DUMMYFUNCTION("IMPORTRANGE(""https://docs.google.com/spreadsheets/d/11923uPwbBZFjjGgGUA6NLw09EwE0CqkOc4q9oUmW1yo/edit?usp=sharing"",""พะเยา!J267"")"),0)</f>
        <v>0</v>
      </c>
      <c r="K372" s="163">
        <f t="shared" ca="1" si="106"/>
        <v>0</v>
      </c>
      <c r="L372" s="181"/>
      <c r="M372" s="181"/>
      <c r="N372" s="181"/>
      <c r="O372" s="181"/>
      <c r="P372" s="181"/>
    </row>
    <row r="373" spans="1:16" ht="21.75" hidden="1" customHeight="1" x14ac:dyDescent="0.3">
      <c r="A373" s="175"/>
      <c r="B373" s="176"/>
      <c r="C373" s="176"/>
      <c r="D373" s="193"/>
      <c r="E373" s="198"/>
      <c r="F373" s="195"/>
      <c r="G373" s="225" t="s">
        <v>141</v>
      </c>
      <c r="H373" s="180" t="s">
        <v>37</v>
      </c>
      <c r="I373" s="187">
        <f ca="1">IFERROR(__xludf.DUMMYFUNCTION("IMPORTRANGE(""https://docs.google.com/spreadsheets/d/11923uPwbBZFjjGgGUA6NLw09EwE0CqkOc4q9oUmW1yo/edit?usp=sharing"",""พะเยา!I164"")"),0)</f>
        <v>0</v>
      </c>
      <c r="J373" s="203">
        <f ca="1">IFERROR(__xludf.DUMMYFUNCTION("IMPORTRANGE(""https://docs.google.com/spreadsheets/d/11923uPwbBZFjjGgGUA6NLw09EwE0CqkOc4q9oUmW1yo/edit?usp=sharing"",""พะเยา!J164"")"),0)</f>
        <v>0</v>
      </c>
      <c r="K373" s="163">
        <f t="shared" ca="1" si="106"/>
        <v>0</v>
      </c>
      <c r="L373" s="181"/>
      <c r="M373" s="181"/>
      <c r="N373" s="181"/>
      <c r="O373" s="181"/>
      <c r="P373" s="181"/>
    </row>
    <row r="374" spans="1:16" ht="21.75" hidden="1" customHeight="1" x14ac:dyDescent="0.3">
      <c r="A374" s="175"/>
      <c r="B374" s="176"/>
      <c r="C374" s="176"/>
      <c r="D374" s="193"/>
      <c r="E374" s="198"/>
      <c r="F374" s="195"/>
      <c r="G374" s="196" t="s">
        <v>142</v>
      </c>
      <c r="H374" s="180"/>
      <c r="I374" s="187">
        <f ca="1">IFERROR(__xludf.DUMMYFUNCTION("IMPORTRANGE(""https://docs.google.com/spreadsheets/d/11923uPwbBZFjjGgGUA6NLw09EwE0CqkOc4q9oUmW1yo/edit?usp=sharing"",""พะเยา!I164"")"),0)</f>
        <v>0</v>
      </c>
      <c r="J374" s="187">
        <f ca="1">IFERROR(__xludf.DUMMYFUNCTION("IMPORTRANGE(""https://docs.google.com/spreadsheets/d/11923uPwbBZFjjGgGUA6NLw09EwE0CqkOc4q9oUmW1yo/edit?usp=sharing"",""พะเยา!J164"")"),0)</f>
        <v>0</v>
      </c>
      <c r="K374" s="163"/>
      <c r="L374" s="181"/>
      <c r="M374" s="181"/>
      <c r="N374" s="181"/>
      <c r="O374" s="181"/>
      <c r="P374" s="181"/>
    </row>
    <row r="375" spans="1:16" ht="21.75" customHeight="1" x14ac:dyDescent="0.3">
      <c r="A375" s="175"/>
      <c r="B375" s="176"/>
      <c r="C375" s="176"/>
      <c r="D375" s="193"/>
      <c r="E375" s="195"/>
      <c r="F375" s="204" t="s">
        <v>53</v>
      </c>
      <c r="G375" s="196"/>
      <c r="H375" s="278" t="s">
        <v>122</v>
      </c>
      <c r="I375" s="187">
        <f ca="1">IFERROR(__xludf.DUMMYFUNCTION("IMPORTRANGE(""https://docs.google.com/spreadsheets/d/11923uPwbBZFjjGgGUA6NLw09EwE0CqkOc4q9oUmW1yo/edit?usp=sharing"",""พะเยา!I270"")"),105)</f>
        <v>105</v>
      </c>
      <c r="J375" s="187">
        <f ca="1">IFERROR(__xludf.DUMMYFUNCTION("IMPORTRANGE(""https://docs.google.com/spreadsheets/d/11923uPwbBZFjjGgGUA6NLw09EwE0CqkOc4q9oUmW1yo/edit?usp=sharing"",""พะเยา!J270"")"),0)</f>
        <v>0</v>
      </c>
      <c r="K375" s="163">
        <f t="shared" ref="K375:K377" ca="1" si="107">IF(I375&gt;0,J375*100/I375,0)</f>
        <v>0</v>
      </c>
      <c r="L375" s="181"/>
      <c r="M375" s="181"/>
      <c r="N375" s="181"/>
      <c r="O375" s="181"/>
      <c r="P375" s="181"/>
    </row>
    <row r="376" spans="1:16" ht="21.75" customHeight="1" x14ac:dyDescent="0.3">
      <c r="A376" s="175"/>
      <c r="B376" s="176"/>
      <c r="C376" s="176"/>
      <c r="D376" s="193"/>
      <c r="E376" s="195"/>
      <c r="F376" s="195"/>
      <c r="G376" s="279" t="s">
        <v>143</v>
      </c>
      <c r="H376" s="278" t="s">
        <v>122</v>
      </c>
      <c r="I376" s="187">
        <f ca="1">IFERROR(__xludf.DUMMYFUNCTION("IMPORTRANGE(""https://docs.google.com/spreadsheets/d/11923uPwbBZFjjGgGUA6NLw09EwE0CqkOc4q9oUmW1yo/edit?usp=sharing"",""พะเยา!I271"")"),30)</f>
        <v>30</v>
      </c>
      <c r="J376" s="188">
        <f ca="1">IFERROR(__xludf.DUMMYFUNCTION("IMPORTRANGE(""https://docs.google.com/spreadsheets/d/11923uPwbBZFjjGgGUA6NLw09EwE0CqkOc4q9oUmW1yo/edit?usp=sharing"",""พะเยา!J271"")"),0)</f>
        <v>0</v>
      </c>
      <c r="K376" s="163">
        <f t="shared" ca="1" si="107"/>
        <v>0</v>
      </c>
      <c r="L376" s="181"/>
      <c r="M376" s="181"/>
      <c r="N376" s="181"/>
      <c r="O376" s="181"/>
      <c r="P376" s="181"/>
    </row>
    <row r="377" spans="1:16" ht="21.75" customHeight="1" x14ac:dyDescent="0.3">
      <c r="A377" s="175"/>
      <c r="B377" s="176"/>
      <c r="C377" s="176"/>
      <c r="D377" s="193"/>
      <c r="E377" s="195"/>
      <c r="F377" s="195"/>
      <c r="G377" s="279" t="s">
        <v>144</v>
      </c>
      <c r="H377" s="278" t="s">
        <v>122</v>
      </c>
      <c r="I377" s="187">
        <f ca="1">IFERROR(__xludf.DUMMYFUNCTION("IMPORTRANGE(""https://docs.google.com/spreadsheets/d/11923uPwbBZFjjGgGUA6NLw09EwE0CqkOc4q9oUmW1yo/edit?usp=sharing"",""พะเยา!I272"")"),75)</f>
        <v>75</v>
      </c>
      <c r="J377" s="203">
        <f ca="1">IFERROR(__xludf.DUMMYFUNCTION("IMPORTRANGE(""https://docs.google.com/spreadsheets/d/11923uPwbBZFjjGgGUA6NLw09EwE0CqkOc4q9oUmW1yo/edit?usp=sharing"",""พะเยา!J272"")"),0)</f>
        <v>0</v>
      </c>
      <c r="K377" s="163">
        <f t="shared" ca="1" si="107"/>
        <v>0</v>
      </c>
      <c r="L377" s="181"/>
      <c r="M377" s="181"/>
      <c r="N377" s="181"/>
      <c r="O377" s="181"/>
      <c r="P377" s="181"/>
    </row>
    <row r="378" spans="1:16" ht="21.75" customHeight="1" x14ac:dyDescent="0.3">
      <c r="A378" s="175"/>
      <c r="B378" s="176"/>
      <c r="C378" s="176"/>
      <c r="D378" s="193"/>
      <c r="E378" s="194" t="s">
        <v>54</v>
      </c>
      <c r="F378" s="195"/>
      <c r="G378" s="196"/>
      <c r="H378" s="186"/>
      <c r="I378" s="187"/>
      <c r="J378" s="197">
        <f ca="1">IFERROR(__xludf.DUMMYFUNCTION("IMPORTRANGE(""https://docs.google.com/spreadsheets/d/11923uPwbBZFjjGgGUA6NLw09EwE0CqkOc4q9oUmW1yo/edit?usp=sharing"",""พะเยา!J273"")"),0)</f>
        <v>0</v>
      </c>
      <c r="K378" s="163"/>
      <c r="L378" s="181"/>
      <c r="M378" s="181"/>
      <c r="N378" s="181"/>
      <c r="O378" s="181"/>
      <c r="P378" s="181"/>
    </row>
    <row r="379" spans="1:16" ht="21.75" customHeight="1" x14ac:dyDescent="0.3">
      <c r="A379" s="175"/>
      <c r="B379" s="176"/>
      <c r="C379" s="176"/>
      <c r="D379" s="205">
        <v>3</v>
      </c>
      <c r="E379" s="206" t="s">
        <v>55</v>
      </c>
      <c r="F379" s="207"/>
      <c r="G379" s="208"/>
      <c r="H379" s="186"/>
      <c r="I379" s="187"/>
      <c r="J379" s="209">
        <f ca="1">IFERROR(__xludf.DUMMYFUNCTION("IMPORTRANGE(""https://docs.google.com/spreadsheets/d/11923uPwbBZFjjGgGUA6NLw09EwE0CqkOc4q9oUmW1yo/edit?usp=sharing"",""พะเยา!J274"")"),0)</f>
        <v>0</v>
      </c>
      <c r="K379" s="163"/>
      <c r="L379" s="181"/>
      <c r="M379" s="181"/>
      <c r="N379" s="181"/>
      <c r="O379" s="181"/>
      <c r="P379" s="181"/>
    </row>
    <row r="380" spans="1:16" ht="21.75" customHeight="1" x14ac:dyDescent="0.3">
      <c r="A380" s="364"/>
      <c r="B380" s="365">
        <v>2</v>
      </c>
      <c r="C380" s="366" t="s">
        <v>145</v>
      </c>
      <c r="D380" s="366"/>
      <c r="E380" s="380"/>
      <c r="F380" s="380"/>
      <c r="G380" s="381"/>
      <c r="H380" s="368" t="s">
        <v>122</v>
      </c>
      <c r="I380" s="369">
        <f ca="1">IFERROR(__xludf.DUMMYFUNCTION("IMPORTRANGE(""https://docs.google.com/spreadsheets/d/11923uPwbBZFjjGgGUA6NLw09EwE0CqkOc4q9oUmW1yo/edit?usp=sharing"",""พะเยา!I275"")"),1000)</f>
        <v>1000</v>
      </c>
      <c r="J380" s="369">
        <f ca="1">IFERROR(__xludf.DUMMYFUNCTION("IMPORTRANGE(""https://docs.google.com/spreadsheets/d/11923uPwbBZFjjGgGUA6NLw09EwE0CqkOc4q9oUmW1yo/edit?usp=sharing"",""พะเยา!J275"")"),0)</f>
        <v>0</v>
      </c>
      <c r="K380" s="370">
        <f t="shared" ref="K380:K381" ca="1" si="108">IF(I380&gt;0,J380*100/I380,0)</f>
        <v>0</v>
      </c>
      <c r="L380" s="371">
        <f ca="1">IFERROR(__xludf.DUMMYFUNCTION("IMPORTRANGE(""https://docs.google.com/spreadsheets/d/11923uPwbBZFjjGgGUA6NLw09EwE0CqkOc4q9oUmW1yo/edit?usp=sharing"",""พะเยา!L275"")"),1028520)</f>
        <v>1028520</v>
      </c>
      <c r="M380" s="371"/>
      <c r="N380" s="371">
        <f ca="1">IFERROR(__xludf.DUMMYFUNCTION("IMPORTRANGE(""https://docs.google.com/spreadsheets/d/11923uPwbBZFjjGgGUA6NLw09EwE0CqkOc4q9oUmW1yo/edit?usp=sharing"",""พะเยา!M275"")"),118115)</f>
        <v>118115</v>
      </c>
      <c r="O380" s="371">
        <f ca="1">+IF(L380&gt;0,N380*100/L380,0)</f>
        <v>11.483976976626609</v>
      </c>
      <c r="P380" s="371"/>
    </row>
    <row r="381" spans="1:16" ht="21.75" customHeight="1" x14ac:dyDescent="0.3">
      <c r="A381" s="364"/>
      <c r="B381" s="365"/>
      <c r="C381" s="366"/>
      <c r="D381" s="382"/>
      <c r="E381" s="383"/>
      <c r="F381" s="383"/>
      <c r="G381" s="384"/>
      <c r="H381" s="368" t="s">
        <v>37</v>
      </c>
      <c r="I381" s="369">
        <f ca="1">IFERROR(__xludf.DUMMYFUNCTION("IMPORTRANGE(""https://docs.google.com/spreadsheets/d/11923uPwbBZFjjGgGUA6NLw09EwE0CqkOc4q9oUmW1yo/edit?usp=sharing"",""พะเยา!I276"")"),100)</f>
        <v>100</v>
      </c>
      <c r="J381" s="369">
        <f ca="1">IFERROR(__xludf.DUMMYFUNCTION("IMPORTRANGE(""https://docs.google.com/spreadsheets/d/11923uPwbBZFjjGgGUA6NLw09EwE0CqkOc4q9oUmW1yo/edit?usp=sharing"",""พะเยา!J276"")"),50)</f>
        <v>50</v>
      </c>
      <c r="K381" s="370">
        <f t="shared" ca="1" si="108"/>
        <v>50</v>
      </c>
      <c r="L381" s="371"/>
      <c r="M381" s="371"/>
      <c r="N381" s="371"/>
      <c r="O381" s="371"/>
      <c r="P381" s="371"/>
    </row>
    <row r="382" spans="1:16" ht="21.75" customHeight="1" x14ac:dyDescent="0.3">
      <c r="A382" s="156"/>
      <c r="B382" s="157"/>
      <c r="C382" s="157" t="s">
        <v>16</v>
      </c>
      <c r="D382" s="158" t="s">
        <v>38</v>
      </c>
      <c r="E382" s="159"/>
      <c r="F382" s="159"/>
      <c r="G382" s="160" t="s">
        <v>39</v>
      </c>
      <c r="H382" s="161" t="s">
        <v>12</v>
      </c>
      <c r="I382" s="162" t="s">
        <v>40</v>
      </c>
      <c r="J382" s="162"/>
      <c r="K382" s="163"/>
      <c r="L382" s="164">
        <f ca="1">IFERROR(__xludf.DUMMYFUNCTION("IMPORTRANGE(""https://docs.google.com/spreadsheets/d/11923uPwbBZFjjGgGUA6NLw09EwE0CqkOc4q9oUmW1yo/edit?usp=sharing"",""พะเยา!L277"")"),0)</f>
        <v>0</v>
      </c>
      <c r="M382" s="164"/>
      <c r="N382" s="164">
        <f ca="1">IFERROR(__xludf.DUMMYFUNCTION("IMPORTRANGE(""https://docs.google.com/spreadsheets/d/11923uPwbBZFjjGgGUA6NLw09EwE0CqkOc4q9oUmW1yo/edit?usp=sharing"",""พะเยา!M277"")"),0)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3">
      <c r="A383" s="156"/>
      <c r="B383" s="157"/>
      <c r="C383" s="157"/>
      <c r="D383" s="166"/>
      <c r="E383" s="159"/>
      <c r="F383" s="159" t="s">
        <v>40</v>
      </c>
      <c r="G383" s="160" t="s">
        <v>41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IFERROR(__xludf.DUMMYFUNCTION("IMPORTRANGE(""https://docs.google.com/spreadsheets/d/11923uPwbBZFjjGgGUA6NLw09EwE0CqkOc4q9oUmW1yo/edit?usp=sharing"",""พะเยา!L278"")"),1028520)</f>
        <v>1028520</v>
      </c>
      <c r="M383" s="165"/>
      <c r="N383" s="165">
        <f ca="1">IFERROR(__xludf.DUMMYFUNCTION("IMPORTRANGE(""https://docs.google.com/spreadsheets/d/11923uPwbBZFjjGgGUA6NLw09EwE0CqkOc4q9oUmW1yo/edit?usp=sharing"",""พะเยา!M278"")"),118115)</f>
        <v>118115</v>
      </c>
      <c r="O383" s="165">
        <f t="shared" ca="1" si="109"/>
        <v>11.483976976626609</v>
      </c>
      <c r="P383" s="165"/>
    </row>
    <row r="384" spans="1:16" ht="21.75" customHeight="1" x14ac:dyDescent="0.3">
      <c r="A384" s="156"/>
      <c r="B384" s="157"/>
      <c r="C384" s="157"/>
      <c r="D384" s="166"/>
      <c r="E384" s="159"/>
      <c r="F384" s="159"/>
      <c r="G384" s="372" t="s">
        <v>129</v>
      </c>
      <c r="H384" s="161" t="s">
        <v>12</v>
      </c>
      <c r="I384" s="162"/>
      <c r="J384" s="162"/>
      <c r="K384" s="163"/>
      <c r="L384" s="168">
        <f ca="1">IFERROR(__xludf.DUMMYFUNCTION("IMPORTRANGE(""https://docs.google.com/spreadsheets/d/11923uPwbBZFjjGgGUA6NLw09EwE0CqkOc4q9oUmW1yo/edit?usp=sharing"",""พะเยา!L279"")"),0)</f>
        <v>0</v>
      </c>
      <c r="M384" s="168"/>
      <c r="N384" s="168">
        <f ca="1">IFERROR(__xludf.DUMMYFUNCTION("IMPORTRANGE(""https://docs.google.com/spreadsheets/d/11923uPwbBZFjjGgGUA6NLw09EwE0CqkOc4q9oUmW1yo/edit?usp=sharing"",""พะเยา!M279"")"),0)</f>
        <v>0</v>
      </c>
      <c r="O384" s="168">
        <f t="shared" ca="1" si="109"/>
        <v>0</v>
      </c>
      <c r="P384" s="168"/>
    </row>
    <row r="385" spans="1:16" ht="21.75" customHeight="1" x14ac:dyDescent="0.3">
      <c r="A385" s="156"/>
      <c r="B385" s="157"/>
      <c r="C385" s="157"/>
      <c r="D385" s="166"/>
      <c r="E385" s="159"/>
      <c r="F385" s="159"/>
      <c r="G385" s="372" t="s">
        <v>130</v>
      </c>
      <c r="H385" s="161" t="s">
        <v>12</v>
      </c>
      <c r="I385" s="162"/>
      <c r="J385" s="162"/>
      <c r="K385" s="163"/>
      <c r="L385" s="168">
        <f ca="1">IFERROR(__xludf.DUMMYFUNCTION("IMPORTRANGE(""https://docs.google.com/spreadsheets/d/11923uPwbBZFjjGgGUA6NLw09EwE0CqkOc4q9oUmW1yo/edit?usp=sharing"",""พะเยา!L280"")"),1028520)</f>
        <v>1028520</v>
      </c>
      <c r="M385" s="168"/>
      <c r="N385" s="167">
        <f ca="1">IFERROR(__xludf.DUMMYFUNCTION("IMPORTRANGE(""https://docs.google.com/spreadsheets/d/11923uPwbBZFjjGgGUA6NLw09EwE0CqkOc4q9oUmW1yo/edit?usp=sharing"",""พะเยา!M280"")"),118115)</f>
        <v>118115</v>
      </c>
      <c r="O385" s="168">
        <f t="shared" ca="1" si="109"/>
        <v>11.483976976626609</v>
      </c>
      <c r="P385" s="168"/>
    </row>
    <row r="386" spans="1:16" ht="21.75" customHeight="1" x14ac:dyDescent="0.3">
      <c r="A386" s="373"/>
      <c r="B386" s="374"/>
      <c r="C386" s="157"/>
      <c r="D386" s="375"/>
      <c r="E386" s="159"/>
      <c r="F386" s="159"/>
      <c r="G386" s="376" t="s">
        <v>131</v>
      </c>
      <c r="H386" s="161" t="s">
        <v>12</v>
      </c>
      <c r="I386" s="187"/>
      <c r="J386" s="187"/>
      <c r="K386" s="223"/>
      <c r="L386" s="168"/>
      <c r="M386" s="168"/>
      <c r="N386" s="377">
        <f ca="1">IFERROR(__xludf.DUMMYFUNCTION("IMPORTRANGE(""https://docs.google.com/spreadsheets/d/11923uPwbBZFjjGgGUA6NLw09EwE0CqkOc4q9oUmW1yo/edit?usp=sharing"",""พะเยา!M281"")"),79870)</f>
        <v>79870</v>
      </c>
      <c r="O386" s="168"/>
      <c r="P386" s="168"/>
    </row>
    <row r="387" spans="1:16" ht="21.75" customHeight="1" x14ac:dyDescent="0.3">
      <c r="A387" s="373"/>
      <c r="B387" s="374"/>
      <c r="C387" s="157"/>
      <c r="D387" s="375"/>
      <c r="E387" s="159"/>
      <c r="F387" s="159"/>
      <c r="G387" s="376" t="s">
        <v>132</v>
      </c>
      <c r="H387" s="161" t="s">
        <v>12</v>
      </c>
      <c r="I387" s="187"/>
      <c r="J387" s="187"/>
      <c r="K387" s="223"/>
      <c r="L387" s="168"/>
      <c r="M387" s="168"/>
      <c r="N387" s="377">
        <f ca="1">IFERROR(__xludf.DUMMYFUNCTION("IMPORTRANGE(""https://docs.google.com/spreadsheets/d/11923uPwbBZFjjGgGUA6NLw09EwE0CqkOc4q9oUmW1yo/edit?usp=sharing"",""พะเยา!M282"")"),0)</f>
        <v>0</v>
      </c>
      <c r="O387" s="168"/>
      <c r="P387" s="168"/>
    </row>
    <row r="388" spans="1:16" ht="21.75" customHeight="1" x14ac:dyDescent="0.3">
      <c r="A388" s="373"/>
      <c r="B388" s="374"/>
      <c r="C388" s="157"/>
      <c r="D388" s="375"/>
      <c r="E388" s="159"/>
      <c r="F388" s="159"/>
      <c r="G388" s="376" t="s">
        <v>133</v>
      </c>
      <c r="H388" s="161" t="s">
        <v>12</v>
      </c>
      <c r="I388" s="187"/>
      <c r="J388" s="187"/>
      <c r="K388" s="223"/>
      <c r="L388" s="168"/>
      <c r="M388" s="168"/>
      <c r="N388" s="377">
        <f ca="1">IFERROR(__xludf.DUMMYFUNCTION("IMPORTRANGE(""https://docs.google.com/spreadsheets/d/11923uPwbBZFjjGgGUA6NLw09EwE0CqkOc4q9oUmW1yo/edit?usp=sharing"",""พะเยา!M283"")"),31165)</f>
        <v>31165</v>
      </c>
      <c r="O388" s="168"/>
      <c r="P388" s="168"/>
    </row>
    <row r="389" spans="1:16" ht="21.75" customHeight="1" x14ac:dyDescent="0.3">
      <c r="A389" s="373"/>
      <c r="B389" s="374"/>
      <c r="C389" s="157"/>
      <c r="D389" s="375"/>
      <c r="E389" s="159"/>
      <c r="F389" s="159"/>
      <c r="G389" s="376" t="s">
        <v>134</v>
      </c>
      <c r="H389" s="161" t="s">
        <v>12</v>
      </c>
      <c r="I389" s="187"/>
      <c r="J389" s="187"/>
      <c r="K389" s="223"/>
      <c r="L389" s="168"/>
      <c r="M389" s="168"/>
      <c r="N389" s="377">
        <f ca="1">IFERROR(__xludf.DUMMYFUNCTION("IMPORTRANGE(""https://docs.google.com/spreadsheets/d/11923uPwbBZFjjGgGUA6NLw09EwE0CqkOc4q9oUmW1yo/edit?usp=sharing"",""พะเยา!M284"")"),7080)</f>
        <v>7080</v>
      </c>
      <c r="O389" s="168"/>
      <c r="P389" s="168"/>
    </row>
    <row r="390" spans="1:16" ht="21.75" customHeight="1" x14ac:dyDescent="0.3">
      <c r="A390" s="175"/>
      <c r="B390" s="176"/>
      <c r="C390" s="157" t="s">
        <v>16</v>
      </c>
      <c r="D390" s="177" t="s">
        <v>44</v>
      </c>
      <c r="E390" s="178"/>
      <c r="F390" s="178"/>
      <c r="G390" s="179"/>
      <c r="H390" s="180"/>
      <c r="I390" s="162"/>
      <c r="J390" s="162"/>
      <c r="K390" s="163"/>
      <c r="L390" s="181"/>
      <c r="M390" s="181"/>
      <c r="N390" s="181"/>
      <c r="O390" s="181"/>
      <c r="P390" s="181"/>
    </row>
    <row r="391" spans="1:16" ht="21.75" customHeight="1" x14ac:dyDescent="0.3">
      <c r="A391" s="175"/>
      <c r="B391" s="176"/>
      <c r="C391" s="176"/>
      <c r="D391" s="182">
        <v>1</v>
      </c>
      <c r="E391" s="183" t="s">
        <v>45</v>
      </c>
      <c r="F391" s="184"/>
      <c r="G391" s="185"/>
      <c r="H391" s="186"/>
      <c r="I391" s="187"/>
      <c r="J391" s="197">
        <f ca="1">IFERROR(__xludf.DUMMYFUNCTION("IMPORTRANGE(""https://docs.google.com/spreadsheets/d/11923uPwbBZFjjGgGUA6NLw09EwE0CqkOc4q9oUmW1yo/edit?usp=sharing"",""พะเยา!J286"")"),0)</f>
        <v>0</v>
      </c>
      <c r="K391" s="163"/>
      <c r="L391" s="181"/>
      <c r="M391" s="181"/>
      <c r="N391" s="181"/>
      <c r="O391" s="181"/>
      <c r="P391" s="181"/>
    </row>
    <row r="392" spans="1:16" ht="21.75" customHeight="1" x14ac:dyDescent="0.3">
      <c r="A392" s="175"/>
      <c r="B392" s="176"/>
      <c r="C392" s="176"/>
      <c r="D392" s="189">
        <v>2</v>
      </c>
      <c r="E392" s="190" t="s">
        <v>46</v>
      </c>
      <c r="F392" s="191"/>
      <c r="G392" s="192"/>
      <c r="H392" s="186"/>
      <c r="I392" s="187"/>
      <c r="J392" s="188">
        <f ca="1">IFERROR(__xludf.DUMMYFUNCTION("IMPORTRANGE(""https://docs.google.com/spreadsheets/d/11923uPwbBZFjjGgGUA6NLw09EwE0CqkOc4q9oUmW1yo/edit?usp=sharing"",""พะเยา!J287"")"),1)</f>
        <v>1</v>
      </c>
      <c r="K392" s="163"/>
      <c r="L392" s="181" t="s">
        <v>40</v>
      </c>
      <c r="M392" s="181"/>
      <c r="N392" s="181" t="s">
        <v>40</v>
      </c>
      <c r="O392" s="181"/>
      <c r="P392" s="181"/>
    </row>
    <row r="393" spans="1:16" ht="21.75" customHeight="1" x14ac:dyDescent="0.3">
      <c r="A393" s="175"/>
      <c r="B393" s="176"/>
      <c r="C393" s="176"/>
      <c r="D393" s="193"/>
      <c r="E393" s="194" t="s">
        <v>47</v>
      </c>
      <c r="F393" s="195"/>
      <c r="G393" s="196"/>
      <c r="H393" s="186"/>
      <c r="I393" s="187"/>
      <c r="J393" s="188">
        <f ca="1">IFERROR(__xludf.DUMMYFUNCTION("IMPORTRANGE(""https://docs.google.com/spreadsheets/d/11923uPwbBZFjjGgGUA6NLw09EwE0CqkOc4q9oUmW1yo/edit?usp=sharing"",""พะเยา!J288"")"),1)</f>
        <v>1</v>
      </c>
      <c r="K393" s="163"/>
      <c r="L393" s="181"/>
      <c r="M393" s="181"/>
      <c r="N393" s="181"/>
      <c r="O393" s="181"/>
      <c r="P393" s="181"/>
    </row>
    <row r="394" spans="1:16" ht="21.75" customHeight="1" x14ac:dyDescent="0.3">
      <c r="A394" s="175"/>
      <c r="B394" s="176"/>
      <c r="C394" s="176"/>
      <c r="D394" s="193"/>
      <c r="E394" s="194" t="s">
        <v>48</v>
      </c>
      <c r="F394" s="195"/>
      <c r="G394" s="196"/>
      <c r="H394" s="186"/>
      <c r="I394" s="187"/>
      <c r="J394" s="197">
        <f ca="1">IFERROR(__xludf.DUMMYFUNCTION("IMPORTRANGE(""https://docs.google.com/spreadsheets/d/11923uPwbBZFjjGgGUA6NLw09EwE0CqkOc4q9oUmW1yo/edit?usp=sharing"",""พะเยา!J289"")"),1)</f>
        <v>1</v>
      </c>
      <c r="K394" s="163"/>
      <c r="L394" s="181"/>
      <c r="M394" s="181"/>
      <c r="N394" s="181"/>
      <c r="O394" s="181"/>
      <c r="P394" s="181"/>
    </row>
    <row r="395" spans="1:16" ht="21.75" customHeight="1" x14ac:dyDescent="0.3">
      <c r="A395" s="175"/>
      <c r="B395" s="176"/>
      <c r="C395" s="176"/>
      <c r="D395" s="193"/>
      <c r="E395" s="198"/>
      <c r="F395" s="194" t="s">
        <v>146</v>
      </c>
      <c r="G395" s="195"/>
      <c r="H395" s="186"/>
      <c r="I395" s="187"/>
      <c r="J395" s="187"/>
      <c r="K395" s="163"/>
      <c r="L395" s="181"/>
      <c r="M395" s="181"/>
      <c r="N395" s="181"/>
      <c r="O395" s="181"/>
      <c r="P395" s="181"/>
    </row>
    <row r="396" spans="1:16" ht="21.75" customHeight="1" x14ac:dyDescent="0.3">
      <c r="A396" s="175"/>
      <c r="B396" s="176"/>
      <c r="C396" s="176"/>
      <c r="D396" s="193"/>
      <c r="E396" s="198"/>
      <c r="F396" s="195"/>
      <c r="G396" s="291" t="s">
        <v>70</v>
      </c>
      <c r="H396" s="186" t="s">
        <v>37</v>
      </c>
      <c r="I396" s="187">
        <f ca="1">IFERROR(__xludf.DUMMYFUNCTION("IMPORTRANGE(""https://docs.google.com/spreadsheets/d/11923uPwbBZFjjGgGUA6NLw09EwE0CqkOc4q9oUmW1yo/edit?usp=sharing"",""พะเยา!I291"")"),100)</f>
        <v>100</v>
      </c>
      <c r="J396" s="197">
        <f ca="1">IFERROR(__xludf.DUMMYFUNCTION("IMPORTRANGE(""https://docs.google.com/spreadsheets/d/11923uPwbBZFjjGgGUA6NLw09EwE0CqkOc4q9oUmW1yo/edit?usp=sharing"",""พะเยา!J291"")"),50)</f>
        <v>50</v>
      </c>
      <c r="K396" s="163">
        <f t="shared" ref="K396:K398" ca="1" si="110">IF(I396&gt;0,J396*100/I396,0)</f>
        <v>50</v>
      </c>
      <c r="L396" s="181"/>
      <c r="M396" s="181"/>
      <c r="N396" s="181"/>
      <c r="O396" s="181"/>
      <c r="P396" s="181"/>
    </row>
    <row r="397" spans="1:16" ht="21.75" customHeight="1" x14ac:dyDescent="0.3">
      <c r="A397" s="175"/>
      <c r="B397" s="176"/>
      <c r="C397" s="176"/>
      <c r="D397" s="193"/>
      <c r="E397" s="198"/>
      <c r="F397" s="195"/>
      <c r="G397" s="196" t="s">
        <v>53</v>
      </c>
      <c r="H397" s="186" t="s">
        <v>122</v>
      </c>
      <c r="I397" s="187">
        <f ca="1">IFERROR(__xludf.DUMMYFUNCTION("IMPORTRANGE(""https://docs.google.com/spreadsheets/d/11923uPwbBZFjjGgGUA6NLw09EwE0CqkOc4q9oUmW1yo/edit?usp=sharing"",""พะเยา!I292"")"),1000)</f>
        <v>1000</v>
      </c>
      <c r="J397" s="197">
        <f ca="1">IFERROR(__xludf.DUMMYFUNCTION("IMPORTRANGE(""https://docs.google.com/spreadsheets/d/11923uPwbBZFjjGgGUA6NLw09EwE0CqkOc4q9oUmW1yo/edit?usp=sharing"",""พะเยา!J292"")"),0)</f>
        <v>0</v>
      </c>
      <c r="K397" s="163">
        <f t="shared" ca="1" si="110"/>
        <v>0</v>
      </c>
      <c r="L397" s="181"/>
      <c r="M397" s="181"/>
      <c r="N397" s="181"/>
      <c r="O397" s="181"/>
      <c r="P397" s="181"/>
    </row>
    <row r="398" spans="1:16" ht="21.75" customHeight="1" x14ac:dyDescent="0.3">
      <c r="A398" s="175"/>
      <c r="B398" s="176"/>
      <c r="C398" s="176"/>
      <c r="D398" s="193"/>
      <c r="E398" s="198"/>
      <c r="F398" s="195"/>
      <c r="G398" s="196"/>
      <c r="H398" s="186" t="s">
        <v>37</v>
      </c>
      <c r="I398" s="187">
        <f ca="1">IFERROR(__xludf.DUMMYFUNCTION("IMPORTRANGE(""https://docs.google.com/spreadsheets/d/11923uPwbBZFjjGgGUA6NLw09EwE0CqkOc4q9oUmW1yo/edit?usp=sharing"",""พะเยา!I293"")"),100)</f>
        <v>100</v>
      </c>
      <c r="J398" s="197">
        <f ca="1">IFERROR(__xludf.DUMMYFUNCTION("IMPORTRANGE(""https://docs.google.com/spreadsheets/d/11923uPwbBZFjjGgGUA6NLw09EwE0CqkOc4q9oUmW1yo/edit?usp=sharing"",""พะเยา!J293"")"),0)</f>
        <v>0</v>
      </c>
      <c r="K398" s="163">
        <f t="shared" ca="1" si="110"/>
        <v>0</v>
      </c>
      <c r="L398" s="181"/>
      <c r="M398" s="181"/>
      <c r="N398" s="181"/>
      <c r="O398" s="181"/>
      <c r="P398" s="181"/>
    </row>
    <row r="399" spans="1:16" ht="21.75" customHeight="1" x14ac:dyDescent="0.3">
      <c r="A399" s="175"/>
      <c r="B399" s="176"/>
      <c r="C399" s="176"/>
      <c r="D399" s="193"/>
      <c r="E399" s="194" t="s">
        <v>54</v>
      </c>
      <c r="F399" s="195"/>
      <c r="G399" s="196"/>
      <c r="H399" s="186"/>
      <c r="I399" s="187"/>
      <c r="J399" s="197">
        <f ca="1">IFERROR(__xludf.DUMMYFUNCTION("IMPORTRANGE(""https://docs.google.com/spreadsheets/d/11923uPwbBZFjjGgGUA6NLw09EwE0CqkOc4q9oUmW1yo/edit?usp=sharing"",""พะเยา!J294"")"),0)</f>
        <v>0</v>
      </c>
      <c r="K399" s="163"/>
      <c r="L399" s="181"/>
      <c r="M399" s="181"/>
      <c r="N399" s="181"/>
      <c r="O399" s="181"/>
      <c r="P399" s="181"/>
    </row>
    <row r="400" spans="1:16" ht="21.75" customHeight="1" x14ac:dyDescent="0.3">
      <c r="A400" s="175"/>
      <c r="B400" s="176"/>
      <c r="C400" s="176"/>
      <c r="D400" s="205">
        <v>3</v>
      </c>
      <c r="E400" s="206" t="s">
        <v>55</v>
      </c>
      <c r="F400" s="207"/>
      <c r="G400" s="208"/>
      <c r="H400" s="186"/>
      <c r="I400" s="187"/>
      <c r="J400" s="209">
        <f ca="1">IFERROR(__xludf.DUMMYFUNCTION("IMPORTRANGE(""https://docs.google.com/spreadsheets/d/11923uPwbBZFjjGgGUA6NLw09EwE0CqkOc4q9oUmW1yo/edit?usp=sharing"",""พะเยา!J295"")"),0)</f>
        <v>0</v>
      </c>
      <c r="K400" s="163"/>
      <c r="L400" s="181"/>
      <c r="M400" s="181"/>
      <c r="N400" s="181"/>
      <c r="O400" s="181"/>
      <c r="P400" s="181"/>
    </row>
    <row r="401" spans="1:16" ht="21.75" customHeight="1" x14ac:dyDescent="0.3">
      <c r="A401" s="364"/>
      <c r="B401" s="365">
        <v>3</v>
      </c>
      <c r="C401" s="365" t="s">
        <v>147</v>
      </c>
      <c r="D401" s="366"/>
      <c r="E401" s="366"/>
      <c r="F401" s="366"/>
      <c r="G401" s="367"/>
      <c r="H401" s="368" t="s">
        <v>122</v>
      </c>
      <c r="I401" s="369">
        <f ca="1">IFERROR(__xludf.DUMMYFUNCTION("IMPORTRANGE(""https://docs.google.com/spreadsheets/d/11923uPwbBZFjjGgGUA6NLw09EwE0CqkOc4q9oUmW1yo/edit?usp=sharing"",""พะเยา!I296"")"),261)</f>
        <v>261</v>
      </c>
      <c r="J401" s="369">
        <f ca="1">IFERROR(__xludf.DUMMYFUNCTION("IMPORTRANGE(""https://docs.google.com/spreadsheets/d/11923uPwbBZFjjGgGUA6NLw09EwE0CqkOc4q9oUmW1yo/edit?usp=sharing"",""พะเยา!J296"")"),0)</f>
        <v>0</v>
      </c>
      <c r="K401" s="370">
        <f t="shared" ref="K401:K402" ca="1" si="111">IF(I401&gt;0,J401*100/I401,0)</f>
        <v>0</v>
      </c>
      <c r="L401" s="371">
        <f ca="1">IFERROR(__xludf.DUMMYFUNCTION("IMPORTRANGE(""https://docs.google.com/spreadsheets/d/11923uPwbBZFjjGgGUA6NLw09EwE0CqkOc4q9oUmW1yo/edit?usp=sharing"",""พะเยา!L296"")"),271920)</f>
        <v>271920</v>
      </c>
      <c r="M401" s="371"/>
      <c r="N401" s="371">
        <f ca="1">IFERROR(__xludf.DUMMYFUNCTION("IMPORTRANGE(""https://docs.google.com/spreadsheets/d/11923uPwbBZFjjGgGUA6NLw09EwE0CqkOc4q9oUmW1yo/edit?usp=sharing"",""พะเยา!M296"")"),82350)</f>
        <v>82350</v>
      </c>
      <c r="O401" s="371">
        <f ca="1">+IF(L401&gt;0,N401*100/L401,0)</f>
        <v>30.284642541924097</v>
      </c>
      <c r="P401" s="371"/>
    </row>
    <row r="402" spans="1:16" ht="21.75" customHeight="1" x14ac:dyDescent="0.3">
      <c r="A402" s="364"/>
      <c r="B402" s="365"/>
      <c r="C402" s="365"/>
      <c r="D402" s="382"/>
      <c r="E402" s="382"/>
      <c r="F402" s="382"/>
      <c r="G402" s="385"/>
      <c r="H402" s="368" t="s">
        <v>37</v>
      </c>
      <c r="I402" s="369">
        <f ca="1">IFERROR(__xludf.DUMMYFUNCTION("IMPORTRANGE(""https://docs.google.com/spreadsheets/d/11923uPwbBZFjjGgGUA6NLw09EwE0CqkOc4q9oUmW1yo/edit?usp=sharing"",""พะเยา!I297"")"),87)</f>
        <v>87</v>
      </c>
      <c r="J402" s="369">
        <f ca="1">IFERROR(__xludf.DUMMYFUNCTION("IMPORTRANGE(""https://docs.google.com/spreadsheets/d/11923uPwbBZFjjGgGUA6NLw09EwE0CqkOc4q9oUmW1yo/edit?usp=sharing"",""พะเยา!J297"")"),20)</f>
        <v>20</v>
      </c>
      <c r="K402" s="370">
        <f t="shared" ca="1" si="111"/>
        <v>22.988505747126435</v>
      </c>
      <c r="L402" s="371"/>
      <c r="M402" s="371"/>
      <c r="N402" s="371"/>
      <c r="O402" s="371"/>
      <c r="P402" s="371"/>
    </row>
    <row r="403" spans="1:16" ht="21.75" customHeight="1" x14ac:dyDescent="0.3">
      <c r="A403" s="156"/>
      <c r="B403" s="157"/>
      <c r="C403" s="157" t="s">
        <v>16</v>
      </c>
      <c r="D403" s="158" t="s">
        <v>38</v>
      </c>
      <c r="E403" s="159"/>
      <c r="F403" s="159"/>
      <c r="G403" s="160" t="s">
        <v>39</v>
      </c>
      <c r="H403" s="161" t="s">
        <v>12</v>
      </c>
      <c r="I403" s="162" t="s">
        <v>40</v>
      </c>
      <c r="J403" s="162"/>
      <c r="K403" s="163"/>
      <c r="L403" s="164">
        <f ca="1">IFERROR(__xludf.DUMMYFUNCTION("IMPORTRANGE(""https://docs.google.com/spreadsheets/d/11923uPwbBZFjjGgGUA6NLw09EwE0CqkOc4q9oUmW1yo/edit?usp=sharing"",""พะเยา!L298"")"),0)</f>
        <v>0</v>
      </c>
      <c r="M403" s="164"/>
      <c r="N403" s="168">
        <f ca="1">IFERROR(__xludf.DUMMYFUNCTION("IMPORTRANGE(""https://docs.google.com/spreadsheets/d/11923uPwbBZFjjGgGUA6NLw09EwE0CqkOc4q9oUmW1yo/edit?usp=sharing"",""พะเยา!M298"")"),0)</f>
        <v>0</v>
      </c>
      <c r="O403" s="168">
        <f t="shared" ref="O403:O406" ca="1" si="112">+IF(L403&gt;0,N403*100/L403,0)</f>
        <v>0</v>
      </c>
      <c r="P403" s="168"/>
    </row>
    <row r="404" spans="1:16" ht="21.75" customHeight="1" x14ac:dyDescent="0.3">
      <c r="A404" s="156"/>
      <c r="B404" s="157"/>
      <c r="C404" s="157"/>
      <c r="D404" s="166"/>
      <c r="E404" s="159"/>
      <c r="F404" s="159" t="s">
        <v>40</v>
      </c>
      <c r="G404" s="160" t="s">
        <v>41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IFERROR(__xludf.DUMMYFUNCTION("IMPORTRANGE(""https://docs.google.com/spreadsheets/d/11923uPwbBZFjjGgGUA6NLw09EwE0CqkOc4q9oUmW1yo/edit?usp=sharing"",""พะเยา!L299"")"),271920)</f>
        <v>271920</v>
      </c>
      <c r="M404" s="165"/>
      <c r="N404" s="168">
        <f ca="1">IFERROR(__xludf.DUMMYFUNCTION("IMPORTRANGE(""https://docs.google.com/spreadsheets/d/11923uPwbBZFjjGgGUA6NLw09EwE0CqkOc4q9oUmW1yo/edit?usp=sharing"",""พะเยา!M299"")"),82350)</f>
        <v>82350</v>
      </c>
      <c r="O404" s="168">
        <f t="shared" ca="1" si="112"/>
        <v>30.284642541924097</v>
      </c>
      <c r="P404" s="168"/>
    </row>
    <row r="405" spans="1:16" ht="21.75" customHeight="1" x14ac:dyDescent="0.3">
      <c r="A405" s="156"/>
      <c r="B405" s="157"/>
      <c r="C405" s="157"/>
      <c r="D405" s="166"/>
      <c r="E405" s="159"/>
      <c r="F405" s="159"/>
      <c r="G405" s="372" t="s">
        <v>129</v>
      </c>
      <c r="H405" s="161" t="s">
        <v>12</v>
      </c>
      <c r="I405" s="162"/>
      <c r="J405" s="162"/>
      <c r="K405" s="163"/>
      <c r="L405" s="168">
        <f ca="1">IFERROR(__xludf.DUMMYFUNCTION("IMPORTRANGE(""https://docs.google.com/spreadsheets/d/11923uPwbBZFjjGgGUA6NLw09EwE0CqkOc4q9oUmW1yo/edit?usp=sharing"",""พะเยา!L300"")"),0)</f>
        <v>0</v>
      </c>
      <c r="M405" s="168"/>
      <c r="N405" s="168">
        <f ca="1">IFERROR(__xludf.DUMMYFUNCTION("IMPORTRANGE(""https://docs.google.com/spreadsheets/d/11923uPwbBZFjjGgGUA6NLw09EwE0CqkOc4q9oUmW1yo/edit?usp=sharing"",""พะเยา!M300"")"),0)</f>
        <v>0</v>
      </c>
      <c r="O405" s="168">
        <f t="shared" ca="1" si="112"/>
        <v>0</v>
      </c>
      <c r="P405" s="168"/>
    </row>
    <row r="406" spans="1:16" ht="21.75" customHeight="1" x14ac:dyDescent="0.3">
      <c r="A406" s="156"/>
      <c r="B406" s="157"/>
      <c r="C406" s="157"/>
      <c r="D406" s="166"/>
      <c r="E406" s="159"/>
      <c r="F406" s="159"/>
      <c r="G406" s="372" t="s">
        <v>130</v>
      </c>
      <c r="H406" s="161" t="s">
        <v>12</v>
      </c>
      <c r="I406" s="162"/>
      <c r="J406" s="162"/>
      <c r="K406" s="163"/>
      <c r="L406" s="168">
        <f ca="1">IFERROR(__xludf.DUMMYFUNCTION("IMPORTRANGE(""https://docs.google.com/spreadsheets/d/11923uPwbBZFjjGgGUA6NLw09EwE0CqkOc4q9oUmW1yo/edit?usp=sharing"",""พะเยา!L301"")"),271920)</f>
        <v>271920</v>
      </c>
      <c r="M406" s="168"/>
      <c r="N406" s="168">
        <f ca="1">IFERROR(__xludf.DUMMYFUNCTION("IMPORTRANGE(""https://docs.google.com/spreadsheets/d/11923uPwbBZFjjGgGUA6NLw09EwE0CqkOc4q9oUmW1yo/edit?usp=sharing"",""พะเยา!M301"")"),82350)</f>
        <v>82350</v>
      </c>
      <c r="O406" s="168">
        <f t="shared" ca="1" si="112"/>
        <v>30.284642541924097</v>
      </c>
      <c r="P406" s="168"/>
    </row>
    <row r="407" spans="1:16" ht="21.75" customHeight="1" x14ac:dyDescent="0.3">
      <c r="A407" s="373"/>
      <c r="B407" s="374"/>
      <c r="C407" s="157"/>
      <c r="D407" s="375"/>
      <c r="E407" s="159"/>
      <c r="F407" s="159"/>
      <c r="G407" s="376" t="s">
        <v>131</v>
      </c>
      <c r="H407" s="161" t="s">
        <v>12</v>
      </c>
      <c r="I407" s="187"/>
      <c r="J407" s="187"/>
      <c r="K407" s="223"/>
      <c r="L407" s="168"/>
      <c r="M407" s="168"/>
      <c r="N407" s="377">
        <f ca="1">IFERROR(__xludf.DUMMYFUNCTION("IMPORTRANGE(""https://docs.google.com/spreadsheets/d/11923uPwbBZFjjGgGUA6NLw09EwE0CqkOc4q9oUmW1yo/edit?usp=sharing"",""พะเยา!M302"")"),69390)</f>
        <v>69390</v>
      </c>
      <c r="O407" s="168"/>
      <c r="P407" s="168"/>
    </row>
    <row r="408" spans="1:16" ht="21.75" customHeight="1" x14ac:dyDescent="0.3">
      <c r="A408" s="373"/>
      <c r="B408" s="374"/>
      <c r="C408" s="157"/>
      <c r="D408" s="375"/>
      <c r="E408" s="159"/>
      <c r="F408" s="159"/>
      <c r="G408" s="376" t="s">
        <v>132</v>
      </c>
      <c r="H408" s="161" t="s">
        <v>12</v>
      </c>
      <c r="I408" s="187"/>
      <c r="J408" s="187"/>
      <c r="K408" s="223"/>
      <c r="L408" s="168"/>
      <c r="M408" s="168"/>
      <c r="N408" s="377">
        <f ca="1">IFERROR(__xludf.DUMMYFUNCTION("IMPORTRANGE(""https://docs.google.com/spreadsheets/d/11923uPwbBZFjjGgGUA6NLw09EwE0CqkOc4q9oUmW1yo/edit?usp=sharing"",""พะเยา!M303"")"),0)</f>
        <v>0</v>
      </c>
      <c r="O408" s="168"/>
      <c r="P408" s="168"/>
    </row>
    <row r="409" spans="1:16" ht="21.75" customHeight="1" x14ac:dyDescent="0.3">
      <c r="A409" s="373"/>
      <c r="B409" s="374"/>
      <c r="C409" s="157"/>
      <c r="D409" s="375"/>
      <c r="E409" s="159"/>
      <c r="F409" s="159"/>
      <c r="G409" s="376" t="s">
        <v>133</v>
      </c>
      <c r="H409" s="161" t="s">
        <v>12</v>
      </c>
      <c r="I409" s="187"/>
      <c r="J409" s="187"/>
      <c r="K409" s="223"/>
      <c r="L409" s="168"/>
      <c r="M409" s="168"/>
      <c r="N409" s="377">
        <f ca="1">IFERROR(__xludf.DUMMYFUNCTION("IMPORTRANGE(""https://docs.google.com/spreadsheets/d/11923uPwbBZFjjGgGUA6NLw09EwE0CqkOc4q9oUmW1yo/edit?usp=sharing"",""พะเยา!M304"")"),0)</f>
        <v>0</v>
      </c>
      <c r="O409" s="168"/>
      <c r="P409" s="168"/>
    </row>
    <row r="410" spans="1:16" ht="21.75" customHeight="1" x14ac:dyDescent="0.3">
      <c r="A410" s="373"/>
      <c r="B410" s="374"/>
      <c r="C410" s="157"/>
      <c r="D410" s="375"/>
      <c r="E410" s="159"/>
      <c r="F410" s="159"/>
      <c r="G410" s="376" t="s">
        <v>134</v>
      </c>
      <c r="H410" s="161" t="s">
        <v>12</v>
      </c>
      <c r="I410" s="187"/>
      <c r="J410" s="187"/>
      <c r="K410" s="223"/>
      <c r="L410" s="168"/>
      <c r="M410" s="168"/>
      <c r="N410" s="377">
        <f ca="1">IFERROR(__xludf.DUMMYFUNCTION("IMPORTRANGE(""https://docs.google.com/spreadsheets/d/11923uPwbBZFjjGgGUA6NLw09EwE0CqkOc4q9oUmW1yo/edit?usp=sharing"",""พะเยา!M305"")"),12960)</f>
        <v>12960</v>
      </c>
      <c r="O410" s="168"/>
      <c r="P410" s="168"/>
    </row>
    <row r="411" spans="1:16" ht="21.75" customHeight="1" x14ac:dyDescent="0.3">
      <c r="A411" s="175"/>
      <c r="B411" s="176"/>
      <c r="C411" s="157" t="s">
        <v>16</v>
      </c>
      <c r="D411" s="177" t="s">
        <v>44</v>
      </c>
      <c r="E411" s="178"/>
      <c r="F411" s="178"/>
      <c r="G411" s="179"/>
      <c r="H411" s="180"/>
      <c r="I411" s="162"/>
      <c r="J411" s="162"/>
      <c r="K411" s="163"/>
      <c r="L411" s="181"/>
      <c r="M411" s="181"/>
      <c r="N411" s="181"/>
      <c r="O411" s="181"/>
      <c r="P411" s="181"/>
    </row>
    <row r="412" spans="1:16" ht="21.75" customHeight="1" x14ac:dyDescent="0.3">
      <c r="A412" s="175"/>
      <c r="B412" s="176"/>
      <c r="C412" s="176"/>
      <c r="D412" s="182">
        <v>1</v>
      </c>
      <c r="E412" s="183" t="s">
        <v>45</v>
      </c>
      <c r="F412" s="184"/>
      <c r="G412" s="185"/>
      <c r="H412" s="186"/>
      <c r="I412" s="187"/>
      <c r="J412" s="197">
        <f ca="1">IFERROR(__xludf.DUMMYFUNCTION("IMPORTRANGE(""https://docs.google.com/spreadsheets/d/11923uPwbBZFjjGgGUA6NLw09EwE0CqkOc4q9oUmW1yo/edit?usp=sharing"",""พะเยา!J307"")"),0)</f>
        <v>0</v>
      </c>
      <c r="K412" s="163"/>
      <c r="L412" s="181"/>
      <c r="M412" s="181"/>
      <c r="N412" s="181"/>
      <c r="O412" s="181"/>
      <c r="P412" s="181"/>
    </row>
    <row r="413" spans="1:16" ht="21.75" customHeight="1" x14ac:dyDescent="0.3">
      <c r="A413" s="175"/>
      <c r="B413" s="176"/>
      <c r="C413" s="176"/>
      <c r="D413" s="189">
        <v>2</v>
      </c>
      <c r="E413" s="190" t="s">
        <v>46</v>
      </c>
      <c r="F413" s="191"/>
      <c r="G413" s="192"/>
      <c r="H413" s="186"/>
      <c r="I413" s="187"/>
      <c r="J413" s="188">
        <f ca="1">IFERROR(__xludf.DUMMYFUNCTION("IMPORTRANGE(""https://docs.google.com/spreadsheets/d/11923uPwbBZFjjGgGUA6NLw09EwE0CqkOc4q9oUmW1yo/edit?usp=sharing"",""พะเยา!J308"")"),1)</f>
        <v>1</v>
      </c>
      <c r="K413" s="163"/>
      <c r="L413" s="181" t="s">
        <v>40</v>
      </c>
      <c r="M413" s="181"/>
      <c r="N413" s="181" t="s">
        <v>40</v>
      </c>
      <c r="O413" s="181"/>
      <c r="P413" s="181"/>
    </row>
    <row r="414" spans="1:16" ht="21.75" customHeight="1" x14ac:dyDescent="0.3">
      <c r="A414" s="175"/>
      <c r="B414" s="176"/>
      <c r="C414" s="176"/>
      <c r="D414" s="193"/>
      <c r="E414" s="194" t="s">
        <v>47</v>
      </c>
      <c r="F414" s="195"/>
      <c r="G414" s="196"/>
      <c r="H414" s="186"/>
      <c r="I414" s="187"/>
      <c r="J414" s="188">
        <f ca="1">IFERROR(__xludf.DUMMYFUNCTION("IMPORTRANGE(""https://docs.google.com/spreadsheets/d/11923uPwbBZFjjGgGUA6NLw09EwE0CqkOc4q9oUmW1yo/edit?usp=sharing"",""พะเยา!J309"")"),1)</f>
        <v>1</v>
      </c>
      <c r="K414" s="163"/>
      <c r="L414" s="181"/>
      <c r="M414" s="181"/>
      <c r="N414" s="181"/>
      <c r="O414" s="181"/>
      <c r="P414" s="181"/>
    </row>
    <row r="415" spans="1:16" ht="21.75" customHeight="1" x14ac:dyDescent="0.3">
      <c r="A415" s="175"/>
      <c r="B415" s="176"/>
      <c r="C415" s="176"/>
      <c r="D415" s="193"/>
      <c r="E415" s="194" t="s">
        <v>48</v>
      </c>
      <c r="F415" s="195"/>
      <c r="G415" s="196"/>
      <c r="H415" s="186"/>
      <c r="I415" s="187"/>
      <c r="J415" s="197">
        <f ca="1">IFERROR(__xludf.DUMMYFUNCTION("IMPORTRANGE(""https://docs.google.com/spreadsheets/d/11923uPwbBZFjjGgGUA6NLw09EwE0CqkOc4q9oUmW1yo/edit?usp=sharing"",""พะเยา!J310"")"),1)</f>
        <v>1</v>
      </c>
      <c r="K415" s="163"/>
      <c r="L415" s="181"/>
      <c r="M415" s="181"/>
      <c r="N415" s="181"/>
      <c r="O415" s="181"/>
      <c r="P415" s="181"/>
    </row>
    <row r="416" spans="1:16" ht="21.75" customHeight="1" x14ac:dyDescent="0.3">
      <c r="A416" s="175"/>
      <c r="B416" s="176"/>
      <c r="C416" s="176"/>
      <c r="D416" s="193"/>
      <c r="E416" s="198"/>
      <c r="F416" s="194" t="s">
        <v>70</v>
      </c>
      <c r="G416" s="386"/>
      <c r="H416" s="387" t="s">
        <v>37</v>
      </c>
      <c r="I416" s="200">
        <f ca="1">IFERROR(__xludf.DUMMYFUNCTION("IMPORTRANGE(""https://docs.google.com/spreadsheets/d/11923uPwbBZFjjGgGUA6NLw09EwE0CqkOc4q9oUmW1yo/edit?usp=sharing"",""พะเยา!I311"")"),87)</f>
        <v>87</v>
      </c>
      <c r="J416" s="200">
        <f ca="1">IFERROR(__xludf.DUMMYFUNCTION("IMPORTRANGE(""https://docs.google.com/spreadsheets/d/11923uPwbBZFjjGgGUA6NLw09EwE0CqkOc4q9oUmW1yo/edit?usp=sharing"",""พะเยา!J311"")"),20)</f>
        <v>20</v>
      </c>
      <c r="K416" s="201">
        <f t="shared" ref="K416:K432" ca="1" si="113">IF(I416&gt;0,J416*100/I416,0)</f>
        <v>22.988505747126435</v>
      </c>
      <c r="L416" s="181"/>
      <c r="M416" s="181"/>
      <c r="N416" s="181"/>
      <c r="O416" s="181"/>
      <c r="P416" s="181"/>
    </row>
    <row r="417" spans="1:16" ht="21.75" customHeight="1" x14ac:dyDescent="0.45">
      <c r="A417" s="175"/>
      <c r="B417" s="176"/>
      <c r="C417" s="176"/>
      <c r="D417" s="193"/>
      <c r="E417" s="198"/>
      <c r="F417" s="388" t="s">
        <v>148</v>
      </c>
      <c r="G417" s="196"/>
      <c r="H417" s="199" t="s">
        <v>37</v>
      </c>
      <c r="I417" s="389">
        <f ca="1">IFERROR(__xludf.DUMMYFUNCTION("IMPORTRANGE(""https://docs.google.com/spreadsheets/d/11923uPwbBZFjjGgGUA6NLw09EwE0CqkOc4q9oUmW1yo/edit?usp=sharing"",""พะเยา!I312"")"),20)</f>
        <v>20</v>
      </c>
      <c r="J417" s="390">
        <f ca="1">IFERROR(__xludf.DUMMYFUNCTION("IMPORTRANGE(""https://docs.google.com/spreadsheets/d/11923uPwbBZFjjGgGUA6NLw09EwE0CqkOc4q9oUmW1yo/edit?usp=sharing"",""พะเยา!J312"")"),20)</f>
        <v>20</v>
      </c>
      <c r="K417" s="201">
        <f t="shared" ca="1" si="113"/>
        <v>100</v>
      </c>
      <c r="L417" s="181"/>
      <c r="M417" s="181"/>
      <c r="N417" s="181"/>
      <c r="O417" s="181"/>
      <c r="P417" s="181"/>
    </row>
    <row r="418" spans="1:16" ht="21.75" customHeight="1" x14ac:dyDescent="0.45">
      <c r="A418" s="175"/>
      <c r="B418" s="176"/>
      <c r="C418" s="176"/>
      <c r="D418" s="193"/>
      <c r="E418" s="198"/>
      <c r="F418" s="195"/>
      <c r="G418" s="196"/>
      <c r="H418" s="199" t="s">
        <v>122</v>
      </c>
      <c r="I418" s="389">
        <f ca="1">IFERROR(__xludf.DUMMYFUNCTION("IMPORTRANGE(""https://docs.google.com/spreadsheets/d/11923uPwbBZFjjGgGUA6NLw09EwE0CqkOc4q9oUmW1yo/edit?usp=sharing"",""พะเยา!I313"")"),60)</f>
        <v>60</v>
      </c>
      <c r="J418" s="391">
        <f ca="1">IFERROR(__xludf.DUMMYFUNCTION("IMPORTRANGE(""https://docs.google.com/spreadsheets/d/11923uPwbBZFjjGgGUA6NLw09EwE0CqkOc4q9oUmW1yo/edit?usp=sharing"",""พะเยา!J313"")"),0)</f>
        <v>0</v>
      </c>
      <c r="K418" s="201">
        <f t="shared" ca="1" si="113"/>
        <v>0</v>
      </c>
      <c r="L418" s="181"/>
      <c r="M418" s="181"/>
      <c r="N418" s="181"/>
      <c r="O418" s="181"/>
      <c r="P418" s="181"/>
    </row>
    <row r="419" spans="1:16" ht="21.75" customHeight="1" x14ac:dyDescent="0.45">
      <c r="A419" s="175"/>
      <c r="B419" s="176"/>
      <c r="C419" s="176"/>
      <c r="D419" s="193"/>
      <c r="E419" s="198"/>
      <c r="F419" s="195"/>
      <c r="G419" s="225" t="s">
        <v>149</v>
      </c>
      <c r="H419" s="180" t="s">
        <v>37</v>
      </c>
      <c r="I419" s="339">
        <f ca="1">IFERROR(__xludf.DUMMYFUNCTION("IMPORTRANGE(""https://docs.google.com/spreadsheets/d/11923uPwbBZFjjGgGUA6NLw09EwE0CqkOc4q9oUmW1yo/edit?usp=sharing"",""พะเยา!I314"")"),20)</f>
        <v>20</v>
      </c>
      <c r="J419" s="392">
        <f ca="1">IFERROR(__xludf.DUMMYFUNCTION("IMPORTRANGE(""https://docs.google.com/spreadsheets/d/11923uPwbBZFjjGgGUA6NLw09EwE0CqkOc4q9oUmW1yo/edit?usp=sharing"",""พะเยา!J314"")"),20)</f>
        <v>20</v>
      </c>
      <c r="K419" s="163">
        <f t="shared" ca="1" si="113"/>
        <v>100</v>
      </c>
      <c r="L419" s="181"/>
      <c r="M419" s="181"/>
      <c r="N419" s="181"/>
      <c r="O419" s="181"/>
      <c r="P419" s="181"/>
    </row>
    <row r="420" spans="1:16" ht="21.75" customHeight="1" x14ac:dyDescent="0.45">
      <c r="A420" s="233"/>
      <c r="B420" s="234"/>
      <c r="C420" s="234"/>
      <c r="D420" s="393"/>
      <c r="E420" s="394"/>
      <c r="F420" s="345"/>
      <c r="G420" s="395" t="s">
        <v>150</v>
      </c>
      <c r="H420" s="347" t="s">
        <v>37</v>
      </c>
      <c r="I420" s="396">
        <f ca="1">IFERROR(__xludf.DUMMYFUNCTION("IMPORTRANGE(""https://docs.google.com/spreadsheets/d/11923uPwbBZFjjGgGUA6NLw09EwE0CqkOc4q9oUmW1yo/edit?usp=sharing"",""พะเยา!I315"")"),20)</f>
        <v>20</v>
      </c>
      <c r="J420" s="392">
        <f ca="1">IFERROR(__xludf.DUMMYFUNCTION("IMPORTRANGE(""https://docs.google.com/spreadsheets/d/11923uPwbBZFjjGgGUA6NLw09EwE0CqkOc4q9oUmW1yo/edit?usp=sharing"",""พะเยา!J315"")"),20)</f>
        <v>20</v>
      </c>
      <c r="K420" s="286">
        <f t="shared" ca="1" si="113"/>
        <v>100</v>
      </c>
      <c r="L420" s="244"/>
      <c r="M420" s="244"/>
      <c r="N420" s="244"/>
      <c r="O420" s="244"/>
      <c r="P420" s="244"/>
    </row>
    <row r="421" spans="1:16" ht="21.75" customHeight="1" x14ac:dyDescent="0.45">
      <c r="A421" s="175"/>
      <c r="B421" s="176"/>
      <c r="C421" s="176"/>
      <c r="D421" s="193"/>
      <c r="E421" s="198"/>
      <c r="F421" s="388" t="s">
        <v>151</v>
      </c>
      <c r="G421" s="196"/>
      <c r="H421" s="199" t="s">
        <v>37</v>
      </c>
      <c r="I421" s="389">
        <f ca="1">IFERROR(__xludf.DUMMYFUNCTION("IMPORTRANGE(""https://docs.google.com/spreadsheets/d/11923uPwbBZFjjGgGUA6NLw09EwE0CqkOc4q9oUmW1yo/edit?usp=sharing"",""พะเยา!I316"")"),50)</f>
        <v>50</v>
      </c>
      <c r="J421" s="390">
        <f ca="1">IFERROR(__xludf.DUMMYFUNCTION("IMPORTRANGE(""https://docs.google.com/spreadsheets/d/11923uPwbBZFjjGgGUA6NLw09EwE0CqkOc4q9oUmW1yo/edit?usp=sharing"",""พะเยา!J316"")"),0)</f>
        <v>0</v>
      </c>
      <c r="K421" s="201">
        <f t="shared" ca="1" si="113"/>
        <v>0</v>
      </c>
      <c r="L421" s="181"/>
      <c r="M421" s="181"/>
      <c r="N421" s="181"/>
      <c r="O421" s="181"/>
      <c r="P421" s="181"/>
    </row>
    <row r="422" spans="1:16" ht="21.75" customHeight="1" x14ac:dyDescent="0.45">
      <c r="A422" s="175"/>
      <c r="B422" s="176"/>
      <c r="C422" s="176"/>
      <c r="D422" s="193"/>
      <c r="E422" s="198"/>
      <c r="F422" s="195"/>
      <c r="G422" s="196"/>
      <c r="H422" s="199" t="s">
        <v>122</v>
      </c>
      <c r="I422" s="389">
        <f ca="1">IFERROR(__xludf.DUMMYFUNCTION("IMPORTRANGE(""https://docs.google.com/spreadsheets/d/11923uPwbBZFjjGgGUA6NLw09EwE0CqkOc4q9oUmW1yo/edit?usp=sharing"",""พะเยา!I317"")"),150)</f>
        <v>150</v>
      </c>
      <c r="J422" s="391">
        <f ca="1">IFERROR(__xludf.DUMMYFUNCTION("IMPORTRANGE(""https://docs.google.com/spreadsheets/d/11923uPwbBZFjjGgGUA6NLw09EwE0CqkOc4q9oUmW1yo/edit?usp=sharing"",""พะเยา!J317"")"),0)</f>
        <v>0</v>
      </c>
      <c r="K422" s="201">
        <f t="shared" ca="1" si="113"/>
        <v>0</v>
      </c>
      <c r="L422" s="181"/>
      <c r="M422" s="181"/>
      <c r="N422" s="181"/>
      <c r="O422" s="181"/>
      <c r="P422" s="181"/>
    </row>
    <row r="423" spans="1:16" ht="21.75" customHeight="1" x14ac:dyDescent="0.45">
      <c r="A423" s="175"/>
      <c r="B423" s="176"/>
      <c r="C423" s="176"/>
      <c r="D423" s="193"/>
      <c r="E423" s="198"/>
      <c r="F423" s="195"/>
      <c r="G423" s="225" t="s">
        <v>152</v>
      </c>
      <c r="H423" s="180" t="s">
        <v>37</v>
      </c>
      <c r="I423" s="339">
        <f ca="1">IFERROR(__xludf.DUMMYFUNCTION("IMPORTRANGE(""https://docs.google.com/spreadsheets/d/11923uPwbBZFjjGgGUA6NLw09EwE0CqkOc4q9oUmW1yo/edit?usp=sharing"",""พะเยา!I318"")"),50)</f>
        <v>50</v>
      </c>
      <c r="J423" s="392">
        <f ca="1">IFERROR(__xludf.DUMMYFUNCTION("IMPORTRANGE(""https://docs.google.com/spreadsheets/d/11923uPwbBZFjjGgGUA6NLw09EwE0CqkOc4q9oUmW1yo/edit?usp=sharing"",""พะเยา!J318"")"),0)</f>
        <v>0</v>
      </c>
      <c r="K423" s="163">
        <f t="shared" ca="1" si="113"/>
        <v>0</v>
      </c>
      <c r="L423" s="181"/>
      <c r="M423" s="181"/>
      <c r="N423" s="181"/>
      <c r="O423" s="181"/>
      <c r="P423" s="181"/>
    </row>
    <row r="424" spans="1:16" ht="21.75" customHeight="1" x14ac:dyDescent="0.45">
      <c r="A424" s="175"/>
      <c r="B424" s="176"/>
      <c r="C424" s="176"/>
      <c r="D424" s="193"/>
      <c r="E424" s="198"/>
      <c r="F424" s="195"/>
      <c r="G424" s="225" t="s">
        <v>153</v>
      </c>
      <c r="H424" s="180" t="s">
        <v>37</v>
      </c>
      <c r="I424" s="339">
        <f ca="1">IFERROR(__xludf.DUMMYFUNCTION("IMPORTRANGE(""https://docs.google.com/spreadsheets/d/11923uPwbBZFjjGgGUA6NLw09EwE0CqkOc4q9oUmW1yo/edit?usp=sharing"",""พะเยา!I319"")"),50)</f>
        <v>50</v>
      </c>
      <c r="J424" s="392">
        <f ca="1">IFERROR(__xludf.DUMMYFUNCTION("IMPORTRANGE(""https://docs.google.com/spreadsheets/d/11923uPwbBZFjjGgGUA6NLw09EwE0CqkOc4q9oUmW1yo/edit?usp=sharing"",""พะเยา!J319"")"),0)</f>
        <v>0</v>
      </c>
      <c r="K424" s="163">
        <f t="shared" ca="1" si="113"/>
        <v>0</v>
      </c>
      <c r="L424" s="181"/>
      <c r="M424" s="181"/>
      <c r="N424" s="181"/>
      <c r="O424" s="181"/>
      <c r="P424" s="181"/>
    </row>
    <row r="425" spans="1:16" ht="21.75" customHeight="1" x14ac:dyDescent="0.45">
      <c r="A425" s="175"/>
      <c r="B425" s="176"/>
      <c r="C425" s="176"/>
      <c r="D425" s="193"/>
      <c r="E425" s="198"/>
      <c r="F425" s="195"/>
      <c r="G425" s="225" t="s">
        <v>154</v>
      </c>
      <c r="H425" s="180" t="s">
        <v>37</v>
      </c>
      <c r="I425" s="339">
        <f ca="1">IFERROR(__xludf.DUMMYFUNCTION("IMPORTRANGE(""https://docs.google.com/spreadsheets/d/11923uPwbBZFjjGgGUA6NLw09EwE0CqkOc4q9oUmW1yo/edit?usp=sharing"",""พะเยา!I320"")"),50)</f>
        <v>50</v>
      </c>
      <c r="J425" s="392">
        <f ca="1">IFERROR(__xludf.DUMMYFUNCTION("IMPORTRANGE(""https://docs.google.com/spreadsheets/d/11923uPwbBZFjjGgGUA6NLw09EwE0CqkOc4q9oUmW1yo/edit?usp=sharing"",""พะเยา!J320"")"),0)</f>
        <v>0</v>
      </c>
      <c r="K425" s="163">
        <f t="shared" ca="1" si="113"/>
        <v>0</v>
      </c>
      <c r="L425" s="181"/>
      <c r="M425" s="181"/>
      <c r="N425" s="181"/>
      <c r="O425" s="181"/>
      <c r="P425" s="181"/>
    </row>
    <row r="426" spans="1:16" ht="21.75" customHeight="1" x14ac:dyDescent="0.45">
      <c r="A426" s="175"/>
      <c r="B426" s="176"/>
      <c r="C426" s="176"/>
      <c r="D426" s="193"/>
      <c r="E426" s="198"/>
      <c r="F426" s="397" t="s">
        <v>155</v>
      </c>
      <c r="G426" s="196"/>
      <c r="H426" s="199" t="s">
        <v>37</v>
      </c>
      <c r="I426" s="389">
        <f ca="1">IFERROR(__xludf.DUMMYFUNCTION("IMPORTRANGE(""https://docs.google.com/spreadsheets/d/11923uPwbBZFjjGgGUA6NLw09EwE0CqkOc4q9oUmW1yo/edit?usp=sharing"",""พะเยา!I321"")"),17)</f>
        <v>17</v>
      </c>
      <c r="J426" s="390">
        <f ca="1">IFERROR(__xludf.DUMMYFUNCTION("IMPORTRANGE(""https://docs.google.com/spreadsheets/d/11923uPwbBZFjjGgGUA6NLw09EwE0CqkOc4q9oUmW1yo/edit?usp=sharing"",""พะเยา!J321"")"),0)</f>
        <v>0</v>
      </c>
      <c r="K426" s="201">
        <f t="shared" ca="1" si="113"/>
        <v>0</v>
      </c>
      <c r="L426" s="181"/>
      <c r="M426" s="181"/>
      <c r="N426" s="181"/>
      <c r="O426" s="181"/>
      <c r="P426" s="181"/>
    </row>
    <row r="427" spans="1:16" ht="21.75" customHeight="1" x14ac:dyDescent="0.45">
      <c r="A427" s="175"/>
      <c r="B427" s="176"/>
      <c r="C427" s="176"/>
      <c r="D427" s="193"/>
      <c r="E427" s="198"/>
      <c r="F427" s="195"/>
      <c r="G427" s="196"/>
      <c r="H427" s="199" t="s">
        <v>122</v>
      </c>
      <c r="I427" s="389">
        <f ca="1">IFERROR(__xludf.DUMMYFUNCTION("IMPORTRANGE(""https://docs.google.com/spreadsheets/d/11923uPwbBZFjjGgGUA6NLw09EwE0CqkOc4q9oUmW1yo/edit?usp=sharing"",""พะเยา!I322"")"),51)</f>
        <v>51</v>
      </c>
      <c r="J427" s="391">
        <f ca="1">IFERROR(__xludf.DUMMYFUNCTION("IMPORTRANGE(""https://docs.google.com/spreadsheets/d/11923uPwbBZFjjGgGUA6NLw09EwE0CqkOc4q9oUmW1yo/edit?usp=sharing"",""พะเยา!J322"")"),0)</f>
        <v>0</v>
      </c>
      <c r="K427" s="201">
        <f t="shared" ca="1" si="113"/>
        <v>0</v>
      </c>
      <c r="L427" s="181"/>
      <c r="M427" s="181"/>
      <c r="N427" s="181"/>
      <c r="O427" s="181"/>
      <c r="P427" s="181"/>
    </row>
    <row r="428" spans="1:16" ht="21.75" customHeight="1" x14ac:dyDescent="0.45">
      <c r="A428" s="175"/>
      <c r="B428" s="176"/>
      <c r="C428" s="176"/>
      <c r="D428" s="193"/>
      <c r="E428" s="198"/>
      <c r="F428" s="195"/>
      <c r="G428" s="225" t="s">
        <v>156</v>
      </c>
      <c r="H428" s="180" t="s">
        <v>37</v>
      </c>
      <c r="I428" s="398">
        <f ca="1">IFERROR(__xludf.DUMMYFUNCTION("IMPORTRANGE(""https://docs.google.com/spreadsheets/d/11923uPwbBZFjjGgGUA6NLw09EwE0CqkOc4q9oUmW1yo/edit?usp=sharing"",""พะเยา!I323"")"),17)</f>
        <v>17</v>
      </c>
      <c r="J428" s="392">
        <f ca="1">IFERROR(__xludf.DUMMYFUNCTION("IMPORTRANGE(""https://docs.google.com/spreadsheets/d/11923uPwbBZFjjGgGUA6NLw09EwE0CqkOc4q9oUmW1yo/edit?usp=sharing"",""พะเยา!J323"")"),0)</f>
        <v>0</v>
      </c>
      <c r="K428" s="163">
        <f t="shared" ca="1" si="113"/>
        <v>0</v>
      </c>
      <c r="L428" s="181"/>
      <c r="M428" s="181"/>
      <c r="N428" s="181"/>
      <c r="O428" s="181"/>
      <c r="P428" s="181"/>
    </row>
    <row r="429" spans="1:16" ht="21.75" customHeight="1" x14ac:dyDescent="0.45">
      <c r="A429" s="175"/>
      <c r="B429" s="176"/>
      <c r="C429" s="176"/>
      <c r="D429" s="193"/>
      <c r="E429" s="198"/>
      <c r="F429" s="195"/>
      <c r="G429" s="225" t="s">
        <v>157</v>
      </c>
      <c r="H429" s="180" t="s">
        <v>37</v>
      </c>
      <c r="I429" s="398">
        <f ca="1">IFERROR(__xludf.DUMMYFUNCTION("IMPORTRANGE(""https://docs.google.com/spreadsheets/d/11923uPwbBZFjjGgGUA6NLw09EwE0CqkOc4q9oUmW1yo/edit?usp=sharing"",""พะเยา!I324"")"),17)</f>
        <v>17</v>
      </c>
      <c r="J429" s="392">
        <f ca="1">IFERROR(__xludf.DUMMYFUNCTION("IMPORTRANGE(""https://docs.google.com/spreadsheets/d/11923uPwbBZFjjGgGUA6NLw09EwE0CqkOc4q9oUmW1yo/edit?usp=sharing"",""พะเยา!J324"")"),0)</f>
        <v>0</v>
      </c>
      <c r="K429" s="163">
        <f t="shared" ca="1" si="113"/>
        <v>0</v>
      </c>
      <c r="L429" s="181"/>
      <c r="M429" s="181"/>
      <c r="N429" s="181"/>
      <c r="O429" s="181"/>
      <c r="P429" s="181"/>
    </row>
    <row r="430" spans="1:16" ht="21.75" customHeight="1" x14ac:dyDescent="0.45">
      <c r="A430" s="175"/>
      <c r="B430" s="176"/>
      <c r="C430" s="176"/>
      <c r="D430" s="193"/>
      <c r="E430" s="198"/>
      <c r="F430" s="194" t="s">
        <v>53</v>
      </c>
      <c r="G430" s="386"/>
      <c r="H430" s="399" t="s">
        <v>37</v>
      </c>
      <c r="I430" s="200">
        <f ca="1">IFERROR(__xludf.DUMMYFUNCTION("IMPORTRANGE(""https://docs.google.com/spreadsheets/d/11923uPwbBZFjjGgGUA6NLw09EwE0CqkOc4q9oUmW1yo/edit?usp=sharing"",""พะเยา!I325"")"),70)</f>
        <v>70</v>
      </c>
      <c r="J430" s="390">
        <f ca="1">IFERROR(__xludf.DUMMYFUNCTION("IMPORTRANGE(""https://docs.google.com/spreadsheets/d/11923uPwbBZFjjGgGUA6NLw09EwE0CqkOc4q9oUmW1yo/edit?usp=sharing"",""พะเยา!J325"")"),0)</f>
        <v>0</v>
      </c>
      <c r="K430" s="201">
        <f t="shared" ca="1" si="113"/>
        <v>0</v>
      </c>
      <c r="L430" s="181"/>
      <c r="M430" s="181"/>
      <c r="N430" s="181"/>
      <c r="O430" s="181"/>
      <c r="P430" s="181"/>
    </row>
    <row r="431" spans="1:16" ht="21.75" customHeight="1" x14ac:dyDescent="0.45">
      <c r="A431" s="400"/>
      <c r="B431" s="401"/>
      <c r="C431" s="401"/>
      <c r="D431" s="402"/>
      <c r="E431" s="198"/>
      <c r="F431" s="195"/>
      <c r="G431" s="225" t="s">
        <v>158</v>
      </c>
      <c r="H431" s="180" t="s">
        <v>37</v>
      </c>
      <c r="I431" s="398">
        <f ca="1">IFERROR(__xludf.DUMMYFUNCTION("IMPORTRANGE(""https://docs.google.com/spreadsheets/d/11923uPwbBZFjjGgGUA6NLw09EwE0CqkOc4q9oUmW1yo/edit?usp=sharing"",""พะเยา!I326"")"),20)</f>
        <v>20</v>
      </c>
      <c r="J431" s="392">
        <f ca="1">IFERROR(__xludf.DUMMYFUNCTION("IMPORTRANGE(""https://docs.google.com/spreadsheets/d/11923uPwbBZFjjGgGUA6NLw09EwE0CqkOc4q9oUmW1yo/edit?usp=sharing"",""พะเยา!J326"")"),0)</f>
        <v>0</v>
      </c>
      <c r="K431" s="163">
        <f t="shared" ca="1" si="113"/>
        <v>0</v>
      </c>
      <c r="L431" s="181"/>
      <c r="M431" s="181"/>
      <c r="N431" s="181"/>
      <c r="O431" s="181"/>
      <c r="P431" s="181"/>
    </row>
    <row r="432" spans="1:16" ht="21.75" customHeight="1" x14ac:dyDescent="0.45">
      <c r="A432" s="400"/>
      <c r="B432" s="401"/>
      <c r="C432" s="401"/>
      <c r="D432" s="402"/>
      <c r="E432" s="198"/>
      <c r="F432" s="195"/>
      <c r="G432" s="225" t="s">
        <v>159</v>
      </c>
      <c r="H432" s="180" t="s">
        <v>37</v>
      </c>
      <c r="I432" s="398">
        <f ca="1">IFERROR(__xludf.DUMMYFUNCTION("IMPORTRANGE(""https://docs.google.com/spreadsheets/d/11923uPwbBZFjjGgGUA6NLw09EwE0CqkOc4q9oUmW1yo/edit?usp=sharing"",""พะเยา!I327"")"),50)</f>
        <v>50</v>
      </c>
      <c r="J432" s="392">
        <f ca="1">IFERROR(__xludf.DUMMYFUNCTION("IMPORTRANGE(""https://docs.google.com/spreadsheets/d/11923uPwbBZFjjGgGUA6NLw09EwE0CqkOc4q9oUmW1yo/edit?usp=sharing"",""พะเยา!J327"")"),0)</f>
        <v>0</v>
      </c>
      <c r="K432" s="163">
        <f t="shared" ca="1" si="113"/>
        <v>0</v>
      </c>
      <c r="L432" s="181"/>
      <c r="M432" s="181"/>
      <c r="N432" s="181"/>
      <c r="O432" s="181"/>
      <c r="P432" s="181"/>
    </row>
    <row r="433" spans="1:16" ht="21.75" customHeight="1" x14ac:dyDescent="0.3">
      <c r="A433" s="175"/>
      <c r="B433" s="176"/>
      <c r="C433" s="176"/>
      <c r="D433" s="193"/>
      <c r="E433" s="194" t="s">
        <v>54</v>
      </c>
      <c r="F433" s="195"/>
      <c r="G433" s="196"/>
      <c r="H433" s="186"/>
      <c r="I433" s="187"/>
      <c r="J433" s="197">
        <f ca="1">IFERROR(__xludf.DUMMYFUNCTION("IMPORTRANGE(""https://docs.google.com/spreadsheets/d/11923uPwbBZFjjGgGUA6NLw09EwE0CqkOc4q9oUmW1yo/edit?usp=sharing"",""พะเยา!J328"")"),0)</f>
        <v>0</v>
      </c>
      <c r="K433" s="163"/>
      <c r="L433" s="181"/>
      <c r="M433" s="181"/>
      <c r="N433" s="181"/>
      <c r="O433" s="181"/>
      <c r="P433" s="181"/>
    </row>
    <row r="434" spans="1:16" ht="21.75" customHeight="1" x14ac:dyDescent="0.3">
      <c r="A434" s="175"/>
      <c r="B434" s="176"/>
      <c r="C434" s="176"/>
      <c r="D434" s="205">
        <v>3</v>
      </c>
      <c r="E434" s="206" t="s">
        <v>55</v>
      </c>
      <c r="F434" s="207"/>
      <c r="G434" s="208"/>
      <c r="H434" s="186"/>
      <c r="I434" s="187"/>
      <c r="J434" s="209">
        <f ca="1">IFERROR(__xludf.DUMMYFUNCTION("IMPORTRANGE(""https://docs.google.com/spreadsheets/d/11923uPwbBZFjjGgGUA6NLw09EwE0CqkOc4q9oUmW1yo/edit?usp=sharing"",""พะเยา!J329"")"),0)</f>
        <v>0</v>
      </c>
      <c r="K434" s="163"/>
      <c r="L434" s="181"/>
      <c r="M434" s="181"/>
      <c r="N434" s="181"/>
      <c r="O434" s="181"/>
      <c r="P434" s="181"/>
    </row>
    <row r="435" spans="1:16" ht="21.75" customHeight="1" x14ac:dyDescent="0.3">
      <c r="A435" s="403"/>
      <c r="B435" s="404">
        <v>4</v>
      </c>
      <c r="C435" s="404" t="s">
        <v>160</v>
      </c>
      <c r="D435" s="405"/>
      <c r="E435" s="405"/>
      <c r="F435" s="405"/>
      <c r="G435" s="406"/>
      <c r="H435" s="407" t="s">
        <v>37</v>
      </c>
      <c r="I435" s="408">
        <f ca="1">IFERROR(__xludf.DUMMYFUNCTION("IMPORTRANGE(""https://docs.google.com/spreadsheets/d/11923uPwbBZFjjGgGUA6NLw09EwE0CqkOc4q9oUmW1yo/edit?usp=sharing"",""พะเยา!I330"")"),43)</f>
        <v>43</v>
      </c>
      <c r="J435" s="408">
        <f ca="1">IFERROR(__xludf.DUMMYFUNCTION("IMPORTRANGE(""https://docs.google.com/spreadsheets/d/11923uPwbBZFjjGgGUA6NLw09EwE0CqkOc4q9oUmW1yo/edit?usp=sharing"",""พะเยา!J330"")"),43)</f>
        <v>43</v>
      </c>
      <c r="K435" s="409">
        <f ca="1">IF(I435&gt;0,J435*100/I435,0)</f>
        <v>100</v>
      </c>
      <c r="L435" s="410">
        <f ca="1">IFERROR(__xludf.DUMMYFUNCTION("IMPORTRANGE(""https://docs.google.com/spreadsheets/d/11923uPwbBZFjjGgGUA6NLw09EwE0CqkOc4q9oUmW1yo/edit?usp=sharing"",""พะเยา!L330"")"),145000)</f>
        <v>145000</v>
      </c>
      <c r="M435" s="410"/>
      <c r="N435" s="410">
        <f ca="1">IFERROR(__xludf.DUMMYFUNCTION("IMPORTRANGE(""https://docs.google.com/spreadsheets/d/11923uPwbBZFjjGgGUA6NLw09EwE0CqkOc4q9oUmW1yo/edit?usp=sharing"",""พะเยา!M330"")"),77116)</f>
        <v>77116</v>
      </c>
      <c r="O435" s="410">
        <f t="shared" ref="O435:O439" ca="1" si="114">+IF(L435&gt;0,N435*100/L435,0)</f>
        <v>53.183448275862069</v>
      </c>
      <c r="P435" s="410"/>
    </row>
    <row r="436" spans="1:16" ht="21.75" customHeight="1" x14ac:dyDescent="0.3">
      <c r="A436" s="156"/>
      <c r="B436" s="157"/>
      <c r="C436" s="157" t="s">
        <v>16</v>
      </c>
      <c r="D436" s="158" t="s">
        <v>38</v>
      </c>
      <c r="E436" s="159"/>
      <c r="F436" s="159"/>
      <c r="G436" s="160" t="s">
        <v>39</v>
      </c>
      <c r="H436" s="161" t="s">
        <v>12</v>
      </c>
      <c r="I436" s="162" t="s">
        <v>40</v>
      </c>
      <c r="J436" s="162"/>
      <c r="K436" s="163"/>
      <c r="L436" s="164">
        <f ca="1">IFERROR(__xludf.DUMMYFUNCTION("IMPORTRANGE(""https://docs.google.com/spreadsheets/d/11923uPwbBZFjjGgGUA6NLw09EwE0CqkOc4q9oUmW1yo/edit?usp=sharing"",""พะเยา!L331"")"),0)</f>
        <v>0</v>
      </c>
      <c r="M436" s="164"/>
      <c r="N436" s="168">
        <f ca="1">IFERROR(__xludf.DUMMYFUNCTION("IMPORTRANGE(""https://docs.google.com/spreadsheets/d/11923uPwbBZFjjGgGUA6NLw09EwE0CqkOc4q9oUmW1yo/edit?usp=sharing"",""พะเยา!M331"")"),0)</f>
        <v>0</v>
      </c>
      <c r="O436" s="168">
        <f t="shared" ca="1" si="114"/>
        <v>0</v>
      </c>
      <c r="P436" s="168"/>
    </row>
    <row r="437" spans="1:16" ht="21.75" customHeight="1" x14ac:dyDescent="0.3">
      <c r="A437" s="156"/>
      <c r="B437" s="157"/>
      <c r="C437" s="157"/>
      <c r="D437" s="166"/>
      <c r="E437" s="159"/>
      <c r="F437" s="159" t="s">
        <v>40</v>
      </c>
      <c r="G437" s="160" t="s">
        <v>41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IFERROR(__xludf.DUMMYFUNCTION("IMPORTRANGE(""https://docs.google.com/spreadsheets/d/11923uPwbBZFjjGgGUA6NLw09EwE0CqkOc4q9oUmW1yo/edit?usp=sharing"",""พะเยา!L332"")"),145000)</f>
        <v>145000</v>
      </c>
      <c r="M437" s="165"/>
      <c r="N437" s="168">
        <f ca="1">IFERROR(__xludf.DUMMYFUNCTION("IMPORTRANGE(""https://docs.google.com/spreadsheets/d/11923uPwbBZFjjGgGUA6NLw09EwE0CqkOc4q9oUmW1yo/edit?usp=sharing"",""พะเยา!M332"")"),77116)</f>
        <v>77116</v>
      </c>
      <c r="O437" s="168">
        <f t="shared" ca="1" si="114"/>
        <v>53.183448275862069</v>
      </c>
      <c r="P437" s="168"/>
    </row>
    <row r="438" spans="1:16" ht="21.75" customHeight="1" x14ac:dyDescent="0.3">
      <c r="A438" s="156"/>
      <c r="B438" s="157"/>
      <c r="C438" s="157"/>
      <c r="D438" s="166"/>
      <c r="E438" s="159"/>
      <c r="F438" s="159"/>
      <c r="G438" s="372" t="s">
        <v>129</v>
      </c>
      <c r="H438" s="161" t="s">
        <v>12</v>
      </c>
      <c r="I438" s="162"/>
      <c r="J438" s="162"/>
      <c r="K438" s="163"/>
      <c r="L438" s="168">
        <f ca="1">IFERROR(__xludf.DUMMYFUNCTION("IMPORTRANGE(""https://docs.google.com/spreadsheets/d/11923uPwbBZFjjGgGUA6NLw09EwE0CqkOc4q9oUmW1yo/edit?usp=sharing"",""พะเยา!L333"")"),0)</f>
        <v>0</v>
      </c>
      <c r="M438" s="168"/>
      <c r="N438" s="168">
        <f ca="1">IFERROR(__xludf.DUMMYFUNCTION("IMPORTRANGE(""https://docs.google.com/spreadsheets/d/11923uPwbBZFjjGgGUA6NLw09EwE0CqkOc4q9oUmW1yo/edit?usp=sharing"",""พะเยา!M333"")"),0)</f>
        <v>0</v>
      </c>
      <c r="O438" s="168">
        <f t="shared" ca="1" si="114"/>
        <v>0</v>
      </c>
      <c r="P438" s="168"/>
    </row>
    <row r="439" spans="1:16" ht="21.75" customHeight="1" x14ac:dyDescent="0.3">
      <c r="A439" s="156"/>
      <c r="B439" s="157"/>
      <c r="C439" s="157"/>
      <c r="D439" s="166"/>
      <c r="E439" s="159"/>
      <c r="F439" s="159"/>
      <c r="G439" s="372" t="s">
        <v>130</v>
      </c>
      <c r="H439" s="161" t="s">
        <v>12</v>
      </c>
      <c r="I439" s="162"/>
      <c r="J439" s="162"/>
      <c r="K439" s="163"/>
      <c r="L439" s="168">
        <f ca="1">IFERROR(__xludf.DUMMYFUNCTION("IMPORTRANGE(""https://docs.google.com/spreadsheets/d/11923uPwbBZFjjGgGUA6NLw09EwE0CqkOc4q9oUmW1yo/edit?usp=sharing"",""พะเยา!L334"")"),145000)</f>
        <v>145000</v>
      </c>
      <c r="M439" s="168"/>
      <c r="N439" s="168">
        <f ca="1">IFERROR(__xludf.DUMMYFUNCTION("IMPORTRANGE(""https://docs.google.com/spreadsheets/d/11923uPwbBZFjjGgGUA6NLw09EwE0CqkOc4q9oUmW1yo/edit?usp=sharing"",""พะเยา!M334"")"),77116)</f>
        <v>77116</v>
      </c>
      <c r="O439" s="168">
        <f t="shared" ca="1" si="114"/>
        <v>53.183448275862069</v>
      </c>
      <c r="P439" s="168"/>
    </row>
    <row r="440" spans="1:16" ht="21.75" customHeight="1" x14ac:dyDescent="0.3">
      <c r="A440" s="373"/>
      <c r="B440" s="374"/>
      <c r="C440" s="157"/>
      <c r="D440" s="375"/>
      <c r="E440" s="159"/>
      <c r="F440" s="159"/>
      <c r="G440" s="376" t="s">
        <v>131</v>
      </c>
      <c r="H440" s="161" t="s">
        <v>12</v>
      </c>
      <c r="I440" s="187"/>
      <c r="J440" s="187"/>
      <c r="K440" s="223"/>
      <c r="L440" s="168"/>
      <c r="M440" s="168"/>
      <c r="N440" s="377">
        <f ca="1">IFERROR(__xludf.DUMMYFUNCTION("IMPORTRANGE(""https://docs.google.com/spreadsheets/d/11923uPwbBZFjjGgGUA6NLw09EwE0CqkOc4q9oUmW1yo/edit?usp=sharing"",""พะเยา!M335"")"),64638)</f>
        <v>64638</v>
      </c>
      <c r="O440" s="168"/>
      <c r="P440" s="168"/>
    </row>
    <row r="441" spans="1:16" ht="21.75" customHeight="1" x14ac:dyDescent="0.3">
      <c r="A441" s="373"/>
      <c r="B441" s="374"/>
      <c r="C441" s="157"/>
      <c r="D441" s="375"/>
      <c r="E441" s="159"/>
      <c r="F441" s="159"/>
      <c r="G441" s="376" t="s">
        <v>132</v>
      </c>
      <c r="H441" s="161" t="s">
        <v>12</v>
      </c>
      <c r="I441" s="187"/>
      <c r="J441" s="187"/>
      <c r="K441" s="223"/>
      <c r="L441" s="168"/>
      <c r="M441" s="168"/>
      <c r="N441" s="377">
        <f ca="1">IFERROR(__xludf.DUMMYFUNCTION("IMPORTRANGE(""https://docs.google.com/spreadsheets/d/11923uPwbBZFjjGgGUA6NLw09EwE0CqkOc4q9oUmW1yo/edit?usp=sharing"",""พะเยา!M336"")"),0)</f>
        <v>0</v>
      </c>
      <c r="O441" s="168"/>
      <c r="P441" s="168"/>
    </row>
    <row r="442" spans="1:16" ht="21.75" customHeight="1" x14ac:dyDescent="0.3">
      <c r="A442" s="373"/>
      <c r="B442" s="374"/>
      <c r="C442" s="157"/>
      <c r="D442" s="375"/>
      <c r="E442" s="159"/>
      <c r="F442" s="159"/>
      <c r="G442" s="376" t="s">
        <v>133</v>
      </c>
      <c r="H442" s="161" t="s">
        <v>12</v>
      </c>
      <c r="I442" s="187"/>
      <c r="J442" s="187"/>
      <c r="K442" s="223"/>
      <c r="L442" s="168"/>
      <c r="M442" s="168"/>
      <c r="N442" s="377">
        <f ca="1">IFERROR(__xludf.DUMMYFUNCTION("IMPORTRANGE(""https://docs.google.com/spreadsheets/d/11923uPwbBZFjjGgGUA6NLw09EwE0CqkOc4q9oUmW1yo/edit?usp=sharing"",""พะเยา!M337"")"),0)</f>
        <v>0</v>
      </c>
      <c r="O442" s="168"/>
      <c r="P442" s="168"/>
    </row>
    <row r="443" spans="1:16" ht="21.75" customHeight="1" x14ac:dyDescent="0.3">
      <c r="A443" s="373"/>
      <c r="B443" s="374"/>
      <c r="C443" s="157"/>
      <c r="D443" s="375"/>
      <c r="E443" s="159"/>
      <c r="F443" s="159"/>
      <c r="G443" s="376" t="s">
        <v>134</v>
      </c>
      <c r="H443" s="161" t="s">
        <v>12</v>
      </c>
      <c r="I443" s="187"/>
      <c r="J443" s="187"/>
      <c r="K443" s="223"/>
      <c r="L443" s="168"/>
      <c r="M443" s="168"/>
      <c r="N443" s="377">
        <f ca="1">IFERROR(__xludf.DUMMYFUNCTION("IMPORTRANGE(""https://docs.google.com/spreadsheets/d/11923uPwbBZFjjGgGUA6NLw09EwE0CqkOc4q9oUmW1yo/edit?usp=sharing"",""พะเยา!M338"")"),12478)</f>
        <v>12478</v>
      </c>
      <c r="O443" s="168"/>
      <c r="P443" s="168"/>
    </row>
    <row r="444" spans="1:16" ht="21.75" customHeight="1" x14ac:dyDescent="0.3">
      <c r="A444" s="175"/>
      <c r="B444" s="176"/>
      <c r="C444" s="157" t="s">
        <v>16</v>
      </c>
      <c r="D444" s="177" t="s">
        <v>44</v>
      </c>
      <c r="E444" s="178"/>
      <c r="F444" s="178"/>
      <c r="G444" s="179"/>
      <c r="H444" s="180"/>
      <c r="I444" s="162"/>
      <c r="J444" s="162"/>
      <c r="K444" s="163"/>
      <c r="L444" s="181"/>
      <c r="M444" s="181"/>
      <c r="N444" s="181"/>
      <c r="O444" s="181"/>
      <c r="P444" s="181"/>
    </row>
    <row r="445" spans="1:16" ht="21.75" customHeight="1" x14ac:dyDescent="0.3">
      <c r="A445" s="175"/>
      <c r="B445" s="176"/>
      <c r="C445" s="176"/>
      <c r="D445" s="182">
        <v>1</v>
      </c>
      <c r="E445" s="183" t="s">
        <v>45</v>
      </c>
      <c r="F445" s="184"/>
      <c r="G445" s="185"/>
      <c r="H445" s="186"/>
      <c r="I445" s="187"/>
      <c r="J445" s="209">
        <f ca="1">IFERROR(__xludf.DUMMYFUNCTION("IMPORTRANGE(""https://docs.google.com/spreadsheets/d/11923uPwbBZFjjGgGUA6NLw09EwE0CqkOc4q9oUmW1yo/edit?usp=sharing"",""พะเยา!J340"")"),0)</f>
        <v>0</v>
      </c>
      <c r="K445" s="163"/>
      <c r="L445" s="181"/>
      <c r="M445" s="181"/>
      <c r="N445" s="181"/>
      <c r="O445" s="181"/>
      <c r="P445" s="181"/>
    </row>
    <row r="446" spans="1:16" ht="21.75" customHeight="1" x14ac:dyDescent="0.3">
      <c r="A446" s="175"/>
      <c r="B446" s="176"/>
      <c r="C446" s="176"/>
      <c r="D446" s="189">
        <v>2</v>
      </c>
      <c r="E446" s="190" t="s">
        <v>46</v>
      </c>
      <c r="F446" s="191"/>
      <c r="G446" s="192"/>
      <c r="H446" s="186"/>
      <c r="I446" s="187"/>
      <c r="J446" s="411">
        <f ca="1">IFERROR(__xludf.DUMMYFUNCTION("IMPORTRANGE(""https://docs.google.com/spreadsheets/d/11923uPwbBZFjjGgGUA6NLw09EwE0CqkOc4q9oUmW1yo/edit?usp=sharing"",""พะเยา!J341"")"),1)</f>
        <v>1</v>
      </c>
      <c r="K446" s="163"/>
      <c r="L446" s="181" t="s">
        <v>40</v>
      </c>
      <c r="M446" s="181"/>
      <c r="N446" s="181" t="s">
        <v>40</v>
      </c>
      <c r="O446" s="181"/>
      <c r="P446" s="181"/>
    </row>
    <row r="447" spans="1:16" ht="21.75" customHeight="1" x14ac:dyDescent="0.3">
      <c r="A447" s="175"/>
      <c r="B447" s="176"/>
      <c r="C447" s="176"/>
      <c r="D447" s="193"/>
      <c r="E447" s="194" t="s">
        <v>161</v>
      </c>
      <c r="F447" s="195"/>
      <c r="G447" s="196"/>
      <c r="H447" s="186"/>
      <c r="I447" s="187"/>
      <c r="J447" s="188">
        <f ca="1">IFERROR(__xludf.DUMMYFUNCTION("IMPORTRANGE(""https://docs.google.com/spreadsheets/d/11923uPwbBZFjjGgGUA6NLw09EwE0CqkOc4q9oUmW1yo/edit?usp=sharing"",""พะเยา!J342"")"),1)</f>
        <v>1</v>
      </c>
      <c r="K447" s="163"/>
      <c r="L447" s="181"/>
      <c r="M447" s="181"/>
      <c r="N447" s="181"/>
      <c r="O447" s="181"/>
      <c r="P447" s="181"/>
    </row>
    <row r="448" spans="1:16" ht="21.75" customHeight="1" x14ac:dyDescent="0.3">
      <c r="A448" s="175"/>
      <c r="B448" s="176"/>
      <c r="C448" s="176"/>
      <c r="D448" s="193"/>
      <c r="E448" s="194" t="s">
        <v>48</v>
      </c>
      <c r="F448" s="195"/>
      <c r="G448" s="196"/>
      <c r="H448" s="186"/>
      <c r="I448" s="187"/>
      <c r="J448" s="188">
        <f ca="1">IFERROR(__xludf.DUMMYFUNCTION("IMPORTRANGE(""https://docs.google.com/spreadsheets/d/11923uPwbBZFjjGgGUA6NLw09EwE0CqkOc4q9oUmW1yo/edit?usp=sharing"",""พะเยา!J343"")"),1)</f>
        <v>1</v>
      </c>
      <c r="K448" s="163"/>
      <c r="L448" s="181"/>
      <c r="M448" s="181"/>
      <c r="N448" s="181"/>
      <c r="O448" s="181"/>
      <c r="P448" s="181"/>
    </row>
    <row r="449" spans="1:16" ht="21.75" customHeight="1" x14ac:dyDescent="0.3">
      <c r="A449" s="175"/>
      <c r="B449" s="176"/>
      <c r="C449" s="176"/>
      <c r="D449" s="193"/>
      <c r="E449" s="198"/>
      <c r="F449" s="412" t="s">
        <v>101</v>
      </c>
      <c r="G449" s="196"/>
      <c r="H449" s="186" t="s">
        <v>37</v>
      </c>
      <c r="I449" s="389">
        <f ca="1">IFERROR(__xludf.DUMMYFUNCTION("IMPORTRANGE(""https://docs.google.com/spreadsheets/d/11923uPwbBZFjjGgGUA6NLw09EwE0CqkOc4q9oUmW1yo/edit?usp=sharing"",""พะเยา!I344"")"),43)</f>
        <v>43</v>
      </c>
      <c r="J449" s="200">
        <f ca="1">IFERROR(__xludf.DUMMYFUNCTION("IMPORTRANGE(""https://docs.google.com/spreadsheets/d/11923uPwbBZFjjGgGUA6NLw09EwE0CqkOc4q9oUmW1yo/edit?usp=sharing"",""พะเยา!J344"")"),43)</f>
        <v>43</v>
      </c>
      <c r="K449" s="163">
        <f t="shared" ref="K449:K452" ca="1" si="115">IF(I449&gt;0,J449*100/I449,0)</f>
        <v>100</v>
      </c>
      <c r="L449" s="181"/>
      <c r="M449" s="181"/>
      <c r="N449" s="181"/>
      <c r="O449" s="181"/>
      <c r="P449" s="181"/>
    </row>
    <row r="450" spans="1:16" ht="21.75" customHeight="1" x14ac:dyDescent="0.3">
      <c r="A450" s="175"/>
      <c r="B450" s="176"/>
      <c r="C450" s="176"/>
      <c r="D450" s="193"/>
      <c r="E450" s="198"/>
      <c r="F450" s="195"/>
      <c r="G450" s="225" t="s">
        <v>162</v>
      </c>
      <c r="H450" s="186" t="s">
        <v>37</v>
      </c>
      <c r="I450" s="339">
        <f ca="1">IFERROR(__xludf.DUMMYFUNCTION("IMPORTRANGE(""https://docs.google.com/spreadsheets/d/11923uPwbBZFjjGgGUA6NLw09EwE0CqkOc4q9oUmW1yo/edit?usp=sharing"",""พะเยา!I345"")"),43)</f>
        <v>43</v>
      </c>
      <c r="J450" s="188">
        <f ca="1">IFERROR(__xludf.DUMMYFUNCTION("IMPORTRANGE(""https://docs.google.com/spreadsheets/d/11923uPwbBZFjjGgGUA6NLw09EwE0CqkOc4q9oUmW1yo/edit?usp=sharing"",""พะเยา!J345"")"),43)</f>
        <v>43</v>
      </c>
      <c r="K450" s="163">
        <f t="shared" ca="1" si="115"/>
        <v>100</v>
      </c>
      <c r="L450" s="181"/>
      <c r="M450" s="181"/>
      <c r="N450" s="181"/>
      <c r="O450" s="181"/>
      <c r="P450" s="181"/>
    </row>
    <row r="451" spans="1:16" ht="21.75" customHeight="1" x14ac:dyDescent="0.3">
      <c r="A451" s="175"/>
      <c r="B451" s="176"/>
      <c r="C451" s="176"/>
      <c r="D451" s="193"/>
      <c r="E451" s="198"/>
      <c r="F451" s="195"/>
      <c r="G451" s="279" t="s">
        <v>163</v>
      </c>
      <c r="H451" s="186" t="s">
        <v>37</v>
      </c>
      <c r="I451" s="339">
        <f ca="1">IFERROR(__xludf.DUMMYFUNCTION("IMPORTRANGE(""https://docs.google.com/spreadsheets/d/11923uPwbBZFjjGgGUA6NLw09EwE0CqkOc4q9oUmW1yo/edit?usp=sharing"",""พะเยา!I346"")"),0)</f>
        <v>0</v>
      </c>
      <c r="J451" s="187">
        <f ca="1">IFERROR(__xludf.DUMMYFUNCTION("IMPORTRANGE(""https://docs.google.com/spreadsheets/d/11923uPwbBZFjjGgGUA6NLw09EwE0CqkOc4q9oUmW1yo/edit?usp=sharing"",""พะเยา!J346"")"),0)</f>
        <v>0</v>
      </c>
      <c r="K451" s="163">
        <f t="shared" ca="1" si="115"/>
        <v>0</v>
      </c>
      <c r="L451" s="181"/>
      <c r="M451" s="181"/>
      <c r="N451" s="181"/>
      <c r="O451" s="181"/>
      <c r="P451" s="181"/>
    </row>
    <row r="452" spans="1:16" ht="21.75" customHeight="1" x14ac:dyDescent="0.3">
      <c r="A452" s="175"/>
      <c r="B452" s="176"/>
      <c r="C452" s="176"/>
      <c r="D452" s="193"/>
      <c r="E452" s="198"/>
      <c r="F452" s="195"/>
      <c r="G452" s="196" t="s">
        <v>164</v>
      </c>
      <c r="H452" s="186" t="s">
        <v>37</v>
      </c>
      <c r="I452" s="187">
        <f ca="1">IFERROR(__xludf.DUMMYFUNCTION("IMPORTRANGE(""https://docs.google.com/spreadsheets/d/11923uPwbBZFjjGgGUA6NLw09EwE0CqkOc4q9oUmW1yo/edit?usp=sharing"",""พะเยา!I347"")"),0)</f>
        <v>0</v>
      </c>
      <c r="J452" s="187">
        <f ca="1">IFERROR(__xludf.DUMMYFUNCTION("IMPORTRANGE(""https://docs.google.com/spreadsheets/d/11923uPwbBZFjjGgGUA6NLw09EwE0CqkOc4q9oUmW1yo/edit?usp=sharing"",""พะเยา!J347"")"),0)</f>
        <v>0</v>
      </c>
      <c r="K452" s="163">
        <f t="shared" ca="1" si="115"/>
        <v>0</v>
      </c>
      <c r="L452" s="181"/>
      <c r="M452" s="181"/>
      <c r="N452" s="181"/>
      <c r="O452" s="181"/>
      <c r="P452" s="181"/>
    </row>
    <row r="453" spans="1:16" ht="21.75" customHeight="1" x14ac:dyDescent="0.3">
      <c r="A453" s="175"/>
      <c r="B453" s="176"/>
      <c r="C453" s="176"/>
      <c r="D453" s="193"/>
      <c r="E453" s="194" t="s">
        <v>54</v>
      </c>
      <c r="F453" s="195"/>
      <c r="G453" s="196"/>
      <c r="H453" s="186"/>
      <c r="I453" s="187"/>
      <c r="J453" s="197">
        <f ca="1">IFERROR(__xludf.DUMMYFUNCTION("IMPORTRANGE(""https://docs.google.com/spreadsheets/d/11923uPwbBZFjjGgGUA6NLw09EwE0CqkOc4q9oUmW1yo/edit?usp=sharing"",""พะเยา!J348"")"),0)</f>
        <v>0</v>
      </c>
      <c r="K453" s="163"/>
      <c r="L453" s="181"/>
      <c r="M453" s="181"/>
      <c r="N453" s="181"/>
      <c r="O453" s="181"/>
      <c r="P453" s="181"/>
    </row>
    <row r="454" spans="1:16" ht="21.75" customHeight="1" x14ac:dyDescent="0.3">
      <c r="A454" s="175"/>
      <c r="B454" s="176"/>
      <c r="C454" s="176"/>
      <c r="D454" s="205">
        <v>3</v>
      </c>
      <c r="E454" s="206" t="s">
        <v>55</v>
      </c>
      <c r="F454" s="207"/>
      <c r="G454" s="208"/>
      <c r="H454" s="186"/>
      <c r="I454" s="187"/>
      <c r="J454" s="209">
        <f ca="1">IFERROR(__xludf.DUMMYFUNCTION("IMPORTRANGE(""https://docs.google.com/spreadsheets/d/11923uPwbBZFjjGgGUA6NLw09EwE0CqkOc4q9oUmW1yo/edit?usp=sharing"",""พะเยา!J349"")"),0)</f>
        <v>0</v>
      </c>
      <c r="K454" s="163"/>
      <c r="L454" s="181"/>
      <c r="M454" s="181"/>
      <c r="N454" s="181"/>
      <c r="O454" s="181"/>
      <c r="P454" s="181"/>
    </row>
    <row r="455" spans="1:16" ht="21.75" customHeight="1" x14ac:dyDescent="0.3">
      <c r="A455" s="364"/>
      <c r="B455" s="365">
        <v>5</v>
      </c>
      <c r="C455" s="366" t="s">
        <v>165</v>
      </c>
      <c r="D455" s="366"/>
      <c r="E455" s="366"/>
      <c r="F455" s="366"/>
      <c r="G455" s="367"/>
      <c r="H455" s="368" t="s">
        <v>122</v>
      </c>
      <c r="I455" s="369">
        <f ca="1">IFERROR(__xludf.DUMMYFUNCTION("IMPORTRANGE(""https://docs.google.com/spreadsheets/d/11923uPwbBZFjjGgGUA6NLw09EwE0CqkOc4q9oUmW1yo/edit?usp=sharing"",""พะเยา!I350"")"),31127)</f>
        <v>31127</v>
      </c>
      <c r="J455" s="369">
        <f ca="1">IFERROR(__xludf.DUMMYFUNCTION("IMPORTRANGE(""https://docs.google.com/spreadsheets/d/11923uPwbBZFjjGgGUA6NLw09EwE0CqkOc4q9oUmW1yo/edit?usp=sharing"",""พะเยา!J350"")"),0)</f>
        <v>0</v>
      </c>
      <c r="K455" s="370">
        <f ca="1">IF(I455&gt;0,J455*100/I455,0)</f>
        <v>0</v>
      </c>
      <c r="L455" s="371">
        <f ca="1">IFERROR(__xludf.DUMMYFUNCTION("IMPORTRANGE(""https://docs.google.com/spreadsheets/d/11923uPwbBZFjjGgGUA6NLw09EwE0CqkOc4q9oUmW1yo/edit?usp=sharing"",""พะเยา!L350"")"),396346)</f>
        <v>396346</v>
      </c>
      <c r="M455" s="371"/>
      <c r="N455" s="371">
        <f ca="1">IFERROR(__xludf.DUMMYFUNCTION("IMPORTRANGE(""https://docs.google.com/spreadsheets/d/11923uPwbBZFjjGgGUA6NLw09EwE0CqkOc4q9oUmW1yo/edit?usp=sharing"",""พะเยา!M350"")"),91049.35)</f>
        <v>91049.35</v>
      </c>
      <c r="O455" s="371">
        <f t="shared" ref="O455:O459" ca="1" si="116">+IF(L455&gt;0,N455*100/L455,0)</f>
        <v>22.9721884414123</v>
      </c>
      <c r="P455" s="371"/>
    </row>
    <row r="456" spans="1:16" ht="21.75" customHeight="1" x14ac:dyDescent="0.3">
      <c r="A456" s="156"/>
      <c r="B456" s="157"/>
      <c r="C456" s="157" t="s">
        <v>16</v>
      </c>
      <c r="D456" s="158" t="s">
        <v>38</v>
      </c>
      <c r="E456" s="159"/>
      <c r="F456" s="159"/>
      <c r="G456" s="160" t="s">
        <v>39</v>
      </c>
      <c r="H456" s="161" t="s">
        <v>12</v>
      </c>
      <c r="I456" s="162" t="s">
        <v>40</v>
      </c>
      <c r="J456" s="162"/>
      <c r="K456" s="163"/>
      <c r="L456" s="164">
        <f ca="1">IFERROR(__xludf.DUMMYFUNCTION("IMPORTRANGE(""https://docs.google.com/spreadsheets/d/11923uPwbBZFjjGgGUA6NLw09EwE0CqkOc4q9oUmW1yo/edit?usp=sharing"",""พะเยา!L351"")"),0)</f>
        <v>0</v>
      </c>
      <c r="M456" s="164"/>
      <c r="N456" s="168">
        <f ca="1">IFERROR(__xludf.DUMMYFUNCTION("IMPORTRANGE(""https://docs.google.com/spreadsheets/d/11923uPwbBZFjjGgGUA6NLw09EwE0CqkOc4q9oUmW1yo/edit?usp=sharing"",""พะเยา!M351"")"),0)</f>
        <v>0</v>
      </c>
      <c r="O456" s="168">
        <f t="shared" ca="1" si="116"/>
        <v>0</v>
      </c>
      <c r="P456" s="168"/>
    </row>
    <row r="457" spans="1:16" ht="21.75" customHeight="1" x14ac:dyDescent="0.3">
      <c r="A457" s="156"/>
      <c r="B457" s="157"/>
      <c r="C457" s="157"/>
      <c r="D457" s="166"/>
      <c r="E457" s="159"/>
      <c r="F457" s="159" t="s">
        <v>40</v>
      </c>
      <c r="G457" s="160" t="s">
        <v>41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IFERROR(__xludf.DUMMYFUNCTION("IMPORTRANGE(""https://docs.google.com/spreadsheets/d/11923uPwbBZFjjGgGUA6NLw09EwE0CqkOc4q9oUmW1yo/edit?usp=sharing"",""พะเยา!L352"")"),396346)</f>
        <v>396346</v>
      </c>
      <c r="M457" s="165"/>
      <c r="N457" s="168">
        <f ca="1">IFERROR(__xludf.DUMMYFUNCTION("IMPORTRANGE(""https://docs.google.com/spreadsheets/d/11923uPwbBZFjjGgGUA6NLw09EwE0CqkOc4q9oUmW1yo/edit?usp=sharing"",""พะเยา!M352"")"),91049.35)</f>
        <v>91049.35</v>
      </c>
      <c r="O457" s="168">
        <f t="shared" ca="1" si="116"/>
        <v>22.9721884414123</v>
      </c>
      <c r="P457" s="168"/>
    </row>
    <row r="458" spans="1:16" ht="21.75" customHeight="1" x14ac:dyDescent="0.3">
      <c r="A458" s="156"/>
      <c r="B458" s="157"/>
      <c r="C458" s="157"/>
      <c r="D458" s="166"/>
      <c r="E458" s="159"/>
      <c r="F458" s="159"/>
      <c r="G458" s="372" t="s">
        <v>129</v>
      </c>
      <c r="H458" s="161" t="s">
        <v>12</v>
      </c>
      <c r="I458" s="162"/>
      <c r="J458" s="162"/>
      <c r="K458" s="163"/>
      <c r="L458" s="168">
        <f ca="1">IFERROR(__xludf.DUMMYFUNCTION("IMPORTRANGE(""https://docs.google.com/spreadsheets/d/11923uPwbBZFjjGgGUA6NLw09EwE0CqkOc4q9oUmW1yo/edit?usp=sharing"",""พะเยา!L353"")"),0)</f>
        <v>0</v>
      </c>
      <c r="M458" s="168"/>
      <c r="N458" s="168">
        <f ca="1">IFERROR(__xludf.DUMMYFUNCTION("IMPORTRANGE(""https://docs.google.com/spreadsheets/d/11923uPwbBZFjjGgGUA6NLw09EwE0CqkOc4q9oUmW1yo/edit?usp=sharing"",""พะเยา!M353"")"),0)</f>
        <v>0</v>
      </c>
      <c r="O458" s="168">
        <f t="shared" ca="1" si="116"/>
        <v>0</v>
      </c>
      <c r="P458" s="168"/>
    </row>
    <row r="459" spans="1:16" ht="21.75" customHeight="1" x14ac:dyDescent="0.3">
      <c r="A459" s="156"/>
      <c r="B459" s="157"/>
      <c r="C459" s="157"/>
      <c r="D459" s="166"/>
      <c r="E459" s="159"/>
      <c r="F459" s="159"/>
      <c r="G459" s="372" t="s">
        <v>130</v>
      </c>
      <c r="H459" s="161" t="s">
        <v>12</v>
      </c>
      <c r="I459" s="162"/>
      <c r="J459" s="162"/>
      <c r="K459" s="163"/>
      <c r="L459" s="168">
        <f ca="1">IFERROR(__xludf.DUMMYFUNCTION("IMPORTRANGE(""https://docs.google.com/spreadsheets/d/11923uPwbBZFjjGgGUA6NLw09EwE0CqkOc4q9oUmW1yo/edit?usp=sharing"",""พะเยา!L354"")"),396346)</f>
        <v>396346</v>
      </c>
      <c r="M459" s="168"/>
      <c r="N459" s="168">
        <f ca="1">IFERROR(__xludf.DUMMYFUNCTION("IMPORTRANGE(""https://docs.google.com/spreadsheets/d/11923uPwbBZFjjGgGUA6NLw09EwE0CqkOc4q9oUmW1yo/edit?usp=sharing"",""พะเยา!M354"")"),91049.35)</f>
        <v>91049.35</v>
      </c>
      <c r="O459" s="168">
        <f t="shared" ca="1" si="116"/>
        <v>22.9721884414123</v>
      </c>
      <c r="P459" s="168"/>
    </row>
    <row r="460" spans="1:16" ht="21.75" customHeight="1" x14ac:dyDescent="0.3">
      <c r="A460" s="373"/>
      <c r="B460" s="374"/>
      <c r="C460" s="157"/>
      <c r="D460" s="375"/>
      <c r="E460" s="159"/>
      <c r="F460" s="159"/>
      <c r="G460" s="376" t="s">
        <v>131</v>
      </c>
      <c r="H460" s="161" t="s">
        <v>12</v>
      </c>
      <c r="I460" s="187"/>
      <c r="J460" s="187"/>
      <c r="K460" s="223"/>
      <c r="L460" s="168"/>
      <c r="M460" s="168"/>
      <c r="N460" s="167">
        <f ca="1">IFERROR(__xludf.DUMMYFUNCTION("IMPORTRANGE(""https://docs.google.com/spreadsheets/d/11923uPwbBZFjjGgGUA6NLw09EwE0CqkOc4q9oUmW1yo/edit?usp=sharing"",""พะเยา!M355"")"),0)</f>
        <v>0</v>
      </c>
      <c r="O460" s="168"/>
      <c r="P460" s="168"/>
    </row>
    <row r="461" spans="1:16" ht="21.75" customHeight="1" x14ac:dyDescent="0.3">
      <c r="A461" s="373"/>
      <c r="B461" s="374"/>
      <c r="C461" s="157"/>
      <c r="D461" s="375"/>
      <c r="E461" s="159"/>
      <c r="F461" s="159"/>
      <c r="G461" s="376" t="s">
        <v>132</v>
      </c>
      <c r="H461" s="161" t="s">
        <v>12</v>
      </c>
      <c r="I461" s="187"/>
      <c r="J461" s="187"/>
      <c r="K461" s="223"/>
      <c r="L461" s="168"/>
      <c r="M461" s="168"/>
      <c r="N461" s="167">
        <f ca="1">IFERROR(__xludf.DUMMYFUNCTION("IMPORTRANGE(""https://docs.google.com/spreadsheets/d/11923uPwbBZFjjGgGUA6NLw09EwE0CqkOc4q9oUmW1yo/edit?usp=sharing"",""พะเยา!M356"")"),0)</f>
        <v>0</v>
      </c>
      <c r="O461" s="168"/>
      <c r="P461" s="168"/>
    </row>
    <row r="462" spans="1:16" ht="21.75" customHeight="1" x14ac:dyDescent="0.3">
      <c r="A462" s="373"/>
      <c r="B462" s="374"/>
      <c r="C462" s="157"/>
      <c r="D462" s="375"/>
      <c r="E462" s="159"/>
      <c r="F462" s="159"/>
      <c r="G462" s="376" t="s">
        <v>133</v>
      </c>
      <c r="H462" s="161" t="s">
        <v>12</v>
      </c>
      <c r="I462" s="187"/>
      <c r="J462" s="187"/>
      <c r="K462" s="223"/>
      <c r="L462" s="168"/>
      <c r="M462" s="168"/>
      <c r="N462" s="377">
        <f ca="1">IFERROR(__xludf.DUMMYFUNCTION("IMPORTRANGE(""https://docs.google.com/spreadsheets/d/11923uPwbBZFjjGgGUA6NLw09EwE0CqkOc4q9oUmW1yo/edit?usp=sharing"",""พะเยา!M357"")"),41019.35)</f>
        <v>41019.35</v>
      </c>
      <c r="O462" s="168"/>
      <c r="P462" s="168"/>
    </row>
    <row r="463" spans="1:16" ht="21.75" customHeight="1" x14ac:dyDescent="0.3">
      <c r="A463" s="373"/>
      <c r="B463" s="374"/>
      <c r="C463" s="157"/>
      <c r="D463" s="375"/>
      <c r="E463" s="159"/>
      <c r="F463" s="159"/>
      <c r="G463" s="376" t="s">
        <v>134</v>
      </c>
      <c r="H463" s="161" t="s">
        <v>12</v>
      </c>
      <c r="I463" s="187"/>
      <c r="J463" s="187"/>
      <c r="K463" s="223"/>
      <c r="L463" s="168"/>
      <c r="M463" s="168"/>
      <c r="N463" s="377">
        <f ca="1">IFERROR(__xludf.DUMMYFUNCTION("IMPORTRANGE(""https://docs.google.com/spreadsheets/d/11923uPwbBZFjjGgGUA6NLw09EwE0CqkOc4q9oUmW1yo/edit?usp=sharing"",""พะเยา!M358"")"),50030)</f>
        <v>50030</v>
      </c>
      <c r="O463" s="168"/>
      <c r="P463" s="168"/>
    </row>
    <row r="464" spans="1:16" ht="21.75" customHeight="1" x14ac:dyDescent="0.3">
      <c r="A464" s="175"/>
      <c r="B464" s="176"/>
      <c r="C464" s="413" t="s">
        <v>166</v>
      </c>
      <c r="D464" s="413"/>
      <c r="E464" s="414"/>
      <c r="F464" s="414"/>
      <c r="G464" s="415"/>
      <c r="H464" s="265" t="s">
        <v>122</v>
      </c>
      <c r="I464" s="266">
        <f ca="1">IFERROR(__xludf.DUMMYFUNCTION("IMPORTRANGE(""https://docs.google.com/spreadsheets/d/11923uPwbBZFjjGgGUA6NLw09EwE0CqkOc4q9oUmW1yo/edit?usp=sharing"",""พะเยา!I359"")"),31127)</f>
        <v>31127</v>
      </c>
      <c r="J464" s="266">
        <f ca="1">IFERROR(__xludf.DUMMYFUNCTION("IMPORTRANGE(""https://docs.google.com/spreadsheets/d/11923uPwbBZFjjGgGUA6NLw09EwE0CqkOc4q9oUmW1yo/edit?usp=sharing"",""พะเยา!J359"")"),0)</f>
        <v>0</v>
      </c>
      <c r="K464" s="267">
        <f t="shared" ref="K464:K515" ca="1" si="117">IF(I464&gt;0,J464*100/I464,0)</f>
        <v>0</v>
      </c>
      <c r="L464" s="290"/>
      <c r="M464" s="290"/>
      <c r="N464" s="290"/>
      <c r="O464" s="290"/>
      <c r="P464" s="290"/>
    </row>
    <row r="465" spans="1:16" ht="21.75" customHeight="1" x14ac:dyDescent="0.3">
      <c r="A465" s="400"/>
      <c r="B465" s="401"/>
      <c r="C465" s="401"/>
      <c r="D465" s="402"/>
      <c r="E465" s="193" t="s">
        <v>167</v>
      </c>
      <c r="F465" s="195"/>
      <c r="G465" s="196"/>
      <c r="H465" s="416" t="s">
        <v>122</v>
      </c>
      <c r="I465" s="417">
        <f ca="1">IFERROR(__xludf.DUMMYFUNCTION("IMPORTRANGE(""https://docs.google.com/spreadsheets/d/11923uPwbBZFjjGgGUA6NLw09EwE0CqkOc4q9oUmW1yo/edit?usp=sharing"",""พะเยา!I360"")"),31127)</f>
        <v>31127</v>
      </c>
      <c r="J465" s="418">
        <f ca="1">IFERROR(__xludf.DUMMYFUNCTION("IMPORTRANGE(""https://docs.google.com/spreadsheets/d/11923uPwbBZFjjGgGUA6NLw09EwE0CqkOc4q9oUmW1yo/edit?usp=sharing"",""พะเยา!J360"")"),28313)</f>
        <v>28313</v>
      </c>
      <c r="K465" s="201">
        <f t="shared" ca="1" si="117"/>
        <v>90.959617052719508</v>
      </c>
      <c r="L465" s="181"/>
      <c r="M465" s="181"/>
      <c r="N465" s="181"/>
      <c r="O465" s="181"/>
      <c r="P465" s="181"/>
    </row>
    <row r="466" spans="1:16" ht="21.75" customHeight="1" x14ac:dyDescent="0.3">
      <c r="A466" s="400"/>
      <c r="B466" s="401"/>
      <c r="C466" s="401"/>
      <c r="D466" s="402"/>
      <c r="E466" s="195"/>
      <c r="F466" s="195"/>
      <c r="G466" s="196"/>
      <c r="H466" s="416" t="s">
        <v>36</v>
      </c>
      <c r="I466" s="417">
        <f ca="1">IFERROR(__xludf.DUMMYFUNCTION("IMPORTRANGE(""https://docs.google.com/spreadsheets/d/11923uPwbBZFjjGgGUA6NLw09EwE0CqkOc4q9oUmW1yo/edit?usp=sharing"",""พะเยา!I361"")"),5512)</f>
        <v>5512</v>
      </c>
      <c r="J466" s="418">
        <f ca="1">IFERROR(__xludf.DUMMYFUNCTION("IMPORTRANGE(""https://docs.google.com/spreadsheets/d/11923uPwbBZFjjGgGUA6NLw09EwE0CqkOc4q9oUmW1yo/edit?usp=sharing"",""พะเยา!J361"")"),4686)</f>
        <v>4686</v>
      </c>
      <c r="K466" s="201">
        <f t="shared" ca="1" si="117"/>
        <v>85.014513788098697</v>
      </c>
      <c r="L466" s="181"/>
      <c r="M466" s="181"/>
      <c r="N466" s="181"/>
      <c r="O466" s="181"/>
      <c r="P466" s="181"/>
    </row>
    <row r="467" spans="1:16" ht="21.75" customHeight="1" x14ac:dyDescent="0.3">
      <c r="A467" s="400"/>
      <c r="B467" s="401"/>
      <c r="C467" s="401"/>
      <c r="D467" s="402"/>
      <c r="E467" s="195"/>
      <c r="F467" s="388" t="s">
        <v>168</v>
      </c>
      <c r="G467" s="419"/>
      <c r="H467" s="420" t="s">
        <v>122</v>
      </c>
      <c r="I467" s="202">
        <f ca="1">IFERROR(__xludf.DUMMYFUNCTION("IMPORTRANGE(""https://docs.google.com/spreadsheets/d/11923uPwbBZFjjGgGUA6NLw09EwE0CqkOc4q9oUmW1yo/edit?usp=sharing"",""พะเยา!I362"")"),0)</f>
        <v>0</v>
      </c>
      <c r="J467" s="188">
        <f ca="1">IFERROR(__xludf.DUMMYFUNCTION("IMPORTRANGE(""https://docs.google.com/spreadsheets/d/11923uPwbBZFjjGgGUA6NLw09EwE0CqkOc4q9oUmW1yo/edit?usp=sharing"",""พะเยา!J362"")"),21224)</f>
        <v>21224</v>
      </c>
      <c r="K467" s="163">
        <f t="shared" ca="1" si="117"/>
        <v>0</v>
      </c>
      <c r="L467" s="181"/>
      <c r="M467" s="181"/>
      <c r="N467" s="181"/>
      <c r="O467" s="181"/>
      <c r="P467" s="181"/>
    </row>
    <row r="468" spans="1:16" ht="21.75" customHeight="1" x14ac:dyDescent="0.3">
      <c r="A468" s="400"/>
      <c r="B468" s="401"/>
      <c r="C468" s="401"/>
      <c r="D468" s="402"/>
      <c r="E468" s="195"/>
      <c r="F468" s="195"/>
      <c r="G468" s="419"/>
      <c r="H468" s="420" t="s">
        <v>36</v>
      </c>
      <c r="I468" s="202">
        <f ca="1">IFERROR(__xludf.DUMMYFUNCTION("IMPORTRANGE(""https://docs.google.com/spreadsheets/d/11923uPwbBZFjjGgGUA6NLw09EwE0CqkOc4q9oUmW1yo/edit?usp=sharing"",""พะเยา!I363"")"),0)</f>
        <v>0</v>
      </c>
      <c r="J468" s="188">
        <f ca="1">IFERROR(__xludf.DUMMYFUNCTION("IMPORTRANGE(""https://docs.google.com/spreadsheets/d/11923uPwbBZFjjGgGUA6NLw09EwE0CqkOc4q9oUmW1yo/edit?usp=sharing"",""พะเยา!J363"")"),3661)</f>
        <v>3661</v>
      </c>
      <c r="K468" s="163">
        <f t="shared" ca="1" si="117"/>
        <v>0</v>
      </c>
      <c r="L468" s="181"/>
      <c r="M468" s="181"/>
      <c r="N468" s="181"/>
      <c r="O468" s="181"/>
      <c r="P468" s="181"/>
    </row>
    <row r="469" spans="1:16" ht="21.75" customHeight="1" x14ac:dyDescent="0.3">
      <c r="A469" s="400"/>
      <c r="B469" s="401"/>
      <c r="C469" s="401"/>
      <c r="D469" s="402"/>
      <c r="E469" s="195"/>
      <c r="F469" s="388" t="s">
        <v>169</v>
      </c>
      <c r="G469" s="419"/>
      <c r="H469" s="420" t="s">
        <v>122</v>
      </c>
      <c r="I469" s="202">
        <f ca="1">IFERROR(__xludf.DUMMYFUNCTION("IMPORTRANGE(""https://docs.google.com/spreadsheets/d/11923uPwbBZFjjGgGUA6NLw09EwE0CqkOc4q9oUmW1yo/edit?usp=sharing"",""พะเยา!I364"")"),0)</f>
        <v>0</v>
      </c>
      <c r="J469" s="188">
        <f ca="1">IFERROR(__xludf.DUMMYFUNCTION("IMPORTRANGE(""https://docs.google.com/spreadsheets/d/11923uPwbBZFjjGgGUA6NLw09EwE0CqkOc4q9oUmW1yo/edit?usp=sharing"",""พะเยา!J364"")"),6442)</f>
        <v>6442</v>
      </c>
      <c r="K469" s="163">
        <f t="shared" ca="1" si="117"/>
        <v>0</v>
      </c>
      <c r="L469" s="181"/>
      <c r="M469" s="181"/>
      <c r="N469" s="181"/>
      <c r="O469" s="181"/>
      <c r="P469" s="181"/>
    </row>
    <row r="470" spans="1:16" ht="21.75" customHeight="1" x14ac:dyDescent="0.3">
      <c r="A470" s="400"/>
      <c r="B470" s="401"/>
      <c r="C470" s="401"/>
      <c r="D470" s="402"/>
      <c r="E470" s="195"/>
      <c r="F470" s="195"/>
      <c r="G470" s="419"/>
      <c r="H470" s="420" t="s">
        <v>36</v>
      </c>
      <c r="I470" s="202">
        <f ca="1">IFERROR(__xludf.DUMMYFUNCTION("IMPORTRANGE(""https://docs.google.com/spreadsheets/d/11923uPwbBZFjjGgGUA6NLw09EwE0CqkOc4q9oUmW1yo/edit?usp=sharing"",""พะเยา!I365"")"),0)</f>
        <v>0</v>
      </c>
      <c r="J470" s="188">
        <f ca="1">IFERROR(__xludf.DUMMYFUNCTION("IMPORTRANGE(""https://docs.google.com/spreadsheets/d/11923uPwbBZFjjGgGUA6NLw09EwE0CqkOc4q9oUmW1yo/edit?usp=sharing"",""พะเยา!J365"")"),911)</f>
        <v>911</v>
      </c>
      <c r="K470" s="163">
        <f t="shared" ca="1" si="117"/>
        <v>0</v>
      </c>
      <c r="L470" s="181"/>
      <c r="M470" s="181"/>
      <c r="N470" s="181"/>
      <c r="O470" s="181"/>
      <c r="P470" s="181"/>
    </row>
    <row r="471" spans="1:16" ht="21.75" customHeight="1" x14ac:dyDescent="0.3">
      <c r="A471" s="400"/>
      <c r="B471" s="401"/>
      <c r="C471" s="401"/>
      <c r="D471" s="402"/>
      <c r="E471" s="195"/>
      <c r="F471" s="388" t="s">
        <v>170</v>
      </c>
      <c r="G471" s="419"/>
      <c r="H471" s="420" t="s">
        <v>122</v>
      </c>
      <c r="I471" s="202">
        <f ca="1">IFERROR(__xludf.DUMMYFUNCTION("IMPORTRANGE(""https://docs.google.com/spreadsheets/d/11923uPwbBZFjjGgGUA6NLw09EwE0CqkOc4q9oUmW1yo/edit?usp=sharing"",""พะเยา!I366"")"),0)</f>
        <v>0</v>
      </c>
      <c r="J471" s="188">
        <f ca="1">IFERROR(__xludf.DUMMYFUNCTION("IMPORTRANGE(""https://docs.google.com/spreadsheets/d/11923uPwbBZFjjGgGUA6NLw09EwE0CqkOc4q9oUmW1yo/edit?usp=sharing"",""พะเยา!J366"")"),647)</f>
        <v>647</v>
      </c>
      <c r="K471" s="163">
        <f t="shared" ca="1" si="117"/>
        <v>0</v>
      </c>
      <c r="L471" s="181"/>
      <c r="M471" s="181"/>
      <c r="N471" s="181"/>
      <c r="O471" s="181"/>
      <c r="P471" s="181"/>
    </row>
    <row r="472" spans="1:16" ht="21.75" customHeight="1" x14ac:dyDescent="0.3">
      <c r="A472" s="400"/>
      <c r="B472" s="401"/>
      <c r="C472" s="401"/>
      <c r="D472" s="402"/>
      <c r="E472" s="195"/>
      <c r="F472" s="195"/>
      <c r="G472" s="195"/>
      <c r="H472" s="420" t="s">
        <v>36</v>
      </c>
      <c r="I472" s="202">
        <f ca="1">IFERROR(__xludf.DUMMYFUNCTION("IMPORTRANGE(""https://docs.google.com/spreadsheets/d/11923uPwbBZFjjGgGUA6NLw09EwE0CqkOc4q9oUmW1yo/edit?usp=sharing"",""พะเยา!I367"")"),0)</f>
        <v>0</v>
      </c>
      <c r="J472" s="188">
        <f ca="1">IFERROR(__xludf.DUMMYFUNCTION("IMPORTRANGE(""https://docs.google.com/spreadsheets/d/11923uPwbBZFjjGgGUA6NLw09EwE0CqkOc4q9oUmW1yo/edit?usp=sharing"",""พะเยา!J367"")"),114)</f>
        <v>114</v>
      </c>
      <c r="K472" s="163">
        <f t="shared" ca="1" si="117"/>
        <v>0</v>
      </c>
      <c r="L472" s="181"/>
      <c r="M472" s="181"/>
      <c r="N472" s="181"/>
      <c r="O472" s="181"/>
      <c r="P472" s="181"/>
    </row>
    <row r="473" spans="1:16" ht="21.75" customHeight="1" x14ac:dyDescent="0.3">
      <c r="A473" s="400"/>
      <c r="B473" s="401"/>
      <c r="C473" s="401"/>
      <c r="D473" s="402"/>
      <c r="E473" s="289" t="s">
        <v>171</v>
      </c>
      <c r="F473" s="195"/>
      <c r="G473" s="196"/>
      <c r="H473" s="416" t="s">
        <v>122</v>
      </c>
      <c r="I473" s="418">
        <f ca="1">IFERROR(__xludf.DUMMYFUNCTION("IMPORTRANGE(""https://docs.google.com/spreadsheets/d/11923uPwbBZFjjGgGUA6NLw09EwE0CqkOc4q9oUmW1yo/edit?usp=sharing"",""พะเยา!I368"")"),31127)</f>
        <v>31127</v>
      </c>
      <c r="J473" s="418">
        <f ca="1">IFERROR(__xludf.DUMMYFUNCTION("IMPORTRANGE(""https://docs.google.com/spreadsheets/d/11923uPwbBZFjjGgGUA6NLw09EwE0CqkOc4q9oUmW1yo/edit?usp=sharing"",""พะเยา!J368"")"),0)</f>
        <v>0</v>
      </c>
      <c r="K473" s="201">
        <f t="shared" ca="1" si="117"/>
        <v>0</v>
      </c>
      <c r="L473" s="181"/>
      <c r="M473" s="181"/>
      <c r="N473" s="181"/>
      <c r="O473" s="181"/>
      <c r="P473" s="181"/>
    </row>
    <row r="474" spans="1:16" ht="21.75" customHeight="1" x14ac:dyDescent="0.3">
      <c r="A474" s="400"/>
      <c r="B474" s="401"/>
      <c r="C474" s="401"/>
      <c r="D474" s="402"/>
      <c r="E474" s="195"/>
      <c r="F474" s="195"/>
      <c r="G474" s="196"/>
      <c r="H474" s="416" t="s">
        <v>36</v>
      </c>
      <c r="I474" s="417">
        <f ca="1">IFERROR(__xludf.DUMMYFUNCTION("IMPORTRANGE(""https://docs.google.com/spreadsheets/d/11923uPwbBZFjjGgGUA6NLw09EwE0CqkOc4q9oUmW1yo/edit?usp=sharing"",""พะเยา!I369"")"),5512)</f>
        <v>5512</v>
      </c>
      <c r="J474" s="418">
        <f ca="1">IFERROR(__xludf.DUMMYFUNCTION("IMPORTRANGE(""https://docs.google.com/spreadsheets/d/11923uPwbBZFjjGgGUA6NLw09EwE0CqkOc4q9oUmW1yo/edit?usp=sharing"",""พะเยา!J369"")"),0)</f>
        <v>0</v>
      </c>
      <c r="K474" s="163">
        <f t="shared" ca="1" si="117"/>
        <v>0</v>
      </c>
      <c r="L474" s="181"/>
      <c r="M474" s="181"/>
      <c r="N474" s="181"/>
      <c r="O474" s="181"/>
      <c r="P474" s="181"/>
    </row>
    <row r="475" spans="1:16" ht="21.75" customHeight="1" x14ac:dyDescent="0.3">
      <c r="A475" s="400"/>
      <c r="B475" s="401"/>
      <c r="C475" s="401"/>
      <c r="D475" s="402"/>
      <c r="E475" s="195"/>
      <c r="F475" s="194" t="s">
        <v>172</v>
      </c>
      <c r="G475" s="419"/>
      <c r="H475" s="420" t="s">
        <v>122</v>
      </c>
      <c r="I475" s="202">
        <f ca="1">IFERROR(__xludf.DUMMYFUNCTION("IMPORTRANGE(""https://docs.google.com/spreadsheets/d/11923uPwbBZFjjGgGUA6NLw09EwE0CqkOc4q9oUmW1yo/edit?usp=sharing"",""พะเยา!I370"")"),0)</f>
        <v>0</v>
      </c>
      <c r="J475" s="188">
        <f ca="1">IFERROR(__xludf.DUMMYFUNCTION("IMPORTRANGE(""https://docs.google.com/spreadsheets/d/11923uPwbBZFjjGgGUA6NLw09EwE0CqkOc4q9oUmW1yo/edit?usp=sharing"",""พะเยา!J370"")"),0)</f>
        <v>0</v>
      </c>
      <c r="K475" s="163">
        <f t="shared" ca="1" si="117"/>
        <v>0</v>
      </c>
      <c r="L475" s="181"/>
      <c r="M475" s="181"/>
      <c r="N475" s="181"/>
      <c r="O475" s="181"/>
      <c r="P475" s="181"/>
    </row>
    <row r="476" spans="1:16" ht="21.75" customHeight="1" x14ac:dyDescent="0.3">
      <c r="A476" s="400"/>
      <c r="B476" s="401"/>
      <c r="C476" s="401"/>
      <c r="D476" s="402"/>
      <c r="E476" s="195"/>
      <c r="F476" s="195"/>
      <c r="G476" s="419"/>
      <c r="H476" s="420" t="s">
        <v>36</v>
      </c>
      <c r="I476" s="202">
        <f ca="1">IFERROR(__xludf.DUMMYFUNCTION("IMPORTRANGE(""https://docs.google.com/spreadsheets/d/11923uPwbBZFjjGgGUA6NLw09EwE0CqkOc4q9oUmW1yo/edit?usp=sharing"",""พะเยา!I371"")"),0)</f>
        <v>0</v>
      </c>
      <c r="J476" s="188">
        <f ca="1">IFERROR(__xludf.DUMMYFUNCTION("IMPORTRANGE(""https://docs.google.com/spreadsheets/d/11923uPwbBZFjjGgGUA6NLw09EwE0CqkOc4q9oUmW1yo/edit?usp=sharing"",""พะเยา!J371"")"),0)</f>
        <v>0</v>
      </c>
      <c r="K476" s="163">
        <f t="shared" ca="1" si="117"/>
        <v>0</v>
      </c>
      <c r="L476" s="181"/>
      <c r="M476" s="181"/>
      <c r="N476" s="181"/>
      <c r="O476" s="181"/>
      <c r="P476" s="181"/>
    </row>
    <row r="477" spans="1:16" ht="21.75" customHeight="1" x14ac:dyDescent="0.3">
      <c r="A477" s="400"/>
      <c r="B477" s="401"/>
      <c r="C477" s="401"/>
      <c r="D477" s="402"/>
      <c r="E477" s="195"/>
      <c r="F477" s="194" t="s">
        <v>173</v>
      </c>
      <c r="G477" s="419"/>
      <c r="H477" s="420" t="s">
        <v>122</v>
      </c>
      <c r="I477" s="202">
        <f ca="1">IFERROR(__xludf.DUMMYFUNCTION("IMPORTRANGE(""https://docs.google.com/spreadsheets/d/11923uPwbBZFjjGgGUA6NLw09EwE0CqkOc4q9oUmW1yo/edit?usp=sharing"",""พะเยา!I372"")"),0)</f>
        <v>0</v>
      </c>
      <c r="J477" s="188">
        <f ca="1">IFERROR(__xludf.DUMMYFUNCTION("IMPORTRANGE(""https://docs.google.com/spreadsheets/d/11923uPwbBZFjjGgGUA6NLw09EwE0CqkOc4q9oUmW1yo/edit?usp=sharing"",""พะเยา!J372"")"),0)</f>
        <v>0</v>
      </c>
      <c r="K477" s="163">
        <f t="shared" ca="1" si="117"/>
        <v>0</v>
      </c>
      <c r="L477" s="181"/>
      <c r="M477" s="181"/>
      <c r="N477" s="181"/>
      <c r="O477" s="181"/>
      <c r="P477" s="181"/>
    </row>
    <row r="478" spans="1:16" ht="21.75" customHeight="1" x14ac:dyDescent="0.3">
      <c r="A478" s="400"/>
      <c r="B478" s="401"/>
      <c r="C478" s="401"/>
      <c r="D478" s="402"/>
      <c r="E478" s="195"/>
      <c r="F478" s="195"/>
      <c r="G478" s="419"/>
      <c r="H478" s="420" t="s">
        <v>36</v>
      </c>
      <c r="I478" s="202">
        <f ca="1">IFERROR(__xludf.DUMMYFUNCTION("IMPORTRANGE(""https://docs.google.com/spreadsheets/d/11923uPwbBZFjjGgGUA6NLw09EwE0CqkOc4q9oUmW1yo/edit?usp=sharing"",""พะเยา!I373"")"),0)</f>
        <v>0</v>
      </c>
      <c r="J478" s="188">
        <f ca="1">IFERROR(__xludf.DUMMYFUNCTION("IMPORTRANGE(""https://docs.google.com/spreadsheets/d/11923uPwbBZFjjGgGUA6NLw09EwE0CqkOc4q9oUmW1yo/edit?usp=sharing"",""พะเยา!J373"")"),0)</f>
        <v>0</v>
      </c>
      <c r="K478" s="163">
        <f t="shared" ca="1" si="117"/>
        <v>0</v>
      </c>
      <c r="L478" s="181"/>
      <c r="M478" s="181"/>
      <c r="N478" s="181"/>
      <c r="O478" s="181"/>
      <c r="P478" s="181"/>
    </row>
    <row r="479" spans="1:16" ht="21.75" customHeight="1" x14ac:dyDescent="0.3">
      <c r="A479" s="400"/>
      <c r="B479" s="401"/>
      <c r="C479" s="401"/>
      <c r="D479" s="402"/>
      <c r="E479" s="195"/>
      <c r="F479" s="194" t="s">
        <v>174</v>
      </c>
      <c r="G479" s="419"/>
      <c r="H479" s="420" t="s">
        <v>122</v>
      </c>
      <c r="I479" s="202">
        <f ca="1">IFERROR(__xludf.DUMMYFUNCTION("IMPORTRANGE(""https://docs.google.com/spreadsheets/d/11923uPwbBZFjjGgGUA6NLw09EwE0CqkOc4q9oUmW1yo/edit?usp=sharing"",""พะเยา!I374"")"),0)</f>
        <v>0</v>
      </c>
      <c r="J479" s="188">
        <f ca="1">IFERROR(__xludf.DUMMYFUNCTION("IMPORTRANGE(""https://docs.google.com/spreadsheets/d/11923uPwbBZFjjGgGUA6NLw09EwE0CqkOc4q9oUmW1yo/edit?usp=sharing"",""พะเยา!J374"")"),0)</f>
        <v>0</v>
      </c>
      <c r="K479" s="163">
        <f t="shared" ca="1" si="117"/>
        <v>0</v>
      </c>
      <c r="L479" s="181"/>
      <c r="M479" s="181"/>
      <c r="N479" s="181"/>
      <c r="O479" s="181"/>
      <c r="P479" s="181"/>
    </row>
    <row r="480" spans="1:16" ht="21.75" customHeight="1" x14ac:dyDescent="0.3">
      <c r="A480" s="400"/>
      <c r="B480" s="401"/>
      <c r="C480" s="401"/>
      <c r="D480" s="402"/>
      <c r="E480" s="195"/>
      <c r="F480" s="195"/>
      <c r="G480" s="196"/>
      <c r="H480" s="420" t="s">
        <v>36</v>
      </c>
      <c r="I480" s="202">
        <f ca="1">IFERROR(__xludf.DUMMYFUNCTION("IMPORTRANGE(""https://docs.google.com/spreadsheets/d/11923uPwbBZFjjGgGUA6NLw09EwE0CqkOc4q9oUmW1yo/edit?usp=sharing"",""พะเยา!I375"")"),0)</f>
        <v>0</v>
      </c>
      <c r="J480" s="188">
        <f ca="1">IFERROR(__xludf.DUMMYFUNCTION("IMPORTRANGE(""https://docs.google.com/spreadsheets/d/11923uPwbBZFjjGgGUA6NLw09EwE0CqkOc4q9oUmW1yo/edit?usp=sharing"",""พะเยา!J375"")"),0)</f>
        <v>0</v>
      </c>
      <c r="K480" s="163">
        <f t="shared" ca="1" si="117"/>
        <v>0</v>
      </c>
      <c r="L480" s="181"/>
      <c r="M480" s="181"/>
      <c r="N480" s="181"/>
      <c r="O480" s="181"/>
      <c r="P480" s="181"/>
    </row>
    <row r="481" spans="1:16" ht="21.75" customHeight="1" x14ac:dyDescent="0.3">
      <c r="A481" s="421"/>
      <c r="B481" s="422"/>
      <c r="C481" s="422"/>
      <c r="D481" s="423"/>
      <c r="E481" s="424" t="s">
        <v>175</v>
      </c>
      <c r="F481" s="425"/>
      <c r="G481" s="426"/>
      <c r="H481" s="427" t="s">
        <v>122</v>
      </c>
      <c r="I481" s="418">
        <f ca="1">IFERROR(__xludf.DUMMYFUNCTION("IMPORTRANGE(""https://docs.google.com/spreadsheets/d/11923uPwbBZFjjGgGUA6NLw09EwE0CqkOc4q9oUmW1yo/edit?usp=sharing"",""พะเยา!I376"")"),31127)</f>
        <v>31127</v>
      </c>
      <c r="J481" s="418">
        <f ca="1">IFERROR(__xludf.DUMMYFUNCTION("IMPORTRANGE(""https://docs.google.com/spreadsheets/d/11923uPwbBZFjjGgGUA6NLw09EwE0CqkOc4q9oUmW1yo/edit?usp=sharing"",""พะเยา!J376"")"),0)</f>
        <v>0</v>
      </c>
      <c r="K481" s="201">
        <f t="shared" ca="1" si="117"/>
        <v>0</v>
      </c>
      <c r="L481" s="428"/>
      <c r="M481" s="428"/>
      <c r="N481" s="428"/>
      <c r="O481" s="428"/>
      <c r="P481" s="428"/>
    </row>
    <row r="482" spans="1:16" ht="21.75" customHeight="1" x14ac:dyDescent="0.3">
      <c r="A482" s="400"/>
      <c r="B482" s="401"/>
      <c r="C482" s="401"/>
      <c r="D482" s="402"/>
      <c r="E482" s="195"/>
      <c r="F482" s="195"/>
      <c r="G482" s="196"/>
      <c r="H482" s="416" t="s">
        <v>36</v>
      </c>
      <c r="I482" s="417">
        <f ca="1">IFERROR(__xludf.DUMMYFUNCTION("IMPORTRANGE(""https://docs.google.com/spreadsheets/d/11923uPwbBZFjjGgGUA6NLw09EwE0CqkOc4q9oUmW1yo/edit?usp=sharing"",""พะเยา!I377"")"),5512)</f>
        <v>5512</v>
      </c>
      <c r="J482" s="418">
        <f ca="1">IFERROR(__xludf.DUMMYFUNCTION("IMPORTRANGE(""https://docs.google.com/spreadsheets/d/11923uPwbBZFjjGgGUA6NLw09EwE0CqkOc4q9oUmW1yo/edit?usp=sharing"",""พะเยา!J377"")"),0)</f>
        <v>0</v>
      </c>
      <c r="K482" s="163">
        <f t="shared" ca="1" si="117"/>
        <v>0</v>
      </c>
      <c r="L482" s="181"/>
      <c r="M482" s="181"/>
      <c r="N482" s="181"/>
      <c r="O482" s="181"/>
      <c r="P482" s="181"/>
    </row>
    <row r="483" spans="1:16" ht="21.75" customHeight="1" x14ac:dyDescent="0.3">
      <c r="A483" s="400"/>
      <c r="B483" s="401"/>
      <c r="C483" s="401"/>
      <c r="D483" s="402"/>
      <c r="E483" s="195"/>
      <c r="F483" s="194" t="s">
        <v>176</v>
      </c>
      <c r="G483" s="419"/>
      <c r="H483" s="420" t="s">
        <v>122</v>
      </c>
      <c r="I483" s="202">
        <f ca="1">IFERROR(__xludf.DUMMYFUNCTION("IMPORTRANGE(""https://docs.google.com/spreadsheets/d/11923uPwbBZFjjGgGUA6NLw09EwE0CqkOc4q9oUmW1yo/edit?usp=sharing"",""พะเยา!I378"")"),0)</f>
        <v>0</v>
      </c>
      <c r="J483" s="188">
        <f ca="1">IFERROR(__xludf.DUMMYFUNCTION("IMPORTRANGE(""https://docs.google.com/spreadsheets/d/11923uPwbBZFjjGgGUA6NLw09EwE0CqkOc4q9oUmW1yo/edit?usp=sharing"",""พะเยา!J378"")"),0)</f>
        <v>0</v>
      </c>
      <c r="K483" s="163">
        <f t="shared" ca="1" si="117"/>
        <v>0</v>
      </c>
      <c r="L483" s="181"/>
      <c r="M483" s="181"/>
      <c r="N483" s="181"/>
      <c r="O483" s="181"/>
      <c r="P483" s="181"/>
    </row>
    <row r="484" spans="1:16" ht="21.75" customHeight="1" x14ac:dyDescent="0.3">
      <c r="A484" s="400"/>
      <c r="B484" s="401"/>
      <c r="C484" s="401"/>
      <c r="D484" s="402"/>
      <c r="E484" s="195"/>
      <c r="F484" s="195"/>
      <c r="G484" s="419"/>
      <c r="H484" s="420" t="s">
        <v>36</v>
      </c>
      <c r="I484" s="202">
        <f ca="1">IFERROR(__xludf.DUMMYFUNCTION("IMPORTRANGE(""https://docs.google.com/spreadsheets/d/11923uPwbBZFjjGgGUA6NLw09EwE0CqkOc4q9oUmW1yo/edit?usp=sharing"",""พะเยา!I379"")"),0)</f>
        <v>0</v>
      </c>
      <c r="J484" s="188">
        <f ca="1">IFERROR(__xludf.DUMMYFUNCTION("IMPORTRANGE(""https://docs.google.com/spreadsheets/d/11923uPwbBZFjjGgGUA6NLw09EwE0CqkOc4q9oUmW1yo/edit?usp=sharing"",""พะเยา!J379"")"),0)</f>
        <v>0</v>
      </c>
      <c r="K484" s="163">
        <f t="shared" ca="1" si="117"/>
        <v>0</v>
      </c>
      <c r="L484" s="181"/>
      <c r="M484" s="181"/>
      <c r="N484" s="181"/>
      <c r="O484" s="181"/>
      <c r="P484" s="181"/>
    </row>
    <row r="485" spans="1:16" ht="21.75" customHeight="1" x14ac:dyDescent="0.3">
      <c r="A485" s="400"/>
      <c r="B485" s="401"/>
      <c r="C485" s="401"/>
      <c r="D485" s="402"/>
      <c r="E485" s="195"/>
      <c r="F485" s="194" t="s">
        <v>177</v>
      </c>
      <c r="G485" s="419"/>
      <c r="H485" s="420" t="s">
        <v>122</v>
      </c>
      <c r="I485" s="202">
        <f ca="1">IFERROR(__xludf.DUMMYFUNCTION("IMPORTRANGE(""https://docs.google.com/spreadsheets/d/11923uPwbBZFjjGgGUA6NLw09EwE0CqkOc4q9oUmW1yo/edit?usp=sharing"",""พะเยา!I380"")"),0)</f>
        <v>0</v>
      </c>
      <c r="J485" s="188">
        <f ca="1">IFERROR(__xludf.DUMMYFUNCTION("IMPORTRANGE(""https://docs.google.com/spreadsheets/d/11923uPwbBZFjjGgGUA6NLw09EwE0CqkOc4q9oUmW1yo/edit?usp=sharing"",""พะเยา!J380"")"),0)</f>
        <v>0</v>
      </c>
      <c r="K485" s="163">
        <f t="shared" ca="1" si="117"/>
        <v>0</v>
      </c>
      <c r="L485" s="181"/>
      <c r="M485" s="181"/>
      <c r="N485" s="181"/>
      <c r="O485" s="181"/>
      <c r="P485" s="181"/>
    </row>
    <row r="486" spans="1:16" ht="21.75" customHeight="1" x14ac:dyDescent="0.3">
      <c r="A486" s="400"/>
      <c r="B486" s="401"/>
      <c r="C486" s="401"/>
      <c r="D486" s="402"/>
      <c r="E486" s="195"/>
      <c r="F486" s="195"/>
      <c r="G486" s="419"/>
      <c r="H486" s="420" t="s">
        <v>36</v>
      </c>
      <c r="I486" s="202">
        <f ca="1">IFERROR(__xludf.DUMMYFUNCTION("IMPORTRANGE(""https://docs.google.com/spreadsheets/d/11923uPwbBZFjjGgGUA6NLw09EwE0CqkOc4q9oUmW1yo/edit?usp=sharing"",""พะเยา!I381"")"),0)</f>
        <v>0</v>
      </c>
      <c r="J486" s="188">
        <f ca="1">IFERROR(__xludf.DUMMYFUNCTION("IMPORTRANGE(""https://docs.google.com/spreadsheets/d/11923uPwbBZFjjGgGUA6NLw09EwE0CqkOc4q9oUmW1yo/edit?usp=sharing"",""พะเยา!J381"")"),0)</f>
        <v>0</v>
      </c>
      <c r="K486" s="163">
        <f t="shared" ca="1" si="117"/>
        <v>0</v>
      </c>
      <c r="L486" s="181"/>
      <c r="M486" s="181"/>
      <c r="N486" s="181"/>
      <c r="O486" s="181"/>
      <c r="P486" s="181"/>
    </row>
    <row r="487" spans="1:16" ht="21.75" customHeight="1" x14ac:dyDescent="0.3">
      <c r="A487" s="400"/>
      <c r="B487" s="401"/>
      <c r="C487" s="401"/>
      <c r="D487" s="402"/>
      <c r="E487" s="195"/>
      <c r="F487" s="194" t="s">
        <v>178</v>
      </c>
      <c r="G487" s="419"/>
      <c r="H487" s="420" t="s">
        <v>122</v>
      </c>
      <c r="I487" s="202">
        <f ca="1">IFERROR(__xludf.DUMMYFUNCTION("IMPORTRANGE(""https://docs.google.com/spreadsheets/d/11923uPwbBZFjjGgGUA6NLw09EwE0CqkOc4q9oUmW1yo/edit?usp=sharing"",""พะเยา!I382"")"),0)</f>
        <v>0</v>
      </c>
      <c r="J487" s="418">
        <f ca="1">IFERROR(__xludf.DUMMYFUNCTION("IMPORTRANGE(""https://docs.google.com/spreadsheets/d/11923uPwbBZFjjGgGUA6NLw09EwE0CqkOc4q9oUmW1yo/edit?usp=sharing"",""พะเยา!J382"")"),0)</f>
        <v>0</v>
      </c>
      <c r="K487" s="163">
        <f t="shared" ca="1" si="117"/>
        <v>0</v>
      </c>
      <c r="L487" s="181"/>
      <c r="M487" s="181"/>
      <c r="N487" s="181"/>
      <c r="O487" s="181"/>
      <c r="P487" s="181"/>
    </row>
    <row r="488" spans="1:16" ht="21.75" customHeight="1" x14ac:dyDescent="0.3">
      <c r="A488" s="400"/>
      <c r="B488" s="401"/>
      <c r="C488" s="401"/>
      <c r="D488" s="402"/>
      <c r="E488" s="195"/>
      <c r="F488" s="195"/>
      <c r="G488" s="195"/>
      <c r="H488" s="420" t="s">
        <v>36</v>
      </c>
      <c r="I488" s="202">
        <f ca="1">IFERROR(__xludf.DUMMYFUNCTION("IMPORTRANGE(""https://docs.google.com/spreadsheets/d/11923uPwbBZFjjGgGUA6NLw09EwE0CqkOc4q9oUmW1yo/edit?usp=sharing"",""พะเยา!I383"")"),0)</f>
        <v>0</v>
      </c>
      <c r="J488" s="418">
        <f ca="1">IFERROR(__xludf.DUMMYFUNCTION("IMPORTRANGE(""https://docs.google.com/spreadsheets/d/11923uPwbBZFjjGgGUA6NLw09EwE0CqkOc4q9oUmW1yo/edit?usp=sharing"",""พะเยา!J383"")"),0)</f>
        <v>0</v>
      </c>
      <c r="K488" s="163">
        <f t="shared" ca="1" si="117"/>
        <v>0</v>
      </c>
      <c r="L488" s="181"/>
      <c r="M488" s="181"/>
      <c r="N488" s="181"/>
      <c r="O488" s="181"/>
      <c r="P488" s="181"/>
    </row>
    <row r="489" spans="1:16" ht="21.75" customHeight="1" x14ac:dyDescent="0.3">
      <c r="A489" s="400"/>
      <c r="B489" s="401"/>
      <c r="C489" s="401"/>
      <c r="D489" s="402"/>
      <c r="E489" s="195"/>
      <c r="F489" s="195"/>
      <c r="G489" s="194" t="s">
        <v>179</v>
      </c>
      <c r="H489" s="420" t="s">
        <v>122</v>
      </c>
      <c r="I489" s="202">
        <f ca="1">IFERROR(__xludf.DUMMYFUNCTION("IMPORTRANGE(""https://docs.google.com/spreadsheets/d/11923uPwbBZFjjGgGUA6NLw09EwE0CqkOc4q9oUmW1yo/edit?usp=sharing"",""พะเยา!I384"")"),0)</f>
        <v>0</v>
      </c>
      <c r="J489" s="188">
        <f ca="1">IFERROR(__xludf.DUMMYFUNCTION("IMPORTRANGE(""https://docs.google.com/spreadsheets/d/11923uPwbBZFjjGgGUA6NLw09EwE0CqkOc4q9oUmW1yo/edit?usp=sharing"",""พะเยา!J384"")"),0)</f>
        <v>0</v>
      </c>
      <c r="K489" s="163">
        <f t="shared" ca="1" si="117"/>
        <v>0</v>
      </c>
      <c r="L489" s="181"/>
      <c r="M489" s="181"/>
      <c r="N489" s="181"/>
      <c r="O489" s="181"/>
      <c r="P489" s="181"/>
    </row>
    <row r="490" spans="1:16" ht="21.75" customHeight="1" x14ac:dyDescent="0.3">
      <c r="A490" s="400"/>
      <c r="B490" s="401"/>
      <c r="C490" s="401"/>
      <c r="D490" s="402"/>
      <c r="E490" s="195"/>
      <c r="F490" s="195"/>
      <c r="G490" s="195"/>
      <c r="H490" s="420" t="s">
        <v>36</v>
      </c>
      <c r="I490" s="202">
        <f ca="1">IFERROR(__xludf.DUMMYFUNCTION("IMPORTRANGE(""https://docs.google.com/spreadsheets/d/11923uPwbBZFjjGgGUA6NLw09EwE0CqkOc4q9oUmW1yo/edit?usp=sharing"",""พะเยา!I385"")"),0)</f>
        <v>0</v>
      </c>
      <c r="J490" s="188">
        <f ca="1">IFERROR(__xludf.DUMMYFUNCTION("IMPORTRANGE(""https://docs.google.com/spreadsheets/d/11923uPwbBZFjjGgGUA6NLw09EwE0CqkOc4q9oUmW1yo/edit?usp=sharing"",""พะเยา!J385"")"),0)</f>
        <v>0</v>
      </c>
      <c r="K490" s="163">
        <f t="shared" ca="1" si="117"/>
        <v>0</v>
      </c>
      <c r="L490" s="181"/>
      <c r="M490" s="181"/>
      <c r="N490" s="181"/>
      <c r="O490" s="181"/>
      <c r="P490" s="181"/>
    </row>
    <row r="491" spans="1:16" ht="21.75" customHeight="1" x14ac:dyDescent="0.3">
      <c r="A491" s="400"/>
      <c r="B491" s="401"/>
      <c r="C491" s="401"/>
      <c r="D491" s="402"/>
      <c r="E491" s="195"/>
      <c r="F491" s="195"/>
      <c r="G491" s="194" t="s">
        <v>180</v>
      </c>
      <c r="H491" s="420" t="s">
        <v>122</v>
      </c>
      <c r="I491" s="202">
        <f ca="1">IFERROR(__xludf.DUMMYFUNCTION("IMPORTRANGE(""https://docs.google.com/spreadsheets/d/11923uPwbBZFjjGgGUA6NLw09EwE0CqkOc4q9oUmW1yo/edit?usp=sharing"",""พะเยา!I386"")"),0)</f>
        <v>0</v>
      </c>
      <c r="J491" s="188">
        <f ca="1">IFERROR(__xludf.DUMMYFUNCTION("IMPORTRANGE(""https://docs.google.com/spreadsheets/d/11923uPwbBZFjjGgGUA6NLw09EwE0CqkOc4q9oUmW1yo/edit?usp=sharing"",""พะเยา!J386"")"),0)</f>
        <v>0</v>
      </c>
      <c r="K491" s="163">
        <f t="shared" ca="1" si="117"/>
        <v>0</v>
      </c>
      <c r="L491" s="181"/>
      <c r="M491" s="181"/>
      <c r="N491" s="181"/>
      <c r="O491" s="181"/>
      <c r="P491" s="181"/>
    </row>
    <row r="492" spans="1:16" ht="21.75" customHeight="1" x14ac:dyDescent="0.3">
      <c r="A492" s="400"/>
      <c r="B492" s="401"/>
      <c r="C492" s="401"/>
      <c r="D492" s="402"/>
      <c r="E492" s="195"/>
      <c r="F492" s="195"/>
      <c r="G492" s="196"/>
      <c r="H492" s="420" t="s">
        <v>36</v>
      </c>
      <c r="I492" s="202">
        <f ca="1">IFERROR(__xludf.DUMMYFUNCTION("IMPORTRANGE(""https://docs.google.com/spreadsheets/d/11923uPwbBZFjjGgGUA6NLw09EwE0CqkOc4q9oUmW1yo/edit?usp=sharing"",""พะเยา!I387"")"),0)</f>
        <v>0</v>
      </c>
      <c r="J492" s="188">
        <f ca="1">IFERROR(__xludf.DUMMYFUNCTION("IMPORTRANGE(""https://docs.google.com/spreadsheets/d/11923uPwbBZFjjGgGUA6NLw09EwE0CqkOc4q9oUmW1yo/edit?usp=sharing"",""พะเยา!J387"")"),0)</f>
        <v>0</v>
      </c>
      <c r="K492" s="163">
        <f t="shared" ca="1" si="117"/>
        <v>0</v>
      </c>
      <c r="L492" s="181"/>
      <c r="M492" s="181"/>
      <c r="N492" s="181"/>
      <c r="O492" s="181"/>
      <c r="P492" s="181"/>
    </row>
    <row r="493" spans="1:16" ht="21.75" customHeight="1" x14ac:dyDescent="0.3">
      <c r="A493" s="400"/>
      <c r="B493" s="401"/>
      <c r="C493" s="401"/>
      <c r="D493" s="402"/>
      <c r="E493" s="195"/>
      <c r="F493" s="194" t="s">
        <v>181</v>
      </c>
      <c r="G493" s="419"/>
      <c r="H493" s="420" t="s">
        <v>122</v>
      </c>
      <c r="I493" s="202">
        <f ca="1">IFERROR(__xludf.DUMMYFUNCTION("IMPORTRANGE(""https://docs.google.com/spreadsheets/d/11923uPwbBZFjjGgGUA6NLw09EwE0CqkOc4q9oUmW1yo/edit?usp=sharing"",""พะเยา!I388"")"),0)</f>
        <v>0</v>
      </c>
      <c r="J493" s="188">
        <f ca="1">IFERROR(__xludf.DUMMYFUNCTION("IMPORTRANGE(""https://docs.google.com/spreadsheets/d/11923uPwbBZFjjGgGUA6NLw09EwE0CqkOc4q9oUmW1yo/edit?usp=sharing"",""พะเยา!J388"")"),0)</f>
        <v>0</v>
      </c>
      <c r="K493" s="163">
        <f t="shared" ca="1" si="117"/>
        <v>0</v>
      </c>
      <c r="L493" s="181"/>
      <c r="M493" s="181"/>
      <c r="N493" s="181"/>
      <c r="O493" s="181"/>
      <c r="P493" s="181"/>
    </row>
    <row r="494" spans="1:16" ht="21.75" customHeight="1" x14ac:dyDescent="0.3">
      <c r="A494" s="429"/>
      <c r="B494" s="430"/>
      <c r="C494" s="430"/>
      <c r="D494" s="431"/>
      <c r="E494" s="345"/>
      <c r="F494" s="345"/>
      <c r="G494" s="345"/>
      <c r="H494" s="432" t="s">
        <v>36</v>
      </c>
      <c r="I494" s="433">
        <f ca="1">IFERROR(__xludf.DUMMYFUNCTION("IMPORTRANGE(""https://docs.google.com/spreadsheets/d/11923uPwbBZFjjGgGUA6NLw09EwE0CqkOc4q9oUmW1yo/edit?usp=sharing"",""พะเยา!I389"")"),0)</f>
        <v>0</v>
      </c>
      <c r="J494" s="434">
        <f ca="1">IFERROR(__xludf.DUMMYFUNCTION("IMPORTRANGE(""https://docs.google.com/spreadsheets/d/11923uPwbBZFjjGgGUA6NLw09EwE0CqkOc4q9oUmW1yo/edit?usp=sharing"",""พะเยา!J389"")"),0)</f>
        <v>0</v>
      </c>
      <c r="K494" s="286">
        <f t="shared" ca="1" si="117"/>
        <v>0</v>
      </c>
      <c r="L494" s="244"/>
      <c r="M494" s="244"/>
      <c r="N494" s="244"/>
      <c r="O494" s="244"/>
      <c r="P494" s="244"/>
    </row>
    <row r="495" spans="1:16" ht="21.75" customHeight="1" x14ac:dyDescent="0.3">
      <c r="A495" s="400"/>
      <c r="B495" s="401"/>
      <c r="C495" s="401"/>
      <c r="D495" s="402"/>
      <c r="E495" s="195"/>
      <c r="F495" s="195">
        <v>3.5</v>
      </c>
      <c r="G495" s="419" t="s">
        <v>182</v>
      </c>
      <c r="H495" s="420" t="s">
        <v>122</v>
      </c>
      <c r="I495" s="433">
        <f ca="1">IFERROR(__xludf.DUMMYFUNCTION("IMPORTRANGE(""https://docs.google.com/spreadsheets/d/11923uPwbBZFjjGgGUA6NLw09EwE0CqkOc4q9oUmW1yo/edit?usp=sharing"",""พะเยา!I390"")"),0)</f>
        <v>0</v>
      </c>
      <c r="J495" s="434">
        <f ca="1">IFERROR(__xludf.DUMMYFUNCTION("IMPORTRANGE(""https://docs.google.com/spreadsheets/d/11923uPwbBZFjjGgGUA6NLw09EwE0CqkOc4q9oUmW1yo/edit?usp=sharing"",""พะเยา!J390"")"),0)</f>
        <v>0</v>
      </c>
      <c r="K495" s="163">
        <f t="shared" ca="1" si="117"/>
        <v>0</v>
      </c>
      <c r="L495" s="181"/>
      <c r="M495" s="181"/>
      <c r="N495" s="181"/>
      <c r="O495" s="181"/>
      <c r="P495" s="181"/>
    </row>
    <row r="496" spans="1:16" ht="21.75" customHeight="1" x14ac:dyDescent="0.3">
      <c r="A496" s="429"/>
      <c r="B496" s="430"/>
      <c r="C496" s="430"/>
      <c r="D496" s="431"/>
      <c r="E496" s="345"/>
      <c r="F496" s="345"/>
      <c r="G496" s="345"/>
      <c r="H496" s="432" t="s">
        <v>36</v>
      </c>
      <c r="I496" s="433">
        <f ca="1">IFERROR(__xludf.DUMMYFUNCTION("IMPORTRANGE(""https://docs.google.com/spreadsheets/d/11923uPwbBZFjjGgGUA6NLw09EwE0CqkOc4q9oUmW1yo/edit?usp=sharing"",""พะเยา!I391"")"),0)</f>
        <v>0</v>
      </c>
      <c r="J496" s="434">
        <f ca="1">IFERROR(__xludf.DUMMYFUNCTION("IMPORTRANGE(""https://docs.google.com/spreadsheets/d/11923uPwbBZFjjGgGUA6NLw09EwE0CqkOc4q9oUmW1yo/edit?usp=sharing"",""พะเยา!J391"")"),0)</f>
        <v>0</v>
      </c>
      <c r="K496" s="286">
        <f t="shared" ca="1" si="117"/>
        <v>0</v>
      </c>
      <c r="L496" s="244"/>
      <c r="M496" s="244"/>
      <c r="N496" s="244"/>
      <c r="O496" s="244"/>
      <c r="P496" s="244"/>
    </row>
    <row r="497" spans="1:16" ht="21.75" customHeight="1" x14ac:dyDescent="0.3">
      <c r="A497" s="435"/>
      <c r="B497" s="436"/>
      <c r="C497" s="437" t="s">
        <v>183</v>
      </c>
      <c r="D497" s="437"/>
      <c r="E497" s="438"/>
      <c r="F497" s="438"/>
      <c r="G497" s="439"/>
      <c r="H497" s="440" t="s">
        <v>122</v>
      </c>
      <c r="I497" s="441">
        <f ca="1">IFERROR(__xludf.DUMMYFUNCTION("IMPORTRANGE(""https://docs.google.com/spreadsheets/d/11923uPwbBZFjjGgGUA6NLw09EwE0CqkOc4q9oUmW1yo/edit?usp=sharing"",""พะเยา!I392"")"),100)</f>
        <v>100</v>
      </c>
      <c r="J497" s="441">
        <f ca="1">IFERROR(__xludf.DUMMYFUNCTION("IMPORTRANGE(""https://docs.google.com/spreadsheets/d/11923uPwbBZFjjGgGUA6NLw09EwE0CqkOc4q9oUmW1yo/edit?usp=sharing"",""พะเยา!J392"")"),6)</f>
        <v>6</v>
      </c>
      <c r="K497" s="442">
        <f t="shared" ca="1" si="117"/>
        <v>6</v>
      </c>
      <c r="L497" s="443"/>
      <c r="M497" s="443"/>
      <c r="N497" s="443"/>
      <c r="O497" s="443"/>
      <c r="P497" s="443"/>
    </row>
    <row r="498" spans="1:16" ht="21.75" customHeight="1" x14ac:dyDescent="0.3">
      <c r="A498" s="175"/>
      <c r="B498" s="176"/>
      <c r="C498" s="176"/>
      <c r="D498" s="402"/>
      <c r="E498" s="444" t="s">
        <v>184</v>
      </c>
      <c r="F498" s="445"/>
      <c r="G498" s="446"/>
      <c r="H498" s="447" t="s">
        <v>122</v>
      </c>
      <c r="I498" s="418">
        <f ca="1">IFERROR(__xludf.DUMMYFUNCTION("IMPORTRANGE(""https://docs.google.com/spreadsheets/d/11923uPwbBZFjjGgGUA6NLw09EwE0CqkOc4q9oUmW1yo/edit?usp=sharing"",""พะเยา!I393"")"),100)</f>
        <v>100</v>
      </c>
      <c r="J498" s="418">
        <f ca="1">IFERROR(__xludf.DUMMYFUNCTION("IMPORTRANGE(""https://docs.google.com/spreadsheets/d/11923uPwbBZFjjGgGUA6NLw09EwE0CqkOc4q9oUmW1yo/edit?usp=sharing"",""พะเยา!J393"")"),6)</f>
        <v>6</v>
      </c>
      <c r="K498" s="163">
        <f t="shared" ca="1" si="117"/>
        <v>6</v>
      </c>
      <c r="L498" s="181"/>
      <c r="M498" s="181"/>
      <c r="N498" s="181"/>
      <c r="O498" s="181"/>
      <c r="P498" s="181"/>
    </row>
    <row r="499" spans="1:16" ht="21.75" customHeight="1" x14ac:dyDescent="0.3">
      <c r="A499" s="175"/>
      <c r="B499" s="176"/>
      <c r="C499" s="176"/>
      <c r="D499" s="193"/>
      <c r="E499" s="445"/>
      <c r="F499" s="445"/>
      <c r="G499" s="446"/>
      <c r="H499" s="447" t="s">
        <v>36</v>
      </c>
      <c r="I499" s="418">
        <f ca="1">IFERROR(__xludf.DUMMYFUNCTION("IMPORTRANGE(""https://docs.google.com/spreadsheets/d/11923uPwbBZFjjGgGUA6NLw09EwE0CqkOc4q9oUmW1yo/edit?usp=sharing"",""พะเยา!I394"")"),20)</f>
        <v>20</v>
      </c>
      <c r="J499" s="418">
        <f ca="1">IFERROR(__xludf.DUMMYFUNCTION("IMPORTRANGE(""https://docs.google.com/spreadsheets/d/11923uPwbBZFjjGgGUA6NLw09EwE0CqkOc4q9oUmW1yo/edit?usp=sharing"",""พะเยา!J394"")"),2)</f>
        <v>2</v>
      </c>
      <c r="K499" s="201">
        <f t="shared" ca="1" si="117"/>
        <v>10</v>
      </c>
      <c r="L499" s="181"/>
      <c r="M499" s="181"/>
      <c r="N499" s="181"/>
      <c r="O499" s="181"/>
      <c r="P499" s="181"/>
    </row>
    <row r="500" spans="1:16" ht="21.75" customHeight="1" x14ac:dyDescent="0.3">
      <c r="A500" s="175"/>
      <c r="B500" s="176"/>
      <c r="C500" s="176"/>
      <c r="D500" s="402"/>
      <c r="E500" s="402" t="s">
        <v>185</v>
      </c>
      <c r="F500" s="195"/>
      <c r="G500" s="196"/>
      <c r="H500" s="420" t="s">
        <v>122</v>
      </c>
      <c r="I500" s="202">
        <f ca="1">IFERROR(__xludf.DUMMYFUNCTION("IMPORTRANGE(""https://docs.google.com/spreadsheets/d/11923uPwbBZFjjGgGUA6NLw09EwE0CqkOc4q9oUmW1yo/edit?usp=sharing"",""พะเยา!I395"")"),0)</f>
        <v>0</v>
      </c>
      <c r="J500" s="162">
        <f ca="1">IFERROR(__xludf.DUMMYFUNCTION("IMPORTRANGE(""https://docs.google.com/spreadsheets/d/11923uPwbBZFjjGgGUA6NLw09EwE0CqkOc4q9oUmW1yo/edit?usp=sharing"",""พะเยา!J395"")"),0)</f>
        <v>0</v>
      </c>
      <c r="K500" s="163">
        <f t="shared" ca="1" si="117"/>
        <v>0</v>
      </c>
      <c r="L500" s="181"/>
      <c r="M500" s="181"/>
      <c r="N500" s="181"/>
      <c r="O500" s="181"/>
      <c r="P500" s="181"/>
    </row>
    <row r="501" spans="1:16" ht="21.75" customHeight="1" x14ac:dyDescent="0.3">
      <c r="A501" s="175"/>
      <c r="B501" s="176"/>
      <c r="C501" s="176"/>
      <c r="D501" s="193"/>
      <c r="E501" s="195"/>
      <c r="F501" s="195"/>
      <c r="G501" s="196"/>
      <c r="H501" s="420" t="s">
        <v>36</v>
      </c>
      <c r="I501" s="202">
        <f ca="1">IFERROR(__xludf.DUMMYFUNCTION("IMPORTRANGE(""https://docs.google.com/spreadsheets/d/11923uPwbBZFjjGgGUA6NLw09EwE0CqkOc4q9oUmW1yo/edit?usp=sharing"",""พะเยา!I396"")"),0)</f>
        <v>0</v>
      </c>
      <c r="J501" s="162">
        <f ca="1">IFERROR(__xludf.DUMMYFUNCTION("IMPORTRANGE(""https://docs.google.com/spreadsheets/d/11923uPwbBZFjjGgGUA6NLw09EwE0CqkOc4q9oUmW1yo/edit?usp=sharing"",""พะเยา!J396"")"),0)</f>
        <v>0</v>
      </c>
      <c r="K501" s="163">
        <f t="shared" ca="1" si="117"/>
        <v>0</v>
      </c>
      <c r="L501" s="181"/>
      <c r="M501" s="181"/>
      <c r="N501" s="181"/>
      <c r="O501" s="181"/>
      <c r="P501" s="181"/>
    </row>
    <row r="502" spans="1:16" ht="21.75" customHeight="1" x14ac:dyDescent="0.3">
      <c r="A502" s="175"/>
      <c r="B502" s="176"/>
      <c r="C502" s="176"/>
      <c r="D502" s="193"/>
      <c r="E502" s="195"/>
      <c r="F502" s="397" t="s">
        <v>186</v>
      </c>
      <c r="G502" s="419"/>
      <c r="H502" s="420" t="s">
        <v>122</v>
      </c>
      <c r="I502" s="202">
        <f ca="1">IFERROR(__xludf.DUMMYFUNCTION("IMPORTRANGE(""https://docs.google.com/spreadsheets/d/11923uPwbBZFjjGgGUA6NLw09EwE0CqkOc4q9oUmW1yo/edit?usp=sharing"",""พะเยา!I397"")"),0)</f>
        <v>0</v>
      </c>
      <c r="J502" s="188">
        <f ca="1">IFERROR(__xludf.DUMMYFUNCTION("IMPORTRANGE(""https://docs.google.com/spreadsheets/d/11923uPwbBZFjjGgGUA6NLw09EwE0CqkOc4q9oUmW1yo/edit?usp=sharing"",""พะเยา!J397"")"),0)</f>
        <v>0</v>
      </c>
      <c r="K502" s="163">
        <f t="shared" ca="1" si="117"/>
        <v>0</v>
      </c>
      <c r="L502" s="181"/>
      <c r="M502" s="181"/>
      <c r="N502" s="181"/>
      <c r="O502" s="181"/>
      <c r="P502" s="181"/>
    </row>
    <row r="503" spans="1:16" ht="21.75" customHeight="1" x14ac:dyDescent="0.3">
      <c r="A503" s="175"/>
      <c r="B503" s="176"/>
      <c r="C503" s="176"/>
      <c r="D503" s="193"/>
      <c r="E503" s="195"/>
      <c r="F503" s="195"/>
      <c r="G503" s="419"/>
      <c r="H503" s="420" t="s">
        <v>36</v>
      </c>
      <c r="I503" s="187">
        <f ca="1">IFERROR(__xludf.DUMMYFUNCTION("IMPORTRANGE(""https://docs.google.com/spreadsheets/d/11923uPwbBZFjjGgGUA6NLw09EwE0CqkOc4q9oUmW1yo/edit?usp=sharing"",""พะเยา!I398"")"),0)</f>
        <v>0</v>
      </c>
      <c r="J503" s="197">
        <f ca="1">IFERROR(__xludf.DUMMYFUNCTION("IMPORTRANGE(""https://docs.google.com/spreadsheets/d/11923uPwbBZFjjGgGUA6NLw09EwE0CqkOc4q9oUmW1yo/edit?usp=sharing"",""พะเยา!J398"")"),0)</f>
        <v>0</v>
      </c>
      <c r="K503" s="163">
        <f t="shared" ca="1" si="117"/>
        <v>0</v>
      </c>
      <c r="L503" s="181"/>
      <c r="M503" s="181"/>
      <c r="N503" s="181"/>
      <c r="O503" s="181"/>
      <c r="P503" s="181"/>
    </row>
    <row r="504" spans="1:16" ht="21.75" customHeight="1" x14ac:dyDescent="0.3">
      <c r="A504" s="175"/>
      <c r="B504" s="176"/>
      <c r="C504" s="176"/>
      <c r="D504" s="193"/>
      <c r="E504" s="195"/>
      <c r="F504" s="388" t="s">
        <v>187</v>
      </c>
      <c r="G504" s="419"/>
      <c r="H504" s="420" t="s">
        <v>122</v>
      </c>
      <c r="I504" s="203">
        <f ca="1">IFERROR(__xludf.DUMMYFUNCTION("IMPORTRANGE(""https://docs.google.com/spreadsheets/d/11923uPwbBZFjjGgGUA6NLw09EwE0CqkOc4q9oUmW1yo/edit?usp=sharing"",""พะเยา!I399"")"),0)</f>
        <v>0</v>
      </c>
      <c r="J504" s="188">
        <f ca="1">IFERROR(__xludf.DUMMYFUNCTION("IMPORTRANGE(""https://docs.google.com/spreadsheets/d/11923uPwbBZFjjGgGUA6NLw09EwE0CqkOc4q9oUmW1yo/edit?usp=sharing"",""พะเยา!J399"")"),0)</f>
        <v>0</v>
      </c>
      <c r="K504" s="163">
        <f t="shared" ca="1" si="117"/>
        <v>0</v>
      </c>
      <c r="L504" s="181"/>
      <c r="M504" s="181"/>
      <c r="N504" s="181"/>
      <c r="O504" s="181"/>
      <c r="P504" s="181"/>
    </row>
    <row r="505" spans="1:16" ht="21.75" customHeight="1" x14ac:dyDescent="0.3">
      <c r="A505" s="175"/>
      <c r="B505" s="176"/>
      <c r="C505" s="176"/>
      <c r="D505" s="193"/>
      <c r="E505" s="195"/>
      <c r="F505" s="195"/>
      <c r="G505" s="419"/>
      <c r="H505" s="420" t="s">
        <v>36</v>
      </c>
      <c r="I505" s="187">
        <f ca="1">IFERROR(__xludf.DUMMYFUNCTION("IMPORTRANGE(""https://docs.google.com/spreadsheets/d/11923uPwbBZFjjGgGUA6NLw09EwE0CqkOc4q9oUmW1yo/edit?usp=sharing"",""พะเยา!I400"")"),0)</f>
        <v>0</v>
      </c>
      <c r="J505" s="197">
        <f ca="1">IFERROR(__xludf.DUMMYFUNCTION("IMPORTRANGE(""https://docs.google.com/spreadsheets/d/11923uPwbBZFjjGgGUA6NLw09EwE0CqkOc4q9oUmW1yo/edit?usp=sharing"",""พะเยา!J400"")"),0)</f>
        <v>0</v>
      </c>
      <c r="K505" s="163">
        <f t="shared" ca="1" si="117"/>
        <v>0</v>
      </c>
      <c r="L505" s="181"/>
      <c r="M505" s="181"/>
      <c r="N505" s="181"/>
      <c r="O505" s="181"/>
      <c r="P505" s="181"/>
    </row>
    <row r="506" spans="1:16" ht="21.75" customHeight="1" x14ac:dyDescent="0.3">
      <c r="A506" s="175"/>
      <c r="B506" s="176"/>
      <c r="C506" s="176"/>
      <c r="D506" s="193"/>
      <c r="E506" s="195"/>
      <c r="F506" s="397" t="s">
        <v>188</v>
      </c>
      <c r="G506" s="419"/>
      <c r="H506" s="420" t="s">
        <v>122</v>
      </c>
      <c r="I506" s="203">
        <f ca="1">IFERROR(__xludf.DUMMYFUNCTION("IMPORTRANGE(""https://docs.google.com/spreadsheets/d/11923uPwbBZFjjGgGUA6NLw09EwE0CqkOc4q9oUmW1yo/edit?usp=sharing"",""พะเยา!I401"")"),0)</f>
        <v>0</v>
      </c>
      <c r="J506" s="188">
        <f ca="1">IFERROR(__xludf.DUMMYFUNCTION("IMPORTRANGE(""https://docs.google.com/spreadsheets/d/11923uPwbBZFjjGgGUA6NLw09EwE0CqkOc4q9oUmW1yo/edit?usp=sharing"",""พะเยา!J401"")"),0)</f>
        <v>0</v>
      </c>
      <c r="K506" s="163">
        <f t="shared" ca="1" si="117"/>
        <v>0</v>
      </c>
      <c r="L506" s="181"/>
      <c r="M506" s="181"/>
      <c r="N506" s="181"/>
      <c r="O506" s="181"/>
      <c r="P506" s="181"/>
    </row>
    <row r="507" spans="1:16" ht="21.75" customHeight="1" x14ac:dyDescent="0.3">
      <c r="A507" s="175"/>
      <c r="B507" s="176"/>
      <c r="C507" s="176"/>
      <c r="D507" s="193"/>
      <c r="E507" s="195"/>
      <c r="F507" s="195"/>
      <c r="G507" s="195"/>
      <c r="H507" s="420" t="s">
        <v>36</v>
      </c>
      <c r="I507" s="187">
        <f ca="1">IFERROR(__xludf.DUMMYFUNCTION("IMPORTRANGE(""https://docs.google.com/spreadsheets/d/11923uPwbBZFjjGgGUA6NLw09EwE0CqkOc4q9oUmW1yo/edit?usp=sharing"",""พะเยา!I402"")"),0)</f>
        <v>0</v>
      </c>
      <c r="J507" s="197">
        <f ca="1">IFERROR(__xludf.DUMMYFUNCTION("IMPORTRANGE(""https://docs.google.com/spreadsheets/d/11923uPwbBZFjjGgGUA6NLw09EwE0CqkOc4q9oUmW1yo/edit?usp=sharing"",""พะเยา!J402"")"),0)</f>
        <v>0</v>
      </c>
      <c r="K507" s="163">
        <f t="shared" ca="1" si="117"/>
        <v>0</v>
      </c>
      <c r="L507" s="181"/>
      <c r="M507" s="181"/>
      <c r="N507" s="181"/>
      <c r="O507" s="181"/>
      <c r="P507" s="181"/>
    </row>
    <row r="508" spans="1:16" ht="21.75" customHeight="1" x14ac:dyDescent="0.3">
      <c r="A508" s="175"/>
      <c r="B508" s="176"/>
      <c r="C508" s="176"/>
      <c r="D508" s="193"/>
      <c r="E508" s="194" t="s">
        <v>189</v>
      </c>
      <c r="F508" s="195"/>
      <c r="G508" s="419"/>
      <c r="H508" s="420" t="s">
        <v>122</v>
      </c>
      <c r="I508" s="187">
        <f ca="1">IFERROR(__xludf.DUMMYFUNCTION("IMPORTRANGE(""https://docs.google.com/spreadsheets/d/11923uPwbBZFjjGgGUA6NLw09EwE0CqkOc4q9oUmW1yo/edit?usp=sharing"",""พะเยา!I403"")"),0)</f>
        <v>0</v>
      </c>
      <c r="J508" s="162">
        <f ca="1">IFERROR(__xludf.DUMMYFUNCTION("IMPORTRANGE(""https://docs.google.com/spreadsheets/d/11923uPwbBZFjjGgGUA6NLw09EwE0CqkOc4q9oUmW1yo/edit?usp=sharing"",""พะเยา!J403"")"),6)</f>
        <v>6</v>
      </c>
      <c r="K508" s="163">
        <f t="shared" ca="1" si="117"/>
        <v>0</v>
      </c>
      <c r="L508" s="181"/>
      <c r="M508" s="181"/>
      <c r="N508" s="181"/>
      <c r="O508" s="181"/>
      <c r="P508" s="181"/>
    </row>
    <row r="509" spans="1:16" ht="21.75" customHeight="1" x14ac:dyDescent="0.3">
      <c r="A509" s="175"/>
      <c r="B509" s="176"/>
      <c r="C509" s="176"/>
      <c r="D509" s="193"/>
      <c r="E509" s="195"/>
      <c r="F509" s="195"/>
      <c r="G509" s="195"/>
      <c r="H509" s="420" t="s">
        <v>36</v>
      </c>
      <c r="I509" s="187">
        <f ca="1">IFERROR(__xludf.DUMMYFUNCTION("IMPORTRANGE(""https://docs.google.com/spreadsheets/d/11923uPwbBZFjjGgGUA6NLw09EwE0CqkOc4q9oUmW1yo/edit?usp=sharing"",""พะเยา!I404"")"),0)</f>
        <v>0</v>
      </c>
      <c r="J509" s="162">
        <f ca="1">IFERROR(__xludf.DUMMYFUNCTION("IMPORTRANGE(""https://docs.google.com/spreadsheets/d/11923uPwbBZFjjGgGUA6NLw09EwE0CqkOc4q9oUmW1yo/edit?usp=sharing"",""พะเยา!J404"")"),2)</f>
        <v>2</v>
      </c>
      <c r="K509" s="163">
        <f t="shared" ca="1" si="117"/>
        <v>0</v>
      </c>
      <c r="L509" s="181"/>
      <c r="M509" s="181"/>
      <c r="N509" s="181"/>
      <c r="O509" s="181"/>
      <c r="P509" s="181"/>
    </row>
    <row r="510" spans="1:16" ht="21.75" customHeight="1" x14ac:dyDescent="0.3">
      <c r="A510" s="175"/>
      <c r="B510" s="176"/>
      <c r="C510" s="176"/>
      <c r="D510" s="193"/>
      <c r="E510" s="195"/>
      <c r="F510" s="194" t="s">
        <v>190</v>
      </c>
      <c r="G510" s="195"/>
      <c r="H510" s="420" t="s">
        <v>122</v>
      </c>
      <c r="I510" s="187">
        <f ca="1">IFERROR(__xludf.DUMMYFUNCTION("IMPORTRANGE(""https://docs.google.com/spreadsheets/d/11923uPwbBZFjjGgGUA6NLw09EwE0CqkOc4q9oUmW1yo/edit?usp=sharing"",""พะเยา!I405"")"),0)</f>
        <v>0</v>
      </c>
      <c r="J510" s="197">
        <f ca="1">IFERROR(__xludf.DUMMYFUNCTION("IMPORTRANGE(""https://docs.google.com/spreadsheets/d/11923uPwbBZFjjGgGUA6NLw09EwE0CqkOc4q9oUmW1yo/edit?usp=sharing"",""พะเยา!J405"")"),6)</f>
        <v>6</v>
      </c>
      <c r="K510" s="163">
        <f t="shared" ca="1" si="117"/>
        <v>0</v>
      </c>
      <c r="L510" s="181"/>
      <c r="M510" s="181"/>
      <c r="N510" s="181"/>
      <c r="O510" s="181"/>
      <c r="P510" s="181"/>
    </row>
    <row r="511" spans="1:16" ht="21.75" customHeight="1" x14ac:dyDescent="0.3">
      <c r="A511" s="175"/>
      <c r="B511" s="176"/>
      <c r="C511" s="176"/>
      <c r="D511" s="193"/>
      <c r="E511" s="195"/>
      <c r="F511" s="195"/>
      <c r="G511" s="195"/>
      <c r="H511" s="420" t="s">
        <v>36</v>
      </c>
      <c r="I511" s="187">
        <f ca="1">IFERROR(__xludf.DUMMYFUNCTION("IMPORTRANGE(""https://docs.google.com/spreadsheets/d/11923uPwbBZFjjGgGUA6NLw09EwE0CqkOc4q9oUmW1yo/edit?usp=sharing"",""พะเยา!I406"")"),0)</f>
        <v>0</v>
      </c>
      <c r="J511" s="197">
        <f ca="1">IFERROR(__xludf.DUMMYFUNCTION("IMPORTRANGE(""https://docs.google.com/spreadsheets/d/11923uPwbBZFjjGgGUA6NLw09EwE0CqkOc4q9oUmW1yo/edit?usp=sharing"",""พะเยา!J406"")"),2)</f>
        <v>2</v>
      </c>
      <c r="K511" s="163">
        <f t="shared" ca="1" si="117"/>
        <v>0</v>
      </c>
      <c r="L511" s="181"/>
      <c r="M511" s="181"/>
      <c r="N511" s="181"/>
      <c r="O511" s="181"/>
      <c r="P511" s="181"/>
    </row>
    <row r="512" spans="1:16" ht="21.75" customHeight="1" x14ac:dyDescent="0.3">
      <c r="A512" s="175"/>
      <c r="B512" s="176"/>
      <c r="C512" s="176"/>
      <c r="D512" s="193"/>
      <c r="E512" s="195"/>
      <c r="F512" s="194" t="s">
        <v>191</v>
      </c>
      <c r="G512" s="195"/>
      <c r="H512" s="420" t="s">
        <v>122</v>
      </c>
      <c r="I512" s="187">
        <f ca="1">IFERROR(__xludf.DUMMYFUNCTION("IMPORTRANGE(""https://docs.google.com/spreadsheets/d/11923uPwbBZFjjGgGUA6NLw09EwE0CqkOc4q9oUmW1yo/edit?usp=sharing"",""พะเยา!I407"")"),0)</f>
        <v>0</v>
      </c>
      <c r="J512" s="197">
        <f ca="1">IFERROR(__xludf.DUMMYFUNCTION("IMPORTRANGE(""https://docs.google.com/spreadsheets/d/11923uPwbBZFjjGgGUA6NLw09EwE0CqkOc4q9oUmW1yo/edit?usp=sharing"",""พะเยา!J407"")"),0)</f>
        <v>0</v>
      </c>
      <c r="K512" s="163">
        <f t="shared" ca="1" si="117"/>
        <v>0</v>
      </c>
      <c r="L512" s="181"/>
      <c r="M512" s="181"/>
      <c r="N512" s="181"/>
      <c r="O512" s="181"/>
      <c r="P512" s="181"/>
    </row>
    <row r="513" spans="1:16" ht="21.75" customHeight="1" x14ac:dyDescent="0.3">
      <c r="A513" s="175"/>
      <c r="B513" s="176"/>
      <c r="C513" s="176"/>
      <c r="D513" s="193"/>
      <c r="E513" s="195"/>
      <c r="F513" s="195"/>
      <c r="G513" s="196"/>
      <c r="H513" s="420" t="s">
        <v>36</v>
      </c>
      <c r="I513" s="187">
        <f ca="1">IFERROR(__xludf.DUMMYFUNCTION("IMPORTRANGE(""https://docs.google.com/spreadsheets/d/11923uPwbBZFjjGgGUA6NLw09EwE0CqkOc4q9oUmW1yo/edit?usp=sharing"",""พะเยา!I408"")"),0)</f>
        <v>0</v>
      </c>
      <c r="J513" s="197">
        <f ca="1">IFERROR(__xludf.DUMMYFUNCTION("IMPORTRANGE(""https://docs.google.com/spreadsheets/d/11923uPwbBZFjjGgGUA6NLw09EwE0CqkOc4q9oUmW1yo/edit?usp=sharing"",""พะเยา!J408"")"),0)</f>
        <v>0</v>
      </c>
      <c r="K513" s="163">
        <f t="shared" ca="1" si="117"/>
        <v>0</v>
      </c>
      <c r="L513" s="181"/>
      <c r="M513" s="181"/>
      <c r="N513" s="181"/>
      <c r="O513" s="181"/>
      <c r="P513" s="181"/>
    </row>
    <row r="514" spans="1:16" ht="21.75" customHeight="1" x14ac:dyDescent="0.3">
      <c r="A514" s="175"/>
      <c r="B514" s="176"/>
      <c r="C514" s="176"/>
      <c r="D514" s="402"/>
      <c r="E514" s="448" t="s">
        <v>192</v>
      </c>
      <c r="F514" s="195"/>
      <c r="G514" s="196"/>
      <c r="H514" s="420" t="s">
        <v>122</v>
      </c>
      <c r="I514" s="187">
        <f ca="1">IFERROR(__xludf.DUMMYFUNCTION("IMPORTRANGE(""https://docs.google.com/spreadsheets/d/11923uPwbBZFjjGgGUA6NLw09EwE0CqkOc4q9oUmW1yo/edit?usp=sharing"",""พะเยา!I409"")"),0)</f>
        <v>0</v>
      </c>
      <c r="J514" s="197">
        <f ca="1">IFERROR(__xludf.DUMMYFUNCTION("IMPORTRANGE(""https://docs.google.com/spreadsheets/d/11923uPwbBZFjjGgGUA6NLw09EwE0CqkOc4q9oUmW1yo/edit?usp=sharing"",""พะเยา!J409"")"),0)</f>
        <v>0</v>
      </c>
      <c r="K514" s="163">
        <f t="shared" ca="1" si="117"/>
        <v>0</v>
      </c>
      <c r="L514" s="181"/>
      <c r="M514" s="181"/>
      <c r="N514" s="181"/>
      <c r="O514" s="181"/>
      <c r="P514" s="181"/>
    </row>
    <row r="515" spans="1:16" ht="21.75" customHeight="1" x14ac:dyDescent="0.3">
      <c r="A515" s="175"/>
      <c r="B515" s="176"/>
      <c r="C515" s="176"/>
      <c r="D515" s="193"/>
      <c r="E515" s="195"/>
      <c r="F515" s="195"/>
      <c r="G515" s="196"/>
      <c r="H515" s="420" t="s">
        <v>36</v>
      </c>
      <c r="I515" s="187">
        <f ca="1">IFERROR(__xludf.DUMMYFUNCTION("IMPORTRANGE(""https://docs.google.com/spreadsheets/d/11923uPwbBZFjjGgGUA6NLw09EwE0CqkOc4q9oUmW1yo/edit?usp=sharing"",""พะเยา!I410"")"),0)</f>
        <v>0</v>
      </c>
      <c r="J515" s="197">
        <f ca="1">IFERROR(__xludf.DUMMYFUNCTION("IMPORTRANGE(""https://docs.google.com/spreadsheets/d/11923uPwbBZFjjGgGUA6NLw09EwE0CqkOc4q9oUmW1yo/edit?usp=sharing"",""พะเยา!J410"")"),0)</f>
        <v>0</v>
      </c>
      <c r="K515" s="163">
        <f t="shared" ca="1" si="117"/>
        <v>0</v>
      </c>
      <c r="L515" s="181"/>
      <c r="M515" s="181"/>
      <c r="N515" s="181"/>
      <c r="O515" s="181"/>
      <c r="P515" s="181"/>
    </row>
    <row r="516" spans="1:16" ht="21.75" customHeight="1" x14ac:dyDescent="0.3">
      <c r="A516" s="175"/>
      <c r="B516" s="176"/>
      <c r="C516" s="413" t="s">
        <v>193</v>
      </c>
      <c r="D516" s="413"/>
      <c r="E516" s="449"/>
      <c r="F516" s="449"/>
      <c r="G516" s="450"/>
      <c r="H516" s="451" t="s">
        <v>122</v>
      </c>
      <c r="I516" s="266">
        <f ca="1">IFERROR(__xludf.DUMMYFUNCTION("IMPORTRANGE(""https://docs.google.com/spreadsheets/d/11923uPwbBZFjjGgGUA6NLw09EwE0CqkOc4q9oUmW1yo/edit?usp=sharing"",""พะเยา!I411"")"),0)</f>
        <v>0</v>
      </c>
      <c r="J516" s="266">
        <f ca="1">IFERROR(__xludf.DUMMYFUNCTION("IMPORTRANGE(""https://docs.google.com/spreadsheets/d/11923uPwbBZFjjGgGUA6NLw09EwE0CqkOc4q9oUmW1yo/edit?usp=sharing"",""พะเยา!J411"")"),0)</f>
        <v>0</v>
      </c>
      <c r="K516" s="267">
        <v>0</v>
      </c>
      <c r="L516" s="181"/>
      <c r="M516" s="181"/>
      <c r="N516" s="181"/>
      <c r="O516" s="181"/>
      <c r="P516" s="181"/>
    </row>
    <row r="517" spans="1:16" ht="21.75" customHeight="1" x14ac:dyDescent="0.3">
      <c r="A517" s="175"/>
      <c r="B517" s="176"/>
      <c r="C517" s="452"/>
      <c r="D517" s="452"/>
      <c r="E517" s="452" t="s">
        <v>194</v>
      </c>
      <c r="F517" s="453"/>
      <c r="G517" s="454"/>
      <c r="H517" s="455" t="s">
        <v>122</v>
      </c>
      <c r="I517" s="282">
        <f ca="1">IFERROR(__xludf.DUMMYFUNCTION("IMPORTRANGE(""https://docs.google.com/spreadsheets/d/11923uPwbBZFjjGgGUA6NLw09EwE0CqkOc4q9oUmW1yo/edit?usp=sharing"",""พะเยา!I412"")"),0)</f>
        <v>0</v>
      </c>
      <c r="J517" s="282">
        <f ca="1">IFERROR(__xludf.DUMMYFUNCTION("IMPORTRANGE(""https://docs.google.com/spreadsheets/d/11923uPwbBZFjjGgGUA6NLw09EwE0CqkOc4q9oUmW1yo/edit?usp=sharing"",""พะเยา!J412"")"),0)</f>
        <v>0</v>
      </c>
      <c r="K517" s="283">
        <v>0</v>
      </c>
      <c r="L517" s="181"/>
      <c r="M517" s="181"/>
      <c r="N517" s="181"/>
      <c r="O517" s="181"/>
      <c r="P517" s="181"/>
    </row>
    <row r="518" spans="1:16" ht="21.75" customHeight="1" x14ac:dyDescent="0.3">
      <c r="A518" s="175"/>
      <c r="B518" s="176"/>
      <c r="C518" s="452"/>
      <c r="D518" s="452"/>
      <c r="E518" s="452" t="s">
        <v>195</v>
      </c>
      <c r="F518" s="453"/>
      <c r="G518" s="454"/>
      <c r="H518" s="455" t="s">
        <v>36</v>
      </c>
      <c r="I518" s="282">
        <f ca="1">IFERROR(__xludf.DUMMYFUNCTION("IMPORTRANGE(""https://docs.google.com/spreadsheets/d/11923uPwbBZFjjGgGUA6NLw09EwE0CqkOc4q9oUmW1yo/edit?usp=sharing"",""พะเยา!I413"")"),0)</f>
        <v>0</v>
      </c>
      <c r="J518" s="282">
        <f ca="1">IFERROR(__xludf.DUMMYFUNCTION("IMPORTRANGE(""https://docs.google.com/spreadsheets/d/11923uPwbBZFjjGgGUA6NLw09EwE0CqkOc4q9oUmW1yo/edit?usp=sharing"",""พะเยา!J413"")"),0)</f>
        <v>0</v>
      </c>
      <c r="K518" s="283">
        <v>0</v>
      </c>
      <c r="L518" s="181"/>
      <c r="M518" s="181"/>
      <c r="N518" s="181"/>
      <c r="O518" s="181"/>
      <c r="P518" s="181"/>
    </row>
    <row r="519" spans="1:16" ht="21.75" customHeight="1" x14ac:dyDescent="0.3">
      <c r="A519" s="175"/>
      <c r="B519" s="176"/>
      <c r="C519" s="176"/>
      <c r="D519" s="193"/>
      <c r="E519" s="195"/>
      <c r="F519" s="195"/>
      <c r="G519" s="225" t="s">
        <v>196</v>
      </c>
      <c r="H519" s="420" t="s">
        <v>122</v>
      </c>
      <c r="I519" s="187">
        <f ca="1">IFERROR(__xludf.DUMMYFUNCTION("IMPORTRANGE(""https://docs.google.com/spreadsheets/d/11923uPwbBZFjjGgGUA6NLw09EwE0CqkOc4q9oUmW1yo/edit?usp=sharing"",""พะเยา!I414"")"),0)</f>
        <v>0</v>
      </c>
      <c r="J519" s="187">
        <f ca="1">IFERROR(__xludf.DUMMYFUNCTION("IMPORTRANGE(""https://docs.google.com/spreadsheets/d/11923uPwbBZFjjGgGUA6NLw09EwE0CqkOc4q9oUmW1yo/edit?usp=sharing"",""พะเยา!J414"")"),0)</f>
        <v>0</v>
      </c>
      <c r="K519" s="163">
        <v>0</v>
      </c>
      <c r="L519" s="181"/>
      <c r="M519" s="181"/>
      <c r="N519" s="181"/>
      <c r="O519" s="181"/>
      <c r="P519" s="181"/>
    </row>
    <row r="520" spans="1:16" ht="21.75" customHeight="1" x14ac:dyDescent="0.3">
      <c r="A520" s="175"/>
      <c r="B520" s="176"/>
      <c r="C520" s="176"/>
      <c r="D520" s="193"/>
      <c r="E520" s="195"/>
      <c r="F520" s="195"/>
      <c r="G520" s="196"/>
      <c r="H520" s="420" t="s">
        <v>36</v>
      </c>
      <c r="I520" s="187">
        <f ca="1">IFERROR(__xludf.DUMMYFUNCTION("IMPORTRANGE(""https://docs.google.com/spreadsheets/d/11923uPwbBZFjjGgGUA6NLw09EwE0CqkOc4q9oUmW1yo/edit?usp=sharing"",""พะเยา!I415"")"),0)</f>
        <v>0</v>
      </c>
      <c r="J520" s="187">
        <f ca="1">IFERROR(__xludf.DUMMYFUNCTION("IMPORTRANGE(""https://docs.google.com/spreadsheets/d/11923uPwbBZFjjGgGUA6NLw09EwE0CqkOc4q9oUmW1yo/edit?usp=sharing"",""พะเยา!J415"")"),0)</f>
        <v>0</v>
      </c>
      <c r="K520" s="163">
        <v>0</v>
      </c>
      <c r="L520" s="181"/>
      <c r="M520" s="181"/>
      <c r="N520" s="181"/>
      <c r="O520" s="181"/>
      <c r="P520" s="181"/>
    </row>
    <row r="521" spans="1:16" ht="21.75" customHeight="1" x14ac:dyDescent="0.3">
      <c r="A521" s="175"/>
      <c r="B521" s="176"/>
      <c r="C521" s="176"/>
      <c r="D521" s="193"/>
      <c r="E521" s="195"/>
      <c r="F521" s="195"/>
      <c r="G521" s="225" t="s">
        <v>197</v>
      </c>
      <c r="H521" s="420" t="s">
        <v>122</v>
      </c>
      <c r="I521" s="187">
        <f ca="1">IFERROR(__xludf.DUMMYFUNCTION("IMPORTRANGE(""https://docs.google.com/spreadsheets/d/11923uPwbBZFjjGgGUA6NLw09EwE0CqkOc4q9oUmW1yo/edit?usp=sharing"",""พะเยา!I416"")"),0)</f>
        <v>0</v>
      </c>
      <c r="J521" s="187">
        <f ca="1">IFERROR(__xludf.DUMMYFUNCTION("IMPORTRANGE(""https://docs.google.com/spreadsheets/d/11923uPwbBZFjjGgGUA6NLw09EwE0CqkOc4q9oUmW1yo/edit?usp=sharing"",""พะเยา!J416"")"),0)</f>
        <v>0</v>
      </c>
      <c r="K521" s="163">
        <v>0</v>
      </c>
      <c r="L521" s="181"/>
      <c r="M521" s="181"/>
      <c r="N521" s="181"/>
      <c r="O521" s="181"/>
      <c r="P521" s="181"/>
    </row>
    <row r="522" spans="1:16" ht="21.75" customHeight="1" x14ac:dyDescent="0.3">
      <c r="A522" s="175"/>
      <c r="B522" s="176"/>
      <c r="C522" s="176"/>
      <c r="D522" s="193"/>
      <c r="E522" s="195"/>
      <c r="F522" s="195"/>
      <c r="G522" s="196"/>
      <c r="H522" s="420" t="s">
        <v>36</v>
      </c>
      <c r="I522" s="187">
        <f ca="1">IFERROR(__xludf.DUMMYFUNCTION("IMPORTRANGE(""https://docs.google.com/spreadsheets/d/11923uPwbBZFjjGgGUA6NLw09EwE0CqkOc4q9oUmW1yo/edit?usp=sharing"",""พะเยา!I417"")"),0)</f>
        <v>0</v>
      </c>
      <c r="J522" s="187">
        <f ca="1">IFERROR(__xludf.DUMMYFUNCTION("IMPORTRANGE(""https://docs.google.com/spreadsheets/d/11923uPwbBZFjjGgGUA6NLw09EwE0CqkOc4q9oUmW1yo/edit?usp=sharing"",""พะเยา!J417"")"),0)</f>
        <v>0</v>
      </c>
      <c r="K522" s="163">
        <v>0</v>
      </c>
      <c r="L522" s="181"/>
      <c r="M522" s="181"/>
      <c r="N522" s="181"/>
      <c r="O522" s="181"/>
      <c r="P522" s="181"/>
    </row>
    <row r="523" spans="1:16" ht="21.75" customHeight="1" x14ac:dyDescent="0.3">
      <c r="A523" s="175"/>
      <c r="B523" s="176"/>
      <c r="C523" s="176"/>
      <c r="D523" s="193"/>
      <c r="E523" s="195"/>
      <c r="F523" s="195"/>
      <c r="G523" s="456" t="s">
        <v>198</v>
      </c>
      <c r="H523" s="420" t="s">
        <v>122</v>
      </c>
      <c r="I523" s="187">
        <f ca="1">IFERROR(__xludf.DUMMYFUNCTION("IMPORTRANGE(""https://docs.google.com/spreadsheets/d/11923uPwbBZFjjGgGUA6NLw09EwE0CqkOc4q9oUmW1yo/edit?usp=sharing"",""พะเยา!I418"")"),0)</f>
        <v>0</v>
      </c>
      <c r="J523" s="187">
        <f ca="1">IFERROR(__xludf.DUMMYFUNCTION("IMPORTRANGE(""https://docs.google.com/spreadsheets/d/11923uPwbBZFjjGgGUA6NLw09EwE0CqkOc4q9oUmW1yo/edit?usp=sharing"",""พะเยา!J418"")"),6)</f>
        <v>6</v>
      </c>
      <c r="K523" s="163">
        <v>0</v>
      </c>
      <c r="L523" s="181"/>
      <c r="M523" s="181"/>
      <c r="N523" s="181"/>
      <c r="O523" s="181"/>
      <c r="P523" s="181"/>
    </row>
    <row r="524" spans="1:16" ht="21.75" customHeight="1" x14ac:dyDescent="0.3">
      <c r="A524" s="175"/>
      <c r="B524" s="176"/>
      <c r="C524" s="176"/>
      <c r="D524" s="193"/>
      <c r="E524" s="195"/>
      <c r="F524" s="195"/>
      <c r="G524" s="196"/>
      <c r="H524" s="420" t="s">
        <v>36</v>
      </c>
      <c r="I524" s="187">
        <f ca="1">IFERROR(__xludf.DUMMYFUNCTION("IMPORTRANGE(""https://docs.google.com/spreadsheets/d/11923uPwbBZFjjGgGUA6NLw09EwE0CqkOc4q9oUmW1yo/edit?usp=sharing"",""พะเยา!I419"")"),0)</f>
        <v>0</v>
      </c>
      <c r="J524" s="187">
        <f ca="1">IFERROR(__xludf.DUMMYFUNCTION("IMPORTRANGE(""https://docs.google.com/spreadsheets/d/11923uPwbBZFjjGgGUA6NLw09EwE0CqkOc4q9oUmW1yo/edit?usp=sharing"",""พะเยา!J419"")"),4)</f>
        <v>4</v>
      </c>
      <c r="K524" s="163">
        <v>0</v>
      </c>
      <c r="L524" s="181"/>
      <c r="M524" s="181"/>
      <c r="N524" s="181"/>
      <c r="O524" s="181"/>
      <c r="P524" s="181"/>
    </row>
    <row r="525" spans="1:16" ht="21.75" customHeight="1" x14ac:dyDescent="0.3">
      <c r="A525" s="175"/>
      <c r="B525" s="176"/>
      <c r="C525" s="452"/>
      <c r="D525" s="452"/>
      <c r="E525" s="452" t="s">
        <v>199</v>
      </c>
      <c r="F525" s="453"/>
      <c r="G525" s="454"/>
      <c r="H525" s="455" t="s">
        <v>122</v>
      </c>
      <c r="I525" s="282">
        <f ca="1">IFERROR(__xludf.DUMMYFUNCTION("IMPORTRANGE(""https://docs.google.com/spreadsheets/d/11923uPwbBZFjjGgGUA6NLw09EwE0CqkOc4q9oUmW1yo/edit?usp=sharing"",""พะเยา!I420"")"),6)</f>
        <v>6</v>
      </c>
      <c r="J525" s="282">
        <f ca="1">IFERROR(__xludf.DUMMYFUNCTION("IMPORTRANGE(""https://docs.google.com/spreadsheets/d/11923uPwbBZFjjGgGUA6NLw09EwE0CqkOc4q9oUmW1yo/edit?usp=sharing"",""พะเยา!J420"")"),0)</f>
        <v>0</v>
      </c>
      <c r="K525" s="283">
        <v>0</v>
      </c>
      <c r="L525" s="181"/>
      <c r="M525" s="181"/>
      <c r="N525" s="181"/>
      <c r="O525" s="181"/>
      <c r="P525" s="181"/>
    </row>
    <row r="526" spans="1:16" ht="21.75" customHeight="1" x14ac:dyDescent="0.3">
      <c r="A526" s="175"/>
      <c r="B526" s="176"/>
      <c r="C526" s="452"/>
      <c r="D526" s="452"/>
      <c r="E526" s="452" t="s">
        <v>200</v>
      </c>
      <c r="F526" s="453"/>
      <c r="G526" s="454"/>
      <c r="H526" s="455" t="s">
        <v>36</v>
      </c>
      <c r="I526" s="282">
        <f ca="1">IFERROR(__xludf.DUMMYFUNCTION("IMPORTRANGE(""https://docs.google.com/spreadsheets/d/11923uPwbBZFjjGgGUA6NLw09EwE0CqkOc4q9oUmW1yo/edit?usp=sharing"",""พะเยา!I421"")"),4)</f>
        <v>4</v>
      </c>
      <c r="J526" s="282">
        <f ca="1">IFERROR(__xludf.DUMMYFUNCTION("IMPORTRANGE(""https://docs.google.com/spreadsheets/d/11923uPwbBZFjjGgGUA6NLw09EwE0CqkOc4q9oUmW1yo/edit?usp=sharing"",""พะเยา!J421"")"),0)</f>
        <v>0</v>
      </c>
      <c r="K526" s="283">
        <v>0</v>
      </c>
      <c r="L526" s="181"/>
      <c r="M526" s="181"/>
      <c r="N526" s="181"/>
      <c r="O526" s="181"/>
      <c r="P526" s="181"/>
    </row>
    <row r="527" spans="1:16" ht="21.75" customHeight="1" x14ac:dyDescent="0.3">
      <c r="A527" s="175"/>
      <c r="B527" s="176"/>
      <c r="C527" s="176"/>
      <c r="D527" s="193"/>
      <c r="E527" s="195"/>
      <c r="F527" s="195"/>
      <c r="G527" s="225" t="s">
        <v>196</v>
      </c>
      <c r="H527" s="420" t="s">
        <v>122</v>
      </c>
      <c r="I527" s="187">
        <f ca="1">IFERROR(__xludf.DUMMYFUNCTION("IMPORTRANGE(""https://docs.google.com/spreadsheets/d/11923uPwbBZFjjGgGUA6NLw09EwE0CqkOc4q9oUmW1yo/edit?usp=sharing"",""พะเยา!I422"")"),0)</f>
        <v>0</v>
      </c>
      <c r="J527" s="197">
        <f ca="1">IFERROR(__xludf.DUMMYFUNCTION("IMPORTRANGE(""https://docs.google.com/spreadsheets/d/11923uPwbBZFjjGgGUA6NLw09EwE0CqkOc4q9oUmW1yo/edit?usp=sharing"",""พะเยา!J422"")"),0)</f>
        <v>0</v>
      </c>
      <c r="K527" s="163">
        <v>0</v>
      </c>
      <c r="L527" s="181"/>
      <c r="M527" s="181"/>
      <c r="N527" s="181"/>
      <c r="O527" s="181"/>
      <c r="P527" s="181"/>
    </row>
    <row r="528" spans="1:16" ht="21.75" customHeight="1" x14ac:dyDescent="0.3">
      <c r="A528" s="175"/>
      <c r="B528" s="176"/>
      <c r="C528" s="176"/>
      <c r="D528" s="193"/>
      <c r="E528" s="195"/>
      <c r="F528" s="195"/>
      <c r="G528" s="196"/>
      <c r="H528" s="420" t="s">
        <v>36</v>
      </c>
      <c r="I528" s="187">
        <f ca="1">IFERROR(__xludf.DUMMYFUNCTION("IMPORTRANGE(""https://docs.google.com/spreadsheets/d/11923uPwbBZFjjGgGUA6NLw09EwE0CqkOc4q9oUmW1yo/edit?usp=sharing"",""พะเยา!I423"")"),0)</f>
        <v>0</v>
      </c>
      <c r="J528" s="197">
        <f ca="1">IFERROR(__xludf.DUMMYFUNCTION("IMPORTRANGE(""https://docs.google.com/spreadsheets/d/11923uPwbBZFjjGgGUA6NLw09EwE0CqkOc4q9oUmW1yo/edit?usp=sharing"",""พะเยา!J423"")"),0)</f>
        <v>0</v>
      </c>
      <c r="K528" s="163">
        <v>0</v>
      </c>
      <c r="L528" s="181"/>
      <c r="M528" s="181"/>
      <c r="N528" s="181"/>
      <c r="O528" s="181"/>
      <c r="P528" s="181"/>
    </row>
    <row r="529" spans="1:16" ht="21.75" customHeight="1" x14ac:dyDescent="0.3">
      <c r="A529" s="175"/>
      <c r="B529" s="176"/>
      <c r="C529" s="176"/>
      <c r="D529" s="193"/>
      <c r="E529" s="195"/>
      <c r="F529" s="195"/>
      <c r="G529" s="225" t="s">
        <v>197</v>
      </c>
      <c r="H529" s="420" t="s">
        <v>122</v>
      </c>
      <c r="I529" s="187">
        <f ca="1">IFERROR(__xludf.DUMMYFUNCTION("IMPORTRANGE(""https://docs.google.com/spreadsheets/d/11923uPwbBZFjjGgGUA6NLw09EwE0CqkOc4q9oUmW1yo/edit?usp=sharing"",""พะเยา!I424"")"),0)</f>
        <v>0</v>
      </c>
      <c r="J529" s="197">
        <f ca="1">IFERROR(__xludf.DUMMYFUNCTION("IMPORTRANGE(""https://docs.google.com/spreadsheets/d/11923uPwbBZFjjGgGUA6NLw09EwE0CqkOc4q9oUmW1yo/edit?usp=sharing"",""พะเยา!J424"")"),0)</f>
        <v>0</v>
      </c>
      <c r="K529" s="163">
        <v>0</v>
      </c>
      <c r="L529" s="181"/>
      <c r="M529" s="181"/>
      <c r="N529" s="181"/>
      <c r="O529" s="181"/>
      <c r="P529" s="181"/>
    </row>
    <row r="530" spans="1:16" ht="21.75" customHeight="1" x14ac:dyDescent="0.3">
      <c r="A530" s="175"/>
      <c r="B530" s="176"/>
      <c r="C530" s="176"/>
      <c r="D530" s="193"/>
      <c r="E530" s="195"/>
      <c r="F530" s="195"/>
      <c r="G530" s="196"/>
      <c r="H530" s="420" t="s">
        <v>36</v>
      </c>
      <c r="I530" s="187">
        <f ca="1">IFERROR(__xludf.DUMMYFUNCTION("IMPORTRANGE(""https://docs.google.com/spreadsheets/d/11923uPwbBZFjjGgGUA6NLw09EwE0CqkOc4q9oUmW1yo/edit?usp=sharing"",""พะเยา!I425"")"),0)</f>
        <v>0</v>
      </c>
      <c r="J530" s="197">
        <f ca="1">IFERROR(__xludf.DUMMYFUNCTION("IMPORTRANGE(""https://docs.google.com/spreadsheets/d/11923uPwbBZFjjGgGUA6NLw09EwE0CqkOc4q9oUmW1yo/edit?usp=sharing"",""พะเยา!J425"")"),0)</f>
        <v>0</v>
      </c>
      <c r="K530" s="163">
        <v>0</v>
      </c>
      <c r="L530" s="181"/>
      <c r="M530" s="181"/>
      <c r="N530" s="181"/>
      <c r="O530" s="181"/>
      <c r="P530" s="181"/>
    </row>
    <row r="531" spans="1:16" ht="21.75" customHeight="1" x14ac:dyDescent="0.3">
      <c r="A531" s="175"/>
      <c r="B531" s="176"/>
      <c r="C531" s="176"/>
      <c r="D531" s="193"/>
      <c r="E531" s="195"/>
      <c r="F531" s="195"/>
      <c r="G531" s="225" t="s">
        <v>201</v>
      </c>
      <c r="H531" s="420" t="s">
        <v>122</v>
      </c>
      <c r="I531" s="187">
        <f ca="1">IFERROR(__xludf.DUMMYFUNCTION("IMPORTRANGE(""https://docs.google.com/spreadsheets/d/11923uPwbBZFjjGgGUA6NLw09EwE0CqkOc4q9oUmW1yo/edit?usp=sharing"",""พะเยา!I426"")"),0)</f>
        <v>0</v>
      </c>
      <c r="J531" s="197">
        <f ca="1">IFERROR(__xludf.DUMMYFUNCTION("IMPORTRANGE(""https://docs.google.com/spreadsheets/d/11923uPwbBZFjjGgGUA6NLw09EwE0CqkOc4q9oUmW1yo/edit?usp=sharing"",""พะเยา!J426"")"),0)</f>
        <v>0</v>
      </c>
      <c r="K531" s="163">
        <v>0</v>
      </c>
      <c r="L531" s="181"/>
      <c r="M531" s="181"/>
      <c r="N531" s="181"/>
      <c r="O531" s="181"/>
      <c r="P531" s="181"/>
    </row>
    <row r="532" spans="1:16" ht="21.75" customHeight="1" x14ac:dyDescent="0.3">
      <c r="A532" s="457"/>
      <c r="B532" s="458"/>
      <c r="C532" s="458"/>
      <c r="D532" s="459"/>
      <c r="E532" s="460"/>
      <c r="F532" s="460"/>
      <c r="G532" s="461"/>
      <c r="H532" s="462" t="s">
        <v>36</v>
      </c>
      <c r="I532" s="463">
        <f ca="1">IFERROR(__xludf.DUMMYFUNCTION("IMPORTRANGE(""https://docs.google.com/spreadsheets/d/11923uPwbBZFjjGgGUA6NLw09EwE0CqkOc4q9oUmW1yo/edit?usp=sharing"",""พะเยา!I427"")"),0)</f>
        <v>0</v>
      </c>
      <c r="J532" s="464">
        <f ca="1">IFERROR(__xludf.DUMMYFUNCTION("IMPORTRANGE(""https://docs.google.com/spreadsheets/d/11923uPwbBZFjjGgGUA6NLw09EwE0CqkOc4q9oUmW1yo/edit?usp=sharing"",""พะเยา!J427"")"),0)</f>
        <v>0</v>
      </c>
      <c r="K532" s="465">
        <v>0</v>
      </c>
      <c r="L532" s="466"/>
      <c r="M532" s="466"/>
      <c r="N532" s="466"/>
      <c r="O532" s="466"/>
      <c r="P532" s="466"/>
    </row>
    <row r="533" spans="1:16" ht="21.75" customHeight="1" x14ac:dyDescent="0.3">
      <c r="A533" s="403"/>
      <c r="B533" s="404">
        <v>6</v>
      </c>
      <c r="C533" s="405" t="s">
        <v>202</v>
      </c>
      <c r="D533" s="405"/>
      <c r="E533" s="405"/>
      <c r="F533" s="405"/>
      <c r="G533" s="406"/>
      <c r="H533" s="407" t="s">
        <v>37</v>
      </c>
      <c r="I533" s="408">
        <f ca="1">IFERROR(__xludf.DUMMYFUNCTION("IMPORTRANGE(""https://docs.google.com/spreadsheets/d/11923uPwbBZFjjGgGUA6NLw09EwE0CqkOc4q9oUmW1yo/edit?usp=sharing"",""พะเยา!I428"")"),22)</f>
        <v>22</v>
      </c>
      <c r="J533" s="408">
        <f ca="1">IFERROR(__xludf.DUMMYFUNCTION("IMPORTRANGE(""https://docs.google.com/spreadsheets/d/11923uPwbBZFjjGgGUA6NLw09EwE0CqkOc4q9oUmW1yo/edit?usp=sharing"",""พะเยา!J428"")"),22)</f>
        <v>22</v>
      </c>
      <c r="K533" s="409">
        <f ca="1">IF(I533&gt;0,J533*100/I533,0)</f>
        <v>100</v>
      </c>
      <c r="L533" s="410">
        <f ca="1">IFERROR(__xludf.DUMMYFUNCTION("IMPORTRANGE(""https://docs.google.com/spreadsheets/d/11923uPwbBZFjjGgGUA6NLw09EwE0CqkOc4q9oUmW1yo/edit?usp=sharing"",""พะเยา!L428"")"),34340)</f>
        <v>34340</v>
      </c>
      <c r="M533" s="410"/>
      <c r="N533" s="410">
        <f ca="1">IFERROR(__xludf.DUMMYFUNCTION("IMPORTRANGE(""https://docs.google.com/spreadsheets/d/11923uPwbBZFjjGgGUA6NLw09EwE0CqkOc4q9oUmW1yo/edit?usp=sharing"",""พะเยา!M428"")"),18660)</f>
        <v>18660</v>
      </c>
      <c r="O533" s="410">
        <f t="shared" ref="O533:O537" ca="1" si="118">+IF(L533&gt;0,N533*100/L533,0)</f>
        <v>54.338963308095515</v>
      </c>
      <c r="P533" s="410"/>
    </row>
    <row r="534" spans="1:16" ht="21.75" customHeight="1" x14ac:dyDescent="0.3">
      <c r="A534" s="156"/>
      <c r="B534" s="157"/>
      <c r="C534" s="157" t="s">
        <v>16</v>
      </c>
      <c r="D534" s="158" t="s">
        <v>38</v>
      </c>
      <c r="E534" s="159"/>
      <c r="F534" s="159"/>
      <c r="G534" s="160" t="s">
        <v>39</v>
      </c>
      <c r="H534" s="161" t="s">
        <v>12</v>
      </c>
      <c r="I534" s="162" t="s">
        <v>40</v>
      </c>
      <c r="J534" s="162"/>
      <c r="K534" s="163"/>
      <c r="L534" s="164">
        <f ca="1">IFERROR(__xludf.DUMMYFUNCTION("IMPORTRANGE(""https://docs.google.com/spreadsheets/d/11923uPwbBZFjjGgGUA6NLw09EwE0CqkOc4q9oUmW1yo/edit?usp=sharing"",""พะเยา!L429"")"),0)</f>
        <v>0</v>
      </c>
      <c r="M534" s="164"/>
      <c r="N534" s="168">
        <f ca="1">IFERROR(__xludf.DUMMYFUNCTION("IMPORTRANGE(""https://docs.google.com/spreadsheets/d/11923uPwbBZFjjGgGUA6NLw09EwE0CqkOc4q9oUmW1yo/edit?usp=sharing"",""พะเยา!M429"")"),0)</f>
        <v>0</v>
      </c>
      <c r="O534" s="168">
        <f t="shared" ca="1" si="118"/>
        <v>0</v>
      </c>
      <c r="P534" s="168"/>
    </row>
    <row r="535" spans="1:16" ht="21.75" customHeight="1" x14ac:dyDescent="0.3">
      <c r="A535" s="156"/>
      <c r="B535" s="157"/>
      <c r="C535" s="157"/>
      <c r="D535" s="166"/>
      <c r="E535" s="159"/>
      <c r="F535" s="159" t="s">
        <v>40</v>
      </c>
      <c r="G535" s="160" t="s">
        <v>41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IFERROR(__xludf.DUMMYFUNCTION("IMPORTRANGE(""https://docs.google.com/spreadsheets/d/11923uPwbBZFjjGgGUA6NLw09EwE0CqkOc4q9oUmW1yo/edit?usp=sharing"",""พะเยา!L430"")"),34340)</f>
        <v>34340</v>
      </c>
      <c r="M535" s="165"/>
      <c r="N535" s="168">
        <f ca="1">IFERROR(__xludf.DUMMYFUNCTION("IMPORTRANGE(""https://docs.google.com/spreadsheets/d/11923uPwbBZFjjGgGUA6NLw09EwE0CqkOc4q9oUmW1yo/edit?usp=sharing"",""พะเยา!M430"")"),18660)</f>
        <v>18660</v>
      </c>
      <c r="O535" s="168">
        <f t="shared" ca="1" si="118"/>
        <v>54.338963308095515</v>
      </c>
      <c r="P535" s="168"/>
    </row>
    <row r="536" spans="1:16" ht="21.75" customHeight="1" x14ac:dyDescent="0.3">
      <c r="A536" s="156"/>
      <c r="B536" s="157"/>
      <c r="C536" s="157"/>
      <c r="D536" s="166"/>
      <c r="E536" s="159"/>
      <c r="F536" s="159"/>
      <c r="G536" s="372" t="s">
        <v>129</v>
      </c>
      <c r="H536" s="161" t="s">
        <v>12</v>
      </c>
      <c r="I536" s="162"/>
      <c r="J536" s="162"/>
      <c r="K536" s="163"/>
      <c r="L536" s="168">
        <f ca="1">IFERROR(__xludf.DUMMYFUNCTION("IMPORTRANGE(""https://docs.google.com/spreadsheets/d/11923uPwbBZFjjGgGUA6NLw09EwE0CqkOc4q9oUmW1yo/edit?usp=sharing"",""พะเยา!L431"")"),0)</f>
        <v>0</v>
      </c>
      <c r="M536" s="168"/>
      <c r="N536" s="168">
        <f ca="1">IFERROR(__xludf.DUMMYFUNCTION("IMPORTRANGE(""https://docs.google.com/spreadsheets/d/11923uPwbBZFjjGgGUA6NLw09EwE0CqkOc4q9oUmW1yo/edit?usp=sharing"",""พะเยา!M431"")"),0)</f>
        <v>0</v>
      </c>
      <c r="O536" s="168">
        <f t="shared" ca="1" si="118"/>
        <v>0</v>
      </c>
      <c r="P536" s="168"/>
    </row>
    <row r="537" spans="1:16" ht="21.75" customHeight="1" x14ac:dyDescent="0.3">
      <c r="A537" s="156"/>
      <c r="B537" s="157"/>
      <c r="C537" s="157"/>
      <c r="D537" s="166"/>
      <c r="E537" s="159"/>
      <c r="F537" s="159"/>
      <c r="G537" s="372" t="s">
        <v>130</v>
      </c>
      <c r="H537" s="161" t="s">
        <v>12</v>
      </c>
      <c r="I537" s="162"/>
      <c r="J537" s="162"/>
      <c r="K537" s="163"/>
      <c r="L537" s="168">
        <f ca="1">IFERROR(__xludf.DUMMYFUNCTION("IMPORTRANGE(""https://docs.google.com/spreadsheets/d/11923uPwbBZFjjGgGUA6NLw09EwE0CqkOc4q9oUmW1yo/edit?usp=sharing"",""พะเยา!L432"")"),34340)</f>
        <v>34340</v>
      </c>
      <c r="M537" s="168"/>
      <c r="N537" s="168">
        <f ca="1">IFERROR(__xludf.DUMMYFUNCTION("IMPORTRANGE(""https://docs.google.com/spreadsheets/d/11923uPwbBZFjjGgGUA6NLw09EwE0CqkOc4q9oUmW1yo/edit?usp=sharing"",""พะเยา!M432"")"),18660)</f>
        <v>18660</v>
      </c>
      <c r="O537" s="168">
        <f t="shared" ca="1" si="118"/>
        <v>54.338963308095515</v>
      </c>
      <c r="P537" s="168"/>
    </row>
    <row r="538" spans="1:16" ht="21.75" customHeight="1" x14ac:dyDescent="0.3">
      <c r="A538" s="373"/>
      <c r="B538" s="374"/>
      <c r="C538" s="157"/>
      <c r="D538" s="375"/>
      <c r="E538" s="159"/>
      <c r="F538" s="159"/>
      <c r="G538" s="376" t="s">
        <v>131</v>
      </c>
      <c r="H538" s="161" t="s">
        <v>12</v>
      </c>
      <c r="I538" s="187"/>
      <c r="J538" s="187"/>
      <c r="K538" s="223"/>
      <c r="L538" s="168"/>
      <c r="M538" s="168"/>
      <c r="N538" s="377">
        <f ca="1">IFERROR(__xludf.DUMMYFUNCTION("IMPORTRANGE(""https://docs.google.com/spreadsheets/d/11923uPwbBZFjjGgGUA6NLw09EwE0CqkOc4q9oUmW1yo/edit?usp=sharing"",""พะเยา!M433"")"),12520)</f>
        <v>12520</v>
      </c>
      <c r="O538" s="168"/>
      <c r="P538" s="168"/>
    </row>
    <row r="539" spans="1:16" ht="21.75" customHeight="1" x14ac:dyDescent="0.3">
      <c r="A539" s="373"/>
      <c r="B539" s="374"/>
      <c r="C539" s="157"/>
      <c r="D539" s="375"/>
      <c r="E539" s="159"/>
      <c r="F539" s="159"/>
      <c r="G539" s="376" t="s">
        <v>132</v>
      </c>
      <c r="H539" s="161" t="s">
        <v>12</v>
      </c>
      <c r="I539" s="187"/>
      <c r="J539" s="187"/>
      <c r="K539" s="223"/>
      <c r="L539" s="168"/>
      <c r="M539" s="168"/>
      <c r="N539" s="377">
        <f ca="1">IFERROR(__xludf.DUMMYFUNCTION("IMPORTRANGE(""https://docs.google.com/spreadsheets/d/11923uPwbBZFjjGgGUA6NLw09EwE0CqkOc4q9oUmW1yo/edit?usp=sharing"",""พะเยา!M434"")"),0)</f>
        <v>0</v>
      </c>
      <c r="O539" s="168"/>
      <c r="P539" s="168"/>
    </row>
    <row r="540" spans="1:16" ht="21.75" customHeight="1" x14ac:dyDescent="0.3">
      <c r="A540" s="373"/>
      <c r="B540" s="374"/>
      <c r="C540" s="157"/>
      <c r="D540" s="375"/>
      <c r="E540" s="159"/>
      <c r="F540" s="159"/>
      <c r="G540" s="376" t="s">
        <v>133</v>
      </c>
      <c r="H540" s="161" t="s">
        <v>12</v>
      </c>
      <c r="I540" s="187"/>
      <c r="J540" s="187"/>
      <c r="K540" s="223"/>
      <c r="L540" s="168"/>
      <c r="M540" s="168"/>
      <c r="N540" s="377">
        <f ca="1">IFERROR(__xludf.DUMMYFUNCTION("IMPORTRANGE(""https://docs.google.com/spreadsheets/d/11923uPwbBZFjjGgGUA6NLw09EwE0CqkOc4q9oUmW1yo/edit?usp=sharing"",""พะเยา!M435"")"),0)</f>
        <v>0</v>
      </c>
      <c r="O540" s="168"/>
      <c r="P540" s="168"/>
    </row>
    <row r="541" spans="1:16" ht="21.75" customHeight="1" x14ac:dyDescent="0.3">
      <c r="A541" s="373"/>
      <c r="B541" s="374"/>
      <c r="C541" s="157"/>
      <c r="D541" s="375"/>
      <c r="E541" s="159"/>
      <c r="F541" s="159"/>
      <c r="G541" s="376" t="s">
        <v>134</v>
      </c>
      <c r="H541" s="161" t="s">
        <v>12</v>
      </c>
      <c r="I541" s="187"/>
      <c r="J541" s="187"/>
      <c r="K541" s="223"/>
      <c r="L541" s="168"/>
      <c r="M541" s="168"/>
      <c r="N541" s="377">
        <f ca="1">IFERROR(__xludf.DUMMYFUNCTION("IMPORTRANGE(""https://docs.google.com/spreadsheets/d/11923uPwbBZFjjGgGUA6NLw09EwE0CqkOc4q9oUmW1yo/edit?usp=sharing"",""พะเยา!M436"")"),6140)</f>
        <v>6140</v>
      </c>
      <c r="O541" s="168"/>
      <c r="P541" s="168"/>
    </row>
    <row r="542" spans="1:16" ht="21.75" customHeight="1" x14ac:dyDescent="0.3">
      <c r="A542" s="175"/>
      <c r="B542" s="176"/>
      <c r="C542" s="157" t="s">
        <v>16</v>
      </c>
      <c r="D542" s="177" t="s">
        <v>44</v>
      </c>
      <c r="E542" s="178"/>
      <c r="F542" s="178"/>
      <c r="G542" s="179"/>
      <c r="H542" s="180"/>
      <c r="I542" s="162"/>
      <c r="J542" s="162"/>
      <c r="K542" s="163"/>
      <c r="L542" s="181"/>
      <c r="M542" s="181"/>
      <c r="N542" s="181"/>
      <c r="O542" s="181"/>
      <c r="P542" s="181"/>
    </row>
    <row r="543" spans="1:16" ht="21.75" customHeight="1" x14ac:dyDescent="0.3">
      <c r="A543" s="175"/>
      <c r="B543" s="176"/>
      <c r="C543" s="176"/>
      <c r="D543" s="182">
        <v>1</v>
      </c>
      <c r="E543" s="183" t="s">
        <v>45</v>
      </c>
      <c r="F543" s="184"/>
      <c r="G543" s="185"/>
      <c r="H543" s="186"/>
      <c r="I543" s="187"/>
      <c r="J543" s="197">
        <f ca="1">IFERROR(__xludf.DUMMYFUNCTION("IMPORTRANGE(""https://docs.google.com/spreadsheets/d/11923uPwbBZFjjGgGUA6NLw09EwE0CqkOc4q9oUmW1yo/edit?usp=sharing"",""พะเยา!J438"")"),0)</f>
        <v>0</v>
      </c>
      <c r="K543" s="163"/>
      <c r="L543" s="181"/>
      <c r="M543" s="181"/>
      <c r="N543" s="181"/>
      <c r="O543" s="181"/>
      <c r="P543" s="181"/>
    </row>
    <row r="544" spans="1:16" ht="21.75" customHeight="1" x14ac:dyDescent="0.3">
      <c r="A544" s="175"/>
      <c r="B544" s="176"/>
      <c r="C544" s="176"/>
      <c r="D544" s="189">
        <v>2</v>
      </c>
      <c r="E544" s="190" t="s">
        <v>46</v>
      </c>
      <c r="F544" s="191"/>
      <c r="G544" s="192"/>
      <c r="H544" s="186"/>
      <c r="I544" s="187"/>
      <c r="J544" s="188">
        <f ca="1">IFERROR(__xludf.DUMMYFUNCTION("IMPORTRANGE(""https://docs.google.com/spreadsheets/d/11923uPwbBZFjjGgGUA6NLw09EwE0CqkOc4q9oUmW1yo/edit?usp=sharing"",""พะเยา!J439"")"),1)</f>
        <v>1</v>
      </c>
      <c r="K544" s="163"/>
      <c r="L544" s="181" t="s">
        <v>40</v>
      </c>
      <c r="M544" s="181"/>
      <c r="N544" s="181" t="s">
        <v>40</v>
      </c>
      <c r="O544" s="181"/>
      <c r="P544" s="181"/>
    </row>
    <row r="545" spans="1:16" ht="21.75" customHeight="1" x14ac:dyDescent="0.3">
      <c r="A545" s="175"/>
      <c r="B545" s="176"/>
      <c r="C545" s="176"/>
      <c r="D545" s="193"/>
      <c r="E545" s="194" t="s">
        <v>47</v>
      </c>
      <c r="F545" s="195"/>
      <c r="G545" s="196"/>
      <c r="H545" s="186"/>
      <c r="I545" s="187"/>
      <c r="J545" s="188">
        <f ca="1">IFERROR(__xludf.DUMMYFUNCTION("IMPORTRANGE(""https://docs.google.com/spreadsheets/d/11923uPwbBZFjjGgGUA6NLw09EwE0CqkOc4q9oUmW1yo/edit?usp=sharing"",""พะเยา!J440"")"),1)</f>
        <v>1</v>
      </c>
      <c r="K545" s="163"/>
      <c r="L545" s="181"/>
      <c r="M545" s="181"/>
      <c r="N545" s="181"/>
      <c r="O545" s="181"/>
      <c r="P545" s="181"/>
    </row>
    <row r="546" spans="1:16" ht="21.75" customHeight="1" x14ac:dyDescent="0.3">
      <c r="A546" s="175"/>
      <c r="B546" s="176"/>
      <c r="C546" s="176"/>
      <c r="D546" s="193"/>
      <c r="E546" s="194" t="s">
        <v>48</v>
      </c>
      <c r="F546" s="195"/>
      <c r="G546" s="196"/>
      <c r="H546" s="186"/>
      <c r="I546" s="187"/>
      <c r="J546" s="197">
        <f ca="1">IFERROR(__xludf.DUMMYFUNCTION("IMPORTRANGE(""https://docs.google.com/spreadsheets/d/11923uPwbBZFjjGgGUA6NLw09EwE0CqkOc4q9oUmW1yo/edit?usp=sharing"",""พะเยา!J441"")"),1)</f>
        <v>1</v>
      </c>
      <c r="K546" s="163"/>
      <c r="L546" s="181"/>
      <c r="M546" s="181"/>
      <c r="N546" s="181"/>
      <c r="O546" s="181"/>
      <c r="P546" s="181"/>
    </row>
    <row r="547" spans="1:16" ht="21.75" customHeight="1" x14ac:dyDescent="0.3">
      <c r="A547" s="175"/>
      <c r="B547" s="176"/>
      <c r="C547" s="176"/>
      <c r="D547" s="193"/>
      <c r="E547" s="198"/>
      <c r="F547" s="195"/>
      <c r="G547" s="225" t="s">
        <v>203</v>
      </c>
      <c r="H547" s="186" t="s">
        <v>37</v>
      </c>
      <c r="I547" s="203">
        <f ca="1">IFERROR(__xludf.DUMMYFUNCTION("IMPORTRANGE(""https://docs.google.com/spreadsheets/d/11923uPwbBZFjjGgGUA6NLw09EwE0CqkOc4q9oUmW1yo/edit?usp=sharing"",""พะเยา!I442"")"),22)</f>
        <v>22</v>
      </c>
      <c r="J547" s="188">
        <f ca="1">IFERROR(__xludf.DUMMYFUNCTION("IMPORTRANGE(""https://docs.google.com/spreadsheets/d/11923uPwbBZFjjGgGUA6NLw09EwE0CqkOc4q9oUmW1yo/edit?usp=sharing"",""พะเยา!J442"")"),22)</f>
        <v>22</v>
      </c>
      <c r="K547" s="163">
        <f t="shared" ref="K547:K548" ca="1" si="119">IF(I547&gt;0,J547*100/I547,0)</f>
        <v>100</v>
      </c>
      <c r="L547" s="181"/>
      <c r="M547" s="181"/>
      <c r="N547" s="181"/>
      <c r="O547" s="181"/>
      <c r="P547" s="181"/>
    </row>
    <row r="548" spans="1:16" ht="21.75" hidden="1" customHeight="1" x14ac:dyDescent="0.3">
      <c r="A548" s="175"/>
      <c r="B548" s="176"/>
      <c r="C548" s="176"/>
      <c r="D548" s="193"/>
      <c r="E548" s="198"/>
      <c r="F548" s="195"/>
      <c r="G548" s="225" t="s">
        <v>204</v>
      </c>
      <c r="H548" s="186" t="s">
        <v>37</v>
      </c>
      <c r="I548" s="339">
        <f ca="1">IFERROR(__xludf.DUMMYFUNCTION("IMPORTRANGE(""https://docs.google.com/spreadsheets/d/1C3CXT74ZlgGe6_JY_1olB1XN4rF0dxEuIIF-xsYjHgg/edit?usp=sharing"",""งบกองทุน!dr63"")"),0)</f>
        <v>0</v>
      </c>
      <c r="J548" s="197">
        <f ca="1">IFERROR(__xludf.DUMMYFUNCTION("IMPORTRANGE(""https://docs.google.com/spreadsheets/d/11923uPwbBZFjjGgGUA6NLw09EwE0CqkOc4q9oUmW1yo/edit?usp=sharing"",""พะเยา!J166"")"),0)</f>
        <v>0</v>
      </c>
      <c r="K548" s="163">
        <f t="shared" ca="1" si="119"/>
        <v>0</v>
      </c>
      <c r="L548" s="181"/>
      <c r="M548" s="181"/>
      <c r="N548" s="181"/>
      <c r="O548" s="181"/>
      <c r="P548" s="181"/>
    </row>
    <row r="549" spans="1:16" ht="21.75" customHeight="1" x14ac:dyDescent="0.3">
      <c r="A549" s="175"/>
      <c r="B549" s="176"/>
      <c r="C549" s="176"/>
      <c r="D549" s="193"/>
      <c r="E549" s="194" t="s">
        <v>54</v>
      </c>
      <c r="F549" s="195"/>
      <c r="G549" s="196"/>
      <c r="H549" s="186"/>
      <c r="I549" s="187"/>
      <c r="J549" s="197">
        <f ca="1">IFERROR(__xludf.DUMMYFUNCTION("IMPORTRANGE(""https://docs.google.com/spreadsheets/d/11923uPwbBZFjjGgGUA6NLw09EwE0CqkOc4q9oUmW1yo/edit?usp=sharing"",""พะเยา!J444"")"),0)</f>
        <v>0</v>
      </c>
      <c r="K549" s="163"/>
      <c r="L549" s="181"/>
      <c r="M549" s="181"/>
      <c r="N549" s="181"/>
      <c r="O549" s="181"/>
      <c r="P549" s="181"/>
    </row>
    <row r="550" spans="1:16" ht="21.75" customHeight="1" x14ac:dyDescent="0.3">
      <c r="A550" s="457"/>
      <c r="B550" s="458"/>
      <c r="C550" s="458"/>
      <c r="D550" s="467">
        <v>3</v>
      </c>
      <c r="E550" s="468" t="s">
        <v>55</v>
      </c>
      <c r="F550" s="469"/>
      <c r="G550" s="470"/>
      <c r="H550" s="471"/>
      <c r="I550" s="463"/>
      <c r="J550" s="472">
        <f ca="1">IFERROR(__xludf.DUMMYFUNCTION("IMPORTRANGE(""https://docs.google.com/spreadsheets/d/11923uPwbBZFjjGgGUA6NLw09EwE0CqkOc4q9oUmW1yo/edit?usp=sharing"",""พะเยา!J445"")"),0)</f>
        <v>0</v>
      </c>
      <c r="K550" s="465"/>
      <c r="L550" s="466"/>
      <c r="M550" s="466"/>
      <c r="N550" s="466"/>
      <c r="O550" s="466"/>
      <c r="P550" s="466"/>
    </row>
    <row r="551" spans="1:16" ht="21.75" customHeight="1" x14ac:dyDescent="0.3">
      <c r="A551" s="403"/>
      <c r="B551" s="404">
        <v>7</v>
      </c>
      <c r="C551" s="405" t="s">
        <v>205</v>
      </c>
      <c r="D551" s="405"/>
      <c r="E551" s="405"/>
      <c r="F551" s="405"/>
      <c r="G551" s="406"/>
      <c r="H551" s="407" t="s">
        <v>122</v>
      </c>
      <c r="I551" s="408">
        <f ca="1">IFERROR(__xludf.DUMMYFUNCTION("IMPORTRANGE(""https://docs.google.com/spreadsheets/d/11923uPwbBZFjjGgGUA6NLw09EwE0CqkOc4q9oUmW1yo/edit?usp=sharing"",""พะเยา!I446"")"),0)</f>
        <v>0</v>
      </c>
      <c r="J551" s="408">
        <f ca="1">IFERROR(__xludf.DUMMYFUNCTION("IMPORTRANGE(""https://docs.google.com/spreadsheets/d/11923uPwbBZFjjGgGUA6NLw09EwE0CqkOc4q9oUmW1yo/edit?usp=sharing"",""พะเยา!J446"")"),0)</f>
        <v>0</v>
      </c>
      <c r="K551" s="409">
        <f ca="1">IF(I551&gt;0,J551*100/I551,0)</f>
        <v>0</v>
      </c>
      <c r="L551" s="410">
        <f ca="1">IFERROR(__xludf.DUMMYFUNCTION("IMPORTRANGE(""https://docs.google.com/spreadsheets/d/11923uPwbBZFjjGgGUA6NLw09EwE0CqkOc4q9oUmW1yo/edit?usp=sharing"",""พะเยา!L446"")"),0)</f>
        <v>0</v>
      </c>
      <c r="M551" s="410"/>
      <c r="N551" s="410">
        <f ca="1">IFERROR(__xludf.DUMMYFUNCTION("IMPORTRANGE(""https://docs.google.com/spreadsheets/d/11923uPwbBZFjjGgGUA6NLw09EwE0CqkOc4q9oUmW1yo/edit?usp=sharing"",""พะเยา!M446"")"),0)</f>
        <v>0</v>
      </c>
      <c r="O551" s="410">
        <f t="shared" ref="O551:O555" ca="1" si="120">+IF(L551&gt;0,N551*100/L551,0)</f>
        <v>0</v>
      </c>
      <c r="P551" s="410"/>
    </row>
    <row r="552" spans="1:16" ht="21.75" customHeight="1" x14ac:dyDescent="0.3">
      <c r="A552" s="156"/>
      <c r="B552" s="157"/>
      <c r="C552" s="157" t="s">
        <v>16</v>
      </c>
      <c r="D552" s="158" t="s">
        <v>38</v>
      </c>
      <c r="E552" s="159"/>
      <c r="F552" s="159"/>
      <c r="G552" s="160" t="s">
        <v>39</v>
      </c>
      <c r="H552" s="161" t="s">
        <v>12</v>
      </c>
      <c r="I552" s="162" t="s">
        <v>40</v>
      </c>
      <c r="J552" s="162"/>
      <c r="K552" s="163"/>
      <c r="L552" s="164">
        <f ca="1">IFERROR(__xludf.DUMMYFUNCTION("IMPORTRANGE(""https://docs.google.com/spreadsheets/d/11923uPwbBZFjjGgGUA6NLw09EwE0CqkOc4q9oUmW1yo/edit?usp=sharing"",""พะเยา!L447"")"),0)</f>
        <v>0</v>
      </c>
      <c r="M552" s="164"/>
      <c r="N552" s="168">
        <f ca="1">IFERROR(__xludf.DUMMYFUNCTION("IMPORTRANGE(""https://docs.google.com/spreadsheets/d/11923uPwbBZFjjGgGUA6NLw09EwE0CqkOc4q9oUmW1yo/edit?usp=sharing"",""พะเยา!M447"")"),0)</f>
        <v>0</v>
      </c>
      <c r="O552" s="168">
        <f t="shared" ca="1" si="120"/>
        <v>0</v>
      </c>
      <c r="P552" s="168"/>
    </row>
    <row r="553" spans="1:16" ht="21.75" customHeight="1" x14ac:dyDescent="0.3">
      <c r="A553" s="156"/>
      <c r="B553" s="157"/>
      <c r="C553" s="157"/>
      <c r="D553" s="166"/>
      <c r="E553" s="159"/>
      <c r="F553" s="159" t="s">
        <v>40</v>
      </c>
      <c r="G553" s="160" t="s">
        <v>41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IFERROR(__xludf.DUMMYFUNCTION("IMPORTRANGE(""https://docs.google.com/spreadsheets/d/11923uPwbBZFjjGgGUA6NLw09EwE0CqkOc4q9oUmW1yo/edit?usp=sharing"",""พะเยา!L448"")"),0)</f>
        <v>0</v>
      </c>
      <c r="M553" s="165"/>
      <c r="N553" s="168">
        <f ca="1">IFERROR(__xludf.DUMMYFUNCTION("IMPORTRANGE(""https://docs.google.com/spreadsheets/d/11923uPwbBZFjjGgGUA6NLw09EwE0CqkOc4q9oUmW1yo/edit?usp=sharing"",""พะเยา!M448"")"),0)</f>
        <v>0</v>
      </c>
      <c r="O553" s="168">
        <f t="shared" ca="1" si="120"/>
        <v>0</v>
      </c>
      <c r="P553" s="168"/>
    </row>
    <row r="554" spans="1:16" ht="21.75" customHeight="1" x14ac:dyDescent="0.3">
      <c r="A554" s="156"/>
      <c r="B554" s="157"/>
      <c r="C554" s="157"/>
      <c r="D554" s="166"/>
      <c r="E554" s="159"/>
      <c r="F554" s="159"/>
      <c r="G554" s="372" t="s">
        <v>129</v>
      </c>
      <c r="H554" s="161" t="s">
        <v>12</v>
      </c>
      <c r="I554" s="162"/>
      <c r="J554" s="162"/>
      <c r="K554" s="163"/>
      <c r="L554" s="168">
        <f ca="1">IFERROR(__xludf.DUMMYFUNCTION("IMPORTRANGE(""https://docs.google.com/spreadsheets/d/11923uPwbBZFjjGgGUA6NLw09EwE0CqkOc4q9oUmW1yo/edit?usp=sharing"",""พะเยา!L449"")"),0)</f>
        <v>0</v>
      </c>
      <c r="M554" s="168"/>
      <c r="N554" s="168">
        <f ca="1">IFERROR(__xludf.DUMMYFUNCTION("IMPORTRANGE(""https://docs.google.com/spreadsheets/d/11923uPwbBZFjjGgGUA6NLw09EwE0CqkOc4q9oUmW1yo/edit?usp=sharing"",""พะเยา!M449"")"),0)</f>
        <v>0</v>
      </c>
      <c r="O554" s="168">
        <f t="shared" ca="1" si="120"/>
        <v>0</v>
      </c>
      <c r="P554" s="168"/>
    </row>
    <row r="555" spans="1:16" ht="21.75" customHeight="1" x14ac:dyDescent="0.3">
      <c r="A555" s="156"/>
      <c r="B555" s="157"/>
      <c r="C555" s="157"/>
      <c r="D555" s="166"/>
      <c r="E555" s="159"/>
      <c r="F555" s="159"/>
      <c r="G555" s="372" t="s">
        <v>130</v>
      </c>
      <c r="H555" s="161" t="s">
        <v>12</v>
      </c>
      <c r="I555" s="162"/>
      <c r="J555" s="162"/>
      <c r="K555" s="163"/>
      <c r="L555" s="168">
        <f ca="1">IFERROR(__xludf.DUMMYFUNCTION("IMPORTRANGE(""https://docs.google.com/spreadsheets/d/11923uPwbBZFjjGgGUA6NLw09EwE0CqkOc4q9oUmW1yo/edit?usp=sharing"",""พะเยา!L450"")"),0)</f>
        <v>0</v>
      </c>
      <c r="M555" s="168"/>
      <c r="N555" s="168">
        <f ca="1">IFERROR(__xludf.DUMMYFUNCTION("IMPORTRANGE(""https://docs.google.com/spreadsheets/d/11923uPwbBZFjjGgGUA6NLw09EwE0CqkOc4q9oUmW1yo/edit?usp=sharing"",""พะเยา!M450"")"),0)</f>
        <v>0</v>
      </c>
      <c r="O555" s="168">
        <f t="shared" ca="1" si="120"/>
        <v>0</v>
      </c>
      <c r="P555" s="168"/>
    </row>
    <row r="556" spans="1:16" ht="21.75" customHeight="1" x14ac:dyDescent="0.3">
      <c r="A556" s="373"/>
      <c r="B556" s="374"/>
      <c r="C556" s="157"/>
      <c r="D556" s="375"/>
      <c r="E556" s="159"/>
      <c r="F556" s="159"/>
      <c r="G556" s="376" t="s">
        <v>131</v>
      </c>
      <c r="H556" s="161" t="s">
        <v>12</v>
      </c>
      <c r="I556" s="187"/>
      <c r="J556" s="187"/>
      <c r="K556" s="223"/>
      <c r="L556" s="168"/>
      <c r="M556" s="168"/>
      <c r="N556" s="167">
        <f ca="1">IFERROR(__xludf.DUMMYFUNCTION("IMPORTRANGE(""https://docs.google.com/spreadsheets/d/11923uPwbBZFjjGgGUA6NLw09EwE0CqkOc4q9oUmW1yo/edit?usp=sharing"",""พะเยา!M451"")"),0)</f>
        <v>0</v>
      </c>
      <c r="O556" s="168"/>
      <c r="P556" s="168"/>
    </row>
    <row r="557" spans="1:16" ht="21.75" customHeight="1" x14ac:dyDescent="0.3">
      <c r="A557" s="373"/>
      <c r="B557" s="374"/>
      <c r="C557" s="157"/>
      <c r="D557" s="375"/>
      <c r="E557" s="159"/>
      <c r="F557" s="159"/>
      <c r="G557" s="376" t="s">
        <v>132</v>
      </c>
      <c r="H557" s="161" t="s">
        <v>12</v>
      </c>
      <c r="I557" s="187"/>
      <c r="J557" s="187"/>
      <c r="K557" s="223"/>
      <c r="L557" s="168"/>
      <c r="M557" s="168"/>
      <c r="N557" s="167">
        <f ca="1">IFERROR(__xludf.DUMMYFUNCTION("IMPORTRANGE(""https://docs.google.com/spreadsheets/d/11923uPwbBZFjjGgGUA6NLw09EwE0CqkOc4q9oUmW1yo/edit?usp=sharing"",""พะเยา!M452"")"),0)</f>
        <v>0</v>
      </c>
      <c r="O557" s="168"/>
      <c r="P557" s="168"/>
    </row>
    <row r="558" spans="1:16" ht="21.75" customHeight="1" x14ac:dyDescent="0.3">
      <c r="A558" s="373"/>
      <c r="B558" s="374"/>
      <c r="C558" s="157"/>
      <c r="D558" s="375"/>
      <c r="E558" s="159"/>
      <c r="F558" s="159"/>
      <c r="G558" s="376" t="s">
        <v>133</v>
      </c>
      <c r="H558" s="161" t="s">
        <v>12</v>
      </c>
      <c r="I558" s="187"/>
      <c r="J558" s="187"/>
      <c r="K558" s="223"/>
      <c r="L558" s="168"/>
      <c r="M558" s="168"/>
      <c r="N558" s="167">
        <f ca="1">IFERROR(__xludf.DUMMYFUNCTION("IMPORTRANGE(""https://docs.google.com/spreadsheets/d/11923uPwbBZFjjGgGUA6NLw09EwE0CqkOc4q9oUmW1yo/edit?usp=sharing"",""พะเยา!M453"")"),0)</f>
        <v>0</v>
      </c>
      <c r="O558" s="168"/>
      <c r="P558" s="168"/>
    </row>
    <row r="559" spans="1:16" ht="21.75" customHeight="1" x14ac:dyDescent="0.3">
      <c r="A559" s="373"/>
      <c r="B559" s="374"/>
      <c r="C559" s="157"/>
      <c r="D559" s="375"/>
      <c r="E559" s="159"/>
      <c r="F559" s="159"/>
      <c r="G559" s="376" t="s">
        <v>134</v>
      </c>
      <c r="H559" s="161" t="s">
        <v>12</v>
      </c>
      <c r="I559" s="187"/>
      <c r="J559" s="187"/>
      <c r="K559" s="223"/>
      <c r="L559" s="168"/>
      <c r="M559" s="168"/>
      <c r="N559" s="167">
        <f ca="1">IFERROR(__xludf.DUMMYFUNCTION("IMPORTRANGE(""https://docs.google.com/spreadsheets/d/11923uPwbBZFjjGgGUA6NLw09EwE0CqkOc4q9oUmW1yo/edit?usp=sharing"",""พะเยา!M454"")"),0)</f>
        <v>0</v>
      </c>
      <c r="O559" s="168"/>
      <c r="P559" s="168"/>
    </row>
    <row r="560" spans="1:16" ht="21.75" customHeight="1" x14ac:dyDescent="0.3">
      <c r="A560" s="175"/>
      <c r="B560" s="176"/>
      <c r="C560" s="176"/>
      <c r="D560" s="193"/>
      <c r="E560" s="195"/>
      <c r="F560" s="277" t="s">
        <v>206</v>
      </c>
      <c r="G560" s="196"/>
      <c r="H560" s="473" t="s">
        <v>122</v>
      </c>
      <c r="I560" s="162">
        <f ca="1">IFERROR(__xludf.DUMMYFUNCTION("IMPORTRANGE(""https://docs.google.com/spreadsheets/d/11923uPwbBZFjjGgGUA6NLw09EwE0CqkOc4q9oUmW1yo/edit?usp=sharing"",""พะเยา!I455"")"),0)</f>
        <v>0</v>
      </c>
      <c r="J560" s="162">
        <f ca="1">IFERROR(__xludf.DUMMYFUNCTION("IMPORTRANGE(""https://docs.google.com/spreadsheets/d/11923uPwbBZFjjGgGUA6NLw09EwE0CqkOc4q9oUmW1yo/edit?usp=sharing"",""พะเยา!J455"")"),0)</f>
        <v>0</v>
      </c>
      <c r="K560" s="223">
        <f t="shared" ref="K560:K564" ca="1" si="121">IF(I560&gt;0,J560*100/I560,0)</f>
        <v>0</v>
      </c>
      <c r="L560" s="168"/>
      <c r="M560" s="168"/>
      <c r="N560" s="168"/>
      <c r="O560" s="181"/>
      <c r="P560" s="181"/>
    </row>
    <row r="561" spans="1:16" ht="21.75" customHeight="1" x14ac:dyDescent="0.3">
      <c r="A561" s="175"/>
      <c r="B561" s="176"/>
      <c r="C561" s="176"/>
      <c r="D561" s="193"/>
      <c r="E561" s="195"/>
      <c r="F561" s="195"/>
      <c r="G561" s="196"/>
      <c r="H561" s="473" t="s">
        <v>36</v>
      </c>
      <c r="I561" s="162">
        <f ca="1">IFERROR(__xludf.DUMMYFUNCTION("IMPORTRANGE(""https://docs.google.com/spreadsheets/d/11923uPwbBZFjjGgGUA6NLw09EwE0CqkOc4q9oUmW1yo/edit?usp=sharing"",""พะเยา!I456"")"),0)</f>
        <v>0</v>
      </c>
      <c r="J561" s="203">
        <f ca="1">IFERROR(__xludf.DUMMYFUNCTION("IMPORTRANGE(""https://docs.google.com/spreadsheets/d/11923uPwbBZFjjGgGUA6NLw09EwE0CqkOc4q9oUmW1yo/edit?usp=sharing"",""พะเยา!J456"")"),0)</f>
        <v>0</v>
      </c>
      <c r="K561" s="223">
        <f t="shared" ca="1" si="121"/>
        <v>0</v>
      </c>
      <c r="L561" s="168"/>
      <c r="M561" s="168"/>
      <c r="N561" s="168"/>
      <c r="O561" s="181"/>
      <c r="P561" s="181"/>
    </row>
    <row r="562" spans="1:16" ht="21.75" customHeight="1" x14ac:dyDescent="0.3">
      <c r="A562" s="175"/>
      <c r="B562" s="176"/>
      <c r="C562" s="176"/>
      <c r="D562" s="193"/>
      <c r="E562" s="195"/>
      <c r="F562" s="195" t="s">
        <v>207</v>
      </c>
      <c r="G562" s="196"/>
      <c r="H562" s="473" t="s">
        <v>122</v>
      </c>
      <c r="I562" s="162">
        <v>0</v>
      </c>
      <c r="J562" s="203" t="str">
        <f ca="1">IFERROR(__xludf.DUMMYFUNCTION("IMPORTRANGE(""https://docs.google.com/spreadsheets/d/11923uPwbBZFjjGgGUA6NLw09EwE0CqkOc4q9oUmW1yo/edit?usp=sharing"",""พะเยา!J457"")"),"")</f>
        <v/>
      </c>
      <c r="K562" s="163">
        <f t="shared" si="121"/>
        <v>0</v>
      </c>
      <c r="L562" s="181"/>
      <c r="M562" s="181"/>
      <c r="N562" s="181"/>
      <c r="O562" s="181"/>
      <c r="P562" s="181"/>
    </row>
    <row r="563" spans="1:16" ht="21.75" customHeight="1" x14ac:dyDescent="0.3">
      <c r="A563" s="175"/>
      <c r="B563" s="176"/>
      <c r="C563" s="176"/>
      <c r="D563" s="193"/>
      <c r="E563" s="195"/>
      <c r="F563" s="195"/>
      <c r="G563" s="196"/>
      <c r="H563" s="473" t="s">
        <v>36</v>
      </c>
      <c r="I563" s="162">
        <v>0</v>
      </c>
      <c r="J563" s="187" t="str">
        <f ca="1">IFERROR(__xludf.DUMMYFUNCTION("IMPORTRANGE(""https://docs.google.com/spreadsheets/d/11923uPwbBZFjjGgGUA6NLw09EwE0CqkOc4q9oUmW1yo/edit?usp=sharing"",""พะเยา!J458"")"),"")</f>
        <v/>
      </c>
      <c r="K563" s="163">
        <f t="shared" si="121"/>
        <v>0</v>
      </c>
      <c r="L563" s="181"/>
      <c r="M563" s="181"/>
      <c r="N563" s="181"/>
      <c r="O563" s="181"/>
      <c r="P563" s="181"/>
    </row>
    <row r="564" spans="1:16" ht="21.75" customHeight="1" x14ac:dyDescent="0.3">
      <c r="A564" s="364"/>
      <c r="B564" s="365">
        <v>8</v>
      </c>
      <c r="C564" s="366" t="s">
        <v>208</v>
      </c>
      <c r="D564" s="366"/>
      <c r="E564" s="366"/>
      <c r="F564" s="366"/>
      <c r="G564" s="367"/>
      <c r="H564" s="368" t="s">
        <v>37</v>
      </c>
      <c r="I564" s="369">
        <f ca="1">IFERROR(__xludf.DUMMYFUNCTION("IMPORTRANGE(""https://docs.google.com/spreadsheets/d/11923uPwbBZFjjGgGUA6NLw09EwE0CqkOc4q9oUmW1yo/edit?usp=sharing"",""พะเยา!I459"")"),1950)</f>
        <v>1950</v>
      </c>
      <c r="J564" s="369">
        <f ca="1">IFERROR(__xludf.DUMMYFUNCTION("IMPORTRANGE(""https://docs.google.com/spreadsheets/d/11923uPwbBZFjjGgGUA6NLw09EwE0CqkOc4q9oUmW1yo/edit?usp=sharing"",""พะเยา!J459"")"),982)</f>
        <v>982</v>
      </c>
      <c r="K564" s="370">
        <f t="shared" ca="1" si="121"/>
        <v>50.358974358974358</v>
      </c>
      <c r="L564" s="371">
        <f ca="1">IFERROR(__xludf.DUMMYFUNCTION("IMPORTRANGE(""https://docs.google.com/spreadsheets/d/11923uPwbBZFjjGgGUA6NLw09EwE0CqkOc4q9oUmW1yo/edit?usp=sharing"",""พะเยา!L459"")"),142240)</f>
        <v>142240</v>
      </c>
      <c r="M564" s="371"/>
      <c r="N564" s="371">
        <f ca="1">IFERROR(__xludf.DUMMYFUNCTION("IMPORTRANGE(""https://docs.google.com/spreadsheets/d/11923uPwbBZFjjGgGUA6NLw09EwE0CqkOc4q9oUmW1yo/edit?usp=sharing"",""พะเยา!M459"")"),30630)</f>
        <v>30630</v>
      </c>
      <c r="O564" s="371">
        <f t="shared" ref="O564:O568" ca="1" si="122">+IF(L564&gt;0,N564*100/L564,0)</f>
        <v>21.534026996625421</v>
      </c>
      <c r="P564" s="371"/>
    </row>
    <row r="565" spans="1:16" ht="21.75" customHeight="1" x14ac:dyDescent="0.3">
      <c r="A565" s="156"/>
      <c r="B565" s="157"/>
      <c r="C565" s="157" t="s">
        <v>16</v>
      </c>
      <c r="D565" s="158" t="s">
        <v>38</v>
      </c>
      <c r="E565" s="159"/>
      <c r="F565" s="159"/>
      <c r="G565" s="160" t="s">
        <v>39</v>
      </c>
      <c r="H565" s="161" t="s">
        <v>12</v>
      </c>
      <c r="I565" s="162" t="s">
        <v>40</v>
      </c>
      <c r="J565" s="162"/>
      <c r="K565" s="163"/>
      <c r="L565" s="164">
        <f ca="1">IFERROR(__xludf.DUMMYFUNCTION("IMPORTRANGE(""https://docs.google.com/spreadsheets/d/11923uPwbBZFjjGgGUA6NLw09EwE0CqkOc4q9oUmW1yo/edit?usp=sharing"",""พะเยา!L460"")"),0)</f>
        <v>0</v>
      </c>
      <c r="M565" s="164"/>
      <c r="N565" s="168">
        <f ca="1">IFERROR(__xludf.DUMMYFUNCTION("IMPORTRANGE(""https://docs.google.com/spreadsheets/d/11923uPwbBZFjjGgGUA6NLw09EwE0CqkOc4q9oUmW1yo/edit?usp=sharing"",""พะเยา!M460"")"),0)</f>
        <v>0</v>
      </c>
      <c r="O565" s="168">
        <f t="shared" ca="1" si="122"/>
        <v>0</v>
      </c>
      <c r="P565" s="168"/>
    </row>
    <row r="566" spans="1:16" ht="21.75" customHeight="1" x14ac:dyDescent="0.3">
      <c r="A566" s="156"/>
      <c r="B566" s="157"/>
      <c r="C566" s="157"/>
      <c r="D566" s="166"/>
      <c r="E566" s="159"/>
      <c r="F566" s="159" t="s">
        <v>40</v>
      </c>
      <c r="G566" s="160" t="s">
        <v>41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IFERROR(__xludf.DUMMYFUNCTION("IMPORTRANGE(""https://docs.google.com/spreadsheets/d/11923uPwbBZFjjGgGUA6NLw09EwE0CqkOc4q9oUmW1yo/edit?usp=sharing"",""พะเยา!L461"")"),142240)</f>
        <v>142240</v>
      </c>
      <c r="M566" s="165"/>
      <c r="N566" s="168">
        <f ca="1">IFERROR(__xludf.DUMMYFUNCTION("IMPORTRANGE(""https://docs.google.com/spreadsheets/d/11923uPwbBZFjjGgGUA6NLw09EwE0CqkOc4q9oUmW1yo/edit?usp=sharing"",""พะเยา!M461"")"),30630)</f>
        <v>30630</v>
      </c>
      <c r="O566" s="168">
        <f t="shared" ca="1" si="122"/>
        <v>21.534026996625421</v>
      </c>
      <c r="P566" s="168"/>
    </row>
    <row r="567" spans="1:16" ht="21.75" customHeight="1" x14ac:dyDescent="0.3">
      <c r="A567" s="156"/>
      <c r="B567" s="157"/>
      <c r="C567" s="157"/>
      <c r="D567" s="166"/>
      <c r="E567" s="159"/>
      <c r="F567" s="159"/>
      <c r="G567" s="372" t="s">
        <v>129</v>
      </c>
      <c r="H567" s="161" t="s">
        <v>12</v>
      </c>
      <c r="I567" s="162"/>
      <c r="J567" s="162"/>
      <c r="K567" s="163"/>
      <c r="L567" s="168">
        <f ca="1">IFERROR(__xludf.DUMMYFUNCTION("IMPORTRANGE(""https://docs.google.com/spreadsheets/d/11923uPwbBZFjjGgGUA6NLw09EwE0CqkOc4q9oUmW1yo/edit?usp=sharing"",""พะเยา!L462"")"),0)</f>
        <v>0</v>
      </c>
      <c r="M567" s="168"/>
      <c r="N567" s="168">
        <f ca="1">IFERROR(__xludf.DUMMYFUNCTION("IMPORTRANGE(""https://docs.google.com/spreadsheets/d/11923uPwbBZFjjGgGUA6NLw09EwE0CqkOc4q9oUmW1yo/edit?usp=sharing"",""พะเยา!M462"")"),0)</f>
        <v>0</v>
      </c>
      <c r="O567" s="168">
        <f t="shared" ca="1" si="122"/>
        <v>0</v>
      </c>
      <c r="P567" s="168"/>
    </row>
    <row r="568" spans="1:16" ht="21.75" customHeight="1" x14ac:dyDescent="0.3">
      <c r="A568" s="156"/>
      <c r="B568" s="157"/>
      <c r="C568" s="157"/>
      <c r="D568" s="166"/>
      <c r="E568" s="159"/>
      <c r="F568" s="159"/>
      <c r="G568" s="372" t="s">
        <v>130</v>
      </c>
      <c r="H568" s="161" t="s">
        <v>12</v>
      </c>
      <c r="I568" s="162"/>
      <c r="J568" s="162"/>
      <c r="K568" s="163"/>
      <c r="L568" s="168">
        <f ca="1">IFERROR(__xludf.DUMMYFUNCTION("IMPORTRANGE(""https://docs.google.com/spreadsheets/d/11923uPwbBZFjjGgGUA6NLw09EwE0CqkOc4q9oUmW1yo/edit?usp=sharing"",""พะเยา!L463"")"),142240)</f>
        <v>142240</v>
      </c>
      <c r="M568" s="168"/>
      <c r="N568" s="168">
        <f ca="1">IFERROR(__xludf.DUMMYFUNCTION("IMPORTRANGE(""https://docs.google.com/spreadsheets/d/11923uPwbBZFjjGgGUA6NLw09EwE0CqkOc4q9oUmW1yo/edit?usp=sharing"",""พะเยา!M463"")"),30630)</f>
        <v>30630</v>
      </c>
      <c r="O568" s="168">
        <f t="shared" ca="1" si="122"/>
        <v>21.534026996625421</v>
      </c>
      <c r="P568" s="168"/>
    </row>
    <row r="569" spans="1:16" ht="21.75" customHeight="1" x14ac:dyDescent="0.3">
      <c r="A569" s="373"/>
      <c r="B569" s="374"/>
      <c r="C569" s="157"/>
      <c r="D569" s="375"/>
      <c r="E569" s="159"/>
      <c r="F569" s="159"/>
      <c r="G569" s="376" t="s">
        <v>131</v>
      </c>
      <c r="H569" s="161" t="s">
        <v>12</v>
      </c>
      <c r="I569" s="187"/>
      <c r="J569" s="187"/>
      <c r="K569" s="223"/>
      <c r="L569" s="168"/>
      <c r="M569" s="168"/>
      <c r="N569" s="167">
        <f ca="1">IFERROR(__xludf.DUMMYFUNCTION("IMPORTRANGE(""https://docs.google.com/spreadsheets/d/11923uPwbBZFjjGgGUA6NLw09EwE0CqkOc4q9oUmW1yo/edit?usp=sharing"",""พะเยา!M464"")"),0)</f>
        <v>0</v>
      </c>
      <c r="O569" s="168"/>
      <c r="P569" s="168"/>
    </row>
    <row r="570" spans="1:16" ht="21.75" customHeight="1" x14ac:dyDescent="0.3">
      <c r="A570" s="373"/>
      <c r="B570" s="374"/>
      <c r="C570" s="157"/>
      <c r="D570" s="375"/>
      <c r="E570" s="159"/>
      <c r="F570" s="159"/>
      <c r="G570" s="376" t="s">
        <v>132</v>
      </c>
      <c r="H570" s="161" t="s">
        <v>12</v>
      </c>
      <c r="I570" s="187"/>
      <c r="J570" s="187"/>
      <c r="K570" s="223"/>
      <c r="L570" s="168"/>
      <c r="M570" s="168"/>
      <c r="N570" s="167">
        <f ca="1">IFERROR(__xludf.DUMMYFUNCTION("IMPORTRANGE(""https://docs.google.com/spreadsheets/d/11923uPwbBZFjjGgGUA6NLw09EwE0CqkOc4q9oUmW1yo/edit?usp=sharing"",""พะเยา!M465"")"),0)</f>
        <v>0</v>
      </c>
      <c r="O570" s="168"/>
      <c r="P570" s="168"/>
    </row>
    <row r="571" spans="1:16" ht="21.75" customHeight="1" x14ac:dyDescent="0.3">
      <c r="A571" s="373"/>
      <c r="B571" s="374"/>
      <c r="C571" s="157"/>
      <c r="D571" s="375"/>
      <c r="E571" s="159"/>
      <c r="F571" s="159"/>
      <c r="G571" s="376" t="s">
        <v>133</v>
      </c>
      <c r="H571" s="161" t="s">
        <v>12</v>
      </c>
      <c r="I571" s="187"/>
      <c r="J571" s="187"/>
      <c r="K571" s="223"/>
      <c r="L571" s="168"/>
      <c r="M571" s="168"/>
      <c r="N571" s="377">
        <f ca="1">IFERROR(__xludf.DUMMYFUNCTION("IMPORTRANGE(""https://docs.google.com/spreadsheets/d/11923uPwbBZFjjGgGUA6NLw09EwE0CqkOc4q9oUmW1yo/edit?usp=sharing"",""พะเยา!M466"")"),10633)</f>
        <v>10633</v>
      </c>
      <c r="O571" s="168"/>
      <c r="P571" s="168"/>
    </row>
    <row r="572" spans="1:16" ht="21.75" customHeight="1" x14ac:dyDescent="0.3">
      <c r="A572" s="373"/>
      <c r="B572" s="374"/>
      <c r="C572" s="157"/>
      <c r="D572" s="375"/>
      <c r="E572" s="159"/>
      <c r="F572" s="159"/>
      <c r="G572" s="376" t="s">
        <v>134</v>
      </c>
      <c r="H572" s="161" t="s">
        <v>12</v>
      </c>
      <c r="I572" s="187"/>
      <c r="J572" s="187"/>
      <c r="K572" s="223"/>
      <c r="L572" s="168"/>
      <c r="M572" s="168"/>
      <c r="N572" s="377">
        <f ca="1">IFERROR(__xludf.DUMMYFUNCTION("IMPORTRANGE(""https://docs.google.com/spreadsheets/d/11923uPwbBZFjjGgGUA6NLw09EwE0CqkOc4q9oUmW1yo/edit?usp=sharing"",""พะเยา!M467"")"),19997)</f>
        <v>19997</v>
      </c>
      <c r="O572" s="168"/>
      <c r="P572" s="168"/>
    </row>
    <row r="573" spans="1:16" ht="21.75" customHeight="1" x14ac:dyDescent="0.3">
      <c r="A573" s="175"/>
      <c r="B573" s="176"/>
      <c r="C573" s="176"/>
      <c r="D573" s="195"/>
      <c r="E573" s="194" t="s">
        <v>40</v>
      </c>
      <c r="F573" s="412" t="s">
        <v>209</v>
      </c>
      <c r="G573" s="386"/>
      <c r="H573" s="474" t="s">
        <v>37</v>
      </c>
      <c r="I573" s="418">
        <f ca="1">IFERROR(__xludf.DUMMYFUNCTION("IMPORTRANGE(""https://docs.google.com/spreadsheets/d/11923uPwbBZFjjGgGUA6NLw09EwE0CqkOc4q9oUmW1yo/edit?usp=sharing"",""พะเยา!I468"")"),1950)</f>
        <v>1950</v>
      </c>
      <c r="J573" s="418">
        <f ca="1">IFERROR(__xludf.DUMMYFUNCTION("IMPORTRANGE(""https://docs.google.com/spreadsheets/d/11923uPwbBZFjjGgGUA6NLw09EwE0CqkOc4q9oUmW1yo/edit?usp=sharing"",""พะเยา!J468"")"),982)</f>
        <v>982</v>
      </c>
      <c r="K573" s="201">
        <f ca="1">IF(I573&gt;0,J573*100/I573,0)</f>
        <v>50.358974358974358</v>
      </c>
      <c r="L573" s="181"/>
      <c r="M573" s="181"/>
      <c r="N573" s="181"/>
      <c r="O573" s="181"/>
      <c r="P573" s="181"/>
    </row>
    <row r="574" spans="1:16" ht="21.75" customHeight="1" x14ac:dyDescent="0.3">
      <c r="A574" s="175"/>
      <c r="B574" s="176"/>
      <c r="C574" s="176"/>
      <c r="D574" s="195"/>
      <c r="E574" s="195"/>
      <c r="F574" s="194" t="s">
        <v>210</v>
      </c>
      <c r="G574" s="196"/>
      <c r="H574" s="473"/>
      <c r="I574" s="162"/>
      <c r="J574" s="162"/>
      <c r="K574" s="163"/>
      <c r="L574" s="181"/>
      <c r="M574" s="181"/>
      <c r="N574" s="181"/>
      <c r="O574" s="181"/>
      <c r="P574" s="181"/>
    </row>
    <row r="575" spans="1:16" ht="21.75" customHeight="1" x14ac:dyDescent="0.3">
      <c r="A575" s="175"/>
      <c r="B575" s="176"/>
      <c r="C575" s="176"/>
      <c r="D575" s="195"/>
      <c r="E575" s="194" t="s">
        <v>40</v>
      </c>
      <c r="F575" s="194" t="s">
        <v>211</v>
      </c>
      <c r="G575" s="196"/>
      <c r="H575" s="473" t="s">
        <v>77</v>
      </c>
      <c r="I575" s="202">
        <f ca="1">IFERROR(__xludf.DUMMYFUNCTION("IMPORTRANGE(""https://docs.google.com/spreadsheets/d/11923uPwbBZFjjGgGUA6NLw09EwE0CqkOc4q9oUmW1yo/edit?usp=sharing"",""พะเยา!I470"")"),0)</f>
        <v>0</v>
      </c>
      <c r="J575" s="197">
        <f ca="1">IFERROR(__xludf.DUMMYFUNCTION("IMPORTRANGE(""https://docs.google.com/spreadsheets/d/11923uPwbBZFjjGgGUA6NLw09EwE0CqkOc4q9oUmW1yo/edit?usp=sharing"",""พะเยา!J470"")"),0)</f>
        <v>0</v>
      </c>
      <c r="K575" s="163">
        <f t="shared" ref="K575:K579" ca="1" si="123">IF(I575&gt;0,J575*100/I575,0)</f>
        <v>0</v>
      </c>
      <c r="L575" s="181"/>
      <c r="M575" s="181"/>
      <c r="N575" s="181"/>
      <c r="O575" s="181"/>
      <c r="P575" s="181"/>
    </row>
    <row r="576" spans="1:16" ht="21.75" customHeight="1" x14ac:dyDescent="0.3">
      <c r="A576" s="175"/>
      <c r="B576" s="176"/>
      <c r="C576" s="176"/>
      <c r="D576" s="195"/>
      <c r="E576" s="195"/>
      <c r="F576" s="194" t="s">
        <v>212</v>
      </c>
      <c r="G576" s="196"/>
      <c r="H576" s="473" t="s">
        <v>37</v>
      </c>
      <c r="I576" s="202">
        <f ca="1">IFERROR(__xludf.DUMMYFUNCTION("IMPORTRANGE(""https://docs.google.com/spreadsheets/d/11923uPwbBZFjjGgGUA6NLw09EwE0CqkOc4q9oUmW1yo/edit?usp=sharing"",""พะเยา!I471"")"),0)</f>
        <v>0</v>
      </c>
      <c r="J576" s="197">
        <f ca="1">IFERROR(__xludf.DUMMYFUNCTION("IMPORTRANGE(""https://docs.google.com/spreadsheets/d/11923uPwbBZFjjGgGUA6NLw09EwE0CqkOc4q9oUmW1yo/edit?usp=sharing"",""พะเยา!J471"")"),0)</f>
        <v>0</v>
      </c>
      <c r="K576" s="163">
        <f t="shared" ca="1" si="123"/>
        <v>0</v>
      </c>
      <c r="L576" s="181"/>
      <c r="M576" s="181"/>
      <c r="N576" s="181"/>
      <c r="O576" s="181"/>
      <c r="P576" s="181"/>
    </row>
    <row r="577" spans="1:16" ht="21.75" customHeight="1" x14ac:dyDescent="0.3">
      <c r="A577" s="175"/>
      <c r="B577" s="176"/>
      <c r="C577" s="176"/>
      <c r="D577" s="195"/>
      <c r="E577" s="195"/>
      <c r="F577" s="194" t="s">
        <v>213</v>
      </c>
      <c r="G577" s="196"/>
      <c r="H577" s="473" t="s">
        <v>37</v>
      </c>
      <c r="I577" s="202">
        <f ca="1">IFERROR(__xludf.DUMMYFUNCTION("IMPORTRANGE(""https://docs.google.com/spreadsheets/d/11923uPwbBZFjjGgGUA6NLw09EwE0CqkOc4q9oUmW1yo/edit?usp=sharing"",""พะเยา!I472"")"),0)</f>
        <v>0</v>
      </c>
      <c r="J577" s="188">
        <f ca="1">IFERROR(__xludf.DUMMYFUNCTION("IMPORTRANGE(""https://docs.google.com/spreadsheets/d/11923uPwbBZFjjGgGUA6NLw09EwE0CqkOc4q9oUmW1yo/edit?usp=sharing"",""พะเยา!J472"")"),982)</f>
        <v>982</v>
      </c>
      <c r="K577" s="163">
        <f t="shared" ca="1" si="123"/>
        <v>0</v>
      </c>
      <c r="L577" s="181"/>
      <c r="M577" s="181"/>
      <c r="N577" s="181"/>
      <c r="O577" s="181"/>
      <c r="P577" s="181"/>
    </row>
    <row r="578" spans="1:16" ht="21.75" customHeight="1" x14ac:dyDescent="0.3">
      <c r="A578" s="175"/>
      <c r="B578" s="176"/>
      <c r="C578" s="176"/>
      <c r="D578" s="195"/>
      <c r="E578" s="195"/>
      <c r="F578" s="194" t="s">
        <v>214</v>
      </c>
      <c r="G578" s="419"/>
      <c r="H578" s="473" t="s">
        <v>37</v>
      </c>
      <c r="I578" s="202">
        <f ca="1">IFERROR(__xludf.DUMMYFUNCTION("IMPORTRANGE(""https://docs.google.com/spreadsheets/d/11923uPwbBZFjjGgGUA6NLw09EwE0CqkOc4q9oUmW1yo/edit?usp=sharing"",""พะเยา!I473"")"),0)</f>
        <v>0</v>
      </c>
      <c r="J578" s="197">
        <f ca="1">IFERROR(__xludf.DUMMYFUNCTION("IMPORTRANGE(""https://docs.google.com/spreadsheets/d/11923uPwbBZFjjGgGUA6NLw09EwE0CqkOc4q9oUmW1yo/edit?usp=sharing"",""พะเยา!J473"")"),0)</f>
        <v>0</v>
      </c>
      <c r="K578" s="163">
        <f t="shared" ca="1" si="123"/>
        <v>0</v>
      </c>
      <c r="L578" s="181"/>
      <c r="M578" s="181"/>
      <c r="N578" s="181"/>
      <c r="O578" s="181"/>
      <c r="P578" s="181"/>
    </row>
    <row r="579" spans="1:16" ht="21.75" customHeight="1" x14ac:dyDescent="0.3">
      <c r="A579" s="175"/>
      <c r="B579" s="176"/>
      <c r="C579" s="176"/>
      <c r="D579" s="195"/>
      <c r="E579" s="195"/>
      <c r="F579" s="194" t="s">
        <v>215</v>
      </c>
      <c r="G579" s="419"/>
      <c r="H579" s="473" t="s">
        <v>37</v>
      </c>
      <c r="I579" s="202">
        <f ca="1">IFERROR(__xludf.DUMMYFUNCTION("IMPORTRANGE(""https://docs.google.com/spreadsheets/d/11923uPwbBZFjjGgGUA6NLw09EwE0CqkOc4q9oUmW1yo/edit?usp=sharing"",""พะเยา!I474"")"),0)</f>
        <v>0</v>
      </c>
      <c r="J579" s="197">
        <f ca="1">IFERROR(__xludf.DUMMYFUNCTION("IMPORTRANGE(""https://docs.google.com/spreadsheets/d/11923uPwbBZFjjGgGUA6NLw09EwE0CqkOc4q9oUmW1yo/edit?usp=sharing"",""พะเยา!J474"")"),0)</f>
        <v>0</v>
      </c>
      <c r="K579" s="163">
        <f t="shared" ca="1" si="123"/>
        <v>0</v>
      </c>
      <c r="L579" s="181"/>
      <c r="M579" s="181"/>
      <c r="N579" s="181"/>
      <c r="O579" s="181"/>
      <c r="P579" s="181"/>
    </row>
    <row r="580" spans="1:16" ht="21.75" customHeight="1" x14ac:dyDescent="0.3">
      <c r="A580" s="364"/>
      <c r="B580" s="365">
        <v>9</v>
      </c>
      <c r="C580" s="475" t="s">
        <v>216</v>
      </c>
      <c r="D580" s="366"/>
      <c r="E580" s="366"/>
      <c r="F580" s="366"/>
      <c r="G580" s="367"/>
      <c r="H580" s="368" t="s">
        <v>37</v>
      </c>
      <c r="I580" s="369">
        <f ca="1">IFERROR(__xludf.DUMMYFUNCTION("IMPORTRANGE(""https://docs.google.com/spreadsheets/d/11923uPwbBZFjjGgGUA6NLw09EwE0CqkOc4q9oUmW1yo/edit?usp=sharing"",""พะเยา!I475"")"),40)</f>
        <v>40</v>
      </c>
      <c r="J580" s="369">
        <f ca="1">IFERROR(__xludf.DUMMYFUNCTION("IMPORTRANGE(""https://docs.google.com/spreadsheets/d/11923uPwbBZFjjGgGUA6NLw09EwE0CqkOc4q9oUmW1yo/edit?usp=sharing"",""พะเยา!J475"")"),6)</f>
        <v>6</v>
      </c>
      <c r="K580" s="370">
        <f ca="1">IF(I580&gt;0,J580*100/I580,0)</f>
        <v>15</v>
      </c>
      <c r="L580" s="371">
        <f ca="1">IFERROR(__xludf.DUMMYFUNCTION("IMPORTRANGE(""https://docs.google.com/spreadsheets/d/11923uPwbBZFjjGgGUA6NLw09EwE0CqkOc4q9oUmW1yo/edit?usp=sharing"",""พะเยา!L475"")"),138840)</f>
        <v>138840</v>
      </c>
      <c r="M580" s="371"/>
      <c r="N580" s="371">
        <f ca="1">IFERROR(__xludf.DUMMYFUNCTION("IMPORTRANGE(""https://docs.google.com/spreadsheets/d/11923uPwbBZFjjGgGUA6NLw09EwE0CqkOc4q9oUmW1yo/edit?usp=sharing"",""พะเยา!M475"")"),0)</f>
        <v>0</v>
      </c>
      <c r="O580" s="371">
        <f t="shared" ref="O580:O584" ca="1" si="124">+IF(L580&gt;0,N580*100/L580,0)</f>
        <v>0</v>
      </c>
      <c r="P580" s="371"/>
    </row>
    <row r="581" spans="1:16" ht="21.75" customHeight="1" x14ac:dyDescent="0.3">
      <c r="A581" s="156"/>
      <c r="B581" s="157"/>
      <c r="C581" s="157" t="s">
        <v>16</v>
      </c>
      <c r="D581" s="158" t="s">
        <v>38</v>
      </c>
      <c r="E581" s="159"/>
      <c r="F581" s="159"/>
      <c r="G581" s="160" t="s">
        <v>39</v>
      </c>
      <c r="H581" s="161" t="s">
        <v>12</v>
      </c>
      <c r="I581" s="162" t="s">
        <v>40</v>
      </c>
      <c r="J581" s="162"/>
      <c r="K581" s="163"/>
      <c r="L581" s="164">
        <f ca="1">IFERROR(__xludf.DUMMYFUNCTION("IMPORTRANGE(""https://docs.google.com/spreadsheets/d/11923uPwbBZFjjGgGUA6NLw09EwE0CqkOc4q9oUmW1yo/edit?usp=sharing"",""พะเยา!L476"")"),0)</f>
        <v>0</v>
      </c>
      <c r="M581" s="164"/>
      <c r="N581" s="168">
        <f ca="1">IFERROR(__xludf.DUMMYFUNCTION("IMPORTRANGE(""https://docs.google.com/spreadsheets/d/11923uPwbBZFjjGgGUA6NLw09EwE0CqkOc4q9oUmW1yo/edit?usp=sharing"",""พะเยา!M476"")"),0)</f>
        <v>0</v>
      </c>
      <c r="O581" s="168">
        <f t="shared" ca="1" si="124"/>
        <v>0</v>
      </c>
      <c r="P581" s="168"/>
    </row>
    <row r="582" spans="1:16" ht="21.75" customHeight="1" x14ac:dyDescent="0.3">
      <c r="A582" s="156"/>
      <c r="B582" s="157"/>
      <c r="C582" s="157"/>
      <c r="D582" s="166"/>
      <c r="E582" s="159"/>
      <c r="F582" s="159" t="s">
        <v>40</v>
      </c>
      <c r="G582" s="160" t="s">
        <v>41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IFERROR(__xludf.DUMMYFUNCTION("IMPORTRANGE(""https://docs.google.com/spreadsheets/d/11923uPwbBZFjjGgGUA6NLw09EwE0CqkOc4q9oUmW1yo/edit?usp=sharing"",""พะเยา!L477"")"),138840)</f>
        <v>138840</v>
      </c>
      <c r="M582" s="165"/>
      <c r="N582" s="168">
        <f ca="1">IFERROR(__xludf.DUMMYFUNCTION("IMPORTRANGE(""https://docs.google.com/spreadsheets/d/11923uPwbBZFjjGgGUA6NLw09EwE0CqkOc4q9oUmW1yo/edit?usp=sharing"",""พะเยา!M477"")"),0)</f>
        <v>0</v>
      </c>
      <c r="O582" s="168">
        <f t="shared" ca="1" si="124"/>
        <v>0</v>
      </c>
      <c r="P582" s="168"/>
    </row>
    <row r="583" spans="1:16" ht="21.75" customHeight="1" x14ac:dyDescent="0.3">
      <c r="A583" s="156"/>
      <c r="B583" s="157"/>
      <c r="C583" s="157"/>
      <c r="D583" s="166"/>
      <c r="E583" s="159"/>
      <c r="F583" s="159"/>
      <c r="G583" s="372" t="s">
        <v>129</v>
      </c>
      <c r="H583" s="161" t="s">
        <v>12</v>
      </c>
      <c r="I583" s="162"/>
      <c r="J583" s="162"/>
      <c r="K583" s="163"/>
      <c r="L583" s="168">
        <f ca="1">IFERROR(__xludf.DUMMYFUNCTION("IMPORTRANGE(""https://docs.google.com/spreadsheets/d/11923uPwbBZFjjGgGUA6NLw09EwE0CqkOc4q9oUmW1yo/edit?usp=sharing"",""พะเยา!L478"")"),0)</f>
        <v>0</v>
      </c>
      <c r="M583" s="168"/>
      <c r="N583" s="168">
        <f ca="1">IFERROR(__xludf.DUMMYFUNCTION("IMPORTRANGE(""https://docs.google.com/spreadsheets/d/11923uPwbBZFjjGgGUA6NLw09EwE0CqkOc4q9oUmW1yo/edit?usp=sharing"",""พะเยา!M478"")"),0)</f>
        <v>0</v>
      </c>
      <c r="O583" s="168">
        <f t="shared" ca="1" si="124"/>
        <v>0</v>
      </c>
      <c r="P583" s="168"/>
    </row>
    <row r="584" spans="1:16" ht="21.75" customHeight="1" x14ac:dyDescent="0.3">
      <c r="A584" s="156"/>
      <c r="B584" s="157"/>
      <c r="C584" s="157"/>
      <c r="D584" s="166"/>
      <c r="E584" s="159"/>
      <c r="F584" s="159"/>
      <c r="G584" s="372" t="s">
        <v>130</v>
      </c>
      <c r="H584" s="161" t="s">
        <v>12</v>
      </c>
      <c r="I584" s="162"/>
      <c r="J584" s="162"/>
      <c r="K584" s="163"/>
      <c r="L584" s="168">
        <f ca="1">IFERROR(__xludf.DUMMYFUNCTION("IMPORTRANGE(""https://docs.google.com/spreadsheets/d/11923uPwbBZFjjGgGUA6NLw09EwE0CqkOc4q9oUmW1yo/edit?usp=sharing"",""พะเยา!L479"")"),138840)</f>
        <v>138840</v>
      </c>
      <c r="M584" s="168"/>
      <c r="N584" s="168">
        <f ca="1">IFERROR(__xludf.DUMMYFUNCTION("IMPORTRANGE(""https://docs.google.com/spreadsheets/d/11923uPwbBZFjjGgGUA6NLw09EwE0CqkOc4q9oUmW1yo/edit?usp=sharing"",""พะเยา!M479"")"),0)</f>
        <v>0</v>
      </c>
      <c r="O584" s="168">
        <f t="shared" ca="1" si="124"/>
        <v>0</v>
      </c>
      <c r="P584" s="168"/>
    </row>
    <row r="585" spans="1:16" ht="21.75" customHeight="1" x14ac:dyDescent="0.3">
      <c r="A585" s="373"/>
      <c r="B585" s="374"/>
      <c r="C585" s="157"/>
      <c r="D585" s="375"/>
      <c r="E585" s="159"/>
      <c r="F585" s="159"/>
      <c r="G585" s="376" t="s">
        <v>131</v>
      </c>
      <c r="H585" s="161" t="s">
        <v>12</v>
      </c>
      <c r="I585" s="187"/>
      <c r="J585" s="187"/>
      <c r="K585" s="223"/>
      <c r="L585" s="168"/>
      <c r="M585" s="168"/>
      <c r="N585" s="167">
        <f ca="1">IFERROR(__xludf.DUMMYFUNCTION("IMPORTRANGE(""https://docs.google.com/spreadsheets/d/11923uPwbBZFjjGgGUA6NLw09EwE0CqkOc4q9oUmW1yo/edit?usp=sharing"",""พะเยา!M480"")"),0)</f>
        <v>0</v>
      </c>
      <c r="O585" s="168"/>
      <c r="P585" s="168"/>
    </row>
    <row r="586" spans="1:16" ht="21.75" customHeight="1" x14ac:dyDescent="0.3">
      <c r="A586" s="373"/>
      <c r="B586" s="374"/>
      <c r="C586" s="157"/>
      <c r="D586" s="375"/>
      <c r="E586" s="159"/>
      <c r="F586" s="159"/>
      <c r="G586" s="376" t="s">
        <v>132</v>
      </c>
      <c r="H586" s="161" t="s">
        <v>12</v>
      </c>
      <c r="I586" s="187"/>
      <c r="J586" s="187"/>
      <c r="K586" s="223"/>
      <c r="L586" s="168"/>
      <c r="M586" s="168"/>
      <c r="N586" s="167">
        <f ca="1">IFERROR(__xludf.DUMMYFUNCTION("IMPORTRANGE(""https://docs.google.com/spreadsheets/d/11923uPwbBZFjjGgGUA6NLw09EwE0CqkOc4q9oUmW1yo/edit?usp=sharing"",""พะเยา!M481"")"),0)</f>
        <v>0</v>
      </c>
      <c r="O586" s="168"/>
      <c r="P586" s="168"/>
    </row>
    <row r="587" spans="1:16" ht="21.75" customHeight="1" x14ac:dyDescent="0.3">
      <c r="A587" s="373"/>
      <c r="B587" s="374"/>
      <c r="C587" s="157"/>
      <c r="D587" s="375"/>
      <c r="E587" s="159"/>
      <c r="F587" s="159"/>
      <c r="G587" s="376" t="s">
        <v>133</v>
      </c>
      <c r="H587" s="161" t="s">
        <v>12</v>
      </c>
      <c r="I587" s="187"/>
      <c r="J587" s="187"/>
      <c r="K587" s="223"/>
      <c r="L587" s="168"/>
      <c r="M587" s="168"/>
      <c r="N587" s="167">
        <f ca="1">IFERROR(__xludf.DUMMYFUNCTION("IMPORTRANGE(""https://docs.google.com/spreadsheets/d/11923uPwbBZFjjGgGUA6NLw09EwE0CqkOc4q9oUmW1yo/edit?usp=sharing"",""พะเยา!M482"")"),0)</f>
        <v>0</v>
      </c>
      <c r="O587" s="168"/>
      <c r="P587" s="168"/>
    </row>
    <row r="588" spans="1:16" ht="21.75" customHeight="1" x14ac:dyDescent="0.3">
      <c r="A588" s="373"/>
      <c r="B588" s="374"/>
      <c r="C588" s="157"/>
      <c r="D588" s="375"/>
      <c r="E588" s="159"/>
      <c r="F588" s="159"/>
      <c r="G588" s="376" t="s">
        <v>134</v>
      </c>
      <c r="H588" s="161" t="s">
        <v>12</v>
      </c>
      <c r="I588" s="187"/>
      <c r="J588" s="187"/>
      <c r="K588" s="223"/>
      <c r="L588" s="168"/>
      <c r="M588" s="168"/>
      <c r="N588" s="167">
        <f ca="1">IFERROR(__xludf.DUMMYFUNCTION("IMPORTRANGE(""https://docs.google.com/spreadsheets/d/11923uPwbBZFjjGgGUA6NLw09EwE0CqkOc4q9oUmW1yo/edit?usp=sharing"",""พะเยา!M483"")"),0)</f>
        <v>0</v>
      </c>
      <c r="O588" s="168"/>
      <c r="P588" s="168"/>
    </row>
    <row r="589" spans="1:16" ht="21.75" customHeight="1" x14ac:dyDescent="0.3">
      <c r="A589" s="476"/>
      <c r="B589" s="166"/>
      <c r="C589" s="157"/>
      <c r="D589" s="289"/>
      <c r="E589" s="194" t="s">
        <v>217</v>
      </c>
      <c r="F589" s="195"/>
      <c r="G589" s="196"/>
      <c r="H589" s="180" t="s">
        <v>36</v>
      </c>
      <c r="I589" s="339">
        <f ca="1">IFERROR(__xludf.DUMMYFUNCTION("IMPORTRANGE(""https://docs.google.com/spreadsheets/d/11923uPwbBZFjjGgGUA6NLw09EwE0CqkOc4q9oUmW1yo/edit?usp=sharing"",""พะเยา!I484"")"),40)</f>
        <v>40</v>
      </c>
      <c r="J589" s="187">
        <f ca="1">IFERROR(__xludf.DUMMYFUNCTION("IMPORTRANGE(""https://docs.google.com/spreadsheets/d/11923uPwbBZFjjGgGUA6NLw09EwE0CqkOc4q9oUmW1yo/edit?usp=sharing"",""พะเยา!J484"")"),0)</f>
        <v>0</v>
      </c>
      <c r="K589" s="163">
        <f t="shared" ref="K589:K596" ca="1" si="125">IF(I589&gt;0,J589*100/I589,0)</f>
        <v>0</v>
      </c>
      <c r="L589" s="181"/>
      <c r="M589" s="181"/>
      <c r="N589" s="168"/>
      <c r="O589" s="181"/>
      <c r="P589" s="181"/>
    </row>
    <row r="590" spans="1:16" ht="21.75" customHeight="1" x14ac:dyDescent="0.3">
      <c r="A590" s="476"/>
      <c r="B590" s="166"/>
      <c r="C590" s="157"/>
      <c r="D590" s="289"/>
      <c r="E590" s="195"/>
      <c r="F590" s="195"/>
      <c r="G590" s="196"/>
      <c r="H590" s="180" t="s">
        <v>122</v>
      </c>
      <c r="I590" s="343">
        <f ca="1">IFERROR(__xludf.DUMMYFUNCTION("IMPORTRANGE(""https://docs.google.com/spreadsheets/d/11923uPwbBZFjjGgGUA6NLw09EwE0CqkOc4q9oUmW1yo/edit?usp=sharing"",""พะเยา!I485"")"),0)</f>
        <v>0</v>
      </c>
      <c r="J590" s="187">
        <f ca="1">IFERROR(__xludf.DUMMYFUNCTION("IMPORTRANGE(""https://docs.google.com/spreadsheets/d/11923uPwbBZFjjGgGUA6NLw09EwE0CqkOc4q9oUmW1yo/edit?usp=sharing"",""พะเยา!J485"")"),0)</f>
        <v>0</v>
      </c>
      <c r="K590" s="477">
        <f t="shared" ca="1" si="125"/>
        <v>0</v>
      </c>
      <c r="L590" s="181"/>
      <c r="M590" s="181"/>
      <c r="N590" s="168"/>
      <c r="O590" s="181"/>
      <c r="P590" s="181"/>
    </row>
    <row r="591" spans="1:16" ht="21.75" customHeight="1" x14ac:dyDescent="0.3">
      <c r="A591" s="476"/>
      <c r="B591" s="166"/>
      <c r="C591" s="157"/>
      <c r="D591" s="289"/>
      <c r="E591" s="194" t="s">
        <v>123</v>
      </c>
      <c r="F591" s="195"/>
      <c r="G591" s="196"/>
      <c r="H591" s="180" t="s">
        <v>37</v>
      </c>
      <c r="I591" s="339">
        <f ca="1">IFERROR(__xludf.DUMMYFUNCTION("IMPORTRANGE(""https://docs.google.com/spreadsheets/d/11923uPwbBZFjjGgGUA6NLw09EwE0CqkOc4q9oUmW1yo/edit?usp=sharing"",""พะเยา!I486"")"),40)</f>
        <v>40</v>
      </c>
      <c r="J591" s="187">
        <f ca="1">IFERROR(__xludf.DUMMYFUNCTION("IMPORTRANGE(""https://docs.google.com/spreadsheets/d/11923uPwbBZFjjGgGUA6NLw09EwE0CqkOc4q9oUmW1yo/edit?usp=sharing"",""พะเยา!J486"")"),6)</f>
        <v>6</v>
      </c>
      <c r="K591" s="163">
        <f t="shared" ca="1" si="125"/>
        <v>15</v>
      </c>
      <c r="L591" s="181"/>
      <c r="M591" s="181"/>
      <c r="N591" s="181"/>
      <c r="O591" s="181"/>
      <c r="P591" s="181"/>
    </row>
    <row r="592" spans="1:16" ht="21.75" customHeight="1" x14ac:dyDescent="0.3">
      <c r="A592" s="476"/>
      <c r="B592" s="166"/>
      <c r="C592" s="157"/>
      <c r="D592" s="289"/>
      <c r="E592" s="195"/>
      <c r="F592" s="195"/>
      <c r="G592" s="196"/>
      <c r="H592" s="180" t="s">
        <v>122</v>
      </c>
      <c r="I592" s="343">
        <f ca="1">IFERROR(__xludf.DUMMYFUNCTION("IMPORTRANGE(""https://docs.google.com/spreadsheets/d/11923uPwbBZFjjGgGUA6NLw09EwE0CqkOc4q9oUmW1yo/edit?usp=sharing"",""พะเยา!I487"")"),0)</f>
        <v>0</v>
      </c>
      <c r="J592" s="187">
        <f ca="1">IFERROR(__xludf.DUMMYFUNCTION("IMPORTRANGE(""https://docs.google.com/spreadsheets/d/11923uPwbBZFjjGgGUA6NLw09EwE0CqkOc4q9oUmW1yo/edit?usp=sharing"",""พะเยา!J487"")"),3.48)</f>
        <v>3.48</v>
      </c>
      <c r="K592" s="340">
        <f t="shared" ca="1" si="125"/>
        <v>0</v>
      </c>
      <c r="L592" s="181"/>
      <c r="M592" s="181"/>
      <c r="N592" s="181"/>
      <c r="O592" s="181"/>
      <c r="P592" s="181"/>
    </row>
    <row r="593" spans="1:16" ht="21.75" customHeight="1" x14ac:dyDescent="0.3">
      <c r="A593" s="476"/>
      <c r="B593" s="166"/>
      <c r="C593" s="157"/>
      <c r="D593" s="289"/>
      <c r="E593" s="194" t="s">
        <v>124</v>
      </c>
      <c r="F593" s="195"/>
      <c r="G593" s="196"/>
      <c r="H593" s="180" t="s">
        <v>37</v>
      </c>
      <c r="I593" s="339">
        <f ca="1">IFERROR(__xludf.DUMMYFUNCTION("IMPORTRANGE(""https://docs.google.com/spreadsheets/d/11923uPwbBZFjjGgGUA6NLw09EwE0CqkOc4q9oUmW1yo/edit?usp=sharing"",""พะเยา!I488"")"),40)</f>
        <v>40</v>
      </c>
      <c r="J593" s="187">
        <f ca="1">IFERROR(__xludf.DUMMYFUNCTION("IMPORTRANGE(""https://docs.google.com/spreadsheets/d/11923uPwbBZFjjGgGUA6NLw09EwE0CqkOc4q9oUmW1yo/edit?usp=sharing"",""พะเยา!J488"")"),0)</f>
        <v>0</v>
      </c>
      <c r="K593" s="163">
        <f t="shared" ca="1" si="125"/>
        <v>0</v>
      </c>
      <c r="L593" s="181"/>
      <c r="M593" s="181"/>
      <c r="N593" s="181"/>
      <c r="O593" s="181"/>
      <c r="P593" s="181"/>
    </row>
    <row r="594" spans="1:16" ht="21.75" customHeight="1" x14ac:dyDescent="0.3">
      <c r="A594" s="476"/>
      <c r="B594" s="166"/>
      <c r="C594" s="157"/>
      <c r="D594" s="289"/>
      <c r="E594" s="195"/>
      <c r="F594" s="195"/>
      <c r="G594" s="196"/>
      <c r="H594" s="180" t="s">
        <v>122</v>
      </c>
      <c r="I594" s="343">
        <f ca="1">IFERROR(__xludf.DUMMYFUNCTION("IMPORTRANGE(""https://docs.google.com/spreadsheets/d/11923uPwbBZFjjGgGUA6NLw09EwE0CqkOc4q9oUmW1yo/edit?usp=sharing"",""พะเยา!I489"")"),0)</f>
        <v>0</v>
      </c>
      <c r="J594" s="187">
        <f ca="1">IFERROR(__xludf.DUMMYFUNCTION("IMPORTRANGE(""https://docs.google.com/spreadsheets/d/11923uPwbBZFjjGgGUA6NLw09EwE0CqkOc4q9oUmW1yo/edit?usp=sharing"",""พะเยา!J489"")"),0)</f>
        <v>0</v>
      </c>
      <c r="K594" s="340">
        <f t="shared" ca="1" si="125"/>
        <v>0</v>
      </c>
      <c r="L594" s="181"/>
      <c r="M594" s="181"/>
      <c r="N594" s="181"/>
      <c r="O594" s="181"/>
      <c r="P594" s="181"/>
    </row>
    <row r="595" spans="1:16" ht="21.75" customHeight="1" x14ac:dyDescent="0.3">
      <c r="A595" s="476"/>
      <c r="B595" s="166"/>
      <c r="C595" s="157"/>
      <c r="D595" s="289"/>
      <c r="E595" s="194" t="s">
        <v>125</v>
      </c>
      <c r="F595" s="195"/>
      <c r="G595" s="196"/>
      <c r="H595" s="180" t="s">
        <v>37</v>
      </c>
      <c r="I595" s="339">
        <f ca="1">IFERROR(__xludf.DUMMYFUNCTION("IMPORTRANGE(""https://docs.google.com/spreadsheets/d/11923uPwbBZFjjGgGUA6NLw09EwE0CqkOc4q9oUmW1yo/edit?usp=sharing"",""พะเยา!I490"")"),40)</f>
        <v>40</v>
      </c>
      <c r="J595" s="187">
        <f ca="1">IFERROR(__xludf.DUMMYFUNCTION("IMPORTRANGE(""https://docs.google.com/spreadsheets/d/11923uPwbBZFjjGgGUA6NLw09EwE0CqkOc4q9oUmW1yo/edit?usp=sharing"",""พะเยา!J490"")"),6)</f>
        <v>6</v>
      </c>
      <c r="K595" s="163">
        <f t="shared" ca="1" si="125"/>
        <v>15</v>
      </c>
      <c r="L595" s="181"/>
      <c r="M595" s="181"/>
      <c r="N595" s="181"/>
      <c r="O595" s="181"/>
      <c r="P595" s="181"/>
    </row>
    <row r="596" spans="1:16" ht="21.75" customHeight="1" x14ac:dyDescent="0.3">
      <c r="A596" s="478"/>
      <c r="B596" s="479"/>
      <c r="C596" s="480"/>
      <c r="D596" s="481"/>
      <c r="E596" s="460"/>
      <c r="F596" s="460"/>
      <c r="G596" s="461"/>
      <c r="H596" s="482" t="s">
        <v>122</v>
      </c>
      <c r="I596" s="483">
        <f ca="1">IFERROR(__xludf.DUMMYFUNCTION("IMPORTRANGE(""https://docs.google.com/spreadsheets/d/11923uPwbBZFjjGgGUA6NLw09EwE0CqkOc4q9oUmW1yo/edit?usp=sharing"",""พะเยา!I491"")"),0)</f>
        <v>0</v>
      </c>
      <c r="J596" s="240">
        <f ca="1">IFERROR(__xludf.DUMMYFUNCTION("IMPORTRANGE(""https://docs.google.com/spreadsheets/d/11923uPwbBZFjjGgGUA6NLw09EwE0CqkOc4q9oUmW1yo/edit?usp=sharing"",""พะเยา!J491"")"),3.48)</f>
        <v>3.48</v>
      </c>
      <c r="K596" s="484">
        <f t="shared" ca="1" si="125"/>
        <v>0</v>
      </c>
      <c r="L596" s="466"/>
      <c r="M596" s="466"/>
      <c r="N596" s="466"/>
      <c r="O596" s="466"/>
      <c r="P596" s="466"/>
    </row>
    <row r="597" spans="1:16" ht="21.75" customHeight="1" x14ac:dyDescent="0.3">
      <c r="A597" s="403"/>
      <c r="B597" s="404">
        <v>10</v>
      </c>
      <c r="C597" s="405" t="s">
        <v>218</v>
      </c>
      <c r="D597" s="405"/>
      <c r="E597" s="405"/>
      <c r="F597" s="405"/>
      <c r="G597" s="406"/>
      <c r="H597" s="407" t="s">
        <v>122</v>
      </c>
      <c r="I597" s="408">
        <f ca="1">IFERROR(__xludf.DUMMYFUNCTION("IMPORTRANGE(""https://docs.google.com/spreadsheets/d/11923uPwbBZFjjGgGUA6NLw09EwE0CqkOc4q9oUmW1yo/edit?usp=sharing"",""พะเยา!I492"")"),150)</f>
        <v>150</v>
      </c>
      <c r="J597" s="485">
        <f ca="1">IFERROR(__xludf.DUMMYFUNCTION("IMPORTRANGE(""https://docs.google.com/spreadsheets/d/11923uPwbBZFjjGgGUA6NLw09EwE0CqkOc4q9oUmW1yo/edit?usp=sharing"",""พะเยา!J492"")"),0)</f>
        <v>0</v>
      </c>
      <c r="K597" s="409">
        <f ca="1">IF(I597&gt;0,J597*100/I597,0)</f>
        <v>0</v>
      </c>
      <c r="L597" s="410">
        <f ca="1">IFERROR(__xludf.DUMMYFUNCTION("IMPORTRANGE(""https://docs.google.com/spreadsheets/d/11923uPwbBZFjjGgGUA6NLw09EwE0CqkOc4q9oUmW1yo/edit?usp=sharing"",""พะเยา!L492"")"),14050)</f>
        <v>14050</v>
      </c>
      <c r="M597" s="410"/>
      <c r="N597" s="410">
        <f ca="1">IFERROR(__xludf.DUMMYFUNCTION("IMPORTRANGE(""https://docs.google.com/spreadsheets/d/11923uPwbBZFjjGgGUA6NLw09EwE0CqkOc4q9oUmW1yo/edit?usp=sharing"",""พะเยา!M492"")"),0)</f>
        <v>0</v>
      </c>
      <c r="O597" s="410">
        <f t="shared" ref="O597:O601" ca="1" si="126">+IF(L597&gt;0,N597*100/L597,0)</f>
        <v>0</v>
      </c>
      <c r="P597" s="410"/>
    </row>
    <row r="598" spans="1:16" ht="21.75" customHeight="1" x14ac:dyDescent="0.3">
      <c r="A598" s="156"/>
      <c r="B598" s="157"/>
      <c r="C598" s="157" t="s">
        <v>16</v>
      </c>
      <c r="D598" s="158" t="s">
        <v>38</v>
      </c>
      <c r="E598" s="159"/>
      <c r="F598" s="159"/>
      <c r="G598" s="160" t="s">
        <v>39</v>
      </c>
      <c r="H598" s="161" t="s">
        <v>12</v>
      </c>
      <c r="I598" s="162" t="s">
        <v>40</v>
      </c>
      <c r="J598" s="162"/>
      <c r="K598" s="163"/>
      <c r="L598" s="164">
        <f ca="1">IFERROR(__xludf.DUMMYFUNCTION("IMPORTRANGE(""https://docs.google.com/spreadsheets/d/11923uPwbBZFjjGgGUA6NLw09EwE0CqkOc4q9oUmW1yo/edit?usp=sharing"",""พะเยา!L493"")"),0)</f>
        <v>0</v>
      </c>
      <c r="M598" s="164"/>
      <c r="N598" s="168">
        <f ca="1">IFERROR(__xludf.DUMMYFUNCTION("IMPORTRANGE(""https://docs.google.com/spreadsheets/d/11923uPwbBZFjjGgGUA6NLw09EwE0CqkOc4q9oUmW1yo/edit?usp=sharing"",""พะเยา!M493"")"),0)</f>
        <v>0</v>
      </c>
      <c r="O598" s="168">
        <f t="shared" ca="1" si="126"/>
        <v>0</v>
      </c>
      <c r="P598" s="168"/>
    </row>
    <row r="599" spans="1:16" ht="21.75" customHeight="1" x14ac:dyDescent="0.3">
      <c r="A599" s="156"/>
      <c r="B599" s="157"/>
      <c r="C599" s="157"/>
      <c r="D599" s="166"/>
      <c r="E599" s="159"/>
      <c r="F599" s="159" t="s">
        <v>40</v>
      </c>
      <c r="G599" s="160" t="s">
        <v>41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IFERROR(__xludf.DUMMYFUNCTION("IMPORTRANGE(""https://docs.google.com/spreadsheets/d/11923uPwbBZFjjGgGUA6NLw09EwE0CqkOc4q9oUmW1yo/edit?usp=sharing"",""พะเยา!L494"")"),14050)</f>
        <v>14050</v>
      </c>
      <c r="M599" s="165"/>
      <c r="N599" s="168">
        <f ca="1">IFERROR(__xludf.DUMMYFUNCTION("IMPORTRANGE(""https://docs.google.com/spreadsheets/d/11923uPwbBZFjjGgGUA6NLw09EwE0CqkOc4q9oUmW1yo/edit?usp=sharing"",""พะเยา!M494"")"),0)</f>
        <v>0</v>
      </c>
      <c r="O599" s="168">
        <f t="shared" ca="1" si="126"/>
        <v>0</v>
      </c>
      <c r="P599" s="168"/>
    </row>
    <row r="600" spans="1:16" ht="21.75" customHeight="1" x14ac:dyDescent="0.3">
      <c r="A600" s="156"/>
      <c r="B600" s="157"/>
      <c r="C600" s="157"/>
      <c r="D600" s="166"/>
      <c r="E600" s="159"/>
      <c r="F600" s="159"/>
      <c r="G600" s="372" t="s">
        <v>129</v>
      </c>
      <c r="H600" s="161" t="s">
        <v>12</v>
      </c>
      <c r="I600" s="162"/>
      <c r="J600" s="162"/>
      <c r="K600" s="163"/>
      <c r="L600" s="168">
        <f ca="1">IFERROR(__xludf.DUMMYFUNCTION("IMPORTRANGE(""https://docs.google.com/spreadsheets/d/11923uPwbBZFjjGgGUA6NLw09EwE0CqkOc4q9oUmW1yo/edit?usp=sharing"",""พะเยา!L495"")"),0)</f>
        <v>0</v>
      </c>
      <c r="M600" s="168"/>
      <c r="N600" s="168">
        <f ca="1">IFERROR(__xludf.DUMMYFUNCTION("IMPORTRANGE(""https://docs.google.com/spreadsheets/d/11923uPwbBZFjjGgGUA6NLw09EwE0CqkOc4q9oUmW1yo/edit?usp=sharing"",""พะเยา!M495"")"),0)</f>
        <v>0</v>
      </c>
      <c r="O600" s="168">
        <f t="shared" ca="1" si="126"/>
        <v>0</v>
      </c>
      <c r="P600" s="168"/>
    </row>
    <row r="601" spans="1:16" ht="21.75" customHeight="1" x14ac:dyDescent="0.3">
      <c r="A601" s="156"/>
      <c r="B601" s="157"/>
      <c r="C601" s="157"/>
      <c r="D601" s="166"/>
      <c r="E601" s="159"/>
      <c r="F601" s="159"/>
      <c r="G601" s="372" t="s">
        <v>130</v>
      </c>
      <c r="H601" s="161" t="s">
        <v>12</v>
      </c>
      <c r="I601" s="162"/>
      <c r="J601" s="162"/>
      <c r="K601" s="163"/>
      <c r="L601" s="168">
        <f ca="1">IFERROR(__xludf.DUMMYFUNCTION("IMPORTRANGE(""https://docs.google.com/spreadsheets/d/11923uPwbBZFjjGgGUA6NLw09EwE0CqkOc4q9oUmW1yo/edit?usp=sharing"",""พะเยา!L496"")"),14050)</f>
        <v>14050</v>
      </c>
      <c r="M601" s="168"/>
      <c r="N601" s="168">
        <f ca="1">IFERROR(__xludf.DUMMYFUNCTION("IMPORTRANGE(""https://docs.google.com/spreadsheets/d/11923uPwbBZFjjGgGUA6NLw09EwE0CqkOc4q9oUmW1yo/edit?usp=sharing"",""พะเยา!M496"")"),0)</f>
        <v>0</v>
      </c>
      <c r="O601" s="168">
        <f t="shared" ca="1" si="126"/>
        <v>0</v>
      </c>
      <c r="P601" s="168"/>
    </row>
    <row r="602" spans="1:16" ht="21.75" customHeight="1" x14ac:dyDescent="0.3">
      <c r="A602" s="373"/>
      <c r="B602" s="374"/>
      <c r="C602" s="157"/>
      <c r="D602" s="375"/>
      <c r="E602" s="159"/>
      <c r="F602" s="159"/>
      <c r="G602" s="376" t="s">
        <v>131</v>
      </c>
      <c r="H602" s="161" t="s">
        <v>12</v>
      </c>
      <c r="I602" s="187"/>
      <c r="J602" s="187"/>
      <c r="K602" s="223"/>
      <c r="L602" s="168"/>
      <c r="M602" s="168"/>
      <c r="N602" s="167">
        <f ca="1">IFERROR(__xludf.DUMMYFUNCTION("IMPORTRANGE(""https://docs.google.com/spreadsheets/d/11923uPwbBZFjjGgGUA6NLw09EwE0CqkOc4q9oUmW1yo/edit?usp=sharing"",""พะเยา!M497"")"),0)</f>
        <v>0</v>
      </c>
      <c r="O602" s="168"/>
      <c r="P602" s="168"/>
    </row>
    <row r="603" spans="1:16" ht="21.75" customHeight="1" x14ac:dyDescent="0.3">
      <c r="A603" s="373"/>
      <c r="B603" s="374"/>
      <c r="C603" s="157"/>
      <c r="D603" s="375"/>
      <c r="E603" s="159"/>
      <c r="F603" s="159"/>
      <c r="G603" s="376" t="s">
        <v>132</v>
      </c>
      <c r="H603" s="161" t="s">
        <v>12</v>
      </c>
      <c r="I603" s="187"/>
      <c r="J603" s="187"/>
      <c r="K603" s="223"/>
      <c r="L603" s="168"/>
      <c r="M603" s="168"/>
      <c r="N603" s="167">
        <f ca="1">IFERROR(__xludf.DUMMYFUNCTION("IMPORTRANGE(""https://docs.google.com/spreadsheets/d/11923uPwbBZFjjGgGUA6NLw09EwE0CqkOc4q9oUmW1yo/edit?usp=sharing"",""พะเยา!M498"")"),0)</f>
        <v>0</v>
      </c>
      <c r="O603" s="168"/>
      <c r="P603" s="168"/>
    </row>
    <row r="604" spans="1:16" ht="21.75" customHeight="1" x14ac:dyDescent="0.3">
      <c r="A604" s="373"/>
      <c r="B604" s="374"/>
      <c r="C604" s="157"/>
      <c r="D604" s="375"/>
      <c r="E604" s="159"/>
      <c r="F604" s="159"/>
      <c r="G604" s="376" t="s">
        <v>133</v>
      </c>
      <c r="H604" s="161" t="s">
        <v>12</v>
      </c>
      <c r="I604" s="187"/>
      <c r="J604" s="187"/>
      <c r="K604" s="223"/>
      <c r="L604" s="168"/>
      <c r="M604" s="168"/>
      <c r="N604" s="377">
        <f ca="1">IFERROR(__xludf.DUMMYFUNCTION("IMPORTRANGE(""https://docs.google.com/spreadsheets/d/11923uPwbBZFjjGgGUA6NLw09EwE0CqkOc4q9oUmW1yo/edit?usp=sharing"",""พะเยา!M499"")"),0)</f>
        <v>0</v>
      </c>
      <c r="O604" s="168"/>
      <c r="P604" s="168"/>
    </row>
    <row r="605" spans="1:16" ht="21.75" customHeight="1" x14ac:dyDescent="0.3">
      <c r="A605" s="373"/>
      <c r="B605" s="374"/>
      <c r="C605" s="157"/>
      <c r="D605" s="375"/>
      <c r="E605" s="159"/>
      <c r="F605" s="159"/>
      <c r="G605" s="376" t="s">
        <v>134</v>
      </c>
      <c r="H605" s="161" t="s">
        <v>12</v>
      </c>
      <c r="I605" s="187"/>
      <c r="J605" s="187"/>
      <c r="K605" s="223"/>
      <c r="L605" s="168"/>
      <c r="M605" s="168"/>
      <c r="N605" s="377">
        <f ca="1">IFERROR(__xludf.DUMMYFUNCTION("IMPORTRANGE(""https://docs.google.com/spreadsheets/d/11923uPwbBZFjjGgGUA6NLw09EwE0CqkOc4q9oUmW1yo/edit?usp=sharing"",""พะเยา!M500"")"),0)</f>
        <v>0</v>
      </c>
      <c r="O605" s="168"/>
      <c r="P605" s="168"/>
    </row>
    <row r="606" spans="1:16" ht="21.75" customHeight="1" x14ac:dyDescent="0.3">
      <c r="A606" s="175"/>
      <c r="B606" s="176"/>
      <c r="C606" s="157" t="s">
        <v>16</v>
      </c>
      <c r="D606" s="177" t="s">
        <v>44</v>
      </c>
      <c r="E606" s="178"/>
      <c r="F606" s="178"/>
      <c r="G606" s="179"/>
      <c r="H606" s="180"/>
      <c r="I606" s="162"/>
      <c r="J606" s="162"/>
      <c r="K606" s="163"/>
      <c r="L606" s="181"/>
      <c r="M606" s="181"/>
      <c r="N606" s="181"/>
      <c r="O606" s="181"/>
      <c r="P606" s="181"/>
    </row>
    <row r="607" spans="1:16" ht="21.75" customHeight="1" x14ac:dyDescent="0.3">
      <c r="A607" s="175"/>
      <c r="B607" s="176"/>
      <c r="C607" s="176"/>
      <c r="D607" s="182">
        <v>1</v>
      </c>
      <c r="E607" s="183" t="s">
        <v>45</v>
      </c>
      <c r="F607" s="184"/>
      <c r="G607" s="185"/>
      <c r="H607" s="186"/>
      <c r="I607" s="187"/>
      <c r="J607" s="197">
        <f ca="1">IFERROR(__xludf.DUMMYFUNCTION("IMPORTRANGE(""https://docs.google.com/spreadsheets/d/11923uPwbBZFjjGgGUA6NLw09EwE0CqkOc4q9oUmW1yo/edit?usp=sharing"",""พะเยา!J502"")"),0)</f>
        <v>0</v>
      </c>
      <c r="K607" s="163"/>
      <c r="L607" s="181"/>
      <c r="M607" s="181"/>
      <c r="N607" s="181"/>
      <c r="O607" s="181"/>
      <c r="P607" s="181"/>
    </row>
    <row r="608" spans="1:16" ht="21.75" customHeight="1" x14ac:dyDescent="0.3">
      <c r="A608" s="175"/>
      <c r="B608" s="176"/>
      <c r="C608" s="176"/>
      <c r="D608" s="189">
        <v>2</v>
      </c>
      <c r="E608" s="190" t="s">
        <v>46</v>
      </c>
      <c r="F608" s="191"/>
      <c r="G608" s="192"/>
      <c r="H608" s="186"/>
      <c r="I608" s="187"/>
      <c r="J608" s="197">
        <f ca="1">IFERROR(__xludf.DUMMYFUNCTION("IMPORTRANGE(""https://docs.google.com/spreadsheets/d/11923uPwbBZFjjGgGUA6NLw09EwE0CqkOc4q9oUmW1yo/edit?usp=sharing"",""พะเยา!J503"")"),1)</f>
        <v>1</v>
      </c>
      <c r="K608" s="163"/>
      <c r="L608" s="181" t="s">
        <v>40</v>
      </c>
      <c r="M608" s="181"/>
      <c r="N608" s="181" t="s">
        <v>40</v>
      </c>
      <c r="O608" s="181"/>
      <c r="P608" s="181"/>
    </row>
    <row r="609" spans="1:16" ht="21.75" hidden="1" customHeight="1" x14ac:dyDescent="0.3">
      <c r="A609" s="373"/>
      <c r="B609" s="374"/>
      <c r="C609" s="374"/>
      <c r="D609" s="486"/>
      <c r="E609" s="487" t="s">
        <v>47</v>
      </c>
      <c r="F609" s="488"/>
      <c r="G609" s="379"/>
      <c r="H609" s="186"/>
      <c r="I609" s="187"/>
      <c r="J609" s="187">
        <f ca="1">IFERROR(__xludf.DUMMYFUNCTION("IMPORTRANGE(""https://docs.google.com/spreadsheets/d/11923uPwbBZFjjGgGUA6NLw09EwE0CqkOc4q9oUmW1yo/edit?usp=sharing"",""พะเยา!J166"")"),0)</f>
        <v>0</v>
      </c>
      <c r="K609" s="223"/>
      <c r="L609" s="168"/>
      <c r="M609" s="168"/>
      <c r="N609" s="168"/>
      <c r="O609" s="168"/>
      <c r="P609" s="168"/>
    </row>
    <row r="610" spans="1:16" ht="21.75" hidden="1" customHeight="1" x14ac:dyDescent="0.3">
      <c r="A610" s="373"/>
      <c r="B610" s="374"/>
      <c r="C610" s="374"/>
      <c r="D610" s="486"/>
      <c r="E610" s="487" t="s">
        <v>48</v>
      </c>
      <c r="F610" s="488"/>
      <c r="G610" s="379"/>
      <c r="H610" s="186"/>
      <c r="I610" s="187"/>
      <c r="J610" s="187">
        <f ca="1">IFERROR(__xludf.DUMMYFUNCTION("IMPORTRANGE(""https://docs.google.com/spreadsheets/d/11923uPwbBZFjjGgGUA6NLw09EwE0CqkOc4q9oUmW1yo/edit?usp=sharing"",""พะเยา!J166"")"),0)</f>
        <v>0</v>
      </c>
      <c r="K610" s="223"/>
      <c r="L610" s="168"/>
      <c r="M610" s="168"/>
      <c r="N610" s="168"/>
      <c r="O610" s="168"/>
      <c r="P610" s="168"/>
    </row>
    <row r="611" spans="1:16" ht="21.75" customHeight="1" x14ac:dyDescent="0.3">
      <c r="A611" s="175"/>
      <c r="B611" s="176"/>
      <c r="C611" s="176"/>
      <c r="D611" s="193"/>
      <c r="E611" s="195"/>
      <c r="F611" s="195" t="s">
        <v>219</v>
      </c>
      <c r="G611" s="196"/>
      <c r="H611" s="180" t="s">
        <v>122</v>
      </c>
      <c r="I611" s="187">
        <f ca="1">IFERROR(__xludf.DUMMYFUNCTION("IMPORTRANGE(""https://docs.google.com/spreadsheets/d/11923uPwbBZFjjGgGUA6NLw09EwE0CqkOc4q9oUmW1yo/edit?usp=sharing"",""พะเยา!I506"")"),150)</f>
        <v>150</v>
      </c>
      <c r="J611" s="162">
        <f ca="1">IFERROR(__xludf.DUMMYFUNCTION("IMPORTRANGE(""https://docs.google.com/spreadsheets/d/11923uPwbBZFjjGgGUA6NLw09EwE0CqkOc4q9oUmW1yo/edit?usp=sharing"",""พะเยา!J506"")"),0)</f>
        <v>0</v>
      </c>
      <c r="K611" s="163">
        <f t="shared" ref="K611:K619" ca="1" si="127">IF(I$611&gt;0,J611*100/I$611,0)</f>
        <v>0</v>
      </c>
      <c r="L611" s="181"/>
      <c r="M611" s="181"/>
      <c r="N611" s="181"/>
      <c r="O611" s="181"/>
      <c r="P611" s="181"/>
    </row>
    <row r="612" spans="1:16" ht="21.75" customHeight="1" x14ac:dyDescent="0.3">
      <c r="A612" s="175"/>
      <c r="B612" s="176"/>
      <c r="C612" s="176"/>
      <c r="D612" s="193"/>
      <c r="E612" s="198"/>
      <c r="F612" s="195"/>
      <c r="G612" s="225" t="s">
        <v>220</v>
      </c>
      <c r="H612" s="180" t="s">
        <v>122</v>
      </c>
      <c r="I612" s="203">
        <f ca="1">IFERROR(__xludf.DUMMYFUNCTION("IMPORTRANGE(""https://docs.google.com/spreadsheets/d/11923uPwbBZFjjGgGUA6NLw09EwE0CqkOc4q9oUmW1yo/edit?usp=sharing"",""พะเยา!I507"")"),0)</f>
        <v>0</v>
      </c>
      <c r="J612" s="197">
        <f ca="1">IFERROR(__xludf.DUMMYFUNCTION("IMPORTRANGE(""https://docs.google.com/spreadsheets/d/11923uPwbBZFjjGgGUA6NLw09EwE0CqkOc4q9oUmW1yo/edit?usp=sharing"",""พะเยา!J507"")"),0)</f>
        <v>0</v>
      </c>
      <c r="K612" s="163">
        <f t="shared" ca="1" si="127"/>
        <v>0</v>
      </c>
      <c r="L612" s="181"/>
      <c r="M612" s="181"/>
      <c r="N612" s="181"/>
      <c r="O612" s="181"/>
      <c r="P612" s="181"/>
    </row>
    <row r="613" spans="1:16" ht="21.75" customHeight="1" x14ac:dyDescent="0.3">
      <c r="A613" s="175"/>
      <c r="B613" s="176"/>
      <c r="C613" s="176"/>
      <c r="D613" s="193"/>
      <c r="E613" s="198"/>
      <c r="F613" s="195"/>
      <c r="G613" s="225" t="s">
        <v>221</v>
      </c>
      <c r="H613" s="180" t="s">
        <v>122</v>
      </c>
      <c r="I613" s="203">
        <f ca="1">IFERROR(__xludf.DUMMYFUNCTION("IMPORTRANGE(""https://docs.google.com/spreadsheets/d/11923uPwbBZFjjGgGUA6NLw09EwE0CqkOc4q9oUmW1yo/edit?usp=sharing"",""พะเยา!I508"")"),0)</f>
        <v>0</v>
      </c>
      <c r="J613" s="197">
        <f ca="1">IFERROR(__xludf.DUMMYFUNCTION("IMPORTRANGE(""https://docs.google.com/spreadsheets/d/11923uPwbBZFjjGgGUA6NLw09EwE0CqkOc4q9oUmW1yo/edit?usp=sharing"",""พะเยา!J508"")"),0)</f>
        <v>0</v>
      </c>
      <c r="K613" s="163">
        <f t="shared" ca="1" si="127"/>
        <v>0</v>
      </c>
      <c r="L613" s="181"/>
      <c r="M613" s="181"/>
      <c r="N613" s="181"/>
      <c r="O613" s="181"/>
      <c r="P613" s="181"/>
    </row>
    <row r="614" spans="1:16" ht="21.75" customHeight="1" x14ac:dyDescent="0.3">
      <c r="A614" s="175"/>
      <c r="B614" s="176"/>
      <c r="C614" s="176"/>
      <c r="D614" s="193"/>
      <c r="E614" s="198"/>
      <c r="F614" s="195"/>
      <c r="G614" s="225" t="s">
        <v>222</v>
      </c>
      <c r="H614" s="180" t="s">
        <v>122</v>
      </c>
      <c r="I614" s="203">
        <f ca="1">IFERROR(__xludf.DUMMYFUNCTION("IMPORTRANGE(""https://docs.google.com/spreadsheets/d/11923uPwbBZFjjGgGUA6NLw09EwE0CqkOc4q9oUmW1yo/edit?usp=sharing"",""พะเยา!I509"")"),0)</f>
        <v>0</v>
      </c>
      <c r="J614" s="197">
        <f ca="1">IFERROR(__xludf.DUMMYFUNCTION("IMPORTRANGE(""https://docs.google.com/spreadsheets/d/11923uPwbBZFjjGgGUA6NLw09EwE0CqkOc4q9oUmW1yo/edit?usp=sharing"",""พะเยา!J509"")"),0)</f>
        <v>0</v>
      </c>
      <c r="K614" s="163">
        <f t="shared" ca="1" si="127"/>
        <v>0</v>
      </c>
      <c r="L614" s="181"/>
      <c r="M614" s="181"/>
      <c r="N614" s="181"/>
      <c r="O614" s="181"/>
      <c r="P614" s="181"/>
    </row>
    <row r="615" spans="1:16" ht="21.75" customHeight="1" x14ac:dyDescent="0.3">
      <c r="A615" s="175"/>
      <c r="B615" s="176"/>
      <c r="C615" s="176"/>
      <c r="D615" s="193"/>
      <c r="E615" s="198"/>
      <c r="F615" s="195"/>
      <c r="G615" s="225" t="s">
        <v>223</v>
      </c>
      <c r="H615" s="180" t="s">
        <v>122</v>
      </c>
      <c r="I615" s="203">
        <f ca="1">IFERROR(__xludf.DUMMYFUNCTION("IMPORTRANGE(""https://docs.google.com/spreadsheets/d/11923uPwbBZFjjGgGUA6NLw09EwE0CqkOc4q9oUmW1yo/edit?usp=sharing"",""พะเยา!I510"")"),0)</f>
        <v>0</v>
      </c>
      <c r="J615" s="197">
        <f ca="1">IFERROR(__xludf.DUMMYFUNCTION("IMPORTRANGE(""https://docs.google.com/spreadsheets/d/11923uPwbBZFjjGgGUA6NLw09EwE0CqkOc4q9oUmW1yo/edit?usp=sharing"",""พะเยา!J510"")"),0)</f>
        <v>0</v>
      </c>
      <c r="K615" s="163">
        <f t="shared" ca="1" si="127"/>
        <v>0</v>
      </c>
      <c r="L615" s="181"/>
      <c r="M615" s="181"/>
      <c r="N615" s="181"/>
      <c r="O615" s="181"/>
      <c r="P615" s="181"/>
    </row>
    <row r="616" spans="1:16" ht="21.75" customHeight="1" x14ac:dyDescent="0.3">
      <c r="A616" s="175"/>
      <c r="B616" s="176"/>
      <c r="C616" s="176"/>
      <c r="D616" s="193"/>
      <c r="E616" s="198"/>
      <c r="F616" s="195"/>
      <c r="G616" s="194" t="s">
        <v>224</v>
      </c>
      <c r="H616" s="180" t="s">
        <v>122</v>
      </c>
      <c r="I616" s="203">
        <f ca="1">IFERROR(__xludf.DUMMYFUNCTION("IMPORTRANGE(""https://docs.google.com/spreadsheets/d/11923uPwbBZFjjGgGUA6NLw09EwE0CqkOc4q9oUmW1yo/edit?usp=sharing"",""พะเยา!I511"")"),0)</f>
        <v>0</v>
      </c>
      <c r="J616" s="197">
        <f ca="1">IFERROR(__xludf.DUMMYFUNCTION("IMPORTRANGE(""https://docs.google.com/spreadsheets/d/11923uPwbBZFjjGgGUA6NLw09EwE0CqkOc4q9oUmW1yo/edit?usp=sharing"",""พะเยา!J511"")"),0)</f>
        <v>0</v>
      </c>
      <c r="K616" s="163">
        <f t="shared" ca="1" si="127"/>
        <v>0</v>
      </c>
      <c r="L616" s="181"/>
      <c r="M616" s="181"/>
      <c r="N616" s="181"/>
      <c r="O616" s="181"/>
      <c r="P616" s="181"/>
    </row>
    <row r="617" spans="1:16" ht="21.75" customHeight="1" x14ac:dyDescent="0.3">
      <c r="A617" s="175"/>
      <c r="B617" s="176"/>
      <c r="C617" s="176"/>
      <c r="D617" s="193"/>
      <c r="E617" s="198"/>
      <c r="F617" s="195"/>
      <c r="G617" s="194" t="s">
        <v>225</v>
      </c>
      <c r="H617" s="180" t="s">
        <v>122</v>
      </c>
      <c r="I617" s="187">
        <f ca="1">IFERROR(__xludf.DUMMYFUNCTION("IMPORTRANGE(""https://docs.google.com/spreadsheets/d/11923uPwbBZFjjGgGUA6NLw09EwE0CqkOc4q9oUmW1yo/edit?usp=sharing"",""พะเยา!I512"")"),0)</f>
        <v>0</v>
      </c>
      <c r="J617" s="187">
        <f ca="1">IFERROR(__xludf.DUMMYFUNCTION("IMPORTRANGE(""https://docs.google.com/spreadsheets/d/11923uPwbBZFjjGgGUA6NLw09EwE0CqkOc4q9oUmW1yo/edit?usp=sharing"",""พะเยา!J512"")"),0)</f>
        <v>0</v>
      </c>
      <c r="K617" s="163">
        <f t="shared" ca="1" si="127"/>
        <v>0</v>
      </c>
      <c r="L617" s="181"/>
      <c r="M617" s="181"/>
      <c r="N617" s="181"/>
      <c r="O617" s="181"/>
      <c r="P617" s="181"/>
    </row>
    <row r="618" spans="1:16" ht="21.75" customHeight="1" x14ac:dyDescent="0.3">
      <c r="A618" s="175"/>
      <c r="B618" s="176"/>
      <c r="C618" s="176"/>
      <c r="D618" s="193"/>
      <c r="E618" s="198"/>
      <c r="F618" s="195"/>
      <c r="G618" s="489" t="s">
        <v>226</v>
      </c>
      <c r="H618" s="180" t="s">
        <v>122</v>
      </c>
      <c r="I618" s="203">
        <f ca="1">IFERROR(__xludf.DUMMYFUNCTION("IMPORTRANGE(""https://docs.google.com/spreadsheets/d/11923uPwbBZFjjGgGUA6NLw09EwE0CqkOc4q9oUmW1yo/edit?usp=sharing"",""พะเยา!I513"")"),0)</f>
        <v>0</v>
      </c>
      <c r="J618" s="188">
        <f ca="1">IFERROR(__xludf.DUMMYFUNCTION("IMPORTRANGE(""https://docs.google.com/spreadsheets/d/11923uPwbBZFjjGgGUA6NLw09EwE0CqkOc4q9oUmW1yo/edit?usp=sharing"",""พะเยา!J513"")"),0)</f>
        <v>0</v>
      </c>
      <c r="K618" s="163">
        <f t="shared" ca="1" si="127"/>
        <v>0</v>
      </c>
      <c r="L618" s="181"/>
      <c r="M618" s="181"/>
      <c r="N618" s="181"/>
      <c r="O618" s="181"/>
      <c r="P618" s="181"/>
    </row>
    <row r="619" spans="1:16" ht="21.75" customHeight="1" x14ac:dyDescent="0.3">
      <c r="A619" s="175"/>
      <c r="B619" s="176"/>
      <c r="C619" s="176"/>
      <c r="D619" s="193"/>
      <c r="E619" s="198"/>
      <c r="F619" s="195"/>
      <c r="G619" s="489" t="s">
        <v>227</v>
      </c>
      <c r="H619" s="180" t="s">
        <v>122</v>
      </c>
      <c r="I619" s="203">
        <f ca="1">IFERROR(__xludf.DUMMYFUNCTION("IMPORTRANGE(""https://docs.google.com/spreadsheets/d/11923uPwbBZFjjGgGUA6NLw09EwE0CqkOc4q9oUmW1yo/edit?usp=sharing"",""พะเยา!I514"")"),0)</f>
        <v>0</v>
      </c>
      <c r="J619" s="188">
        <f ca="1">IFERROR(__xludf.DUMMYFUNCTION("IMPORTRANGE(""https://docs.google.com/spreadsheets/d/11923uPwbBZFjjGgGUA6NLw09EwE0CqkOc4q9oUmW1yo/edit?usp=sharing"",""พะเยา!J514"")"),0)</f>
        <v>0</v>
      </c>
      <c r="K619" s="163">
        <f t="shared" ca="1" si="127"/>
        <v>0</v>
      </c>
      <c r="L619" s="181"/>
      <c r="M619" s="181"/>
      <c r="N619" s="181"/>
      <c r="O619" s="181"/>
      <c r="P619" s="181"/>
    </row>
    <row r="620" spans="1:16" ht="21.75" customHeight="1" x14ac:dyDescent="0.3">
      <c r="A620" s="175"/>
      <c r="B620" s="176"/>
      <c r="C620" s="176"/>
      <c r="D620" s="193"/>
      <c r="E620" s="195"/>
      <c r="F620" s="194" t="s">
        <v>228</v>
      </c>
      <c r="G620" s="196"/>
      <c r="H620" s="180" t="s">
        <v>122</v>
      </c>
      <c r="I620" s="187">
        <f ca="1">IFERROR(__xludf.DUMMYFUNCTION("IMPORTRANGE(""https://docs.google.com/spreadsheets/d/11923uPwbBZFjjGgGUA6NLw09EwE0CqkOc4q9oUmW1yo/edit?usp=sharing"",""พะเยา!I515"")"),0)</f>
        <v>0</v>
      </c>
      <c r="J620" s="202">
        <f ca="1">IFERROR(__xludf.DUMMYFUNCTION("IMPORTRANGE(""https://docs.google.com/spreadsheets/d/11923uPwbBZFjjGgGUA6NLw09EwE0CqkOc4q9oUmW1yo/edit?usp=sharing"",""พะเยา!J515"")"),0)</f>
        <v>0</v>
      </c>
      <c r="K620" s="163">
        <f t="shared" ref="K620:K626" ca="1" si="128">IF(I$620&gt;0,J620*100/I$620,0)</f>
        <v>0</v>
      </c>
      <c r="L620" s="181"/>
      <c r="M620" s="181"/>
      <c r="N620" s="181"/>
      <c r="O620" s="181"/>
      <c r="P620" s="181"/>
    </row>
    <row r="621" spans="1:16" ht="21.75" customHeight="1" x14ac:dyDescent="0.3">
      <c r="A621" s="175"/>
      <c r="B621" s="176"/>
      <c r="C621" s="176"/>
      <c r="D621" s="193"/>
      <c r="E621" s="198"/>
      <c r="F621" s="195"/>
      <c r="G621" s="225" t="s">
        <v>225</v>
      </c>
      <c r="H621" s="180" t="s">
        <v>122</v>
      </c>
      <c r="I621" s="202">
        <f ca="1">IFERROR(__xludf.DUMMYFUNCTION("IMPORTRANGE(""https://docs.google.com/spreadsheets/d/11923uPwbBZFjjGgGUA6NLw09EwE0CqkOc4q9oUmW1yo/edit?usp=sharing"",""พะเยา!I516"")"),0)</f>
        <v>0</v>
      </c>
      <c r="J621" s="202">
        <f ca="1">IFERROR(__xludf.DUMMYFUNCTION("IMPORTRANGE(""https://docs.google.com/spreadsheets/d/11923uPwbBZFjjGgGUA6NLw09EwE0CqkOc4q9oUmW1yo/edit?usp=sharing"",""พะเยา!J516"")"),0)</f>
        <v>0</v>
      </c>
      <c r="K621" s="163">
        <f t="shared" ca="1" si="128"/>
        <v>0</v>
      </c>
      <c r="L621" s="181"/>
      <c r="M621" s="181"/>
      <c r="N621" s="181"/>
      <c r="O621" s="181"/>
      <c r="P621" s="181"/>
    </row>
    <row r="622" spans="1:16" ht="21.75" customHeight="1" x14ac:dyDescent="0.3">
      <c r="A622" s="175"/>
      <c r="B622" s="176"/>
      <c r="C622" s="176"/>
      <c r="D622" s="193"/>
      <c r="E622" s="198"/>
      <c r="F622" s="195"/>
      <c r="G622" s="489" t="s">
        <v>226</v>
      </c>
      <c r="H622" s="180" t="s">
        <v>122</v>
      </c>
      <c r="I622" s="203">
        <f ca="1">IFERROR(__xludf.DUMMYFUNCTION("IMPORTRANGE(""https://docs.google.com/spreadsheets/d/11923uPwbBZFjjGgGUA6NLw09EwE0CqkOc4q9oUmW1yo/edit?usp=sharing"",""พะเยา!I517"")"),0)</f>
        <v>0</v>
      </c>
      <c r="J622" s="188">
        <f ca="1">IFERROR(__xludf.DUMMYFUNCTION("IMPORTRANGE(""https://docs.google.com/spreadsheets/d/11923uPwbBZFjjGgGUA6NLw09EwE0CqkOc4q9oUmW1yo/edit?usp=sharing"",""พะเยา!J517"")"),0)</f>
        <v>0</v>
      </c>
      <c r="K622" s="163">
        <f t="shared" ca="1" si="128"/>
        <v>0</v>
      </c>
      <c r="L622" s="181"/>
      <c r="M622" s="181"/>
      <c r="N622" s="181"/>
      <c r="O622" s="181"/>
      <c r="P622" s="181"/>
    </row>
    <row r="623" spans="1:16" ht="21.75" customHeight="1" x14ac:dyDescent="0.3">
      <c r="A623" s="175"/>
      <c r="B623" s="176"/>
      <c r="C623" s="176"/>
      <c r="D623" s="193"/>
      <c r="E623" s="198"/>
      <c r="F623" s="195"/>
      <c r="G623" s="489" t="s">
        <v>227</v>
      </c>
      <c r="H623" s="180" t="s">
        <v>122</v>
      </c>
      <c r="I623" s="203">
        <f ca="1">IFERROR(__xludf.DUMMYFUNCTION("IMPORTRANGE(""https://docs.google.com/spreadsheets/d/11923uPwbBZFjjGgGUA6NLw09EwE0CqkOc4q9oUmW1yo/edit?usp=sharing"",""พะเยา!I518"")"),0)</f>
        <v>0</v>
      </c>
      <c r="J623" s="188">
        <f ca="1">IFERROR(__xludf.DUMMYFUNCTION("IMPORTRANGE(""https://docs.google.com/spreadsheets/d/11923uPwbBZFjjGgGUA6NLw09EwE0CqkOc4q9oUmW1yo/edit?usp=sharing"",""พะเยา!J518"")"),0)</f>
        <v>0</v>
      </c>
      <c r="K623" s="163">
        <f t="shared" ca="1" si="128"/>
        <v>0</v>
      </c>
      <c r="L623" s="181"/>
      <c r="M623" s="181"/>
      <c r="N623" s="181"/>
      <c r="O623" s="181"/>
      <c r="P623" s="181"/>
    </row>
    <row r="624" spans="1:16" ht="21.75" customHeight="1" x14ac:dyDescent="0.3">
      <c r="A624" s="175"/>
      <c r="B624" s="176"/>
      <c r="C624" s="176"/>
      <c r="D624" s="193"/>
      <c r="E624" s="198"/>
      <c r="F624" s="195"/>
      <c r="G624" s="225" t="s">
        <v>229</v>
      </c>
      <c r="H624" s="180" t="s">
        <v>122</v>
      </c>
      <c r="I624" s="187">
        <f ca="1">IFERROR(__xludf.DUMMYFUNCTION("IMPORTRANGE(""https://docs.google.com/spreadsheets/d/11923uPwbBZFjjGgGUA6NLw09EwE0CqkOc4q9oUmW1yo/edit?usp=sharing"",""พะเยา!I519"")"),0)</f>
        <v>0</v>
      </c>
      <c r="J624" s="187">
        <f ca="1">IFERROR(__xludf.DUMMYFUNCTION("IMPORTRANGE(""https://docs.google.com/spreadsheets/d/11923uPwbBZFjjGgGUA6NLw09EwE0CqkOc4q9oUmW1yo/edit?usp=sharing"",""พะเยา!J519"")"),0)</f>
        <v>0</v>
      </c>
      <c r="K624" s="163">
        <f t="shared" ca="1" si="128"/>
        <v>0</v>
      </c>
      <c r="L624" s="181"/>
      <c r="M624" s="181"/>
      <c r="N624" s="181"/>
      <c r="O624" s="181"/>
      <c r="P624" s="181"/>
    </row>
    <row r="625" spans="1:16" ht="21.75" customHeight="1" x14ac:dyDescent="0.3">
      <c r="A625" s="175"/>
      <c r="B625" s="176"/>
      <c r="C625" s="176"/>
      <c r="D625" s="193"/>
      <c r="E625" s="198"/>
      <c r="F625" s="195"/>
      <c r="G625" s="489" t="s">
        <v>230</v>
      </c>
      <c r="H625" s="180" t="s">
        <v>122</v>
      </c>
      <c r="I625" s="203">
        <f ca="1">IFERROR(__xludf.DUMMYFUNCTION("IMPORTRANGE(""https://docs.google.com/spreadsheets/d/11923uPwbBZFjjGgGUA6NLw09EwE0CqkOc4q9oUmW1yo/edit?usp=sharing"",""พะเยา!I520"")"),0)</f>
        <v>0</v>
      </c>
      <c r="J625" s="188">
        <f ca="1">IFERROR(__xludf.DUMMYFUNCTION("IMPORTRANGE(""https://docs.google.com/spreadsheets/d/11923uPwbBZFjjGgGUA6NLw09EwE0CqkOc4q9oUmW1yo/edit?usp=sharing"",""พะเยา!J520"")"),0)</f>
        <v>0</v>
      </c>
      <c r="K625" s="163">
        <f t="shared" ca="1" si="128"/>
        <v>0</v>
      </c>
      <c r="L625" s="181"/>
      <c r="M625" s="181"/>
      <c r="N625" s="181"/>
      <c r="O625" s="181"/>
      <c r="P625" s="181"/>
    </row>
    <row r="626" spans="1:16" ht="21.75" customHeight="1" x14ac:dyDescent="0.3">
      <c r="A626" s="175"/>
      <c r="B626" s="176"/>
      <c r="C626" s="176"/>
      <c r="D626" s="193"/>
      <c r="E626" s="198"/>
      <c r="F626" s="195"/>
      <c r="G626" s="489" t="s">
        <v>231</v>
      </c>
      <c r="H626" s="180" t="s">
        <v>122</v>
      </c>
      <c r="I626" s="203">
        <f ca="1">IFERROR(__xludf.DUMMYFUNCTION("IMPORTRANGE(""https://docs.google.com/spreadsheets/d/11923uPwbBZFjjGgGUA6NLw09EwE0CqkOc4q9oUmW1yo/edit?usp=sharing"",""พะเยา!I521"")"),0)</f>
        <v>0</v>
      </c>
      <c r="J626" s="188">
        <f ca="1">IFERROR(__xludf.DUMMYFUNCTION("IMPORTRANGE(""https://docs.google.com/spreadsheets/d/11923uPwbBZFjjGgGUA6NLw09EwE0CqkOc4q9oUmW1yo/edit?usp=sharing"",""พะเยา!J521"")"),0)</f>
        <v>0</v>
      </c>
      <c r="K626" s="163">
        <f t="shared" ca="1" si="128"/>
        <v>0</v>
      </c>
      <c r="L626" s="181"/>
      <c r="M626" s="181"/>
      <c r="N626" s="181"/>
      <c r="O626" s="181"/>
      <c r="P626" s="181"/>
    </row>
    <row r="627" spans="1:16" ht="21.75" customHeight="1" x14ac:dyDescent="0.3">
      <c r="A627" s="490" t="s">
        <v>232</v>
      </c>
      <c r="B627" s="491"/>
      <c r="C627" s="491"/>
      <c r="D627" s="491"/>
      <c r="E627" s="491"/>
      <c r="F627" s="491"/>
      <c r="G627" s="492"/>
      <c r="H627" s="493"/>
      <c r="I627" s="494"/>
      <c r="J627" s="494"/>
      <c r="K627" s="495"/>
      <c r="L627" s="495"/>
      <c r="M627" s="495"/>
      <c r="N627" s="495"/>
      <c r="O627" s="496"/>
      <c r="P627" s="496"/>
    </row>
    <row r="628" spans="1:16" ht="21.75" customHeight="1" x14ac:dyDescent="0.3">
      <c r="A628" s="476"/>
      <c r="B628" s="497" t="s">
        <v>233</v>
      </c>
      <c r="C628" s="157"/>
      <c r="D628" s="166"/>
      <c r="E628" s="159"/>
      <c r="F628" s="159"/>
      <c r="G628" s="160"/>
      <c r="H628" s="498" t="s">
        <v>12</v>
      </c>
      <c r="I628" s="339">
        <f ca="1">IFERROR(__xludf.DUMMYFUNCTION("IMPORTRANGE(""https://docs.google.com/spreadsheets/d/11923uPwbBZFjjGgGUA6NLw09EwE0CqkOc4q9oUmW1yo/edit?usp=sharing"",""พะเยา!I523"")"),4799661.59)</f>
        <v>4799661.59</v>
      </c>
      <c r="J628" s="339">
        <f ca="1">IFERROR(__xludf.DUMMYFUNCTION("IMPORTRANGE(""https://docs.google.com/spreadsheets/d/11923uPwbBZFjjGgGUA6NLw09EwE0CqkOc4q9oUmW1yo/edit?usp=sharing"",""พะเยา!J523"")"),1526509.46)</f>
        <v>1526509.46</v>
      </c>
      <c r="K628" s="340">
        <f t="shared" ref="K628:K635" ca="1" si="129">IF(I628&gt;0,J628*100/I628,0)</f>
        <v>31.804522701776566</v>
      </c>
      <c r="L628" s="340"/>
      <c r="M628" s="340"/>
      <c r="N628" s="340"/>
      <c r="O628" s="168"/>
      <c r="P628" s="168"/>
    </row>
    <row r="629" spans="1:16" ht="21.75" customHeight="1" x14ac:dyDescent="0.3">
      <c r="A629" s="476"/>
      <c r="B629" s="157"/>
      <c r="C629" s="157"/>
      <c r="D629" s="166"/>
      <c r="E629" s="159"/>
      <c r="F629" s="159"/>
      <c r="G629" s="160"/>
      <c r="H629" s="498" t="s">
        <v>37</v>
      </c>
      <c r="I629" s="339">
        <f ca="1">IFERROR(__xludf.DUMMYFUNCTION("IMPORTRANGE(""https://docs.google.com/spreadsheets/d/11923uPwbBZFjjGgGUA6NLw09EwE0CqkOc4q9oUmW1yo/edit?usp=sharing"",""พะเยา!I524"")"),454)</f>
        <v>454</v>
      </c>
      <c r="J629" s="339">
        <f ca="1">IFERROR(__xludf.DUMMYFUNCTION("IMPORTRANGE(""https://docs.google.com/spreadsheets/d/11923uPwbBZFjjGgGUA6NLw09EwE0CqkOc4q9oUmW1yo/edit?usp=sharing"",""พะเยา!J524"")"),150)</f>
        <v>150</v>
      </c>
      <c r="K629" s="340">
        <f t="shared" ca="1" si="129"/>
        <v>33.039647577092509</v>
      </c>
      <c r="L629" s="340"/>
      <c r="M629" s="340"/>
      <c r="N629" s="340"/>
      <c r="O629" s="168"/>
      <c r="P629" s="168"/>
    </row>
    <row r="630" spans="1:16" ht="21.75" customHeight="1" x14ac:dyDescent="0.3">
      <c r="A630" s="476"/>
      <c r="B630" s="497" t="s">
        <v>234</v>
      </c>
      <c r="C630" s="157"/>
      <c r="D630" s="166"/>
      <c r="E630" s="159"/>
      <c r="F630" s="159"/>
      <c r="G630" s="160"/>
      <c r="H630" s="498" t="s">
        <v>12</v>
      </c>
      <c r="I630" s="339">
        <f ca="1">IFERROR(__xludf.DUMMYFUNCTION("IMPORTRANGE(""https://docs.google.com/spreadsheets/d/11923uPwbBZFjjGgGUA6NLw09EwE0CqkOc4q9oUmW1yo/edit?usp=sharing"",""พะเยา!I525"")"),9920324.39)</f>
        <v>9920324.3900000006</v>
      </c>
      <c r="J630" s="339">
        <f ca="1">IFERROR(__xludf.DUMMYFUNCTION("IMPORTRANGE(""https://docs.google.com/spreadsheets/d/11923uPwbBZFjjGgGUA6NLw09EwE0CqkOc4q9oUmW1yo/edit?usp=sharing"",""พะเยา!J525"")"),303618.44)</f>
        <v>303618.44</v>
      </c>
      <c r="K630" s="340">
        <f t="shared" ca="1" si="129"/>
        <v>3.0605696755849734</v>
      </c>
      <c r="L630" s="340"/>
      <c r="M630" s="340"/>
      <c r="N630" s="340"/>
      <c r="O630" s="168"/>
      <c r="P630" s="168"/>
    </row>
    <row r="631" spans="1:16" ht="21.75" customHeight="1" x14ac:dyDescent="0.3">
      <c r="A631" s="476"/>
      <c r="B631" s="157"/>
      <c r="C631" s="157"/>
      <c r="D631" s="166"/>
      <c r="E631" s="159"/>
      <c r="F631" s="159"/>
      <c r="G631" s="160"/>
      <c r="H631" s="498" t="s">
        <v>37</v>
      </c>
      <c r="I631" s="339">
        <f ca="1">IFERROR(__xludf.DUMMYFUNCTION("IMPORTRANGE(""https://docs.google.com/spreadsheets/d/11923uPwbBZFjjGgGUA6NLw09EwE0CqkOc4q9oUmW1yo/edit?usp=sharing"",""พะเยา!I526"")"),332)</f>
        <v>332</v>
      </c>
      <c r="J631" s="339">
        <f ca="1">IFERROR(__xludf.DUMMYFUNCTION("IMPORTRANGE(""https://docs.google.com/spreadsheets/d/11923uPwbBZFjjGgGUA6NLw09EwE0CqkOc4q9oUmW1yo/edit?usp=sharing"",""พะเยา!J526"")"),73)</f>
        <v>73</v>
      </c>
      <c r="K631" s="340">
        <f t="shared" ca="1" si="129"/>
        <v>21.987951807228917</v>
      </c>
      <c r="L631" s="340"/>
      <c r="M631" s="340"/>
      <c r="N631" s="340"/>
      <c r="O631" s="168"/>
      <c r="P631" s="168"/>
    </row>
    <row r="632" spans="1:16" ht="21.75" customHeight="1" x14ac:dyDescent="0.3">
      <c r="A632" s="476"/>
      <c r="B632" s="497" t="s">
        <v>235</v>
      </c>
      <c r="C632" s="157"/>
      <c r="D632" s="166"/>
      <c r="E632" s="159"/>
      <c r="F632" s="159"/>
      <c r="G632" s="160"/>
      <c r="H632" s="498" t="s">
        <v>12</v>
      </c>
      <c r="I632" s="339">
        <f ca="1">IFERROR(__xludf.DUMMYFUNCTION("IMPORTRANGE(""https://docs.google.com/spreadsheets/d/11923uPwbBZFjjGgGUA6NLw09EwE0CqkOc4q9oUmW1yo/edit?usp=sharing"",""พะเยา!I527"")"),61819.65)</f>
        <v>61819.65</v>
      </c>
      <c r="J632" s="339">
        <f ca="1">IFERROR(__xludf.DUMMYFUNCTION("IMPORTRANGE(""https://docs.google.com/spreadsheets/d/11923uPwbBZFjjGgGUA6NLw09EwE0CqkOc4q9oUmW1yo/edit?usp=sharing"",""พะเยา!J527"")"),0)</f>
        <v>0</v>
      </c>
      <c r="K632" s="340">
        <f t="shared" ca="1" si="129"/>
        <v>0</v>
      </c>
      <c r="L632" s="340"/>
      <c r="M632" s="340"/>
      <c r="N632" s="340"/>
      <c r="O632" s="168"/>
      <c r="P632" s="168"/>
    </row>
    <row r="633" spans="1:16" ht="21.75" customHeight="1" x14ac:dyDescent="0.3">
      <c r="A633" s="476"/>
      <c r="B633" s="497"/>
      <c r="C633" s="157"/>
      <c r="D633" s="166"/>
      <c r="E633" s="159"/>
      <c r="F633" s="159"/>
      <c r="G633" s="160"/>
      <c r="H633" s="498" t="s">
        <v>37</v>
      </c>
      <c r="I633" s="339">
        <f ca="1">IFERROR(__xludf.DUMMYFUNCTION("IMPORTRANGE(""https://docs.google.com/spreadsheets/d/11923uPwbBZFjjGgGUA6NLw09EwE0CqkOc4q9oUmW1yo/edit?usp=sharing"",""พะเยา!I528"")"),107)</f>
        <v>107</v>
      </c>
      <c r="J633" s="339">
        <f ca="1">IFERROR(__xludf.DUMMYFUNCTION("IMPORTRANGE(""https://docs.google.com/spreadsheets/d/11923uPwbBZFjjGgGUA6NLw09EwE0CqkOc4q9oUmW1yo/edit?usp=sharing"",""พะเยา!J528"")"),0)</f>
        <v>0</v>
      </c>
      <c r="K633" s="340">
        <f t="shared" ca="1" si="129"/>
        <v>0</v>
      </c>
      <c r="L633" s="340"/>
      <c r="M633" s="340"/>
      <c r="N633" s="340"/>
      <c r="O633" s="168"/>
      <c r="P633" s="168"/>
    </row>
    <row r="634" spans="1:16" ht="21.75" customHeight="1" x14ac:dyDescent="0.3">
      <c r="A634" s="476"/>
      <c r="B634" s="497" t="s">
        <v>236</v>
      </c>
      <c r="C634" s="157"/>
      <c r="D634" s="166"/>
      <c r="E634" s="159"/>
      <c r="F634" s="159"/>
      <c r="G634" s="160"/>
      <c r="H634" s="498" t="s">
        <v>12</v>
      </c>
      <c r="I634" s="339">
        <f ca="1">IFERROR(__xludf.DUMMYFUNCTION("IMPORTRANGE(""https://docs.google.com/spreadsheets/d/11923uPwbBZFjjGgGUA6NLw09EwE0CqkOc4q9oUmW1yo/edit?usp=sharing"",""พะเยา!I529"")"),6000000)</f>
        <v>6000000</v>
      </c>
      <c r="J634" s="339">
        <f ca="1">IFERROR(__xludf.DUMMYFUNCTION("IMPORTRANGE(""https://docs.google.com/spreadsheets/d/11923uPwbBZFjjGgGUA6NLw09EwE0CqkOc4q9oUmW1yo/edit?usp=sharing"",""พะเยา!J529"")"),0)</f>
        <v>0</v>
      </c>
      <c r="K634" s="340">
        <f t="shared" ca="1" si="129"/>
        <v>0</v>
      </c>
      <c r="L634" s="340"/>
      <c r="M634" s="340"/>
      <c r="N634" s="340"/>
      <c r="O634" s="168"/>
      <c r="P634" s="168"/>
    </row>
    <row r="635" spans="1:16" ht="21.75" customHeight="1" x14ac:dyDescent="0.3">
      <c r="A635" s="478"/>
      <c r="B635" s="480"/>
      <c r="C635" s="480"/>
      <c r="D635" s="479"/>
      <c r="E635" s="499"/>
      <c r="F635" s="499"/>
      <c r="G635" s="500"/>
      <c r="H635" s="501" t="s">
        <v>37</v>
      </c>
      <c r="I635" s="502">
        <f ca="1">IFERROR(__xludf.DUMMYFUNCTION("IMPORTRANGE(""https://docs.google.com/spreadsheets/d/11923uPwbBZFjjGgGUA6NLw09EwE0CqkOc4q9oUmW1yo/edit?usp=sharing"",""พะเยา!I530"")"),120)</f>
        <v>120</v>
      </c>
      <c r="J635" s="502">
        <f ca="1">IFERROR(__xludf.DUMMYFUNCTION("IMPORTRANGE(""https://docs.google.com/spreadsheets/d/11923uPwbBZFjjGgGUA6NLw09EwE0CqkOc4q9oUmW1yo/edit?usp=sharing"",""พะเยา!J530"")"),0)</f>
        <v>0</v>
      </c>
      <c r="K635" s="484">
        <f t="shared" ca="1" si="129"/>
        <v>0</v>
      </c>
      <c r="L635" s="484"/>
      <c r="M635" s="484"/>
      <c r="N635" s="484"/>
      <c r="O635" s="503"/>
      <c r="P635" s="503"/>
    </row>
    <row r="636" spans="1:16" ht="21.75" customHeight="1" x14ac:dyDescent="0.3">
      <c r="A636" s="504"/>
      <c r="B636" s="504"/>
      <c r="C636" s="504"/>
      <c r="D636" s="504"/>
      <c r="E636" s="505" t="s">
        <v>237</v>
      </c>
      <c r="F636" s="505"/>
      <c r="G636" s="505"/>
      <c r="H636" s="506"/>
      <c r="I636" s="506"/>
      <c r="J636" s="506"/>
      <c r="K636" s="507"/>
      <c r="L636" s="508"/>
      <c r="M636" s="508"/>
      <c r="N636" s="508"/>
      <c r="O636" s="509"/>
      <c r="P636" s="509"/>
    </row>
    <row r="637" spans="1:16" ht="21.75" customHeight="1" x14ac:dyDescent="0.3">
      <c r="A637" s="504"/>
      <c r="B637" s="504"/>
      <c r="C637" s="504"/>
      <c r="D637" s="504"/>
      <c r="E637" s="506"/>
      <c r="F637" s="506"/>
      <c r="G637" s="506"/>
      <c r="H637" s="506"/>
      <c r="I637" s="506"/>
      <c r="J637" s="506"/>
      <c r="K637" s="507"/>
      <c r="L637" s="508"/>
      <c r="M637" s="508"/>
      <c r="N637" s="508"/>
      <c r="O637" s="509"/>
      <c r="P637" s="509"/>
    </row>
    <row r="638" spans="1:16" ht="21.75" customHeight="1" x14ac:dyDescent="0.3">
      <c r="A638" s="504"/>
      <c r="B638" s="504"/>
      <c r="C638" s="504"/>
      <c r="D638" s="504"/>
      <c r="E638" s="506"/>
      <c r="F638" s="506"/>
      <c r="G638" s="506"/>
      <c r="H638" s="506"/>
      <c r="I638" s="506"/>
      <c r="J638" s="506"/>
      <c r="K638" s="507"/>
      <c r="L638" s="508"/>
      <c r="M638" s="508"/>
      <c r="N638" s="508"/>
      <c r="O638" s="509"/>
      <c r="P638" s="509"/>
    </row>
    <row r="639" spans="1:16" ht="21.75" customHeight="1" x14ac:dyDescent="0.3">
      <c r="A639" s="504"/>
      <c r="B639" s="504"/>
      <c r="C639" s="504"/>
      <c r="D639" s="504"/>
      <c r="E639" s="506"/>
      <c r="F639" s="506"/>
      <c r="G639" s="506"/>
      <c r="H639" s="506"/>
      <c r="I639" s="506"/>
      <c r="J639" s="506"/>
      <c r="K639" s="507"/>
      <c r="L639" s="508"/>
      <c r="M639" s="508"/>
      <c r="N639" s="508"/>
      <c r="O639" s="509"/>
      <c r="P639" s="509"/>
    </row>
    <row r="640" spans="1:16" ht="21.75" customHeight="1" x14ac:dyDescent="0.3">
      <c r="A640" s="504"/>
      <c r="B640" s="504"/>
      <c r="C640" s="504"/>
      <c r="D640" s="504"/>
      <c r="E640" s="506"/>
      <c r="F640" s="506"/>
      <c r="G640" s="506"/>
      <c r="H640" s="506"/>
      <c r="I640" s="506"/>
      <c r="J640" s="506"/>
      <c r="K640" s="507"/>
      <c r="L640" s="508"/>
      <c r="M640" s="508"/>
      <c r="N640" s="508"/>
      <c r="O640" s="509"/>
      <c r="P640" s="509"/>
    </row>
    <row r="641" spans="1:16" ht="21.75" customHeight="1" x14ac:dyDescent="0.3">
      <c r="A641" s="504"/>
      <c r="B641" s="504"/>
      <c r="C641" s="504"/>
      <c r="D641" s="504"/>
      <c r="E641" s="506"/>
      <c r="F641" s="506"/>
      <c r="G641" s="506"/>
      <c r="H641" s="506"/>
      <c r="I641" s="506"/>
      <c r="J641" s="506"/>
      <c r="K641" s="507"/>
      <c r="L641" s="508"/>
      <c r="M641" s="508"/>
      <c r="N641" s="508"/>
      <c r="O641" s="509"/>
      <c r="P641" s="509"/>
    </row>
    <row r="642" spans="1:16" ht="21.75" customHeight="1" x14ac:dyDescent="0.3">
      <c r="A642" s="504"/>
      <c r="B642" s="504"/>
      <c r="C642" s="504"/>
      <c r="D642" s="504"/>
      <c r="E642" s="506"/>
      <c r="F642" s="506"/>
      <c r="G642" s="506"/>
      <c r="H642" s="506"/>
      <c r="I642" s="506"/>
      <c r="J642" s="506"/>
      <c r="K642" s="507"/>
      <c r="L642" s="508"/>
      <c r="M642" s="508"/>
      <c r="N642" s="508"/>
      <c r="O642" s="509"/>
      <c r="P642" s="509"/>
    </row>
    <row r="643" spans="1:16" ht="21.75" customHeight="1" x14ac:dyDescent="0.3">
      <c r="A643" s="504"/>
      <c r="B643" s="504"/>
      <c r="C643" s="504"/>
      <c r="D643" s="504"/>
      <c r="E643" s="506"/>
      <c r="F643" s="506"/>
      <c r="G643" s="506"/>
      <c r="H643" s="506"/>
      <c r="I643" s="506"/>
      <c r="J643" s="506"/>
      <c r="K643" s="507"/>
      <c r="L643" s="508"/>
      <c r="M643" s="508"/>
      <c r="N643" s="508"/>
      <c r="O643" s="509"/>
      <c r="P643" s="509"/>
    </row>
    <row r="644" spans="1:16" ht="21.75" customHeight="1" x14ac:dyDescent="0.3">
      <c r="A644" s="504"/>
      <c r="B644" s="504"/>
      <c r="C644" s="504"/>
      <c r="D644" s="504"/>
      <c r="E644" s="506"/>
      <c r="F644" s="506"/>
      <c r="G644" s="506"/>
      <c r="H644" s="506"/>
      <c r="I644" s="506"/>
      <c r="J644" s="506"/>
      <c r="K644" s="507"/>
      <c r="L644" s="508"/>
      <c r="M644" s="508"/>
      <c r="N644" s="508"/>
      <c r="O644" s="509"/>
      <c r="P644" s="509"/>
    </row>
    <row r="645" spans="1:16" ht="21.75" customHeight="1" x14ac:dyDescent="0.3">
      <c r="A645" s="504"/>
      <c r="B645" s="504"/>
      <c r="C645" s="504"/>
      <c r="D645" s="504"/>
      <c r="E645" s="506"/>
      <c r="F645" s="506"/>
      <c r="G645" s="506"/>
      <c r="H645" s="506"/>
      <c r="I645" s="506"/>
      <c r="J645" s="506"/>
      <c r="K645" s="507"/>
      <c r="L645" s="508"/>
      <c r="M645" s="508"/>
      <c r="N645" s="508"/>
      <c r="O645" s="509"/>
      <c r="P645" s="509"/>
    </row>
    <row r="646" spans="1:16" ht="21.75" customHeight="1" x14ac:dyDescent="0.3">
      <c r="A646" s="504"/>
      <c r="B646" s="504"/>
      <c r="C646" s="504"/>
      <c r="D646" s="504"/>
      <c r="E646" s="506"/>
      <c r="F646" s="506"/>
      <c r="G646" s="506"/>
      <c r="H646" s="506"/>
      <c r="I646" s="506"/>
      <c r="J646" s="506"/>
      <c r="K646" s="507"/>
      <c r="L646" s="508"/>
      <c r="M646" s="508"/>
      <c r="N646" s="508"/>
      <c r="O646" s="509"/>
      <c r="P646" s="509"/>
    </row>
    <row r="647" spans="1:16" ht="21.75" customHeight="1" x14ac:dyDescent="0.3">
      <c r="A647" s="504"/>
      <c r="B647" s="504"/>
      <c r="C647" s="504"/>
      <c r="D647" s="504"/>
      <c r="E647" s="506"/>
      <c r="F647" s="506"/>
      <c r="G647" s="506"/>
      <c r="H647" s="506"/>
      <c r="I647" s="506"/>
      <c r="J647" s="506"/>
      <c r="K647" s="507"/>
      <c r="L647" s="508"/>
      <c r="M647" s="508"/>
      <c r="N647" s="508"/>
      <c r="O647" s="509"/>
      <c r="P647" s="509"/>
    </row>
    <row r="648" spans="1:16" ht="21.75" customHeight="1" x14ac:dyDescent="0.3">
      <c r="A648" s="504"/>
      <c r="B648" s="504"/>
      <c r="C648" s="504"/>
      <c r="D648" s="504"/>
      <c r="E648" s="506"/>
      <c r="F648" s="506"/>
      <c r="G648" s="506"/>
      <c r="H648" s="506"/>
      <c r="I648" s="506"/>
      <c r="J648" s="506"/>
      <c r="K648" s="507"/>
      <c r="L648" s="508"/>
      <c r="M648" s="508"/>
      <c r="N648" s="508"/>
      <c r="O648" s="509"/>
      <c r="P648" s="509"/>
    </row>
    <row r="649" spans="1:16" ht="21.75" customHeight="1" x14ac:dyDescent="0.3">
      <c r="A649" s="504"/>
      <c r="B649" s="504"/>
      <c r="C649" s="504"/>
      <c r="D649" s="504"/>
      <c r="E649" s="506"/>
      <c r="F649" s="506"/>
      <c r="G649" s="506"/>
      <c r="H649" s="506"/>
      <c r="I649" s="506"/>
      <c r="J649" s="506"/>
      <c r="K649" s="507"/>
      <c r="L649" s="508"/>
      <c r="M649" s="508"/>
      <c r="N649" s="508"/>
      <c r="O649" s="509"/>
      <c r="P649" s="509"/>
    </row>
    <row r="650" spans="1:16" ht="21.75" customHeight="1" x14ac:dyDescent="0.3">
      <c r="A650" s="504"/>
      <c r="B650" s="504"/>
      <c r="C650" s="504"/>
      <c r="D650" s="504"/>
      <c r="E650" s="506"/>
      <c r="F650" s="506"/>
      <c r="G650" s="506"/>
      <c r="H650" s="506"/>
      <c r="I650" s="506"/>
      <c r="J650" s="506"/>
      <c r="K650" s="507"/>
      <c r="L650" s="508"/>
      <c r="M650" s="508"/>
      <c r="N650" s="508"/>
      <c r="O650" s="509"/>
      <c r="P650" s="509"/>
    </row>
    <row r="651" spans="1:16" ht="21.75" customHeight="1" x14ac:dyDescent="0.3">
      <c r="A651" s="504"/>
      <c r="B651" s="504"/>
      <c r="C651" s="504"/>
      <c r="D651" s="504"/>
      <c r="E651" s="506"/>
      <c r="F651" s="506"/>
      <c r="G651" s="506"/>
      <c r="H651" s="506"/>
      <c r="I651" s="506"/>
      <c r="J651" s="506"/>
      <c r="K651" s="507"/>
      <c r="L651" s="508"/>
      <c r="M651" s="508"/>
      <c r="N651" s="508"/>
      <c r="O651" s="509"/>
      <c r="P651" s="509"/>
    </row>
    <row r="652" spans="1:16" ht="21.75" customHeight="1" x14ac:dyDescent="0.3">
      <c r="A652" s="504"/>
      <c r="B652" s="504"/>
      <c r="C652" s="504"/>
      <c r="D652" s="504"/>
      <c r="E652" s="506"/>
      <c r="F652" s="506"/>
      <c r="G652" s="506"/>
      <c r="H652" s="506"/>
      <c r="I652" s="506"/>
      <c r="J652" s="506"/>
      <c r="K652" s="507"/>
      <c r="L652" s="508"/>
      <c r="M652" s="508"/>
      <c r="N652" s="508"/>
      <c r="O652" s="509"/>
      <c r="P652" s="509"/>
    </row>
    <row r="653" spans="1:16" ht="21.75" customHeight="1" x14ac:dyDescent="0.3">
      <c r="A653" s="504"/>
      <c r="B653" s="504"/>
      <c r="C653" s="504"/>
      <c r="D653" s="504"/>
      <c r="E653" s="506"/>
      <c r="F653" s="506"/>
      <c r="G653" s="506"/>
      <c r="H653" s="506"/>
      <c r="I653" s="506"/>
      <c r="J653" s="506"/>
      <c r="K653" s="507"/>
      <c r="L653" s="508"/>
      <c r="M653" s="508"/>
      <c r="N653" s="508"/>
      <c r="O653" s="509"/>
      <c r="P653" s="509"/>
    </row>
    <row r="654" spans="1:16" ht="21.75" customHeight="1" x14ac:dyDescent="0.3">
      <c r="A654" s="504"/>
      <c r="B654" s="504"/>
      <c r="C654" s="504"/>
      <c r="D654" s="504"/>
      <c r="E654" s="506"/>
      <c r="F654" s="506"/>
      <c r="G654" s="506"/>
      <c r="H654" s="506"/>
      <c r="I654" s="506"/>
      <c r="J654" s="506"/>
      <c r="K654" s="507"/>
      <c r="L654" s="508"/>
      <c r="M654" s="508"/>
      <c r="N654" s="508"/>
      <c r="O654" s="509"/>
      <c r="P654" s="509"/>
    </row>
    <row r="655" spans="1:16" ht="21.75" customHeight="1" x14ac:dyDescent="0.3">
      <c r="A655" s="504"/>
      <c r="B655" s="504"/>
      <c r="C655" s="504"/>
      <c r="D655" s="504"/>
      <c r="E655" s="506"/>
      <c r="F655" s="506"/>
      <c r="G655" s="506"/>
      <c r="H655" s="506"/>
      <c r="I655" s="506"/>
      <c r="J655" s="506"/>
      <c r="K655" s="507"/>
      <c r="L655" s="508"/>
      <c r="M655" s="508"/>
      <c r="N655" s="508"/>
      <c r="O655" s="509"/>
      <c r="P655" s="509"/>
    </row>
    <row r="656" spans="1:16" ht="21.75" customHeight="1" x14ac:dyDescent="0.3">
      <c r="A656" s="504"/>
      <c r="B656" s="504"/>
      <c r="C656" s="504"/>
      <c r="D656" s="504"/>
      <c r="E656" s="506"/>
      <c r="F656" s="506"/>
      <c r="G656" s="506"/>
      <c r="H656" s="506"/>
      <c r="I656" s="506"/>
      <c r="J656" s="506"/>
      <c r="K656" s="507"/>
      <c r="L656" s="508"/>
      <c r="M656" s="508"/>
      <c r="N656" s="508"/>
      <c r="O656" s="509"/>
      <c r="P656" s="509"/>
    </row>
    <row r="657" spans="1:16" ht="21.75" customHeight="1" x14ac:dyDescent="0.3">
      <c r="A657" s="504"/>
      <c r="B657" s="504"/>
      <c r="C657" s="504"/>
      <c r="D657" s="504"/>
      <c r="E657" s="506"/>
      <c r="F657" s="506"/>
      <c r="G657" s="506"/>
      <c r="H657" s="506"/>
      <c r="I657" s="506"/>
      <c r="J657" s="506"/>
      <c r="K657" s="507"/>
      <c r="L657" s="508"/>
      <c r="M657" s="508"/>
      <c r="N657" s="508"/>
      <c r="O657" s="509"/>
      <c r="P657" s="509"/>
    </row>
    <row r="658" spans="1:16" ht="21.75" customHeight="1" x14ac:dyDescent="0.3">
      <c r="A658" s="504"/>
      <c r="B658" s="504"/>
      <c r="C658" s="504"/>
      <c r="D658" s="504"/>
      <c r="E658" s="506"/>
      <c r="F658" s="506"/>
      <c r="G658" s="506"/>
      <c r="H658" s="506"/>
      <c r="I658" s="506"/>
      <c r="J658" s="506"/>
      <c r="K658" s="507"/>
      <c r="L658" s="508"/>
      <c r="M658" s="508"/>
      <c r="N658" s="508"/>
      <c r="O658" s="509"/>
      <c r="P658" s="509"/>
    </row>
    <row r="659" spans="1:16" ht="21.75" customHeight="1" x14ac:dyDescent="0.3">
      <c r="A659" s="504"/>
      <c r="B659" s="504"/>
      <c r="C659" s="504"/>
      <c r="D659" s="504"/>
      <c r="E659" s="506"/>
      <c r="F659" s="506"/>
      <c r="G659" s="506"/>
      <c r="H659" s="506"/>
      <c r="I659" s="506"/>
      <c r="J659" s="506"/>
      <c r="K659" s="507"/>
      <c r="L659" s="508"/>
      <c r="M659" s="508"/>
      <c r="N659" s="508"/>
      <c r="O659" s="509"/>
      <c r="P659" s="509"/>
    </row>
    <row r="660" spans="1:16" ht="21.75" customHeight="1" x14ac:dyDescent="0.3">
      <c r="A660" s="504"/>
      <c r="B660" s="504"/>
      <c r="C660" s="504"/>
      <c r="D660" s="504"/>
      <c r="E660" s="506"/>
      <c r="F660" s="506"/>
      <c r="G660" s="506"/>
      <c r="H660" s="506"/>
      <c r="I660" s="506"/>
      <c r="J660" s="506"/>
      <c r="K660" s="507"/>
      <c r="L660" s="508"/>
      <c r="M660" s="508"/>
      <c r="N660" s="508"/>
      <c r="O660" s="509"/>
      <c r="P660" s="509"/>
    </row>
    <row r="661" spans="1:16" ht="21.75" customHeight="1" x14ac:dyDescent="0.3">
      <c r="A661" s="504"/>
      <c r="B661" s="504"/>
      <c r="C661" s="504"/>
      <c r="D661" s="504"/>
      <c r="E661" s="506"/>
      <c r="F661" s="506"/>
      <c r="G661" s="506"/>
      <c r="H661" s="506"/>
      <c r="I661" s="506"/>
      <c r="J661" s="506"/>
      <c r="K661" s="507"/>
      <c r="L661" s="508"/>
      <c r="M661" s="508"/>
      <c r="N661" s="508"/>
      <c r="O661" s="509"/>
      <c r="P661" s="509"/>
    </row>
    <row r="662" spans="1:16" ht="21.75" customHeight="1" x14ac:dyDescent="0.3">
      <c r="A662" s="504"/>
      <c r="B662" s="504"/>
      <c r="C662" s="504"/>
      <c r="D662" s="504"/>
      <c r="E662" s="506"/>
      <c r="F662" s="506"/>
      <c r="G662" s="506"/>
      <c r="H662" s="506"/>
      <c r="I662" s="506"/>
      <c r="J662" s="506"/>
      <c r="K662" s="507"/>
      <c r="L662" s="508"/>
      <c r="M662" s="508"/>
      <c r="N662" s="508"/>
      <c r="O662" s="509"/>
      <c r="P662" s="509"/>
    </row>
    <row r="663" spans="1:16" ht="21.75" customHeight="1" x14ac:dyDescent="0.3">
      <c r="A663" s="504"/>
      <c r="B663" s="504"/>
      <c r="C663" s="504"/>
      <c r="D663" s="504"/>
      <c r="E663" s="506"/>
      <c r="F663" s="506"/>
      <c r="G663" s="506"/>
      <c r="H663" s="506"/>
      <c r="I663" s="506"/>
      <c r="J663" s="506"/>
      <c r="K663" s="507"/>
      <c r="L663" s="508"/>
      <c r="M663" s="508"/>
      <c r="N663" s="508"/>
      <c r="O663" s="509"/>
      <c r="P663" s="509"/>
    </row>
    <row r="664" spans="1:16" ht="21.75" customHeight="1" x14ac:dyDescent="0.3">
      <c r="A664" s="504"/>
      <c r="B664" s="504"/>
      <c r="C664" s="504"/>
      <c r="D664" s="504"/>
      <c r="E664" s="506"/>
      <c r="F664" s="506"/>
      <c r="G664" s="506"/>
      <c r="H664" s="506"/>
      <c r="I664" s="506"/>
      <c r="J664" s="506"/>
      <c r="K664" s="507"/>
      <c r="L664" s="508"/>
      <c r="M664" s="508"/>
      <c r="N664" s="508"/>
      <c r="O664" s="509"/>
      <c r="P664" s="509"/>
    </row>
    <row r="665" spans="1:16" ht="21.75" customHeight="1" x14ac:dyDescent="0.3">
      <c r="A665" s="504"/>
      <c r="B665" s="504"/>
      <c r="C665" s="504"/>
      <c r="D665" s="504"/>
      <c r="E665" s="506"/>
      <c r="F665" s="506"/>
      <c r="G665" s="506"/>
      <c r="H665" s="506"/>
      <c r="I665" s="506"/>
      <c r="J665" s="506"/>
      <c r="K665" s="507"/>
      <c r="L665" s="508"/>
      <c r="M665" s="508"/>
      <c r="N665" s="508"/>
      <c r="O665" s="509"/>
      <c r="P665" s="509"/>
    </row>
    <row r="666" spans="1:16" ht="21.75" customHeight="1" x14ac:dyDescent="0.3">
      <c r="A666" s="504"/>
      <c r="B666" s="504"/>
      <c r="C666" s="504"/>
      <c r="D666" s="504"/>
      <c r="E666" s="506"/>
      <c r="F666" s="506"/>
      <c r="G666" s="506"/>
      <c r="H666" s="506"/>
      <c r="I666" s="506"/>
      <c r="J666" s="506"/>
      <c r="K666" s="507"/>
      <c r="L666" s="508"/>
      <c r="M666" s="508"/>
      <c r="N666" s="508"/>
      <c r="O666" s="509"/>
      <c r="P666" s="509"/>
    </row>
    <row r="667" spans="1:16" ht="21.75" customHeight="1" x14ac:dyDescent="0.3">
      <c r="A667" s="504"/>
      <c r="B667" s="504"/>
      <c r="C667" s="504"/>
      <c r="D667" s="504"/>
      <c r="E667" s="506"/>
      <c r="F667" s="506"/>
      <c r="G667" s="506"/>
      <c r="H667" s="506"/>
      <c r="I667" s="506"/>
      <c r="J667" s="506"/>
      <c r="K667" s="507"/>
      <c r="L667" s="508"/>
      <c r="M667" s="508"/>
      <c r="N667" s="508"/>
      <c r="O667" s="509"/>
      <c r="P667" s="509"/>
    </row>
    <row r="668" spans="1:16" ht="21.75" customHeight="1" x14ac:dyDescent="0.3">
      <c r="A668" s="504"/>
      <c r="B668" s="504"/>
      <c r="C668" s="504"/>
      <c r="D668" s="504"/>
      <c r="E668" s="506"/>
      <c r="F668" s="506"/>
      <c r="G668" s="506"/>
      <c r="H668" s="506"/>
      <c r="I668" s="506"/>
      <c r="J668" s="506"/>
      <c r="K668" s="507"/>
      <c r="L668" s="508"/>
      <c r="M668" s="508"/>
      <c r="N668" s="508"/>
      <c r="O668" s="509"/>
      <c r="P668" s="509"/>
    </row>
    <row r="669" spans="1:16" ht="21.75" customHeight="1" x14ac:dyDescent="0.3">
      <c r="A669" s="504"/>
      <c r="B669" s="504"/>
      <c r="C669" s="504"/>
      <c r="D669" s="504"/>
      <c r="E669" s="506"/>
      <c r="F669" s="506"/>
      <c r="G669" s="506"/>
      <c r="H669" s="506"/>
      <c r="I669" s="506"/>
      <c r="J669" s="506"/>
      <c r="K669" s="507"/>
      <c r="L669" s="508"/>
      <c r="M669" s="508"/>
      <c r="N669" s="508"/>
      <c r="O669" s="509"/>
      <c r="P669" s="509"/>
    </row>
    <row r="670" spans="1:16" ht="21.75" customHeight="1" x14ac:dyDescent="0.3">
      <c r="A670" s="504"/>
      <c r="B670" s="504"/>
      <c r="C670" s="504"/>
      <c r="D670" s="504"/>
      <c r="E670" s="506"/>
      <c r="F670" s="506"/>
      <c r="G670" s="506"/>
      <c r="H670" s="506"/>
      <c r="I670" s="506"/>
      <c r="J670" s="506"/>
      <c r="K670" s="507"/>
      <c r="L670" s="508"/>
      <c r="M670" s="508"/>
      <c r="N670" s="508"/>
      <c r="O670" s="509"/>
      <c r="P670" s="509"/>
    </row>
    <row r="671" spans="1:16" ht="21.75" customHeight="1" x14ac:dyDescent="0.3">
      <c r="A671" s="504"/>
      <c r="B671" s="504"/>
      <c r="C671" s="504"/>
      <c r="D671" s="504"/>
      <c r="E671" s="506"/>
      <c r="F671" s="506"/>
      <c r="G671" s="506"/>
      <c r="H671" s="506"/>
      <c r="I671" s="506"/>
      <c r="J671" s="506"/>
      <c r="K671" s="507"/>
      <c r="L671" s="508"/>
      <c r="M671" s="508"/>
      <c r="N671" s="508"/>
      <c r="O671" s="509"/>
      <c r="P671" s="509"/>
    </row>
    <row r="672" spans="1:16" ht="21.75" customHeight="1" x14ac:dyDescent="0.3">
      <c r="A672" s="504"/>
      <c r="B672" s="504"/>
      <c r="C672" s="504"/>
      <c r="D672" s="504"/>
      <c r="E672" s="506"/>
      <c r="F672" s="506"/>
      <c r="G672" s="506"/>
      <c r="H672" s="506"/>
      <c r="I672" s="506"/>
      <c r="J672" s="506"/>
      <c r="K672" s="507"/>
      <c r="L672" s="508"/>
      <c r="M672" s="508"/>
      <c r="N672" s="508"/>
      <c r="O672" s="509"/>
      <c r="P672" s="509"/>
    </row>
    <row r="673" spans="1:16" ht="21.75" customHeight="1" x14ac:dyDescent="0.3">
      <c r="A673" s="504"/>
      <c r="B673" s="504"/>
      <c r="C673" s="504"/>
      <c r="D673" s="504"/>
      <c r="E673" s="506"/>
      <c r="F673" s="506"/>
      <c r="G673" s="506"/>
      <c r="H673" s="506"/>
      <c r="I673" s="506"/>
      <c r="J673" s="506"/>
      <c r="K673" s="507"/>
      <c r="L673" s="508"/>
      <c r="M673" s="508"/>
      <c r="N673" s="508"/>
      <c r="O673" s="509"/>
      <c r="P673" s="509"/>
    </row>
    <row r="674" spans="1:16" ht="21.75" customHeight="1" x14ac:dyDescent="0.3">
      <c r="A674" s="504"/>
      <c r="B674" s="504"/>
      <c r="C674" s="504"/>
      <c r="D674" s="504"/>
      <c r="E674" s="506"/>
      <c r="F674" s="506"/>
      <c r="G674" s="506"/>
      <c r="H674" s="506"/>
      <c r="I674" s="506"/>
      <c r="J674" s="506"/>
      <c r="K674" s="507"/>
      <c r="L674" s="508"/>
      <c r="M674" s="508"/>
      <c r="N674" s="508"/>
      <c r="O674" s="509"/>
      <c r="P674" s="509"/>
    </row>
    <row r="675" spans="1:16" ht="21.75" customHeight="1" x14ac:dyDescent="0.3">
      <c r="A675" s="504"/>
      <c r="B675" s="504"/>
      <c r="C675" s="504"/>
      <c r="D675" s="504"/>
      <c r="E675" s="506"/>
      <c r="F675" s="506"/>
      <c r="G675" s="506"/>
      <c r="H675" s="506"/>
      <c r="I675" s="506"/>
      <c r="J675" s="506"/>
      <c r="K675" s="507"/>
      <c r="L675" s="508"/>
      <c r="M675" s="508"/>
      <c r="N675" s="508"/>
      <c r="O675" s="509"/>
      <c r="P675" s="509"/>
    </row>
    <row r="676" spans="1:16" ht="21.75" customHeight="1" x14ac:dyDescent="0.3">
      <c r="A676" s="504"/>
      <c r="B676" s="504"/>
      <c r="C676" s="504"/>
      <c r="D676" s="504"/>
      <c r="E676" s="506"/>
      <c r="F676" s="506"/>
      <c r="G676" s="506"/>
      <c r="H676" s="506"/>
      <c r="I676" s="506"/>
      <c r="J676" s="506"/>
      <c r="K676" s="507"/>
      <c r="L676" s="508"/>
      <c r="M676" s="508"/>
      <c r="N676" s="508"/>
      <c r="O676" s="509"/>
      <c r="P676" s="509"/>
    </row>
    <row r="677" spans="1:16" ht="21.75" customHeight="1" x14ac:dyDescent="0.3">
      <c r="A677" s="504"/>
      <c r="B677" s="504"/>
      <c r="C677" s="504"/>
      <c r="D677" s="504"/>
      <c r="E677" s="506"/>
      <c r="F677" s="506"/>
      <c r="G677" s="506"/>
      <c r="H677" s="506"/>
      <c r="I677" s="506"/>
      <c r="J677" s="506"/>
      <c r="K677" s="507"/>
      <c r="L677" s="508"/>
      <c r="M677" s="508"/>
      <c r="N677" s="508"/>
      <c r="O677" s="509"/>
      <c r="P677" s="509"/>
    </row>
    <row r="678" spans="1:16" ht="21.75" customHeight="1" x14ac:dyDescent="0.3">
      <c r="A678" s="504"/>
      <c r="B678" s="504"/>
      <c r="C678" s="504"/>
      <c r="D678" s="504"/>
      <c r="E678" s="506"/>
      <c r="F678" s="506"/>
      <c r="G678" s="506"/>
      <c r="H678" s="506"/>
      <c r="I678" s="506"/>
      <c r="J678" s="506"/>
      <c r="K678" s="507"/>
      <c r="L678" s="508"/>
      <c r="M678" s="508"/>
      <c r="N678" s="508"/>
      <c r="O678" s="509"/>
      <c r="P678" s="509"/>
    </row>
    <row r="679" spans="1:16" ht="21.75" customHeight="1" x14ac:dyDescent="0.3">
      <c r="A679" s="504"/>
      <c r="B679" s="504"/>
      <c r="C679" s="504"/>
      <c r="D679" s="504"/>
      <c r="E679" s="506"/>
      <c r="F679" s="506"/>
      <c r="G679" s="506"/>
      <c r="H679" s="506"/>
      <c r="I679" s="506"/>
      <c r="J679" s="506"/>
      <c r="K679" s="507"/>
      <c r="L679" s="508"/>
      <c r="M679" s="508"/>
      <c r="N679" s="508"/>
      <c r="O679" s="509"/>
      <c r="P679" s="509"/>
    </row>
    <row r="680" spans="1:16" ht="21.75" customHeight="1" x14ac:dyDescent="0.3">
      <c r="A680" s="504"/>
      <c r="B680" s="504"/>
      <c r="C680" s="504"/>
      <c r="D680" s="504"/>
      <c r="E680" s="506"/>
      <c r="F680" s="506"/>
      <c r="G680" s="506"/>
      <c r="H680" s="506"/>
      <c r="I680" s="506"/>
      <c r="J680" s="506"/>
      <c r="K680" s="507"/>
      <c r="L680" s="508"/>
      <c r="M680" s="508"/>
      <c r="N680" s="508"/>
      <c r="O680" s="509"/>
      <c r="P680" s="509"/>
    </row>
    <row r="681" spans="1:16" ht="21.75" customHeight="1" x14ac:dyDescent="0.3">
      <c r="A681" s="504"/>
      <c r="B681" s="504"/>
      <c r="C681" s="504"/>
      <c r="D681" s="504"/>
      <c r="E681" s="506"/>
      <c r="F681" s="506"/>
      <c r="G681" s="506"/>
      <c r="H681" s="506"/>
      <c r="I681" s="506"/>
      <c r="J681" s="506"/>
      <c r="K681" s="507"/>
      <c r="L681" s="508"/>
      <c r="M681" s="508"/>
      <c r="N681" s="508"/>
      <c r="O681" s="509"/>
      <c r="P681" s="509"/>
    </row>
    <row r="682" spans="1:16" ht="21.75" customHeight="1" x14ac:dyDescent="0.3">
      <c r="A682" s="504"/>
      <c r="B682" s="504"/>
      <c r="C682" s="504"/>
      <c r="D682" s="504"/>
      <c r="E682" s="506"/>
      <c r="F682" s="506"/>
      <c r="G682" s="506"/>
      <c r="H682" s="506"/>
      <c r="I682" s="506"/>
      <c r="J682" s="506"/>
      <c r="K682" s="507"/>
      <c r="L682" s="508"/>
      <c r="M682" s="508"/>
      <c r="N682" s="508"/>
      <c r="O682" s="509"/>
      <c r="P682" s="509"/>
    </row>
    <row r="683" spans="1:16" ht="21.75" customHeight="1" x14ac:dyDescent="0.3">
      <c r="A683" s="504"/>
      <c r="B683" s="504"/>
      <c r="C683" s="504"/>
      <c r="D683" s="504"/>
      <c r="E683" s="506"/>
      <c r="F683" s="506"/>
      <c r="G683" s="506"/>
      <c r="H683" s="506"/>
      <c r="I683" s="506"/>
      <c r="J683" s="506"/>
      <c r="K683" s="507"/>
      <c r="L683" s="508"/>
      <c r="M683" s="508"/>
      <c r="N683" s="508"/>
      <c r="O683" s="509"/>
      <c r="P683" s="509"/>
    </row>
    <row r="684" spans="1:16" ht="21.75" customHeight="1" x14ac:dyDescent="0.3">
      <c r="A684" s="504"/>
      <c r="B684" s="504"/>
      <c r="C684" s="504"/>
      <c r="D684" s="504"/>
      <c r="E684" s="506"/>
      <c r="F684" s="506"/>
      <c r="G684" s="506"/>
      <c r="H684" s="506"/>
      <c r="I684" s="506"/>
      <c r="J684" s="506"/>
      <c r="K684" s="507"/>
      <c r="L684" s="508"/>
      <c r="M684" s="508"/>
      <c r="N684" s="508"/>
      <c r="O684" s="509"/>
      <c r="P684" s="509"/>
    </row>
    <row r="685" spans="1:16" ht="21.75" customHeight="1" x14ac:dyDescent="0.3">
      <c r="A685" s="504"/>
      <c r="B685" s="504"/>
      <c r="C685" s="504"/>
      <c r="D685" s="504"/>
      <c r="E685" s="506"/>
      <c r="F685" s="506"/>
      <c r="G685" s="506"/>
      <c r="H685" s="506"/>
      <c r="I685" s="506"/>
      <c r="J685" s="506"/>
      <c r="K685" s="507"/>
      <c r="L685" s="508"/>
      <c r="M685" s="508"/>
      <c r="N685" s="508"/>
      <c r="O685" s="509"/>
      <c r="P685" s="509"/>
    </row>
    <row r="686" spans="1:16" ht="21.75" customHeight="1" x14ac:dyDescent="0.3">
      <c r="A686" s="504"/>
      <c r="B686" s="504"/>
      <c r="C686" s="504"/>
      <c r="D686" s="504"/>
      <c r="E686" s="506"/>
      <c r="F686" s="506"/>
      <c r="G686" s="506"/>
      <c r="H686" s="506"/>
      <c r="I686" s="506"/>
      <c r="J686" s="506"/>
      <c r="K686" s="507"/>
      <c r="L686" s="508"/>
      <c r="M686" s="508"/>
      <c r="N686" s="508"/>
      <c r="O686" s="509"/>
      <c r="P686" s="509"/>
    </row>
    <row r="687" spans="1:16" ht="21.75" customHeight="1" x14ac:dyDescent="0.3">
      <c r="A687" s="504"/>
      <c r="B687" s="504"/>
      <c r="C687" s="504"/>
      <c r="D687" s="504"/>
      <c r="E687" s="506"/>
      <c r="F687" s="506"/>
      <c r="G687" s="506"/>
      <c r="H687" s="506"/>
      <c r="I687" s="506"/>
      <c r="J687" s="506"/>
      <c r="K687" s="507"/>
      <c r="L687" s="508"/>
      <c r="M687" s="508"/>
      <c r="N687" s="508"/>
      <c r="O687" s="509"/>
      <c r="P687" s="509"/>
    </row>
    <row r="688" spans="1:16" ht="21.75" customHeight="1" x14ac:dyDescent="0.3">
      <c r="A688" s="504"/>
      <c r="B688" s="504"/>
      <c r="C688" s="504"/>
      <c r="D688" s="504"/>
      <c r="E688" s="506"/>
      <c r="F688" s="506"/>
      <c r="G688" s="506"/>
      <c r="H688" s="506"/>
      <c r="I688" s="506"/>
      <c r="J688" s="506"/>
      <c r="K688" s="507"/>
      <c r="L688" s="508"/>
      <c r="M688" s="508"/>
      <c r="N688" s="508"/>
      <c r="O688" s="509"/>
      <c r="P688" s="509"/>
    </row>
    <row r="689" spans="1:16" ht="21.75" customHeight="1" x14ac:dyDescent="0.3">
      <c r="A689" s="504"/>
      <c r="B689" s="504"/>
      <c r="C689" s="504"/>
      <c r="D689" s="504"/>
      <c r="E689" s="506"/>
      <c r="F689" s="506"/>
      <c r="G689" s="506"/>
      <c r="H689" s="506"/>
      <c r="I689" s="506"/>
      <c r="J689" s="506"/>
      <c r="K689" s="507"/>
      <c r="L689" s="508"/>
      <c r="M689" s="508"/>
      <c r="N689" s="508"/>
      <c r="O689" s="509"/>
      <c r="P689" s="509"/>
    </row>
    <row r="690" spans="1:16" ht="21.75" customHeight="1" x14ac:dyDescent="0.3">
      <c r="A690" s="504"/>
      <c r="B690" s="504"/>
      <c r="C690" s="504"/>
      <c r="D690" s="504"/>
      <c r="E690" s="506"/>
      <c r="F690" s="506"/>
      <c r="G690" s="506"/>
      <c r="H690" s="506"/>
      <c r="I690" s="506"/>
      <c r="J690" s="506"/>
      <c r="K690" s="507"/>
      <c r="L690" s="508"/>
      <c r="M690" s="508"/>
      <c r="N690" s="508"/>
      <c r="O690" s="509"/>
      <c r="P690" s="509"/>
    </row>
    <row r="691" spans="1:16" ht="21.75" customHeight="1" x14ac:dyDescent="0.3">
      <c r="A691" s="504"/>
      <c r="B691" s="504"/>
      <c r="C691" s="504"/>
      <c r="D691" s="504"/>
      <c r="E691" s="506"/>
      <c r="F691" s="506"/>
      <c r="G691" s="506"/>
      <c r="H691" s="506"/>
      <c r="I691" s="506"/>
      <c r="J691" s="506"/>
      <c r="K691" s="507"/>
      <c r="L691" s="508"/>
      <c r="M691" s="508"/>
      <c r="N691" s="508"/>
      <c r="O691" s="509"/>
      <c r="P691" s="509"/>
    </row>
    <row r="692" spans="1:16" ht="21.75" customHeight="1" x14ac:dyDescent="0.3">
      <c r="A692" s="504"/>
      <c r="B692" s="504"/>
      <c r="C692" s="504"/>
      <c r="D692" s="504"/>
      <c r="E692" s="506"/>
      <c r="F692" s="506"/>
      <c r="G692" s="506"/>
      <c r="H692" s="506"/>
      <c r="I692" s="506"/>
      <c r="J692" s="506"/>
      <c r="K692" s="507"/>
      <c r="L692" s="508"/>
      <c r="M692" s="508"/>
      <c r="N692" s="508"/>
      <c r="O692" s="509"/>
      <c r="P692" s="509"/>
    </row>
    <row r="693" spans="1:16" ht="21.75" customHeight="1" x14ac:dyDescent="0.3">
      <c r="A693" s="504"/>
      <c r="B693" s="504"/>
      <c r="C693" s="504"/>
      <c r="D693" s="504"/>
      <c r="E693" s="506"/>
      <c r="F693" s="506"/>
      <c r="G693" s="506"/>
      <c r="H693" s="506"/>
      <c r="I693" s="506"/>
      <c r="J693" s="506"/>
      <c r="K693" s="507"/>
      <c r="L693" s="508"/>
      <c r="M693" s="508"/>
      <c r="N693" s="508"/>
      <c r="O693" s="509"/>
      <c r="P693" s="509"/>
    </row>
    <row r="694" spans="1:16" ht="21.75" customHeight="1" x14ac:dyDescent="0.3">
      <c r="A694" s="504"/>
      <c r="B694" s="504"/>
      <c r="C694" s="504"/>
      <c r="D694" s="504"/>
      <c r="E694" s="506"/>
      <c r="F694" s="506"/>
      <c r="G694" s="506"/>
      <c r="H694" s="506"/>
      <c r="I694" s="506"/>
      <c r="J694" s="506"/>
      <c r="K694" s="507"/>
      <c r="L694" s="508"/>
      <c r="M694" s="508"/>
      <c r="N694" s="508"/>
      <c r="O694" s="509"/>
      <c r="P694" s="509"/>
    </row>
    <row r="695" spans="1:16" ht="21.75" customHeight="1" x14ac:dyDescent="0.3">
      <c r="A695" s="504"/>
      <c r="B695" s="504"/>
      <c r="C695" s="504"/>
      <c r="D695" s="504"/>
      <c r="E695" s="506"/>
      <c r="F695" s="506"/>
      <c r="G695" s="506"/>
      <c r="H695" s="506"/>
      <c r="I695" s="506"/>
      <c r="J695" s="506"/>
      <c r="K695" s="507"/>
      <c r="L695" s="508"/>
      <c r="M695" s="508"/>
      <c r="N695" s="508"/>
      <c r="O695" s="509"/>
      <c r="P695" s="509"/>
    </row>
    <row r="696" spans="1:16" ht="21.75" customHeight="1" x14ac:dyDescent="0.3">
      <c r="A696" s="504"/>
      <c r="B696" s="504"/>
      <c r="C696" s="504"/>
      <c r="D696" s="504"/>
      <c r="E696" s="506"/>
      <c r="F696" s="506"/>
      <c r="G696" s="506"/>
      <c r="H696" s="506"/>
      <c r="I696" s="506"/>
      <c r="J696" s="506"/>
      <c r="K696" s="507"/>
      <c r="L696" s="508"/>
      <c r="M696" s="508"/>
      <c r="N696" s="508"/>
      <c r="O696" s="509"/>
      <c r="P696" s="509"/>
    </row>
    <row r="697" spans="1:16" ht="21.75" customHeight="1" x14ac:dyDescent="0.3">
      <c r="A697" s="504"/>
      <c r="B697" s="504"/>
      <c r="C697" s="504"/>
      <c r="D697" s="504"/>
      <c r="E697" s="506"/>
      <c r="F697" s="506"/>
      <c r="G697" s="506"/>
      <c r="H697" s="506"/>
      <c r="I697" s="506"/>
      <c r="J697" s="506"/>
      <c r="K697" s="507"/>
      <c r="L697" s="508"/>
      <c r="M697" s="508"/>
      <c r="N697" s="508"/>
      <c r="O697" s="509"/>
      <c r="P697" s="509"/>
    </row>
    <row r="698" spans="1:16" ht="21.75" customHeight="1" x14ac:dyDescent="0.3">
      <c r="A698" s="504"/>
      <c r="B698" s="504"/>
      <c r="C698" s="504"/>
      <c r="D698" s="504"/>
      <c r="E698" s="506"/>
      <c r="F698" s="506"/>
      <c r="G698" s="506"/>
      <c r="H698" s="506"/>
      <c r="I698" s="506"/>
      <c r="J698" s="506"/>
      <c r="K698" s="507"/>
      <c r="L698" s="508"/>
      <c r="M698" s="508"/>
      <c r="N698" s="508"/>
      <c r="O698" s="509"/>
      <c r="P698" s="509"/>
    </row>
    <row r="699" spans="1:16" ht="21.75" customHeight="1" x14ac:dyDescent="0.3">
      <c r="A699" s="504"/>
      <c r="B699" s="504"/>
      <c r="C699" s="504"/>
      <c r="D699" s="504"/>
      <c r="E699" s="506"/>
      <c r="F699" s="506"/>
      <c r="G699" s="506"/>
      <c r="H699" s="506"/>
      <c r="I699" s="506"/>
      <c r="J699" s="506"/>
      <c r="K699" s="507"/>
      <c r="L699" s="508"/>
      <c r="M699" s="508"/>
      <c r="N699" s="508"/>
      <c r="O699" s="509"/>
      <c r="P699" s="509"/>
    </row>
    <row r="700" spans="1:16" ht="21.75" customHeight="1" x14ac:dyDescent="0.3">
      <c r="A700" s="504"/>
      <c r="B700" s="504"/>
      <c r="C700" s="504"/>
      <c r="D700" s="504"/>
      <c r="E700" s="506"/>
      <c r="F700" s="506"/>
      <c r="G700" s="506"/>
      <c r="H700" s="506"/>
      <c r="I700" s="506"/>
      <c r="J700" s="506"/>
      <c r="K700" s="507"/>
      <c r="L700" s="508"/>
      <c r="M700" s="508"/>
      <c r="N700" s="508"/>
      <c r="O700" s="509"/>
      <c r="P700" s="509"/>
    </row>
    <row r="701" spans="1:16" ht="21.75" customHeight="1" x14ac:dyDescent="0.3">
      <c r="A701" s="504"/>
      <c r="B701" s="504"/>
      <c r="C701" s="504"/>
      <c r="D701" s="504"/>
      <c r="E701" s="506"/>
      <c r="F701" s="506"/>
      <c r="G701" s="506"/>
      <c r="H701" s="506"/>
      <c r="I701" s="506"/>
      <c r="J701" s="506"/>
      <c r="K701" s="507"/>
      <c r="L701" s="508"/>
      <c r="M701" s="508"/>
      <c r="N701" s="508"/>
      <c r="O701" s="509"/>
      <c r="P701" s="509"/>
    </row>
    <row r="702" spans="1:16" ht="21.75" customHeight="1" x14ac:dyDescent="0.3">
      <c r="A702" s="504"/>
      <c r="B702" s="504"/>
      <c r="C702" s="504"/>
      <c r="D702" s="504"/>
      <c r="E702" s="506"/>
      <c r="F702" s="506"/>
      <c r="G702" s="506"/>
      <c r="H702" s="506"/>
      <c r="I702" s="506"/>
      <c r="J702" s="506"/>
      <c r="K702" s="507"/>
      <c r="L702" s="508"/>
      <c r="M702" s="508"/>
      <c r="N702" s="508"/>
      <c r="O702" s="509"/>
      <c r="P702" s="509"/>
    </row>
    <row r="703" spans="1:16" ht="21.75" customHeight="1" x14ac:dyDescent="0.3">
      <c r="A703" s="504"/>
      <c r="B703" s="504"/>
      <c r="C703" s="504"/>
      <c r="D703" s="504"/>
      <c r="E703" s="506"/>
      <c r="F703" s="506"/>
      <c r="G703" s="506"/>
      <c r="H703" s="506"/>
      <c r="I703" s="506"/>
      <c r="J703" s="506"/>
      <c r="K703" s="507"/>
      <c r="L703" s="508"/>
      <c r="M703" s="508"/>
      <c r="N703" s="508"/>
      <c r="O703" s="509"/>
      <c r="P703" s="509"/>
    </row>
    <row r="704" spans="1:16" ht="21.75" customHeight="1" x14ac:dyDescent="0.3">
      <c r="A704" s="504"/>
      <c r="B704" s="504"/>
      <c r="C704" s="504"/>
      <c r="D704" s="504"/>
      <c r="E704" s="506"/>
      <c r="F704" s="506"/>
      <c r="G704" s="506"/>
      <c r="H704" s="506"/>
      <c r="I704" s="506"/>
      <c r="J704" s="506"/>
      <c r="K704" s="507"/>
      <c r="L704" s="508"/>
      <c r="M704" s="508"/>
      <c r="N704" s="508"/>
      <c r="O704" s="509"/>
      <c r="P704" s="509"/>
    </row>
    <row r="705" spans="1:16" ht="21.75" customHeight="1" x14ac:dyDescent="0.3">
      <c r="A705" s="504"/>
      <c r="B705" s="504"/>
      <c r="C705" s="504"/>
      <c r="D705" s="504"/>
      <c r="E705" s="506"/>
      <c r="F705" s="506"/>
      <c r="G705" s="506"/>
      <c r="H705" s="506"/>
      <c r="I705" s="506"/>
      <c r="J705" s="506"/>
      <c r="K705" s="507"/>
      <c r="L705" s="508"/>
      <c r="M705" s="508"/>
      <c r="N705" s="508"/>
      <c r="O705" s="509"/>
      <c r="P705" s="509"/>
    </row>
    <row r="706" spans="1:16" ht="21.75" customHeight="1" x14ac:dyDescent="0.3">
      <c r="A706" s="504"/>
      <c r="B706" s="504"/>
      <c r="C706" s="504"/>
      <c r="D706" s="504"/>
      <c r="E706" s="506"/>
      <c r="F706" s="506"/>
      <c r="G706" s="506"/>
      <c r="H706" s="506"/>
      <c r="I706" s="506"/>
      <c r="J706" s="506"/>
      <c r="K706" s="507"/>
      <c r="L706" s="508"/>
      <c r="M706" s="508"/>
      <c r="N706" s="508"/>
      <c r="O706" s="509"/>
      <c r="P706" s="509"/>
    </row>
    <row r="707" spans="1:16" ht="21.75" customHeight="1" x14ac:dyDescent="0.3">
      <c r="A707" s="504"/>
      <c r="B707" s="504"/>
      <c r="C707" s="504"/>
      <c r="D707" s="504"/>
      <c r="E707" s="506"/>
      <c r="F707" s="506"/>
      <c r="G707" s="506"/>
      <c r="H707" s="506"/>
      <c r="I707" s="506"/>
      <c r="J707" s="506"/>
      <c r="K707" s="507"/>
      <c r="L707" s="508"/>
      <c r="M707" s="508"/>
      <c r="N707" s="508"/>
      <c r="O707" s="509"/>
      <c r="P707" s="509"/>
    </row>
    <row r="708" spans="1:16" ht="21.75" customHeight="1" x14ac:dyDescent="0.3">
      <c r="A708" s="504"/>
      <c r="B708" s="504"/>
      <c r="C708" s="504"/>
      <c r="D708" s="504"/>
      <c r="E708" s="506"/>
      <c r="F708" s="506"/>
      <c r="G708" s="506"/>
      <c r="H708" s="506"/>
      <c r="I708" s="506"/>
      <c r="J708" s="506"/>
      <c r="K708" s="507"/>
      <c r="L708" s="508"/>
      <c r="M708" s="508"/>
      <c r="N708" s="508"/>
      <c r="O708" s="509"/>
      <c r="P708" s="509"/>
    </row>
    <row r="709" spans="1:16" ht="21.75" customHeight="1" x14ac:dyDescent="0.3">
      <c r="A709" s="504"/>
      <c r="B709" s="504"/>
      <c r="C709" s="504"/>
      <c r="D709" s="504"/>
      <c r="E709" s="506"/>
      <c r="F709" s="506"/>
      <c r="G709" s="506"/>
      <c r="H709" s="506"/>
      <c r="I709" s="506"/>
      <c r="J709" s="506"/>
      <c r="K709" s="507"/>
      <c r="L709" s="508"/>
      <c r="M709" s="508"/>
      <c r="N709" s="508"/>
      <c r="O709" s="509"/>
      <c r="P709" s="509"/>
    </row>
    <row r="710" spans="1:16" ht="21.75" customHeight="1" x14ac:dyDescent="0.3">
      <c r="A710" s="504"/>
      <c r="B710" s="504"/>
      <c r="C710" s="504"/>
      <c r="D710" s="504"/>
      <c r="E710" s="506"/>
      <c r="F710" s="506"/>
      <c r="G710" s="506"/>
      <c r="H710" s="506"/>
      <c r="I710" s="506"/>
      <c r="J710" s="506"/>
      <c r="K710" s="507"/>
      <c r="L710" s="508"/>
      <c r="M710" s="508"/>
      <c r="N710" s="508"/>
      <c r="O710" s="509"/>
      <c r="P710" s="509"/>
    </row>
    <row r="711" spans="1:16" ht="21.75" customHeight="1" x14ac:dyDescent="0.3">
      <c r="A711" s="504"/>
      <c r="B711" s="504"/>
      <c r="C711" s="504"/>
      <c r="D711" s="504"/>
      <c r="E711" s="506"/>
      <c r="F711" s="506"/>
      <c r="G711" s="506"/>
      <c r="H711" s="506"/>
      <c r="I711" s="506"/>
      <c r="J711" s="506"/>
      <c r="K711" s="507"/>
      <c r="L711" s="508"/>
      <c r="M711" s="508"/>
      <c r="N711" s="508"/>
      <c r="O711" s="509"/>
      <c r="P711" s="509"/>
    </row>
    <row r="712" spans="1:16" ht="21.75" customHeight="1" x14ac:dyDescent="0.3">
      <c r="A712" s="504"/>
      <c r="B712" s="504"/>
      <c r="C712" s="504"/>
      <c r="D712" s="504"/>
      <c r="E712" s="506"/>
      <c r="F712" s="506"/>
      <c r="G712" s="506"/>
      <c r="H712" s="506"/>
      <c r="I712" s="506"/>
      <c r="J712" s="506"/>
      <c r="K712" s="507"/>
      <c r="L712" s="508"/>
      <c r="M712" s="508"/>
      <c r="N712" s="508"/>
      <c r="O712" s="509"/>
      <c r="P712" s="509"/>
    </row>
    <row r="713" spans="1:16" ht="21.75" customHeight="1" x14ac:dyDescent="0.3">
      <c r="A713" s="504"/>
      <c r="B713" s="504"/>
      <c r="C713" s="504"/>
      <c r="D713" s="504"/>
      <c r="E713" s="506"/>
      <c r="F713" s="506"/>
      <c r="G713" s="506"/>
      <c r="H713" s="506"/>
      <c r="I713" s="506"/>
      <c r="J713" s="506"/>
      <c r="K713" s="507"/>
      <c r="L713" s="508"/>
      <c r="M713" s="508"/>
      <c r="N713" s="508"/>
      <c r="O713" s="509"/>
      <c r="P713" s="509"/>
    </row>
    <row r="714" spans="1:16" ht="21.75" customHeight="1" x14ac:dyDescent="0.3">
      <c r="A714" s="504"/>
      <c r="B714" s="504"/>
      <c r="C714" s="504"/>
      <c r="D714" s="504"/>
      <c r="E714" s="506"/>
      <c r="F714" s="506"/>
      <c r="G714" s="506"/>
      <c r="H714" s="506"/>
      <c r="I714" s="506"/>
      <c r="J714" s="506"/>
      <c r="K714" s="507"/>
      <c r="L714" s="508"/>
      <c r="M714" s="508"/>
      <c r="N714" s="508"/>
      <c r="O714" s="509"/>
      <c r="P714" s="509"/>
    </row>
    <row r="715" spans="1:16" ht="21.75" customHeight="1" x14ac:dyDescent="0.3">
      <c r="A715" s="504"/>
      <c r="B715" s="504"/>
      <c r="C715" s="504"/>
      <c r="D715" s="504"/>
      <c r="E715" s="506"/>
      <c r="F715" s="506"/>
      <c r="G715" s="506"/>
      <c r="H715" s="506"/>
      <c r="I715" s="506"/>
      <c r="J715" s="506"/>
      <c r="K715" s="507"/>
      <c r="L715" s="508"/>
      <c r="M715" s="508"/>
      <c r="N715" s="508"/>
      <c r="O715" s="509"/>
      <c r="P715" s="509"/>
    </row>
    <row r="716" spans="1:16" ht="21.75" customHeight="1" x14ac:dyDescent="0.3">
      <c r="A716" s="504"/>
      <c r="B716" s="504"/>
      <c r="C716" s="504"/>
      <c r="D716" s="504"/>
      <c r="E716" s="506"/>
      <c r="F716" s="506"/>
      <c r="G716" s="506"/>
      <c r="H716" s="506"/>
      <c r="I716" s="506"/>
      <c r="J716" s="506"/>
      <c r="K716" s="507"/>
      <c r="L716" s="508"/>
      <c r="M716" s="508"/>
      <c r="N716" s="508"/>
      <c r="O716" s="509"/>
      <c r="P716" s="509"/>
    </row>
    <row r="717" spans="1:16" ht="21.75" customHeight="1" x14ac:dyDescent="0.3">
      <c r="A717" s="504"/>
      <c r="B717" s="504"/>
      <c r="C717" s="504"/>
      <c r="D717" s="504"/>
      <c r="E717" s="506"/>
      <c r="F717" s="506"/>
      <c r="G717" s="506"/>
      <c r="H717" s="506"/>
      <c r="I717" s="506"/>
      <c r="J717" s="506"/>
      <c r="K717" s="507"/>
      <c r="L717" s="508"/>
      <c r="M717" s="508"/>
      <c r="N717" s="508"/>
      <c r="O717" s="509"/>
      <c r="P717" s="509"/>
    </row>
    <row r="718" spans="1:16" ht="21.75" customHeight="1" x14ac:dyDescent="0.3">
      <c r="A718" s="504"/>
      <c r="B718" s="504"/>
      <c r="C718" s="504"/>
      <c r="D718" s="504"/>
      <c r="E718" s="506"/>
      <c r="F718" s="506"/>
      <c r="G718" s="506"/>
      <c r="H718" s="506"/>
      <c r="I718" s="506"/>
      <c r="J718" s="506"/>
      <c r="K718" s="507"/>
      <c r="L718" s="508"/>
      <c r="M718" s="508"/>
      <c r="N718" s="508"/>
      <c r="O718" s="509"/>
      <c r="P718" s="509"/>
    </row>
    <row r="719" spans="1:16" ht="21.75" customHeight="1" x14ac:dyDescent="0.3">
      <c r="A719" s="504"/>
      <c r="B719" s="504"/>
      <c r="C719" s="504"/>
      <c r="D719" s="504"/>
      <c r="E719" s="506"/>
      <c r="F719" s="506"/>
      <c r="G719" s="506"/>
      <c r="H719" s="506"/>
      <c r="I719" s="506"/>
      <c r="J719" s="506"/>
      <c r="K719" s="507"/>
      <c r="L719" s="508"/>
      <c r="M719" s="508"/>
      <c r="N719" s="508"/>
      <c r="O719" s="509"/>
      <c r="P719" s="509"/>
    </row>
    <row r="720" spans="1:16" ht="21.75" customHeight="1" x14ac:dyDescent="0.3">
      <c r="A720" s="504"/>
      <c r="B720" s="504"/>
      <c r="C720" s="504"/>
      <c r="D720" s="504"/>
      <c r="E720" s="506"/>
      <c r="F720" s="506"/>
      <c r="G720" s="506"/>
      <c r="H720" s="506"/>
      <c r="I720" s="506"/>
      <c r="J720" s="506"/>
      <c r="K720" s="507"/>
      <c r="L720" s="508"/>
      <c r="M720" s="508"/>
      <c r="N720" s="508"/>
      <c r="O720" s="509"/>
      <c r="P720" s="509"/>
    </row>
    <row r="721" spans="1:16" ht="21.75" customHeight="1" x14ac:dyDescent="0.3">
      <c r="A721" s="504"/>
      <c r="B721" s="504"/>
      <c r="C721" s="504"/>
      <c r="D721" s="504"/>
      <c r="E721" s="506"/>
      <c r="F721" s="506"/>
      <c r="G721" s="506"/>
      <c r="H721" s="506"/>
      <c r="I721" s="506"/>
      <c r="J721" s="506"/>
      <c r="K721" s="507"/>
      <c r="L721" s="508"/>
      <c r="M721" s="508"/>
      <c r="N721" s="508"/>
      <c r="O721" s="509"/>
      <c r="P721" s="509"/>
    </row>
    <row r="722" spans="1:16" ht="21.75" customHeight="1" x14ac:dyDescent="0.3">
      <c r="A722" s="504"/>
      <c r="B722" s="504"/>
      <c r="C722" s="504"/>
      <c r="D722" s="504"/>
      <c r="E722" s="506"/>
      <c r="F722" s="506"/>
      <c r="G722" s="506"/>
      <c r="H722" s="506"/>
      <c r="I722" s="506"/>
      <c r="J722" s="506"/>
      <c r="K722" s="507"/>
      <c r="L722" s="508"/>
      <c r="M722" s="508"/>
      <c r="N722" s="508"/>
      <c r="O722" s="509"/>
      <c r="P722" s="509"/>
    </row>
    <row r="723" spans="1:16" ht="21.75" customHeight="1" x14ac:dyDescent="0.3">
      <c r="A723" s="504"/>
      <c r="B723" s="504"/>
      <c r="C723" s="504"/>
      <c r="D723" s="504"/>
      <c r="E723" s="506"/>
      <c r="F723" s="506"/>
      <c r="G723" s="506"/>
      <c r="H723" s="506"/>
      <c r="I723" s="506"/>
      <c r="J723" s="506"/>
      <c r="K723" s="507"/>
      <c r="L723" s="508"/>
      <c r="M723" s="508"/>
      <c r="N723" s="508"/>
      <c r="O723" s="509"/>
      <c r="P723" s="509"/>
    </row>
    <row r="724" spans="1:16" ht="21.75" customHeight="1" x14ac:dyDescent="0.3">
      <c r="A724" s="504"/>
      <c r="B724" s="504"/>
      <c r="C724" s="504"/>
      <c r="D724" s="504"/>
      <c r="E724" s="506"/>
      <c r="F724" s="506"/>
      <c r="G724" s="506"/>
      <c r="H724" s="506"/>
      <c r="I724" s="506"/>
      <c r="J724" s="506"/>
      <c r="K724" s="507"/>
      <c r="L724" s="508"/>
      <c r="M724" s="508"/>
      <c r="N724" s="508"/>
      <c r="O724" s="509"/>
      <c r="P724" s="509"/>
    </row>
    <row r="725" spans="1:16" ht="21.75" customHeight="1" x14ac:dyDescent="0.3">
      <c r="A725" s="504"/>
      <c r="B725" s="504"/>
      <c r="C725" s="504"/>
      <c r="D725" s="504"/>
      <c r="E725" s="506"/>
      <c r="F725" s="506"/>
      <c r="G725" s="506"/>
      <c r="H725" s="506"/>
      <c r="I725" s="506"/>
      <c r="J725" s="506"/>
      <c r="K725" s="507"/>
      <c r="L725" s="508"/>
      <c r="M725" s="508"/>
      <c r="N725" s="508"/>
      <c r="O725" s="509"/>
      <c r="P725" s="509"/>
    </row>
    <row r="726" spans="1:16" ht="21.75" customHeight="1" x14ac:dyDescent="0.3">
      <c r="A726" s="504"/>
      <c r="B726" s="504"/>
      <c r="C726" s="504"/>
      <c r="D726" s="504"/>
      <c r="E726" s="506"/>
      <c r="F726" s="506"/>
      <c r="G726" s="506"/>
      <c r="H726" s="506"/>
      <c r="I726" s="506"/>
      <c r="J726" s="506"/>
      <c r="K726" s="507"/>
      <c r="L726" s="508"/>
      <c r="M726" s="508"/>
      <c r="N726" s="508"/>
      <c r="O726" s="509"/>
      <c r="P726" s="509"/>
    </row>
    <row r="727" spans="1:16" ht="21.75" customHeight="1" x14ac:dyDescent="0.3">
      <c r="A727" s="504"/>
      <c r="B727" s="504"/>
      <c r="C727" s="504"/>
      <c r="D727" s="504"/>
      <c r="E727" s="506"/>
      <c r="F727" s="506"/>
      <c r="G727" s="506"/>
      <c r="H727" s="506"/>
      <c r="I727" s="506"/>
      <c r="J727" s="506"/>
      <c r="K727" s="507"/>
      <c r="L727" s="508"/>
      <c r="M727" s="508"/>
      <c r="N727" s="508"/>
      <c r="O727" s="509"/>
      <c r="P727" s="509"/>
    </row>
    <row r="728" spans="1:16" ht="21.75" customHeight="1" x14ac:dyDescent="0.3">
      <c r="A728" s="504"/>
      <c r="B728" s="504"/>
      <c r="C728" s="504"/>
      <c r="D728" s="504"/>
      <c r="E728" s="506"/>
      <c r="F728" s="506"/>
      <c r="G728" s="506"/>
      <c r="H728" s="506"/>
      <c r="I728" s="506"/>
      <c r="J728" s="506"/>
      <c r="K728" s="507"/>
      <c r="L728" s="508"/>
      <c r="M728" s="508"/>
      <c r="N728" s="508"/>
      <c r="O728" s="509"/>
      <c r="P728" s="509"/>
    </row>
    <row r="729" spans="1:16" ht="21.75" customHeight="1" x14ac:dyDescent="0.3">
      <c r="A729" s="504"/>
      <c r="B729" s="504"/>
      <c r="C729" s="504"/>
      <c r="D729" s="504"/>
      <c r="E729" s="506"/>
      <c r="F729" s="506"/>
      <c r="G729" s="506"/>
      <c r="H729" s="506"/>
      <c r="I729" s="506"/>
      <c r="J729" s="506"/>
      <c r="K729" s="507"/>
      <c r="L729" s="508"/>
      <c r="M729" s="508"/>
      <c r="N729" s="508"/>
      <c r="O729" s="509"/>
      <c r="P729" s="509"/>
    </row>
    <row r="730" spans="1:16" ht="21.75" customHeight="1" x14ac:dyDescent="0.3">
      <c r="A730" s="504"/>
      <c r="B730" s="504"/>
      <c r="C730" s="504"/>
      <c r="D730" s="504"/>
      <c r="E730" s="506"/>
      <c r="F730" s="506"/>
      <c r="G730" s="506"/>
      <c r="H730" s="506"/>
      <c r="I730" s="506"/>
      <c r="J730" s="506"/>
      <c r="K730" s="507"/>
      <c r="L730" s="508"/>
      <c r="M730" s="508"/>
      <c r="N730" s="508"/>
      <c r="O730" s="509"/>
      <c r="P730" s="509"/>
    </row>
    <row r="731" spans="1:16" ht="21.75" customHeight="1" x14ac:dyDescent="0.3">
      <c r="A731" s="504"/>
      <c r="B731" s="504"/>
      <c r="C731" s="504"/>
      <c r="D731" s="504"/>
      <c r="E731" s="506"/>
      <c r="F731" s="506"/>
      <c r="G731" s="506"/>
      <c r="H731" s="506"/>
      <c r="I731" s="506"/>
      <c r="J731" s="506"/>
      <c r="K731" s="507"/>
      <c r="L731" s="508"/>
      <c r="M731" s="508"/>
      <c r="N731" s="508"/>
      <c r="O731" s="509"/>
      <c r="P731" s="509"/>
    </row>
    <row r="732" spans="1:16" ht="21.75" customHeight="1" x14ac:dyDescent="0.3">
      <c r="A732" s="504"/>
      <c r="B732" s="504"/>
      <c r="C732" s="504"/>
      <c r="D732" s="504"/>
      <c r="E732" s="506"/>
      <c r="F732" s="506"/>
      <c r="G732" s="506"/>
      <c r="H732" s="506"/>
      <c r="I732" s="506"/>
      <c r="J732" s="506"/>
      <c r="K732" s="507"/>
      <c r="L732" s="508"/>
      <c r="M732" s="508"/>
      <c r="N732" s="508"/>
      <c r="O732" s="509"/>
      <c r="P732" s="509"/>
    </row>
    <row r="733" spans="1:16" ht="21.75" customHeight="1" x14ac:dyDescent="0.3">
      <c r="A733" s="504"/>
      <c r="B733" s="504"/>
      <c r="C733" s="504"/>
      <c r="D733" s="504"/>
      <c r="E733" s="506"/>
      <c r="F733" s="506"/>
      <c r="G733" s="506"/>
      <c r="H733" s="506"/>
      <c r="I733" s="506"/>
      <c r="J733" s="506"/>
      <c r="K733" s="507"/>
      <c r="L733" s="508"/>
      <c r="M733" s="508"/>
      <c r="N733" s="508"/>
      <c r="O733" s="509"/>
      <c r="P733" s="509"/>
    </row>
    <row r="734" spans="1:16" ht="21.75" customHeight="1" x14ac:dyDescent="0.3">
      <c r="A734" s="504"/>
      <c r="B734" s="504"/>
      <c r="C734" s="504"/>
      <c r="D734" s="504"/>
      <c r="E734" s="506"/>
      <c r="F734" s="506"/>
      <c r="G734" s="506"/>
      <c r="H734" s="506"/>
      <c r="I734" s="506"/>
      <c r="J734" s="506"/>
      <c r="K734" s="507"/>
      <c r="L734" s="508"/>
      <c r="M734" s="508"/>
      <c r="N734" s="508"/>
      <c r="O734" s="509"/>
      <c r="P734" s="509"/>
    </row>
    <row r="735" spans="1:16" ht="21.75" customHeight="1" x14ac:dyDescent="0.3">
      <c r="A735" s="504"/>
      <c r="B735" s="504"/>
      <c r="C735" s="504"/>
      <c r="D735" s="504"/>
      <c r="E735" s="506"/>
      <c r="F735" s="506"/>
      <c r="G735" s="506"/>
      <c r="H735" s="506"/>
      <c r="I735" s="506"/>
      <c r="J735" s="506"/>
      <c r="K735" s="507"/>
      <c r="L735" s="508"/>
      <c r="M735" s="508"/>
      <c r="N735" s="508"/>
      <c r="O735" s="509"/>
      <c r="P735" s="509"/>
    </row>
    <row r="736" spans="1:16" ht="21.75" customHeight="1" x14ac:dyDescent="0.3">
      <c r="A736" s="504"/>
      <c r="B736" s="504"/>
      <c r="C736" s="504"/>
      <c r="D736" s="504"/>
      <c r="E736" s="506"/>
      <c r="F736" s="506"/>
      <c r="G736" s="506"/>
      <c r="H736" s="506"/>
      <c r="I736" s="506"/>
      <c r="J736" s="506"/>
      <c r="K736" s="507"/>
      <c r="L736" s="508"/>
      <c r="M736" s="508"/>
      <c r="N736" s="508"/>
      <c r="O736" s="509"/>
      <c r="P736" s="509"/>
    </row>
    <row r="737" spans="1:16" ht="21.75" customHeight="1" x14ac:dyDescent="0.3">
      <c r="A737" s="504"/>
      <c r="B737" s="504"/>
      <c r="C737" s="504"/>
      <c r="D737" s="504"/>
      <c r="E737" s="506"/>
      <c r="F737" s="506"/>
      <c r="G737" s="506"/>
      <c r="H737" s="506"/>
      <c r="I737" s="506"/>
      <c r="J737" s="506"/>
      <c r="K737" s="507"/>
      <c r="L737" s="508"/>
      <c r="M737" s="508"/>
      <c r="N737" s="508"/>
      <c r="O737" s="509"/>
      <c r="P737" s="509"/>
    </row>
    <row r="738" spans="1:16" ht="21.75" customHeight="1" x14ac:dyDescent="0.3">
      <c r="A738" s="504"/>
      <c r="B738" s="504"/>
      <c r="C738" s="504"/>
      <c r="D738" s="504"/>
      <c r="E738" s="506"/>
      <c r="F738" s="506"/>
      <c r="G738" s="506"/>
      <c r="H738" s="506"/>
      <c r="I738" s="506"/>
      <c r="J738" s="506"/>
      <c r="K738" s="507"/>
      <c r="L738" s="508"/>
      <c r="M738" s="508"/>
      <c r="N738" s="508"/>
      <c r="O738" s="509"/>
      <c r="P738" s="509"/>
    </row>
    <row r="739" spans="1:16" ht="21.75" customHeight="1" x14ac:dyDescent="0.3">
      <c r="A739" s="504"/>
      <c r="B739" s="504"/>
      <c r="C739" s="504"/>
      <c r="D739" s="504"/>
      <c r="E739" s="506"/>
      <c r="F739" s="506"/>
      <c r="G739" s="506"/>
      <c r="H739" s="506"/>
      <c r="I739" s="506"/>
      <c r="J739" s="506"/>
      <c r="K739" s="507"/>
      <c r="L739" s="508"/>
      <c r="M739" s="508"/>
      <c r="N739" s="508"/>
      <c r="O739" s="509"/>
      <c r="P739" s="509"/>
    </row>
    <row r="740" spans="1:16" ht="21.75" customHeight="1" x14ac:dyDescent="0.3">
      <c r="A740" s="504"/>
      <c r="B740" s="504"/>
      <c r="C740" s="504"/>
      <c r="D740" s="504"/>
      <c r="E740" s="506"/>
      <c r="F740" s="506"/>
      <c r="G740" s="506"/>
      <c r="H740" s="506"/>
      <c r="I740" s="506"/>
      <c r="J740" s="506"/>
      <c r="K740" s="507"/>
      <c r="L740" s="508"/>
      <c r="M740" s="508"/>
      <c r="N740" s="508"/>
      <c r="O740" s="509"/>
      <c r="P740" s="509"/>
    </row>
    <row r="741" spans="1:16" ht="21.75" customHeight="1" x14ac:dyDescent="0.3">
      <c r="A741" s="504"/>
      <c r="B741" s="504"/>
      <c r="C741" s="504"/>
      <c r="D741" s="504"/>
      <c r="E741" s="506"/>
      <c r="F741" s="506"/>
      <c r="G741" s="506"/>
      <c r="H741" s="506"/>
      <c r="I741" s="506"/>
      <c r="J741" s="506"/>
      <c r="K741" s="507"/>
      <c r="L741" s="508"/>
      <c r="M741" s="508"/>
      <c r="N741" s="508"/>
      <c r="O741" s="509"/>
      <c r="P741" s="509"/>
    </row>
    <row r="742" spans="1:16" ht="21.75" customHeight="1" x14ac:dyDescent="0.3">
      <c r="A742" s="504"/>
      <c r="B742" s="504"/>
      <c r="C742" s="504"/>
      <c r="D742" s="504"/>
      <c r="E742" s="506"/>
      <c r="F742" s="506"/>
      <c r="G742" s="506"/>
      <c r="H742" s="506"/>
      <c r="I742" s="506"/>
      <c r="J742" s="506"/>
      <c r="K742" s="507"/>
      <c r="L742" s="508"/>
      <c r="M742" s="508"/>
      <c r="N742" s="508"/>
      <c r="O742" s="509"/>
      <c r="P742" s="509"/>
    </row>
    <row r="743" spans="1:16" ht="21.75" customHeight="1" x14ac:dyDescent="0.3">
      <c r="A743" s="504"/>
      <c r="B743" s="504"/>
      <c r="C743" s="504"/>
      <c r="D743" s="504"/>
      <c r="E743" s="506"/>
      <c r="F743" s="506"/>
      <c r="G743" s="506"/>
      <c r="H743" s="506"/>
      <c r="I743" s="506"/>
      <c r="J743" s="506"/>
      <c r="K743" s="507"/>
      <c r="L743" s="508"/>
      <c r="M743" s="508"/>
      <c r="N743" s="508"/>
      <c r="O743" s="509"/>
      <c r="P743" s="509"/>
    </row>
    <row r="744" spans="1:16" ht="21.75" customHeight="1" x14ac:dyDescent="0.3">
      <c r="A744" s="504"/>
      <c r="B744" s="504"/>
      <c r="C744" s="504"/>
      <c r="D744" s="504"/>
      <c r="E744" s="506"/>
      <c r="F744" s="506"/>
      <c r="G744" s="506"/>
      <c r="H744" s="506"/>
      <c r="I744" s="506"/>
      <c r="J744" s="506"/>
      <c r="K744" s="507"/>
      <c r="L744" s="508"/>
      <c r="M744" s="508"/>
      <c r="N744" s="508"/>
      <c r="O744" s="509"/>
      <c r="P744" s="509"/>
    </row>
    <row r="745" spans="1:16" ht="21.75" customHeight="1" x14ac:dyDescent="0.3">
      <c r="A745" s="504"/>
      <c r="B745" s="504"/>
      <c r="C745" s="504"/>
      <c r="D745" s="504"/>
      <c r="E745" s="506"/>
      <c r="F745" s="506"/>
      <c r="G745" s="506"/>
      <c r="H745" s="506"/>
      <c r="I745" s="506"/>
      <c r="J745" s="506"/>
      <c r="K745" s="507"/>
      <c r="L745" s="508"/>
      <c r="M745" s="508"/>
      <c r="N745" s="508"/>
      <c r="O745" s="509"/>
      <c r="P745" s="509"/>
    </row>
    <row r="746" spans="1:16" ht="21.75" customHeight="1" x14ac:dyDescent="0.3">
      <c r="A746" s="504"/>
      <c r="B746" s="504"/>
      <c r="C746" s="504"/>
      <c r="D746" s="504"/>
      <c r="E746" s="506"/>
      <c r="F746" s="506"/>
      <c r="G746" s="506"/>
      <c r="H746" s="506"/>
      <c r="I746" s="506"/>
      <c r="J746" s="506"/>
      <c r="K746" s="507"/>
      <c r="L746" s="508"/>
      <c r="M746" s="508"/>
      <c r="N746" s="508"/>
      <c r="O746" s="509"/>
      <c r="P746" s="509"/>
    </row>
    <row r="747" spans="1:16" ht="21.75" customHeight="1" x14ac:dyDescent="0.3">
      <c r="A747" s="504"/>
      <c r="B747" s="504"/>
      <c r="C747" s="504"/>
      <c r="D747" s="504"/>
      <c r="E747" s="506"/>
      <c r="F747" s="506"/>
      <c r="G747" s="506"/>
      <c r="H747" s="506"/>
      <c r="I747" s="506"/>
      <c r="J747" s="506"/>
      <c r="K747" s="507"/>
      <c r="L747" s="508"/>
      <c r="M747" s="508"/>
      <c r="N747" s="508"/>
      <c r="O747" s="509"/>
      <c r="P747" s="509"/>
    </row>
    <row r="748" spans="1:16" ht="21.75" customHeight="1" x14ac:dyDescent="0.3">
      <c r="A748" s="504"/>
      <c r="B748" s="504"/>
      <c r="C748" s="504"/>
      <c r="D748" s="504"/>
      <c r="E748" s="506"/>
      <c r="F748" s="506"/>
      <c r="G748" s="506"/>
      <c r="H748" s="506"/>
      <c r="I748" s="506"/>
      <c r="J748" s="506"/>
      <c r="K748" s="507"/>
      <c r="L748" s="508"/>
      <c r="M748" s="508"/>
      <c r="N748" s="508"/>
      <c r="O748" s="509"/>
      <c r="P748" s="509"/>
    </row>
    <row r="749" spans="1:16" ht="21.75" customHeight="1" x14ac:dyDescent="0.3">
      <c r="A749" s="504"/>
      <c r="B749" s="504"/>
      <c r="C749" s="504"/>
      <c r="D749" s="504"/>
      <c r="E749" s="506"/>
      <c r="F749" s="506"/>
      <c r="G749" s="506"/>
      <c r="H749" s="506"/>
      <c r="I749" s="506"/>
      <c r="J749" s="506"/>
      <c r="K749" s="507"/>
      <c r="L749" s="508"/>
      <c r="M749" s="508"/>
      <c r="N749" s="508"/>
      <c r="O749" s="509"/>
      <c r="P749" s="509"/>
    </row>
    <row r="750" spans="1:16" ht="21.75" customHeight="1" x14ac:dyDescent="0.3">
      <c r="A750" s="504"/>
      <c r="B750" s="504"/>
      <c r="C750" s="504"/>
      <c r="D750" s="504"/>
      <c r="E750" s="506"/>
      <c r="F750" s="506"/>
      <c r="G750" s="506"/>
      <c r="H750" s="506"/>
      <c r="I750" s="506"/>
      <c r="J750" s="506"/>
      <c r="K750" s="507"/>
      <c r="L750" s="508"/>
      <c r="M750" s="508"/>
      <c r="N750" s="508"/>
      <c r="O750" s="509"/>
      <c r="P750" s="509"/>
    </row>
    <row r="751" spans="1:16" ht="21.75" customHeight="1" x14ac:dyDescent="0.3">
      <c r="A751" s="504"/>
      <c r="B751" s="504"/>
      <c r="C751" s="504"/>
      <c r="D751" s="504"/>
      <c r="E751" s="506"/>
      <c r="F751" s="506"/>
      <c r="G751" s="506"/>
      <c r="H751" s="506"/>
      <c r="I751" s="506"/>
      <c r="J751" s="506"/>
      <c r="K751" s="507"/>
      <c r="L751" s="508"/>
      <c r="M751" s="508"/>
      <c r="N751" s="508"/>
      <c r="O751" s="509"/>
      <c r="P751" s="509"/>
    </row>
    <row r="752" spans="1:16" ht="21.75" customHeight="1" x14ac:dyDescent="0.3">
      <c r="A752" s="504"/>
      <c r="B752" s="504"/>
      <c r="C752" s="504"/>
      <c r="D752" s="504"/>
      <c r="E752" s="506"/>
      <c r="F752" s="506"/>
      <c r="G752" s="506"/>
      <c r="H752" s="506"/>
      <c r="I752" s="506"/>
      <c r="J752" s="506"/>
      <c r="K752" s="507"/>
      <c r="L752" s="508"/>
      <c r="M752" s="508"/>
      <c r="N752" s="508"/>
      <c r="O752" s="509"/>
      <c r="P752" s="509"/>
    </row>
    <row r="753" spans="1:16" ht="21.75" customHeight="1" x14ac:dyDescent="0.3">
      <c r="A753" s="504"/>
      <c r="B753" s="504"/>
      <c r="C753" s="504"/>
      <c r="D753" s="504"/>
      <c r="E753" s="506"/>
      <c r="F753" s="506"/>
      <c r="G753" s="506"/>
      <c r="H753" s="506"/>
      <c r="I753" s="506"/>
      <c r="J753" s="506"/>
      <c r="K753" s="507"/>
      <c r="L753" s="508"/>
      <c r="M753" s="508"/>
      <c r="N753" s="508"/>
      <c r="O753" s="509"/>
      <c r="P753" s="509"/>
    </row>
    <row r="754" spans="1:16" ht="21.75" customHeight="1" x14ac:dyDescent="0.3">
      <c r="A754" s="504"/>
      <c r="B754" s="504"/>
      <c r="C754" s="504"/>
      <c r="D754" s="504"/>
      <c r="E754" s="506"/>
      <c r="F754" s="506"/>
      <c r="G754" s="506"/>
      <c r="H754" s="506"/>
      <c r="I754" s="506"/>
      <c r="J754" s="506"/>
      <c r="K754" s="507"/>
      <c r="L754" s="508"/>
      <c r="M754" s="508"/>
      <c r="N754" s="508"/>
      <c r="O754" s="509"/>
      <c r="P754" s="509"/>
    </row>
    <row r="755" spans="1:16" ht="21.75" customHeight="1" x14ac:dyDescent="0.3">
      <c r="A755" s="504"/>
      <c r="B755" s="504"/>
      <c r="C755" s="504"/>
      <c r="D755" s="504"/>
      <c r="E755" s="506"/>
      <c r="F755" s="506"/>
      <c r="G755" s="506"/>
      <c r="H755" s="506"/>
      <c r="I755" s="506"/>
      <c r="J755" s="506"/>
      <c r="K755" s="507"/>
      <c r="L755" s="508"/>
      <c r="M755" s="508"/>
      <c r="N755" s="508"/>
      <c r="O755" s="509"/>
      <c r="P755" s="509"/>
    </row>
    <row r="756" spans="1:16" ht="21.75" customHeight="1" x14ac:dyDescent="0.3">
      <c r="A756" s="504"/>
      <c r="B756" s="504"/>
      <c r="C756" s="504"/>
      <c r="D756" s="504"/>
      <c r="E756" s="506"/>
      <c r="F756" s="506"/>
      <c r="G756" s="506"/>
      <c r="H756" s="506"/>
      <c r="I756" s="506"/>
      <c r="J756" s="506"/>
      <c r="K756" s="507"/>
      <c r="L756" s="508"/>
      <c r="M756" s="508"/>
      <c r="N756" s="508"/>
      <c r="O756" s="509"/>
      <c r="P756" s="509"/>
    </row>
    <row r="757" spans="1:16" ht="21.75" customHeight="1" x14ac:dyDescent="0.3">
      <c r="A757" s="504"/>
      <c r="B757" s="504"/>
      <c r="C757" s="504"/>
      <c r="D757" s="504"/>
      <c r="E757" s="506"/>
      <c r="F757" s="506"/>
      <c r="G757" s="506"/>
      <c r="H757" s="506"/>
      <c r="I757" s="506"/>
      <c r="J757" s="506"/>
      <c r="K757" s="507"/>
      <c r="L757" s="508"/>
      <c r="M757" s="508"/>
      <c r="N757" s="508"/>
      <c r="O757" s="509"/>
      <c r="P757" s="509"/>
    </row>
    <row r="758" spans="1:16" ht="21.75" customHeight="1" x14ac:dyDescent="0.3">
      <c r="A758" s="504"/>
      <c r="B758" s="504"/>
      <c r="C758" s="504"/>
      <c r="D758" s="504"/>
      <c r="E758" s="506"/>
      <c r="F758" s="506"/>
      <c r="G758" s="506"/>
      <c r="H758" s="506"/>
      <c r="I758" s="506"/>
      <c r="J758" s="506"/>
      <c r="K758" s="507"/>
      <c r="L758" s="508"/>
      <c r="M758" s="508"/>
      <c r="N758" s="508"/>
      <c r="O758" s="509"/>
      <c r="P758" s="509"/>
    </row>
    <row r="759" spans="1:16" ht="21.75" customHeight="1" x14ac:dyDescent="0.3">
      <c r="A759" s="504"/>
      <c r="B759" s="504"/>
      <c r="C759" s="504"/>
      <c r="D759" s="504"/>
      <c r="E759" s="506"/>
      <c r="F759" s="506"/>
      <c r="G759" s="506"/>
      <c r="H759" s="506"/>
      <c r="I759" s="506"/>
      <c r="J759" s="506"/>
      <c r="K759" s="507"/>
      <c r="L759" s="508"/>
      <c r="M759" s="508"/>
      <c r="N759" s="508"/>
      <c r="O759" s="509"/>
      <c r="P759" s="509"/>
    </row>
    <row r="760" spans="1:16" ht="21.75" customHeight="1" x14ac:dyDescent="0.3">
      <c r="A760" s="504"/>
      <c r="B760" s="504"/>
      <c r="C760" s="504"/>
      <c r="D760" s="504"/>
      <c r="E760" s="506"/>
      <c r="F760" s="506"/>
      <c r="G760" s="506"/>
      <c r="H760" s="506"/>
      <c r="I760" s="506"/>
      <c r="J760" s="506"/>
      <c r="K760" s="507"/>
      <c r="L760" s="508"/>
      <c r="M760" s="508"/>
      <c r="N760" s="508"/>
      <c r="O760" s="509"/>
      <c r="P760" s="509"/>
    </row>
    <row r="761" spans="1:16" ht="21.75" customHeight="1" x14ac:dyDescent="0.3">
      <c r="A761" s="504"/>
      <c r="B761" s="504"/>
      <c r="C761" s="504"/>
      <c r="D761" s="504"/>
      <c r="E761" s="506"/>
      <c r="F761" s="506"/>
      <c r="G761" s="506"/>
      <c r="H761" s="506"/>
      <c r="I761" s="506"/>
      <c r="J761" s="506"/>
      <c r="K761" s="507"/>
      <c r="L761" s="508"/>
      <c r="M761" s="508"/>
      <c r="N761" s="508"/>
      <c r="O761" s="509"/>
      <c r="P761" s="509"/>
    </row>
    <row r="762" spans="1:16" ht="21.75" customHeight="1" x14ac:dyDescent="0.3">
      <c r="A762" s="504"/>
      <c r="B762" s="504"/>
      <c r="C762" s="504"/>
      <c r="D762" s="504"/>
      <c r="E762" s="506"/>
      <c r="F762" s="506"/>
      <c r="G762" s="506"/>
      <c r="H762" s="506"/>
      <c r="I762" s="506"/>
      <c r="J762" s="506"/>
      <c r="K762" s="507"/>
      <c r="L762" s="508"/>
      <c r="M762" s="508"/>
      <c r="N762" s="508"/>
      <c r="O762" s="509"/>
      <c r="P762" s="509"/>
    </row>
    <row r="763" spans="1:16" ht="21.75" customHeight="1" x14ac:dyDescent="0.3">
      <c r="A763" s="504"/>
      <c r="B763" s="504"/>
      <c r="C763" s="504"/>
      <c r="D763" s="504"/>
      <c r="E763" s="506"/>
      <c r="F763" s="506"/>
      <c r="G763" s="506"/>
      <c r="H763" s="506"/>
      <c r="I763" s="506"/>
      <c r="J763" s="506"/>
      <c r="K763" s="507"/>
      <c r="L763" s="508"/>
      <c r="M763" s="508"/>
      <c r="N763" s="508"/>
      <c r="O763" s="509"/>
      <c r="P763" s="509"/>
    </row>
    <row r="764" spans="1:16" ht="21.75" customHeight="1" x14ac:dyDescent="0.3">
      <c r="A764" s="504"/>
      <c r="B764" s="504"/>
      <c r="C764" s="504"/>
      <c r="D764" s="504"/>
      <c r="E764" s="506"/>
      <c r="F764" s="506"/>
      <c r="G764" s="506"/>
      <c r="H764" s="506"/>
      <c r="I764" s="506"/>
      <c r="J764" s="506"/>
      <c r="K764" s="507"/>
      <c r="L764" s="508"/>
      <c r="M764" s="508"/>
      <c r="N764" s="508"/>
      <c r="O764" s="509"/>
      <c r="P764" s="509"/>
    </row>
    <row r="765" spans="1:16" ht="21.75" customHeight="1" x14ac:dyDescent="0.3">
      <c r="A765" s="504"/>
      <c r="B765" s="504"/>
      <c r="C765" s="504"/>
      <c r="D765" s="504"/>
      <c r="E765" s="506"/>
      <c r="F765" s="506"/>
      <c r="G765" s="506"/>
      <c r="H765" s="506"/>
      <c r="I765" s="506"/>
      <c r="J765" s="506"/>
      <c r="K765" s="507"/>
      <c r="L765" s="508"/>
      <c r="M765" s="508"/>
      <c r="N765" s="508"/>
      <c r="O765" s="509"/>
      <c r="P765" s="509"/>
    </row>
    <row r="766" spans="1:16" ht="21.75" customHeight="1" x14ac:dyDescent="0.3">
      <c r="A766" s="504"/>
      <c r="B766" s="504"/>
      <c r="C766" s="504"/>
      <c r="D766" s="504"/>
      <c r="E766" s="506"/>
      <c r="F766" s="506"/>
      <c r="G766" s="506"/>
      <c r="H766" s="506"/>
      <c r="I766" s="506"/>
      <c r="J766" s="506"/>
      <c r="K766" s="507"/>
      <c r="L766" s="508"/>
      <c r="M766" s="508"/>
      <c r="N766" s="508"/>
      <c r="O766" s="509"/>
      <c r="P766" s="509"/>
    </row>
    <row r="767" spans="1:16" ht="21.75" customHeight="1" x14ac:dyDescent="0.3">
      <c r="A767" s="504"/>
      <c r="B767" s="504"/>
      <c r="C767" s="504"/>
      <c r="D767" s="504"/>
      <c r="E767" s="506"/>
      <c r="F767" s="506"/>
      <c r="G767" s="506"/>
      <c r="H767" s="506"/>
      <c r="I767" s="506"/>
      <c r="J767" s="506"/>
      <c r="K767" s="507"/>
      <c r="L767" s="508"/>
      <c r="M767" s="508"/>
      <c r="N767" s="508"/>
      <c r="O767" s="509"/>
      <c r="P767" s="509"/>
    </row>
    <row r="768" spans="1:16" ht="21.75" customHeight="1" x14ac:dyDescent="0.3">
      <c r="A768" s="504"/>
      <c r="B768" s="504"/>
      <c r="C768" s="504"/>
      <c r="D768" s="504"/>
      <c r="E768" s="506"/>
      <c r="F768" s="506"/>
      <c r="G768" s="506"/>
      <c r="H768" s="506"/>
      <c r="I768" s="506"/>
      <c r="J768" s="506"/>
      <c r="K768" s="507"/>
      <c r="L768" s="508"/>
      <c r="M768" s="508"/>
      <c r="N768" s="508"/>
      <c r="O768" s="509"/>
      <c r="P768" s="509"/>
    </row>
    <row r="769" spans="1:16" ht="21.75" customHeight="1" x14ac:dyDescent="0.3">
      <c r="A769" s="504"/>
      <c r="B769" s="504"/>
      <c r="C769" s="504"/>
      <c r="D769" s="504"/>
      <c r="E769" s="506"/>
      <c r="F769" s="506"/>
      <c r="G769" s="506"/>
      <c r="H769" s="506"/>
      <c r="I769" s="506"/>
      <c r="J769" s="506"/>
      <c r="K769" s="507"/>
      <c r="L769" s="508"/>
      <c r="M769" s="508"/>
      <c r="N769" s="508"/>
      <c r="O769" s="509"/>
      <c r="P769" s="509"/>
    </row>
    <row r="770" spans="1:16" ht="21.75" customHeight="1" x14ac:dyDescent="0.3">
      <c r="A770" s="504"/>
      <c r="B770" s="504"/>
      <c r="C770" s="504"/>
      <c r="D770" s="504"/>
      <c r="E770" s="506"/>
      <c r="F770" s="506"/>
      <c r="G770" s="506"/>
      <c r="H770" s="506"/>
      <c r="I770" s="506"/>
      <c r="J770" s="506"/>
      <c r="K770" s="507"/>
      <c r="L770" s="508"/>
      <c r="M770" s="508"/>
      <c r="N770" s="508"/>
      <c r="O770" s="509"/>
      <c r="P770" s="509"/>
    </row>
    <row r="771" spans="1:16" ht="21.75" customHeight="1" x14ac:dyDescent="0.3">
      <c r="A771" s="504"/>
      <c r="B771" s="504"/>
      <c r="C771" s="504"/>
      <c r="D771" s="504"/>
      <c r="E771" s="506"/>
      <c r="F771" s="506"/>
      <c r="G771" s="506"/>
      <c r="H771" s="506"/>
      <c r="I771" s="506"/>
      <c r="J771" s="506"/>
      <c r="K771" s="507"/>
      <c r="L771" s="508"/>
      <c r="M771" s="508"/>
      <c r="N771" s="508"/>
      <c r="O771" s="509"/>
      <c r="P771" s="509"/>
    </row>
    <row r="772" spans="1:16" ht="21.75" customHeight="1" x14ac:dyDescent="0.3">
      <c r="A772" s="504"/>
      <c r="B772" s="504"/>
      <c r="C772" s="504"/>
      <c r="D772" s="504"/>
      <c r="E772" s="506"/>
      <c r="F772" s="506"/>
      <c r="G772" s="506"/>
      <c r="H772" s="506"/>
      <c r="I772" s="506"/>
      <c r="J772" s="506"/>
      <c r="K772" s="507"/>
      <c r="L772" s="508"/>
      <c r="M772" s="508"/>
      <c r="N772" s="508"/>
      <c r="O772" s="509"/>
      <c r="P772" s="509"/>
    </row>
    <row r="773" spans="1:16" ht="21.75" customHeight="1" x14ac:dyDescent="0.3">
      <c r="A773" s="504"/>
      <c r="B773" s="504"/>
      <c r="C773" s="504"/>
      <c r="D773" s="504"/>
      <c r="E773" s="506"/>
      <c r="F773" s="506"/>
      <c r="G773" s="506"/>
      <c r="H773" s="506"/>
      <c r="I773" s="506"/>
      <c r="J773" s="506"/>
      <c r="K773" s="507"/>
      <c r="L773" s="508"/>
      <c r="M773" s="508"/>
      <c r="N773" s="508"/>
      <c r="O773" s="509"/>
      <c r="P773" s="509"/>
    </row>
    <row r="774" spans="1:16" ht="21.75" customHeight="1" x14ac:dyDescent="0.3">
      <c r="A774" s="504"/>
      <c r="B774" s="504"/>
      <c r="C774" s="504"/>
      <c r="D774" s="504"/>
      <c r="E774" s="506"/>
      <c r="F774" s="506"/>
      <c r="G774" s="506"/>
      <c r="H774" s="506"/>
      <c r="I774" s="506"/>
      <c r="J774" s="506"/>
      <c r="K774" s="507"/>
      <c r="L774" s="508"/>
      <c r="M774" s="508"/>
      <c r="N774" s="508"/>
      <c r="O774" s="509"/>
      <c r="P774" s="509"/>
    </row>
    <row r="775" spans="1:16" ht="21.75" customHeight="1" x14ac:dyDescent="0.3">
      <c r="A775" s="504"/>
      <c r="B775" s="504"/>
      <c r="C775" s="504"/>
      <c r="D775" s="504"/>
      <c r="E775" s="506"/>
      <c r="F775" s="506"/>
      <c r="G775" s="506"/>
      <c r="H775" s="506"/>
      <c r="I775" s="506"/>
      <c r="J775" s="506"/>
      <c r="K775" s="507"/>
      <c r="L775" s="508"/>
      <c r="M775" s="508"/>
      <c r="N775" s="508"/>
      <c r="O775" s="509"/>
      <c r="P775" s="509"/>
    </row>
    <row r="776" spans="1:16" ht="21.75" customHeight="1" x14ac:dyDescent="0.3">
      <c r="A776" s="504"/>
      <c r="B776" s="504"/>
      <c r="C776" s="504"/>
      <c r="D776" s="504"/>
      <c r="E776" s="506"/>
      <c r="F776" s="506"/>
      <c r="G776" s="506"/>
      <c r="H776" s="506"/>
      <c r="I776" s="506"/>
      <c r="J776" s="506"/>
      <c r="K776" s="507"/>
      <c r="L776" s="508"/>
      <c r="M776" s="508"/>
      <c r="N776" s="508"/>
      <c r="O776" s="509"/>
      <c r="P776" s="509"/>
    </row>
    <row r="777" spans="1:16" ht="21.75" customHeight="1" x14ac:dyDescent="0.3">
      <c r="A777" s="504"/>
      <c r="B777" s="504"/>
      <c r="C777" s="504"/>
      <c r="D777" s="504"/>
      <c r="E777" s="506"/>
      <c r="F777" s="506"/>
      <c r="G777" s="506"/>
      <c r="H777" s="506"/>
      <c r="I777" s="506"/>
      <c r="J777" s="506"/>
      <c r="K777" s="507"/>
      <c r="L777" s="508"/>
      <c r="M777" s="508"/>
      <c r="N777" s="508"/>
      <c r="O777" s="509"/>
      <c r="P777" s="509"/>
    </row>
    <row r="778" spans="1:16" ht="21.75" customHeight="1" x14ac:dyDescent="0.3">
      <c r="A778" s="504"/>
      <c r="B778" s="504"/>
      <c r="C778" s="504"/>
      <c r="D778" s="504"/>
      <c r="E778" s="506"/>
      <c r="F778" s="506"/>
      <c r="G778" s="506"/>
      <c r="H778" s="506"/>
      <c r="I778" s="506"/>
      <c r="J778" s="506"/>
      <c r="K778" s="507"/>
      <c r="L778" s="508"/>
      <c r="M778" s="508"/>
      <c r="N778" s="508"/>
      <c r="O778" s="509"/>
      <c r="P778" s="509"/>
    </row>
    <row r="779" spans="1:16" ht="21.75" customHeight="1" x14ac:dyDescent="0.3">
      <c r="A779" s="504"/>
      <c r="B779" s="504"/>
      <c r="C779" s="504"/>
      <c r="D779" s="504"/>
      <c r="E779" s="506"/>
      <c r="F779" s="506"/>
      <c r="G779" s="506"/>
      <c r="H779" s="506"/>
      <c r="I779" s="506"/>
      <c r="J779" s="506"/>
      <c r="K779" s="507"/>
      <c r="L779" s="508"/>
      <c r="M779" s="508"/>
      <c r="N779" s="508"/>
      <c r="O779" s="509"/>
      <c r="P779" s="509"/>
    </row>
    <row r="780" spans="1:16" ht="21.75" customHeight="1" x14ac:dyDescent="0.3">
      <c r="A780" s="504"/>
      <c r="B780" s="504"/>
      <c r="C780" s="504"/>
      <c r="D780" s="504"/>
      <c r="E780" s="506"/>
      <c r="F780" s="506"/>
      <c r="G780" s="506"/>
      <c r="H780" s="506"/>
      <c r="I780" s="506"/>
      <c r="J780" s="506"/>
      <c r="K780" s="507"/>
      <c r="L780" s="508"/>
      <c r="M780" s="508"/>
      <c r="N780" s="508"/>
      <c r="O780" s="509"/>
      <c r="P780" s="509"/>
    </row>
    <row r="781" spans="1:16" ht="21.75" customHeight="1" x14ac:dyDescent="0.3">
      <c r="A781" s="504"/>
      <c r="B781" s="504"/>
      <c r="C781" s="504"/>
      <c r="D781" s="504"/>
      <c r="E781" s="506"/>
      <c r="F781" s="506"/>
      <c r="G781" s="506"/>
      <c r="H781" s="506"/>
      <c r="I781" s="506"/>
      <c r="J781" s="506"/>
      <c r="K781" s="507"/>
      <c r="L781" s="508"/>
      <c r="M781" s="508"/>
      <c r="N781" s="508"/>
      <c r="O781" s="509"/>
      <c r="P781" s="509"/>
    </row>
    <row r="782" spans="1:16" ht="21.75" customHeight="1" x14ac:dyDescent="0.3">
      <c r="A782" s="504"/>
      <c r="B782" s="504"/>
      <c r="C782" s="504"/>
      <c r="D782" s="504"/>
      <c r="E782" s="506"/>
      <c r="F782" s="506"/>
      <c r="G782" s="506"/>
      <c r="H782" s="506"/>
      <c r="I782" s="506"/>
      <c r="J782" s="506"/>
      <c r="K782" s="507"/>
      <c r="L782" s="508"/>
      <c r="M782" s="508"/>
      <c r="N782" s="508"/>
      <c r="O782" s="509"/>
      <c r="P782" s="509"/>
    </row>
    <row r="783" spans="1:16" ht="21.75" customHeight="1" x14ac:dyDescent="0.3">
      <c r="A783" s="504"/>
      <c r="B783" s="504"/>
      <c r="C783" s="504"/>
      <c r="D783" s="504"/>
      <c r="E783" s="506"/>
      <c r="F783" s="506"/>
      <c r="G783" s="506"/>
      <c r="H783" s="506"/>
      <c r="I783" s="506"/>
      <c r="J783" s="506"/>
      <c r="K783" s="507"/>
      <c r="L783" s="508"/>
      <c r="M783" s="508"/>
      <c r="N783" s="508"/>
      <c r="O783" s="509"/>
      <c r="P783" s="509"/>
    </row>
    <row r="784" spans="1:16" ht="21.75" customHeight="1" x14ac:dyDescent="0.3">
      <c r="A784" s="504"/>
      <c r="B784" s="504"/>
      <c r="C784" s="504"/>
      <c r="D784" s="504"/>
      <c r="E784" s="506"/>
      <c r="F784" s="506"/>
      <c r="G784" s="506"/>
      <c r="H784" s="506"/>
      <c r="I784" s="506"/>
      <c r="J784" s="506"/>
      <c r="K784" s="507"/>
      <c r="L784" s="508"/>
      <c r="M784" s="508"/>
      <c r="N784" s="508"/>
      <c r="O784" s="509"/>
      <c r="P784" s="509"/>
    </row>
    <row r="785" spans="1:16" ht="21.75" customHeight="1" x14ac:dyDescent="0.3">
      <c r="A785" s="504"/>
      <c r="B785" s="504"/>
      <c r="C785" s="504"/>
      <c r="D785" s="504"/>
      <c r="E785" s="506"/>
      <c r="F785" s="506"/>
      <c r="G785" s="506"/>
      <c r="H785" s="506"/>
      <c r="I785" s="506"/>
      <c r="J785" s="506"/>
      <c r="K785" s="507"/>
      <c r="L785" s="508"/>
      <c r="M785" s="508"/>
      <c r="N785" s="508"/>
      <c r="O785" s="509"/>
      <c r="P785" s="509"/>
    </row>
    <row r="786" spans="1:16" ht="21.75" customHeight="1" x14ac:dyDescent="0.3">
      <c r="A786" s="504"/>
      <c r="B786" s="504"/>
      <c r="C786" s="504"/>
      <c r="D786" s="504"/>
      <c r="E786" s="506"/>
      <c r="F786" s="506"/>
      <c r="G786" s="506"/>
      <c r="H786" s="506"/>
      <c r="I786" s="506"/>
      <c r="J786" s="506"/>
      <c r="K786" s="507"/>
      <c r="L786" s="508"/>
      <c r="M786" s="508"/>
      <c r="N786" s="508"/>
      <c r="O786" s="509"/>
      <c r="P786" s="509"/>
    </row>
    <row r="787" spans="1:16" ht="21.75" customHeight="1" x14ac:dyDescent="0.3">
      <c r="A787" s="504"/>
      <c r="B787" s="504"/>
      <c r="C787" s="504"/>
      <c r="D787" s="504"/>
      <c r="E787" s="506"/>
      <c r="F787" s="506"/>
      <c r="G787" s="506"/>
      <c r="H787" s="506"/>
      <c r="I787" s="506"/>
      <c r="J787" s="506"/>
      <c r="K787" s="507"/>
      <c r="L787" s="508"/>
      <c r="M787" s="508"/>
      <c r="N787" s="508"/>
      <c r="O787" s="509"/>
      <c r="P787" s="509"/>
    </row>
    <row r="788" spans="1:16" ht="21.75" customHeight="1" x14ac:dyDescent="0.3">
      <c r="A788" s="504"/>
      <c r="B788" s="504"/>
      <c r="C788" s="504"/>
      <c r="D788" s="504"/>
      <c r="E788" s="506"/>
      <c r="F788" s="506"/>
      <c r="G788" s="506"/>
      <c r="H788" s="506"/>
      <c r="I788" s="506"/>
      <c r="J788" s="506"/>
      <c r="K788" s="507"/>
      <c r="L788" s="508"/>
      <c r="M788" s="508"/>
      <c r="N788" s="508"/>
      <c r="O788" s="509"/>
      <c r="P788" s="509"/>
    </row>
    <row r="789" spans="1:16" ht="21.75" customHeight="1" x14ac:dyDescent="0.3">
      <c r="A789" s="504"/>
      <c r="B789" s="504"/>
      <c r="C789" s="504"/>
      <c r="D789" s="504"/>
      <c r="E789" s="506"/>
      <c r="F789" s="506"/>
      <c r="G789" s="506"/>
      <c r="H789" s="506"/>
      <c r="I789" s="506"/>
      <c r="J789" s="506"/>
      <c r="K789" s="507"/>
      <c r="L789" s="508"/>
      <c r="M789" s="508"/>
      <c r="N789" s="508"/>
      <c r="O789" s="509"/>
      <c r="P789" s="509"/>
    </row>
    <row r="790" spans="1:16" ht="21.75" customHeight="1" x14ac:dyDescent="0.3">
      <c r="A790" s="504"/>
      <c r="B790" s="504"/>
      <c r="C790" s="504"/>
      <c r="D790" s="504"/>
      <c r="E790" s="506"/>
      <c r="F790" s="506"/>
      <c r="G790" s="506"/>
      <c r="H790" s="506"/>
      <c r="I790" s="506"/>
      <c r="J790" s="506"/>
      <c r="K790" s="507"/>
      <c r="L790" s="508"/>
      <c r="M790" s="508"/>
      <c r="N790" s="508"/>
      <c r="O790" s="509"/>
      <c r="P790" s="509"/>
    </row>
    <row r="791" spans="1:16" ht="21.75" customHeight="1" x14ac:dyDescent="0.3">
      <c r="A791" s="504"/>
      <c r="B791" s="504"/>
      <c r="C791" s="504"/>
      <c r="D791" s="504"/>
      <c r="E791" s="506"/>
      <c r="F791" s="506"/>
      <c r="G791" s="506"/>
      <c r="H791" s="506"/>
      <c r="I791" s="506"/>
      <c r="J791" s="506"/>
      <c r="K791" s="507"/>
      <c r="L791" s="508"/>
      <c r="M791" s="508"/>
      <c r="N791" s="508"/>
      <c r="O791" s="509"/>
      <c r="P791" s="509"/>
    </row>
    <row r="792" spans="1:16" ht="21.75" customHeight="1" x14ac:dyDescent="0.3">
      <c r="A792" s="504"/>
      <c r="B792" s="504"/>
      <c r="C792" s="504"/>
      <c r="D792" s="504"/>
      <c r="E792" s="506"/>
      <c r="F792" s="506"/>
      <c r="G792" s="506"/>
      <c r="H792" s="506"/>
      <c r="I792" s="506"/>
      <c r="J792" s="506"/>
      <c r="K792" s="507"/>
      <c r="L792" s="508"/>
      <c r="M792" s="508"/>
      <c r="N792" s="508"/>
      <c r="O792" s="509"/>
      <c r="P792" s="509"/>
    </row>
    <row r="793" spans="1:16" ht="21.75" customHeight="1" x14ac:dyDescent="0.3">
      <c r="A793" s="504"/>
      <c r="B793" s="504"/>
      <c r="C793" s="504"/>
      <c r="D793" s="504"/>
      <c r="E793" s="506"/>
      <c r="F793" s="506"/>
      <c r="G793" s="506"/>
      <c r="H793" s="506"/>
      <c r="I793" s="506"/>
      <c r="J793" s="506"/>
      <c r="K793" s="507"/>
      <c r="L793" s="508"/>
      <c r="M793" s="508"/>
      <c r="N793" s="508"/>
      <c r="O793" s="509"/>
      <c r="P793" s="509"/>
    </row>
    <row r="794" spans="1:16" ht="21.75" customHeight="1" x14ac:dyDescent="0.3">
      <c r="A794" s="504"/>
      <c r="B794" s="504"/>
      <c r="C794" s="504"/>
      <c r="D794" s="504"/>
      <c r="E794" s="506"/>
      <c r="F794" s="506"/>
      <c r="G794" s="506"/>
      <c r="H794" s="506"/>
      <c r="I794" s="506"/>
      <c r="J794" s="506"/>
      <c r="K794" s="507"/>
      <c r="L794" s="508"/>
      <c r="M794" s="508"/>
      <c r="N794" s="508"/>
      <c r="O794" s="509"/>
      <c r="P794" s="509"/>
    </row>
    <row r="795" spans="1:16" ht="21.75" customHeight="1" x14ac:dyDescent="0.3">
      <c r="A795" s="504"/>
      <c r="B795" s="504"/>
      <c r="C795" s="504"/>
      <c r="D795" s="504"/>
      <c r="E795" s="506"/>
      <c r="F795" s="506"/>
      <c r="G795" s="506"/>
      <c r="H795" s="506"/>
      <c r="I795" s="506"/>
      <c r="J795" s="506"/>
      <c r="K795" s="507"/>
      <c r="L795" s="508"/>
      <c r="M795" s="508"/>
      <c r="N795" s="508"/>
      <c r="O795" s="509"/>
      <c r="P795" s="509"/>
    </row>
    <row r="796" spans="1:16" ht="21.75" customHeight="1" x14ac:dyDescent="0.3">
      <c r="A796" s="504"/>
      <c r="B796" s="504"/>
      <c r="C796" s="504"/>
      <c r="D796" s="504"/>
      <c r="E796" s="506"/>
      <c r="F796" s="506"/>
      <c r="G796" s="506"/>
      <c r="H796" s="506"/>
      <c r="I796" s="506"/>
      <c r="J796" s="506"/>
      <c r="K796" s="507"/>
      <c r="L796" s="508"/>
      <c r="M796" s="508"/>
      <c r="N796" s="508"/>
      <c r="O796" s="509"/>
      <c r="P796" s="509"/>
    </row>
    <row r="797" spans="1:16" ht="21.75" customHeight="1" x14ac:dyDescent="0.3">
      <c r="A797" s="504"/>
      <c r="B797" s="504"/>
      <c r="C797" s="504"/>
      <c r="D797" s="504"/>
      <c r="E797" s="506"/>
      <c r="F797" s="506"/>
      <c r="G797" s="506"/>
      <c r="H797" s="506"/>
      <c r="I797" s="506"/>
      <c r="J797" s="506"/>
      <c r="K797" s="507"/>
      <c r="L797" s="508"/>
      <c r="M797" s="508"/>
      <c r="N797" s="508"/>
      <c r="O797" s="509"/>
      <c r="P797" s="509"/>
    </row>
    <row r="798" spans="1:16" ht="21.75" customHeight="1" x14ac:dyDescent="0.3">
      <c r="A798" s="504"/>
      <c r="B798" s="504"/>
      <c r="C798" s="504"/>
      <c r="D798" s="504"/>
      <c r="E798" s="506"/>
      <c r="F798" s="506"/>
      <c r="G798" s="506"/>
      <c r="H798" s="506"/>
      <c r="I798" s="506"/>
      <c r="J798" s="506"/>
      <c r="K798" s="507"/>
      <c r="L798" s="508"/>
      <c r="M798" s="508"/>
      <c r="N798" s="508"/>
      <c r="O798" s="509"/>
      <c r="P798" s="509"/>
    </row>
    <row r="799" spans="1:16" ht="21.75" customHeight="1" x14ac:dyDescent="0.3">
      <c r="A799" s="504"/>
      <c r="B799" s="504"/>
      <c r="C799" s="504"/>
      <c r="D799" s="504"/>
      <c r="E799" s="506"/>
      <c r="F799" s="506"/>
      <c r="G799" s="506"/>
      <c r="H799" s="506"/>
      <c r="I799" s="506"/>
      <c r="J799" s="506"/>
      <c r="K799" s="507"/>
      <c r="L799" s="508"/>
      <c r="M799" s="508"/>
      <c r="N799" s="508"/>
      <c r="O799" s="509"/>
      <c r="P799" s="509"/>
    </row>
    <row r="800" spans="1:16" ht="21.75" customHeight="1" x14ac:dyDescent="0.3">
      <c r="A800" s="504"/>
      <c r="B800" s="504"/>
      <c r="C800" s="504"/>
      <c r="D800" s="504"/>
      <c r="E800" s="506"/>
      <c r="F800" s="506"/>
      <c r="G800" s="506"/>
      <c r="H800" s="506"/>
      <c r="I800" s="506"/>
      <c r="J800" s="506"/>
      <c r="K800" s="507"/>
      <c r="L800" s="508"/>
      <c r="M800" s="508"/>
      <c r="N800" s="508"/>
      <c r="O800" s="509"/>
      <c r="P800" s="509"/>
    </row>
    <row r="801" spans="1:16" ht="21.75" customHeight="1" x14ac:dyDescent="0.3">
      <c r="A801" s="504"/>
      <c r="B801" s="504"/>
      <c r="C801" s="504"/>
      <c r="D801" s="504"/>
      <c r="E801" s="506"/>
      <c r="F801" s="506"/>
      <c r="G801" s="506"/>
      <c r="H801" s="506"/>
      <c r="I801" s="506"/>
      <c r="J801" s="506"/>
      <c r="K801" s="507"/>
      <c r="L801" s="508"/>
      <c r="M801" s="508"/>
      <c r="N801" s="508"/>
      <c r="O801" s="509"/>
      <c r="P801" s="509"/>
    </row>
    <row r="802" spans="1:16" ht="21.75" customHeight="1" x14ac:dyDescent="0.3">
      <c r="A802" s="504"/>
      <c r="B802" s="504"/>
      <c r="C802" s="504"/>
      <c r="D802" s="504"/>
      <c r="E802" s="506"/>
      <c r="F802" s="506"/>
      <c r="G802" s="506"/>
      <c r="H802" s="506"/>
      <c r="I802" s="506"/>
      <c r="J802" s="506"/>
      <c r="K802" s="507"/>
      <c r="L802" s="508"/>
      <c r="M802" s="508"/>
      <c r="N802" s="508"/>
      <c r="O802" s="509"/>
      <c r="P802" s="509"/>
    </row>
    <row r="803" spans="1:16" ht="21.75" customHeight="1" x14ac:dyDescent="0.3">
      <c r="A803" s="504"/>
      <c r="B803" s="504"/>
      <c r="C803" s="504"/>
      <c r="D803" s="504"/>
      <c r="E803" s="506"/>
      <c r="F803" s="506"/>
      <c r="G803" s="506"/>
      <c r="H803" s="506"/>
      <c r="I803" s="506"/>
      <c r="J803" s="506"/>
      <c r="K803" s="507"/>
      <c r="L803" s="508"/>
      <c r="M803" s="508"/>
      <c r="N803" s="508"/>
      <c r="O803" s="509"/>
      <c r="P803" s="509"/>
    </row>
    <row r="804" spans="1:16" ht="21.75" customHeight="1" x14ac:dyDescent="0.3">
      <c r="A804" s="504"/>
      <c r="B804" s="504"/>
      <c r="C804" s="504"/>
      <c r="D804" s="504"/>
      <c r="E804" s="506"/>
      <c r="F804" s="506"/>
      <c r="G804" s="506"/>
      <c r="H804" s="506"/>
      <c r="I804" s="506"/>
      <c r="J804" s="506"/>
      <c r="K804" s="507"/>
      <c r="L804" s="508"/>
      <c r="M804" s="508"/>
      <c r="N804" s="508"/>
      <c r="O804" s="509"/>
      <c r="P804" s="509"/>
    </row>
    <row r="805" spans="1:16" ht="21.75" customHeight="1" x14ac:dyDescent="0.3">
      <c r="A805" s="504"/>
      <c r="B805" s="504"/>
      <c r="C805" s="504"/>
      <c r="D805" s="504"/>
      <c r="E805" s="506"/>
      <c r="F805" s="506"/>
      <c r="G805" s="506"/>
      <c r="H805" s="506"/>
      <c r="I805" s="506"/>
      <c r="J805" s="506"/>
      <c r="K805" s="507"/>
      <c r="L805" s="508"/>
      <c r="M805" s="508"/>
      <c r="N805" s="508"/>
      <c r="O805" s="509"/>
      <c r="P805" s="509"/>
    </row>
    <row r="806" spans="1:16" ht="21.75" customHeight="1" x14ac:dyDescent="0.3">
      <c r="A806" s="504"/>
      <c r="B806" s="504"/>
      <c r="C806" s="504"/>
      <c r="D806" s="504"/>
      <c r="E806" s="506"/>
      <c r="F806" s="506"/>
      <c r="G806" s="506"/>
      <c r="H806" s="506"/>
      <c r="I806" s="506"/>
      <c r="J806" s="506"/>
      <c r="K806" s="507"/>
      <c r="L806" s="508"/>
      <c r="M806" s="508"/>
      <c r="N806" s="508"/>
      <c r="O806" s="509"/>
      <c r="P806" s="509"/>
    </row>
    <row r="807" spans="1:16" ht="21.75" customHeight="1" x14ac:dyDescent="0.3">
      <c r="A807" s="504"/>
      <c r="B807" s="504"/>
      <c r="C807" s="504"/>
      <c r="D807" s="504"/>
      <c r="E807" s="506"/>
      <c r="F807" s="506"/>
      <c r="G807" s="506"/>
      <c r="H807" s="506"/>
      <c r="I807" s="506"/>
      <c r="J807" s="506"/>
      <c r="K807" s="507"/>
      <c r="L807" s="508"/>
      <c r="M807" s="508"/>
      <c r="N807" s="508"/>
      <c r="O807" s="509"/>
      <c r="P807" s="509"/>
    </row>
    <row r="808" spans="1:16" ht="21.75" customHeight="1" x14ac:dyDescent="0.3">
      <c r="A808" s="504"/>
      <c r="B808" s="504"/>
      <c r="C808" s="504"/>
      <c r="D808" s="504"/>
      <c r="E808" s="506"/>
      <c r="F808" s="506"/>
      <c r="G808" s="506"/>
      <c r="H808" s="506"/>
      <c r="I808" s="506"/>
      <c r="J808" s="506"/>
      <c r="K808" s="507"/>
      <c r="L808" s="508"/>
      <c r="M808" s="508"/>
      <c r="N808" s="508"/>
      <c r="O808" s="509"/>
      <c r="P808" s="509"/>
    </row>
    <row r="809" spans="1:16" ht="21.75" customHeight="1" x14ac:dyDescent="0.3">
      <c r="A809" s="504"/>
      <c r="B809" s="504"/>
      <c r="C809" s="504"/>
      <c r="D809" s="504"/>
      <c r="E809" s="506"/>
      <c r="F809" s="506"/>
      <c r="G809" s="506"/>
      <c r="H809" s="506"/>
      <c r="I809" s="506"/>
      <c r="J809" s="506"/>
      <c r="K809" s="507"/>
      <c r="L809" s="508"/>
      <c r="M809" s="508"/>
      <c r="N809" s="508"/>
      <c r="O809" s="509"/>
      <c r="P809" s="509"/>
    </row>
    <row r="810" spans="1:16" ht="21.75" customHeight="1" x14ac:dyDescent="0.3">
      <c r="A810" s="504"/>
      <c r="B810" s="504"/>
      <c r="C810" s="504"/>
      <c r="D810" s="504"/>
      <c r="E810" s="506"/>
      <c r="F810" s="506"/>
      <c r="G810" s="506"/>
      <c r="H810" s="506"/>
      <c r="I810" s="506"/>
      <c r="J810" s="506"/>
      <c r="K810" s="507"/>
      <c r="L810" s="508"/>
      <c r="M810" s="508"/>
      <c r="N810" s="508"/>
      <c r="O810" s="509"/>
      <c r="P810" s="509"/>
    </row>
    <row r="811" spans="1:16" ht="21.75" customHeight="1" x14ac:dyDescent="0.3">
      <c r="A811" s="504"/>
      <c r="B811" s="504"/>
      <c r="C811" s="504"/>
      <c r="D811" s="504"/>
      <c r="E811" s="506"/>
      <c r="F811" s="506"/>
      <c r="G811" s="506"/>
      <c r="H811" s="506"/>
      <c r="I811" s="506"/>
      <c r="J811" s="506"/>
      <c r="K811" s="507"/>
      <c r="L811" s="508"/>
      <c r="M811" s="508"/>
      <c r="N811" s="508"/>
      <c r="O811" s="509"/>
      <c r="P811" s="509"/>
    </row>
    <row r="812" spans="1:16" ht="21.75" customHeight="1" x14ac:dyDescent="0.3">
      <c r="A812" s="504"/>
      <c r="B812" s="504"/>
      <c r="C812" s="504"/>
      <c r="D812" s="504"/>
      <c r="E812" s="506"/>
      <c r="F812" s="506"/>
      <c r="G812" s="506"/>
      <c r="H812" s="506"/>
      <c r="I812" s="506"/>
      <c r="J812" s="506"/>
      <c r="K812" s="507"/>
      <c r="L812" s="508"/>
      <c r="M812" s="508"/>
      <c r="N812" s="508"/>
      <c r="O812" s="509"/>
      <c r="P812" s="509"/>
    </row>
    <row r="813" spans="1:16" ht="21.75" customHeight="1" x14ac:dyDescent="0.3">
      <c r="A813" s="504"/>
      <c r="B813" s="504"/>
      <c r="C813" s="504"/>
      <c r="D813" s="504"/>
      <c r="E813" s="506"/>
      <c r="F813" s="506"/>
      <c r="G813" s="506"/>
      <c r="H813" s="506"/>
      <c r="I813" s="506"/>
      <c r="J813" s="506"/>
      <c r="K813" s="507"/>
      <c r="L813" s="508"/>
      <c r="M813" s="508"/>
      <c r="N813" s="508"/>
      <c r="O813" s="509"/>
      <c r="P813" s="509"/>
    </row>
    <row r="814" spans="1:16" ht="21.75" customHeight="1" x14ac:dyDescent="0.3">
      <c r="A814" s="504"/>
      <c r="B814" s="504"/>
      <c r="C814" s="504"/>
      <c r="D814" s="504"/>
      <c r="E814" s="506"/>
      <c r="F814" s="506"/>
      <c r="G814" s="506"/>
      <c r="H814" s="506"/>
      <c r="I814" s="506"/>
      <c r="J814" s="506"/>
      <c r="K814" s="507"/>
      <c r="L814" s="508"/>
      <c r="M814" s="508"/>
      <c r="N814" s="508"/>
      <c r="O814" s="509"/>
      <c r="P814" s="509"/>
    </row>
    <row r="815" spans="1:16" ht="21.75" customHeight="1" x14ac:dyDescent="0.3">
      <c r="A815" s="504"/>
      <c r="B815" s="504"/>
      <c r="C815" s="504"/>
      <c r="D815" s="504"/>
      <c r="E815" s="506"/>
      <c r="F815" s="506"/>
      <c r="G815" s="506"/>
      <c r="H815" s="506"/>
      <c r="I815" s="506"/>
      <c r="J815" s="506"/>
      <c r="K815" s="507"/>
      <c r="L815" s="508"/>
      <c r="M815" s="508"/>
      <c r="N815" s="508"/>
      <c r="O815" s="509"/>
      <c r="P815" s="509"/>
    </row>
    <row r="816" spans="1:16" ht="21.75" customHeight="1" x14ac:dyDescent="0.3">
      <c r="A816" s="504"/>
      <c r="B816" s="504"/>
      <c r="C816" s="504"/>
      <c r="D816" s="504"/>
      <c r="E816" s="506"/>
      <c r="F816" s="506"/>
      <c r="G816" s="506"/>
      <c r="H816" s="506"/>
      <c r="I816" s="506"/>
      <c r="J816" s="506"/>
      <c r="K816" s="507"/>
      <c r="L816" s="508"/>
      <c r="M816" s="508"/>
      <c r="N816" s="508"/>
      <c r="O816" s="509"/>
      <c r="P816" s="509"/>
    </row>
    <row r="817" spans="1:16" ht="21.75" customHeight="1" x14ac:dyDescent="0.3">
      <c r="A817" s="504"/>
      <c r="B817" s="504"/>
      <c r="C817" s="504"/>
      <c r="D817" s="504"/>
      <c r="E817" s="506"/>
      <c r="F817" s="506"/>
      <c r="G817" s="506"/>
      <c r="H817" s="506"/>
      <c r="I817" s="506"/>
      <c r="J817" s="506"/>
      <c r="K817" s="507"/>
      <c r="L817" s="508"/>
      <c r="M817" s="508"/>
      <c r="N817" s="508"/>
      <c r="O817" s="509"/>
      <c r="P817" s="509"/>
    </row>
    <row r="818" spans="1:16" ht="21.75" customHeight="1" x14ac:dyDescent="0.3">
      <c r="A818" s="504"/>
      <c r="B818" s="504"/>
      <c r="C818" s="504"/>
      <c r="D818" s="504"/>
      <c r="E818" s="506"/>
      <c r="F818" s="506"/>
      <c r="G818" s="506"/>
      <c r="H818" s="506"/>
      <c r="I818" s="506"/>
      <c r="J818" s="506"/>
      <c r="K818" s="507"/>
      <c r="L818" s="508"/>
      <c r="M818" s="508"/>
      <c r="N818" s="508"/>
      <c r="O818" s="509"/>
      <c r="P818" s="509"/>
    </row>
    <row r="819" spans="1:16" ht="21.75" customHeight="1" x14ac:dyDescent="0.3">
      <c r="A819" s="504"/>
      <c r="B819" s="504"/>
      <c r="C819" s="504"/>
      <c r="D819" s="504"/>
      <c r="E819" s="506"/>
      <c r="F819" s="506"/>
      <c r="G819" s="506"/>
      <c r="H819" s="506"/>
      <c r="I819" s="506"/>
      <c r="J819" s="506"/>
      <c r="K819" s="507"/>
      <c r="L819" s="508"/>
      <c r="M819" s="508"/>
      <c r="N819" s="508"/>
      <c r="O819" s="509"/>
      <c r="P819" s="509"/>
    </row>
    <row r="820" spans="1:16" ht="21.75" customHeight="1" x14ac:dyDescent="0.3">
      <c r="A820" s="504"/>
      <c r="B820" s="504"/>
      <c r="C820" s="504"/>
      <c r="D820" s="504"/>
      <c r="E820" s="506"/>
      <c r="F820" s="506"/>
      <c r="G820" s="506"/>
      <c r="H820" s="506"/>
      <c r="I820" s="506"/>
      <c r="J820" s="506"/>
      <c r="K820" s="507"/>
      <c r="L820" s="508"/>
      <c r="M820" s="508"/>
      <c r="N820" s="508"/>
      <c r="O820" s="509"/>
      <c r="P820" s="509"/>
    </row>
    <row r="821" spans="1:16" ht="21.75" customHeight="1" x14ac:dyDescent="0.3">
      <c r="A821" s="504"/>
      <c r="B821" s="504"/>
      <c r="C821" s="504"/>
      <c r="D821" s="504"/>
      <c r="E821" s="506"/>
      <c r="F821" s="506"/>
      <c r="G821" s="506"/>
      <c r="H821" s="506"/>
      <c r="I821" s="506"/>
      <c r="J821" s="506"/>
      <c r="K821" s="507"/>
      <c r="L821" s="508"/>
      <c r="M821" s="508"/>
      <c r="N821" s="508"/>
      <c r="O821" s="509"/>
      <c r="P821" s="509"/>
    </row>
    <row r="822" spans="1:16" ht="21.75" customHeight="1" x14ac:dyDescent="0.3">
      <c r="A822" s="504"/>
      <c r="B822" s="504"/>
      <c r="C822" s="504"/>
      <c r="D822" s="504"/>
      <c r="E822" s="506"/>
      <c r="F822" s="506"/>
      <c r="G822" s="506"/>
      <c r="H822" s="506"/>
      <c r="I822" s="506"/>
      <c r="J822" s="506"/>
      <c r="K822" s="507"/>
      <c r="L822" s="508"/>
      <c r="M822" s="508"/>
      <c r="N822" s="508"/>
      <c r="O822" s="509"/>
      <c r="P822" s="509"/>
    </row>
    <row r="823" spans="1:16" ht="21.75" customHeight="1" x14ac:dyDescent="0.3">
      <c r="A823" s="504"/>
      <c r="B823" s="504"/>
      <c r="C823" s="504"/>
      <c r="D823" s="504"/>
      <c r="E823" s="506"/>
      <c r="F823" s="506"/>
      <c r="G823" s="506"/>
      <c r="H823" s="506"/>
      <c r="I823" s="506"/>
      <c r="J823" s="506"/>
      <c r="K823" s="507"/>
      <c r="L823" s="508"/>
      <c r="M823" s="508"/>
      <c r="N823" s="508"/>
      <c r="O823" s="509"/>
      <c r="P823" s="509"/>
    </row>
    <row r="824" spans="1:16" ht="21.75" customHeight="1" x14ac:dyDescent="0.3">
      <c r="A824" s="504"/>
      <c r="B824" s="504"/>
      <c r="C824" s="504"/>
      <c r="D824" s="504"/>
      <c r="E824" s="506"/>
      <c r="F824" s="506"/>
      <c r="G824" s="506"/>
      <c r="H824" s="506"/>
      <c r="I824" s="506"/>
      <c r="J824" s="506"/>
      <c r="K824" s="507"/>
      <c r="L824" s="508"/>
      <c r="M824" s="508"/>
      <c r="N824" s="508"/>
      <c r="O824" s="509"/>
      <c r="P824" s="509"/>
    </row>
    <row r="825" spans="1:16" ht="21.75" customHeight="1" x14ac:dyDescent="0.3">
      <c r="A825" s="504"/>
      <c r="B825" s="504"/>
      <c r="C825" s="504"/>
      <c r="D825" s="504"/>
      <c r="E825" s="506"/>
      <c r="F825" s="506"/>
      <c r="G825" s="506"/>
      <c r="H825" s="506"/>
      <c r="I825" s="506"/>
      <c r="J825" s="506"/>
      <c r="K825" s="507"/>
      <c r="L825" s="508"/>
      <c r="M825" s="508"/>
      <c r="N825" s="508"/>
      <c r="O825" s="509"/>
      <c r="P825" s="509"/>
    </row>
    <row r="826" spans="1:16" ht="21.75" customHeight="1" x14ac:dyDescent="0.3">
      <c r="A826" s="504"/>
      <c r="B826" s="504"/>
      <c r="C826" s="504"/>
      <c r="D826" s="504"/>
      <c r="E826" s="506"/>
      <c r="F826" s="506"/>
      <c r="G826" s="506"/>
      <c r="H826" s="506"/>
      <c r="I826" s="506"/>
      <c r="J826" s="506"/>
      <c r="K826" s="507"/>
      <c r="L826" s="508"/>
      <c r="M826" s="508"/>
      <c r="N826" s="508"/>
      <c r="O826" s="509"/>
      <c r="P826" s="509"/>
    </row>
    <row r="827" spans="1:16" ht="21.75" customHeight="1" x14ac:dyDescent="0.3">
      <c r="A827" s="504"/>
      <c r="B827" s="504"/>
      <c r="C827" s="504"/>
      <c r="D827" s="504"/>
      <c r="E827" s="506"/>
      <c r="F827" s="506"/>
      <c r="G827" s="506"/>
      <c r="H827" s="506"/>
      <c r="I827" s="506"/>
      <c r="J827" s="506"/>
      <c r="K827" s="507"/>
      <c r="L827" s="508"/>
      <c r="M827" s="508"/>
      <c r="N827" s="508"/>
      <c r="O827" s="509"/>
      <c r="P827" s="509"/>
    </row>
    <row r="828" spans="1:16" ht="21.75" customHeight="1" x14ac:dyDescent="0.3">
      <c r="A828" s="504"/>
      <c r="B828" s="504"/>
      <c r="C828" s="504"/>
      <c r="D828" s="504"/>
      <c r="E828" s="506"/>
      <c r="F828" s="506"/>
      <c r="G828" s="506"/>
      <c r="H828" s="506"/>
      <c r="I828" s="506"/>
      <c r="J828" s="506"/>
      <c r="K828" s="507"/>
      <c r="L828" s="508"/>
      <c r="M828" s="508"/>
      <c r="N828" s="508"/>
      <c r="O828" s="509"/>
      <c r="P828" s="509"/>
    </row>
    <row r="829" spans="1:16" ht="21.75" customHeight="1" x14ac:dyDescent="0.3">
      <c r="A829" s="504"/>
      <c r="B829" s="504"/>
      <c r="C829" s="504"/>
      <c r="D829" s="504"/>
      <c r="E829" s="506"/>
      <c r="F829" s="506"/>
      <c r="G829" s="506"/>
      <c r="H829" s="506"/>
      <c r="I829" s="506"/>
      <c r="J829" s="506"/>
      <c r="K829" s="507"/>
      <c r="L829" s="508"/>
      <c r="M829" s="508"/>
      <c r="N829" s="508"/>
      <c r="O829" s="509"/>
      <c r="P829" s="509"/>
    </row>
    <row r="830" spans="1:16" ht="21.75" customHeight="1" x14ac:dyDescent="0.3">
      <c r="A830" s="504"/>
      <c r="B830" s="504"/>
      <c r="C830" s="504"/>
      <c r="D830" s="504"/>
      <c r="E830" s="506"/>
      <c r="F830" s="506"/>
      <c r="G830" s="506"/>
      <c r="H830" s="506"/>
      <c r="I830" s="506"/>
      <c r="J830" s="506"/>
      <c r="K830" s="507"/>
      <c r="L830" s="508"/>
      <c r="M830" s="508"/>
      <c r="N830" s="508"/>
      <c r="O830" s="509"/>
      <c r="P830" s="509"/>
    </row>
    <row r="831" spans="1:16" ht="21.75" customHeight="1" x14ac:dyDescent="0.3">
      <c r="A831" s="504"/>
      <c r="B831" s="504"/>
      <c r="C831" s="504"/>
      <c r="D831" s="504"/>
      <c r="E831" s="506"/>
      <c r="F831" s="506"/>
      <c r="G831" s="506"/>
      <c r="H831" s="506"/>
      <c r="I831" s="506"/>
      <c r="J831" s="506"/>
      <c r="K831" s="507"/>
      <c r="L831" s="508"/>
      <c r="M831" s="508"/>
      <c r="N831" s="508"/>
      <c r="O831" s="509"/>
      <c r="P831" s="509"/>
    </row>
    <row r="832" spans="1:16" ht="21.75" customHeight="1" x14ac:dyDescent="0.3">
      <c r="A832" s="504"/>
      <c r="B832" s="504"/>
      <c r="C832" s="504"/>
      <c r="D832" s="504"/>
      <c r="E832" s="506"/>
      <c r="F832" s="506"/>
      <c r="G832" s="506"/>
      <c r="H832" s="506"/>
      <c r="I832" s="506"/>
      <c r="J832" s="506"/>
      <c r="K832" s="507"/>
      <c r="L832" s="508"/>
      <c r="M832" s="508"/>
      <c r="N832" s="508"/>
      <c r="O832" s="509"/>
      <c r="P832" s="509"/>
    </row>
    <row r="833" spans="1:16" ht="21.75" customHeight="1" x14ac:dyDescent="0.3">
      <c r="A833" s="504"/>
      <c r="B833" s="504"/>
      <c r="C833" s="504"/>
      <c r="D833" s="504"/>
      <c r="E833" s="506"/>
      <c r="F833" s="506"/>
      <c r="G833" s="506"/>
      <c r="H833" s="506"/>
      <c r="I833" s="506"/>
      <c r="J833" s="506"/>
      <c r="K833" s="507"/>
      <c r="L833" s="508"/>
      <c r="M833" s="508"/>
      <c r="N833" s="508"/>
      <c r="O833" s="509"/>
      <c r="P833" s="509"/>
    </row>
    <row r="834" spans="1:16" ht="21.75" customHeight="1" x14ac:dyDescent="0.3">
      <c r="A834" s="504"/>
      <c r="B834" s="504"/>
      <c r="C834" s="504"/>
      <c r="D834" s="504"/>
      <c r="E834" s="506"/>
      <c r="F834" s="506"/>
      <c r="G834" s="506"/>
      <c r="H834" s="506"/>
      <c r="I834" s="506"/>
      <c r="J834" s="506"/>
      <c r="K834" s="507"/>
      <c r="L834" s="508"/>
      <c r="M834" s="508"/>
      <c r="N834" s="508"/>
      <c r="O834" s="509"/>
      <c r="P834" s="509"/>
    </row>
    <row r="835" spans="1:16" ht="21.75" customHeight="1" x14ac:dyDescent="0.3">
      <c r="A835" s="504"/>
      <c r="B835" s="504"/>
      <c r="C835" s="504"/>
      <c r="D835" s="504"/>
      <c r="E835" s="506"/>
      <c r="F835" s="506"/>
      <c r="G835" s="506"/>
      <c r="H835" s="506"/>
      <c r="I835" s="506"/>
      <c r="J835" s="506"/>
      <c r="K835" s="507"/>
      <c r="L835" s="508"/>
      <c r="M835" s="508"/>
      <c r="N835" s="508"/>
      <c r="O835" s="509"/>
      <c r="P835" s="509"/>
    </row>
    <row r="836" spans="1:16" ht="21.75" customHeight="1" x14ac:dyDescent="0.3">
      <c r="A836" s="504"/>
      <c r="B836" s="504"/>
      <c r="C836" s="504"/>
      <c r="D836" s="504"/>
      <c r="E836" s="506"/>
      <c r="F836" s="506"/>
      <c r="G836" s="506"/>
      <c r="H836" s="506"/>
      <c r="I836" s="506"/>
      <c r="J836" s="506"/>
      <c r="K836" s="507"/>
      <c r="L836" s="508"/>
      <c r="M836" s="508"/>
      <c r="N836" s="508"/>
      <c r="O836" s="509"/>
      <c r="P836" s="509"/>
    </row>
    <row r="837" spans="1:16" ht="21.75" customHeight="1" x14ac:dyDescent="0.3">
      <c r="A837" s="504"/>
      <c r="B837" s="504"/>
      <c r="C837" s="504"/>
      <c r="D837" s="504"/>
      <c r="E837" s="506"/>
      <c r="F837" s="506"/>
      <c r="G837" s="506"/>
      <c r="H837" s="506"/>
      <c r="I837" s="506"/>
      <c r="J837" s="506"/>
      <c r="K837" s="507"/>
      <c r="L837" s="508"/>
      <c r="M837" s="508"/>
      <c r="N837" s="508"/>
      <c r="O837" s="509"/>
      <c r="P837" s="509"/>
    </row>
    <row r="838" spans="1:16" ht="21.75" customHeight="1" x14ac:dyDescent="0.3">
      <c r="A838" s="504"/>
      <c r="B838" s="504"/>
      <c r="C838" s="504"/>
      <c r="D838" s="504"/>
      <c r="E838" s="506"/>
      <c r="F838" s="506"/>
      <c r="G838" s="506"/>
      <c r="H838" s="506"/>
      <c r="I838" s="506"/>
      <c r="J838" s="506"/>
      <c r="K838" s="507"/>
      <c r="L838" s="508"/>
      <c r="M838" s="508"/>
      <c r="N838" s="508"/>
      <c r="O838" s="509"/>
      <c r="P838" s="509"/>
    </row>
    <row r="839" spans="1:16" ht="21.75" customHeight="1" x14ac:dyDescent="0.3">
      <c r="A839" s="504"/>
      <c r="B839" s="504"/>
      <c r="C839" s="504"/>
      <c r="D839" s="504"/>
      <c r="E839" s="506"/>
      <c r="F839" s="506"/>
      <c r="G839" s="506"/>
      <c r="H839" s="506"/>
      <c r="I839" s="506"/>
      <c r="J839" s="506"/>
      <c r="K839" s="507"/>
      <c r="L839" s="508"/>
      <c r="M839" s="508"/>
      <c r="N839" s="508"/>
      <c r="O839" s="509"/>
      <c r="P839" s="509"/>
    </row>
    <row r="840" spans="1:16" ht="21.75" customHeight="1" x14ac:dyDescent="0.3">
      <c r="A840" s="504"/>
      <c r="B840" s="504"/>
      <c r="C840" s="504"/>
      <c r="D840" s="504"/>
      <c r="E840" s="506"/>
      <c r="F840" s="506"/>
      <c r="G840" s="506"/>
      <c r="H840" s="506"/>
      <c r="I840" s="506"/>
      <c r="J840" s="506"/>
      <c r="K840" s="507"/>
      <c r="L840" s="508"/>
      <c r="M840" s="508"/>
      <c r="N840" s="508"/>
      <c r="O840" s="509"/>
      <c r="P840" s="509"/>
    </row>
    <row r="841" spans="1:16" ht="21.75" customHeight="1" x14ac:dyDescent="0.3">
      <c r="A841" s="504"/>
      <c r="B841" s="504"/>
      <c r="C841" s="504"/>
      <c r="D841" s="504"/>
      <c r="E841" s="506"/>
      <c r="F841" s="506"/>
      <c r="G841" s="506"/>
      <c r="H841" s="506"/>
      <c r="I841" s="506"/>
      <c r="J841" s="506"/>
      <c r="K841" s="507"/>
      <c r="L841" s="508"/>
      <c r="M841" s="508"/>
      <c r="N841" s="508"/>
      <c r="O841" s="509"/>
      <c r="P841" s="509"/>
    </row>
    <row r="842" spans="1:16" ht="21.75" customHeight="1" x14ac:dyDescent="0.3">
      <c r="A842" s="504"/>
      <c r="B842" s="504"/>
      <c r="C842" s="504"/>
      <c r="D842" s="504"/>
      <c r="E842" s="506"/>
      <c r="F842" s="506"/>
      <c r="G842" s="506"/>
      <c r="H842" s="506"/>
      <c r="I842" s="506"/>
      <c r="J842" s="506"/>
      <c r="K842" s="507"/>
      <c r="L842" s="508"/>
      <c r="M842" s="508"/>
      <c r="N842" s="508"/>
      <c r="O842" s="509"/>
      <c r="P842" s="509"/>
    </row>
    <row r="843" spans="1:16" ht="21.75" customHeight="1" x14ac:dyDescent="0.3">
      <c r="A843" s="504"/>
      <c r="B843" s="504"/>
      <c r="C843" s="504"/>
      <c r="D843" s="504"/>
      <c r="E843" s="506"/>
      <c r="F843" s="506"/>
      <c r="G843" s="506"/>
      <c r="H843" s="506"/>
      <c r="I843" s="506"/>
      <c r="J843" s="506"/>
      <c r="K843" s="507"/>
      <c r="L843" s="508"/>
      <c r="M843" s="508"/>
      <c r="N843" s="508"/>
      <c r="O843" s="509"/>
      <c r="P843" s="509"/>
    </row>
    <row r="844" spans="1:16" ht="21.75" customHeight="1" x14ac:dyDescent="0.3">
      <c r="A844" s="504"/>
      <c r="B844" s="504"/>
      <c r="C844" s="504"/>
      <c r="D844" s="504"/>
      <c r="E844" s="506"/>
      <c r="F844" s="506"/>
      <c r="G844" s="506"/>
      <c r="H844" s="506"/>
      <c r="I844" s="506"/>
      <c r="J844" s="506"/>
      <c r="K844" s="507"/>
      <c r="L844" s="508"/>
      <c r="M844" s="508"/>
      <c r="N844" s="508"/>
      <c r="O844" s="509"/>
      <c r="P844" s="509"/>
    </row>
    <row r="845" spans="1:16" ht="21.75" customHeight="1" x14ac:dyDescent="0.3">
      <c r="A845" s="504"/>
      <c r="B845" s="504"/>
      <c r="C845" s="504"/>
      <c r="D845" s="504"/>
      <c r="E845" s="506"/>
      <c r="F845" s="506"/>
      <c r="G845" s="506"/>
      <c r="H845" s="506"/>
      <c r="I845" s="506"/>
      <c r="J845" s="506"/>
      <c r="K845" s="507"/>
      <c r="L845" s="508"/>
      <c r="M845" s="508"/>
      <c r="N845" s="508"/>
      <c r="O845" s="509"/>
      <c r="P845" s="509"/>
    </row>
    <row r="846" spans="1:16" ht="21.75" customHeight="1" x14ac:dyDescent="0.3">
      <c r="A846" s="504"/>
      <c r="B846" s="504"/>
      <c r="C846" s="504"/>
      <c r="D846" s="504"/>
      <c r="E846" s="506"/>
      <c r="F846" s="506"/>
      <c r="G846" s="506"/>
      <c r="H846" s="506"/>
      <c r="I846" s="506"/>
      <c r="J846" s="506"/>
      <c r="K846" s="507"/>
      <c r="L846" s="508"/>
      <c r="M846" s="508"/>
      <c r="N846" s="508"/>
      <c r="O846" s="509"/>
      <c r="P846" s="509"/>
    </row>
    <row r="847" spans="1:16" ht="21.75" customHeight="1" x14ac:dyDescent="0.3">
      <c r="A847" s="504"/>
      <c r="B847" s="504"/>
      <c r="C847" s="504"/>
      <c r="D847" s="504"/>
      <c r="E847" s="506"/>
      <c r="F847" s="506"/>
      <c r="G847" s="506"/>
      <c r="H847" s="506"/>
      <c r="I847" s="506"/>
      <c r="J847" s="506"/>
      <c r="K847" s="507"/>
      <c r="L847" s="508"/>
      <c r="M847" s="508"/>
      <c r="N847" s="508"/>
      <c r="O847" s="509"/>
      <c r="P847" s="509"/>
    </row>
    <row r="848" spans="1:16" ht="21.75" customHeight="1" x14ac:dyDescent="0.3">
      <c r="A848" s="504"/>
      <c r="B848" s="504"/>
      <c r="C848" s="504"/>
      <c r="D848" s="504"/>
      <c r="E848" s="506"/>
      <c r="F848" s="506"/>
      <c r="G848" s="506"/>
      <c r="H848" s="506"/>
      <c r="I848" s="506"/>
      <c r="J848" s="506"/>
      <c r="K848" s="507"/>
      <c r="L848" s="508"/>
      <c r="M848" s="508"/>
      <c r="N848" s="508"/>
      <c r="O848" s="509"/>
      <c r="P848" s="509"/>
    </row>
    <row r="849" spans="1:16" ht="21.75" customHeight="1" x14ac:dyDescent="0.3">
      <c r="A849" s="504"/>
      <c r="B849" s="504"/>
      <c r="C849" s="504"/>
      <c r="D849" s="504"/>
      <c r="E849" s="506"/>
      <c r="F849" s="506"/>
      <c r="G849" s="506"/>
      <c r="H849" s="506"/>
      <c r="I849" s="506"/>
      <c r="J849" s="506"/>
      <c r="K849" s="507"/>
      <c r="L849" s="508"/>
      <c r="M849" s="508"/>
      <c r="N849" s="508"/>
      <c r="O849" s="509"/>
      <c r="P849" s="509"/>
    </row>
    <row r="850" spans="1:16" ht="21.75" customHeight="1" x14ac:dyDescent="0.3">
      <c r="A850" s="504"/>
      <c r="B850" s="504"/>
      <c r="C850" s="504"/>
      <c r="D850" s="504"/>
      <c r="E850" s="506"/>
      <c r="F850" s="506"/>
      <c r="G850" s="506"/>
      <c r="H850" s="506"/>
      <c r="I850" s="506"/>
      <c r="J850" s="506"/>
      <c r="K850" s="507"/>
      <c r="L850" s="508"/>
      <c r="M850" s="508"/>
      <c r="N850" s="508"/>
      <c r="O850" s="509"/>
      <c r="P850" s="509"/>
    </row>
    <row r="851" spans="1:16" ht="21.75" customHeight="1" x14ac:dyDescent="0.3">
      <c r="A851" s="504"/>
      <c r="B851" s="504"/>
      <c r="C851" s="504"/>
      <c r="D851" s="504"/>
      <c r="E851" s="506"/>
      <c r="F851" s="506"/>
      <c r="G851" s="506"/>
      <c r="H851" s="506"/>
      <c r="I851" s="506"/>
      <c r="J851" s="506"/>
      <c r="K851" s="507"/>
      <c r="L851" s="508"/>
      <c r="M851" s="508"/>
      <c r="N851" s="508"/>
      <c r="O851" s="509"/>
      <c r="P851" s="509"/>
    </row>
    <row r="852" spans="1:16" ht="21.75" customHeight="1" x14ac:dyDescent="0.3">
      <c r="A852" s="504"/>
      <c r="B852" s="504"/>
      <c r="C852" s="504"/>
      <c r="D852" s="504"/>
      <c r="E852" s="506"/>
      <c r="F852" s="506"/>
      <c r="G852" s="506"/>
      <c r="H852" s="506"/>
      <c r="I852" s="506"/>
      <c r="J852" s="506"/>
      <c r="K852" s="507"/>
      <c r="L852" s="508"/>
      <c r="M852" s="508"/>
      <c r="N852" s="508"/>
      <c r="O852" s="509"/>
      <c r="P852" s="509"/>
    </row>
    <row r="853" spans="1:16" ht="21.75" customHeight="1" x14ac:dyDescent="0.3">
      <c r="A853" s="504"/>
      <c r="B853" s="504"/>
      <c r="C853" s="504"/>
      <c r="D853" s="504"/>
      <c r="E853" s="506"/>
      <c r="F853" s="506"/>
      <c r="G853" s="506"/>
      <c r="H853" s="506"/>
      <c r="I853" s="506"/>
      <c r="J853" s="506"/>
      <c r="K853" s="507"/>
      <c r="L853" s="508"/>
      <c r="M853" s="508"/>
      <c r="N853" s="508"/>
      <c r="O853" s="509"/>
      <c r="P853" s="509"/>
    </row>
    <row r="854" spans="1:16" ht="21.75" customHeight="1" x14ac:dyDescent="0.3">
      <c r="A854" s="504"/>
      <c r="B854" s="504"/>
      <c r="C854" s="504"/>
      <c r="D854" s="504"/>
      <c r="E854" s="506"/>
      <c r="F854" s="506"/>
      <c r="G854" s="506"/>
      <c r="H854" s="506"/>
      <c r="I854" s="506"/>
      <c r="J854" s="506"/>
      <c r="K854" s="507"/>
      <c r="L854" s="508"/>
      <c r="M854" s="508"/>
      <c r="N854" s="508"/>
      <c r="O854" s="509"/>
      <c r="P854" s="509"/>
    </row>
    <row r="855" spans="1:16" ht="21.75" customHeight="1" x14ac:dyDescent="0.3">
      <c r="A855" s="504"/>
      <c r="B855" s="504"/>
      <c r="C855" s="504"/>
      <c r="D855" s="504"/>
      <c r="E855" s="506"/>
      <c r="F855" s="506"/>
      <c r="G855" s="506"/>
      <c r="H855" s="506"/>
      <c r="I855" s="506"/>
      <c r="J855" s="506"/>
      <c r="K855" s="507"/>
      <c r="L855" s="508"/>
      <c r="M855" s="508"/>
      <c r="N855" s="508"/>
      <c r="O855" s="509"/>
      <c r="P855" s="509"/>
    </row>
    <row r="856" spans="1:16" ht="21.75" customHeight="1" x14ac:dyDescent="0.3">
      <c r="A856" s="504"/>
      <c r="B856" s="504"/>
      <c r="C856" s="504"/>
      <c r="D856" s="504"/>
      <c r="E856" s="506"/>
      <c r="F856" s="506"/>
      <c r="G856" s="506"/>
      <c r="H856" s="506"/>
      <c r="I856" s="506"/>
      <c r="J856" s="506"/>
      <c r="K856" s="507"/>
      <c r="L856" s="508"/>
      <c r="M856" s="508"/>
      <c r="N856" s="508"/>
      <c r="O856" s="509"/>
      <c r="P856" s="509"/>
    </row>
    <row r="857" spans="1:16" ht="21.75" customHeight="1" x14ac:dyDescent="0.3">
      <c r="A857" s="504"/>
      <c r="B857" s="504"/>
      <c r="C857" s="504"/>
      <c r="D857" s="504"/>
      <c r="E857" s="506"/>
      <c r="F857" s="506"/>
      <c r="G857" s="506"/>
      <c r="H857" s="506"/>
      <c r="I857" s="506"/>
      <c r="J857" s="506"/>
      <c r="K857" s="507"/>
      <c r="L857" s="508"/>
      <c r="M857" s="508"/>
      <c r="N857" s="508"/>
      <c r="O857" s="509"/>
      <c r="P857" s="509"/>
    </row>
    <row r="858" spans="1:16" ht="21.75" customHeight="1" x14ac:dyDescent="0.3">
      <c r="A858" s="504"/>
      <c r="B858" s="504"/>
      <c r="C858" s="504"/>
      <c r="D858" s="504"/>
      <c r="E858" s="506"/>
      <c r="F858" s="506"/>
      <c r="G858" s="506"/>
      <c r="H858" s="506"/>
      <c r="I858" s="506"/>
      <c r="J858" s="506"/>
      <c r="K858" s="507"/>
      <c r="L858" s="508"/>
      <c r="M858" s="508"/>
      <c r="N858" s="508"/>
      <c r="O858" s="509"/>
      <c r="P858" s="509"/>
    </row>
    <row r="859" spans="1:16" ht="21.75" customHeight="1" x14ac:dyDescent="0.3">
      <c r="A859" s="504"/>
      <c r="B859" s="504"/>
      <c r="C859" s="504"/>
      <c r="D859" s="504"/>
      <c r="E859" s="506"/>
      <c r="F859" s="506"/>
      <c r="G859" s="506"/>
      <c r="H859" s="506"/>
      <c r="I859" s="506"/>
      <c r="J859" s="506"/>
      <c r="K859" s="507"/>
      <c r="L859" s="508"/>
      <c r="M859" s="508"/>
      <c r="N859" s="508"/>
      <c r="O859" s="509"/>
      <c r="P859" s="509"/>
    </row>
    <row r="860" spans="1:16" ht="21.75" customHeight="1" x14ac:dyDescent="0.3">
      <c r="A860" s="504"/>
      <c r="B860" s="504"/>
      <c r="C860" s="504"/>
      <c r="D860" s="504"/>
      <c r="E860" s="506"/>
      <c r="F860" s="506"/>
      <c r="G860" s="506"/>
      <c r="H860" s="506"/>
      <c r="I860" s="506"/>
      <c r="J860" s="506"/>
      <c r="K860" s="507"/>
      <c r="L860" s="508"/>
      <c r="M860" s="508"/>
      <c r="N860" s="508"/>
      <c r="O860" s="509"/>
      <c r="P860" s="509"/>
    </row>
    <row r="861" spans="1:16" ht="21.75" customHeight="1" x14ac:dyDescent="0.3">
      <c r="A861" s="504"/>
      <c r="B861" s="504"/>
      <c r="C861" s="504"/>
      <c r="D861" s="504"/>
      <c r="E861" s="506"/>
      <c r="F861" s="506"/>
      <c r="G861" s="506"/>
      <c r="H861" s="506"/>
      <c r="I861" s="506"/>
      <c r="J861" s="506"/>
      <c r="K861" s="507"/>
      <c r="L861" s="508"/>
      <c r="M861" s="508"/>
      <c r="N861" s="508"/>
      <c r="O861" s="509"/>
      <c r="P861" s="509"/>
    </row>
    <row r="862" spans="1:16" ht="21.75" customHeight="1" x14ac:dyDescent="0.3">
      <c r="A862" s="504"/>
      <c r="B862" s="504"/>
      <c r="C862" s="504"/>
      <c r="D862" s="504"/>
      <c r="E862" s="506"/>
      <c r="F862" s="506"/>
      <c r="G862" s="506"/>
      <c r="H862" s="506"/>
      <c r="I862" s="506"/>
      <c r="J862" s="506"/>
      <c r="K862" s="507"/>
      <c r="L862" s="508"/>
      <c r="M862" s="508"/>
      <c r="N862" s="508"/>
      <c r="O862" s="509"/>
      <c r="P862" s="509"/>
    </row>
    <row r="863" spans="1:16" ht="21.75" customHeight="1" x14ac:dyDescent="0.3">
      <c r="A863" s="504"/>
      <c r="B863" s="504"/>
      <c r="C863" s="504"/>
      <c r="D863" s="504"/>
      <c r="E863" s="506"/>
      <c r="F863" s="506"/>
      <c r="G863" s="506"/>
      <c r="H863" s="506"/>
      <c r="I863" s="506"/>
      <c r="J863" s="506"/>
      <c r="K863" s="507"/>
      <c r="L863" s="508"/>
      <c r="M863" s="508"/>
      <c r="N863" s="508"/>
      <c r="O863" s="509"/>
      <c r="P863" s="509"/>
    </row>
    <row r="864" spans="1:16" ht="21.75" customHeight="1" x14ac:dyDescent="0.3">
      <c r="A864" s="504"/>
      <c r="B864" s="504"/>
      <c r="C864" s="504"/>
      <c r="D864" s="504"/>
      <c r="E864" s="506"/>
      <c r="F864" s="506"/>
      <c r="G864" s="506"/>
      <c r="H864" s="506"/>
      <c r="I864" s="506"/>
      <c r="J864" s="506"/>
      <c r="K864" s="507"/>
      <c r="L864" s="508"/>
      <c r="M864" s="508"/>
      <c r="N864" s="508"/>
      <c r="O864" s="509"/>
      <c r="P864" s="509"/>
    </row>
    <row r="865" spans="1:16" ht="21.75" customHeight="1" x14ac:dyDescent="0.3">
      <c r="A865" s="504"/>
      <c r="B865" s="504"/>
      <c r="C865" s="504"/>
      <c r="D865" s="504"/>
      <c r="E865" s="506"/>
      <c r="F865" s="506"/>
      <c r="G865" s="506"/>
      <c r="H865" s="506"/>
      <c r="I865" s="506"/>
      <c r="J865" s="506"/>
      <c r="K865" s="507"/>
      <c r="L865" s="508"/>
      <c r="M865" s="508"/>
      <c r="N865" s="508"/>
      <c r="O865" s="509"/>
      <c r="P865" s="509"/>
    </row>
    <row r="866" spans="1:16" ht="21.75" customHeight="1" x14ac:dyDescent="0.3">
      <c r="A866" s="504"/>
      <c r="B866" s="504"/>
      <c r="C866" s="504"/>
      <c r="D866" s="504"/>
      <c r="E866" s="506"/>
      <c r="F866" s="506"/>
      <c r="G866" s="506"/>
      <c r="H866" s="506"/>
      <c r="I866" s="506"/>
      <c r="J866" s="506"/>
      <c r="K866" s="507"/>
      <c r="L866" s="508"/>
      <c r="M866" s="508"/>
      <c r="N866" s="508"/>
      <c r="O866" s="509"/>
      <c r="P866" s="509"/>
    </row>
    <row r="867" spans="1:16" ht="21.75" customHeight="1" x14ac:dyDescent="0.3">
      <c r="A867" s="504"/>
      <c r="B867" s="504"/>
      <c r="C867" s="504"/>
      <c r="D867" s="504"/>
      <c r="E867" s="506"/>
      <c r="F867" s="506"/>
      <c r="G867" s="506"/>
      <c r="H867" s="506"/>
      <c r="I867" s="506"/>
      <c r="J867" s="506"/>
      <c r="K867" s="507"/>
      <c r="L867" s="508"/>
      <c r="M867" s="508"/>
      <c r="N867" s="508"/>
      <c r="O867" s="509"/>
      <c r="P867" s="509"/>
    </row>
    <row r="868" spans="1:16" ht="21.75" customHeight="1" x14ac:dyDescent="0.3">
      <c r="A868" s="504"/>
      <c r="B868" s="504"/>
      <c r="C868" s="504"/>
      <c r="D868" s="504"/>
      <c r="E868" s="506"/>
      <c r="F868" s="506"/>
      <c r="G868" s="506"/>
      <c r="H868" s="506"/>
      <c r="I868" s="506"/>
      <c r="J868" s="506"/>
      <c r="K868" s="507"/>
      <c r="L868" s="508"/>
      <c r="M868" s="508"/>
      <c r="N868" s="508"/>
      <c r="O868" s="509"/>
      <c r="P868" s="509"/>
    </row>
    <row r="869" spans="1:16" ht="21.75" customHeight="1" x14ac:dyDescent="0.3">
      <c r="A869" s="504"/>
      <c r="B869" s="504"/>
      <c r="C869" s="504"/>
      <c r="D869" s="504"/>
      <c r="E869" s="506"/>
      <c r="F869" s="506"/>
      <c r="G869" s="506"/>
      <c r="H869" s="506"/>
      <c r="I869" s="506"/>
      <c r="J869" s="506"/>
      <c r="K869" s="507"/>
      <c r="L869" s="508"/>
      <c r="M869" s="508"/>
      <c r="N869" s="508"/>
      <c r="O869" s="509"/>
      <c r="P869" s="509"/>
    </row>
    <row r="870" spans="1:16" ht="21.75" customHeight="1" x14ac:dyDescent="0.3">
      <c r="A870" s="504"/>
      <c r="B870" s="504"/>
      <c r="C870" s="504"/>
      <c r="D870" s="504"/>
      <c r="E870" s="506"/>
      <c r="F870" s="506"/>
      <c r="G870" s="506"/>
      <c r="H870" s="506"/>
      <c r="I870" s="506"/>
      <c r="J870" s="506"/>
      <c r="K870" s="507"/>
      <c r="L870" s="508"/>
      <c r="M870" s="508"/>
      <c r="N870" s="508"/>
      <c r="O870" s="509"/>
      <c r="P870" s="509"/>
    </row>
    <row r="871" spans="1:16" ht="21.75" customHeight="1" x14ac:dyDescent="0.3">
      <c r="A871" s="504"/>
      <c r="B871" s="504"/>
      <c r="C871" s="504"/>
      <c r="D871" s="504"/>
      <c r="E871" s="506"/>
      <c r="F871" s="506"/>
      <c r="G871" s="506"/>
      <c r="H871" s="506"/>
      <c r="I871" s="506"/>
      <c r="J871" s="506"/>
      <c r="K871" s="507"/>
      <c r="L871" s="508"/>
      <c r="M871" s="508"/>
      <c r="N871" s="508"/>
      <c r="O871" s="509"/>
      <c r="P871" s="509"/>
    </row>
    <row r="872" spans="1:16" ht="21.75" customHeight="1" x14ac:dyDescent="0.3">
      <c r="A872" s="504"/>
      <c r="B872" s="504"/>
      <c r="C872" s="504"/>
      <c r="D872" s="504"/>
      <c r="E872" s="506"/>
      <c r="F872" s="506"/>
      <c r="G872" s="506"/>
      <c r="H872" s="506"/>
      <c r="I872" s="506"/>
      <c r="J872" s="506"/>
      <c r="K872" s="507"/>
      <c r="L872" s="508"/>
      <c r="M872" s="508"/>
      <c r="N872" s="508"/>
      <c r="O872" s="509"/>
      <c r="P872" s="509"/>
    </row>
    <row r="873" spans="1:16" ht="21.75" customHeight="1" x14ac:dyDescent="0.3">
      <c r="A873" s="504"/>
      <c r="B873" s="504"/>
      <c r="C873" s="504"/>
      <c r="D873" s="504"/>
      <c r="E873" s="506"/>
      <c r="F873" s="506"/>
      <c r="G873" s="506"/>
      <c r="H873" s="506"/>
      <c r="I873" s="506"/>
      <c r="J873" s="506"/>
      <c r="K873" s="507"/>
      <c r="L873" s="508"/>
      <c r="M873" s="508"/>
      <c r="N873" s="508"/>
      <c r="O873" s="509"/>
      <c r="P873" s="509"/>
    </row>
    <row r="874" spans="1:16" ht="21.75" customHeight="1" x14ac:dyDescent="0.3">
      <c r="A874" s="504"/>
      <c r="B874" s="504"/>
      <c r="C874" s="504"/>
      <c r="D874" s="504"/>
      <c r="E874" s="506"/>
      <c r="F874" s="506"/>
      <c r="G874" s="506"/>
      <c r="H874" s="506"/>
      <c r="I874" s="506"/>
      <c r="J874" s="506"/>
      <c r="K874" s="507"/>
      <c r="L874" s="508"/>
      <c r="M874" s="508"/>
      <c r="N874" s="508"/>
      <c r="O874" s="509"/>
      <c r="P874" s="509"/>
    </row>
    <row r="875" spans="1:16" ht="21.75" customHeight="1" x14ac:dyDescent="0.3">
      <c r="A875" s="504"/>
      <c r="B875" s="504"/>
      <c r="C875" s="504"/>
      <c r="D875" s="504"/>
      <c r="E875" s="506"/>
      <c r="F875" s="506"/>
      <c r="G875" s="506"/>
      <c r="H875" s="506"/>
      <c r="I875" s="506"/>
      <c r="J875" s="506"/>
      <c r="K875" s="507"/>
      <c r="L875" s="508"/>
      <c r="M875" s="508"/>
      <c r="N875" s="508"/>
      <c r="O875" s="509"/>
      <c r="P875" s="509"/>
    </row>
    <row r="876" spans="1:16" ht="21.75" customHeight="1" x14ac:dyDescent="0.3">
      <c r="A876" s="504"/>
      <c r="B876" s="504"/>
      <c r="C876" s="504"/>
      <c r="D876" s="504"/>
      <c r="E876" s="506"/>
      <c r="F876" s="506"/>
      <c r="G876" s="506"/>
      <c r="H876" s="506"/>
      <c r="I876" s="506"/>
      <c r="J876" s="506"/>
      <c r="K876" s="507"/>
      <c r="L876" s="508"/>
      <c r="M876" s="508"/>
      <c r="N876" s="508"/>
      <c r="O876" s="509"/>
      <c r="P876" s="509"/>
    </row>
    <row r="877" spans="1:16" ht="21.75" customHeight="1" x14ac:dyDescent="0.3">
      <c r="A877" s="504"/>
      <c r="B877" s="504"/>
      <c r="C877" s="504"/>
      <c r="D877" s="504"/>
      <c r="E877" s="506"/>
      <c r="F877" s="506"/>
      <c r="G877" s="506"/>
      <c r="H877" s="506"/>
      <c r="I877" s="506"/>
      <c r="J877" s="506"/>
      <c r="K877" s="507"/>
      <c r="L877" s="508"/>
      <c r="M877" s="508"/>
      <c r="N877" s="508"/>
      <c r="O877" s="509"/>
      <c r="P877" s="509"/>
    </row>
    <row r="878" spans="1:16" ht="21.75" customHeight="1" x14ac:dyDescent="0.3">
      <c r="A878" s="504"/>
      <c r="B878" s="504"/>
      <c r="C878" s="504"/>
      <c r="D878" s="504"/>
      <c r="E878" s="506"/>
      <c r="F878" s="506"/>
      <c r="G878" s="506"/>
      <c r="H878" s="506"/>
      <c r="I878" s="506"/>
      <c r="J878" s="506"/>
      <c r="K878" s="507"/>
      <c r="L878" s="508"/>
      <c r="M878" s="508"/>
      <c r="N878" s="508"/>
      <c r="O878" s="509"/>
      <c r="P878" s="509"/>
    </row>
    <row r="879" spans="1:16" ht="21.75" customHeight="1" x14ac:dyDescent="0.3">
      <c r="A879" s="504"/>
      <c r="B879" s="504"/>
      <c r="C879" s="504"/>
      <c r="D879" s="504"/>
      <c r="E879" s="506"/>
      <c r="F879" s="506"/>
      <c r="G879" s="506"/>
      <c r="H879" s="506"/>
      <c r="I879" s="506"/>
      <c r="J879" s="506"/>
      <c r="K879" s="507"/>
      <c r="L879" s="508"/>
      <c r="M879" s="508"/>
      <c r="N879" s="508"/>
      <c r="O879" s="509"/>
      <c r="P879" s="509"/>
    </row>
    <row r="880" spans="1:16" ht="21.75" customHeight="1" x14ac:dyDescent="0.3">
      <c r="A880" s="504"/>
      <c r="B880" s="504"/>
      <c r="C880" s="504"/>
      <c r="D880" s="504"/>
      <c r="E880" s="506"/>
      <c r="F880" s="506"/>
      <c r="G880" s="506"/>
      <c r="H880" s="506"/>
      <c r="I880" s="506"/>
      <c r="J880" s="506"/>
      <c r="K880" s="507"/>
      <c r="L880" s="508"/>
      <c r="M880" s="508"/>
      <c r="N880" s="508"/>
      <c r="O880" s="509"/>
      <c r="P880" s="509"/>
    </row>
    <row r="881" spans="1:16" ht="21.75" customHeight="1" x14ac:dyDescent="0.3">
      <c r="A881" s="504"/>
      <c r="B881" s="504"/>
      <c r="C881" s="504"/>
      <c r="D881" s="504"/>
      <c r="E881" s="506"/>
      <c r="F881" s="506"/>
      <c r="G881" s="506"/>
      <c r="H881" s="506"/>
      <c r="I881" s="506"/>
      <c r="J881" s="506"/>
      <c r="K881" s="507"/>
      <c r="L881" s="508"/>
      <c r="M881" s="508"/>
      <c r="N881" s="508"/>
      <c r="O881" s="509"/>
      <c r="P881" s="509"/>
    </row>
    <row r="882" spans="1:16" ht="21.75" customHeight="1" x14ac:dyDescent="0.3">
      <c r="A882" s="504"/>
      <c r="B882" s="504"/>
      <c r="C882" s="504"/>
      <c r="D882" s="504"/>
      <c r="E882" s="506"/>
      <c r="F882" s="506"/>
      <c r="G882" s="506"/>
      <c r="H882" s="506"/>
      <c r="I882" s="506"/>
      <c r="J882" s="506"/>
      <c r="K882" s="507"/>
      <c r="L882" s="508"/>
      <c r="M882" s="508"/>
      <c r="N882" s="508"/>
      <c r="O882" s="509"/>
      <c r="P882" s="509"/>
    </row>
    <row r="883" spans="1:16" ht="21.75" customHeight="1" x14ac:dyDescent="0.3">
      <c r="A883" s="504"/>
      <c r="B883" s="504"/>
      <c r="C883" s="504"/>
      <c r="D883" s="504"/>
      <c r="E883" s="506"/>
      <c r="F883" s="506"/>
      <c r="G883" s="506"/>
      <c r="H883" s="506"/>
      <c r="I883" s="506"/>
      <c r="J883" s="506"/>
      <c r="K883" s="507"/>
      <c r="L883" s="508"/>
      <c r="M883" s="508"/>
      <c r="N883" s="508"/>
      <c r="O883" s="509"/>
      <c r="P883" s="509"/>
    </row>
    <row r="884" spans="1:16" ht="21.75" customHeight="1" x14ac:dyDescent="0.3">
      <c r="A884" s="504"/>
      <c r="B884" s="504"/>
      <c r="C884" s="504"/>
      <c r="D884" s="504"/>
      <c r="E884" s="506"/>
      <c r="F884" s="506"/>
      <c r="G884" s="506"/>
      <c r="H884" s="506"/>
      <c r="I884" s="506"/>
      <c r="J884" s="506"/>
      <c r="K884" s="507"/>
      <c r="L884" s="508"/>
      <c r="M884" s="508"/>
      <c r="N884" s="508"/>
      <c r="O884" s="509"/>
      <c r="P884" s="509"/>
    </row>
    <row r="885" spans="1:16" ht="21.75" customHeight="1" x14ac:dyDescent="0.3">
      <c r="A885" s="504"/>
      <c r="B885" s="504"/>
      <c r="C885" s="504"/>
      <c r="D885" s="504"/>
      <c r="E885" s="506"/>
      <c r="F885" s="506"/>
      <c r="G885" s="506"/>
      <c r="H885" s="506"/>
      <c r="I885" s="506"/>
      <c r="J885" s="506"/>
      <c r="K885" s="507"/>
      <c r="L885" s="508"/>
      <c r="M885" s="508"/>
      <c r="N885" s="508"/>
      <c r="O885" s="509"/>
      <c r="P885" s="509"/>
    </row>
    <row r="886" spans="1:16" ht="21.75" customHeight="1" x14ac:dyDescent="0.3">
      <c r="A886" s="504"/>
      <c r="B886" s="504"/>
      <c r="C886" s="504"/>
      <c r="D886" s="504"/>
      <c r="E886" s="506"/>
      <c r="F886" s="506"/>
      <c r="G886" s="506"/>
      <c r="H886" s="506"/>
      <c r="I886" s="506"/>
      <c r="J886" s="506"/>
      <c r="K886" s="507"/>
      <c r="L886" s="508"/>
      <c r="M886" s="508"/>
      <c r="N886" s="508"/>
      <c r="O886" s="509"/>
      <c r="P886" s="509"/>
    </row>
    <row r="887" spans="1:16" ht="21.75" customHeight="1" x14ac:dyDescent="0.3">
      <c r="A887" s="504"/>
      <c r="B887" s="504"/>
      <c r="C887" s="504"/>
      <c r="D887" s="504"/>
      <c r="E887" s="506"/>
      <c r="F887" s="506"/>
      <c r="G887" s="506"/>
      <c r="H887" s="506"/>
      <c r="I887" s="506"/>
      <c r="J887" s="506"/>
      <c r="K887" s="507"/>
      <c r="L887" s="508"/>
      <c r="M887" s="508"/>
      <c r="N887" s="508"/>
      <c r="O887" s="509"/>
      <c r="P887" s="509"/>
    </row>
    <row r="888" spans="1:16" ht="21.75" customHeight="1" x14ac:dyDescent="0.3">
      <c r="A888" s="504"/>
      <c r="B888" s="504"/>
      <c r="C888" s="504"/>
      <c r="D888" s="504"/>
      <c r="E888" s="506"/>
      <c r="F888" s="506"/>
      <c r="G888" s="506"/>
      <c r="H888" s="506"/>
      <c r="I888" s="506"/>
      <c r="J888" s="506"/>
      <c r="K888" s="507"/>
      <c r="L888" s="508"/>
      <c r="M888" s="508"/>
      <c r="N888" s="508"/>
      <c r="O888" s="509"/>
      <c r="P888" s="509"/>
    </row>
    <row r="889" spans="1:16" ht="21.75" customHeight="1" x14ac:dyDescent="0.3">
      <c r="A889" s="504"/>
      <c r="B889" s="504"/>
      <c r="C889" s="504"/>
      <c r="D889" s="504"/>
      <c r="E889" s="506"/>
      <c r="F889" s="506"/>
      <c r="G889" s="506"/>
      <c r="H889" s="506"/>
      <c r="I889" s="506"/>
      <c r="J889" s="506"/>
      <c r="K889" s="507"/>
      <c r="L889" s="508"/>
      <c r="M889" s="508"/>
      <c r="N889" s="508"/>
      <c r="O889" s="509"/>
      <c r="P889" s="509"/>
    </row>
    <row r="890" spans="1:16" ht="21.75" customHeight="1" x14ac:dyDescent="0.3">
      <c r="A890" s="504"/>
      <c r="B890" s="504"/>
      <c r="C890" s="504"/>
      <c r="D890" s="504"/>
      <c r="E890" s="506"/>
      <c r="F890" s="506"/>
      <c r="G890" s="506"/>
      <c r="H890" s="506"/>
      <c r="I890" s="506"/>
      <c r="J890" s="506"/>
      <c r="K890" s="507"/>
      <c r="L890" s="508"/>
      <c r="M890" s="508"/>
      <c r="N890" s="508"/>
      <c r="O890" s="509"/>
      <c r="P890" s="509"/>
    </row>
    <row r="891" spans="1:16" ht="21.75" customHeight="1" x14ac:dyDescent="0.3">
      <c r="A891" s="504"/>
      <c r="B891" s="504"/>
      <c r="C891" s="504"/>
      <c r="D891" s="504"/>
      <c r="E891" s="506"/>
      <c r="F891" s="506"/>
      <c r="G891" s="506"/>
      <c r="H891" s="506"/>
      <c r="I891" s="506"/>
      <c r="J891" s="506"/>
      <c r="K891" s="507"/>
      <c r="L891" s="508"/>
      <c r="M891" s="508"/>
      <c r="N891" s="508"/>
      <c r="O891" s="509"/>
      <c r="P891" s="509"/>
    </row>
    <row r="892" spans="1:16" ht="21.75" customHeight="1" x14ac:dyDescent="0.3">
      <c r="A892" s="504"/>
      <c r="B892" s="504"/>
      <c r="C892" s="504"/>
      <c r="D892" s="504"/>
      <c r="E892" s="506"/>
      <c r="F892" s="506"/>
      <c r="G892" s="506"/>
      <c r="H892" s="506"/>
      <c r="I892" s="506"/>
      <c r="J892" s="506"/>
      <c r="K892" s="507"/>
      <c r="L892" s="508"/>
      <c r="M892" s="508"/>
      <c r="N892" s="508"/>
      <c r="O892" s="509"/>
      <c r="P892" s="509"/>
    </row>
    <row r="893" spans="1:16" ht="21.75" customHeight="1" x14ac:dyDescent="0.3">
      <c r="A893" s="504"/>
      <c r="B893" s="504"/>
      <c r="C893" s="504"/>
      <c r="D893" s="504"/>
      <c r="E893" s="506"/>
      <c r="F893" s="506"/>
      <c r="G893" s="506"/>
      <c r="H893" s="506"/>
      <c r="I893" s="506"/>
      <c r="J893" s="506"/>
      <c r="K893" s="507"/>
      <c r="L893" s="508"/>
      <c r="M893" s="508"/>
      <c r="N893" s="508"/>
      <c r="O893" s="509"/>
      <c r="P893" s="509"/>
    </row>
    <row r="894" spans="1:16" ht="21.75" customHeight="1" x14ac:dyDescent="0.3">
      <c r="A894" s="504"/>
      <c r="B894" s="504"/>
      <c r="C894" s="504"/>
      <c r="D894" s="504"/>
      <c r="E894" s="506"/>
      <c r="F894" s="506"/>
      <c r="G894" s="506"/>
      <c r="H894" s="506"/>
      <c r="I894" s="506"/>
      <c r="J894" s="506"/>
      <c r="K894" s="507"/>
      <c r="L894" s="508"/>
      <c r="M894" s="508"/>
      <c r="N894" s="508"/>
      <c r="O894" s="509"/>
      <c r="P894" s="509"/>
    </row>
    <row r="895" spans="1:16" ht="21.75" customHeight="1" x14ac:dyDescent="0.3">
      <c r="A895" s="504"/>
      <c r="B895" s="504"/>
      <c r="C895" s="504"/>
      <c r="D895" s="504"/>
      <c r="E895" s="506"/>
      <c r="F895" s="506"/>
      <c r="G895" s="506"/>
      <c r="H895" s="506"/>
      <c r="I895" s="506"/>
      <c r="J895" s="506"/>
      <c r="K895" s="507"/>
      <c r="L895" s="508"/>
      <c r="M895" s="508"/>
      <c r="N895" s="508"/>
      <c r="O895" s="509"/>
      <c r="P895" s="509"/>
    </row>
    <row r="896" spans="1:16" ht="21.75" customHeight="1" x14ac:dyDescent="0.3">
      <c r="A896" s="504"/>
      <c r="B896" s="504"/>
      <c r="C896" s="504"/>
      <c r="D896" s="504"/>
      <c r="E896" s="506"/>
      <c r="F896" s="506"/>
      <c r="G896" s="506"/>
      <c r="H896" s="506"/>
      <c r="I896" s="506"/>
      <c r="J896" s="506"/>
      <c r="K896" s="507"/>
      <c r="L896" s="508"/>
      <c r="M896" s="508"/>
      <c r="N896" s="508"/>
      <c r="O896" s="509"/>
      <c r="P896" s="509"/>
    </row>
    <row r="897" spans="1:16" ht="21.75" customHeight="1" x14ac:dyDescent="0.3">
      <c r="A897" s="504"/>
      <c r="B897" s="504"/>
      <c r="C897" s="504"/>
      <c r="D897" s="504"/>
      <c r="E897" s="506"/>
      <c r="F897" s="506"/>
      <c r="G897" s="506"/>
      <c r="H897" s="506"/>
      <c r="I897" s="506"/>
      <c r="J897" s="506"/>
      <c r="K897" s="507"/>
      <c r="L897" s="508"/>
      <c r="M897" s="508"/>
      <c r="N897" s="508"/>
      <c r="O897" s="509"/>
      <c r="P897" s="509"/>
    </row>
    <row r="898" spans="1:16" ht="21.75" customHeight="1" x14ac:dyDescent="0.3">
      <c r="A898" s="504"/>
      <c r="B898" s="504"/>
      <c r="C898" s="504"/>
      <c r="D898" s="504"/>
      <c r="E898" s="506"/>
      <c r="F898" s="506"/>
      <c r="G898" s="506"/>
      <c r="H898" s="506"/>
      <c r="I898" s="506"/>
      <c r="J898" s="506"/>
      <c r="K898" s="507"/>
      <c r="L898" s="508"/>
      <c r="M898" s="508"/>
      <c r="N898" s="508"/>
      <c r="O898" s="509"/>
      <c r="P898" s="509"/>
    </row>
    <row r="899" spans="1:16" ht="21.75" customHeight="1" x14ac:dyDescent="0.3">
      <c r="A899" s="504"/>
      <c r="B899" s="504"/>
      <c r="C899" s="504"/>
      <c r="D899" s="504"/>
      <c r="E899" s="506"/>
      <c r="F899" s="506"/>
      <c r="G899" s="506"/>
      <c r="H899" s="506"/>
      <c r="I899" s="506"/>
      <c r="J899" s="506"/>
      <c r="K899" s="507"/>
      <c r="L899" s="508"/>
      <c r="M899" s="508"/>
      <c r="N899" s="508"/>
      <c r="O899" s="509"/>
      <c r="P899" s="509"/>
    </row>
    <row r="900" spans="1:16" ht="21.75" customHeight="1" x14ac:dyDescent="0.3">
      <c r="A900" s="504"/>
      <c r="B900" s="504"/>
      <c r="C900" s="504"/>
      <c r="D900" s="504"/>
      <c r="E900" s="506"/>
      <c r="F900" s="506"/>
      <c r="G900" s="506"/>
      <c r="H900" s="506"/>
      <c r="I900" s="506"/>
      <c r="J900" s="506"/>
      <c r="K900" s="507"/>
      <c r="L900" s="508"/>
      <c r="M900" s="508"/>
      <c r="N900" s="508"/>
      <c r="O900" s="509"/>
      <c r="P900" s="509"/>
    </row>
    <row r="901" spans="1:16" ht="21.75" customHeight="1" x14ac:dyDescent="0.3">
      <c r="A901" s="504"/>
      <c r="B901" s="504"/>
      <c r="C901" s="504"/>
      <c r="D901" s="504"/>
      <c r="E901" s="506"/>
      <c r="F901" s="506"/>
      <c r="G901" s="506"/>
      <c r="H901" s="506"/>
      <c r="I901" s="506"/>
      <c r="J901" s="506"/>
      <c r="K901" s="507"/>
      <c r="L901" s="508"/>
      <c r="M901" s="508"/>
      <c r="N901" s="508"/>
      <c r="O901" s="509"/>
      <c r="P901" s="509"/>
    </row>
    <row r="902" spans="1:16" ht="21.75" customHeight="1" x14ac:dyDescent="0.3">
      <c r="A902" s="504"/>
      <c r="B902" s="504"/>
      <c r="C902" s="504"/>
      <c r="D902" s="504"/>
      <c r="E902" s="506"/>
      <c r="F902" s="506"/>
      <c r="G902" s="506"/>
      <c r="H902" s="506"/>
      <c r="I902" s="506"/>
      <c r="J902" s="506"/>
      <c r="K902" s="507"/>
      <c r="L902" s="508"/>
      <c r="M902" s="508"/>
      <c r="N902" s="508"/>
      <c r="O902" s="509"/>
      <c r="P902" s="509"/>
    </row>
    <row r="903" spans="1:16" ht="21.75" customHeight="1" x14ac:dyDescent="0.3">
      <c r="A903" s="504"/>
      <c r="B903" s="504"/>
      <c r="C903" s="504"/>
      <c r="D903" s="504"/>
      <c r="E903" s="506"/>
      <c r="F903" s="506"/>
      <c r="G903" s="506"/>
      <c r="H903" s="506"/>
      <c r="I903" s="506"/>
      <c r="J903" s="506"/>
      <c r="K903" s="507"/>
      <c r="L903" s="508"/>
      <c r="M903" s="508"/>
      <c r="N903" s="508"/>
      <c r="O903" s="509"/>
      <c r="P903" s="509"/>
    </row>
    <row r="904" spans="1:16" ht="21.75" customHeight="1" x14ac:dyDescent="0.3">
      <c r="A904" s="504"/>
      <c r="B904" s="504"/>
      <c r="C904" s="504"/>
      <c r="D904" s="504"/>
      <c r="E904" s="506"/>
      <c r="F904" s="506"/>
      <c r="G904" s="506"/>
      <c r="H904" s="506"/>
      <c r="I904" s="506"/>
      <c r="J904" s="506"/>
      <c r="K904" s="507"/>
      <c r="L904" s="508"/>
      <c r="M904" s="508"/>
      <c r="N904" s="508"/>
      <c r="O904" s="509"/>
      <c r="P904" s="509"/>
    </row>
    <row r="905" spans="1:16" ht="21.75" customHeight="1" x14ac:dyDescent="0.3">
      <c r="A905" s="504"/>
      <c r="B905" s="504"/>
      <c r="C905" s="504"/>
      <c r="D905" s="504"/>
      <c r="E905" s="506"/>
      <c r="F905" s="506"/>
      <c r="G905" s="506"/>
      <c r="H905" s="506"/>
      <c r="I905" s="506"/>
      <c r="J905" s="506"/>
      <c r="K905" s="507"/>
      <c r="L905" s="508"/>
      <c r="M905" s="508"/>
      <c r="N905" s="508"/>
      <c r="O905" s="509"/>
      <c r="P905" s="509"/>
    </row>
    <row r="906" spans="1:16" ht="21.75" customHeight="1" x14ac:dyDescent="0.3">
      <c r="A906" s="504"/>
      <c r="B906" s="504"/>
      <c r="C906" s="504"/>
      <c r="D906" s="504"/>
      <c r="E906" s="506"/>
      <c r="F906" s="506"/>
      <c r="G906" s="506"/>
      <c r="H906" s="506"/>
      <c r="I906" s="506"/>
      <c r="J906" s="506"/>
      <c r="K906" s="507"/>
      <c r="L906" s="508"/>
      <c r="M906" s="508"/>
      <c r="N906" s="508"/>
      <c r="O906" s="509"/>
      <c r="P906" s="509"/>
    </row>
    <row r="907" spans="1:16" ht="21.75" customHeight="1" x14ac:dyDescent="0.3">
      <c r="A907" s="504"/>
      <c r="B907" s="504"/>
      <c r="C907" s="504"/>
      <c r="D907" s="504"/>
      <c r="E907" s="506"/>
      <c r="F907" s="506"/>
      <c r="G907" s="506"/>
      <c r="H907" s="506"/>
      <c r="I907" s="506"/>
      <c r="J907" s="506"/>
      <c r="K907" s="507"/>
      <c r="L907" s="508"/>
      <c r="M907" s="508"/>
      <c r="N907" s="508"/>
      <c r="O907" s="509"/>
      <c r="P907" s="509"/>
    </row>
    <row r="908" spans="1:16" ht="21.75" customHeight="1" x14ac:dyDescent="0.3">
      <c r="A908" s="504"/>
      <c r="B908" s="504"/>
      <c r="C908" s="504"/>
      <c r="D908" s="504"/>
      <c r="E908" s="506"/>
      <c r="F908" s="506"/>
      <c r="G908" s="506"/>
      <c r="H908" s="506"/>
      <c r="I908" s="506"/>
      <c r="J908" s="506"/>
      <c r="K908" s="507"/>
      <c r="L908" s="508"/>
      <c r="M908" s="508"/>
      <c r="N908" s="508"/>
      <c r="O908" s="509"/>
      <c r="P908" s="509"/>
    </row>
    <row r="909" spans="1:16" ht="21.75" customHeight="1" x14ac:dyDescent="0.3">
      <c r="A909" s="504"/>
      <c r="B909" s="504"/>
      <c r="C909" s="504"/>
      <c r="D909" s="504"/>
      <c r="E909" s="506"/>
      <c r="F909" s="506"/>
      <c r="G909" s="506"/>
      <c r="H909" s="506"/>
      <c r="I909" s="506"/>
      <c r="J909" s="506"/>
      <c r="K909" s="507"/>
      <c r="L909" s="508"/>
      <c r="M909" s="508"/>
      <c r="N909" s="508"/>
      <c r="O909" s="509"/>
      <c r="P909" s="509"/>
    </row>
    <row r="910" spans="1:16" ht="21.75" customHeight="1" x14ac:dyDescent="0.3">
      <c r="A910" s="504"/>
      <c r="B910" s="504"/>
      <c r="C910" s="504"/>
      <c r="D910" s="504"/>
      <c r="E910" s="506"/>
      <c r="F910" s="506"/>
      <c r="G910" s="506"/>
      <c r="H910" s="506"/>
      <c r="I910" s="506"/>
      <c r="J910" s="506"/>
      <c r="K910" s="507"/>
      <c r="L910" s="508"/>
      <c r="M910" s="508"/>
      <c r="N910" s="508"/>
      <c r="O910" s="509"/>
      <c r="P910" s="509"/>
    </row>
    <row r="911" spans="1:16" ht="21.75" customHeight="1" x14ac:dyDescent="0.3">
      <c r="A911" s="504"/>
      <c r="B911" s="504"/>
      <c r="C911" s="504"/>
      <c r="D911" s="504"/>
      <c r="E911" s="506"/>
      <c r="F911" s="506"/>
      <c r="G911" s="506"/>
      <c r="H911" s="506"/>
      <c r="I911" s="506"/>
      <c r="J911" s="506"/>
      <c r="K911" s="507"/>
      <c r="L911" s="508"/>
      <c r="M911" s="508"/>
      <c r="N911" s="508"/>
      <c r="O911" s="509"/>
      <c r="P911" s="509"/>
    </row>
    <row r="912" spans="1:16" ht="21.75" customHeight="1" x14ac:dyDescent="0.3">
      <c r="A912" s="504"/>
      <c r="B912" s="504"/>
      <c r="C912" s="504"/>
      <c r="D912" s="504"/>
      <c r="E912" s="506"/>
      <c r="F912" s="506"/>
      <c r="G912" s="506"/>
      <c r="H912" s="506"/>
      <c r="I912" s="506"/>
      <c r="J912" s="506"/>
      <c r="K912" s="507"/>
      <c r="L912" s="508"/>
      <c r="M912" s="508"/>
      <c r="N912" s="508"/>
      <c r="O912" s="509"/>
      <c r="P912" s="509"/>
    </row>
    <row r="913" spans="1:16" ht="21.75" customHeight="1" x14ac:dyDescent="0.3">
      <c r="A913" s="504"/>
      <c r="B913" s="504"/>
      <c r="C913" s="504"/>
      <c r="D913" s="504"/>
      <c r="E913" s="506"/>
      <c r="F913" s="506"/>
      <c r="G913" s="506"/>
      <c r="H913" s="506"/>
      <c r="I913" s="506"/>
      <c r="J913" s="506"/>
      <c r="K913" s="507"/>
      <c r="L913" s="508"/>
      <c r="M913" s="508"/>
      <c r="N913" s="508"/>
      <c r="O913" s="509"/>
      <c r="P913" s="509"/>
    </row>
    <row r="914" spans="1:16" ht="21.75" customHeight="1" x14ac:dyDescent="0.3">
      <c r="A914" s="504"/>
      <c r="B914" s="504"/>
      <c r="C914" s="504"/>
      <c r="D914" s="504"/>
      <c r="E914" s="506"/>
      <c r="F914" s="506"/>
      <c r="G914" s="506"/>
      <c r="H914" s="506"/>
      <c r="I914" s="506"/>
      <c r="J914" s="506"/>
      <c r="K914" s="507"/>
      <c r="L914" s="508"/>
      <c r="M914" s="508"/>
      <c r="N914" s="508"/>
      <c r="O914" s="509"/>
      <c r="P914" s="509"/>
    </row>
    <row r="915" spans="1:16" ht="21.75" customHeight="1" x14ac:dyDescent="0.3">
      <c r="A915" s="504"/>
      <c r="B915" s="504"/>
      <c r="C915" s="504"/>
      <c r="D915" s="504"/>
      <c r="E915" s="506"/>
      <c r="F915" s="506"/>
      <c r="G915" s="506"/>
      <c r="H915" s="506"/>
      <c r="I915" s="506"/>
      <c r="J915" s="506"/>
      <c r="K915" s="507"/>
      <c r="L915" s="508"/>
      <c r="M915" s="508"/>
      <c r="N915" s="508"/>
      <c r="O915" s="509"/>
      <c r="P915" s="509"/>
    </row>
    <row r="916" spans="1:16" ht="21.75" customHeight="1" x14ac:dyDescent="0.3">
      <c r="A916" s="504"/>
      <c r="B916" s="504"/>
      <c r="C916" s="504"/>
      <c r="D916" s="504"/>
      <c r="E916" s="506"/>
      <c r="F916" s="506"/>
      <c r="G916" s="506"/>
      <c r="H916" s="506"/>
      <c r="I916" s="506"/>
      <c r="J916" s="506"/>
      <c r="K916" s="507"/>
      <c r="L916" s="508"/>
      <c r="M916" s="508"/>
      <c r="N916" s="508"/>
      <c r="O916" s="509"/>
      <c r="P916" s="509"/>
    </row>
    <row r="917" spans="1:16" ht="21.75" customHeight="1" x14ac:dyDescent="0.3">
      <c r="A917" s="504"/>
      <c r="B917" s="504"/>
      <c r="C917" s="504"/>
      <c r="D917" s="504"/>
      <c r="E917" s="506"/>
      <c r="F917" s="506"/>
      <c r="G917" s="506"/>
      <c r="H917" s="506"/>
      <c r="I917" s="506"/>
      <c r="J917" s="506"/>
      <c r="K917" s="507"/>
      <c r="L917" s="508"/>
      <c r="M917" s="508"/>
      <c r="N917" s="508"/>
      <c r="O917" s="509"/>
      <c r="P917" s="509"/>
    </row>
    <row r="918" spans="1:16" ht="21.75" customHeight="1" x14ac:dyDescent="0.3">
      <c r="A918" s="504"/>
      <c r="B918" s="504"/>
      <c r="C918" s="504"/>
      <c r="D918" s="504"/>
      <c r="E918" s="506"/>
      <c r="F918" s="506"/>
      <c r="G918" s="506"/>
      <c r="H918" s="506"/>
      <c r="I918" s="506"/>
      <c r="J918" s="506"/>
      <c r="K918" s="507"/>
      <c r="L918" s="508"/>
      <c r="M918" s="508"/>
      <c r="N918" s="508"/>
      <c r="O918" s="509"/>
      <c r="P918" s="509"/>
    </row>
    <row r="919" spans="1:16" ht="21.75" customHeight="1" x14ac:dyDescent="0.3">
      <c r="A919" s="504"/>
      <c r="B919" s="504"/>
      <c r="C919" s="504"/>
      <c r="D919" s="504"/>
      <c r="E919" s="506"/>
      <c r="F919" s="506"/>
      <c r="G919" s="506"/>
      <c r="H919" s="506"/>
      <c r="I919" s="506"/>
      <c r="J919" s="506"/>
      <c r="K919" s="507"/>
      <c r="L919" s="508"/>
      <c r="M919" s="508"/>
      <c r="N919" s="508"/>
      <c r="O919" s="509"/>
      <c r="P919" s="509"/>
    </row>
    <row r="920" spans="1:16" ht="21.75" customHeight="1" x14ac:dyDescent="0.3">
      <c r="A920" s="504"/>
      <c r="B920" s="504"/>
      <c r="C920" s="504"/>
      <c r="D920" s="504"/>
      <c r="E920" s="506"/>
      <c r="F920" s="506"/>
      <c r="G920" s="506"/>
      <c r="H920" s="506"/>
      <c r="I920" s="506"/>
      <c r="J920" s="506"/>
      <c r="K920" s="507"/>
      <c r="L920" s="508"/>
      <c r="M920" s="508"/>
      <c r="N920" s="508"/>
      <c r="O920" s="509"/>
      <c r="P920" s="509"/>
    </row>
    <row r="921" spans="1:16" ht="21.75" customHeight="1" x14ac:dyDescent="0.3">
      <c r="A921" s="504"/>
      <c r="B921" s="504"/>
      <c r="C921" s="504"/>
      <c r="D921" s="504"/>
      <c r="E921" s="506"/>
      <c r="F921" s="506"/>
      <c r="G921" s="506"/>
      <c r="H921" s="506"/>
      <c r="I921" s="506"/>
      <c r="J921" s="506"/>
      <c r="K921" s="507"/>
      <c r="L921" s="508"/>
      <c r="M921" s="508"/>
      <c r="N921" s="508"/>
      <c r="O921" s="509"/>
      <c r="P921" s="509"/>
    </row>
    <row r="922" spans="1:16" ht="21.75" customHeight="1" x14ac:dyDescent="0.3">
      <c r="A922" s="504"/>
      <c r="B922" s="504"/>
      <c r="C922" s="504"/>
      <c r="D922" s="504"/>
      <c r="E922" s="506"/>
      <c r="F922" s="506"/>
      <c r="G922" s="506"/>
      <c r="H922" s="506"/>
      <c r="I922" s="506"/>
      <c r="J922" s="506"/>
      <c r="K922" s="507"/>
      <c r="L922" s="508"/>
      <c r="M922" s="508"/>
      <c r="N922" s="508"/>
      <c r="O922" s="509"/>
      <c r="P922" s="509"/>
    </row>
    <row r="923" spans="1:16" ht="21.75" customHeight="1" x14ac:dyDescent="0.3">
      <c r="A923" s="504"/>
      <c r="B923" s="504"/>
      <c r="C923" s="504"/>
      <c r="D923" s="504"/>
      <c r="E923" s="506"/>
      <c r="F923" s="506"/>
      <c r="G923" s="506"/>
      <c r="H923" s="506"/>
      <c r="I923" s="506"/>
      <c r="J923" s="506"/>
      <c r="K923" s="507"/>
      <c r="L923" s="508"/>
      <c r="M923" s="508"/>
      <c r="N923" s="508"/>
      <c r="O923" s="509"/>
      <c r="P923" s="509"/>
    </row>
    <row r="924" spans="1:16" ht="21.75" customHeight="1" x14ac:dyDescent="0.3">
      <c r="A924" s="504"/>
      <c r="B924" s="504"/>
      <c r="C924" s="504"/>
      <c r="D924" s="504"/>
      <c r="E924" s="506"/>
      <c r="F924" s="506"/>
      <c r="G924" s="506"/>
      <c r="H924" s="506"/>
      <c r="I924" s="506"/>
      <c r="J924" s="506"/>
      <c r="K924" s="507"/>
      <c r="L924" s="508"/>
      <c r="M924" s="508"/>
      <c r="N924" s="508"/>
      <c r="O924" s="509"/>
      <c r="P924" s="509"/>
    </row>
    <row r="925" spans="1:16" ht="21.75" customHeight="1" x14ac:dyDescent="0.3">
      <c r="A925" s="504"/>
      <c r="B925" s="504"/>
      <c r="C925" s="504"/>
      <c r="D925" s="504"/>
      <c r="E925" s="506"/>
      <c r="F925" s="506"/>
      <c r="G925" s="506"/>
      <c r="H925" s="506"/>
      <c r="I925" s="506"/>
      <c r="J925" s="506"/>
      <c r="K925" s="507"/>
      <c r="L925" s="508"/>
      <c r="M925" s="508"/>
      <c r="N925" s="508"/>
      <c r="O925" s="509"/>
      <c r="P925" s="509"/>
    </row>
    <row r="926" spans="1:16" ht="21.75" customHeight="1" x14ac:dyDescent="0.3">
      <c r="A926" s="504"/>
      <c r="B926" s="504"/>
      <c r="C926" s="504"/>
      <c r="D926" s="504"/>
      <c r="E926" s="506"/>
      <c r="F926" s="506"/>
      <c r="G926" s="506"/>
      <c r="H926" s="506"/>
      <c r="I926" s="506"/>
      <c r="J926" s="506"/>
      <c r="K926" s="507"/>
      <c r="L926" s="508"/>
      <c r="M926" s="508"/>
      <c r="N926" s="508"/>
      <c r="O926" s="509"/>
      <c r="P926" s="509"/>
    </row>
    <row r="927" spans="1:16" ht="21.75" customHeight="1" x14ac:dyDescent="0.3">
      <c r="A927" s="504"/>
      <c r="B927" s="504"/>
      <c r="C927" s="504"/>
      <c r="D927" s="504"/>
      <c r="E927" s="506"/>
      <c r="F927" s="506"/>
      <c r="G927" s="506"/>
      <c r="H927" s="506"/>
      <c r="I927" s="506"/>
      <c r="J927" s="506"/>
      <c r="K927" s="507"/>
      <c r="L927" s="508"/>
      <c r="M927" s="508"/>
      <c r="N927" s="508"/>
      <c r="O927" s="509"/>
      <c r="P927" s="509"/>
    </row>
    <row r="928" spans="1:16" ht="21.75" customHeight="1" x14ac:dyDescent="0.3">
      <c r="A928" s="504"/>
      <c r="B928" s="504"/>
      <c r="C928" s="504"/>
      <c r="D928" s="504"/>
      <c r="E928" s="506"/>
      <c r="F928" s="506"/>
      <c r="G928" s="506"/>
      <c r="H928" s="506"/>
      <c r="I928" s="506"/>
      <c r="J928" s="506"/>
      <c r="K928" s="507"/>
      <c r="L928" s="508"/>
      <c r="M928" s="508"/>
      <c r="N928" s="508"/>
      <c r="O928" s="509"/>
      <c r="P928" s="509"/>
    </row>
    <row r="929" spans="1:16" ht="21.75" customHeight="1" x14ac:dyDescent="0.3">
      <c r="A929" s="504"/>
      <c r="B929" s="504"/>
      <c r="C929" s="504"/>
      <c r="D929" s="504"/>
      <c r="E929" s="506"/>
      <c r="F929" s="506"/>
      <c r="G929" s="506"/>
      <c r="H929" s="506"/>
      <c r="I929" s="506"/>
      <c r="J929" s="506"/>
      <c r="K929" s="507"/>
      <c r="L929" s="508"/>
      <c r="M929" s="508"/>
      <c r="N929" s="508"/>
      <c r="O929" s="509"/>
      <c r="P929" s="509"/>
    </row>
    <row r="930" spans="1:16" ht="21.75" customHeight="1" x14ac:dyDescent="0.3">
      <c r="A930" s="504"/>
      <c r="B930" s="504"/>
      <c r="C930" s="504"/>
      <c r="D930" s="504"/>
      <c r="E930" s="506"/>
      <c r="F930" s="506"/>
      <c r="G930" s="506"/>
      <c r="H930" s="506"/>
      <c r="I930" s="506"/>
      <c r="J930" s="506"/>
      <c r="K930" s="507"/>
      <c r="L930" s="508"/>
      <c r="M930" s="508"/>
      <c r="N930" s="508"/>
      <c r="O930" s="509"/>
      <c r="P930" s="509"/>
    </row>
    <row r="931" spans="1:16" ht="21.75" customHeight="1" x14ac:dyDescent="0.3">
      <c r="A931" s="504"/>
      <c r="B931" s="504"/>
      <c r="C931" s="504"/>
      <c r="D931" s="504"/>
      <c r="E931" s="506"/>
      <c r="F931" s="506"/>
      <c r="G931" s="506"/>
      <c r="H931" s="506"/>
      <c r="I931" s="506"/>
      <c r="J931" s="506"/>
      <c r="K931" s="507"/>
      <c r="L931" s="508"/>
      <c r="M931" s="508"/>
      <c r="N931" s="508"/>
      <c r="O931" s="509"/>
      <c r="P931" s="509"/>
    </row>
    <row r="932" spans="1:16" ht="21.75" customHeight="1" x14ac:dyDescent="0.3">
      <c r="A932" s="504"/>
      <c r="B932" s="504"/>
      <c r="C932" s="504"/>
      <c r="D932" s="504"/>
      <c r="E932" s="506"/>
      <c r="F932" s="506"/>
      <c r="G932" s="506"/>
      <c r="H932" s="506"/>
      <c r="I932" s="506"/>
      <c r="J932" s="506"/>
      <c r="K932" s="507"/>
      <c r="L932" s="508"/>
      <c r="M932" s="508"/>
      <c r="N932" s="508"/>
      <c r="O932" s="509"/>
      <c r="P932" s="509"/>
    </row>
    <row r="933" spans="1:16" ht="21.75" customHeight="1" x14ac:dyDescent="0.3">
      <c r="A933" s="504"/>
      <c r="B933" s="504"/>
      <c r="C933" s="504"/>
      <c r="D933" s="504"/>
      <c r="E933" s="506"/>
      <c r="F933" s="506"/>
      <c r="G933" s="506"/>
      <c r="H933" s="506"/>
      <c r="I933" s="506"/>
      <c r="J933" s="506"/>
      <c r="K933" s="507"/>
      <c r="L933" s="508"/>
      <c r="M933" s="508"/>
      <c r="N933" s="508"/>
      <c r="O933" s="509"/>
      <c r="P933" s="509"/>
    </row>
    <row r="934" spans="1:16" ht="21.75" customHeight="1" x14ac:dyDescent="0.3">
      <c r="A934" s="504"/>
      <c r="B934" s="504"/>
      <c r="C934" s="504"/>
      <c r="D934" s="504"/>
      <c r="E934" s="506"/>
      <c r="F934" s="506"/>
      <c r="G934" s="506"/>
      <c r="H934" s="506"/>
      <c r="I934" s="506"/>
      <c r="J934" s="506"/>
      <c r="K934" s="507"/>
      <c r="L934" s="508"/>
      <c r="M934" s="508"/>
      <c r="N934" s="508"/>
      <c r="O934" s="509"/>
      <c r="P934" s="509"/>
    </row>
    <row r="935" spans="1:16" ht="21.75" customHeight="1" x14ac:dyDescent="0.3">
      <c r="A935" s="504"/>
      <c r="B935" s="504"/>
      <c r="C935" s="504"/>
      <c r="D935" s="504"/>
      <c r="E935" s="506"/>
      <c r="F935" s="506"/>
      <c r="G935" s="506"/>
      <c r="H935" s="506"/>
      <c r="I935" s="506"/>
      <c r="J935" s="506"/>
      <c r="K935" s="507"/>
      <c r="L935" s="508"/>
      <c r="M935" s="508"/>
      <c r="N935" s="508"/>
      <c r="O935" s="509"/>
      <c r="P935" s="509"/>
    </row>
    <row r="936" spans="1:16" ht="21.75" customHeight="1" x14ac:dyDescent="0.3">
      <c r="A936" s="504"/>
      <c r="B936" s="504"/>
      <c r="C936" s="504"/>
      <c r="D936" s="504"/>
      <c r="E936" s="506"/>
      <c r="F936" s="506"/>
      <c r="G936" s="506"/>
      <c r="H936" s="506"/>
      <c r="I936" s="506"/>
      <c r="J936" s="506"/>
      <c r="K936" s="507"/>
      <c r="L936" s="508"/>
      <c r="M936" s="508"/>
      <c r="N936" s="508"/>
      <c r="O936" s="509"/>
      <c r="P936" s="509"/>
    </row>
    <row r="937" spans="1:16" ht="21.75" customHeight="1" x14ac:dyDescent="0.3">
      <c r="A937" s="504"/>
      <c r="B937" s="504"/>
      <c r="C937" s="504"/>
      <c r="D937" s="504"/>
      <c r="E937" s="506"/>
      <c r="F937" s="506"/>
      <c r="G937" s="506"/>
      <c r="H937" s="506"/>
      <c r="I937" s="506"/>
      <c r="J937" s="506"/>
      <c r="K937" s="507"/>
      <c r="L937" s="508"/>
      <c r="M937" s="508"/>
      <c r="N937" s="508"/>
      <c r="O937" s="509"/>
      <c r="P937" s="509"/>
    </row>
    <row r="938" spans="1:16" ht="21.75" customHeight="1" x14ac:dyDescent="0.3">
      <c r="A938" s="504"/>
      <c r="B938" s="504"/>
      <c r="C938" s="504"/>
      <c r="D938" s="504"/>
      <c r="E938" s="506"/>
      <c r="F938" s="506"/>
      <c r="G938" s="506"/>
      <c r="H938" s="506"/>
      <c r="I938" s="506"/>
      <c r="J938" s="506"/>
      <c r="K938" s="507"/>
      <c r="L938" s="508"/>
      <c r="M938" s="508"/>
      <c r="N938" s="508"/>
      <c r="O938" s="509"/>
      <c r="P938" s="509"/>
    </row>
    <row r="939" spans="1:16" ht="21.75" customHeight="1" x14ac:dyDescent="0.3">
      <c r="A939" s="504"/>
      <c r="B939" s="504"/>
      <c r="C939" s="504"/>
      <c r="D939" s="504"/>
      <c r="E939" s="506"/>
      <c r="F939" s="506"/>
      <c r="G939" s="506"/>
      <c r="H939" s="506"/>
      <c r="I939" s="506"/>
      <c r="J939" s="506"/>
      <c r="K939" s="507"/>
      <c r="L939" s="508"/>
      <c r="M939" s="508"/>
      <c r="N939" s="508"/>
      <c r="O939" s="509"/>
      <c r="P939" s="509"/>
    </row>
    <row r="940" spans="1:16" ht="21.75" customHeight="1" x14ac:dyDescent="0.3">
      <c r="A940" s="504"/>
      <c r="B940" s="504"/>
      <c r="C940" s="504"/>
      <c r="D940" s="504"/>
      <c r="E940" s="506"/>
      <c r="F940" s="506"/>
      <c r="G940" s="506"/>
      <c r="H940" s="506"/>
      <c r="I940" s="506"/>
      <c r="J940" s="506"/>
      <c r="K940" s="507"/>
      <c r="L940" s="508"/>
      <c r="M940" s="508"/>
      <c r="N940" s="508"/>
      <c r="O940" s="509"/>
      <c r="P940" s="509"/>
    </row>
    <row r="941" spans="1:16" ht="21.75" customHeight="1" x14ac:dyDescent="0.3">
      <c r="A941" s="504"/>
      <c r="B941" s="504"/>
      <c r="C941" s="504"/>
      <c r="D941" s="504"/>
      <c r="E941" s="506"/>
      <c r="F941" s="506"/>
      <c r="G941" s="506"/>
      <c r="H941" s="506"/>
      <c r="I941" s="506"/>
      <c r="J941" s="506"/>
      <c r="K941" s="507"/>
      <c r="L941" s="508"/>
      <c r="M941" s="508"/>
      <c r="N941" s="508"/>
      <c r="O941" s="509"/>
      <c r="P941" s="509"/>
    </row>
    <row r="942" spans="1:16" ht="21.75" customHeight="1" x14ac:dyDescent="0.3">
      <c r="A942" s="504"/>
      <c r="B942" s="504"/>
      <c r="C942" s="504"/>
      <c r="D942" s="504"/>
      <c r="E942" s="506"/>
      <c r="F942" s="506"/>
      <c r="G942" s="506"/>
      <c r="H942" s="506"/>
      <c r="I942" s="506"/>
      <c r="J942" s="506"/>
      <c r="K942" s="507"/>
      <c r="L942" s="508"/>
      <c r="M942" s="508"/>
      <c r="N942" s="508"/>
      <c r="O942" s="509"/>
      <c r="P942" s="509"/>
    </row>
    <row r="943" spans="1:16" ht="21.75" customHeight="1" x14ac:dyDescent="0.3">
      <c r="A943" s="504"/>
      <c r="B943" s="504"/>
      <c r="C943" s="504"/>
      <c r="D943" s="504"/>
      <c r="E943" s="506"/>
      <c r="F943" s="506"/>
      <c r="G943" s="506"/>
      <c r="H943" s="506"/>
      <c r="I943" s="506"/>
      <c r="J943" s="506"/>
      <c r="K943" s="507"/>
      <c r="L943" s="508"/>
      <c r="M943" s="508"/>
      <c r="N943" s="508"/>
      <c r="O943" s="509"/>
      <c r="P943" s="509"/>
    </row>
    <row r="944" spans="1:16" ht="21.75" customHeight="1" x14ac:dyDescent="0.3">
      <c r="A944" s="504"/>
      <c r="B944" s="504"/>
      <c r="C944" s="504"/>
      <c r="D944" s="504"/>
      <c r="E944" s="506"/>
      <c r="F944" s="506"/>
      <c r="G944" s="506"/>
      <c r="H944" s="506"/>
      <c r="I944" s="506"/>
      <c r="J944" s="506"/>
      <c r="K944" s="507"/>
      <c r="L944" s="508"/>
      <c r="M944" s="508"/>
      <c r="N944" s="508"/>
      <c r="O944" s="509"/>
      <c r="P944" s="509"/>
    </row>
    <row r="945" spans="1:16" ht="21.75" customHeight="1" x14ac:dyDescent="0.3">
      <c r="A945" s="504"/>
      <c r="B945" s="504"/>
      <c r="C945" s="504"/>
      <c r="D945" s="504"/>
      <c r="E945" s="506"/>
      <c r="F945" s="506"/>
      <c r="G945" s="506"/>
      <c r="H945" s="506"/>
      <c r="I945" s="506"/>
      <c r="J945" s="506"/>
      <c r="K945" s="507"/>
      <c r="L945" s="508"/>
      <c r="M945" s="508"/>
      <c r="N945" s="508"/>
      <c r="O945" s="509"/>
      <c r="P945" s="509"/>
    </row>
    <row r="946" spans="1:16" ht="21.75" customHeight="1" x14ac:dyDescent="0.3">
      <c r="A946" s="504"/>
      <c r="B946" s="504"/>
      <c r="C946" s="504"/>
      <c r="D946" s="504"/>
      <c r="E946" s="506"/>
      <c r="F946" s="506"/>
      <c r="G946" s="506"/>
      <c r="H946" s="506"/>
      <c r="I946" s="506"/>
      <c r="J946" s="506"/>
      <c r="K946" s="507"/>
      <c r="L946" s="508"/>
      <c r="M946" s="508"/>
      <c r="N946" s="508"/>
      <c r="O946" s="509"/>
      <c r="P946" s="509"/>
    </row>
    <row r="947" spans="1:16" ht="21.75" customHeight="1" x14ac:dyDescent="0.3">
      <c r="A947" s="504"/>
      <c r="B947" s="504"/>
      <c r="C947" s="504"/>
      <c r="D947" s="504"/>
      <c r="E947" s="506"/>
      <c r="F947" s="506"/>
      <c r="G947" s="506"/>
      <c r="H947" s="506"/>
      <c r="I947" s="506"/>
      <c r="J947" s="506"/>
      <c r="K947" s="507"/>
      <c r="L947" s="508"/>
      <c r="M947" s="508"/>
      <c r="N947" s="508"/>
      <c r="O947" s="509"/>
      <c r="P947" s="509"/>
    </row>
    <row r="948" spans="1:16" ht="21.75" customHeight="1" x14ac:dyDescent="0.3">
      <c r="A948" s="504"/>
      <c r="B948" s="504"/>
      <c r="C948" s="504"/>
      <c r="D948" s="504"/>
      <c r="E948" s="506"/>
      <c r="F948" s="506"/>
      <c r="G948" s="506"/>
      <c r="H948" s="506"/>
      <c r="I948" s="506"/>
      <c r="J948" s="506"/>
      <c r="K948" s="507"/>
      <c r="L948" s="508"/>
      <c r="M948" s="508"/>
      <c r="N948" s="508"/>
      <c r="O948" s="509"/>
      <c r="P948" s="509"/>
    </row>
    <row r="949" spans="1:16" ht="21.75" customHeight="1" x14ac:dyDescent="0.3">
      <c r="A949" s="504"/>
      <c r="B949" s="504"/>
      <c r="C949" s="504"/>
      <c r="D949" s="504"/>
      <c r="E949" s="506"/>
      <c r="F949" s="506"/>
      <c r="G949" s="506"/>
      <c r="H949" s="506"/>
      <c r="I949" s="506"/>
      <c r="J949" s="506"/>
      <c r="K949" s="507"/>
      <c r="L949" s="508"/>
      <c r="M949" s="508"/>
      <c r="N949" s="508"/>
      <c r="O949" s="509"/>
      <c r="P949" s="509"/>
    </row>
    <row r="950" spans="1:16" ht="21.75" customHeight="1" x14ac:dyDescent="0.3">
      <c r="A950" s="504"/>
      <c r="B950" s="504"/>
      <c r="C950" s="504"/>
      <c r="D950" s="504"/>
      <c r="E950" s="506"/>
      <c r="F950" s="506"/>
      <c r="G950" s="506"/>
      <c r="H950" s="506"/>
      <c r="I950" s="506"/>
      <c r="J950" s="506"/>
      <c r="K950" s="507"/>
      <c r="L950" s="508"/>
      <c r="M950" s="508"/>
      <c r="N950" s="508"/>
      <c r="O950" s="509"/>
      <c r="P950" s="509"/>
    </row>
    <row r="951" spans="1:16" ht="21.75" customHeight="1" x14ac:dyDescent="0.3">
      <c r="A951" s="504"/>
      <c r="B951" s="504"/>
      <c r="C951" s="504"/>
      <c r="D951" s="504"/>
      <c r="E951" s="506"/>
      <c r="F951" s="506"/>
      <c r="G951" s="506"/>
      <c r="H951" s="506"/>
      <c r="I951" s="506"/>
      <c r="J951" s="506"/>
      <c r="K951" s="507"/>
      <c r="L951" s="508"/>
      <c r="M951" s="508"/>
      <c r="N951" s="508"/>
      <c r="O951" s="509"/>
      <c r="P951" s="509"/>
    </row>
    <row r="952" spans="1:16" ht="21.75" customHeight="1" x14ac:dyDescent="0.3">
      <c r="A952" s="504"/>
      <c r="B952" s="504"/>
      <c r="C952" s="504"/>
      <c r="D952" s="504"/>
      <c r="E952" s="506"/>
      <c r="F952" s="506"/>
      <c r="G952" s="506"/>
      <c r="H952" s="506"/>
      <c r="I952" s="506"/>
      <c r="J952" s="506"/>
      <c r="K952" s="507"/>
      <c r="L952" s="508"/>
      <c r="M952" s="508"/>
      <c r="N952" s="508"/>
      <c r="O952" s="509"/>
      <c r="P952" s="509"/>
    </row>
    <row r="953" spans="1:16" ht="21.75" customHeight="1" x14ac:dyDescent="0.3">
      <c r="A953" s="504"/>
      <c r="B953" s="504"/>
      <c r="C953" s="504"/>
      <c r="D953" s="504"/>
      <c r="E953" s="506"/>
      <c r="F953" s="506"/>
      <c r="G953" s="506"/>
      <c r="H953" s="506"/>
      <c r="I953" s="506"/>
      <c r="J953" s="506"/>
      <c r="K953" s="507"/>
      <c r="L953" s="508"/>
      <c r="M953" s="508"/>
      <c r="N953" s="508"/>
      <c r="O953" s="509"/>
      <c r="P953" s="509"/>
    </row>
    <row r="954" spans="1:16" ht="21.75" customHeight="1" x14ac:dyDescent="0.3">
      <c r="A954" s="504"/>
      <c r="B954" s="504"/>
      <c r="C954" s="504"/>
      <c r="D954" s="504"/>
      <c r="E954" s="506"/>
      <c r="F954" s="506"/>
      <c r="G954" s="506"/>
      <c r="H954" s="506"/>
      <c r="I954" s="506"/>
      <c r="J954" s="506"/>
      <c r="K954" s="507"/>
      <c r="L954" s="508"/>
      <c r="M954" s="508"/>
      <c r="N954" s="508"/>
      <c r="O954" s="509"/>
      <c r="P954" s="509"/>
    </row>
    <row r="955" spans="1:16" ht="21.75" customHeight="1" x14ac:dyDescent="0.3">
      <c r="A955" s="504"/>
      <c r="B955" s="504"/>
      <c r="C955" s="504"/>
      <c r="D955" s="504"/>
      <c r="E955" s="506"/>
      <c r="F955" s="506"/>
      <c r="G955" s="506"/>
      <c r="H955" s="506"/>
      <c r="I955" s="506"/>
      <c r="J955" s="506"/>
      <c r="K955" s="507"/>
      <c r="L955" s="508"/>
      <c r="M955" s="508"/>
      <c r="N955" s="508"/>
      <c r="O955" s="509"/>
      <c r="P955" s="509"/>
    </row>
    <row r="956" spans="1:16" ht="21.75" customHeight="1" x14ac:dyDescent="0.3">
      <c r="A956" s="504"/>
      <c r="B956" s="504"/>
      <c r="C956" s="504"/>
      <c r="D956" s="504"/>
      <c r="E956" s="506"/>
      <c r="F956" s="506"/>
      <c r="G956" s="506"/>
      <c r="H956" s="506"/>
      <c r="I956" s="506"/>
      <c r="J956" s="506"/>
      <c r="K956" s="507"/>
      <c r="L956" s="508"/>
      <c r="M956" s="508"/>
      <c r="N956" s="508"/>
      <c r="O956" s="509"/>
      <c r="P956" s="509"/>
    </row>
    <row r="957" spans="1:16" ht="21.75" customHeight="1" x14ac:dyDescent="0.3">
      <c r="A957" s="504"/>
      <c r="B957" s="504"/>
      <c r="C957" s="504"/>
      <c r="D957" s="504"/>
      <c r="E957" s="506"/>
      <c r="F957" s="506"/>
      <c r="G957" s="506"/>
      <c r="H957" s="506"/>
      <c r="I957" s="506"/>
      <c r="J957" s="506"/>
      <c r="K957" s="507"/>
      <c r="L957" s="508"/>
      <c r="M957" s="508"/>
      <c r="N957" s="508"/>
      <c r="O957" s="509"/>
      <c r="P957" s="509"/>
    </row>
    <row r="958" spans="1:16" ht="21.75" customHeight="1" x14ac:dyDescent="0.3">
      <c r="A958" s="504"/>
      <c r="B958" s="504"/>
      <c r="C958" s="504"/>
      <c r="D958" s="504"/>
      <c r="E958" s="506"/>
      <c r="F958" s="506"/>
      <c r="G958" s="506"/>
      <c r="H958" s="506"/>
      <c r="I958" s="506"/>
      <c r="J958" s="506"/>
      <c r="K958" s="507"/>
      <c r="L958" s="508"/>
      <c r="M958" s="508"/>
      <c r="N958" s="508"/>
      <c r="O958" s="509"/>
      <c r="P958" s="509"/>
    </row>
    <row r="959" spans="1:16" ht="21.75" customHeight="1" x14ac:dyDescent="0.3">
      <c r="A959" s="504"/>
      <c r="B959" s="504"/>
      <c r="C959" s="504"/>
      <c r="D959" s="504"/>
      <c r="E959" s="506"/>
      <c r="F959" s="506"/>
      <c r="G959" s="506"/>
      <c r="H959" s="506"/>
      <c r="I959" s="506"/>
      <c r="J959" s="506"/>
      <c r="K959" s="507"/>
      <c r="L959" s="508"/>
      <c r="M959" s="508"/>
      <c r="N959" s="508"/>
      <c r="O959" s="509"/>
      <c r="P959" s="509"/>
    </row>
    <row r="960" spans="1:16" ht="21.75" customHeight="1" x14ac:dyDescent="0.3">
      <c r="A960" s="504"/>
      <c r="B960" s="504"/>
      <c r="C960" s="504"/>
      <c r="D960" s="504"/>
      <c r="E960" s="506"/>
      <c r="F960" s="506"/>
      <c r="G960" s="506"/>
      <c r="H960" s="506"/>
      <c r="I960" s="506"/>
      <c r="J960" s="506"/>
      <c r="K960" s="507"/>
      <c r="L960" s="508"/>
      <c r="M960" s="508"/>
      <c r="N960" s="508"/>
      <c r="O960" s="509"/>
      <c r="P960" s="509"/>
    </row>
    <row r="961" spans="1:16" ht="21.75" customHeight="1" x14ac:dyDescent="0.3">
      <c r="A961" s="504"/>
      <c r="B961" s="504"/>
      <c r="C961" s="504"/>
      <c r="D961" s="504"/>
      <c r="E961" s="506"/>
      <c r="F961" s="506"/>
      <c r="G961" s="506"/>
      <c r="H961" s="506"/>
      <c r="I961" s="506"/>
      <c r="J961" s="506"/>
      <c r="K961" s="507"/>
      <c r="L961" s="508"/>
      <c r="M961" s="508"/>
      <c r="N961" s="508"/>
      <c r="O961" s="509"/>
      <c r="P961" s="509"/>
    </row>
    <row r="962" spans="1:16" ht="21.75" customHeight="1" x14ac:dyDescent="0.3">
      <c r="A962" s="504"/>
      <c r="B962" s="504"/>
      <c r="C962" s="504"/>
      <c r="D962" s="504"/>
      <c r="E962" s="506"/>
      <c r="F962" s="506"/>
      <c r="G962" s="506"/>
      <c r="H962" s="506"/>
      <c r="I962" s="506"/>
      <c r="J962" s="506"/>
      <c r="K962" s="507"/>
      <c r="L962" s="508"/>
      <c r="M962" s="508"/>
      <c r="N962" s="508"/>
      <c r="O962" s="509"/>
      <c r="P962" s="509"/>
    </row>
    <row r="963" spans="1:16" ht="21.75" customHeight="1" x14ac:dyDescent="0.3">
      <c r="A963" s="504"/>
      <c r="B963" s="504"/>
      <c r="C963" s="504"/>
      <c r="D963" s="504"/>
      <c r="E963" s="506"/>
      <c r="F963" s="506"/>
      <c r="G963" s="506"/>
      <c r="H963" s="506"/>
      <c r="I963" s="506"/>
      <c r="J963" s="506"/>
      <c r="K963" s="507"/>
      <c r="L963" s="508"/>
      <c r="M963" s="508"/>
      <c r="N963" s="508"/>
      <c r="O963" s="509"/>
      <c r="P963" s="509"/>
    </row>
    <row r="964" spans="1:16" ht="21.75" customHeight="1" x14ac:dyDescent="0.3">
      <c r="A964" s="504"/>
      <c r="B964" s="504"/>
      <c r="C964" s="504"/>
      <c r="D964" s="504"/>
      <c r="E964" s="506"/>
      <c r="F964" s="506"/>
      <c r="G964" s="506"/>
      <c r="H964" s="506"/>
      <c r="I964" s="506"/>
      <c r="J964" s="506"/>
      <c r="K964" s="507"/>
      <c r="L964" s="508"/>
      <c r="M964" s="508"/>
      <c r="N964" s="508"/>
      <c r="O964" s="509"/>
      <c r="P964" s="509"/>
    </row>
    <row r="965" spans="1:16" ht="21.75" customHeight="1" x14ac:dyDescent="0.3">
      <c r="A965" s="504"/>
      <c r="B965" s="504"/>
      <c r="C965" s="504"/>
      <c r="D965" s="504"/>
      <c r="E965" s="506"/>
      <c r="F965" s="506"/>
      <c r="G965" s="506"/>
      <c r="H965" s="506"/>
      <c r="I965" s="506"/>
      <c r="J965" s="506"/>
      <c r="K965" s="507"/>
      <c r="L965" s="508"/>
      <c r="M965" s="508"/>
      <c r="N965" s="508"/>
      <c r="O965" s="509"/>
      <c r="P965" s="509"/>
    </row>
    <row r="966" spans="1:16" ht="21.75" customHeight="1" x14ac:dyDescent="0.3">
      <c r="A966" s="504"/>
      <c r="B966" s="504"/>
      <c r="C966" s="504"/>
      <c r="D966" s="504"/>
      <c r="E966" s="506"/>
      <c r="F966" s="506"/>
      <c r="G966" s="506"/>
      <c r="H966" s="506"/>
      <c r="I966" s="506"/>
      <c r="J966" s="506"/>
      <c r="K966" s="507"/>
      <c r="L966" s="508"/>
      <c r="M966" s="508"/>
      <c r="N966" s="508"/>
      <c r="O966" s="509"/>
      <c r="P966" s="509"/>
    </row>
    <row r="967" spans="1:16" ht="21.75" customHeight="1" x14ac:dyDescent="0.3">
      <c r="A967" s="504"/>
      <c r="B967" s="504"/>
      <c r="C967" s="504"/>
      <c r="D967" s="504"/>
      <c r="E967" s="506"/>
      <c r="F967" s="506"/>
      <c r="G967" s="506"/>
      <c r="H967" s="506"/>
      <c r="I967" s="506"/>
      <c r="J967" s="506"/>
      <c r="K967" s="507"/>
      <c r="L967" s="508"/>
      <c r="M967" s="508"/>
      <c r="N967" s="508"/>
      <c r="O967" s="509"/>
      <c r="P967" s="509"/>
    </row>
    <row r="968" spans="1:16" ht="21.75" customHeight="1" x14ac:dyDescent="0.3">
      <c r="A968" s="504"/>
      <c r="B968" s="504"/>
      <c r="C968" s="504"/>
      <c r="D968" s="504"/>
      <c r="E968" s="506"/>
      <c r="F968" s="506"/>
      <c r="G968" s="506"/>
      <c r="H968" s="506"/>
      <c r="I968" s="506"/>
      <c r="J968" s="506"/>
      <c r="K968" s="507"/>
      <c r="L968" s="508"/>
      <c r="M968" s="508"/>
      <c r="N968" s="508"/>
      <c r="O968" s="509"/>
      <c r="P968" s="509"/>
    </row>
    <row r="969" spans="1:16" ht="21.75" customHeight="1" x14ac:dyDescent="0.3">
      <c r="A969" s="504"/>
      <c r="B969" s="504"/>
      <c r="C969" s="504"/>
      <c r="D969" s="504"/>
      <c r="E969" s="506"/>
      <c r="F969" s="506"/>
      <c r="G969" s="506"/>
      <c r="H969" s="506"/>
      <c r="I969" s="506"/>
      <c r="J969" s="506"/>
      <c r="K969" s="507"/>
      <c r="L969" s="508"/>
      <c r="M969" s="508"/>
      <c r="N969" s="508"/>
      <c r="O969" s="509"/>
      <c r="P969" s="509"/>
    </row>
    <row r="970" spans="1:16" ht="21.75" customHeight="1" x14ac:dyDescent="0.3">
      <c r="A970" s="504"/>
      <c r="B970" s="504"/>
      <c r="C970" s="504"/>
      <c r="D970" s="504"/>
      <c r="E970" s="506"/>
      <c r="F970" s="506"/>
      <c r="G970" s="506"/>
      <c r="H970" s="506"/>
      <c r="I970" s="506"/>
      <c r="J970" s="506"/>
      <c r="K970" s="507"/>
      <c r="L970" s="508"/>
      <c r="M970" s="508"/>
      <c r="N970" s="508"/>
      <c r="O970" s="509"/>
      <c r="P970" s="509"/>
    </row>
    <row r="971" spans="1:16" ht="21.75" customHeight="1" x14ac:dyDescent="0.3">
      <c r="A971" s="504"/>
      <c r="B971" s="504"/>
      <c r="C971" s="504"/>
      <c r="D971" s="504"/>
      <c r="E971" s="506"/>
      <c r="F971" s="506"/>
      <c r="G971" s="506"/>
      <c r="H971" s="506"/>
      <c r="I971" s="506"/>
      <c r="J971" s="506"/>
      <c r="K971" s="507"/>
      <c r="L971" s="508"/>
      <c r="M971" s="508"/>
      <c r="N971" s="508"/>
      <c r="O971" s="509"/>
      <c r="P971" s="509"/>
    </row>
    <row r="972" spans="1:16" ht="21.75" customHeight="1" x14ac:dyDescent="0.3">
      <c r="A972" s="504"/>
      <c r="B972" s="504"/>
      <c r="C972" s="504"/>
      <c r="D972" s="504"/>
      <c r="E972" s="506"/>
      <c r="F972" s="506"/>
      <c r="G972" s="506"/>
      <c r="H972" s="506"/>
      <c r="I972" s="506"/>
      <c r="J972" s="506"/>
      <c r="K972" s="507"/>
      <c r="L972" s="508"/>
      <c r="M972" s="508"/>
      <c r="N972" s="508"/>
      <c r="O972" s="509"/>
      <c r="P972" s="509"/>
    </row>
    <row r="973" spans="1:16" ht="21.75" customHeight="1" x14ac:dyDescent="0.3">
      <c r="A973" s="504"/>
      <c r="B973" s="504"/>
      <c r="C973" s="504"/>
      <c r="D973" s="504"/>
      <c r="E973" s="506"/>
      <c r="F973" s="506"/>
      <c r="G973" s="506"/>
      <c r="H973" s="506"/>
      <c r="I973" s="506"/>
      <c r="J973" s="506"/>
      <c r="K973" s="507"/>
      <c r="L973" s="508"/>
      <c r="M973" s="508"/>
      <c r="N973" s="508"/>
      <c r="O973" s="509"/>
      <c r="P973" s="509"/>
    </row>
    <row r="974" spans="1:16" ht="21.75" customHeight="1" x14ac:dyDescent="0.3">
      <c r="A974" s="504"/>
      <c r="B974" s="504"/>
      <c r="C974" s="504"/>
      <c r="D974" s="504"/>
      <c r="E974" s="506"/>
      <c r="F974" s="506"/>
      <c r="G974" s="506"/>
      <c r="H974" s="506"/>
      <c r="I974" s="506"/>
      <c r="J974" s="506"/>
      <c r="K974" s="507"/>
      <c r="L974" s="508"/>
      <c r="M974" s="508"/>
      <c r="N974" s="508"/>
      <c r="O974" s="509"/>
      <c r="P974" s="509"/>
    </row>
    <row r="975" spans="1:16" ht="21.75" customHeight="1" x14ac:dyDescent="0.3">
      <c r="A975" s="504"/>
      <c r="B975" s="504"/>
      <c r="C975" s="504"/>
      <c r="D975" s="504"/>
      <c r="E975" s="506"/>
      <c r="F975" s="506"/>
      <c r="G975" s="506"/>
      <c r="H975" s="506"/>
      <c r="I975" s="506"/>
      <c r="J975" s="506"/>
      <c r="K975" s="507"/>
      <c r="L975" s="508"/>
      <c r="M975" s="508"/>
      <c r="N975" s="508"/>
      <c r="O975" s="509"/>
      <c r="P975" s="509"/>
    </row>
    <row r="976" spans="1:16" ht="21.75" customHeight="1" x14ac:dyDescent="0.3">
      <c r="A976" s="504"/>
      <c r="B976" s="504"/>
      <c r="C976" s="504"/>
      <c r="D976" s="504"/>
      <c r="E976" s="506"/>
      <c r="F976" s="506"/>
      <c r="G976" s="506"/>
      <c r="H976" s="506"/>
      <c r="I976" s="506"/>
      <c r="J976" s="506"/>
      <c r="K976" s="507"/>
      <c r="L976" s="508"/>
      <c r="M976" s="508"/>
      <c r="N976" s="508"/>
      <c r="O976" s="509"/>
      <c r="P976" s="509"/>
    </row>
    <row r="977" spans="1:16" ht="21.75" customHeight="1" x14ac:dyDescent="0.3">
      <c r="A977" s="504"/>
      <c r="B977" s="504"/>
      <c r="C977" s="504"/>
      <c r="D977" s="504"/>
      <c r="E977" s="506"/>
      <c r="F977" s="506"/>
      <c r="G977" s="506"/>
      <c r="H977" s="506"/>
      <c r="I977" s="506"/>
      <c r="J977" s="506"/>
      <c r="K977" s="507"/>
      <c r="L977" s="508"/>
      <c r="M977" s="508"/>
      <c r="N977" s="508"/>
      <c r="O977" s="509"/>
      <c r="P977" s="509"/>
    </row>
    <row r="978" spans="1:16" ht="21.75" customHeight="1" x14ac:dyDescent="0.3">
      <c r="A978" s="504"/>
      <c r="B978" s="504"/>
      <c r="C978" s="504"/>
      <c r="D978" s="504"/>
      <c r="E978" s="506"/>
      <c r="F978" s="506"/>
      <c r="G978" s="506"/>
      <c r="H978" s="506"/>
      <c r="I978" s="506"/>
      <c r="J978" s="506"/>
      <c r="K978" s="507"/>
      <c r="L978" s="508"/>
      <c r="M978" s="508"/>
      <c r="N978" s="508"/>
      <c r="O978" s="509"/>
      <c r="P978" s="509"/>
    </row>
    <row r="979" spans="1:16" ht="21.75" customHeight="1" x14ac:dyDescent="0.3">
      <c r="A979" s="504"/>
      <c r="B979" s="504"/>
      <c r="C979" s="504"/>
      <c r="D979" s="504"/>
      <c r="E979" s="506"/>
      <c r="F979" s="506"/>
      <c r="G979" s="506"/>
      <c r="H979" s="506"/>
      <c r="I979" s="506"/>
      <c r="J979" s="506"/>
      <c r="K979" s="507"/>
      <c r="L979" s="508"/>
      <c r="M979" s="508"/>
      <c r="N979" s="508"/>
      <c r="O979" s="509"/>
      <c r="P979" s="509"/>
    </row>
    <row r="980" spans="1:16" ht="21.75" customHeight="1" x14ac:dyDescent="0.3">
      <c r="A980" s="504"/>
      <c r="B980" s="504"/>
      <c r="C980" s="504"/>
      <c r="D980" s="504"/>
      <c r="E980" s="506"/>
      <c r="F980" s="506"/>
      <c r="G980" s="506"/>
      <c r="H980" s="506"/>
      <c r="I980" s="506"/>
      <c r="J980" s="506"/>
      <c r="K980" s="507"/>
      <c r="L980" s="508"/>
      <c r="M980" s="508"/>
      <c r="N980" s="508"/>
      <c r="O980" s="509"/>
      <c r="P980" s="509"/>
    </row>
    <row r="981" spans="1:16" ht="21.75" customHeight="1" x14ac:dyDescent="0.3">
      <c r="A981" s="504"/>
      <c r="B981" s="504"/>
      <c r="C981" s="504"/>
      <c r="D981" s="504"/>
      <c r="E981" s="506"/>
      <c r="F981" s="506"/>
      <c r="G981" s="506"/>
      <c r="H981" s="506"/>
      <c r="I981" s="506"/>
      <c r="J981" s="506"/>
      <c r="K981" s="507"/>
      <c r="L981" s="508"/>
      <c r="M981" s="508"/>
      <c r="N981" s="508"/>
      <c r="O981" s="509"/>
      <c r="P981" s="509"/>
    </row>
    <row r="982" spans="1:16" ht="21.75" customHeight="1" x14ac:dyDescent="0.3">
      <c r="A982" s="504"/>
      <c r="B982" s="504"/>
      <c r="C982" s="504"/>
      <c r="D982" s="504"/>
      <c r="E982" s="506"/>
      <c r="F982" s="506"/>
      <c r="G982" s="506"/>
      <c r="H982" s="506"/>
      <c r="I982" s="506"/>
      <c r="J982" s="506"/>
      <c r="K982" s="507"/>
      <c r="L982" s="508"/>
      <c r="M982" s="508"/>
      <c r="N982" s="508"/>
      <c r="O982" s="509"/>
      <c r="P982" s="509"/>
    </row>
    <row r="983" spans="1:16" ht="21.75" customHeight="1" x14ac:dyDescent="0.3">
      <c r="A983" s="504"/>
      <c r="B983" s="504"/>
      <c r="C983" s="504"/>
      <c r="D983" s="504"/>
      <c r="E983" s="506"/>
      <c r="F983" s="506"/>
      <c r="G983" s="506"/>
      <c r="H983" s="506"/>
      <c r="I983" s="506"/>
      <c r="J983" s="506"/>
      <c r="K983" s="507"/>
      <c r="L983" s="508"/>
      <c r="M983" s="508"/>
      <c r="N983" s="508"/>
      <c r="O983" s="509"/>
      <c r="P983" s="509"/>
    </row>
    <row r="984" spans="1:16" ht="21.75" customHeight="1" x14ac:dyDescent="0.3">
      <c r="A984" s="504"/>
      <c r="B984" s="504"/>
      <c r="C984" s="504"/>
      <c r="D984" s="504"/>
      <c r="E984" s="506"/>
      <c r="F984" s="506"/>
      <c r="G984" s="506"/>
      <c r="H984" s="506"/>
      <c r="I984" s="506"/>
      <c r="J984" s="506"/>
      <c r="K984" s="507"/>
      <c r="L984" s="508"/>
      <c r="M984" s="508"/>
      <c r="N984" s="508"/>
      <c r="O984" s="509"/>
      <c r="P984" s="509"/>
    </row>
    <row r="985" spans="1:16" ht="21.75" customHeight="1" x14ac:dyDescent="0.3">
      <c r="A985" s="504"/>
      <c r="B985" s="504"/>
      <c r="C985" s="504"/>
      <c r="D985" s="504"/>
      <c r="E985" s="506"/>
      <c r="F985" s="506"/>
      <c r="G985" s="506"/>
      <c r="H985" s="506"/>
      <c r="I985" s="506"/>
      <c r="J985" s="506"/>
      <c r="K985" s="507"/>
      <c r="L985" s="508"/>
      <c r="M985" s="508"/>
      <c r="N985" s="508"/>
      <c r="O985" s="509"/>
      <c r="P985" s="509"/>
    </row>
    <row r="986" spans="1:16" ht="21.75" customHeight="1" x14ac:dyDescent="0.3">
      <c r="A986" s="504"/>
      <c r="B986" s="504"/>
      <c r="C986" s="504"/>
      <c r="D986" s="504"/>
      <c r="E986" s="506"/>
      <c r="F986" s="506"/>
      <c r="G986" s="506"/>
      <c r="H986" s="506"/>
      <c r="I986" s="506"/>
      <c r="J986" s="506"/>
      <c r="K986" s="507"/>
      <c r="L986" s="508"/>
      <c r="M986" s="508"/>
      <c r="N986" s="508"/>
      <c r="O986" s="509"/>
      <c r="P986" s="509"/>
    </row>
    <row r="987" spans="1:16" ht="21.75" customHeight="1" x14ac:dyDescent="0.3">
      <c r="A987" s="504"/>
      <c r="B987" s="504"/>
      <c r="C987" s="504"/>
      <c r="D987" s="504"/>
      <c r="E987" s="506"/>
      <c r="F987" s="506"/>
      <c r="G987" s="506"/>
      <c r="H987" s="506"/>
      <c r="I987" s="506"/>
      <c r="J987" s="506"/>
      <c r="K987" s="507"/>
      <c r="L987" s="508"/>
      <c r="M987" s="508"/>
      <c r="N987" s="508"/>
      <c r="O987" s="509"/>
      <c r="P987" s="509"/>
    </row>
    <row r="988" spans="1:16" ht="21.75" customHeight="1" x14ac:dyDescent="0.3">
      <c r="A988" s="504"/>
      <c r="B988" s="504"/>
      <c r="C988" s="504"/>
      <c r="D988" s="504"/>
      <c r="E988" s="506"/>
      <c r="F988" s="506"/>
      <c r="G988" s="506"/>
      <c r="H988" s="506"/>
      <c r="I988" s="506"/>
      <c r="J988" s="506"/>
      <c r="K988" s="507"/>
      <c r="L988" s="508"/>
      <c r="M988" s="508"/>
      <c r="N988" s="508"/>
      <c r="O988" s="509"/>
      <c r="P988" s="509"/>
    </row>
    <row r="989" spans="1:16" ht="21.75" customHeight="1" x14ac:dyDescent="0.3">
      <c r="A989" s="504"/>
      <c r="B989" s="504"/>
      <c r="C989" s="504"/>
      <c r="D989" s="504"/>
      <c r="E989" s="506"/>
      <c r="F989" s="506"/>
      <c r="G989" s="506"/>
      <c r="H989" s="506"/>
      <c r="I989" s="506"/>
      <c r="J989" s="506"/>
      <c r="K989" s="507"/>
      <c r="L989" s="508"/>
      <c r="M989" s="508"/>
      <c r="N989" s="508"/>
      <c r="O989" s="509"/>
      <c r="P989" s="509"/>
    </row>
    <row r="990" spans="1:16" ht="21.75" customHeight="1" x14ac:dyDescent="0.3">
      <c r="A990" s="504"/>
      <c r="B990" s="504"/>
      <c r="C990" s="504"/>
      <c r="D990" s="504"/>
      <c r="E990" s="506"/>
      <c r="F990" s="506"/>
      <c r="G990" s="506"/>
      <c r="H990" s="506"/>
      <c r="I990" s="506"/>
      <c r="J990" s="506"/>
      <c r="K990" s="507"/>
      <c r="L990" s="508"/>
      <c r="M990" s="508"/>
      <c r="N990" s="508"/>
      <c r="O990" s="509"/>
      <c r="P990" s="509"/>
    </row>
    <row r="991" spans="1:16" ht="21.75" customHeight="1" x14ac:dyDescent="0.3">
      <c r="A991" s="504"/>
      <c r="B991" s="504"/>
      <c r="C991" s="504"/>
      <c r="D991" s="504"/>
      <c r="E991" s="506"/>
      <c r="F991" s="506"/>
      <c r="G991" s="506"/>
      <c r="H991" s="506"/>
      <c r="I991" s="506"/>
      <c r="J991" s="506"/>
      <c r="K991" s="507"/>
      <c r="L991" s="508"/>
      <c r="M991" s="508"/>
      <c r="N991" s="508"/>
      <c r="O991" s="509"/>
      <c r="P991" s="509"/>
    </row>
    <row r="992" spans="1:16" ht="21.75" customHeight="1" x14ac:dyDescent="0.3">
      <c r="A992" s="504"/>
      <c r="B992" s="504"/>
      <c r="C992" s="504"/>
      <c r="D992" s="504"/>
      <c r="E992" s="506"/>
      <c r="F992" s="506"/>
      <c r="G992" s="506"/>
      <c r="H992" s="506"/>
      <c r="I992" s="506"/>
      <c r="J992" s="506"/>
      <c r="K992" s="507"/>
      <c r="L992" s="508"/>
      <c r="M992" s="508"/>
      <c r="N992" s="508"/>
      <c r="O992" s="509"/>
      <c r="P992" s="509"/>
    </row>
    <row r="993" spans="1:16" ht="21.75" customHeight="1" x14ac:dyDescent="0.3">
      <c r="A993" s="504"/>
      <c r="B993" s="504"/>
      <c r="C993" s="504"/>
      <c r="D993" s="504"/>
      <c r="E993" s="506"/>
      <c r="F993" s="506"/>
      <c r="G993" s="506"/>
      <c r="H993" s="506"/>
      <c r="I993" s="506"/>
      <c r="J993" s="506"/>
      <c r="K993" s="507"/>
      <c r="L993" s="508"/>
      <c r="M993" s="508"/>
      <c r="N993" s="508"/>
      <c r="O993" s="509"/>
      <c r="P993" s="509"/>
    </row>
    <row r="994" spans="1:16" ht="21.75" customHeight="1" x14ac:dyDescent="0.3">
      <c r="A994" s="504"/>
      <c r="B994" s="504"/>
      <c r="C994" s="504"/>
      <c r="D994" s="504"/>
      <c r="E994" s="506"/>
      <c r="F994" s="506"/>
      <c r="G994" s="506"/>
      <c r="H994" s="506"/>
      <c r="I994" s="506"/>
      <c r="J994" s="506"/>
      <c r="K994" s="507"/>
      <c r="L994" s="508"/>
      <c r="M994" s="508"/>
      <c r="N994" s="508"/>
      <c r="O994" s="509"/>
      <c r="P994" s="509"/>
    </row>
    <row r="995" spans="1:16" ht="21.75" customHeight="1" x14ac:dyDescent="0.3">
      <c r="A995" s="504"/>
      <c r="B995" s="504"/>
      <c r="C995" s="504"/>
      <c r="D995" s="504"/>
      <c r="E995" s="506"/>
      <c r="F995" s="506"/>
      <c r="G995" s="506"/>
      <c r="H995" s="506"/>
      <c r="I995" s="506"/>
      <c r="J995" s="506"/>
      <c r="K995" s="507"/>
      <c r="L995" s="508"/>
      <c r="M995" s="508"/>
      <c r="N995" s="508"/>
      <c r="O995" s="509"/>
      <c r="P995" s="509"/>
    </row>
    <row r="996" spans="1:16" ht="21.75" customHeight="1" x14ac:dyDescent="0.3">
      <c r="A996" s="504"/>
      <c r="B996" s="504"/>
      <c r="C996" s="504"/>
      <c r="D996" s="504"/>
      <c r="E996" s="506"/>
      <c r="F996" s="506"/>
      <c r="G996" s="506"/>
      <c r="H996" s="506"/>
      <c r="I996" s="506"/>
      <c r="J996" s="506"/>
      <c r="K996" s="507"/>
      <c r="L996" s="508"/>
      <c r="M996" s="508"/>
      <c r="N996" s="508"/>
      <c r="O996" s="509"/>
      <c r="P996" s="509"/>
    </row>
    <row r="997" spans="1:16" ht="21.75" customHeight="1" x14ac:dyDescent="0.3">
      <c r="A997" s="504"/>
      <c r="B997" s="504"/>
      <c r="C997" s="504"/>
      <c r="D997" s="504"/>
      <c r="E997" s="506"/>
      <c r="F997" s="506"/>
      <c r="G997" s="506"/>
      <c r="H997" s="506"/>
      <c r="I997" s="506"/>
      <c r="J997" s="506"/>
      <c r="K997" s="507"/>
      <c r="L997" s="508"/>
      <c r="M997" s="508"/>
      <c r="N997" s="508"/>
      <c r="O997" s="509"/>
      <c r="P997" s="509"/>
    </row>
    <row r="998" spans="1:16" ht="21.75" customHeight="1" x14ac:dyDescent="0.3">
      <c r="A998" s="504"/>
      <c r="B998" s="504"/>
      <c r="C998" s="504"/>
      <c r="D998" s="504"/>
      <c r="E998" s="506"/>
      <c r="F998" s="506"/>
      <c r="G998" s="506"/>
      <c r="H998" s="506"/>
      <c r="I998" s="506"/>
      <c r="J998" s="506"/>
      <c r="K998" s="507"/>
      <c r="L998" s="508"/>
      <c r="M998" s="508"/>
      <c r="N998" s="508"/>
      <c r="O998" s="509"/>
      <c r="P998" s="509"/>
    </row>
    <row r="999" spans="1:16" ht="21.75" customHeight="1" x14ac:dyDescent="0.3">
      <c r="A999" s="504"/>
      <c r="B999" s="504"/>
      <c r="C999" s="504"/>
      <c r="D999" s="504"/>
      <c r="E999" s="506"/>
      <c r="F999" s="506"/>
      <c r="G999" s="506"/>
      <c r="H999" s="506"/>
      <c r="I999" s="506"/>
      <c r="J999" s="506"/>
      <c r="K999" s="507"/>
      <c r="L999" s="508"/>
      <c r="M999" s="508"/>
      <c r="N999" s="508"/>
      <c r="O999" s="509"/>
      <c r="P999" s="509"/>
    </row>
    <row r="1000" spans="1:16" ht="21.75" customHeight="1" x14ac:dyDescent="0.3">
      <c r="A1000" s="504"/>
      <c r="B1000" s="504"/>
      <c r="C1000" s="504"/>
      <c r="D1000" s="504"/>
      <c r="E1000" s="506"/>
      <c r="F1000" s="506"/>
      <c r="G1000" s="506"/>
      <c r="H1000" s="506"/>
      <c r="I1000" s="506"/>
      <c r="J1000" s="506"/>
      <c r="K1000" s="507"/>
      <c r="L1000" s="508"/>
      <c r="M1000" s="508"/>
      <c r="N1000" s="508"/>
      <c r="O1000" s="509"/>
      <c r="P1000" s="509"/>
    </row>
    <row r="1001" spans="1:16" ht="21.75" customHeight="1" x14ac:dyDescent="0.3">
      <c r="A1001" s="504"/>
      <c r="B1001" s="504"/>
      <c r="C1001" s="504"/>
      <c r="D1001" s="504"/>
      <c r="E1001" s="506"/>
      <c r="F1001" s="506"/>
      <c r="G1001" s="506"/>
      <c r="H1001" s="506"/>
      <c r="I1001" s="506"/>
      <c r="J1001" s="506"/>
      <c r="K1001" s="507"/>
      <c r="L1001" s="508"/>
      <c r="M1001" s="508"/>
      <c r="N1001" s="508"/>
      <c r="O1001" s="509"/>
      <c r="P1001" s="509"/>
    </row>
    <row r="1002" spans="1:16" ht="21.75" customHeight="1" x14ac:dyDescent="0.3">
      <c r="A1002" s="504"/>
      <c r="B1002" s="504"/>
      <c r="C1002" s="504"/>
      <c r="D1002" s="504"/>
      <c r="E1002" s="506"/>
      <c r="F1002" s="506"/>
      <c r="G1002" s="506"/>
      <c r="H1002" s="506"/>
      <c r="I1002" s="506"/>
      <c r="J1002" s="506"/>
      <c r="K1002" s="507"/>
      <c r="L1002" s="508"/>
      <c r="M1002" s="508"/>
      <c r="N1002" s="508"/>
      <c r="O1002" s="509"/>
      <c r="P1002" s="509"/>
    </row>
    <row r="1003" spans="1:16" ht="21.75" customHeight="1" x14ac:dyDescent="0.3">
      <c r="A1003" s="504"/>
      <c r="B1003" s="504"/>
      <c r="C1003" s="504"/>
      <c r="D1003" s="504"/>
      <c r="E1003" s="506"/>
      <c r="F1003" s="506"/>
      <c r="G1003" s="506"/>
      <c r="H1003" s="506"/>
      <c r="I1003" s="506"/>
      <c r="J1003" s="506"/>
      <c r="K1003" s="507"/>
      <c r="L1003" s="508"/>
      <c r="M1003" s="508"/>
      <c r="N1003" s="508"/>
      <c r="O1003" s="509"/>
      <c r="P1003" s="509"/>
    </row>
    <row r="1004" spans="1:16" ht="21.75" customHeight="1" x14ac:dyDescent="0.3">
      <c r="A1004" s="504"/>
      <c r="B1004" s="504"/>
      <c r="C1004" s="504"/>
      <c r="D1004" s="504"/>
      <c r="E1004" s="506"/>
      <c r="F1004" s="506"/>
      <c r="G1004" s="506"/>
      <c r="H1004" s="506"/>
      <c r="I1004" s="506"/>
      <c r="J1004" s="506"/>
      <c r="K1004" s="507"/>
      <c r="L1004" s="508"/>
      <c r="M1004" s="508"/>
      <c r="N1004" s="508"/>
      <c r="O1004" s="509"/>
      <c r="P1004" s="509"/>
    </row>
    <row r="1005" spans="1:16" ht="21.75" customHeight="1" x14ac:dyDescent="0.3">
      <c r="A1005" s="504"/>
      <c r="B1005" s="504"/>
      <c r="C1005" s="504"/>
      <c r="D1005" s="504"/>
      <c r="E1005" s="506"/>
      <c r="F1005" s="506"/>
      <c r="G1005" s="506"/>
      <c r="H1005" s="506"/>
      <c r="I1005" s="506"/>
      <c r="J1005" s="506"/>
      <c r="K1005" s="507"/>
      <c r="L1005" s="508"/>
      <c r="M1005" s="508"/>
      <c r="N1005" s="508"/>
      <c r="O1005" s="509"/>
      <c r="P1005" s="509"/>
    </row>
    <row r="1006" spans="1:16" ht="21.75" customHeight="1" x14ac:dyDescent="0.3">
      <c r="A1006" s="504"/>
      <c r="B1006" s="504"/>
      <c r="C1006" s="504"/>
      <c r="D1006" s="504"/>
      <c r="E1006" s="506"/>
      <c r="F1006" s="506"/>
      <c r="G1006" s="506"/>
      <c r="H1006" s="506"/>
      <c r="I1006" s="506"/>
      <c r="J1006" s="506"/>
      <c r="K1006" s="507"/>
      <c r="L1006" s="508"/>
      <c r="M1006" s="508"/>
      <c r="N1006" s="508"/>
      <c r="O1006" s="509"/>
      <c r="P1006" s="509"/>
    </row>
    <row r="1007" spans="1:16" ht="21.75" customHeight="1" x14ac:dyDescent="0.3">
      <c r="A1007" s="504"/>
      <c r="B1007" s="504"/>
      <c r="C1007" s="504"/>
      <c r="D1007" s="504"/>
      <c r="E1007" s="506"/>
      <c r="F1007" s="506"/>
      <c r="G1007" s="506"/>
      <c r="H1007" s="506"/>
      <c r="I1007" s="506"/>
      <c r="J1007" s="506"/>
      <c r="K1007" s="507"/>
      <c r="L1007" s="508"/>
      <c r="M1007" s="508"/>
      <c r="N1007" s="508"/>
      <c r="O1007" s="509"/>
      <c r="P1007" s="509"/>
    </row>
    <row r="1008" spans="1:16" ht="21.75" customHeight="1" x14ac:dyDescent="0.3">
      <c r="A1008" s="504"/>
      <c r="B1008" s="504"/>
      <c r="C1008" s="504"/>
      <c r="D1008" s="504"/>
      <c r="E1008" s="506"/>
      <c r="F1008" s="506"/>
      <c r="G1008" s="506"/>
      <c r="H1008" s="506"/>
      <c r="I1008" s="506"/>
      <c r="J1008" s="506"/>
      <c r="K1008" s="507"/>
      <c r="L1008" s="508"/>
      <c r="M1008" s="508"/>
      <c r="N1008" s="508"/>
      <c r="O1008" s="509"/>
      <c r="P1008" s="509"/>
    </row>
    <row r="1009" spans="1:16" ht="21.75" customHeight="1" x14ac:dyDescent="0.3">
      <c r="A1009" s="504"/>
      <c r="B1009" s="504"/>
      <c r="C1009" s="504"/>
      <c r="D1009" s="504"/>
      <c r="E1009" s="506"/>
      <c r="F1009" s="506"/>
      <c r="G1009" s="506"/>
      <c r="H1009" s="506"/>
      <c r="I1009" s="506"/>
      <c r="J1009" s="506"/>
      <c r="K1009" s="507"/>
      <c r="L1009" s="508"/>
      <c r="M1009" s="508"/>
      <c r="N1009" s="508"/>
      <c r="O1009" s="509"/>
      <c r="P1009" s="509"/>
    </row>
    <row r="1010" spans="1:16" ht="21.75" customHeight="1" x14ac:dyDescent="0.3">
      <c r="A1010" s="504"/>
      <c r="B1010" s="504"/>
      <c r="C1010" s="504"/>
      <c r="D1010" s="504"/>
      <c r="E1010" s="506"/>
      <c r="F1010" s="506"/>
      <c r="G1010" s="506"/>
      <c r="H1010" s="506"/>
      <c r="I1010" s="506"/>
      <c r="J1010" s="506"/>
      <c r="K1010" s="507"/>
      <c r="L1010" s="508"/>
      <c r="M1010" s="508"/>
      <c r="N1010" s="508"/>
      <c r="O1010" s="509"/>
      <c r="P1010" s="509"/>
    </row>
    <row r="1011" spans="1:16" ht="21.75" customHeight="1" x14ac:dyDescent="0.3">
      <c r="A1011" s="504"/>
      <c r="B1011" s="504"/>
      <c r="C1011" s="504"/>
      <c r="D1011" s="504"/>
      <c r="E1011" s="506"/>
      <c r="F1011" s="506"/>
      <c r="G1011" s="506"/>
      <c r="H1011" s="506"/>
      <c r="I1011" s="506"/>
      <c r="J1011" s="506"/>
      <c r="K1011" s="507"/>
      <c r="L1011" s="508"/>
      <c r="M1011" s="508"/>
      <c r="N1011" s="508"/>
      <c r="O1011" s="509"/>
      <c r="P1011" s="509"/>
    </row>
    <row r="1012" spans="1:16" ht="21.75" customHeight="1" x14ac:dyDescent="0.3">
      <c r="A1012" s="504"/>
      <c r="B1012" s="504"/>
      <c r="C1012" s="504"/>
      <c r="D1012" s="504"/>
      <c r="E1012" s="506"/>
      <c r="F1012" s="506"/>
      <c r="G1012" s="506"/>
      <c r="H1012" s="506"/>
      <c r="I1012" s="506"/>
      <c r="J1012" s="506"/>
      <c r="K1012" s="507"/>
      <c r="L1012" s="508"/>
      <c r="M1012" s="508"/>
      <c r="N1012" s="508"/>
      <c r="O1012" s="509"/>
      <c r="P1012" s="509"/>
    </row>
    <row r="1013" spans="1:16" ht="21.75" customHeight="1" x14ac:dyDescent="0.3">
      <c r="A1013" s="504"/>
      <c r="B1013" s="504"/>
      <c r="C1013" s="504"/>
      <c r="D1013" s="504"/>
      <c r="E1013" s="506"/>
      <c r="F1013" s="506"/>
      <c r="G1013" s="506"/>
      <c r="H1013" s="506"/>
      <c r="I1013" s="506"/>
      <c r="J1013" s="506"/>
      <c r="K1013" s="507"/>
      <c r="L1013" s="508"/>
      <c r="M1013" s="508"/>
      <c r="N1013" s="508"/>
      <c r="O1013" s="509"/>
      <c r="P1013" s="509"/>
    </row>
    <row r="1014" spans="1:16" ht="21.75" customHeight="1" x14ac:dyDescent="0.3">
      <c r="A1014" s="504"/>
      <c r="B1014" s="504"/>
      <c r="C1014" s="504"/>
      <c r="D1014" s="504"/>
      <c r="E1014" s="506"/>
      <c r="F1014" s="506"/>
      <c r="G1014" s="506"/>
      <c r="H1014" s="506"/>
      <c r="I1014" s="506"/>
      <c r="J1014" s="506"/>
      <c r="K1014" s="507"/>
      <c r="L1014" s="508"/>
      <c r="M1014" s="508"/>
      <c r="N1014" s="508"/>
      <c r="O1014" s="509"/>
      <c r="P1014" s="509"/>
    </row>
    <row r="1015" spans="1:16" ht="21.75" customHeight="1" x14ac:dyDescent="0.3">
      <c r="A1015" s="504"/>
      <c r="B1015" s="504"/>
      <c r="C1015" s="504"/>
      <c r="D1015" s="504"/>
      <c r="E1015" s="506"/>
      <c r="F1015" s="506"/>
      <c r="G1015" s="506"/>
      <c r="H1015" s="506"/>
      <c r="I1015" s="506"/>
      <c r="J1015" s="506"/>
      <c r="K1015" s="507"/>
      <c r="L1015" s="508"/>
      <c r="M1015" s="508"/>
      <c r="N1015" s="508"/>
      <c r="O1015" s="509"/>
      <c r="P1015" s="509"/>
    </row>
    <row r="1016" spans="1:16" ht="21.75" customHeight="1" x14ac:dyDescent="0.3">
      <c r="A1016" s="504"/>
      <c r="B1016" s="504"/>
      <c r="C1016" s="504"/>
      <c r="D1016" s="504"/>
      <c r="E1016" s="506"/>
      <c r="F1016" s="506"/>
      <c r="G1016" s="506"/>
      <c r="H1016" s="506"/>
      <c r="I1016" s="506"/>
      <c r="J1016" s="506"/>
      <c r="K1016" s="507"/>
      <c r="L1016" s="508"/>
      <c r="M1016" s="508"/>
      <c r="N1016" s="508"/>
      <c r="O1016" s="509"/>
      <c r="P1016" s="509"/>
    </row>
    <row r="1017" spans="1:16" ht="21.75" customHeight="1" x14ac:dyDescent="0.3">
      <c r="A1017" s="504"/>
      <c r="B1017" s="504"/>
      <c r="C1017" s="504"/>
      <c r="D1017" s="504"/>
      <c r="E1017" s="506"/>
      <c r="F1017" s="506"/>
      <c r="G1017" s="506"/>
      <c r="H1017" s="506"/>
      <c r="I1017" s="506"/>
      <c r="J1017" s="506"/>
      <c r="K1017" s="507"/>
      <c r="L1017" s="508"/>
      <c r="M1017" s="508"/>
      <c r="N1017" s="508"/>
      <c r="O1017" s="509"/>
      <c r="P1017" s="509"/>
    </row>
    <row r="1018" spans="1:16" ht="21.75" customHeight="1" x14ac:dyDescent="0.3">
      <c r="A1018" s="504"/>
      <c r="B1018" s="504"/>
      <c r="C1018" s="504"/>
      <c r="D1018" s="504"/>
      <c r="E1018" s="506"/>
      <c r="F1018" s="506"/>
      <c r="G1018" s="506"/>
      <c r="H1018" s="506"/>
      <c r="I1018" s="506"/>
      <c r="J1018" s="506"/>
      <c r="K1018" s="507"/>
      <c r="L1018" s="508"/>
      <c r="M1018" s="508"/>
      <c r="N1018" s="508"/>
      <c r="O1018" s="509"/>
      <c r="P1018" s="509"/>
    </row>
    <row r="1019" spans="1:16" ht="21.75" customHeight="1" x14ac:dyDescent="0.3">
      <c r="A1019" s="504"/>
      <c r="B1019" s="504"/>
      <c r="C1019" s="504"/>
      <c r="D1019" s="504"/>
      <c r="E1019" s="506"/>
      <c r="F1019" s="506"/>
      <c r="G1019" s="506"/>
      <c r="H1019" s="506"/>
      <c r="I1019" s="506"/>
      <c r="J1019" s="506"/>
      <c r="K1019" s="507"/>
      <c r="L1019" s="508"/>
      <c r="M1019" s="508"/>
      <c r="N1019" s="508"/>
      <c r="O1019" s="509"/>
      <c r="P1019" s="509"/>
    </row>
    <row r="1020" spans="1:16" ht="21.75" customHeight="1" x14ac:dyDescent="0.3">
      <c r="A1020" s="504"/>
      <c r="B1020" s="504"/>
      <c r="C1020" s="504"/>
      <c r="D1020" s="504"/>
      <c r="E1020" s="506"/>
      <c r="F1020" s="506"/>
      <c r="G1020" s="506"/>
      <c r="H1020" s="506"/>
      <c r="I1020" s="506"/>
      <c r="J1020" s="506"/>
      <c r="K1020" s="507"/>
      <c r="L1020" s="508"/>
      <c r="M1020" s="508"/>
      <c r="N1020" s="508"/>
      <c r="O1020" s="509"/>
      <c r="P1020" s="509"/>
    </row>
    <row r="1021" spans="1:16" ht="21.75" customHeight="1" x14ac:dyDescent="0.3">
      <c r="A1021" s="504"/>
      <c r="B1021" s="504"/>
      <c r="C1021" s="504"/>
      <c r="D1021" s="504"/>
      <c r="E1021" s="506"/>
      <c r="F1021" s="506"/>
      <c r="G1021" s="506"/>
      <c r="H1021" s="506"/>
      <c r="I1021" s="506"/>
      <c r="J1021" s="506"/>
      <c r="K1021" s="507"/>
      <c r="L1021" s="508"/>
      <c r="M1021" s="508"/>
      <c r="N1021" s="508"/>
      <c r="O1021" s="509"/>
      <c r="P1021" s="509"/>
    </row>
    <row r="1022" spans="1:16" ht="21.75" customHeight="1" x14ac:dyDescent="0.3">
      <c r="A1022" s="504"/>
      <c r="B1022" s="504"/>
      <c r="C1022" s="504"/>
      <c r="D1022" s="504"/>
      <c r="E1022" s="506"/>
      <c r="F1022" s="506"/>
      <c r="G1022" s="506"/>
      <c r="H1022" s="506"/>
      <c r="I1022" s="506"/>
      <c r="J1022" s="506"/>
      <c r="K1022" s="507"/>
      <c r="L1022" s="508"/>
      <c r="M1022" s="508"/>
      <c r="N1022" s="508"/>
      <c r="O1022" s="509"/>
      <c r="P1022" s="509"/>
    </row>
    <row r="1023" spans="1:16" ht="21.75" customHeight="1" x14ac:dyDescent="0.3">
      <c r="A1023" s="504"/>
      <c r="B1023" s="504"/>
      <c r="C1023" s="504"/>
      <c r="D1023" s="504"/>
      <c r="E1023" s="506"/>
      <c r="F1023" s="506"/>
      <c r="G1023" s="506"/>
      <c r="H1023" s="506"/>
      <c r="I1023" s="506"/>
      <c r="J1023" s="506"/>
      <c r="K1023" s="507"/>
      <c r="L1023" s="508"/>
      <c r="M1023" s="508"/>
      <c r="N1023" s="508"/>
      <c r="O1023" s="509"/>
      <c r="P1023" s="509"/>
    </row>
    <row r="1024" spans="1:16" ht="21.75" customHeight="1" x14ac:dyDescent="0.3">
      <c r="A1024" s="504"/>
      <c r="B1024" s="504"/>
      <c r="C1024" s="504"/>
      <c r="D1024" s="504"/>
      <c r="E1024" s="506"/>
      <c r="F1024" s="506"/>
      <c r="G1024" s="506"/>
      <c r="H1024" s="506"/>
      <c r="I1024" s="506"/>
      <c r="J1024" s="506"/>
      <c r="K1024" s="507"/>
      <c r="L1024" s="508"/>
      <c r="M1024" s="508"/>
      <c r="N1024" s="508"/>
      <c r="O1024" s="509"/>
      <c r="P1024" s="509"/>
    </row>
    <row r="1025" spans="1:16" ht="21.75" customHeight="1" x14ac:dyDescent="0.3">
      <c r="A1025" s="504"/>
      <c r="B1025" s="504"/>
      <c r="C1025" s="504"/>
      <c r="D1025" s="504"/>
      <c r="E1025" s="506"/>
      <c r="F1025" s="506"/>
      <c r="G1025" s="506"/>
      <c r="H1025" s="506"/>
      <c r="I1025" s="506"/>
      <c r="J1025" s="506"/>
      <c r="K1025" s="507"/>
      <c r="L1025" s="508"/>
      <c r="M1025" s="508"/>
      <c r="N1025" s="508"/>
      <c r="O1025" s="509"/>
      <c r="P1025" s="509"/>
    </row>
    <row r="1026" spans="1:16" ht="21.75" customHeight="1" x14ac:dyDescent="0.3">
      <c r="A1026" s="504"/>
      <c r="B1026" s="504"/>
      <c r="C1026" s="504"/>
      <c r="D1026" s="504"/>
      <c r="E1026" s="506"/>
      <c r="F1026" s="506"/>
      <c r="G1026" s="506"/>
      <c r="H1026" s="506"/>
      <c r="I1026" s="506"/>
      <c r="J1026" s="506"/>
      <c r="K1026" s="507"/>
      <c r="L1026" s="508"/>
      <c r="M1026" s="508"/>
      <c r="N1026" s="508"/>
      <c r="O1026" s="509"/>
      <c r="P1026" s="509"/>
    </row>
    <row r="1027" spans="1:16" ht="21.75" customHeight="1" x14ac:dyDescent="0.3">
      <c r="A1027" s="504"/>
      <c r="B1027" s="504"/>
      <c r="C1027" s="504"/>
      <c r="D1027" s="504"/>
      <c r="E1027" s="506"/>
      <c r="F1027" s="506"/>
      <c r="G1027" s="506"/>
      <c r="H1027" s="506"/>
      <c r="I1027" s="506"/>
      <c r="J1027" s="506"/>
      <c r="K1027" s="507"/>
      <c r="L1027" s="508"/>
      <c r="M1027" s="508"/>
      <c r="N1027" s="508"/>
      <c r="O1027" s="509"/>
      <c r="P1027" s="509"/>
    </row>
    <row r="1028" spans="1:16" ht="21.75" customHeight="1" x14ac:dyDescent="0.3">
      <c r="A1028" s="504"/>
      <c r="B1028" s="504"/>
      <c r="C1028" s="504"/>
      <c r="D1028" s="504"/>
      <c r="E1028" s="506"/>
      <c r="F1028" s="506"/>
      <c r="G1028" s="506"/>
      <c r="H1028" s="506"/>
      <c r="I1028" s="506"/>
      <c r="J1028" s="506"/>
      <c r="K1028" s="507"/>
      <c r="L1028" s="508"/>
      <c r="M1028" s="508"/>
      <c r="N1028" s="508"/>
      <c r="O1028" s="509"/>
      <c r="P1028" s="509"/>
    </row>
    <row r="1029" spans="1:16" ht="21.75" customHeight="1" x14ac:dyDescent="0.3">
      <c r="A1029" s="504"/>
      <c r="B1029" s="504"/>
      <c r="C1029" s="504"/>
      <c r="D1029" s="504"/>
      <c r="E1029" s="506"/>
      <c r="F1029" s="506"/>
      <c r="G1029" s="506"/>
      <c r="H1029" s="506"/>
      <c r="I1029" s="506"/>
      <c r="J1029" s="506"/>
      <c r="K1029" s="507"/>
      <c r="L1029" s="508"/>
      <c r="M1029" s="508"/>
      <c r="N1029" s="508"/>
      <c r="O1029" s="509"/>
      <c r="P1029" s="509"/>
    </row>
    <row r="1030" spans="1:16" ht="21.75" customHeight="1" x14ac:dyDescent="0.3">
      <c r="A1030" s="504"/>
      <c r="B1030" s="504"/>
      <c r="C1030" s="504"/>
      <c r="D1030" s="504"/>
      <c r="E1030" s="506"/>
      <c r="F1030" s="506"/>
      <c r="G1030" s="506"/>
      <c r="H1030" s="506"/>
      <c r="I1030" s="506"/>
      <c r="J1030" s="506"/>
      <c r="K1030" s="507"/>
      <c r="L1030" s="508"/>
      <c r="M1030" s="508"/>
      <c r="N1030" s="508"/>
      <c r="O1030" s="509"/>
      <c r="P1030" s="509"/>
    </row>
    <row r="1031" spans="1:16" ht="21.75" customHeight="1" x14ac:dyDescent="0.3">
      <c r="A1031" s="504"/>
      <c r="B1031" s="504"/>
      <c r="C1031" s="504"/>
      <c r="D1031" s="504"/>
      <c r="E1031" s="506"/>
      <c r="F1031" s="506"/>
      <c r="G1031" s="506"/>
      <c r="H1031" s="506"/>
      <c r="I1031" s="506"/>
      <c r="J1031" s="506"/>
      <c r="K1031" s="507"/>
      <c r="L1031" s="508"/>
      <c r="M1031" s="508"/>
      <c r="N1031" s="508"/>
      <c r="O1031" s="509"/>
      <c r="P1031" s="509"/>
    </row>
    <row r="1032" spans="1:16" ht="21.75" customHeight="1" x14ac:dyDescent="0.3">
      <c r="A1032" s="504"/>
      <c r="B1032" s="504"/>
      <c r="C1032" s="504"/>
      <c r="D1032" s="504"/>
      <c r="E1032" s="506"/>
      <c r="F1032" s="506"/>
      <c r="G1032" s="506"/>
      <c r="H1032" s="506"/>
      <c r="I1032" s="506"/>
      <c r="J1032" s="506"/>
      <c r="K1032" s="507"/>
      <c r="L1032" s="508"/>
      <c r="M1032" s="508"/>
      <c r="N1032" s="508"/>
      <c r="O1032" s="509"/>
      <c r="P1032" s="509"/>
    </row>
    <row r="1033" spans="1:16" ht="21.75" customHeight="1" x14ac:dyDescent="0.3">
      <c r="A1033" s="504"/>
      <c r="B1033" s="504"/>
      <c r="C1033" s="504"/>
      <c r="D1033" s="504"/>
      <c r="E1033" s="506"/>
      <c r="F1033" s="506"/>
      <c r="G1033" s="506"/>
      <c r="H1033" s="506"/>
      <c r="I1033" s="506"/>
      <c r="J1033" s="506"/>
      <c r="K1033" s="507"/>
      <c r="L1033" s="508"/>
      <c r="M1033" s="508"/>
      <c r="N1033" s="508"/>
      <c r="O1033" s="509"/>
      <c r="P1033" s="509"/>
    </row>
    <row r="1034" spans="1:16" ht="21.75" customHeight="1" x14ac:dyDescent="0.3">
      <c r="A1034" s="504"/>
      <c r="B1034" s="504"/>
      <c r="C1034" s="504"/>
      <c r="D1034" s="504"/>
      <c r="E1034" s="506"/>
      <c r="F1034" s="506"/>
      <c r="G1034" s="506"/>
      <c r="H1034" s="506"/>
      <c r="I1034" s="506"/>
      <c r="J1034" s="506"/>
      <c r="K1034" s="507"/>
      <c r="L1034" s="508"/>
      <c r="M1034" s="508"/>
      <c r="N1034" s="508"/>
      <c r="O1034" s="509"/>
      <c r="P1034" s="509"/>
    </row>
    <row r="1035" spans="1:16" ht="21.75" customHeight="1" x14ac:dyDescent="0.3">
      <c r="A1035" s="504"/>
      <c r="B1035" s="504"/>
      <c r="C1035" s="504"/>
      <c r="D1035" s="504"/>
      <c r="E1035" s="506"/>
      <c r="F1035" s="506"/>
      <c r="G1035" s="506"/>
      <c r="H1035" s="506"/>
      <c r="I1035" s="506"/>
      <c r="J1035" s="506"/>
      <c r="K1035" s="507"/>
      <c r="L1035" s="508"/>
      <c r="M1035" s="508"/>
      <c r="N1035" s="508"/>
      <c r="O1035" s="509"/>
      <c r="P1035" s="509"/>
    </row>
    <row r="1036" spans="1:16" ht="21.75" customHeight="1" x14ac:dyDescent="0.3">
      <c r="A1036" s="504"/>
      <c r="B1036" s="504"/>
      <c r="C1036" s="504"/>
      <c r="D1036" s="504"/>
      <c r="E1036" s="506"/>
      <c r="F1036" s="506"/>
      <c r="G1036" s="506"/>
      <c r="H1036" s="506"/>
      <c r="I1036" s="506"/>
      <c r="J1036" s="506"/>
      <c r="K1036" s="507"/>
      <c r="L1036" s="508"/>
      <c r="M1036" s="508"/>
      <c r="N1036" s="508"/>
      <c r="O1036" s="509"/>
      <c r="P1036" s="509"/>
    </row>
    <row r="1037" spans="1:16" ht="21.75" customHeight="1" x14ac:dyDescent="0.3">
      <c r="A1037" s="504"/>
      <c r="B1037" s="504"/>
      <c r="C1037" s="504"/>
      <c r="D1037" s="504"/>
      <c r="E1037" s="506"/>
      <c r="F1037" s="506"/>
      <c r="G1037" s="506"/>
      <c r="H1037" s="506"/>
      <c r="I1037" s="506"/>
      <c r="J1037" s="506"/>
      <c r="K1037" s="507"/>
      <c r="L1037" s="508"/>
      <c r="M1037" s="508"/>
      <c r="N1037" s="508"/>
      <c r="O1037" s="509"/>
      <c r="P1037" s="509"/>
    </row>
    <row r="1038" spans="1:16" ht="21.75" customHeight="1" x14ac:dyDescent="0.3">
      <c r="A1038" s="504"/>
      <c r="B1038" s="504"/>
      <c r="C1038" s="504"/>
      <c r="D1038" s="504"/>
      <c r="E1038" s="506"/>
      <c r="F1038" s="506"/>
      <c r="G1038" s="506"/>
      <c r="H1038" s="506"/>
      <c r="I1038" s="506"/>
      <c r="J1038" s="506"/>
      <c r="K1038" s="507"/>
      <c r="L1038" s="508"/>
      <c r="M1038" s="508"/>
      <c r="N1038" s="508"/>
      <c r="O1038" s="509"/>
      <c r="P1038" s="509"/>
    </row>
    <row r="1039" spans="1:16" ht="21.75" customHeight="1" x14ac:dyDescent="0.3">
      <c r="A1039" s="504"/>
      <c r="B1039" s="504"/>
      <c r="C1039" s="504"/>
      <c r="D1039" s="504"/>
      <c r="E1039" s="506"/>
      <c r="F1039" s="506"/>
      <c r="G1039" s="506"/>
      <c r="H1039" s="506"/>
      <c r="I1039" s="506"/>
      <c r="J1039" s="506"/>
      <c r="K1039" s="507"/>
      <c r="L1039" s="508"/>
      <c r="M1039" s="508"/>
      <c r="N1039" s="508"/>
      <c r="O1039" s="509"/>
      <c r="P1039" s="509"/>
    </row>
    <row r="1040" spans="1:16" ht="21.75" customHeight="1" x14ac:dyDescent="0.3">
      <c r="A1040" s="504"/>
      <c r="B1040" s="504"/>
      <c r="C1040" s="504"/>
      <c r="D1040" s="504"/>
      <c r="E1040" s="506"/>
      <c r="F1040" s="506"/>
      <c r="G1040" s="506"/>
      <c r="H1040" s="506"/>
      <c r="I1040" s="506"/>
      <c r="J1040" s="506"/>
      <c r="K1040" s="507"/>
      <c r="L1040" s="508"/>
      <c r="M1040" s="508"/>
      <c r="N1040" s="508"/>
      <c r="O1040" s="509"/>
      <c r="P1040" s="509"/>
    </row>
    <row r="1041" spans="1:16" ht="21.75" customHeight="1" x14ac:dyDescent="0.3">
      <c r="A1041" s="504"/>
      <c r="B1041" s="504"/>
      <c r="C1041" s="504"/>
      <c r="D1041" s="504"/>
      <c r="E1041" s="506"/>
      <c r="F1041" s="506"/>
      <c r="G1041" s="506"/>
      <c r="H1041" s="506"/>
      <c r="I1041" s="506"/>
      <c r="J1041" s="506"/>
      <c r="K1041" s="507"/>
      <c r="L1041" s="508"/>
      <c r="M1041" s="508"/>
      <c r="N1041" s="508"/>
      <c r="O1041" s="509"/>
      <c r="P1041" s="509"/>
    </row>
    <row r="1042" spans="1:16" ht="21.75" customHeight="1" x14ac:dyDescent="0.3">
      <c r="A1042" s="504"/>
      <c r="B1042" s="504"/>
      <c r="C1042" s="504"/>
      <c r="D1042" s="504"/>
      <c r="E1042" s="506"/>
      <c r="F1042" s="506"/>
      <c r="G1042" s="506"/>
      <c r="H1042" s="506"/>
      <c r="I1042" s="506"/>
      <c r="J1042" s="506"/>
      <c r="K1042" s="507"/>
      <c r="L1042" s="508"/>
      <c r="M1042" s="508"/>
      <c r="N1042" s="508"/>
      <c r="O1042" s="509"/>
      <c r="P1042" s="509"/>
    </row>
    <row r="1043" spans="1:16" ht="21.75" customHeight="1" x14ac:dyDescent="0.3">
      <c r="A1043" s="504"/>
      <c r="B1043" s="504"/>
      <c r="C1043" s="504"/>
      <c r="D1043" s="504"/>
      <c r="E1043" s="506"/>
      <c r="F1043" s="506"/>
      <c r="G1043" s="506"/>
      <c r="H1043" s="506"/>
      <c r="I1043" s="506"/>
      <c r="J1043" s="506"/>
      <c r="K1043" s="507"/>
      <c r="L1043" s="508"/>
      <c r="M1043" s="508"/>
      <c r="N1043" s="508"/>
      <c r="O1043" s="509"/>
      <c r="P1043" s="509"/>
    </row>
    <row r="1044" spans="1:16" ht="21.75" customHeight="1" x14ac:dyDescent="0.3">
      <c r="A1044" s="504"/>
      <c r="B1044" s="504"/>
      <c r="C1044" s="504"/>
      <c r="D1044" s="504"/>
      <c r="E1044" s="506"/>
      <c r="F1044" s="506"/>
      <c r="G1044" s="506"/>
      <c r="H1044" s="506"/>
      <c r="I1044" s="506"/>
      <c r="J1044" s="506"/>
      <c r="K1044" s="507"/>
      <c r="L1044" s="508"/>
      <c r="M1044" s="508"/>
      <c r="N1044" s="508"/>
      <c r="O1044" s="509"/>
      <c r="P1044" s="509"/>
    </row>
    <row r="1045" spans="1:16" ht="21.75" customHeight="1" x14ac:dyDescent="0.3">
      <c r="A1045" s="504"/>
      <c r="B1045" s="504"/>
      <c r="C1045" s="504"/>
      <c r="D1045" s="504"/>
      <c r="E1045" s="506"/>
      <c r="F1045" s="506"/>
      <c r="G1045" s="506"/>
      <c r="H1045" s="506"/>
      <c r="I1045" s="506"/>
      <c r="J1045" s="506"/>
      <c r="K1045" s="507"/>
      <c r="L1045" s="508"/>
      <c r="M1045" s="508"/>
      <c r="N1045" s="508"/>
      <c r="O1045" s="509"/>
      <c r="P1045" s="509"/>
    </row>
    <row r="1046" spans="1:16" ht="21.75" customHeight="1" x14ac:dyDescent="0.3">
      <c r="A1046" s="504"/>
      <c r="B1046" s="504"/>
      <c r="C1046" s="504"/>
      <c r="D1046" s="504"/>
      <c r="E1046" s="506"/>
      <c r="F1046" s="506"/>
      <c r="G1046" s="506"/>
      <c r="H1046" s="506"/>
      <c r="I1046" s="506"/>
      <c r="J1046" s="506"/>
      <c r="K1046" s="507"/>
      <c r="L1046" s="508"/>
      <c r="M1046" s="508"/>
      <c r="N1046" s="508"/>
      <c r="O1046" s="509"/>
      <c r="P1046" s="509"/>
    </row>
    <row r="1047" spans="1:16" ht="21.75" customHeight="1" x14ac:dyDescent="0.3">
      <c r="A1047" s="504"/>
      <c r="B1047" s="504"/>
      <c r="C1047" s="504"/>
      <c r="D1047" s="504"/>
      <c r="E1047" s="506"/>
      <c r="F1047" s="506"/>
      <c r="G1047" s="506"/>
      <c r="H1047" s="506"/>
      <c r="I1047" s="506"/>
      <c r="J1047" s="506"/>
      <c r="K1047" s="507"/>
      <c r="L1047" s="508"/>
      <c r="M1047" s="508"/>
      <c r="N1047" s="508"/>
      <c r="O1047" s="509"/>
      <c r="P1047" s="509"/>
    </row>
    <row r="1048" spans="1:16" ht="21.75" customHeight="1" x14ac:dyDescent="0.3">
      <c r="A1048" s="504"/>
      <c r="B1048" s="504"/>
      <c r="C1048" s="504"/>
      <c r="D1048" s="504"/>
      <c r="E1048" s="506"/>
      <c r="F1048" s="506"/>
      <c r="G1048" s="506"/>
      <c r="H1048" s="506"/>
      <c r="I1048" s="506"/>
      <c r="J1048" s="506"/>
      <c r="K1048" s="507"/>
      <c r="L1048" s="508"/>
      <c r="M1048" s="508"/>
      <c r="N1048" s="508"/>
      <c r="O1048" s="509"/>
      <c r="P1048" s="509"/>
    </row>
    <row r="1049" spans="1:16" ht="21.75" customHeight="1" x14ac:dyDescent="0.3">
      <c r="A1049" s="504"/>
      <c r="B1049" s="504"/>
      <c r="C1049" s="504"/>
      <c r="D1049" s="504"/>
      <c r="E1049" s="506"/>
      <c r="F1049" s="506"/>
      <c r="G1049" s="506"/>
      <c r="H1049" s="506"/>
      <c r="I1049" s="506"/>
      <c r="J1049" s="506"/>
      <c r="K1049" s="507"/>
      <c r="L1049" s="508"/>
      <c r="M1049" s="508"/>
      <c r="N1049" s="508"/>
      <c r="O1049" s="509"/>
      <c r="P1049" s="509"/>
    </row>
    <row r="1050" spans="1:16" ht="21.75" customHeight="1" x14ac:dyDescent="0.3">
      <c r="A1050" s="504"/>
      <c r="B1050" s="504"/>
      <c r="C1050" s="504"/>
      <c r="D1050" s="504"/>
      <c r="E1050" s="506"/>
      <c r="F1050" s="506"/>
      <c r="G1050" s="506"/>
      <c r="H1050" s="506"/>
      <c r="I1050" s="506"/>
      <c r="J1050" s="506"/>
      <c r="K1050" s="507"/>
      <c r="L1050" s="508"/>
      <c r="M1050" s="508"/>
      <c r="N1050" s="508"/>
      <c r="O1050" s="509"/>
      <c r="P1050" s="509"/>
    </row>
    <row r="1051" spans="1:16" ht="21.75" customHeight="1" x14ac:dyDescent="0.3">
      <c r="A1051" s="504"/>
      <c r="B1051" s="504"/>
      <c r="C1051" s="504"/>
      <c r="D1051" s="504"/>
      <c r="E1051" s="506"/>
      <c r="F1051" s="506"/>
      <c r="G1051" s="506"/>
      <c r="H1051" s="506"/>
      <c r="I1051" s="506"/>
      <c r="J1051" s="506"/>
      <c r="K1051" s="507"/>
      <c r="L1051" s="508"/>
      <c r="M1051" s="508"/>
      <c r="N1051" s="508"/>
      <c r="O1051" s="509"/>
      <c r="P1051" s="509"/>
    </row>
    <row r="1052" spans="1:16" ht="21.75" customHeight="1" x14ac:dyDescent="0.3">
      <c r="A1052" s="504"/>
      <c r="B1052" s="504"/>
      <c r="C1052" s="504"/>
      <c r="D1052" s="504"/>
      <c r="E1052" s="506"/>
      <c r="F1052" s="506"/>
      <c r="G1052" s="506"/>
      <c r="H1052" s="506"/>
      <c r="I1052" s="506"/>
      <c r="J1052" s="506"/>
      <c r="K1052" s="507"/>
      <c r="L1052" s="508"/>
      <c r="M1052" s="508"/>
      <c r="N1052" s="508"/>
      <c r="O1052" s="509"/>
      <c r="P1052" s="509"/>
    </row>
    <row r="1053" spans="1:16" ht="21.75" customHeight="1" x14ac:dyDescent="0.3">
      <c r="A1053" s="504"/>
      <c r="B1053" s="504"/>
      <c r="C1053" s="504"/>
      <c r="D1053" s="504"/>
      <c r="E1053" s="506"/>
      <c r="F1053" s="506"/>
      <c r="G1053" s="506"/>
      <c r="H1053" s="506"/>
      <c r="I1053" s="506"/>
      <c r="J1053" s="506"/>
      <c r="K1053" s="507"/>
      <c r="L1053" s="508"/>
      <c r="M1053" s="508"/>
      <c r="N1053" s="508"/>
      <c r="O1053" s="509"/>
      <c r="P1053" s="509"/>
    </row>
    <row r="1054" spans="1:16" ht="21.75" customHeight="1" x14ac:dyDescent="0.3">
      <c r="A1054" s="504"/>
      <c r="B1054" s="504"/>
      <c r="C1054" s="504"/>
      <c r="D1054" s="504"/>
      <c r="E1054" s="506"/>
      <c r="F1054" s="506"/>
      <c r="G1054" s="506"/>
      <c r="H1054" s="506"/>
      <c r="I1054" s="506"/>
      <c r="J1054" s="506"/>
      <c r="K1054" s="507"/>
      <c r="L1054" s="508"/>
      <c r="M1054" s="508"/>
      <c r="N1054" s="508"/>
      <c r="O1054" s="509"/>
      <c r="P1054" s="509"/>
    </row>
    <row r="1055" spans="1:16" ht="21.75" customHeight="1" x14ac:dyDescent="0.3">
      <c r="A1055" s="504"/>
      <c r="B1055" s="504"/>
      <c r="C1055" s="504"/>
      <c r="D1055" s="504"/>
      <c r="E1055" s="506"/>
      <c r="F1055" s="506"/>
      <c r="G1055" s="506"/>
      <c r="H1055" s="506"/>
      <c r="I1055" s="506"/>
      <c r="J1055" s="506"/>
      <c r="K1055" s="507"/>
      <c r="L1055" s="508"/>
      <c r="M1055" s="508"/>
      <c r="N1055" s="508"/>
      <c r="O1055" s="509"/>
      <c r="P1055" s="509"/>
    </row>
    <row r="1056" spans="1:16" ht="21.75" customHeight="1" x14ac:dyDescent="0.3">
      <c r="A1056" s="504"/>
      <c r="B1056" s="504"/>
      <c r="C1056" s="504"/>
      <c r="D1056" s="504"/>
      <c r="E1056" s="506"/>
      <c r="F1056" s="506"/>
      <c r="G1056" s="506"/>
      <c r="H1056" s="506"/>
      <c r="I1056" s="506"/>
      <c r="J1056" s="506"/>
      <c r="K1056" s="507"/>
      <c r="L1056" s="508"/>
      <c r="M1056" s="508"/>
      <c r="N1056" s="508"/>
      <c r="O1056" s="509"/>
      <c r="P1056" s="509"/>
    </row>
    <row r="1057" spans="1:16" ht="21.75" customHeight="1" x14ac:dyDescent="0.3">
      <c r="A1057" s="504"/>
      <c r="B1057" s="504"/>
      <c r="C1057" s="504"/>
      <c r="D1057" s="504"/>
      <c r="E1057" s="506"/>
      <c r="F1057" s="506"/>
      <c r="G1057" s="506"/>
      <c r="H1057" s="506"/>
      <c r="I1057" s="506"/>
      <c r="J1057" s="506"/>
      <c r="K1057" s="507"/>
      <c r="L1057" s="508"/>
      <c r="M1057" s="508"/>
      <c r="N1057" s="508"/>
      <c r="O1057" s="509"/>
      <c r="P1057" s="509"/>
    </row>
    <row r="1058" spans="1:16" ht="21.75" customHeight="1" x14ac:dyDescent="0.3">
      <c r="A1058" s="504"/>
      <c r="B1058" s="504"/>
      <c r="C1058" s="504"/>
      <c r="D1058" s="504"/>
      <c r="E1058" s="506"/>
      <c r="F1058" s="506"/>
      <c r="G1058" s="506"/>
      <c r="H1058" s="506"/>
      <c r="I1058" s="506"/>
      <c r="J1058" s="506"/>
      <c r="K1058" s="507"/>
      <c r="L1058" s="508"/>
      <c r="M1058" s="508"/>
      <c r="N1058" s="508"/>
      <c r="O1058" s="509"/>
      <c r="P1058" s="509"/>
    </row>
    <row r="1059" spans="1:16" ht="21.75" customHeight="1" x14ac:dyDescent="0.3">
      <c r="A1059" s="504"/>
      <c r="B1059" s="504"/>
      <c r="C1059" s="504"/>
      <c r="D1059" s="504"/>
      <c r="E1059" s="506"/>
      <c r="F1059" s="506"/>
      <c r="G1059" s="506"/>
      <c r="H1059" s="506"/>
      <c r="I1059" s="506"/>
      <c r="J1059" s="506"/>
      <c r="K1059" s="507"/>
      <c r="L1059" s="508"/>
      <c r="M1059" s="508"/>
      <c r="N1059" s="508"/>
      <c r="O1059" s="509"/>
      <c r="P1059" s="509"/>
    </row>
    <row r="1060" spans="1:16" ht="21.75" customHeight="1" x14ac:dyDescent="0.3">
      <c r="A1060" s="504"/>
      <c r="B1060" s="504"/>
      <c r="C1060" s="504"/>
      <c r="D1060" s="504"/>
      <c r="E1060" s="506"/>
      <c r="F1060" s="506"/>
      <c r="G1060" s="506"/>
      <c r="H1060" s="506"/>
      <c r="I1060" s="506"/>
      <c r="J1060" s="506"/>
      <c r="K1060" s="507"/>
      <c r="L1060" s="508"/>
      <c r="M1060" s="508"/>
      <c r="N1060" s="508"/>
      <c r="O1060" s="509"/>
      <c r="P1060" s="509"/>
    </row>
    <row r="1061" spans="1:16" ht="21.75" customHeight="1" x14ac:dyDescent="0.3">
      <c r="A1061" s="504"/>
      <c r="B1061" s="504"/>
      <c r="C1061" s="504"/>
      <c r="D1061" s="504"/>
      <c r="E1061" s="506"/>
      <c r="F1061" s="506"/>
      <c r="G1061" s="506"/>
      <c r="H1061" s="506"/>
      <c r="I1061" s="506"/>
      <c r="J1061" s="506"/>
      <c r="K1061" s="507"/>
      <c r="L1061" s="508"/>
      <c r="M1061" s="508"/>
      <c r="N1061" s="508"/>
      <c r="O1061" s="509"/>
      <c r="P1061" s="509"/>
    </row>
    <row r="1062" spans="1:16" ht="21.75" customHeight="1" x14ac:dyDescent="0.3">
      <c r="A1062" s="504"/>
      <c r="B1062" s="504"/>
      <c r="C1062" s="504"/>
      <c r="D1062" s="504"/>
      <c r="E1062" s="506"/>
      <c r="F1062" s="506"/>
      <c r="G1062" s="506"/>
      <c r="H1062" s="506"/>
      <c r="I1062" s="506"/>
      <c r="J1062" s="506"/>
      <c r="K1062" s="507"/>
      <c r="L1062" s="508"/>
      <c r="M1062" s="508"/>
      <c r="N1062" s="508"/>
      <c r="O1062" s="509"/>
      <c r="P1062" s="509"/>
    </row>
    <row r="1063" spans="1:16" ht="21.75" customHeight="1" x14ac:dyDescent="0.3">
      <c r="A1063" s="504"/>
      <c r="B1063" s="504"/>
      <c r="C1063" s="504"/>
      <c r="D1063" s="504"/>
      <c r="E1063" s="506"/>
      <c r="F1063" s="506"/>
      <c r="G1063" s="506"/>
      <c r="H1063" s="506"/>
      <c r="I1063" s="506"/>
      <c r="J1063" s="506"/>
      <c r="K1063" s="507"/>
      <c r="L1063" s="508"/>
      <c r="M1063" s="508"/>
      <c r="N1063" s="508"/>
      <c r="O1063" s="509"/>
      <c r="P1063" s="509"/>
    </row>
    <row r="1064" spans="1:16" ht="21.75" customHeight="1" x14ac:dyDescent="0.3">
      <c r="A1064" s="504"/>
      <c r="B1064" s="504"/>
      <c r="C1064" s="504"/>
      <c r="D1064" s="504"/>
      <c r="E1064" s="506"/>
      <c r="F1064" s="506"/>
      <c r="G1064" s="506"/>
      <c r="H1064" s="506"/>
      <c r="I1064" s="506"/>
      <c r="J1064" s="506"/>
      <c r="K1064" s="507"/>
      <c r="L1064" s="508"/>
      <c r="M1064" s="508"/>
      <c r="N1064" s="508"/>
      <c r="O1064" s="509"/>
      <c r="P1064" s="509"/>
    </row>
    <row r="1065" spans="1:16" ht="21.75" customHeight="1" x14ac:dyDescent="0.3">
      <c r="A1065" s="504"/>
      <c r="B1065" s="504"/>
      <c r="C1065" s="504"/>
      <c r="D1065" s="504"/>
      <c r="E1065" s="506"/>
      <c r="F1065" s="506"/>
      <c r="G1065" s="506"/>
      <c r="H1065" s="506"/>
      <c r="I1065" s="506"/>
      <c r="J1065" s="506"/>
      <c r="K1065" s="507"/>
      <c r="L1065" s="508"/>
      <c r="M1065" s="508"/>
      <c r="N1065" s="508"/>
      <c r="O1065" s="509"/>
      <c r="P1065" s="509"/>
    </row>
    <row r="1066" spans="1:16" ht="21.75" customHeight="1" x14ac:dyDescent="0.3">
      <c r="A1066" s="504"/>
      <c r="B1066" s="504"/>
      <c r="C1066" s="504"/>
      <c r="D1066" s="504"/>
      <c r="E1066" s="506"/>
      <c r="F1066" s="506"/>
      <c r="G1066" s="506"/>
      <c r="H1066" s="506"/>
      <c r="I1066" s="506"/>
      <c r="J1066" s="506"/>
      <c r="K1066" s="507"/>
      <c r="L1066" s="508"/>
      <c r="M1066" s="508"/>
      <c r="N1066" s="508"/>
      <c r="O1066" s="509"/>
      <c r="P1066" s="509"/>
    </row>
    <row r="1067" spans="1:16" ht="21.75" customHeight="1" x14ac:dyDescent="0.3">
      <c r="A1067" s="504"/>
      <c r="B1067" s="504"/>
      <c r="C1067" s="504"/>
      <c r="D1067" s="504"/>
      <c r="E1067" s="506"/>
      <c r="F1067" s="506"/>
      <c r="G1067" s="506"/>
      <c r="H1067" s="506"/>
      <c r="I1067" s="506"/>
      <c r="J1067" s="506"/>
      <c r="K1067" s="507"/>
      <c r="L1067" s="508"/>
      <c r="M1067" s="508"/>
      <c r="N1067" s="508"/>
      <c r="O1067" s="509"/>
      <c r="P1067" s="509"/>
    </row>
    <row r="1068" spans="1:16" ht="21.75" customHeight="1" x14ac:dyDescent="0.3">
      <c r="A1068" s="504"/>
      <c r="B1068" s="504"/>
      <c r="C1068" s="504"/>
      <c r="D1068" s="504"/>
      <c r="E1068" s="506"/>
      <c r="F1068" s="506"/>
      <c r="G1068" s="506"/>
      <c r="H1068" s="506"/>
      <c r="I1068" s="506"/>
      <c r="J1068" s="506"/>
      <c r="K1068" s="507"/>
      <c r="L1068" s="508"/>
      <c r="M1068" s="508"/>
      <c r="N1068" s="508"/>
      <c r="O1068" s="509"/>
      <c r="P1068" s="509"/>
    </row>
    <row r="1069" spans="1:16" ht="21.75" customHeight="1" x14ac:dyDescent="0.3">
      <c r="A1069" s="504"/>
      <c r="B1069" s="504"/>
      <c r="C1069" s="504"/>
      <c r="D1069" s="504"/>
      <c r="E1069" s="506"/>
      <c r="F1069" s="506"/>
      <c r="G1069" s="506"/>
      <c r="H1069" s="506"/>
      <c r="I1069" s="506"/>
      <c r="J1069" s="506"/>
      <c r="K1069" s="507"/>
      <c r="L1069" s="508"/>
      <c r="M1069" s="508"/>
      <c r="N1069" s="508"/>
      <c r="O1069" s="509"/>
      <c r="P1069" s="509"/>
    </row>
    <row r="1070" spans="1:16" ht="21.75" customHeight="1" x14ac:dyDescent="0.3">
      <c r="A1070" s="504"/>
      <c r="B1070" s="504"/>
      <c r="C1070" s="504"/>
      <c r="D1070" s="504"/>
      <c r="E1070" s="506"/>
      <c r="F1070" s="506"/>
      <c r="G1070" s="506"/>
      <c r="H1070" s="506"/>
      <c r="I1070" s="506"/>
      <c r="J1070" s="506"/>
      <c r="K1070" s="507"/>
      <c r="L1070" s="508"/>
      <c r="M1070" s="508"/>
      <c r="N1070" s="508"/>
      <c r="O1070" s="509"/>
      <c r="P1070" s="509"/>
    </row>
    <row r="1071" spans="1:16" ht="21.75" customHeight="1" x14ac:dyDescent="0.3">
      <c r="A1071" s="504"/>
      <c r="B1071" s="504"/>
      <c r="C1071" s="504"/>
      <c r="D1071" s="504"/>
      <c r="E1071" s="506"/>
      <c r="F1071" s="506"/>
      <c r="G1071" s="506"/>
      <c r="H1071" s="506"/>
      <c r="I1071" s="506"/>
      <c r="J1071" s="506"/>
      <c r="K1071" s="507"/>
      <c r="L1071" s="508"/>
      <c r="M1071" s="508"/>
      <c r="N1071" s="508"/>
      <c r="O1071" s="509"/>
      <c r="P1071" s="509"/>
    </row>
    <row r="1072" spans="1:16" ht="21.75" customHeight="1" x14ac:dyDescent="0.3">
      <c r="A1072" s="504"/>
      <c r="B1072" s="504"/>
      <c r="C1072" s="504"/>
      <c r="D1072" s="504"/>
      <c r="E1072" s="506"/>
      <c r="F1072" s="506"/>
      <c r="G1072" s="506"/>
      <c r="H1072" s="506"/>
      <c r="I1072" s="506"/>
      <c r="J1072" s="506"/>
      <c r="K1072" s="507"/>
      <c r="L1072" s="508"/>
      <c r="M1072" s="508"/>
      <c r="N1072" s="508"/>
      <c r="O1072" s="509"/>
      <c r="P1072" s="509"/>
    </row>
    <row r="1073" spans="1:16" ht="21.75" customHeight="1" x14ac:dyDescent="0.3">
      <c r="A1073" s="504"/>
      <c r="B1073" s="504"/>
      <c r="C1073" s="504"/>
      <c r="D1073" s="504"/>
      <c r="E1073" s="506"/>
      <c r="F1073" s="506"/>
      <c r="G1073" s="506"/>
      <c r="H1073" s="506"/>
      <c r="I1073" s="506"/>
      <c r="J1073" s="506"/>
      <c r="K1073" s="507"/>
      <c r="L1073" s="508"/>
      <c r="M1073" s="508"/>
      <c r="N1073" s="508"/>
      <c r="O1073" s="509"/>
      <c r="P1073" s="509"/>
    </row>
    <row r="1074" spans="1:16" ht="21.75" customHeight="1" x14ac:dyDescent="0.3">
      <c r="A1074" s="504"/>
      <c r="B1074" s="504"/>
      <c r="C1074" s="504"/>
      <c r="D1074" s="504"/>
      <c r="E1074" s="506"/>
      <c r="F1074" s="506"/>
      <c r="G1074" s="506"/>
      <c r="H1074" s="506"/>
      <c r="I1074" s="506"/>
      <c r="J1074" s="506"/>
      <c r="K1074" s="507"/>
      <c r="L1074" s="508"/>
      <c r="M1074" s="508"/>
      <c r="N1074" s="508"/>
      <c r="O1074" s="509"/>
      <c r="P1074" s="509"/>
    </row>
    <row r="1075" spans="1:16" ht="21.75" customHeight="1" x14ac:dyDescent="0.3">
      <c r="A1075" s="504"/>
      <c r="B1075" s="504"/>
      <c r="C1075" s="504"/>
      <c r="D1075" s="504"/>
      <c r="E1075" s="506"/>
      <c r="F1075" s="506"/>
      <c r="G1075" s="506"/>
      <c r="H1075" s="506"/>
      <c r="I1075" s="506"/>
      <c r="J1075" s="506"/>
      <c r="K1075" s="507"/>
      <c r="L1075" s="508"/>
      <c r="M1075" s="508"/>
      <c r="N1075" s="508"/>
      <c r="O1075" s="509"/>
      <c r="P1075" s="509"/>
    </row>
    <row r="1076" spans="1:16" ht="21.75" customHeight="1" x14ac:dyDescent="0.3">
      <c r="A1076" s="504"/>
      <c r="B1076" s="504"/>
      <c r="C1076" s="504"/>
      <c r="D1076" s="504"/>
      <c r="E1076" s="506"/>
      <c r="F1076" s="506"/>
      <c r="G1076" s="506"/>
      <c r="H1076" s="506"/>
      <c r="I1076" s="506"/>
      <c r="J1076" s="506"/>
      <c r="K1076" s="507"/>
      <c r="L1076" s="508"/>
      <c r="M1076" s="508"/>
      <c r="N1076" s="508"/>
      <c r="O1076" s="509"/>
      <c r="P1076" s="509"/>
    </row>
    <row r="1077" spans="1:16" ht="21.75" customHeight="1" x14ac:dyDescent="0.3">
      <c r="A1077" s="504"/>
      <c r="B1077" s="504"/>
      <c r="C1077" s="504"/>
      <c r="D1077" s="504"/>
      <c r="E1077" s="506"/>
      <c r="F1077" s="506"/>
      <c r="G1077" s="506"/>
      <c r="H1077" s="506"/>
      <c r="I1077" s="506"/>
      <c r="J1077" s="506"/>
      <c r="K1077" s="507"/>
      <c r="L1077" s="508"/>
      <c r="M1077" s="508"/>
      <c r="N1077" s="508"/>
      <c r="O1077" s="509"/>
      <c r="P1077" s="509"/>
    </row>
    <row r="1078" spans="1:16" ht="21.75" customHeight="1" x14ac:dyDescent="0.3">
      <c r="A1078" s="504"/>
      <c r="B1078" s="504"/>
      <c r="C1078" s="504"/>
      <c r="D1078" s="504"/>
      <c r="E1078" s="506"/>
      <c r="F1078" s="506"/>
      <c r="G1078" s="506"/>
      <c r="H1078" s="506"/>
      <c r="I1078" s="506"/>
      <c r="J1078" s="506"/>
      <c r="K1078" s="507"/>
      <c r="L1078" s="508"/>
      <c r="M1078" s="508"/>
      <c r="N1078" s="508"/>
      <c r="O1078" s="509"/>
      <c r="P1078" s="509"/>
    </row>
    <row r="1079" spans="1:16" ht="21.75" customHeight="1" x14ac:dyDescent="0.3">
      <c r="A1079" s="504"/>
      <c r="B1079" s="504"/>
      <c r="C1079" s="504"/>
      <c r="D1079" s="504"/>
      <c r="E1079" s="506"/>
      <c r="F1079" s="506"/>
      <c r="G1079" s="506"/>
      <c r="H1079" s="506"/>
      <c r="I1079" s="506"/>
      <c r="J1079" s="506"/>
      <c r="K1079" s="507"/>
      <c r="L1079" s="508"/>
      <c r="M1079" s="508"/>
      <c r="N1079" s="508"/>
      <c r="O1079" s="509"/>
      <c r="P1079" s="509"/>
    </row>
    <row r="1080" spans="1:16" ht="21.75" customHeight="1" x14ac:dyDescent="0.3">
      <c r="A1080" s="504"/>
      <c r="B1080" s="504"/>
      <c r="C1080" s="504"/>
      <c r="D1080" s="504"/>
      <c r="E1080" s="506"/>
      <c r="F1080" s="506"/>
      <c r="G1080" s="506"/>
      <c r="H1080" s="506"/>
      <c r="I1080" s="506"/>
      <c r="J1080" s="506"/>
      <c r="K1080" s="507"/>
      <c r="L1080" s="508"/>
      <c r="M1080" s="508"/>
      <c r="N1080" s="508"/>
      <c r="O1080" s="509"/>
      <c r="P1080" s="509"/>
    </row>
    <row r="1081" spans="1:16" ht="21.75" customHeight="1" x14ac:dyDescent="0.3">
      <c r="A1081" s="504"/>
      <c r="B1081" s="504"/>
      <c r="C1081" s="504"/>
      <c r="D1081" s="504"/>
      <c r="E1081" s="506"/>
      <c r="F1081" s="506"/>
      <c r="G1081" s="506"/>
      <c r="H1081" s="506"/>
      <c r="I1081" s="506"/>
      <c r="J1081" s="506"/>
      <c r="K1081" s="507"/>
      <c r="L1081" s="508"/>
      <c r="M1081" s="508"/>
      <c r="N1081" s="508"/>
      <c r="O1081" s="509"/>
      <c r="P1081" s="509"/>
    </row>
    <row r="1082" spans="1:16" ht="21.75" customHeight="1" x14ac:dyDescent="0.3">
      <c r="A1082" s="504"/>
      <c r="B1082" s="504"/>
      <c r="C1082" s="504"/>
      <c r="D1082" s="504"/>
      <c r="E1082" s="506"/>
      <c r="F1082" s="506"/>
      <c r="G1082" s="506"/>
      <c r="H1082" s="506"/>
      <c r="I1082" s="506"/>
      <c r="J1082" s="506"/>
      <c r="K1082" s="507"/>
      <c r="L1082" s="508"/>
      <c r="M1082" s="508"/>
      <c r="N1082" s="508"/>
      <c r="O1082" s="509"/>
      <c r="P1082" s="509"/>
    </row>
    <row r="1083" spans="1:16" ht="21.75" customHeight="1" x14ac:dyDescent="0.3">
      <c r="A1083" s="504"/>
      <c r="B1083" s="504"/>
      <c r="C1083" s="504"/>
      <c r="D1083" s="504"/>
      <c r="E1083" s="506"/>
      <c r="F1083" s="506"/>
      <c r="G1083" s="506"/>
      <c r="H1083" s="506"/>
      <c r="I1083" s="506"/>
      <c r="J1083" s="506"/>
      <c r="K1083" s="507"/>
      <c r="L1083" s="508"/>
      <c r="M1083" s="508"/>
      <c r="N1083" s="508"/>
      <c r="O1083" s="509"/>
      <c r="P1083" s="509"/>
    </row>
    <row r="1084" spans="1:16" ht="21.75" customHeight="1" x14ac:dyDescent="0.3">
      <c r="A1084" s="504"/>
      <c r="B1084" s="504"/>
      <c r="C1084" s="504"/>
      <c r="D1084" s="504"/>
      <c r="E1084" s="506"/>
      <c r="F1084" s="506"/>
      <c r="G1084" s="506"/>
      <c r="H1084" s="506"/>
      <c r="I1084" s="506"/>
      <c r="J1084" s="506"/>
      <c r="K1084" s="507"/>
      <c r="L1084" s="508"/>
      <c r="M1084" s="508"/>
      <c r="N1084" s="508"/>
      <c r="O1084" s="509"/>
      <c r="P1084" s="509"/>
    </row>
    <row r="1085" spans="1:16" ht="21.75" customHeight="1" x14ac:dyDescent="0.3">
      <c r="A1085" s="504"/>
      <c r="B1085" s="504"/>
      <c r="C1085" s="504"/>
      <c r="D1085" s="504"/>
      <c r="E1085" s="506"/>
      <c r="F1085" s="506"/>
      <c r="G1085" s="506"/>
      <c r="H1085" s="506"/>
      <c r="I1085" s="506"/>
      <c r="J1085" s="506"/>
      <c r="K1085" s="507"/>
      <c r="L1085" s="508"/>
      <c r="M1085" s="508"/>
      <c r="N1085" s="508"/>
      <c r="O1085" s="509"/>
      <c r="P1085" s="509"/>
    </row>
    <row r="1086" spans="1:16" ht="21.75" customHeight="1" x14ac:dyDescent="0.3">
      <c r="A1086" s="504"/>
      <c r="B1086" s="504"/>
      <c r="C1086" s="504"/>
      <c r="D1086" s="504"/>
      <c r="E1086" s="506"/>
      <c r="F1086" s="506"/>
      <c r="G1086" s="506"/>
      <c r="H1086" s="506"/>
      <c r="I1086" s="506"/>
      <c r="J1086" s="506"/>
      <c r="K1086" s="507"/>
      <c r="L1086" s="508"/>
      <c r="M1086" s="508"/>
      <c r="N1086" s="508"/>
      <c r="O1086" s="509"/>
      <c r="P1086" s="509"/>
    </row>
    <row r="1087" spans="1:16" ht="21.75" customHeight="1" x14ac:dyDescent="0.3">
      <c r="A1087" s="504"/>
      <c r="B1087" s="504"/>
      <c r="C1087" s="504"/>
      <c r="D1087" s="504"/>
      <c r="E1087" s="506"/>
      <c r="F1087" s="506"/>
      <c r="G1087" s="506"/>
      <c r="H1087" s="506"/>
      <c r="I1087" s="506"/>
      <c r="J1087" s="506"/>
      <c r="K1087" s="507"/>
      <c r="L1087" s="508"/>
      <c r="M1087" s="508"/>
      <c r="N1087" s="508"/>
      <c r="O1087" s="509"/>
      <c r="P1087" s="509"/>
    </row>
    <row r="1088" spans="1:16" ht="21.75" customHeight="1" x14ac:dyDescent="0.3">
      <c r="A1088" s="504"/>
      <c r="B1088" s="504"/>
      <c r="C1088" s="504"/>
      <c r="D1088" s="504"/>
      <c r="E1088" s="506"/>
      <c r="F1088" s="506"/>
      <c r="G1088" s="506"/>
      <c r="H1088" s="506"/>
      <c r="I1088" s="506"/>
      <c r="J1088" s="506"/>
      <c r="K1088" s="507"/>
      <c r="L1088" s="508"/>
      <c r="M1088" s="508"/>
      <c r="N1088" s="508"/>
      <c r="O1088" s="509"/>
      <c r="P1088" s="509"/>
    </row>
    <row r="1089" spans="1:16" ht="21.75" customHeight="1" x14ac:dyDescent="0.3">
      <c r="A1089" s="504"/>
      <c r="B1089" s="504"/>
      <c r="C1089" s="504"/>
      <c r="D1089" s="504"/>
      <c r="E1089" s="506"/>
      <c r="F1089" s="506"/>
      <c r="G1089" s="506"/>
      <c r="H1089" s="506"/>
      <c r="I1089" s="506"/>
      <c r="J1089" s="506"/>
      <c r="K1089" s="507"/>
      <c r="L1089" s="508"/>
      <c r="M1089" s="508"/>
      <c r="N1089" s="508"/>
      <c r="O1089" s="509"/>
      <c r="P1089" s="509"/>
    </row>
    <row r="1090" spans="1:16" ht="21.75" customHeight="1" x14ac:dyDescent="0.3">
      <c r="A1090" s="504"/>
      <c r="B1090" s="504"/>
      <c r="C1090" s="504"/>
      <c r="D1090" s="504"/>
      <c r="E1090" s="506"/>
      <c r="F1090" s="506"/>
      <c r="G1090" s="506"/>
      <c r="H1090" s="506"/>
      <c r="I1090" s="506"/>
      <c r="J1090" s="506"/>
      <c r="K1090" s="507"/>
      <c r="L1090" s="508"/>
      <c r="M1090" s="508"/>
      <c r="N1090" s="508"/>
      <c r="O1090" s="509"/>
      <c r="P1090" s="509"/>
    </row>
    <row r="1091" spans="1:16" ht="21.75" customHeight="1" x14ac:dyDescent="0.3">
      <c r="A1091" s="504"/>
      <c r="B1091" s="504"/>
      <c r="C1091" s="504"/>
      <c r="D1091" s="504"/>
      <c r="E1091" s="506"/>
      <c r="F1091" s="506"/>
      <c r="G1091" s="506"/>
      <c r="H1091" s="506"/>
      <c r="I1091" s="506"/>
      <c r="J1091" s="506"/>
      <c r="K1091" s="507"/>
      <c r="L1091" s="508"/>
      <c r="M1091" s="508"/>
      <c r="N1091" s="508"/>
      <c r="O1091" s="509"/>
      <c r="P1091" s="509"/>
    </row>
    <row r="1092" spans="1:16" ht="21.75" customHeight="1" x14ac:dyDescent="0.3">
      <c r="A1092" s="504"/>
      <c r="B1092" s="504"/>
      <c r="C1092" s="504"/>
      <c r="D1092" s="504"/>
      <c r="E1092" s="506"/>
      <c r="F1092" s="506"/>
      <c r="G1092" s="506"/>
      <c r="H1092" s="506"/>
      <c r="I1092" s="506"/>
      <c r="J1092" s="506"/>
      <c r="K1092" s="507"/>
      <c r="L1092" s="508"/>
      <c r="M1092" s="508"/>
      <c r="N1092" s="508"/>
      <c r="O1092" s="509"/>
      <c r="P1092" s="509"/>
    </row>
    <row r="1093" spans="1:16" ht="21.75" customHeight="1" x14ac:dyDescent="0.3">
      <c r="A1093" s="504"/>
      <c r="B1093" s="504"/>
      <c r="C1093" s="504"/>
      <c r="D1093" s="504"/>
      <c r="E1093" s="506"/>
      <c r="F1093" s="506"/>
      <c r="G1093" s="506"/>
      <c r="H1093" s="506"/>
      <c r="I1093" s="506"/>
      <c r="J1093" s="506"/>
      <c r="K1093" s="507"/>
      <c r="L1093" s="508"/>
      <c r="M1093" s="508"/>
      <c r="N1093" s="508"/>
      <c r="O1093" s="509"/>
      <c r="P1093" s="509"/>
    </row>
    <row r="1094" spans="1:16" ht="21.75" customHeight="1" x14ac:dyDescent="0.3">
      <c r="A1094" s="504"/>
      <c r="B1094" s="504"/>
      <c r="C1094" s="504"/>
      <c r="D1094" s="504"/>
      <c r="E1094" s="506"/>
      <c r="F1094" s="506"/>
      <c r="G1094" s="506"/>
      <c r="H1094" s="506"/>
      <c r="I1094" s="506"/>
      <c r="J1094" s="506"/>
      <c r="K1094" s="507"/>
      <c r="L1094" s="508"/>
      <c r="M1094" s="508"/>
      <c r="N1094" s="508"/>
      <c r="O1094" s="509"/>
      <c r="P1094" s="509"/>
    </row>
    <row r="1095" spans="1:16" ht="21.75" customHeight="1" x14ac:dyDescent="0.3">
      <c r="A1095" s="504"/>
      <c r="B1095" s="504"/>
      <c r="C1095" s="504"/>
      <c r="D1095" s="504"/>
      <c r="E1095" s="506"/>
      <c r="F1095" s="506"/>
      <c r="G1095" s="506"/>
      <c r="H1095" s="506"/>
      <c r="I1095" s="506"/>
      <c r="J1095" s="506"/>
      <c r="K1095" s="507"/>
      <c r="L1095" s="508"/>
      <c r="M1095" s="508"/>
      <c r="N1095" s="508"/>
      <c r="O1095" s="509"/>
      <c r="P1095" s="509"/>
    </row>
    <row r="1096" spans="1:16" ht="21.75" customHeight="1" x14ac:dyDescent="0.3">
      <c r="A1096" s="504"/>
      <c r="B1096" s="504"/>
      <c r="C1096" s="504"/>
      <c r="D1096" s="504"/>
      <c r="E1096" s="506"/>
      <c r="F1096" s="506"/>
      <c r="G1096" s="506"/>
      <c r="H1096" s="506"/>
      <c r="I1096" s="506"/>
      <c r="J1096" s="506"/>
      <c r="K1096" s="507"/>
      <c r="L1096" s="508"/>
      <c r="M1096" s="508"/>
      <c r="N1096" s="508"/>
      <c r="O1096" s="509"/>
      <c r="P1096" s="509"/>
    </row>
    <row r="1097" spans="1:16" ht="21.75" customHeight="1" x14ac:dyDescent="0.3">
      <c r="A1097" s="504"/>
      <c r="B1097" s="504"/>
      <c r="C1097" s="504"/>
      <c r="D1097" s="504"/>
      <c r="E1097" s="506"/>
      <c r="F1097" s="506"/>
      <c r="G1097" s="506"/>
      <c r="H1097" s="506"/>
      <c r="I1097" s="506"/>
      <c r="J1097" s="506"/>
      <c r="K1097" s="507"/>
      <c r="L1097" s="508"/>
      <c r="M1097" s="508"/>
      <c r="N1097" s="508"/>
      <c r="O1097" s="509"/>
      <c r="P1097" s="509"/>
    </row>
    <row r="1098" spans="1:16" ht="21.75" customHeight="1" x14ac:dyDescent="0.3">
      <c r="A1098" s="504"/>
      <c r="B1098" s="504"/>
      <c r="C1098" s="504"/>
      <c r="D1098" s="504"/>
      <c r="E1098" s="506"/>
      <c r="F1098" s="506"/>
      <c r="G1098" s="506"/>
      <c r="H1098" s="506"/>
      <c r="I1098" s="506"/>
      <c r="J1098" s="506"/>
      <c r="K1098" s="507"/>
      <c r="L1098" s="508"/>
      <c r="M1098" s="508"/>
      <c r="N1098" s="508"/>
      <c r="O1098" s="509"/>
      <c r="P1098" s="509"/>
    </row>
    <row r="1099" spans="1:16" ht="21.75" customHeight="1" x14ac:dyDescent="0.3">
      <c r="A1099" s="504"/>
      <c r="B1099" s="504"/>
      <c r="C1099" s="504"/>
      <c r="D1099" s="504"/>
      <c r="E1099" s="506"/>
      <c r="F1099" s="506"/>
      <c r="G1099" s="506"/>
      <c r="H1099" s="506"/>
      <c r="I1099" s="506"/>
      <c r="J1099" s="506"/>
      <c r="K1099" s="507"/>
      <c r="L1099" s="508"/>
      <c r="M1099" s="508"/>
      <c r="N1099" s="508"/>
      <c r="O1099" s="509"/>
      <c r="P1099" s="509"/>
    </row>
    <row r="1100" spans="1:16" ht="21.75" customHeight="1" x14ac:dyDescent="0.3">
      <c r="A1100" s="504"/>
      <c r="B1100" s="504"/>
      <c r="C1100" s="504"/>
      <c r="D1100" s="504"/>
      <c r="E1100" s="506"/>
      <c r="F1100" s="506"/>
      <c r="G1100" s="506"/>
      <c r="H1100" s="506"/>
      <c r="I1100" s="506"/>
      <c r="J1100" s="506"/>
      <c r="K1100" s="507"/>
      <c r="L1100" s="508"/>
      <c r="M1100" s="508"/>
      <c r="N1100" s="508"/>
      <c r="O1100" s="509"/>
      <c r="P1100" s="509"/>
    </row>
    <row r="1101" spans="1:16" ht="21.75" customHeight="1" x14ac:dyDescent="0.3">
      <c r="A1101" s="504"/>
      <c r="B1101" s="504"/>
      <c r="C1101" s="504"/>
      <c r="D1101" s="504"/>
      <c r="E1101" s="506"/>
      <c r="F1101" s="506"/>
      <c r="G1101" s="506"/>
      <c r="H1101" s="506"/>
      <c r="I1101" s="506"/>
      <c r="J1101" s="506"/>
      <c r="K1101" s="507"/>
      <c r="L1101" s="508"/>
      <c r="M1101" s="508"/>
      <c r="N1101" s="508"/>
      <c r="O1101" s="509"/>
      <c r="P1101" s="509"/>
    </row>
    <row r="1102" spans="1:16" ht="21.75" customHeight="1" x14ac:dyDescent="0.3">
      <c r="A1102" s="504"/>
      <c r="B1102" s="504"/>
      <c r="C1102" s="504"/>
      <c r="D1102" s="504"/>
      <c r="E1102" s="506"/>
      <c r="F1102" s="506"/>
      <c r="G1102" s="506"/>
      <c r="H1102" s="506"/>
      <c r="I1102" s="506"/>
      <c r="J1102" s="506"/>
      <c r="K1102" s="507"/>
      <c r="L1102" s="508"/>
      <c r="M1102" s="508"/>
      <c r="N1102" s="508"/>
      <c r="O1102" s="509"/>
      <c r="P1102" s="509"/>
    </row>
    <row r="1103" spans="1:16" ht="21.75" customHeight="1" x14ac:dyDescent="0.3">
      <c r="A1103" s="504"/>
      <c r="B1103" s="504"/>
      <c r="C1103" s="504"/>
      <c r="D1103" s="504"/>
      <c r="E1103" s="506"/>
      <c r="F1103" s="506"/>
      <c r="G1103" s="506"/>
      <c r="H1103" s="506"/>
      <c r="I1103" s="506"/>
      <c r="J1103" s="506"/>
      <c r="K1103" s="507"/>
      <c r="L1103" s="508"/>
      <c r="M1103" s="508"/>
      <c r="N1103" s="508"/>
      <c r="O1103" s="509"/>
      <c r="P1103" s="509"/>
    </row>
    <row r="1104" spans="1:16" ht="21.75" customHeight="1" x14ac:dyDescent="0.3">
      <c r="A1104" s="504"/>
      <c r="B1104" s="504"/>
      <c r="C1104" s="504"/>
      <c r="D1104" s="504"/>
      <c r="E1104" s="506"/>
      <c r="F1104" s="506"/>
      <c r="G1104" s="506"/>
      <c r="H1104" s="506"/>
      <c r="I1104" s="506"/>
      <c r="J1104" s="506"/>
      <c r="K1104" s="507"/>
      <c r="L1104" s="508"/>
      <c r="M1104" s="508"/>
      <c r="N1104" s="508"/>
      <c r="O1104" s="509"/>
      <c r="P1104" s="509"/>
    </row>
    <row r="1105" spans="1:16" ht="21.75" customHeight="1" x14ac:dyDescent="0.3">
      <c r="A1105" s="504"/>
      <c r="B1105" s="504"/>
      <c r="C1105" s="504"/>
      <c r="D1105" s="504"/>
      <c r="E1105" s="506"/>
      <c r="F1105" s="506"/>
      <c r="G1105" s="506"/>
      <c r="H1105" s="506"/>
      <c r="I1105" s="506"/>
      <c r="J1105" s="506"/>
      <c r="K1105" s="507"/>
      <c r="L1105" s="508"/>
      <c r="M1105" s="508"/>
      <c r="N1105" s="508"/>
      <c r="O1105" s="509"/>
      <c r="P1105" s="509"/>
    </row>
    <row r="1106" spans="1:16" ht="21.75" customHeight="1" x14ac:dyDescent="0.3">
      <c r="A1106" s="504"/>
      <c r="B1106" s="504"/>
      <c r="C1106" s="504"/>
      <c r="D1106" s="504"/>
      <c r="E1106" s="506"/>
      <c r="F1106" s="506"/>
      <c r="G1106" s="506"/>
      <c r="H1106" s="506"/>
      <c r="I1106" s="506"/>
      <c r="J1106" s="506"/>
      <c r="K1106" s="507"/>
      <c r="L1106" s="508"/>
      <c r="M1106" s="508"/>
      <c r="N1106" s="508"/>
      <c r="O1106" s="509"/>
      <c r="P1106" s="509"/>
    </row>
    <row r="1107" spans="1:16" ht="21.75" customHeight="1" x14ac:dyDescent="0.3">
      <c r="A1107" s="504"/>
      <c r="B1107" s="504"/>
      <c r="C1107" s="504"/>
      <c r="D1107" s="504"/>
      <c r="E1107" s="506"/>
      <c r="F1107" s="506"/>
      <c r="G1107" s="506"/>
      <c r="H1107" s="506"/>
      <c r="I1107" s="506"/>
      <c r="J1107" s="506"/>
      <c r="K1107" s="507"/>
      <c r="L1107" s="508"/>
      <c r="M1107" s="508"/>
      <c r="N1107" s="508"/>
      <c r="O1107" s="509"/>
      <c r="P1107" s="509"/>
    </row>
    <row r="1108" spans="1:16" ht="21.75" customHeight="1" x14ac:dyDescent="0.3">
      <c r="A1108" s="504"/>
      <c r="B1108" s="504"/>
      <c r="C1108" s="504"/>
      <c r="D1108" s="504"/>
      <c r="E1108" s="506"/>
      <c r="F1108" s="506"/>
      <c r="G1108" s="506"/>
      <c r="H1108" s="506"/>
      <c r="I1108" s="506"/>
      <c r="J1108" s="506"/>
      <c r="K1108" s="507"/>
      <c r="L1108" s="508"/>
      <c r="M1108" s="508"/>
      <c r="N1108" s="508"/>
      <c r="O1108" s="509"/>
      <c r="P1108" s="509"/>
    </row>
    <row r="1109" spans="1:16" ht="21.75" customHeight="1" x14ac:dyDescent="0.3">
      <c r="A1109" s="504"/>
      <c r="B1109" s="504"/>
      <c r="C1109" s="504"/>
      <c r="D1109" s="504"/>
      <c r="E1109" s="506"/>
      <c r="F1109" s="506"/>
      <c r="G1109" s="506"/>
      <c r="H1109" s="506"/>
      <c r="I1109" s="506"/>
      <c r="J1109" s="506"/>
      <c r="K1109" s="507"/>
      <c r="L1109" s="508"/>
      <c r="M1109" s="508"/>
      <c r="N1109" s="508"/>
      <c r="O1109" s="509"/>
      <c r="P1109" s="509"/>
    </row>
    <row r="1110" spans="1:16" ht="21.75" customHeight="1" x14ac:dyDescent="0.3">
      <c r="A1110" s="504"/>
      <c r="B1110" s="504"/>
      <c r="C1110" s="504"/>
      <c r="D1110" s="504"/>
      <c r="E1110" s="506"/>
      <c r="F1110" s="506"/>
      <c r="G1110" s="506"/>
      <c r="H1110" s="506"/>
      <c r="I1110" s="506"/>
      <c r="J1110" s="506"/>
      <c r="K1110" s="507"/>
      <c r="L1110" s="508"/>
      <c r="M1110" s="508"/>
      <c r="N1110" s="508"/>
      <c r="O1110" s="509"/>
      <c r="P1110" s="509"/>
    </row>
    <row r="1111" spans="1:16" ht="21.75" customHeight="1" x14ac:dyDescent="0.3">
      <c r="A1111" s="504"/>
      <c r="B1111" s="504"/>
      <c r="C1111" s="504"/>
      <c r="D1111" s="504"/>
      <c r="E1111" s="506"/>
      <c r="F1111" s="506"/>
      <c r="G1111" s="506"/>
      <c r="H1111" s="506"/>
      <c r="I1111" s="506"/>
      <c r="J1111" s="506"/>
      <c r="K1111" s="507"/>
      <c r="L1111" s="508"/>
      <c r="M1111" s="508"/>
      <c r="N1111" s="508"/>
      <c r="O1111" s="509"/>
      <c r="P1111" s="509"/>
    </row>
    <row r="1112" spans="1:16" ht="21.75" customHeight="1" x14ac:dyDescent="0.3">
      <c r="A1112" s="504"/>
      <c r="B1112" s="504"/>
      <c r="C1112" s="504"/>
      <c r="D1112" s="504"/>
      <c r="E1112" s="506"/>
      <c r="F1112" s="506"/>
      <c r="G1112" s="506"/>
      <c r="H1112" s="506"/>
      <c r="I1112" s="506"/>
      <c r="J1112" s="506"/>
      <c r="K1112" s="507"/>
      <c r="L1112" s="508"/>
      <c r="M1112" s="508"/>
      <c r="N1112" s="508"/>
      <c r="O1112" s="509"/>
      <c r="P1112" s="509"/>
    </row>
    <row r="1113" spans="1:16" ht="21.75" customHeight="1" x14ac:dyDescent="0.3">
      <c r="A1113" s="504"/>
      <c r="B1113" s="504"/>
      <c r="C1113" s="504"/>
      <c r="D1113" s="504"/>
      <c r="E1113" s="506"/>
      <c r="F1113" s="506"/>
      <c r="G1113" s="506"/>
      <c r="H1113" s="506"/>
      <c r="I1113" s="506"/>
      <c r="J1113" s="506"/>
      <c r="K1113" s="507"/>
      <c r="L1113" s="508"/>
      <c r="M1113" s="508"/>
      <c r="N1113" s="508"/>
      <c r="O1113" s="509"/>
      <c r="P1113" s="509"/>
    </row>
    <row r="1114" spans="1:16" ht="21.75" customHeight="1" x14ac:dyDescent="0.3">
      <c r="A1114" s="504"/>
      <c r="B1114" s="504"/>
      <c r="C1114" s="504"/>
      <c r="D1114" s="504"/>
      <c r="E1114" s="506"/>
      <c r="F1114" s="506"/>
      <c r="G1114" s="506"/>
      <c r="H1114" s="506"/>
      <c r="I1114" s="506"/>
      <c r="J1114" s="506"/>
      <c r="K1114" s="507"/>
      <c r="L1114" s="508"/>
      <c r="M1114" s="508"/>
      <c r="N1114" s="508"/>
      <c r="O1114" s="509"/>
      <c r="P1114" s="509"/>
    </row>
    <row r="1115" spans="1:16" ht="21.75" customHeight="1" x14ac:dyDescent="0.3">
      <c r="A1115" s="504"/>
      <c r="B1115" s="504"/>
      <c r="C1115" s="504"/>
      <c r="D1115" s="504"/>
      <c r="E1115" s="506"/>
      <c r="F1115" s="506"/>
      <c r="G1115" s="506"/>
      <c r="H1115" s="506"/>
      <c r="I1115" s="506"/>
      <c r="J1115" s="506"/>
      <c r="K1115" s="507"/>
      <c r="L1115" s="508"/>
      <c r="M1115" s="508"/>
      <c r="N1115" s="508"/>
      <c r="O1115" s="509"/>
      <c r="P1115" s="509"/>
    </row>
    <row r="1116" spans="1:16" ht="21.75" customHeight="1" x14ac:dyDescent="0.3">
      <c r="A1116" s="504"/>
      <c r="B1116" s="504"/>
      <c r="C1116" s="504"/>
      <c r="D1116" s="504"/>
      <c r="E1116" s="506"/>
      <c r="F1116" s="506"/>
      <c r="G1116" s="506"/>
      <c r="H1116" s="506"/>
      <c r="I1116" s="506"/>
      <c r="J1116" s="506"/>
      <c r="K1116" s="507"/>
      <c r="L1116" s="508"/>
      <c r="M1116" s="508"/>
      <c r="N1116" s="508"/>
      <c r="O1116" s="509"/>
      <c r="P1116" s="509"/>
    </row>
    <row r="1117" spans="1:16" ht="21.75" customHeight="1" x14ac:dyDescent="0.3">
      <c r="A1117" s="504"/>
      <c r="B1117" s="504"/>
      <c r="C1117" s="504"/>
      <c r="D1117" s="504"/>
      <c r="E1117" s="506"/>
      <c r="F1117" s="506"/>
      <c r="G1117" s="506"/>
      <c r="H1117" s="506"/>
      <c r="I1117" s="506"/>
      <c r="J1117" s="506"/>
      <c r="K1117" s="507"/>
      <c r="L1117" s="508"/>
      <c r="M1117" s="508"/>
      <c r="N1117" s="508"/>
      <c r="O1117" s="509"/>
      <c r="P1117" s="509"/>
    </row>
    <row r="1118" spans="1:16" ht="21.75" customHeight="1" x14ac:dyDescent="0.3">
      <c r="A1118" s="504"/>
      <c r="B1118" s="504"/>
      <c r="C1118" s="504"/>
      <c r="D1118" s="504"/>
      <c r="E1118" s="506"/>
      <c r="F1118" s="506"/>
      <c r="G1118" s="506"/>
      <c r="H1118" s="506"/>
      <c r="I1118" s="506"/>
      <c r="J1118" s="506"/>
      <c r="K1118" s="507"/>
      <c r="L1118" s="508"/>
      <c r="M1118" s="508"/>
      <c r="N1118" s="508"/>
      <c r="O1118" s="509"/>
      <c r="P1118" s="509"/>
    </row>
    <row r="1119" spans="1:16" ht="21.75" customHeight="1" x14ac:dyDescent="0.3">
      <c r="A1119" s="504"/>
      <c r="B1119" s="504"/>
      <c r="C1119" s="504"/>
      <c r="D1119" s="504"/>
      <c r="E1119" s="506"/>
      <c r="F1119" s="506"/>
      <c r="G1119" s="506"/>
      <c r="H1119" s="506"/>
      <c r="I1119" s="506"/>
      <c r="J1119" s="506"/>
      <c r="K1119" s="507"/>
      <c r="L1119" s="508"/>
      <c r="M1119" s="508"/>
      <c r="N1119" s="508"/>
      <c r="O1119" s="509"/>
      <c r="P1119" s="509"/>
    </row>
    <row r="1120" spans="1:16" ht="21.75" customHeight="1" x14ac:dyDescent="0.3">
      <c r="A1120" s="504"/>
      <c r="B1120" s="504"/>
      <c r="C1120" s="504"/>
      <c r="D1120" s="504"/>
      <c r="E1120" s="506"/>
      <c r="F1120" s="506"/>
      <c r="G1120" s="506"/>
      <c r="H1120" s="506"/>
      <c r="I1120" s="506"/>
      <c r="J1120" s="506"/>
      <c r="K1120" s="507"/>
      <c r="L1120" s="508"/>
      <c r="M1120" s="508"/>
      <c r="N1120" s="508"/>
      <c r="O1120" s="509"/>
      <c r="P1120" s="509"/>
    </row>
    <row r="1121" spans="1:16" ht="21.75" customHeight="1" x14ac:dyDescent="0.3">
      <c r="A1121" s="504"/>
      <c r="B1121" s="504"/>
      <c r="C1121" s="504"/>
      <c r="D1121" s="504"/>
      <c r="E1121" s="506"/>
      <c r="F1121" s="506"/>
      <c r="G1121" s="506"/>
      <c r="H1121" s="506"/>
      <c r="I1121" s="506"/>
      <c r="J1121" s="506"/>
      <c r="K1121" s="507"/>
      <c r="L1121" s="508"/>
      <c r="M1121" s="508"/>
      <c r="N1121" s="508"/>
      <c r="O1121" s="509"/>
      <c r="P1121" s="509"/>
    </row>
    <row r="1122" spans="1:16" ht="21.75" customHeight="1" x14ac:dyDescent="0.3">
      <c r="A1122" s="504"/>
      <c r="B1122" s="504"/>
      <c r="C1122" s="504"/>
      <c r="D1122" s="504"/>
      <c r="E1122" s="506"/>
      <c r="F1122" s="506"/>
      <c r="G1122" s="506"/>
      <c r="H1122" s="506"/>
      <c r="I1122" s="506"/>
      <c r="J1122" s="506"/>
      <c r="K1122" s="507"/>
      <c r="L1122" s="508"/>
      <c r="M1122" s="508"/>
      <c r="N1122" s="508"/>
      <c r="O1122" s="509"/>
      <c r="P1122" s="509"/>
    </row>
    <row r="1123" spans="1:16" ht="21.75" customHeight="1" x14ac:dyDescent="0.3">
      <c r="A1123" s="504"/>
      <c r="B1123" s="504"/>
      <c r="C1123" s="504"/>
      <c r="D1123" s="504"/>
      <c r="E1123" s="506"/>
      <c r="F1123" s="506"/>
      <c r="G1123" s="506"/>
      <c r="H1123" s="506"/>
      <c r="I1123" s="506"/>
      <c r="J1123" s="506"/>
      <c r="K1123" s="507"/>
      <c r="L1123" s="508"/>
      <c r="M1123" s="508"/>
      <c r="N1123" s="508"/>
      <c r="O1123" s="509"/>
      <c r="P1123" s="509"/>
    </row>
    <row r="1124" spans="1:16" ht="21.75" customHeight="1" x14ac:dyDescent="0.3">
      <c r="A1124" s="504"/>
      <c r="B1124" s="504"/>
      <c r="C1124" s="504"/>
      <c r="D1124" s="504"/>
      <c r="E1124" s="506"/>
      <c r="F1124" s="506"/>
      <c r="G1124" s="506"/>
      <c r="H1124" s="506"/>
      <c r="I1124" s="506"/>
      <c r="J1124" s="506"/>
      <c r="K1124" s="507"/>
      <c r="L1124" s="508"/>
      <c r="M1124" s="508"/>
      <c r="N1124" s="508"/>
      <c r="O1124" s="509"/>
      <c r="P1124" s="509"/>
    </row>
    <row r="1125" spans="1:16" ht="21.75" customHeight="1" x14ac:dyDescent="0.3">
      <c r="A1125" s="504"/>
      <c r="B1125" s="504"/>
      <c r="C1125" s="504"/>
      <c r="D1125" s="504"/>
      <c r="E1125" s="506"/>
      <c r="F1125" s="506"/>
      <c r="G1125" s="506"/>
      <c r="H1125" s="506"/>
      <c r="I1125" s="506"/>
      <c r="J1125" s="506"/>
      <c r="K1125" s="507"/>
      <c r="L1125" s="508"/>
      <c r="M1125" s="508"/>
      <c r="N1125" s="508"/>
      <c r="O1125" s="509"/>
      <c r="P1125" s="509"/>
    </row>
    <row r="1126" spans="1:16" ht="21.75" customHeight="1" x14ac:dyDescent="0.3">
      <c r="A1126" s="504"/>
      <c r="B1126" s="504"/>
      <c r="C1126" s="504"/>
      <c r="D1126" s="504"/>
      <c r="E1126" s="506"/>
      <c r="F1126" s="506"/>
      <c r="G1126" s="506"/>
      <c r="H1126" s="506"/>
      <c r="I1126" s="506"/>
      <c r="J1126" s="506"/>
      <c r="K1126" s="507"/>
      <c r="L1126" s="508"/>
      <c r="M1126" s="508"/>
      <c r="N1126" s="508"/>
      <c r="O1126" s="509"/>
      <c r="P1126" s="509"/>
    </row>
    <row r="1127" spans="1:16" ht="21.75" customHeight="1" x14ac:dyDescent="0.3">
      <c r="A1127" s="504"/>
      <c r="B1127" s="504"/>
      <c r="C1127" s="504"/>
      <c r="D1127" s="504"/>
      <c r="E1127" s="506"/>
      <c r="F1127" s="506"/>
      <c r="G1127" s="506"/>
      <c r="H1127" s="506"/>
      <c r="I1127" s="506"/>
      <c r="J1127" s="506"/>
      <c r="K1127" s="507"/>
      <c r="L1127" s="508"/>
      <c r="M1127" s="508"/>
      <c r="N1127" s="508"/>
      <c r="O1127" s="509"/>
      <c r="P1127" s="509"/>
    </row>
    <row r="1128" spans="1:16" ht="21.75" customHeight="1" x14ac:dyDescent="0.3">
      <c r="A1128" s="504"/>
      <c r="B1128" s="504"/>
      <c r="C1128" s="504"/>
      <c r="D1128" s="504"/>
      <c r="E1128" s="506"/>
      <c r="F1128" s="506"/>
      <c r="G1128" s="506"/>
      <c r="H1128" s="506"/>
      <c r="I1128" s="506"/>
      <c r="J1128" s="506"/>
      <c r="K1128" s="507"/>
      <c r="L1128" s="508"/>
      <c r="M1128" s="508"/>
      <c r="N1128" s="508"/>
      <c r="O1128" s="509"/>
      <c r="P1128" s="509"/>
    </row>
    <row r="1129" spans="1:16" ht="21.75" customHeight="1" x14ac:dyDescent="0.3">
      <c r="A1129" s="504"/>
      <c r="B1129" s="504"/>
      <c r="C1129" s="504"/>
      <c r="D1129" s="504"/>
      <c r="E1129" s="506"/>
      <c r="F1129" s="506"/>
      <c r="G1129" s="506"/>
      <c r="H1129" s="506"/>
      <c r="I1129" s="506"/>
      <c r="J1129" s="506"/>
      <c r="K1129" s="507"/>
      <c r="L1129" s="508"/>
      <c r="M1129" s="508"/>
      <c r="N1129" s="508"/>
      <c r="O1129" s="509"/>
      <c r="P1129" s="509"/>
    </row>
    <row r="1130" spans="1:16" ht="21.75" customHeight="1" x14ac:dyDescent="0.3">
      <c r="A1130" s="504"/>
      <c r="B1130" s="504"/>
      <c r="C1130" s="504"/>
      <c r="D1130" s="504"/>
      <c r="E1130" s="506"/>
      <c r="F1130" s="506"/>
      <c r="G1130" s="506"/>
      <c r="H1130" s="506"/>
      <c r="I1130" s="506"/>
      <c r="J1130" s="506"/>
      <c r="K1130" s="507"/>
      <c r="L1130" s="508"/>
      <c r="M1130" s="508"/>
      <c r="N1130" s="508"/>
      <c r="O1130" s="509"/>
      <c r="P1130" s="509"/>
    </row>
    <row r="1131" spans="1:16" ht="21.75" customHeight="1" x14ac:dyDescent="0.3">
      <c r="A1131" s="504"/>
      <c r="B1131" s="504"/>
      <c r="C1131" s="504"/>
      <c r="D1131" s="504"/>
      <c r="E1131" s="506"/>
      <c r="F1131" s="506"/>
      <c r="G1131" s="506"/>
      <c r="H1131" s="506"/>
      <c r="I1131" s="506"/>
      <c r="J1131" s="506"/>
      <c r="K1131" s="507"/>
      <c r="L1131" s="508"/>
      <c r="M1131" s="508"/>
      <c r="N1131" s="508"/>
      <c r="O1131" s="509"/>
      <c r="P1131" s="509"/>
    </row>
    <row r="1132" spans="1:16" ht="21.75" customHeight="1" x14ac:dyDescent="0.3">
      <c r="A1132" s="504"/>
      <c r="B1132" s="504"/>
      <c r="C1132" s="504"/>
      <c r="D1132" s="504"/>
      <c r="E1132" s="506"/>
      <c r="F1132" s="506"/>
      <c r="G1132" s="506"/>
      <c r="H1132" s="506"/>
      <c r="I1132" s="506"/>
      <c r="J1132" s="506"/>
      <c r="K1132" s="507"/>
      <c r="L1132" s="508"/>
      <c r="M1132" s="508"/>
      <c r="N1132" s="508"/>
      <c r="O1132" s="509"/>
      <c r="P1132" s="509"/>
    </row>
    <row r="1133" spans="1:16" ht="21.75" customHeight="1" x14ac:dyDescent="0.3">
      <c r="A1133" s="504"/>
      <c r="B1133" s="504"/>
      <c r="C1133" s="504"/>
      <c r="D1133" s="504"/>
      <c r="E1133" s="506"/>
      <c r="F1133" s="506"/>
      <c r="G1133" s="506"/>
      <c r="H1133" s="506"/>
      <c r="I1133" s="506"/>
      <c r="J1133" s="506"/>
      <c r="K1133" s="507"/>
      <c r="L1133" s="508"/>
      <c r="M1133" s="508"/>
      <c r="N1133" s="508"/>
      <c r="O1133" s="509"/>
      <c r="P1133" s="509"/>
    </row>
    <row r="1134" spans="1:16" ht="21.75" customHeight="1" x14ac:dyDescent="0.3">
      <c r="A1134" s="504"/>
      <c r="B1134" s="504"/>
      <c r="C1134" s="504"/>
      <c r="D1134" s="504"/>
      <c r="E1134" s="506"/>
      <c r="F1134" s="506"/>
      <c r="G1134" s="506"/>
      <c r="H1134" s="506"/>
      <c r="I1134" s="506"/>
      <c r="J1134" s="506"/>
      <c r="K1134" s="507"/>
      <c r="L1134" s="508"/>
      <c r="M1134" s="508"/>
      <c r="N1134" s="508"/>
      <c r="O1134" s="509"/>
      <c r="P1134" s="509"/>
    </row>
    <row r="1135" spans="1:16" ht="21.75" customHeight="1" x14ac:dyDescent="0.3">
      <c r="A1135" s="504"/>
      <c r="B1135" s="504"/>
      <c r="C1135" s="504"/>
      <c r="D1135" s="504"/>
      <c r="E1135" s="506"/>
      <c r="F1135" s="506"/>
      <c r="G1135" s="506"/>
      <c r="H1135" s="506"/>
      <c r="I1135" s="506"/>
      <c r="J1135" s="506"/>
      <c r="K1135" s="507"/>
      <c r="L1135" s="508"/>
      <c r="M1135" s="508"/>
      <c r="N1135" s="508"/>
      <c r="O1135" s="509"/>
      <c r="P1135" s="509"/>
    </row>
    <row r="1136" spans="1:16" ht="21.75" customHeight="1" x14ac:dyDescent="0.3">
      <c r="A1136" s="504"/>
      <c r="B1136" s="504"/>
      <c r="C1136" s="504"/>
      <c r="D1136" s="504"/>
      <c r="E1136" s="506"/>
      <c r="F1136" s="506"/>
      <c r="G1136" s="506"/>
      <c r="H1136" s="506"/>
      <c r="I1136" s="506"/>
      <c r="J1136" s="506"/>
      <c r="K1136" s="507"/>
      <c r="L1136" s="508"/>
      <c r="M1136" s="508"/>
      <c r="N1136" s="508"/>
      <c r="O1136" s="509"/>
      <c r="P1136" s="509"/>
    </row>
    <row r="1137" spans="1:16" ht="21.75" customHeight="1" x14ac:dyDescent="0.3">
      <c r="A1137" s="504"/>
      <c r="B1137" s="504"/>
      <c r="C1137" s="504"/>
      <c r="D1137" s="504"/>
      <c r="E1137" s="506"/>
      <c r="F1137" s="506"/>
      <c r="G1137" s="506"/>
      <c r="H1137" s="506"/>
      <c r="I1137" s="506"/>
      <c r="J1137" s="506"/>
      <c r="K1137" s="507"/>
      <c r="L1137" s="508"/>
      <c r="M1137" s="508"/>
      <c r="N1137" s="508"/>
      <c r="O1137" s="509"/>
      <c r="P1137" s="509"/>
    </row>
    <row r="1138" spans="1:16" ht="21.75" customHeight="1" x14ac:dyDescent="0.3">
      <c r="A1138" s="504"/>
      <c r="B1138" s="504"/>
      <c r="C1138" s="504"/>
      <c r="D1138" s="504"/>
      <c r="E1138" s="506"/>
      <c r="F1138" s="506"/>
      <c r="G1138" s="506"/>
      <c r="H1138" s="506"/>
      <c r="I1138" s="506"/>
      <c r="J1138" s="506"/>
      <c r="K1138" s="507"/>
      <c r="L1138" s="508"/>
      <c r="M1138" s="508"/>
      <c r="N1138" s="508"/>
      <c r="O1138" s="509"/>
      <c r="P1138" s="509"/>
    </row>
    <row r="1139" spans="1:16" ht="21.75" customHeight="1" x14ac:dyDescent="0.3">
      <c r="A1139" s="504"/>
      <c r="B1139" s="504"/>
      <c r="C1139" s="504"/>
      <c r="D1139" s="504"/>
      <c r="E1139" s="506"/>
      <c r="F1139" s="506"/>
      <c r="G1139" s="506"/>
      <c r="H1139" s="506"/>
      <c r="I1139" s="506"/>
      <c r="J1139" s="506"/>
      <c r="K1139" s="507"/>
      <c r="L1139" s="508"/>
      <c r="M1139" s="508"/>
      <c r="N1139" s="508"/>
      <c r="O1139" s="509"/>
      <c r="P1139" s="509"/>
    </row>
    <row r="1140" spans="1:16" ht="21.75" customHeight="1" x14ac:dyDescent="0.3">
      <c r="A1140" s="504"/>
      <c r="B1140" s="504"/>
      <c r="C1140" s="504"/>
      <c r="D1140" s="504"/>
      <c r="E1140" s="506"/>
      <c r="F1140" s="506"/>
      <c r="G1140" s="506"/>
      <c r="H1140" s="506"/>
      <c r="I1140" s="506"/>
      <c r="J1140" s="506"/>
      <c r="K1140" s="507"/>
      <c r="L1140" s="508"/>
      <c r="M1140" s="508"/>
      <c r="N1140" s="508"/>
      <c r="O1140" s="509"/>
      <c r="P1140" s="509"/>
    </row>
    <row r="1141" spans="1:16" ht="21.75" customHeight="1" x14ac:dyDescent="0.3">
      <c r="A1141" s="504"/>
      <c r="B1141" s="504"/>
      <c r="C1141" s="504"/>
      <c r="D1141" s="504"/>
      <c r="E1141" s="506"/>
      <c r="F1141" s="506"/>
      <c r="G1141" s="506"/>
      <c r="H1141" s="506"/>
      <c r="I1141" s="506"/>
      <c r="J1141" s="506"/>
      <c r="K1141" s="507"/>
      <c r="L1141" s="508"/>
      <c r="M1141" s="508"/>
      <c r="N1141" s="508"/>
      <c r="O1141" s="509"/>
      <c r="P1141" s="509"/>
    </row>
    <row r="1142" spans="1:16" ht="21.75" customHeight="1" x14ac:dyDescent="0.3">
      <c r="A1142" s="504"/>
      <c r="B1142" s="504"/>
      <c r="C1142" s="504"/>
      <c r="D1142" s="504"/>
      <c r="E1142" s="506"/>
      <c r="F1142" s="506"/>
      <c r="G1142" s="506"/>
      <c r="H1142" s="506"/>
      <c r="I1142" s="506"/>
      <c r="J1142" s="506"/>
      <c r="K1142" s="507"/>
      <c r="L1142" s="508"/>
      <c r="M1142" s="508"/>
      <c r="N1142" s="508"/>
      <c r="O1142" s="509"/>
      <c r="P1142" s="509"/>
    </row>
    <row r="1143" spans="1:16" ht="21.75" customHeight="1" x14ac:dyDescent="0.3">
      <c r="A1143" s="504"/>
      <c r="B1143" s="504"/>
      <c r="C1143" s="504"/>
      <c r="D1143" s="504"/>
      <c r="E1143" s="506"/>
      <c r="F1143" s="506"/>
      <c r="G1143" s="506"/>
      <c r="H1143" s="506"/>
      <c r="I1143" s="506"/>
      <c r="J1143" s="506"/>
      <c r="K1143" s="507"/>
      <c r="L1143" s="508"/>
      <c r="M1143" s="508"/>
      <c r="N1143" s="508"/>
      <c r="O1143" s="509"/>
      <c r="P1143" s="509"/>
    </row>
  </sheetData>
  <mergeCells count="49">
    <mergeCell ref="D310:G310"/>
    <mergeCell ref="D317:E317"/>
    <mergeCell ref="D329:G329"/>
    <mergeCell ref="D336:E336"/>
    <mergeCell ref="D140:G140"/>
    <mergeCell ref="D147:E147"/>
    <mergeCell ref="D220:G220"/>
    <mergeCell ref="D227:E227"/>
    <mergeCell ref="D250:G250"/>
    <mergeCell ref="D257:E257"/>
    <mergeCell ref="D271:G271"/>
    <mergeCell ref="D118:G118"/>
    <mergeCell ref="D125:E125"/>
    <mergeCell ref="D278:E278"/>
    <mergeCell ref="D290:G290"/>
    <mergeCell ref="D297:E297"/>
    <mergeCell ref="D60:E60"/>
    <mergeCell ref="D66:G66"/>
    <mergeCell ref="D73:E73"/>
    <mergeCell ref="D94:G94"/>
    <mergeCell ref="D101:E101"/>
    <mergeCell ref="D44:F44"/>
    <mergeCell ref="D48:E48"/>
    <mergeCell ref="B52:G52"/>
    <mergeCell ref="D53:G53"/>
    <mergeCell ref="D56:F56"/>
    <mergeCell ref="D31:F31"/>
    <mergeCell ref="D35:E35"/>
    <mergeCell ref="A38:G38"/>
    <mergeCell ref="B39:G39"/>
    <mergeCell ref="D41:G41"/>
    <mergeCell ref="D18:G18"/>
    <mergeCell ref="D21:F21"/>
    <mergeCell ref="D25:E25"/>
    <mergeCell ref="A27:G27"/>
    <mergeCell ref="D28:G28"/>
    <mergeCell ref="A7:G7"/>
    <mergeCell ref="D8:G8"/>
    <mergeCell ref="D11:F11"/>
    <mergeCell ref="D15:E15"/>
    <mergeCell ref="A17:G17"/>
    <mergeCell ref="H5:H6"/>
    <mergeCell ref="I5:K5"/>
    <mergeCell ref="L5:M5"/>
    <mergeCell ref="N5:P5"/>
    <mergeCell ref="A5:G6"/>
    <mergeCell ref="A1:P1"/>
    <mergeCell ref="A2:P2"/>
    <mergeCell ref="A3:P3"/>
  </mergeCells>
  <printOptions horizontalCentered="1"/>
  <pageMargins left="0.23622047244094491" right="0.27559055118110237" top="0.31496062992125984" bottom="0.39370078740157483" header="0" footer="0"/>
  <pageSetup paperSize="9" scale="39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46" max="16383" man="1"/>
    <brk id="326" max="16383" man="1"/>
    <brk id="400" max="16383" man="1"/>
    <brk id="486" max="16383" man="1"/>
    <brk id="563" max="1638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J7" sqref="J7"/>
      <selection pane="bottomLeft" activeCell="K565" sqref="K565"/>
    </sheetView>
  </sheetViews>
  <sheetFormatPr defaultColWidth="12.6640625" defaultRowHeight="15" customHeight="1" x14ac:dyDescent="0.3"/>
  <cols>
    <col min="1" max="3" width="2.75" customWidth="1"/>
    <col min="4" max="6" width="5" customWidth="1"/>
    <col min="7" max="7" width="70.9140625" customWidth="1"/>
    <col min="8" max="8" width="9.5" customWidth="1"/>
    <col min="9" max="10" width="13.9140625" customWidth="1"/>
    <col min="11" max="11" width="10.08203125" bestFit="1" customWidth="1"/>
    <col min="12" max="12" width="16.33203125" bestFit="1" customWidth="1"/>
    <col min="13" max="13" width="17.6640625" customWidth="1"/>
    <col min="14" max="14" width="19.5" customWidth="1"/>
    <col min="15" max="15" width="16.5" customWidth="1"/>
    <col min="16" max="16" width="18" customWidth="1"/>
  </cols>
  <sheetData>
    <row r="1" spans="1:16" ht="18" customHeight="1" x14ac:dyDescent="0.3">
      <c r="A1" s="512" t="s">
        <v>0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</row>
    <row r="2" spans="1:16" ht="18" customHeight="1" x14ac:dyDescent="0.3">
      <c r="A2" s="512" t="s">
        <v>252</v>
      </c>
      <c r="B2" s="512"/>
      <c r="C2" s="512"/>
      <c r="D2" s="512"/>
      <c r="E2" s="512"/>
      <c r="F2" s="512"/>
      <c r="G2" s="512"/>
      <c r="H2" s="512"/>
      <c r="I2" s="512"/>
      <c r="J2" s="512"/>
      <c r="K2" s="512"/>
      <c r="L2" s="512"/>
      <c r="M2" s="512"/>
      <c r="N2" s="512"/>
      <c r="O2" s="512"/>
      <c r="P2" s="512"/>
    </row>
    <row r="3" spans="1:16" ht="18" customHeight="1" x14ac:dyDescent="0.3">
      <c r="A3" s="512" t="s">
        <v>272</v>
      </c>
      <c r="B3" s="512"/>
      <c r="C3" s="512"/>
      <c r="D3" s="512"/>
      <c r="E3" s="512"/>
      <c r="F3" s="512"/>
      <c r="G3" s="512"/>
      <c r="H3" s="512"/>
      <c r="I3" s="512"/>
      <c r="J3" s="512"/>
      <c r="K3" s="512"/>
      <c r="L3" s="512"/>
      <c r="M3" s="512"/>
      <c r="N3" s="512"/>
      <c r="O3" s="512"/>
      <c r="P3" s="512"/>
    </row>
    <row r="4" spans="1:16" ht="33.75" customHeight="1" x14ac:dyDescent="0.3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3">
      <c r="A5" s="520" t="s">
        <v>2</v>
      </c>
      <c r="B5" s="521"/>
      <c r="C5" s="521"/>
      <c r="D5" s="521"/>
      <c r="E5" s="521"/>
      <c r="F5" s="521"/>
      <c r="G5" s="522"/>
      <c r="H5" s="513" t="s">
        <v>3</v>
      </c>
      <c r="I5" s="515" t="s">
        <v>4</v>
      </c>
      <c r="J5" s="516"/>
      <c r="K5" s="517"/>
      <c r="L5" s="518" t="s">
        <v>5</v>
      </c>
      <c r="M5" s="517"/>
      <c r="N5" s="519" t="s">
        <v>6</v>
      </c>
      <c r="O5" s="516"/>
      <c r="P5" s="517"/>
    </row>
    <row r="6" spans="1:16" ht="21.75" customHeight="1" x14ac:dyDescent="0.3">
      <c r="A6" s="523"/>
      <c r="B6" s="524"/>
      <c r="C6" s="524"/>
      <c r="D6" s="524"/>
      <c r="E6" s="524"/>
      <c r="F6" s="524"/>
      <c r="G6" s="525"/>
      <c r="H6" s="514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45">
      <c r="A7" s="526" t="s">
        <v>15</v>
      </c>
      <c r="B7" s="516"/>
      <c r="C7" s="516"/>
      <c r="D7" s="516"/>
      <c r="E7" s="516"/>
      <c r="F7" s="516"/>
      <c r="G7" s="517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45">
      <c r="A8" s="17"/>
      <c r="B8" s="18"/>
      <c r="C8" s="19" t="s">
        <v>16</v>
      </c>
      <c r="D8" s="527" t="s">
        <v>17</v>
      </c>
      <c r="E8" s="528"/>
      <c r="F8" s="528"/>
      <c r="G8" s="528"/>
      <c r="H8" s="20" t="s">
        <v>12</v>
      </c>
      <c r="I8" s="21"/>
      <c r="J8" s="21"/>
      <c r="K8" s="22"/>
      <c r="L8" s="23">
        <f t="shared" ref="L8:N8" ca="1" si="0">L9+L10</f>
        <v>4592912</v>
      </c>
      <c r="M8" s="23">
        <f t="shared" ca="1" si="0"/>
        <v>1404555</v>
      </c>
      <c r="N8" s="23">
        <f t="shared" ca="1" si="0"/>
        <v>1330280.33</v>
      </c>
      <c r="O8" s="22">
        <f t="shared" ref="O8:O16" ca="1" si="1">IF(L8&gt;0,N8*100/L8,0)</f>
        <v>28.963766995753456</v>
      </c>
      <c r="P8" s="22">
        <f t="shared" ref="P8:P16" ca="1" si="2">IF(M8&gt;0,N8*100/M8,0)</f>
        <v>94.711871731616057</v>
      </c>
    </row>
    <row r="9" spans="1:16" ht="21.75" customHeight="1" x14ac:dyDescent="0.45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45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4592912</v>
      </c>
      <c r="M10" s="30">
        <f t="shared" ca="1" si="4"/>
        <v>1404555</v>
      </c>
      <c r="N10" s="30">
        <f t="shared" ca="1" si="4"/>
        <v>1330280.33</v>
      </c>
      <c r="O10" s="29">
        <f t="shared" ca="1" si="1"/>
        <v>28.963766995753456</v>
      </c>
      <c r="P10" s="29">
        <f t="shared" ca="1" si="2"/>
        <v>94.711871731616057</v>
      </c>
    </row>
    <row r="11" spans="1:16" ht="21.75" customHeight="1" x14ac:dyDescent="0.45">
      <c r="A11" s="31"/>
      <c r="B11" s="32"/>
      <c r="C11" s="33" t="s">
        <v>16</v>
      </c>
      <c r="D11" s="529" t="s">
        <v>20</v>
      </c>
      <c r="E11" s="530"/>
      <c r="F11" s="530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45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4517312</v>
      </c>
      <c r="M12" s="38">
        <f t="shared" ca="1" si="6"/>
        <v>1328955</v>
      </c>
      <c r="N12" s="38">
        <f t="shared" ca="1" si="6"/>
        <v>1254680.33</v>
      </c>
      <c r="O12" s="38">
        <f t="shared" ca="1" si="1"/>
        <v>27.77493186213394</v>
      </c>
      <c r="P12" s="38">
        <f t="shared" ca="1" si="2"/>
        <v>94.411047025670541</v>
      </c>
    </row>
    <row r="13" spans="1:16" ht="21.75" customHeight="1" x14ac:dyDescent="0.45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2124700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45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2392612</v>
      </c>
      <c r="M14" s="38">
        <f t="shared" si="8"/>
        <v>0</v>
      </c>
      <c r="N14" s="38">
        <f t="shared" ca="1" si="8"/>
        <v>260508.33000000002</v>
      </c>
      <c r="O14" s="38">
        <f t="shared" ca="1" si="1"/>
        <v>10.888030737955004</v>
      </c>
      <c r="P14" s="38">
        <f t="shared" si="2"/>
        <v>0</v>
      </c>
    </row>
    <row r="15" spans="1:16" ht="21.75" customHeight="1" x14ac:dyDescent="0.45">
      <c r="A15" s="31"/>
      <c r="B15" s="32"/>
      <c r="C15" s="33" t="s">
        <v>16</v>
      </c>
      <c r="D15" s="529" t="s">
        <v>23</v>
      </c>
      <c r="E15" s="530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45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75600</v>
      </c>
      <c r="M16" s="38">
        <f t="shared" ca="1" si="10"/>
        <v>75600</v>
      </c>
      <c r="N16" s="38">
        <f t="shared" ca="1" si="10"/>
        <v>75600</v>
      </c>
      <c r="O16" s="49">
        <f t="shared" ca="1" si="1"/>
        <v>100</v>
      </c>
      <c r="P16" s="49">
        <f t="shared" ca="1" si="2"/>
        <v>100</v>
      </c>
    </row>
    <row r="17" spans="1:16" ht="21.75" customHeight="1" x14ac:dyDescent="0.45">
      <c r="A17" s="526" t="s">
        <v>24</v>
      </c>
      <c r="B17" s="516"/>
      <c r="C17" s="516"/>
      <c r="D17" s="516"/>
      <c r="E17" s="516"/>
      <c r="F17" s="516"/>
      <c r="G17" s="517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45">
      <c r="A18" s="17"/>
      <c r="B18" s="18"/>
      <c r="C18" s="19" t="s">
        <v>16</v>
      </c>
      <c r="D18" s="527" t="s">
        <v>17</v>
      </c>
      <c r="E18" s="528"/>
      <c r="F18" s="528"/>
      <c r="G18" s="528"/>
      <c r="H18" s="20" t="s">
        <v>12</v>
      </c>
      <c r="I18" s="21"/>
      <c r="J18" s="21"/>
      <c r="K18" s="22"/>
      <c r="L18" s="23">
        <f t="shared" ref="L18:N18" ca="1" si="11">L19+L20</f>
        <v>2603065</v>
      </c>
      <c r="M18" s="23">
        <f t="shared" ca="1" si="11"/>
        <v>1404555</v>
      </c>
      <c r="N18" s="23">
        <f t="shared" ca="1" si="11"/>
        <v>1069772</v>
      </c>
      <c r="O18" s="22">
        <f t="shared" ref="O18:O20" ca="1" si="12">IF(L18&gt;0,N18*100/L18,0)</f>
        <v>41.096630318489936</v>
      </c>
      <c r="P18" s="22">
        <f t="shared" ref="P18:P26" ca="1" si="13">IF(M18&gt;0,N18*100/M18,0)</f>
        <v>76.164479141080264</v>
      </c>
    </row>
    <row r="19" spans="1:16" ht="21.75" customHeight="1" x14ac:dyDescent="0.45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45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2603065</v>
      </c>
      <c r="M20" s="30">
        <f t="shared" ca="1" si="15"/>
        <v>1404555</v>
      </c>
      <c r="N20" s="30">
        <f t="shared" ca="1" si="15"/>
        <v>1069772</v>
      </c>
      <c r="O20" s="29">
        <f t="shared" ca="1" si="12"/>
        <v>41.096630318489936</v>
      </c>
      <c r="P20" s="29">
        <f t="shared" ca="1" si="13"/>
        <v>76.164479141080264</v>
      </c>
    </row>
    <row r="21" spans="1:16" ht="21.75" customHeight="1" x14ac:dyDescent="0.45">
      <c r="A21" s="31"/>
      <c r="B21" s="32"/>
      <c r="C21" s="33" t="s">
        <v>16</v>
      </c>
      <c r="D21" s="529" t="s">
        <v>20</v>
      </c>
      <c r="E21" s="530"/>
      <c r="F21" s="530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45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2527465</v>
      </c>
      <c r="M22" s="41">
        <f t="shared" ca="1" si="18"/>
        <v>1328955</v>
      </c>
      <c r="N22" s="38">
        <f t="shared" ca="1" si="18"/>
        <v>994172</v>
      </c>
      <c r="O22" s="38">
        <f t="shared" ca="1" si="17"/>
        <v>39.334748453489958</v>
      </c>
      <c r="P22" s="38">
        <f t="shared" ca="1" si="13"/>
        <v>74.808552584549517</v>
      </c>
    </row>
    <row r="23" spans="1:16" ht="21.75" customHeight="1" x14ac:dyDescent="0.45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2124700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45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402765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45">
      <c r="A25" s="31"/>
      <c r="B25" s="32"/>
      <c r="C25" s="33" t="s">
        <v>16</v>
      </c>
      <c r="D25" s="529" t="s">
        <v>23</v>
      </c>
      <c r="E25" s="530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45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75600</v>
      </c>
      <c r="M26" s="49">
        <f t="shared" ca="1" si="22"/>
        <v>75600</v>
      </c>
      <c r="N26" s="49">
        <f t="shared" ca="1" si="22"/>
        <v>75600</v>
      </c>
      <c r="O26" s="49">
        <f t="shared" ca="1" si="17"/>
        <v>100</v>
      </c>
      <c r="P26" s="49">
        <f t="shared" ca="1" si="13"/>
        <v>100</v>
      </c>
    </row>
    <row r="27" spans="1:16" ht="21.75" customHeight="1" x14ac:dyDescent="0.45">
      <c r="A27" s="526" t="s">
        <v>25</v>
      </c>
      <c r="B27" s="516"/>
      <c r="C27" s="516"/>
      <c r="D27" s="516"/>
      <c r="E27" s="516"/>
      <c r="F27" s="516"/>
      <c r="G27" s="517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45">
      <c r="A28" s="17"/>
      <c r="B28" s="18"/>
      <c r="C28" s="19" t="s">
        <v>16</v>
      </c>
      <c r="D28" s="527" t="s">
        <v>17</v>
      </c>
      <c r="E28" s="528"/>
      <c r="F28" s="528"/>
      <c r="G28" s="528"/>
      <c r="H28" s="20" t="s">
        <v>12</v>
      </c>
      <c r="I28" s="21"/>
      <c r="J28" s="21"/>
      <c r="K28" s="22"/>
      <c r="L28" s="23">
        <f t="shared" ref="L28:N28" ca="1" si="23">L29+L30</f>
        <v>1989847</v>
      </c>
      <c r="M28" s="23">
        <f t="shared" si="23"/>
        <v>0</v>
      </c>
      <c r="N28" s="23">
        <f t="shared" ca="1" si="23"/>
        <v>260508.33000000002</v>
      </c>
      <c r="O28" s="22">
        <f t="shared" ref="O28:O30" ca="1" si="24">IF(L28&gt;0,N28*100/L28,0)</f>
        <v>13.091877415700806</v>
      </c>
      <c r="P28" s="22">
        <f t="shared" ref="P28:P37" si="25">IF(M28&gt;0,N28*100/M28,0)</f>
        <v>0</v>
      </c>
    </row>
    <row r="29" spans="1:16" ht="21.75" customHeight="1" x14ac:dyDescent="0.45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45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1989847</v>
      </c>
      <c r="M30" s="30">
        <f t="shared" si="27"/>
        <v>0</v>
      </c>
      <c r="N30" s="30">
        <f t="shared" ca="1" si="27"/>
        <v>260508.33000000002</v>
      </c>
      <c r="O30" s="29">
        <f t="shared" ca="1" si="24"/>
        <v>13.091877415700806</v>
      </c>
      <c r="P30" s="29">
        <f t="shared" si="25"/>
        <v>0</v>
      </c>
    </row>
    <row r="31" spans="1:16" ht="21.75" customHeight="1" x14ac:dyDescent="0.45">
      <c r="A31" s="31"/>
      <c r="B31" s="32"/>
      <c r="C31" s="33" t="s">
        <v>16</v>
      </c>
      <c r="D31" s="529" t="s">
        <v>20</v>
      </c>
      <c r="E31" s="530"/>
      <c r="F31" s="530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45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1989847</v>
      </c>
      <c r="M32" s="38">
        <f t="shared" si="30"/>
        <v>0</v>
      </c>
      <c r="N32" s="38">
        <f t="shared" ca="1" si="30"/>
        <v>260508.33000000002</v>
      </c>
      <c r="O32" s="38">
        <f t="shared" ca="1" si="29"/>
        <v>13.091877415700806</v>
      </c>
      <c r="P32" s="38">
        <f t="shared" si="25"/>
        <v>0</v>
      </c>
    </row>
    <row r="33" spans="1:16" ht="21.75" customHeight="1" x14ac:dyDescent="0.45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45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1989847</v>
      </c>
      <c r="M34" s="38">
        <f t="shared" si="32"/>
        <v>0</v>
      </c>
      <c r="N34" s="38">
        <f t="shared" ca="1" si="32"/>
        <v>260508.33000000002</v>
      </c>
      <c r="O34" s="38">
        <f t="shared" ca="1" si="29"/>
        <v>13.091877415700806</v>
      </c>
      <c r="P34" s="38">
        <f t="shared" si="25"/>
        <v>0</v>
      </c>
    </row>
    <row r="35" spans="1:16" ht="21.75" customHeight="1" x14ac:dyDescent="0.45">
      <c r="A35" s="31"/>
      <c r="B35" s="32"/>
      <c r="C35" s="33" t="s">
        <v>16</v>
      </c>
      <c r="D35" s="529" t="s">
        <v>23</v>
      </c>
      <c r="E35" s="530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45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3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2603065</v>
      </c>
      <c r="M37" s="54">
        <f t="shared" ca="1" si="33"/>
        <v>1404555</v>
      </c>
      <c r="N37" s="54">
        <f t="shared" ca="1" si="33"/>
        <v>1069772</v>
      </c>
      <c r="O37" s="55">
        <f t="shared" ca="1" si="29"/>
        <v>41.096630318489936</v>
      </c>
      <c r="P37" s="55">
        <f t="shared" ca="1" si="25"/>
        <v>76.164479141080264</v>
      </c>
    </row>
    <row r="38" spans="1:16" ht="21.75" customHeight="1" x14ac:dyDescent="0.45">
      <c r="A38" s="531" t="s">
        <v>27</v>
      </c>
      <c r="B38" s="516"/>
      <c r="C38" s="516"/>
      <c r="D38" s="516"/>
      <c r="E38" s="516"/>
      <c r="F38" s="516"/>
      <c r="G38" s="517"/>
      <c r="H38" s="56"/>
      <c r="I38" s="57"/>
      <c r="J38" s="57"/>
      <c r="K38" s="58"/>
      <c r="L38" s="59"/>
      <c r="M38" s="59"/>
      <c r="N38" s="59"/>
      <c r="O38" s="59"/>
      <c r="P38" s="59"/>
    </row>
    <row r="39" spans="1:16" ht="21.75" customHeight="1" x14ac:dyDescent="0.45">
      <c r="A39" s="60"/>
      <c r="B39" s="532" t="s">
        <v>28</v>
      </c>
      <c r="C39" s="528"/>
      <c r="D39" s="528"/>
      <c r="E39" s="528"/>
      <c r="F39" s="528"/>
      <c r="G39" s="528"/>
      <c r="H39" s="61"/>
      <c r="I39" s="62"/>
      <c r="J39" s="62"/>
      <c r="K39" s="63"/>
      <c r="L39" s="64"/>
      <c r="M39" s="64"/>
      <c r="N39" s="64"/>
      <c r="O39" s="63"/>
      <c r="P39" s="63"/>
    </row>
    <row r="40" spans="1:16" ht="21.75" customHeight="1" x14ac:dyDescent="0.45">
      <c r="A40" s="65"/>
      <c r="B40" s="66" t="s">
        <v>29</v>
      </c>
      <c r="C40" s="67"/>
      <c r="D40" s="67"/>
      <c r="E40" s="67"/>
      <c r="F40" s="67"/>
      <c r="G40" s="67"/>
      <c r="H40" s="68"/>
      <c r="I40" s="69"/>
      <c r="J40" s="69"/>
      <c r="K40" s="70"/>
      <c r="L40" s="71"/>
      <c r="M40" s="71"/>
      <c r="N40" s="71"/>
      <c r="O40" s="70"/>
      <c r="P40" s="70"/>
    </row>
    <row r="41" spans="1:16" ht="21.75" customHeight="1" x14ac:dyDescent="0.45">
      <c r="A41" s="72"/>
      <c r="B41" s="73"/>
      <c r="C41" s="74" t="s">
        <v>16</v>
      </c>
      <c r="D41" s="533" t="s">
        <v>17</v>
      </c>
      <c r="E41" s="530"/>
      <c r="F41" s="530"/>
      <c r="G41" s="530"/>
      <c r="H41" s="75" t="s">
        <v>12</v>
      </c>
      <c r="I41" s="76"/>
      <c r="J41" s="76"/>
      <c r="K41" s="77"/>
      <c r="L41" s="78">
        <f t="shared" ref="L41:N41" ca="1" si="34">L42+L43</f>
        <v>658100</v>
      </c>
      <c r="M41" s="78">
        <f t="shared" ca="1" si="34"/>
        <v>329100</v>
      </c>
      <c r="N41" s="78">
        <f t="shared" ca="1" si="34"/>
        <v>276571</v>
      </c>
      <c r="O41" s="77">
        <f t="shared" ref="O41:O43" ca="1" si="35">IF(L41&gt;0,N41*100/L41,0)</f>
        <v>42.025679987843795</v>
      </c>
      <c r="P41" s="77">
        <f t="shared" ref="P41:P43" ca="1" si="36">IF(M41&gt;0,N41*100/M41,0)</f>
        <v>84.038590094196294</v>
      </c>
    </row>
    <row r="42" spans="1:16" ht="21.75" customHeight="1" x14ac:dyDescent="0.45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45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658100</v>
      </c>
      <c r="M43" s="78">
        <f t="shared" ca="1" si="38"/>
        <v>329100</v>
      </c>
      <c r="N43" s="78">
        <f t="shared" ca="1" si="38"/>
        <v>276571</v>
      </c>
      <c r="O43" s="77">
        <f t="shared" ca="1" si="35"/>
        <v>42.025679987843795</v>
      </c>
      <c r="P43" s="77">
        <f t="shared" ca="1" si="36"/>
        <v>84.038590094196294</v>
      </c>
    </row>
    <row r="44" spans="1:16" ht="21.75" customHeight="1" x14ac:dyDescent="0.45">
      <c r="A44" s="79"/>
      <c r="B44" s="80"/>
      <c r="C44" s="81" t="s">
        <v>16</v>
      </c>
      <c r="D44" s="534" t="s">
        <v>20</v>
      </c>
      <c r="E44" s="530"/>
      <c r="F44" s="530"/>
      <c r="G44" s="82" t="s">
        <v>18</v>
      </c>
      <c r="H44" s="83" t="s">
        <v>12</v>
      </c>
      <c r="I44" s="84"/>
      <c r="J44" s="84"/>
      <c r="K44" s="85"/>
      <c r="L44" s="86">
        <v>0</v>
      </c>
      <c r="M44" s="510"/>
      <c r="N44" s="511"/>
      <c r="O44" s="511"/>
      <c r="P44" s="511"/>
    </row>
    <row r="45" spans="1:16" ht="21.75" customHeight="1" x14ac:dyDescent="0.45">
      <c r="A45" s="79"/>
      <c r="B45" s="80"/>
      <c r="C45" s="80"/>
      <c r="D45" s="80"/>
      <c r="E45" s="88"/>
      <c r="F45" s="89"/>
      <c r="G45" s="82" t="s">
        <v>19</v>
      </c>
      <c r="H45" s="83" t="s">
        <v>12</v>
      </c>
      <c r="I45" s="84"/>
      <c r="J45" s="84"/>
      <c r="K45" s="85"/>
      <c r="L45" s="38">
        <f ca="1">L46+L47</f>
        <v>658100</v>
      </c>
      <c r="M45" s="49">
        <f ca="1">IFERROR(__xludf.DUMMYFUNCTION("IMPORTRANGE(""https://docs.google.com/spreadsheets/d/1Yj_ptqi66GCucihVvJfMjLAmec39IyEx_6qawtMGysU/edit?usp=sharing"",""สบก!Q27"")"),329100)</f>
        <v>329100</v>
      </c>
      <c r="N45" s="49">
        <f ca="1">IFERROR(__xludf.DUMMYFUNCTION("IMPORTRANGE(""https://docs.google.com/spreadsheets/d/1Yj_ptqi66GCucihVvJfMjLAmec39IyEx_6qawtMGysU/edit?usp=sharing"",""สบก!R27"")"),276571)</f>
        <v>276571</v>
      </c>
      <c r="O45" s="38">
        <f ca="1">IF(L45&gt;0,N45*100/L45,0)</f>
        <v>42.025679987843795</v>
      </c>
      <c r="P45" s="38">
        <f ca="1">IF(M45&gt;0,N45*100/M45,0)</f>
        <v>84.038590094196294</v>
      </c>
    </row>
    <row r="46" spans="1:16" ht="21.75" customHeight="1" x14ac:dyDescent="0.45">
      <c r="A46" s="79"/>
      <c r="B46" s="80"/>
      <c r="C46" s="80"/>
      <c r="D46" s="80"/>
      <c r="E46" s="88"/>
      <c r="F46" s="88"/>
      <c r="G46" s="82" t="s">
        <v>21</v>
      </c>
      <c r="H46" s="83" t="s">
        <v>12</v>
      </c>
      <c r="I46" s="84"/>
      <c r="J46" s="84"/>
      <c r="K46" s="85"/>
      <c r="L46" s="49">
        <f ca="1">IFERROR(__xludf.DUMMYFUNCTION("IMPORTRANGE(""https://docs.google.com/spreadsheets/d/1Yj_ptqi66GCucihVvJfMjLAmec39IyEx_6qawtMGysU/edit?usp=sharing"",""สบก!M27"")"),658100)</f>
        <v>658100</v>
      </c>
      <c r="M46" s="41"/>
      <c r="N46" s="38"/>
      <c r="O46" s="38"/>
      <c r="P46" s="38"/>
    </row>
    <row r="47" spans="1:16" ht="21.75" customHeight="1" x14ac:dyDescent="0.45">
      <c r="A47" s="79"/>
      <c r="B47" s="80"/>
      <c r="C47" s="80"/>
      <c r="D47" s="80"/>
      <c r="E47" s="88"/>
      <c r="F47" s="88"/>
      <c r="G47" s="82" t="s">
        <v>22</v>
      </c>
      <c r="H47" s="83" t="s">
        <v>12</v>
      </c>
      <c r="I47" s="84"/>
      <c r="J47" s="84"/>
      <c r="K47" s="85"/>
      <c r="L47" s="49">
        <f ca="1">IFERROR(__xludf.DUMMYFUNCTION("IMPORTRANGE(""https://docs.google.com/spreadsheets/d/1Yj_ptqi66GCucihVvJfMjLAmec39IyEx_6qawtMGysU/edit?usp=sharing"",""สบก!N27"")"),0)</f>
        <v>0</v>
      </c>
      <c r="M47" s="41"/>
      <c r="N47" s="38"/>
      <c r="O47" s="38"/>
      <c r="P47" s="38"/>
    </row>
    <row r="48" spans="1:16" ht="21.75" customHeight="1" x14ac:dyDescent="0.45">
      <c r="A48" s="79"/>
      <c r="B48" s="80"/>
      <c r="C48" s="81" t="s">
        <v>16</v>
      </c>
      <c r="D48" s="534" t="s">
        <v>23</v>
      </c>
      <c r="E48" s="530"/>
      <c r="F48" s="88"/>
      <c r="G48" s="82" t="s">
        <v>18</v>
      </c>
      <c r="H48" s="83" t="s">
        <v>12</v>
      </c>
      <c r="I48" s="84"/>
      <c r="J48" s="84"/>
      <c r="K48" s="85"/>
      <c r="L48" s="50">
        <v>0</v>
      </c>
      <c r="M48" s="41"/>
      <c r="N48" s="41"/>
      <c r="O48" s="41"/>
      <c r="P48" s="41"/>
    </row>
    <row r="49" spans="1:16" ht="21.75" customHeight="1" x14ac:dyDescent="0.45">
      <c r="A49" s="90"/>
      <c r="B49" s="91"/>
      <c r="C49" s="91"/>
      <c r="D49" s="91"/>
      <c r="E49" s="92"/>
      <c r="F49" s="92"/>
      <c r="G49" s="93" t="s">
        <v>19</v>
      </c>
      <c r="H49" s="94" t="s">
        <v>12</v>
      </c>
      <c r="I49" s="95"/>
      <c r="J49" s="95"/>
      <c r="K49" s="96"/>
      <c r="L49" s="49">
        <f ca="1">IFERROR(__xludf.DUMMYFUNCTION("IMPORTRANGE(""https://docs.google.com/spreadsheets/d/1Yj_ptqi66GCucihVvJfMjLAmec39IyEx_6qawtMGysU/edit?usp=sharing"",""สบก!O27"")"),0)</f>
        <v>0</v>
      </c>
      <c r="M49" s="49"/>
      <c r="N49" s="49">
        <f ca="1">IFERROR(__xludf.DUMMYFUNCTION("IMPORTRANGE(""https://docs.google.com/spreadsheets/d/1Yj_ptqi66GCucihVvJfMjLAmec39IyEx_6qawtMGysU/edit?usp=sharing"",""สบก!S27"")"),0)</f>
        <v>0</v>
      </c>
      <c r="O49" s="49">
        <f ca="1">IF(L49&gt;0,N49*100/L49,0)</f>
        <v>0</v>
      </c>
      <c r="P49" s="49"/>
    </row>
    <row r="50" spans="1:16" ht="21.75" customHeight="1" x14ac:dyDescent="0.45">
      <c r="A50" s="97" t="s">
        <v>30</v>
      </c>
      <c r="B50" s="98"/>
      <c r="C50" s="98"/>
      <c r="D50" s="98"/>
      <c r="E50" s="98"/>
      <c r="F50" s="98"/>
      <c r="G50" s="98"/>
      <c r="H50" s="99"/>
      <c r="I50" s="100"/>
      <c r="J50" s="100"/>
      <c r="K50" s="101"/>
      <c r="L50" s="102"/>
      <c r="M50" s="102"/>
      <c r="N50" s="102"/>
      <c r="O50" s="101"/>
      <c r="P50" s="101"/>
    </row>
    <row r="51" spans="1:16" ht="21.75" customHeight="1" x14ac:dyDescent="0.45">
      <c r="A51" s="103"/>
      <c r="B51" s="104" t="s">
        <v>31</v>
      </c>
      <c r="C51" s="104"/>
      <c r="D51" s="104"/>
      <c r="E51" s="104"/>
      <c r="F51" s="104"/>
      <c r="G51" s="104"/>
      <c r="H51" s="105"/>
      <c r="I51" s="106"/>
      <c r="J51" s="106"/>
      <c r="K51" s="107"/>
      <c r="L51" s="108"/>
      <c r="M51" s="108"/>
      <c r="N51" s="108"/>
      <c r="O51" s="107"/>
      <c r="P51" s="107"/>
    </row>
    <row r="52" spans="1:16" ht="21.75" customHeight="1" x14ac:dyDescent="0.45">
      <c r="A52" s="109"/>
      <c r="B52" s="535" t="s">
        <v>32</v>
      </c>
      <c r="C52" s="530"/>
      <c r="D52" s="530"/>
      <c r="E52" s="530"/>
      <c r="F52" s="530"/>
      <c r="G52" s="530"/>
      <c r="H52" s="110"/>
      <c r="I52" s="111"/>
      <c r="J52" s="111"/>
      <c r="K52" s="112"/>
      <c r="L52" s="113"/>
      <c r="M52" s="113"/>
      <c r="N52" s="113"/>
      <c r="O52" s="112"/>
      <c r="P52" s="112"/>
    </row>
    <row r="53" spans="1:16" ht="21.75" customHeight="1" x14ac:dyDescent="0.45">
      <c r="A53" s="114"/>
      <c r="B53" s="115"/>
      <c r="C53" s="116" t="s">
        <v>16</v>
      </c>
      <c r="D53" s="536" t="s">
        <v>17</v>
      </c>
      <c r="E53" s="530"/>
      <c r="F53" s="530"/>
      <c r="G53" s="530"/>
      <c r="H53" s="117" t="s">
        <v>12</v>
      </c>
      <c r="I53" s="118"/>
      <c r="J53" s="118"/>
      <c r="K53" s="119"/>
      <c r="L53" s="120">
        <f t="shared" ref="L53:N53" ca="1" si="39">L54+L55</f>
        <v>612000</v>
      </c>
      <c r="M53" s="120">
        <f t="shared" ca="1" si="39"/>
        <v>319500</v>
      </c>
      <c r="N53" s="120">
        <f t="shared" ca="1" si="39"/>
        <v>245715</v>
      </c>
      <c r="O53" s="119">
        <f t="shared" ref="O53:O55" ca="1" si="40">IF(L53&gt;0,N53*100/L53,0)</f>
        <v>40.149509803921568</v>
      </c>
      <c r="P53" s="119">
        <f t="shared" ref="P53:P55" ca="1" si="41">IF(M53&gt;0,N53*100/M53,0)</f>
        <v>76.906103286384976</v>
      </c>
    </row>
    <row r="54" spans="1:16" ht="21.75" customHeight="1" x14ac:dyDescent="0.45">
      <c r="A54" s="114"/>
      <c r="B54" s="115"/>
      <c r="C54" s="115"/>
      <c r="D54" s="115"/>
      <c r="E54" s="115"/>
      <c r="F54" s="115"/>
      <c r="G54" s="116" t="s">
        <v>18</v>
      </c>
      <c r="H54" s="117" t="s">
        <v>12</v>
      </c>
      <c r="I54" s="118"/>
      <c r="J54" s="118"/>
      <c r="K54" s="119"/>
      <c r="L54" s="120">
        <f t="shared" ref="L54:N54" si="42">L56+L60</f>
        <v>0</v>
      </c>
      <c r="M54" s="120">
        <f t="shared" si="42"/>
        <v>0</v>
      </c>
      <c r="N54" s="120">
        <f t="shared" si="42"/>
        <v>0</v>
      </c>
      <c r="O54" s="119">
        <f t="shared" si="40"/>
        <v>0</v>
      </c>
      <c r="P54" s="119">
        <f t="shared" si="41"/>
        <v>0</v>
      </c>
    </row>
    <row r="55" spans="1:16" ht="21.75" customHeight="1" x14ac:dyDescent="0.45">
      <c r="A55" s="114"/>
      <c r="B55" s="115"/>
      <c r="C55" s="115"/>
      <c r="D55" s="115"/>
      <c r="E55" s="115"/>
      <c r="F55" s="115"/>
      <c r="G55" s="116" t="s">
        <v>19</v>
      </c>
      <c r="H55" s="117" t="s">
        <v>12</v>
      </c>
      <c r="I55" s="118"/>
      <c r="J55" s="118"/>
      <c r="K55" s="119"/>
      <c r="L55" s="120">
        <f t="shared" ref="L55:N55" ca="1" si="43">L57+L61</f>
        <v>612000</v>
      </c>
      <c r="M55" s="120">
        <f t="shared" ca="1" si="43"/>
        <v>319500</v>
      </c>
      <c r="N55" s="120">
        <f t="shared" ca="1" si="43"/>
        <v>245715</v>
      </c>
      <c r="O55" s="119">
        <f t="shared" ca="1" si="40"/>
        <v>40.149509803921568</v>
      </c>
      <c r="P55" s="119">
        <f t="shared" ca="1" si="41"/>
        <v>76.906103286384976</v>
      </c>
    </row>
    <row r="56" spans="1:16" ht="21.75" customHeight="1" x14ac:dyDescent="0.45">
      <c r="A56" s="79"/>
      <c r="B56" s="80"/>
      <c r="C56" s="81" t="s">
        <v>16</v>
      </c>
      <c r="D56" s="534" t="s">
        <v>20</v>
      </c>
      <c r="E56" s="530"/>
      <c r="F56" s="530"/>
      <c r="G56" s="82" t="s">
        <v>18</v>
      </c>
      <c r="H56" s="83" t="s">
        <v>12</v>
      </c>
      <c r="I56" s="84"/>
      <c r="J56" s="84"/>
      <c r="K56" s="85"/>
      <c r="L56" s="511">
        <v>0</v>
      </c>
      <c r="M56" s="510"/>
      <c r="N56" s="511"/>
      <c r="O56" s="511"/>
      <c r="P56" s="511"/>
    </row>
    <row r="57" spans="1:16" ht="21.75" customHeight="1" x14ac:dyDescent="0.45">
      <c r="A57" s="79"/>
      <c r="B57" s="80"/>
      <c r="C57" s="80"/>
      <c r="D57" s="80"/>
      <c r="E57" s="88"/>
      <c r="F57" s="89"/>
      <c r="G57" s="82" t="s">
        <v>19</v>
      </c>
      <c r="H57" s="83" t="s">
        <v>12</v>
      </c>
      <c r="I57" s="84"/>
      <c r="J57" s="84"/>
      <c r="K57" s="85"/>
      <c r="L57" s="38">
        <f ca="1">L58+L59</f>
        <v>612000</v>
      </c>
      <c r="M57" s="49">
        <f ca="1">IFERROR(__xludf.DUMMYFUNCTION("IMPORTRANGE(""https://docs.google.com/spreadsheets/d/1Yj_ptqi66GCucihVvJfMjLAmec39IyEx_6qawtMGysU/edit?usp=sharing"",""สบก!Z27"")"),319500)</f>
        <v>319500</v>
      </c>
      <c r="N57" s="49">
        <f ca="1">IFERROR(__xludf.DUMMYFUNCTION("IMPORTRANGE(""https://docs.google.com/spreadsheets/d/1Yj_ptqi66GCucihVvJfMjLAmec39IyEx_6qawtMGysU/edit?usp=sharing"",""สบก!AA27"")"),245715)</f>
        <v>245715</v>
      </c>
      <c r="O57" s="38">
        <f ca="1">IF(L57&gt;0,N57*100/L57,0)</f>
        <v>40.149509803921568</v>
      </c>
      <c r="P57" s="38">
        <f ca="1">IF(M57&gt;0,N57*100/M57,0)</f>
        <v>76.906103286384976</v>
      </c>
    </row>
    <row r="58" spans="1:16" ht="21.75" customHeight="1" x14ac:dyDescent="0.45">
      <c r="A58" s="79"/>
      <c r="B58" s="80"/>
      <c r="C58" s="80"/>
      <c r="D58" s="80"/>
      <c r="E58" s="88"/>
      <c r="F58" s="88"/>
      <c r="G58" s="82" t="s">
        <v>21</v>
      </c>
      <c r="H58" s="83" t="s">
        <v>12</v>
      </c>
      <c r="I58" s="84"/>
      <c r="J58" s="84"/>
      <c r="K58" s="85"/>
      <c r="L58" s="49">
        <f ca="1">IFERROR(__xludf.DUMMYFUNCTION("IMPORTRANGE(""https://docs.google.com/spreadsheets/d/1Yj_ptqi66GCucihVvJfMjLAmec39IyEx_6qawtMGysU/edit?usp=sharing"",""สบก!V27"")"),612000)</f>
        <v>612000</v>
      </c>
      <c r="M58" s="41"/>
      <c r="N58" s="38"/>
      <c r="O58" s="38"/>
      <c r="P58" s="38"/>
    </row>
    <row r="59" spans="1:16" ht="21.75" customHeight="1" x14ac:dyDescent="0.45">
      <c r="A59" s="79"/>
      <c r="B59" s="80"/>
      <c r="C59" s="80"/>
      <c r="D59" s="80"/>
      <c r="E59" s="88"/>
      <c r="F59" s="88"/>
      <c r="G59" s="82" t="s">
        <v>22</v>
      </c>
      <c r="H59" s="83" t="s">
        <v>12</v>
      </c>
      <c r="I59" s="84"/>
      <c r="J59" s="84"/>
      <c r="K59" s="85"/>
      <c r="L59" s="49">
        <f ca="1">IFERROR(__xludf.DUMMYFUNCTION("IMPORTRANGE(""https://docs.google.com/spreadsheets/d/1Yj_ptqi66GCucihVvJfMjLAmec39IyEx_6qawtMGysU/edit?usp=sharing"",""สบก!W27"")"),0)</f>
        <v>0</v>
      </c>
      <c r="M59" s="41"/>
      <c r="N59" s="38"/>
      <c r="O59" s="38"/>
      <c r="P59" s="38"/>
    </row>
    <row r="60" spans="1:16" ht="21.75" customHeight="1" x14ac:dyDescent="0.45">
      <c r="A60" s="79"/>
      <c r="B60" s="80"/>
      <c r="C60" s="81" t="s">
        <v>16</v>
      </c>
      <c r="D60" s="534" t="s">
        <v>23</v>
      </c>
      <c r="E60" s="530"/>
      <c r="F60" s="88"/>
      <c r="G60" s="82" t="s">
        <v>18</v>
      </c>
      <c r="H60" s="83" t="s">
        <v>12</v>
      </c>
      <c r="I60" s="84"/>
      <c r="J60" s="84"/>
      <c r="K60" s="85"/>
      <c r="L60" s="50">
        <v>0</v>
      </c>
      <c r="M60" s="41"/>
      <c r="N60" s="41"/>
      <c r="O60" s="41"/>
      <c r="P60" s="41"/>
    </row>
    <row r="61" spans="1:16" ht="21.75" customHeight="1" x14ac:dyDescent="0.45">
      <c r="A61" s="90"/>
      <c r="B61" s="91"/>
      <c r="C61" s="91"/>
      <c r="D61" s="91"/>
      <c r="E61" s="92"/>
      <c r="F61" s="92"/>
      <c r="G61" s="93" t="s">
        <v>19</v>
      </c>
      <c r="H61" s="94" t="s">
        <v>12</v>
      </c>
      <c r="I61" s="95"/>
      <c r="J61" s="95"/>
      <c r="K61" s="96"/>
      <c r="L61" s="49">
        <f ca="1">IFERROR(__xludf.DUMMYFUNCTION("IMPORTRANGE(""https://docs.google.com/spreadsheets/d/1Yj_ptqi66GCucihVvJfMjLAmec39IyEx_6qawtMGysU/edit?usp=sharing"",""สบก!X27"")"),0)</f>
        <v>0</v>
      </c>
      <c r="M61" s="49"/>
      <c r="N61" s="49">
        <f ca="1">IFERROR(__xludf.DUMMYFUNCTION("IMPORTRANGE(""https://docs.google.com/spreadsheets/d/1Yj_ptqi66GCucihVvJfMjLAmec39IyEx_6qawtMGysU/edit?usp=sharing"",""สบก!AB27"")"),0)</f>
        <v>0</v>
      </c>
      <c r="O61" s="49">
        <f ca="1">IF(L61&gt;0,N61*100/L61,0)</f>
        <v>0</v>
      </c>
      <c r="P61" s="49"/>
    </row>
    <row r="62" spans="1:16" ht="21.75" customHeight="1" x14ac:dyDescent="0.3">
      <c r="A62" s="121" t="s">
        <v>33</v>
      </c>
      <c r="B62" s="122"/>
      <c r="C62" s="122"/>
      <c r="D62" s="122"/>
      <c r="E62" s="123"/>
      <c r="F62" s="123"/>
      <c r="G62" s="123"/>
      <c r="H62" s="124"/>
      <c r="I62" s="125"/>
      <c r="J62" s="125"/>
      <c r="K62" s="126"/>
      <c r="L62" s="127"/>
      <c r="M62" s="127"/>
      <c r="N62" s="127"/>
      <c r="O62" s="127"/>
      <c r="P62" s="127"/>
    </row>
    <row r="63" spans="1:16" ht="21.75" customHeight="1" x14ac:dyDescent="0.3">
      <c r="A63" s="128" t="s">
        <v>34</v>
      </c>
      <c r="B63" s="129"/>
      <c r="C63" s="130"/>
      <c r="D63" s="129"/>
      <c r="E63" s="131"/>
      <c r="F63" s="131"/>
      <c r="G63" s="131"/>
      <c r="H63" s="132"/>
      <c r="I63" s="133"/>
      <c r="J63" s="133"/>
      <c r="K63" s="134"/>
      <c r="L63" s="135"/>
      <c r="M63" s="135"/>
      <c r="N63" s="135"/>
      <c r="O63" s="136"/>
      <c r="P63" s="136"/>
    </row>
    <row r="64" spans="1:16" ht="21.75" customHeight="1" x14ac:dyDescent="0.3">
      <c r="A64" s="137"/>
      <c r="B64" s="138" t="s">
        <v>35</v>
      </c>
      <c r="C64" s="138"/>
      <c r="D64" s="139"/>
      <c r="E64" s="138"/>
      <c r="F64" s="138"/>
      <c r="G64" s="138"/>
      <c r="H64" s="140" t="s">
        <v>36</v>
      </c>
      <c r="I64" s="141">
        <f ca="1">IFERROR(__xludf.DUMMYFUNCTION("IMPORTRANGE(""https://docs.google.com/spreadsheets/d/11923uPwbBZFjjGgGUA6NLw09EwE0CqkOc4q9oUmW1yo/edit?usp=sharing"",""พิจิตร!I9"")"),0)</f>
        <v>0</v>
      </c>
      <c r="J64" s="141">
        <f ca="1">IFERROR(__xludf.DUMMYFUNCTION("IMPORTRANGE(""https://docs.google.com/spreadsheets/d/11923uPwbBZFjjGgGUA6NLw09EwE0CqkOc4q9oUmW1yo/edit?usp=sharing"",""พิจิตร!J9"")"),0)</f>
        <v>0</v>
      </c>
      <c r="K64" s="142">
        <f t="shared" ref="K64:K65" ca="1" si="44">IF(I64&gt;0,J64*100/I64,0)</f>
        <v>0</v>
      </c>
      <c r="L64" s="143"/>
      <c r="M64" s="143"/>
      <c r="N64" s="144"/>
      <c r="O64" s="142"/>
      <c r="P64" s="142"/>
    </row>
    <row r="65" spans="1:16" ht="21.75" customHeight="1" x14ac:dyDescent="0.3">
      <c r="A65" s="137"/>
      <c r="B65" s="138"/>
      <c r="C65" s="138"/>
      <c r="D65" s="139"/>
      <c r="E65" s="138"/>
      <c r="F65" s="138"/>
      <c r="G65" s="138"/>
      <c r="H65" s="140" t="s">
        <v>37</v>
      </c>
      <c r="I65" s="141">
        <f ca="1">IFERROR(__xludf.DUMMYFUNCTION("IMPORTRANGE(""https://docs.google.com/spreadsheets/d/11923uPwbBZFjjGgGUA6NLw09EwE0CqkOc4q9oUmW1yo/edit?usp=sharing"",""พิจิตร!I10"")"),0)</f>
        <v>0</v>
      </c>
      <c r="J65" s="141">
        <f ca="1">IFERROR(__xludf.DUMMYFUNCTION("IMPORTRANGE(""https://docs.google.com/spreadsheets/d/11923uPwbBZFjjGgGUA6NLw09EwE0CqkOc4q9oUmW1yo/edit?usp=sharing"",""พิจิตร!J10"")"),0)</f>
        <v>0</v>
      </c>
      <c r="K65" s="142">
        <f t="shared" ca="1" si="44"/>
        <v>0</v>
      </c>
      <c r="L65" s="144"/>
      <c r="M65" s="144"/>
      <c r="N65" s="144"/>
      <c r="O65" s="142"/>
      <c r="P65" s="142"/>
    </row>
    <row r="66" spans="1:16" ht="21.75" customHeight="1" x14ac:dyDescent="0.45">
      <c r="A66" s="145"/>
      <c r="B66" s="146"/>
      <c r="C66" s="147" t="s">
        <v>16</v>
      </c>
      <c r="D66" s="537" t="s">
        <v>17</v>
      </c>
      <c r="E66" s="528"/>
      <c r="F66" s="528"/>
      <c r="G66" s="528"/>
      <c r="H66" s="148" t="s">
        <v>12</v>
      </c>
      <c r="I66" s="149"/>
      <c r="J66" s="149"/>
      <c r="K66" s="150"/>
      <c r="L66" s="151">
        <f t="shared" ref="L66:N66" ca="1" si="45">L67+L68</f>
        <v>0</v>
      </c>
      <c r="M66" s="151">
        <f t="shared" ca="1" si="45"/>
        <v>0</v>
      </c>
      <c r="N66" s="151">
        <f t="shared" ca="1" si="45"/>
        <v>0</v>
      </c>
      <c r="O66" s="150">
        <f t="shared" ref="O66:O68" ca="1" si="46">IF(L66&gt;0,N66*100/L66,0)</f>
        <v>0</v>
      </c>
      <c r="P66" s="150">
        <f t="shared" ref="P66:P68" ca="1" si="47">IF(M66&gt;0,N66*100/M66,0)</f>
        <v>0</v>
      </c>
    </row>
    <row r="67" spans="1:16" ht="21.75" customHeight="1" x14ac:dyDescent="0.45">
      <c r="A67" s="152"/>
      <c r="B67" s="32"/>
      <c r="C67" s="32"/>
      <c r="D67" s="32"/>
      <c r="E67" s="32"/>
      <c r="F67" s="32"/>
      <c r="G67" s="33" t="s">
        <v>18</v>
      </c>
      <c r="H67" s="153" t="s">
        <v>12</v>
      </c>
      <c r="I67" s="154"/>
      <c r="J67" s="154"/>
      <c r="K67" s="155"/>
      <c r="L67" s="87">
        <f t="shared" ref="L67:N67" si="48">L69+L73</f>
        <v>0</v>
      </c>
      <c r="M67" s="87">
        <f t="shared" si="48"/>
        <v>0</v>
      </c>
      <c r="N67" s="87">
        <f t="shared" si="48"/>
        <v>0</v>
      </c>
      <c r="O67" s="155">
        <f t="shared" si="46"/>
        <v>0</v>
      </c>
      <c r="P67" s="155">
        <f t="shared" si="47"/>
        <v>0</v>
      </c>
    </row>
    <row r="68" spans="1:16" ht="21.75" customHeight="1" x14ac:dyDescent="0.45">
      <c r="A68" s="152"/>
      <c r="B68" s="32"/>
      <c r="C68" s="32"/>
      <c r="D68" s="32"/>
      <c r="E68" s="32"/>
      <c r="F68" s="32"/>
      <c r="G68" s="33" t="s">
        <v>19</v>
      </c>
      <c r="H68" s="153" t="s">
        <v>12</v>
      </c>
      <c r="I68" s="154"/>
      <c r="J68" s="154"/>
      <c r="K68" s="155"/>
      <c r="L68" s="87">
        <f t="shared" ref="L68:N68" ca="1" si="49">L70+L74</f>
        <v>0</v>
      </c>
      <c r="M68" s="87">
        <f t="shared" ca="1" si="49"/>
        <v>0</v>
      </c>
      <c r="N68" s="87">
        <f t="shared" ca="1" si="49"/>
        <v>0</v>
      </c>
      <c r="O68" s="155">
        <f t="shared" ca="1" si="46"/>
        <v>0</v>
      </c>
      <c r="P68" s="155">
        <f t="shared" ca="1" si="47"/>
        <v>0</v>
      </c>
    </row>
    <row r="69" spans="1:16" ht="21.75" customHeight="1" x14ac:dyDescent="0.3">
      <c r="A69" s="156"/>
      <c r="B69" s="157"/>
      <c r="C69" s="157" t="s">
        <v>16</v>
      </c>
      <c r="D69" s="158" t="s">
        <v>38</v>
      </c>
      <c r="E69" s="159"/>
      <c r="F69" s="159"/>
      <c r="G69" s="160" t="s">
        <v>39</v>
      </c>
      <c r="H69" s="161" t="s">
        <v>12</v>
      </c>
      <c r="I69" s="162" t="s">
        <v>40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3">
      <c r="A70" s="156"/>
      <c r="B70" s="157"/>
      <c r="C70" s="157"/>
      <c r="D70" s="166"/>
      <c r="E70" s="159"/>
      <c r="F70" s="159" t="s">
        <v>40</v>
      </c>
      <c r="G70" s="160" t="s">
        <v>41</v>
      </c>
      <c r="H70" s="161" t="s">
        <v>12</v>
      </c>
      <c r="I70" s="162"/>
      <c r="J70" s="162"/>
      <c r="K70" s="163"/>
      <c r="L70" s="167">
        <f ca="1">L71+L72</f>
        <v>0</v>
      </c>
      <c r="M70" s="167">
        <f ca="1">IFERROR(__xludf.DUMMYFUNCTION("IMPORTRANGE(""https://docs.google.com/spreadsheets/d/1Yj_ptqi66GCucihVvJfMjLAmec39IyEx_6qawtMGysU/edit?usp=sharing"",""สบก!AI27"")"),0)</f>
        <v>0</v>
      </c>
      <c r="N70" s="168">
        <f ca="1">IFERROR(__xludf.DUMMYFUNCTION("IMPORTRANGE(""https://docs.google.com/spreadsheets/d/1Yj_ptqi66GCucihVvJfMjLAmec39IyEx_6qawtMGysU/edit?usp=sharing"",""สบก!AJ27"")"),0)</f>
        <v>0</v>
      </c>
      <c r="O70" s="168">
        <f ca="1">IF(L70&gt;0,N70*100/L70,0)</f>
        <v>0</v>
      </c>
      <c r="P70" s="168">
        <f ca="1">IF(M70&gt;0,N70*100/M70,0)</f>
        <v>0</v>
      </c>
    </row>
    <row r="71" spans="1:16" ht="21.75" customHeight="1" x14ac:dyDescent="0.3">
      <c r="A71" s="156"/>
      <c r="B71" s="157"/>
      <c r="C71" s="157"/>
      <c r="D71" s="166"/>
      <c r="E71" s="159"/>
      <c r="F71" s="159"/>
      <c r="G71" s="169" t="s">
        <v>42</v>
      </c>
      <c r="H71" s="161" t="s">
        <v>12</v>
      </c>
      <c r="I71" s="162"/>
      <c r="J71" s="162"/>
      <c r="K71" s="163"/>
      <c r="L71" s="167">
        <f ca="1">IFERROR(__xludf.DUMMYFUNCTION("IMPORTRANGE(""https://docs.google.com/spreadsheets/d/1Yj_ptqi66GCucihVvJfMjLAmec39IyEx_6qawtMGysU/edit?usp=sharing"",""สบก!AE27"")"),0)</f>
        <v>0</v>
      </c>
      <c r="M71" s="167"/>
      <c r="N71" s="167"/>
      <c r="O71" s="168"/>
      <c r="P71" s="168"/>
    </row>
    <row r="72" spans="1:16" ht="21.75" customHeight="1" x14ac:dyDescent="0.3">
      <c r="A72" s="156"/>
      <c r="B72" s="157"/>
      <c r="C72" s="157"/>
      <c r="D72" s="166"/>
      <c r="E72" s="159"/>
      <c r="F72" s="159"/>
      <c r="G72" s="169" t="s">
        <v>43</v>
      </c>
      <c r="H72" s="161" t="s">
        <v>12</v>
      </c>
      <c r="I72" s="162"/>
      <c r="J72" s="162"/>
      <c r="K72" s="163"/>
      <c r="L72" s="167">
        <f ca="1">IFERROR(__xludf.DUMMYFUNCTION("IMPORTRANGE(""https://docs.google.com/spreadsheets/d/1Yj_ptqi66GCucihVvJfMjLAmec39IyEx_6qawtMGysU/edit?usp=sharing"",""สบก!AF27"")"),0)</f>
        <v>0</v>
      </c>
      <c r="M72" s="167"/>
      <c r="N72" s="167"/>
      <c r="O72" s="168"/>
      <c r="P72" s="168"/>
    </row>
    <row r="73" spans="1:16" ht="21.75" customHeight="1" x14ac:dyDescent="0.45">
      <c r="A73" s="170"/>
      <c r="B73" s="80"/>
      <c r="C73" s="81" t="s">
        <v>16</v>
      </c>
      <c r="D73" s="534" t="s">
        <v>23</v>
      </c>
      <c r="E73" s="530"/>
      <c r="F73" s="88"/>
      <c r="G73" s="82" t="s">
        <v>18</v>
      </c>
      <c r="H73" s="171" t="s">
        <v>12</v>
      </c>
      <c r="I73" s="84"/>
      <c r="J73" s="84"/>
      <c r="K73" s="85"/>
      <c r="L73" s="41">
        <v>0</v>
      </c>
      <c r="M73" s="41"/>
      <c r="N73" s="41"/>
      <c r="O73" s="41"/>
      <c r="P73" s="41"/>
    </row>
    <row r="74" spans="1:16" ht="21.75" customHeight="1" x14ac:dyDescent="0.45">
      <c r="A74" s="172"/>
      <c r="B74" s="91"/>
      <c r="C74" s="91"/>
      <c r="D74" s="173"/>
      <c r="E74" s="92"/>
      <c r="F74" s="92"/>
      <c r="G74" s="93" t="s">
        <v>19</v>
      </c>
      <c r="H74" s="174" t="s">
        <v>12</v>
      </c>
      <c r="I74" s="95"/>
      <c r="J74" s="95"/>
      <c r="K74" s="96"/>
      <c r="L74" s="49">
        <f ca="1">IFERROR(__xludf.DUMMYFUNCTION("IMPORTRANGE(""https://docs.google.com/spreadsheets/d/1Yj_ptqi66GCucihVvJfMjLAmec39IyEx_6qawtMGysU/edit?usp=sharing"",""สบก!AG27"")"),0)</f>
        <v>0</v>
      </c>
      <c r="M74" s="49"/>
      <c r="N74" s="49">
        <f ca="1">IFERROR(__xludf.DUMMYFUNCTION("IMPORTRANGE(""https://docs.google.com/spreadsheets/d/1Yj_ptqi66GCucihVvJfMjLAmec39IyEx_6qawtMGysU/edit?usp=sharing"",""สบก!AK27"")"),0)</f>
        <v>0</v>
      </c>
      <c r="O74" s="49">
        <f ca="1">IF(L74&gt;0,N74*100/L74,0)</f>
        <v>0</v>
      </c>
      <c r="P74" s="49"/>
    </row>
    <row r="75" spans="1:16" ht="21.75" customHeight="1" x14ac:dyDescent="0.3">
      <c r="A75" s="175"/>
      <c r="B75" s="176"/>
      <c r="C75" s="157" t="s">
        <v>16</v>
      </c>
      <c r="D75" s="177" t="s">
        <v>44</v>
      </c>
      <c r="E75" s="178"/>
      <c r="F75" s="178"/>
      <c r="G75" s="179"/>
      <c r="H75" s="180"/>
      <c r="I75" s="162"/>
      <c r="J75" s="162"/>
      <c r="K75" s="163"/>
      <c r="L75" s="181"/>
      <c r="M75" s="181"/>
      <c r="N75" s="181"/>
      <c r="O75" s="181"/>
      <c r="P75" s="181"/>
    </row>
    <row r="76" spans="1:16" ht="21.75" customHeight="1" x14ac:dyDescent="0.3">
      <c r="A76" s="175"/>
      <c r="B76" s="176"/>
      <c r="C76" s="176"/>
      <c r="D76" s="182">
        <v>1</v>
      </c>
      <c r="E76" s="183" t="s">
        <v>45</v>
      </c>
      <c r="F76" s="184"/>
      <c r="G76" s="185"/>
      <c r="H76" s="186"/>
      <c r="I76" s="187"/>
      <c r="J76" s="188">
        <f ca="1">IFERROR(__xludf.DUMMYFUNCTION("IMPORTRANGE(""https://docs.google.com/spreadsheets/d/11923uPwbBZFjjGgGUA6NLw09EwE0CqkOc4q9oUmW1yo/edit?usp=sharing"",""พิจิตร!J16"")"),0)</f>
        <v>0</v>
      </c>
      <c r="K76" s="163"/>
      <c r="L76" s="181"/>
      <c r="M76" s="181"/>
      <c r="N76" s="181"/>
      <c r="O76" s="181"/>
      <c r="P76" s="181"/>
    </row>
    <row r="77" spans="1:16" ht="21.75" customHeight="1" x14ac:dyDescent="0.3">
      <c r="A77" s="175"/>
      <c r="B77" s="176"/>
      <c r="C77" s="176"/>
      <c r="D77" s="189">
        <v>2</v>
      </c>
      <c r="E77" s="190" t="s">
        <v>46</v>
      </c>
      <c r="F77" s="191"/>
      <c r="G77" s="192"/>
      <c r="H77" s="186"/>
      <c r="I77" s="187"/>
      <c r="J77" s="188">
        <f ca="1">IFERROR(__xludf.DUMMYFUNCTION("IMPORTRANGE(""https://docs.google.com/spreadsheets/d/11923uPwbBZFjjGgGUA6NLw09EwE0CqkOc4q9oUmW1yo/edit?usp=sharing"",""พิจิตร!J17"")"),0)</f>
        <v>0</v>
      </c>
      <c r="K77" s="163"/>
      <c r="L77" s="181" t="s">
        <v>40</v>
      </c>
      <c r="M77" s="181"/>
      <c r="N77" s="181" t="s">
        <v>40</v>
      </c>
      <c r="O77" s="181"/>
      <c r="P77" s="181"/>
    </row>
    <row r="78" spans="1:16" ht="21.75" customHeight="1" x14ac:dyDescent="0.3">
      <c r="A78" s="175"/>
      <c r="B78" s="176"/>
      <c r="C78" s="176"/>
      <c r="D78" s="193"/>
      <c r="E78" s="194" t="s">
        <v>47</v>
      </c>
      <c r="F78" s="195"/>
      <c r="G78" s="196"/>
      <c r="H78" s="186"/>
      <c r="I78" s="187"/>
      <c r="J78" s="188">
        <f ca="1">IFERROR(__xludf.DUMMYFUNCTION("IMPORTRANGE(""https://docs.google.com/spreadsheets/d/11923uPwbBZFjjGgGUA6NLw09EwE0CqkOc4q9oUmW1yo/edit?usp=sharing"",""พิจิตร!J18"")"),0)</f>
        <v>0</v>
      </c>
      <c r="K78" s="163"/>
      <c r="L78" s="181"/>
      <c r="M78" s="181"/>
      <c r="N78" s="181"/>
      <c r="O78" s="181"/>
      <c r="P78" s="181"/>
    </row>
    <row r="79" spans="1:16" ht="21.75" customHeight="1" x14ac:dyDescent="0.3">
      <c r="A79" s="175"/>
      <c r="B79" s="176"/>
      <c r="C79" s="176"/>
      <c r="D79" s="193"/>
      <c r="E79" s="194" t="s">
        <v>48</v>
      </c>
      <c r="F79" s="195"/>
      <c r="G79" s="196"/>
      <c r="H79" s="186"/>
      <c r="I79" s="187"/>
      <c r="J79" s="197">
        <f ca="1">IFERROR(__xludf.DUMMYFUNCTION("IMPORTRANGE(""https://docs.google.com/spreadsheets/d/11923uPwbBZFjjGgGUA6NLw09EwE0CqkOc4q9oUmW1yo/edit?usp=sharing"",""พิจิตร!J19"")"),0)</f>
        <v>0</v>
      </c>
      <c r="K79" s="163"/>
      <c r="L79" s="181"/>
      <c r="M79" s="181"/>
      <c r="N79" s="181"/>
      <c r="O79" s="181"/>
      <c r="P79" s="181"/>
    </row>
    <row r="80" spans="1:16" ht="21.75" customHeight="1" x14ac:dyDescent="0.3">
      <c r="A80" s="175"/>
      <c r="B80" s="176"/>
      <c r="C80" s="176"/>
      <c r="D80" s="193"/>
      <c r="E80" s="198"/>
      <c r="F80" s="194" t="s">
        <v>49</v>
      </c>
      <c r="G80" s="195"/>
      <c r="H80" s="199" t="s">
        <v>36</v>
      </c>
      <c r="I80" s="200">
        <f ca="1">IFERROR(__xludf.DUMMYFUNCTION("IMPORTRANGE(""https://docs.google.com/spreadsheets/d/11923uPwbBZFjjGgGUA6NLw09EwE0CqkOc4q9oUmW1yo/edit?usp=sharing"",""พิจิตร!I20"")"),0)</f>
        <v>0</v>
      </c>
      <c r="J80" s="200">
        <f ca="1">IFERROR(__xludf.DUMMYFUNCTION("IMPORTRANGE(""https://docs.google.com/spreadsheets/d/11923uPwbBZFjjGgGUA6NLw09EwE0CqkOc4q9oUmW1yo/edit?usp=sharing"",""พิจิตร!J20"")"),0)</f>
        <v>0</v>
      </c>
      <c r="K80" s="201">
        <f t="shared" ref="K80:K88" ca="1" si="50">IF(I80&gt;0,J80*100/I80,0)</f>
        <v>0</v>
      </c>
      <c r="L80" s="181"/>
      <c r="M80" s="181"/>
      <c r="N80" s="181"/>
      <c r="O80" s="181"/>
      <c r="P80" s="181"/>
    </row>
    <row r="81" spans="1:16" ht="21.75" customHeight="1" x14ac:dyDescent="0.3">
      <c r="A81" s="175"/>
      <c r="B81" s="176"/>
      <c r="C81" s="176"/>
      <c r="D81" s="193"/>
      <c r="E81" s="198"/>
      <c r="F81" s="195"/>
      <c r="G81" s="196"/>
      <c r="H81" s="199" t="s">
        <v>37</v>
      </c>
      <c r="I81" s="200">
        <f ca="1">IFERROR(__xludf.DUMMYFUNCTION("IMPORTRANGE(""https://docs.google.com/spreadsheets/d/11923uPwbBZFjjGgGUA6NLw09EwE0CqkOc4q9oUmW1yo/edit?usp=sharing"",""พิจิตร!I21"")"),0)</f>
        <v>0</v>
      </c>
      <c r="J81" s="200">
        <f ca="1">IFERROR(__xludf.DUMMYFUNCTION("IMPORTRANGE(""https://docs.google.com/spreadsheets/d/11923uPwbBZFjjGgGUA6NLw09EwE0CqkOc4q9oUmW1yo/edit?usp=sharing"",""พิจิตร!J21"")"),0)</f>
        <v>0</v>
      </c>
      <c r="K81" s="201">
        <f t="shared" ca="1" si="50"/>
        <v>0</v>
      </c>
      <c r="L81" s="181"/>
      <c r="M81" s="181"/>
      <c r="N81" s="181"/>
      <c r="O81" s="181"/>
      <c r="P81" s="181"/>
    </row>
    <row r="82" spans="1:16" ht="21.75" customHeight="1" x14ac:dyDescent="0.3">
      <c r="A82" s="175"/>
      <c r="B82" s="176"/>
      <c r="C82" s="176"/>
      <c r="D82" s="193"/>
      <c r="E82" s="198"/>
      <c r="F82" s="195"/>
      <c r="G82" s="195" t="s">
        <v>50</v>
      </c>
      <c r="H82" s="180" t="s">
        <v>36</v>
      </c>
      <c r="I82" s="202">
        <f ca="1">IFERROR(__xludf.DUMMYFUNCTION("IMPORTRANGE(""https://docs.google.com/spreadsheets/d/11923uPwbBZFjjGgGUA6NLw09EwE0CqkOc4q9oUmW1yo/edit?usp=sharing"",""พิจิตร!I22"")"),0)</f>
        <v>0</v>
      </c>
      <c r="J82" s="203">
        <f ca="1">IFERROR(__xludf.DUMMYFUNCTION("IMPORTRANGE(""https://docs.google.com/spreadsheets/d/11923uPwbBZFjjGgGUA6NLw09EwE0CqkOc4q9oUmW1yo/edit?usp=sharing"",""พิจิตร!J22"")"),0)</f>
        <v>0</v>
      </c>
      <c r="K82" s="163">
        <f t="shared" ca="1" si="50"/>
        <v>0</v>
      </c>
      <c r="L82" s="181"/>
      <c r="M82" s="181"/>
      <c r="N82" s="181"/>
      <c r="O82" s="181"/>
      <c r="P82" s="181"/>
    </row>
    <row r="83" spans="1:16" ht="21.75" customHeight="1" x14ac:dyDescent="0.3">
      <c r="A83" s="175"/>
      <c r="B83" s="176"/>
      <c r="C83" s="176"/>
      <c r="D83" s="193"/>
      <c r="E83" s="198"/>
      <c r="F83" s="195"/>
      <c r="G83" s="196"/>
      <c r="H83" s="180" t="s">
        <v>37</v>
      </c>
      <c r="I83" s="202">
        <f ca="1">IFERROR(__xludf.DUMMYFUNCTION("IMPORTRANGE(""https://docs.google.com/spreadsheets/d/11923uPwbBZFjjGgGUA6NLw09EwE0CqkOc4q9oUmW1yo/edit?usp=sharing"",""พิจิตร!I23"")"),0)</f>
        <v>0</v>
      </c>
      <c r="J83" s="203">
        <f ca="1">IFERROR(__xludf.DUMMYFUNCTION("IMPORTRANGE(""https://docs.google.com/spreadsheets/d/11923uPwbBZFjjGgGUA6NLw09EwE0CqkOc4q9oUmW1yo/edit?usp=sharing"",""พิจิตร!J23"")"),0)</f>
        <v>0</v>
      </c>
      <c r="K83" s="163">
        <f t="shared" ca="1" si="50"/>
        <v>0</v>
      </c>
      <c r="L83" s="181"/>
      <c r="M83" s="181"/>
      <c r="N83" s="181"/>
      <c r="O83" s="181"/>
      <c r="P83" s="181"/>
    </row>
    <row r="84" spans="1:16" ht="21.75" customHeight="1" x14ac:dyDescent="0.3">
      <c r="A84" s="175"/>
      <c r="B84" s="176"/>
      <c r="C84" s="176"/>
      <c r="D84" s="193"/>
      <c r="E84" s="198"/>
      <c r="F84" s="195"/>
      <c r="G84" s="195" t="s">
        <v>51</v>
      </c>
      <c r="H84" s="180" t="s">
        <v>36</v>
      </c>
      <c r="I84" s="202">
        <f ca="1">IFERROR(__xludf.DUMMYFUNCTION("IMPORTRANGE(""https://docs.google.com/spreadsheets/d/11923uPwbBZFjjGgGUA6NLw09EwE0CqkOc4q9oUmW1yo/edit?usp=sharing"",""พิจิตร!I24"")"),0)</f>
        <v>0</v>
      </c>
      <c r="J84" s="188">
        <f ca="1">IFERROR(__xludf.DUMMYFUNCTION("IMPORTRANGE(""https://docs.google.com/spreadsheets/d/11923uPwbBZFjjGgGUA6NLw09EwE0CqkOc4q9oUmW1yo/edit?usp=sharing"",""พิจิตร!J24"")"),0)</f>
        <v>0</v>
      </c>
      <c r="K84" s="163">
        <f t="shared" ca="1" si="50"/>
        <v>0</v>
      </c>
      <c r="L84" s="181"/>
      <c r="M84" s="181"/>
      <c r="N84" s="181"/>
      <c r="O84" s="181"/>
      <c r="P84" s="181"/>
    </row>
    <row r="85" spans="1:16" ht="21.75" customHeight="1" x14ac:dyDescent="0.3">
      <c r="A85" s="175"/>
      <c r="B85" s="176"/>
      <c r="C85" s="176"/>
      <c r="D85" s="193"/>
      <c r="E85" s="198"/>
      <c r="F85" s="195"/>
      <c r="G85" s="196"/>
      <c r="H85" s="180" t="s">
        <v>37</v>
      </c>
      <c r="I85" s="202">
        <f ca="1">IFERROR(__xludf.DUMMYFUNCTION("IMPORTRANGE(""https://docs.google.com/spreadsheets/d/11923uPwbBZFjjGgGUA6NLw09EwE0CqkOc4q9oUmW1yo/edit?usp=sharing"",""พิจิตร!I25"")"),0)</f>
        <v>0</v>
      </c>
      <c r="J85" s="188">
        <f ca="1">IFERROR(__xludf.DUMMYFUNCTION("IMPORTRANGE(""https://docs.google.com/spreadsheets/d/11923uPwbBZFjjGgGUA6NLw09EwE0CqkOc4q9oUmW1yo/edit?usp=sharing"",""พิจิตร!J25"")"),0)</f>
        <v>0</v>
      </c>
      <c r="K85" s="163">
        <f t="shared" ca="1" si="50"/>
        <v>0</v>
      </c>
      <c r="L85" s="181"/>
      <c r="M85" s="181"/>
      <c r="N85" s="181"/>
      <c r="O85" s="181"/>
      <c r="P85" s="181"/>
    </row>
    <row r="86" spans="1:16" ht="21.75" customHeight="1" x14ac:dyDescent="0.3">
      <c r="A86" s="175"/>
      <c r="B86" s="176"/>
      <c r="C86" s="176"/>
      <c r="D86" s="193"/>
      <c r="E86" s="198"/>
      <c r="F86" s="195"/>
      <c r="G86" s="195" t="s">
        <v>52</v>
      </c>
      <c r="H86" s="180" t="s">
        <v>36</v>
      </c>
      <c r="I86" s="202">
        <f ca="1">IFERROR(__xludf.DUMMYFUNCTION("IMPORTRANGE(""https://docs.google.com/spreadsheets/d/11923uPwbBZFjjGgGUA6NLw09EwE0CqkOc4q9oUmW1yo/edit?usp=sharing"",""พิจิตร!I26"")"),0)</f>
        <v>0</v>
      </c>
      <c r="J86" s="203">
        <f ca="1">IFERROR(__xludf.DUMMYFUNCTION("IMPORTRANGE(""https://docs.google.com/spreadsheets/d/11923uPwbBZFjjGgGUA6NLw09EwE0CqkOc4q9oUmW1yo/edit?usp=sharing"",""พิจิตร!J26"")"),0)</f>
        <v>0</v>
      </c>
      <c r="K86" s="163">
        <f t="shared" ca="1" si="50"/>
        <v>0</v>
      </c>
      <c r="L86" s="181"/>
      <c r="M86" s="181"/>
      <c r="N86" s="181"/>
      <c r="O86" s="181"/>
      <c r="P86" s="181"/>
    </row>
    <row r="87" spans="1:16" ht="21.75" customHeight="1" x14ac:dyDescent="0.3">
      <c r="A87" s="175"/>
      <c r="B87" s="176"/>
      <c r="C87" s="176"/>
      <c r="D87" s="193"/>
      <c r="E87" s="198"/>
      <c r="F87" s="195"/>
      <c r="G87" s="196"/>
      <c r="H87" s="180" t="s">
        <v>37</v>
      </c>
      <c r="I87" s="202">
        <f ca="1">IFERROR(__xludf.DUMMYFUNCTION("IMPORTRANGE(""https://docs.google.com/spreadsheets/d/11923uPwbBZFjjGgGUA6NLw09EwE0CqkOc4q9oUmW1yo/edit?usp=sharing"",""พิจิตร!I27"")"),0)</f>
        <v>0</v>
      </c>
      <c r="J87" s="203">
        <f ca="1">IFERROR(__xludf.DUMMYFUNCTION("IMPORTRANGE(""https://docs.google.com/spreadsheets/d/11923uPwbBZFjjGgGUA6NLw09EwE0CqkOc4q9oUmW1yo/edit?usp=sharing"",""พิจิตร!J27"")"),0)</f>
        <v>0</v>
      </c>
      <c r="K87" s="163">
        <f t="shared" ca="1" si="50"/>
        <v>0</v>
      </c>
      <c r="L87" s="181"/>
      <c r="M87" s="181"/>
      <c r="N87" s="181"/>
      <c r="O87" s="181"/>
      <c r="P87" s="181"/>
    </row>
    <row r="88" spans="1:16" ht="21.75" customHeight="1" x14ac:dyDescent="0.3">
      <c r="A88" s="175"/>
      <c r="B88" s="176"/>
      <c r="C88" s="176"/>
      <c r="D88" s="193"/>
      <c r="E88" s="198"/>
      <c r="F88" s="204" t="s">
        <v>53</v>
      </c>
      <c r="G88" s="195"/>
      <c r="H88" s="180" t="s">
        <v>37</v>
      </c>
      <c r="I88" s="202">
        <f ca="1">IFERROR(__xludf.DUMMYFUNCTION("IMPORTRANGE(""https://docs.google.com/spreadsheets/d/11923uPwbBZFjjGgGUA6NLw09EwE0CqkOc4q9oUmW1yo/edit?usp=sharing"",""พิจิตร!I28"")"),0)</f>
        <v>0</v>
      </c>
      <c r="J88" s="203">
        <f ca="1">IFERROR(__xludf.DUMMYFUNCTION("IMPORTRANGE(""https://docs.google.com/spreadsheets/d/11923uPwbBZFjjGgGUA6NLw09EwE0CqkOc4q9oUmW1yo/edit?usp=sharing"",""พิจิตร!J28"")"),0)</f>
        <v>0</v>
      </c>
      <c r="K88" s="163">
        <f t="shared" ca="1" si="50"/>
        <v>0</v>
      </c>
      <c r="L88" s="181"/>
      <c r="M88" s="181"/>
      <c r="N88" s="181"/>
      <c r="O88" s="181"/>
      <c r="P88" s="181"/>
    </row>
    <row r="89" spans="1:16" ht="21.75" customHeight="1" x14ac:dyDescent="0.3">
      <c r="A89" s="175"/>
      <c r="B89" s="176"/>
      <c r="C89" s="176"/>
      <c r="D89" s="193"/>
      <c r="E89" s="194" t="s">
        <v>54</v>
      </c>
      <c r="F89" s="195"/>
      <c r="G89" s="196"/>
      <c r="H89" s="186"/>
      <c r="I89" s="187"/>
      <c r="J89" s="197">
        <f ca="1">IFERROR(__xludf.DUMMYFUNCTION("IMPORTRANGE(""https://docs.google.com/spreadsheets/d/11923uPwbBZFjjGgGUA6NLw09EwE0CqkOc4q9oUmW1yo/edit?usp=sharing"",""พิจิตร!J29"")"),0)</f>
        <v>0</v>
      </c>
      <c r="K89" s="163"/>
      <c r="L89" s="181"/>
      <c r="M89" s="181"/>
      <c r="N89" s="181"/>
      <c r="O89" s="181"/>
      <c r="P89" s="181"/>
    </row>
    <row r="90" spans="1:16" ht="21.75" customHeight="1" x14ac:dyDescent="0.3">
      <c r="A90" s="175"/>
      <c r="B90" s="176"/>
      <c r="C90" s="176"/>
      <c r="D90" s="205">
        <v>3</v>
      </c>
      <c r="E90" s="206" t="s">
        <v>55</v>
      </c>
      <c r="F90" s="207"/>
      <c r="G90" s="208"/>
      <c r="H90" s="186"/>
      <c r="I90" s="187"/>
      <c r="J90" s="209">
        <f ca="1">IFERROR(__xludf.DUMMYFUNCTION("IMPORTRANGE(""https://docs.google.com/spreadsheets/d/11923uPwbBZFjjGgGUA6NLw09EwE0CqkOc4q9oUmW1yo/edit?usp=sharing"",""พิจิตร!J30"")"),0)</f>
        <v>0</v>
      </c>
      <c r="K90" s="163"/>
      <c r="L90" s="181"/>
      <c r="M90" s="181"/>
      <c r="N90" s="181"/>
      <c r="O90" s="181"/>
      <c r="P90" s="181"/>
    </row>
    <row r="91" spans="1:16" ht="21.75" customHeight="1" x14ac:dyDescent="0.3">
      <c r="A91" s="210" t="s">
        <v>56</v>
      </c>
      <c r="B91" s="211"/>
      <c r="C91" s="212"/>
      <c r="D91" s="211"/>
      <c r="E91" s="213"/>
      <c r="F91" s="213"/>
      <c r="G91" s="214"/>
      <c r="H91" s="215"/>
      <c r="I91" s="216"/>
      <c r="J91" s="216"/>
      <c r="K91" s="217"/>
      <c r="L91" s="218"/>
      <c r="M91" s="218"/>
      <c r="N91" s="218"/>
      <c r="O91" s="219"/>
      <c r="P91" s="219"/>
    </row>
    <row r="92" spans="1:16" ht="21.75" customHeight="1" x14ac:dyDescent="0.3">
      <c r="A92" s="137"/>
      <c r="B92" s="138" t="s">
        <v>57</v>
      </c>
      <c r="C92" s="138"/>
      <c r="D92" s="139"/>
      <c r="E92" s="138"/>
      <c r="F92" s="138"/>
      <c r="G92" s="220"/>
      <c r="H92" s="140" t="s">
        <v>37</v>
      </c>
      <c r="I92" s="141">
        <f ca="1">IFERROR(__xludf.DUMMYFUNCTION("IMPORTRANGE(""https://docs.google.com/spreadsheets/d/11923uPwbBZFjjGgGUA6NLw09EwE0CqkOc4q9oUmW1yo/edit?usp=sharing"",""พิจิตร!I32"")"),0)</f>
        <v>0</v>
      </c>
      <c r="J92" s="141">
        <f ca="1">IFERROR(__xludf.DUMMYFUNCTION("IMPORTRANGE(""https://docs.google.com/spreadsheets/d/11923uPwbBZFjjGgGUA6NLw09EwE0CqkOc4q9oUmW1yo/edit?usp=sharing"",""พิจิตร!J32"")"),0)</f>
        <v>0</v>
      </c>
      <c r="K92" s="142">
        <f t="shared" ref="K92:K93" ca="1" si="51">IF(I92&gt;0,J92*100/I92,0)</f>
        <v>0</v>
      </c>
      <c r="L92" s="221"/>
      <c r="M92" s="221"/>
      <c r="N92" s="222"/>
      <c r="O92" s="142"/>
      <c r="P92" s="142"/>
    </row>
    <row r="93" spans="1:16" ht="21.75" customHeight="1" x14ac:dyDescent="0.3">
      <c r="A93" s="137"/>
      <c r="B93" s="138"/>
      <c r="C93" s="138"/>
      <c r="D93" s="139" t="s">
        <v>58</v>
      </c>
      <c r="E93" s="138"/>
      <c r="F93" s="138"/>
      <c r="G93" s="220"/>
      <c r="H93" s="140" t="s">
        <v>59</v>
      </c>
      <c r="I93" s="141">
        <f ca="1">IFERROR(__xludf.DUMMYFUNCTION("IMPORTRANGE(""https://docs.google.com/spreadsheets/d/11923uPwbBZFjjGgGUA6NLw09EwE0CqkOc4q9oUmW1yo/edit?usp=sharing"",""พิจิตร!I33"")"),0)</f>
        <v>0</v>
      </c>
      <c r="J93" s="141">
        <f ca="1">IFERROR(__xludf.DUMMYFUNCTION("IMPORTRANGE(""https://docs.google.com/spreadsheets/d/11923uPwbBZFjjGgGUA6NLw09EwE0CqkOc4q9oUmW1yo/edit?usp=sharing"",""พิจิตร!J33"")"),0)</f>
        <v>0</v>
      </c>
      <c r="K93" s="142">
        <f t="shared" ca="1" si="51"/>
        <v>0</v>
      </c>
      <c r="L93" s="222"/>
      <c r="M93" s="222"/>
      <c r="N93" s="222"/>
      <c r="O93" s="142"/>
      <c r="P93" s="142"/>
    </row>
    <row r="94" spans="1:16" ht="21.75" customHeight="1" x14ac:dyDescent="0.45">
      <c r="A94" s="145"/>
      <c r="B94" s="146"/>
      <c r="C94" s="147" t="s">
        <v>16</v>
      </c>
      <c r="D94" s="537" t="s">
        <v>17</v>
      </c>
      <c r="E94" s="528"/>
      <c r="F94" s="528"/>
      <c r="G94" s="528"/>
      <c r="H94" s="148" t="s">
        <v>12</v>
      </c>
      <c r="I94" s="162"/>
      <c r="J94" s="162"/>
      <c r="K94" s="163"/>
      <c r="L94" s="151">
        <f t="shared" ref="L94:N94" ca="1" si="52">L95+L96</f>
        <v>0</v>
      </c>
      <c r="M94" s="151">
        <f t="shared" ca="1" si="52"/>
        <v>0</v>
      </c>
      <c r="N94" s="151">
        <f t="shared" ca="1" si="52"/>
        <v>0</v>
      </c>
      <c r="O94" s="150">
        <f t="shared" ref="O94:O96" ca="1" si="53">IF(L94&gt;0,N94*100/L94,0)</f>
        <v>0</v>
      </c>
      <c r="P94" s="150">
        <f t="shared" ref="P94:P96" ca="1" si="54">IF(M94&gt;0,N94*100/M94,0)</f>
        <v>0</v>
      </c>
    </row>
    <row r="95" spans="1:16" ht="21.75" customHeight="1" x14ac:dyDescent="0.45">
      <c r="A95" s="152"/>
      <c r="B95" s="32"/>
      <c r="C95" s="32"/>
      <c r="D95" s="32"/>
      <c r="E95" s="32"/>
      <c r="F95" s="32"/>
      <c r="G95" s="33" t="s">
        <v>18</v>
      </c>
      <c r="H95" s="153" t="s">
        <v>12</v>
      </c>
      <c r="I95" s="162"/>
      <c r="J95" s="162"/>
      <c r="K95" s="163"/>
      <c r="L95" s="87">
        <f t="shared" ref="L95:N95" si="55">L97+L101</f>
        <v>0</v>
      </c>
      <c r="M95" s="87">
        <f t="shared" si="55"/>
        <v>0</v>
      </c>
      <c r="N95" s="87">
        <f t="shared" si="55"/>
        <v>0</v>
      </c>
      <c r="O95" s="155">
        <f t="shared" si="53"/>
        <v>0</v>
      </c>
      <c r="P95" s="155">
        <f t="shared" si="54"/>
        <v>0</v>
      </c>
    </row>
    <row r="96" spans="1:16" ht="21.75" customHeight="1" x14ac:dyDescent="0.45">
      <c r="A96" s="152"/>
      <c r="B96" s="32"/>
      <c r="C96" s="32"/>
      <c r="D96" s="32"/>
      <c r="E96" s="32"/>
      <c r="F96" s="32"/>
      <c r="G96" s="33" t="s">
        <v>19</v>
      </c>
      <c r="H96" s="153" t="s">
        <v>12</v>
      </c>
      <c r="I96" s="162"/>
      <c r="J96" s="162"/>
      <c r="K96" s="163"/>
      <c r="L96" s="87">
        <f t="shared" ref="L96:N96" ca="1" si="56">L98+L102</f>
        <v>0</v>
      </c>
      <c r="M96" s="87">
        <f t="shared" ca="1" si="56"/>
        <v>0</v>
      </c>
      <c r="N96" s="87">
        <f t="shared" ca="1" si="56"/>
        <v>0</v>
      </c>
      <c r="O96" s="155">
        <f t="shared" ca="1" si="53"/>
        <v>0</v>
      </c>
      <c r="P96" s="155">
        <f t="shared" ca="1" si="54"/>
        <v>0</v>
      </c>
    </row>
    <row r="97" spans="1:16" ht="21.75" customHeight="1" x14ac:dyDescent="0.3">
      <c r="A97" s="156"/>
      <c r="B97" s="157"/>
      <c r="C97" s="157" t="s">
        <v>16</v>
      </c>
      <c r="D97" s="158" t="s">
        <v>38</v>
      </c>
      <c r="E97" s="159"/>
      <c r="F97" s="159"/>
      <c r="G97" s="160" t="s">
        <v>39</v>
      </c>
      <c r="H97" s="161" t="s">
        <v>12</v>
      </c>
      <c r="I97" s="162" t="s">
        <v>40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3">
      <c r="A98" s="156"/>
      <c r="B98" s="157"/>
      <c r="C98" s="157"/>
      <c r="D98" s="166"/>
      <c r="E98" s="159"/>
      <c r="F98" s="159" t="s">
        <v>40</v>
      </c>
      <c r="G98" s="160" t="s">
        <v>41</v>
      </c>
      <c r="H98" s="161" t="s">
        <v>12</v>
      </c>
      <c r="I98" s="162"/>
      <c r="J98" s="162"/>
      <c r="K98" s="163"/>
      <c r="L98" s="167">
        <f ca="1">L99+L100</f>
        <v>0</v>
      </c>
      <c r="M98" s="167">
        <f ca="1">IFERROR(__xludf.DUMMYFUNCTION("IMPORTRANGE(""https://docs.google.com/spreadsheets/d/1Yj_ptqi66GCucihVvJfMjLAmec39IyEx_6qawtMGysU/edit?usp=sharing"",""สบก!AR27"")"),0)</f>
        <v>0</v>
      </c>
      <c r="N98" s="168">
        <f ca="1">IFERROR(__xludf.DUMMYFUNCTION("IMPORTRANGE(""https://docs.google.com/spreadsheets/d/1Yj_ptqi66GCucihVvJfMjLAmec39IyEx_6qawtMGysU/edit?usp=sharing"",""สบก!AS27"")"),0)</f>
        <v>0</v>
      </c>
      <c r="O98" s="168">
        <f ca="1">IF(L98&gt;0,N98*100/L98,0)</f>
        <v>0</v>
      </c>
      <c r="P98" s="168">
        <f ca="1">IF(M98&gt;0,N98*100/M98,0)</f>
        <v>0</v>
      </c>
    </row>
    <row r="99" spans="1:16" ht="21.75" customHeight="1" x14ac:dyDescent="0.3">
      <c r="A99" s="156"/>
      <c r="B99" s="157"/>
      <c r="C99" s="157"/>
      <c r="D99" s="166"/>
      <c r="E99" s="159"/>
      <c r="F99" s="159"/>
      <c r="G99" s="169" t="s">
        <v>42</v>
      </c>
      <c r="H99" s="161" t="s">
        <v>12</v>
      </c>
      <c r="I99" s="162"/>
      <c r="J99" s="162"/>
      <c r="K99" s="163"/>
      <c r="L99" s="167">
        <f ca="1">IFERROR(__xludf.DUMMYFUNCTION("IMPORTRANGE(""https://docs.google.com/spreadsheets/d/1Yj_ptqi66GCucihVvJfMjLAmec39IyEx_6qawtMGysU/edit?usp=sharing"",""สบก!AN27"")"),0)</f>
        <v>0</v>
      </c>
      <c r="M99" s="167"/>
      <c r="N99" s="167"/>
      <c r="O99" s="168"/>
      <c r="P99" s="168"/>
    </row>
    <row r="100" spans="1:16" ht="21.75" customHeight="1" x14ac:dyDescent="0.3">
      <c r="A100" s="156"/>
      <c r="B100" s="157"/>
      <c r="C100" s="157"/>
      <c r="D100" s="166"/>
      <c r="E100" s="159"/>
      <c r="F100" s="159"/>
      <c r="G100" s="169" t="s">
        <v>43</v>
      </c>
      <c r="H100" s="161" t="s">
        <v>12</v>
      </c>
      <c r="I100" s="162"/>
      <c r="J100" s="187"/>
      <c r="K100" s="223"/>
      <c r="L100" s="167">
        <f ca="1">IFERROR(__xludf.DUMMYFUNCTION("IMPORTRANGE(""https://docs.google.com/spreadsheets/d/1Yj_ptqi66GCucihVvJfMjLAmec39IyEx_6qawtMGysU/edit?usp=sharing"",""สบก!AO27"")"),0)</f>
        <v>0</v>
      </c>
      <c r="M100" s="167"/>
      <c r="N100" s="167"/>
      <c r="O100" s="168"/>
      <c r="P100" s="168"/>
    </row>
    <row r="101" spans="1:16" ht="21.75" customHeight="1" x14ac:dyDescent="0.45">
      <c r="A101" s="170"/>
      <c r="B101" s="80"/>
      <c r="C101" s="81" t="s">
        <v>16</v>
      </c>
      <c r="D101" s="534" t="s">
        <v>23</v>
      </c>
      <c r="E101" s="530"/>
      <c r="F101" s="88"/>
      <c r="G101" s="82" t="s">
        <v>18</v>
      </c>
      <c r="H101" s="171" t="s">
        <v>12</v>
      </c>
      <c r="I101" s="187"/>
      <c r="J101" s="187"/>
      <c r="K101" s="223"/>
      <c r="L101" s="41">
        <v>0</v>
      </c>
      <c r="M101" s="41"/>
      <c r="N101" s="41"/>
      <c r="O101" s="41"/>
      <c r="P101" s="41"/>
    </row>
    <row r="102" spans="1:16" ht="21.75" customHeight="1" x14ac:dyDescent="0.45">
      <c r="A102" s="172"/>
      <c r="B102" s="91"/>
      <c r="C102" s="91"/>
      <c r="D102" s="173"/>
      <c r="E102" s="92"/>
      <c r="F102" s="92"/>
      <c r="G102" s="93" t="s">
        <v>19</v>
      </c>
      <c r="H102" s="174" t="s">
        <v>12</v>
      </c>
      <c r="I102" s="187"/>
      <c r="J102" s="187"/>
      <c r="K102" s="223"/>
      <c r="L102" s="49">
        <f ca="1">IFERROR(__xludf.DUMMYFUNCTION("IMPORTRANGE(""https://docs.google.com/spreadsheets/d/1Yj_ptqi66GCucihVvJfMjLAmec39IyEx_6qawtMGysU/edit?usp=sharing"",""สบก!AP27"")"),0)</f>
        <v>0</v>
      </c>
      <c r="M102" s="49"/>
      <c r="N102" s="49">
        <f ca="1">IFERROR(__xludf.DUMMYFUNCTION("IMPORTRANGE(""https://docs.google.com/spreadsheets/d/1Yj_ptqi66GCucihVvJfMjLAmec39IyEx_6qawtMGysU/edit?usp=sharing"",""สบก!AT27"")"),0)</f>
        <v>0</v>
      </c>
      <c r="O102" s="49">
        <f ca="1">IF(L102&gt;0,N102*100/L102,0)</f>
        <v>0</v>
      </c>
      <c r="P102" s="49"/>
    </row>
    <row r="103" spans="1:16" ht="21.75" customHeight="1" x14ac:dyDescent="0.3">
      <c r="A103" s="175"/>
      <c r="B103" s="176"/>
      <c r="C103" s="157" t="s">
        <v>16</v>
      </c>
      <c r="D103" s="177" t="s">
        <v>44</v>
      </c>
      <c r="E103" s="178"/>
      <c r="F103" s="178"/>
      <c r="G103" s="179"/>
      <c r="H103" s="180"/>
      <c r="I103" s="162"/>
      <c r="J103" s="187"/>
      <c r="K103" s="223"/>
      <c r="L103" s="168"/>
      <c r="M103" s="168"/>
      <c r="N103" s="168"/>
      <c r="O103" s="181"/>
      <c r="P103" s="181"/>
    </row>
    <row r="104" spans="1:16" ht="21.75" customHeight="1" x14ac:dyDescent="0.3">
      <c r="A104" s="175"/>
      <c r="B104" s="176"/>
      <c r="C104" s="176"/>
      <c r="D104" s="182">
        <v>1</v>
      </c>
      <c r="E104" s="183" t="s">
        <v>45</v>
      </c>
      <c r="F104" s="184"/>
      <c r="G104" s="185"/>
      <c r="H104" s="186"/>
      <c r="I104" s="187"/>
      <c r="J104" s="187">
        <f ca="1">IFERROR(__xludf.DUMMYFUNCTION("IMPORTRANGE(""https://docs.google.com/spreadsheets/d/11923uPwbBZFjjGgGUA6NLw09EwE0CqkOc4q9oUmW1yo/edit?usp=sharing"",""พิจิตร!J39"")"),0)</f>
        <v>0</v>
      </c>
      <c r="K104" s="223"/>
      <c r="L104" s="168"/>
      <c r="M104" s="168"/>
      <c r="N104" s="168"/>
      <c r="O104" s="181"/>
      <c r="P104" s="181"/>
    </row>
    <row r="105" spans="1:16" ht="21.75" customHeight="1" x14ac:dyDescent="0.3">
      <c r="A105" s="175"/>
      <c r="B105" s="176"/>
      <c r="C105" s="176"/>
      <c r="D105" s="189">
        <v>2</v>
      </c>
      <c r="E105" s="190" t="s">
        <v>46</v>
      </c>
      <c r="F105" s="191"/>
      <c r="G105" s="192"/>
      <c r="H105" s="186"/>
      <c r="I105" s="187"/>
      <c r="J105" s="187">
        <f ca="1">IFERROR(__xludf.DUMMYFUNCTION("IMPORTRANGE(""https://docs.google.com/spreadsheets/d/11923uPwbBZFjjGgGUA6NLw09EwE0CqkOc4q9oUmW1yo/edit?usp=sharing"",""พิจิตร!J40"")"),0)</f>
        <v>0</v>
      </c>
      <c r="K105" s="223"/>
      <c r="L105" s="168" t="s">
        <v>40</v>
      </c>
      <c r="M105" s="168"/>
      <c r="N105" s="168" t="s">
        <v>40</v>
      </c>
      <c r="O105" s="181"/>
      <c r="P105" s="181"/>
    </row>
    <row r="106" spans="1:16" ht="21.75" customHeight="1" x14ac:dyDescent="0.3">
      <c r="A106" s="175"/>
      <c r="B106" s="176"/>
      <c r="C106" s="176"/>
      <c r="D106" s="193"/>
      <c r="E106" s="194" t="s">
        <v>47</v>
      </c>
      <c r="F106" s="195"/>
      <c r="G106" s="196"/>
      <c r="H106" s="186"/>
      <c r="I106" s="187"/>
      <c r="J106" s="187">
        <f ca="1">IFERROR(__xludf.DUMMYFUNCTION("IMPORTRANGE(""https://docs.google.com/spreadsheets/d/11923uPwbBZFjjGgGUA6NLw09EwE0CqkOc4q9oUmW1yo/edit?usp=sharing"",""พิจิตร!J41"")"),0)</f>
        <v>0</v>
      </c>
      <c r="K106" s="223"/>
      <c r="L106" s="168"/>
      <c r="M106" s="168"/>
      <c r="N106" s="168"/>
      <c r="O106" s="181"/>
      <c r="P106" s="181"/>
    </row>
    <row r="107" spans="1:16" ht="21.75" customHeight="1" x14ac:dyDescent="0.3">
      <c r="A107" s="175"/>
      <c r="B107" s="176"/>
      <c r="C107" s="176"/>
      <c r="D107" s="193"/>
      <c r="E107" s="194" t="s">
        <v>48</v>
      </c>
      <c r="F107" s="195"/>
      <c r="G107" s="196"/>
      <c r="H107" s="186"/>
      <c r="I107" s="187"/>
      <c r="J107" s="187">
        <f ca="1">IFERROR(__xludf.DUMMYFUNCTION("IMPORTRANGE(""https://docs.google.com/spreadsheets/d/11923uPwbBZFjjGgGUA6NLw09EwE0CqkOc4q9oUmW1yo/edit?usp=sharing"",""พิจิตร!J42"")"),0)</f>
        <v>0</v>
      </c>
      <c r="K107" s="223"/>
      <c r="L107" s="168"/>
      <c r="M107" s="168"/>
      <c r="N107" s="168"/>
      <c r="O107" s="181"/>
      <c r="P107" s="181"/>
    </row>
    <row r="108" spans="1:16" ht="21.75" customHeight="1" x14ac:dyDescent="0.3">
      <c r="A108" s="175"/>
      <c r="B108" s="176"/>
      <c r="C108" s="176"/>
      <c r="D108" s="193"/>
      <c r="E108" s="195"/>
      <c r="F108" s="195" t="s">
        <v>60</v>
      </c>
      <c r="G108" s="195"/>
      <c r="H108" s="180" t="s">
        <v>61</v>
      </c>
      <c r="I108" s="202">
        <f ca="1">IFERROR(__xludf.DUMMYFUNCTION("IMPORTRANGE(""https://docs.google.com/spreadsheets/d/11923uPwbBZFjjGgGUA6NLw09EwE0CqkOc4q9oUmW1yo/edit?usp=sharing"",""พิจิตร!I43"")"),0)</f>
        <v>0</v>
      </c>
      <c r="J108" s="203">
        <f ca="1">IFERROR(__xludf.DUMMYFUNCTION("IMPORTRANGE(""https://docs.google.com/spreadsheets/d/11923uPwbBZFjjGgGUA6NLw09EwE0CqkOc4q9oUmW1yo/edit?usp=sharing"",""พิจิตร!J43"")"),0)</f>
        <v>0</v>
      </c>
      <c r="K108" s="223">
        <f t="shared" ref="K108:K113" ca="1" si="57">IF(I108&gt;0,J108*100/I108,0)</f>
        <v>0</v>
      </c>
      <c r="L108" s="168"/>
      <c r="M108" s="168"/>
      <c r="N108" s="168"/>
      <c r="O108" s="181"/>
      <c r="P108" s="181"/>
    </row>
    <row r="109" spans="1:16" ht="21.75" customHeight="1" x14ac:dyDescent="0.3">
      <c r="A109" s="175"/>
      <c r="B109" s="176"/>
      <c r="C109" s="176"/>
      <c r="D109" s="193"/>
      <c r="E109" s="198"/>
      <c r="F109" s="194" t="s">
        <v>62</v>
      </c>
      <c r="G109" s="195"/>
      <c r="H109" s="180" t="s">
        <v>37</v>
      </c>
      <c r="I109" s="202">
        <f ca="1">IFERROR(__xludf.DUMMYFUNCTION("IMPORTRANGE(""https://docs.google.com/spreadsheets/d/11923uPwbBZFjjGgGUA6NLw09EwE0CqkOc4q9oUmW1yo/edit?usp=sharing"",""พิจิตร!I44"")"),0)</f>
        <v>0</v>
      </c>
      <c r="J109" s="203">
        <f ca="1">IFERROR(__xludf.DUMMYFUNCTION("IMPORTRANGE(""https://docs.google.com/spreadsheets/d/11923uPwbBZFjjGgGUA6NLw09EwE0CqkOc4q9oUmW1yo/edit?usp=sharing"",""พิจิตร!J44"")"),0)</f>
        <v>0</v>
      </c>
      <c r="K109" s="223">
        <f t="shared" ca="1" si="57"/>
        <v>0</v>
      </c>
      <c r="L109" s="168"/>
      <c r="M109" s="168"/>
      <c r="N109" s="168"/>
      <c r="O109" s="181"/>
      <c r="P109" s="181"/>
    </row>
    <row r="110" spans="1:16" ht="21.75" customHeight="1" x14ac:dyDescent="0.3">
      <c r="A110" s="175"/>
      <c r="B110" s="176"/>
      <c r="C110" s="176"/>
      <c r="D110" s="193"/>
      <c r="E110" s="198"/>
      <c r="F110" s="195"/>
      <c r="G110" s="224" t="s">
        <v>63</v>
      </c>
      <c r="H110" s="180" t="s">
        <v>37</v>
      </c>
      <c r="I110" s="202">
        <f ca="1">IFERROR(__xludf.DUMMYFUNCTION("IMPORTRANGE(""https://docs.google.com/spreadsheets/d/11923uPwbBZFjjGgGUA6NLw09EwE0CqkOc4q9oUmW1yo/edit?usp=sharing"",""พิจิตร!I45"")"),0)</f>
        <v>0</v>
      </c>
      <c r="J110" s="203">
        <f ca="1">IFERROR(__xludf.DUMMYFUNCTION("IMPORTRANGE(""https://docs.google.com/spreadsheets/d/11923uPwbBZFjjGgGUA6NLw09EwE0CqkOc4q9oUmW1yo/edit?usp=sharing"",""พิจิตร!J45"")"),0)</f>
        <v>0</v>
      </c>
      <c r="K110" s="223">
        <f t="shared" ca="1" si="57"/>
        <v>0</v>
      </c>
      <c r="L110" s="168"/>
      <c r="M110" s="168"/>
      <c r="N110" s="168"/>
      <c r="O110" s="181"/>
      <c r="P110" s="181"/>
    </row>
    <row r="111" spans="1:16" ht="21.75" customHeight="1" x14ac:dyDescent="0.3">
      <c r="A111" s="175"/>
      <c r="B111" s="176"/>
      <c r="C111" s="176"/>
      <c r="D111" s="193"/>
      <c r="E111" s="198"/>
      <c r="F111" s="195"/>
      <c r="G111" s="224" t="s">
        <v>64</v>
      </c>
      <c r="H111" s="180" t="s">
        <v>37</v>
      </c>
      <c r="I111" s="202">
        <f ca="1">IFERROR(__xludf.DUMMYFUNCTION("IMPORTRANGE(""https://docs.google.com/spreadsheets/d/11923uPwbBZFjjGgGUA6NLw09EwE0CqkOc4q9oUmW1yo/edit?usp=sharing"",""พิจิตร!I46"")"),0)</f>
        <v>0</v>
      </c>
      <c r="J111" s="203">
        <f ca="1">IFERROR(__xludf.DUMMYFUNCTION("IMPORTRANGE(""https://docs.google.com/spreadsheets/d/11923uPwbBZFjjGgGUA6NLw09EwE0CqkOc4q9oUmW1yo/edit?usp=sharing"",""พิจิตร!J46"")"),0)</f>
        <v>0</v>
      </c>
      <c r="K111" s="223">
        <f t="shared" ca="1" si="57"/>
        <v>0</v>
      </c>
      <c r="L111" s="168"/>
      <c r="M111" s="168"/>
      <c r="N111" s="168"/>
      <c r="O111" s="181"/>
      <c r="P111" s="181"/>
    </row>
    <row r="112" spans="1:16" ht="21.75" customHeight="1" x14ac:dyDescent="0.3">
      <c r="A112" s="175"/>
      <c r="B112" s="176"/>
      <c r="C112" s="176"/>
      <c r="D112" s="193"/>
      <c r="E112" s="198"/>
      <c r="F112" s="195"/>
      <c r="G112" s="225" t="s">
        <v>65</v>
      </c>
      <c r="H112" s="180" t="s">
        <v>37</v>
      </c>
      <c r="I112" s="202">
        <f ca="1">IFERROR(__xludf.DUMMYFUNCTION("IMPORTRANGE(""https://docs.google.com/spreadsheets/d/11923uPwbBZFjjGgGUA6NLw09EwE0CqkOc4q9oUmW1yo/edit?usp=sharing"",""พิจิตร!I47"")"),0)</f>
        <v>0</v>
      </c>
      <c r="J112" s="203">
        <f ca="1">IFERROR(__xludf.DUMMYFUNCTION("IMPORTRANGE(""https://docs.google.com/spreadsheets/d/11923uPwbBZFjjGgGUA6NLw09EwE0CqkOc4q9oUmW1yo/edit?usp=sharing"",""พิจิตร!J47"")"),0)</f>
        <v>0</v>
      </c>
      <c r="K112" s="223">
        <f t="shared" ca="1" si="57"/>
        <v>0</v>
      </c>
      <c r="L112" s="168"/>
      <c r="M112" s="168"/>
      <c r="N112" s="168"/>
      <c r="O112" s="181"/>
      <c r="P112" s="181"/>
    </row>
    <row r="113" spans="1:16" ht="21.75" customHeight="1" x14ac:dyDescent="0.3">
      <c r="A113" s="175"/>
      <c r="B113" s="176"/>
      <c r="C113" s="176"/>
      <c r="D113" s="193"/>
      <c r="E113" s="198"/>
      <c r="F113" s="195" t="s">
        <v>66</v>
      </c>
      <c r="G113" s="195"/>
      <c r="H113" s="180" t="s">
        <v>59</v>
      </c>
      <c r="I113" s="202">
        <f ca="1">IFERROR(__xludf.DUMMYFUNCTION("IMPORTRANGE(""https://docs.google.com/spreadsheets/d/11923uPwbBZFjjGgGUA6NLw09EwE0CqkOc4q9oUmW1yo/edit?usp=sharing"",""พิจิตร!I48"")"),0)</f>
        <v>0</v>
      </c>
      <c r="J113" s="203">
        <f ca="1">IFERROR(__xludf.DUMMYFUNCTION("IMPORTRANGE(""https://docs.google.com/spreadsheets/d/11923uPwbBZFjjGgGUA6NLw09EwE0CqkOc4q9oUmW1yo/edit?usp=sharing"",""พิจิตร!J48"")"),0)</f>
        <v>0</v>
      </c>
      <c r="K113" s="223">
        <f t="shared" ca="1" si="57"/>
        <v>0</v>
      </c>
      <c r="L113" s="168"/>
      <c r="M113" s="168"/>
      <c r="N113" s="168"/>
      <c r="O113" s="181"/>
      <c r="P113" s="181"/>
    </row>
    <row r="114" spans="1:16" ht="21.75" customHeight="1" x14ac:dyDescent="0.3">
      <c r="A114" s="175"/>
      <c r="B114" s="176"/>
      <c r="C114" s="176"/>
      <c r="D114" s="193"/>
      <c r="E114" s="194" t="s">
        <v>54</v>
      </c>
      <c r="F114" s="195"/>
      <c r="G114" s="196"/>
      <c r="H114" s="186"/>
      <c r="I114" s="187"/>
      <c r="J114" s="187">
        <f ca="1">IFERROR(__xludf.DUMMYFUNCTION("IMPORTRANGE(""https://docs.google.com/spreadsheets/d/11923uPwbBZFjjGgGUA6NLw09EwE0CqkOc4q9oUmW1yo/edit?usp=sharing"",""พิจิตร!J49"")"),0)</f>
        <v>0</v>
      </c>
      <c r="K114" s="223"/>
      <c r="L114" s="168"/>
      <c r="M114" s="168"/>
      <c r="N114" s="168"/>
      <c r="O114" s="181"/>
      <c r="P114" s="181"/>
    </row>
    <row r="115" spans="1:16" ht="21.75" customHeight="1" x14ac:dyDescent="0.3">
      <c r="A115" s="175"/>
      <c r="B115" s="176"/>
      <c r="C115" s="176"/>
      <c r="D115" s="205">
        <v>3</v>
      </c>
      <c r="E115" s="206" t="s">
        <v>55</v>
      </c>
      <c r="F115" s="207"/>
      <c r="G115" s="208"/>
      <c r="H115" s="186"/>
      <c r="I115" s="187"/>
      <c r="J115" s="226">
        <f ca="1">IFERROR(__xludf.DUMMYFUNCTION("IMPORTRANGE(""https://docs.google.com/spreadsheets/d/11923uPwbBZFjjGgGUA6NLw09EwE0CqkOc4q9oUmW1yo/edit?usp=sharing"",""พิจิตร!J50"")"),0)</f>
        <v>0</v>
      </c>
      <c r="K115" s="223"/>
      <c r="L115" s="168"/>
      <c r="M115" s="168"/>
      <c r="N115" s="168"/>
      <c r="O115" s="181"/>
      <c r="P115" s="181"/>
    </row>
    <row r="116" spans="1:16" ht="21.75" customHeight="1" x14ac:dyDescent="0.3">
      <c r="A116" s="210" t="s">
        <v>67</v>
      </c>
      <c r="B116" s="227"/>
      <c r="C116" s="228"/>
      <c r="D116" s="227"/>
      <c r="E116" s="229"/>
      <c r="F116" s="229"/>
      <c r="G116" s="230"/>
      <c r="H116" s="215"/>
      <c r="I116" s="216"/>
      <c r="J116" s="216"/>
      <c r="K116" s="217"/>
      <c r="L116" s="218"/>
      <c r="M116" s="218"/>
      <c r="N116" s="218"/>
      <c r="O116" s="219"/>
      <c r="P116" s="219"/>
    </row>
    <row r="117" spans="1:16" ht="21.75" customHeight="1" x14ac:dyDescent="0.3">
      <c r="A117" s="137"/>
      <c r="B117" s="138" t="s">
        <v>68</v>
      </c>
      <c r="C117" s="231"/>
      <c r="D117" s="139"/>
      <c r="E117" s="138"/>
      <c r="F117" s="138"/>
      <c r="G117" s="220"/>
      <c r="H117" s="140" t="s">
        <v>37</v>
      </c>
      <c r="I117" s="141">
        <f ca="1">IFERROR(__xludf.DUMMYFUNCTION("IMPORTRANGE(""https://docs.google.com/spreadsheets/d/11923uPwbBZFjjGgGUA6NLw09EwE0CqkOc4q9oUmW1yo/edit?usp=sharing"",""พิจิตร!I52"")"),0)</f>
        <v>0</v>
      </c>
      <c r="J117" s="141">
        <f ca="1">IFERROR(__xludf.DUMMYFUNCTION("IMPORTRANGE(""https://docs.google.com/spreadsheets/d/11923uPwbBZFjjGgGUA6NLw09EwE0CqkOc4q9oUmW1yo/edit?usp=sharing"",""พิจิตร!J52"")"),0)</f>
        <v>0</v>
      </c>
      <c r="K117" s="142">
        <f ca="1">IF(I117&gt;0,J117*100/I117,0)</f>
        <v>0</v>
      </c>
      <c r="L117" s="143"/>
      <c r="M117" s="143"/>
      <c r="N117" s="144"/>
      <c r="O117" s="142"/>
      <c r="P117" s="142"/>
    </row>
    <row r="118" spans="1:16" ht="21.75" customHeight="1" x14ac:dyDescent="0.45">
      <c r="A118" s="145"/>
      <c r="B118" s="146"/>
      <c r="C118" s="147" t="s">
        <v>16</v>
      </c>
      <c r="D118" s="537" t="s">
        <v>17</v>
      </c>
      <c r="E118" s="528"/>
      <c r="F118" s="528"/>
      <c r="G118" s="528"/>
      <c r="H118" s="148" t="s">
        <v>12</v>
      </c>
      <c r="I118" s="162"/>
      <c r="J118" s="162"/>
      <c r="K118" s="163"/>
      <c r="L118" s="151">
        <f t="shared" ref="L118:N118" ca="1" si="58">L119+L120</f>
        <v>0</v>
      </c>
      <c r="M118" s="151">
        <f t="shared" ca="1" si="58"/>
        <v>0</v>
      </c>
      <c r="N118" s="151">
        <f t="shared" ca="1" si="58"/>
        <v>0</v>
      </c>
      <c r="O118" s="150">
        <f t="shared" ref="O118:O120" ca="1" si="59">IF(L118&gt;0,N118*100/L118,0)</f>
        <v>0</v>
      </c>
      <c r="P118" s="150">
        <f t="shared" ref="P118:P120" ca="1" si="60">IF(M118&gt;0,N118*100/M118,0)</f>
        <v>0</v>
      </c>
    </row>
    <row r="119" spans="1:16" ht="21.75" customHeight="1" x14ac:dyDescent="0.45">
      <c r="A119" s="152"/>
      <c r="B119" s="32"/>
      <c r="C119" s="32"/>
      <c r="D119" s="32"/>
      <c r="E119" s="32"/>
      <c r="F119" s="32"/>
      <c r="G119" s="33" t="s">
        <v>18</v>
      </c>
      <c r="H119" s="153" t="s">
        <v>12</v>
      </c>
      <c r="I119" s="162"/>
      <c r="J119" s="162"/>
      <c r="K119" s="163"/>
      <c r="L119" s="87">
        <f t="shared" ref="L119:N119" si="61">L121+L125</f>
        <v>0</v>
      </c>
      <c r="M119" s="87">
        <f t="shared" si="61"/>
        <v>0</v>
      </c>
      <c r="N119" s="87">
        <f t="shared" si="61"/>
        <v>0</v>
      </c>
      <c r="O119" s="155">
        <f t="shared" si="59"/>
        <v>0</v>
      </c>
      <c r="P119" s="155">
        <f t="shared" si="60"/>
        <v>0</v>
      </c>
    </row>
    <row r="120" spans="1:16" ht="21.75" customHeight="1" x14ac:dyDescent="0.45">
      <c r="A120" s="152"/>
      <c r="B120" s="32"/>
      <c r="C120" s="32"/>
      <c r="D120" s="32"/>
      <c r="E120" s="32"/>
      <c r="F120" s="32"/>
      <c r="G120" s="33" t="s">
        <v>19</v>
      </c>
      <c r="H120" s="153" t="s">
        <v>12</v>
      </c>
      <c r="I120" s="162"/>
      <c r="J120" s="162"/>
      <c r="K120" s="163"/>
      <c r="L120" s="87">
        <f t="shared" ref="L120:N120" ca="1" si="62">L122+L126</f>
        <v>0</v>
      </c>
      <c r="M120" s="87">
        <f t="shared" ca="1" si="62"/>
        <v>0</v>
      </c>
      <c r="N120" s="87">
        <f t="shared" ca="1" si="62"/>
        <v>0</v>
      </c>
      <c r="O120" s="155">
        <f t="shared" ca="1" si="59"/>
        <v>0</v>
      </c>
      <c r="P120" s="155">
        <f t="shared" ca="1" si="60"/>
        <v>0</v>
      </c>
    </row>
    <row r="121" spans="1:16" ht="21.75" customHeight="1" x14ac:dyDescent="0.3">
      <c r="A121" s="156"/>
      <c r="B121" s="157"/>
      <c r="C121" s="157" t="s">
        <v>16</v>
      </c>
      <c r="D121" s="158" t="s">
        <v>38</v>
      </c>
      <c r="E121" s="159"/>
      <c r="F121" s="159"/>
      <c r="G121" s="160" t="s">
        <v>39</v>
      </c>
      <c r="H121" s="161" t="s">
        <v>12</v>
      </c>
      <c r="I121" s="162" t="s">
        <v>40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3">
      <c r="A122" s="156"/>
      <c r="B122" s="157"/>
      <c r="C122" s="157"/>
      <c r="D122" s="166"/>
      <c r="E122" s="159"/>
      <c r="F122" s="159" t="s">
        <v>40</v>
      </c>
      <c r="G122" s="160" t="s">
        <v>41</v>
      </c>
      <c r="H122" s="161" t="s">
        <v>12</v>
      </c>
      <c r="I122" s="162"/>
      <c r="J122" s="162"/>
      <c r="K122" s="163"/>
      <c r="L122" s="167">
        <f ca="1">L123+L124</f>
        <v>0</v>
      </c>
      <c r="M122" s="167">
        <f ca="1">IFERROR(__xludf.DUMMYFUNCTION("IMPORTRANGE(""https://docs.google.com/spreadsheets/d/1Yj_ptqi66GCucihVvJfMjLAmec39IyEx_6qawtMGysU/edit?usp=sharing"",""สบก!BA27"")"),0)</f>
        <v>0</v>
      </c>
      <c r="N122" s="168">
        <f ca="1">IFERROR(__xludf.DUMMYFUNCTION("IMPORTRANGE(""https://docs.google.com/spreadsheets/d/1Yj_ptqi66GCucihVvJfMjLAmec39IyEx_6qawtMGysU/edit?usp=sharing"",""สบก!BB27"")"),0)</f>
        <v>0</v>
      </c>
      <c r="O122" s="168">
        <f ca="1">IF(L122&gt;0,N122*100/L122,0)</f>
        <v>0</v>
      </c>
      <c r="P122" s="168">
        <f ca="1">IF(M122&gt;0,N122*100/M122,0)</f>
        <v>0</v>
      </c>
    </row>
    <row r="123" spans="1:16" ht="21.75" customHeight="1" x14ac:dyDescent="0.3">
      <c r="A123" s="156"/>
      <c r="B123" s="157"/>
      <c r="C123" s="157"/>
      <c r="D123" s="166"/>
      <c r="E123" s="159"/>
      <c r="F123" s="159"/>
      <c r="G123" s="169" t="s">
        <v>42</v>
      </c>
      <c r="H123" s="161" t="s">
        <v>12</v>
      </c>
      <c r="I123" s="162"/>
      <c r="J123" s="162"/>
      <c r="K123" s="163"/>
      <c r="L123" s="167">
        <f ca="1">IFERROR(__xludf.DUMMYFUNCTION("IMPORTRANGE(""https://docs.google.com/spreadsheets/d/1Yj_ptqi66GCucihVvJfMjLAmec39IyEx_6qawtMGysU/edit?usp=sharing"",""สบก!AW27"")"),0)</f>
        <v>0</v>
      </c>
      <c r="M123" s="167"/>
      <c r="N123" s="167"/>
      <c r="O123" s="168"/>
      <c r="P123" s="168"/>
    </row>
    <row r="124" spans="1:16" ht="21.75" customHeight="1" x14ac:dyDescent="0.3">
      <c r="A124" s="156"/>
      <c r="B124" s="157"/>
      <c r="C124" s="157"/>
      <c r="D124" s="166"/>
      <c r="E124" s="159"/>
      <c r="F124" s="159"/>
      <c r="G124" s="169" t="s">
        <v>43</v>
      </c>
      <c r="H124" s="161" t="s">
        <v>12</v>
      </c>
      <c r="I124" s="162"/>
      <c r="J124" s="187"/>
      <c r="K124" s="223"/>
      <c r="L124" s="167">
        <f ca="1">IFERROR(__xludf.DUMMYFUNCTION("IMPORTRANGE(""https://docs.google.com/spreadsheets/d/1Yj_ptqi66GCucihVvJfMjLAmec39IyEx_6qawtMGysU/edit?usp=sharing"",""สบก!AX27"")"),0)</f>
        <v>0</v>
      </c>
      <c r="M124" s="167"/>
      <c r="N124" s="167"/>
      <c r="O124" s="168"/>
      <c r="P124" s="168"/>
    </row>
    <row r="125" spans="1:16" ht="21.75" customHeight="1" x14ac:dyDescent="0.45">
      <c r="A125" s="170"/>
      <c r="B125" s="80"/>
      <c r="C125" s="81" t="s">
        <v>16</v>
      </c>
      <c r="D125" s="534" t="s">
        <v>23</v>
      </c>
      <c r="E125" s="530"/>
      <c r="F125" s="88"/>
      <c r="G125" s="82" t="s">
        <v>18</v>
      </c>
      <c r="H125" s="171" t="s">
        <v>12</v>
      </c>
      <c r="I125" s="187"/>
      <c r="J125" s="187"/>
      <c r="K125" s="223"/>
      <c r="L125" s="41">
        <v>0</v>
      </c>
      <c r="M125" s="41"/>
      <c r="N125" s="41"/>
      <c r="O125" s="41"/>
      <c r="P125" s="41"/>
    </row>
    <row r="126" spans="1:16" ht="21.75" customHeight="1" x14ac:dyDescent="0.45">
      <c r="A126" s="172"/>
      <c r="B126" s="91"/>
      <c r="C126" s="91"/>
      <c r="D126" s="173"/>
      <c r="E126" s="92"/>
      <c r="F126" s="92"/>
      <c r="G126" s="93" t="s">
        <v>19</v>
      </c>
      <c r="H126" s="174" t="s">
        <v>12</v>
      </c>
      <c r="I126" s="187"/>
      <c r="J126" s="187"/>
      <c r="K126" s="223"/>
      <c r="L126" s="49">
        <f ca="1">IFERROR(__xludf.DUMMYFUNCTION("IMPORTRANGE(""https://docs.google.com/spreadsheets/d/1Yj_ptqi66GCucihVvJfMjLAmec39IyEx_6qawtMGysU/edit?usp=sharing"",""สบก!AY27"")"),0)</f>
        <v>0</v>
      </c>
      <c r="M126" s="49"/>
      <c r="N126" s="49">
        <f ca="1">IFERROR(__xludf.DUMMYFUNCTION("IMPORTRANGE(""https://docs.google.com/spreadsheets/d/1Yj_ptqi66GCucihVvJfMjLAmec39IyEx_6qawtMGysU/edit?usp=sharing"",""สบก!BC27"")"),0)</f>
        <v>0</v>
      </c>
      <c r="O126" s="49">
        <f ca="1">IF(L126&gt;0,N126*100/L126,0)</f>
        <v>0</v>
      </c>
      <c r="P126" s="49"/>
    </row>
    <row r="127" spans="1:16" ht="21.75" customHeight="1" x14ac:dyDescent="0.3">
      <c r="A127" s="175"/>
      <c r="B127" s="176"/>
      <c r="C127" s="157" t="s">
        <v>16</v>
      </c>
      <c r="D127" s="232" t="s">
        <v>253</v>
      </c>
      <c r="E127" s="178"/>
      <c r="F127" s="178"/>
      <c r="G127" s="179"/>
      <c r="H127" s="180"/>
      <c r="I127" s="162"/>
      <c r="J127" s="187"/>
      <c r="K127" s="223"/>
      <c r="L127" s="168"/>
      <c r="M127" s="168"/>
      <c r="N127" s="168"/>
      <c r="O127" s="181"/>
      <c r="P127" s="181"/>
    </row>
    <row r="128" spans="1:16" ht="21.75" customHeight="1" x14ac:dyDescent="0.3">
      <c r="A128" s="175"/>
      <c r="B128" s="176"/>
      <c r="C128" s="176"/>
      <c r="D128" s="182">
        <v>1</v>
      </c>
      <c r="E128" s="183" t="s">
        <v>45</v>
      </c>
      <c r="F128" s="184"/>
      <c r="G128" s="185"/>
      <c r="H128" s="186"/>
      <c r="I128" s="187"/>
      <c r="J128" s="203">
        <f ca="1">IFERROR(__xludf.DUMMYFUNCTION("IMPORTRANGE(""https://docs.google.com/spreadsheets/d/11923uPwbBZFjjGgGUA6NLw09EwE0CqkOc4q9oUmW1yo/edit?usp=sharing"",""พิจิตร!J58"")"),0)</f>
        <v>0</v>
      </c>
      <c r="K128" s="223"/>
      <c r="L128" s="168"/>
      <c r="M128" s="168"/>
      <c r="N128" s="168"/>
      <c r="O128" s="181"/>
      <c r="P128" s="181"/>
    </row>
    <row r="129" spans="1:16" ht="21.75" customHeight="1" x14ac:dyDescent="0.3">
      <c r="A129" s="175"/>
      <c r="B129" s="176"/>
      <c r="C129" s="176"/>
      <c r="D129" s="189">
        <v>2</v>
      </c>
      <c r="E129" s="190" t="s">
        <v>46</v>
      </c>
      <c r="F129" s="191"/>
      <c r="G129" s="192"/>
      <c r="H129" s="186"/>
      <c r="I129" s="187"/>
      <c r="J129" s="187">
        <f ca="1">IFERROR(__xludf.DUMMYFUNCTION("IMPORTRANGE(""https://docs.google.com/spreadsheets/d/11923uPwbBZFjjGgGUA6NLw09EwE0CqkOc4q9oUmW1yo/edit?usp=sharing"",""พิจิตร!J59"")"),0)</f>
        <v>0</v>
      </c>
      <c r="K129" s="223"/>
      <c r="L129" s="168" t="s">
        <v>40</v>
      </c>
      <c r="M129" s="168"/>
      <c r="N129" s="168" t="s">
        <v>40</v>
      </c>
      <c r="O129" s="181"/>
      <c r="P129" s="181"/>
    </row>
    <row r="130" spans="1:16" ht="21.75" customHeight="1" x14ac:dyDescent="0.3">
      <c r="A130" s="175"/>
      <c r="B130" s="176"/>
      <c r="C130" s="176"/>
      <c r="D130" s="193"/>
      <c r="E130" s="194" t="s">
        <v>47</v>
      </c>
      <c r="F130" s="195"/>
      <c r="G130" s="196"/>
      <c r="H130" s="186"/>
      <c r="I130" s="187"/>
      <c r="J130" s="187">
        <f ca="1">IFERROR(__xludf.DUMMYFUNCTION("IMPORTRANGE(""https://docs.google.com/spreadsheets/d/11923uPwbBZFjjGgGUA6NLw09EwE0CqkOc4q9oUmW1yo/edit?usp=sharing"",""พิจิตร!J60"")"),0)</f>
        <v>0</v>
      </c>
      <c r="K130" s="223"/>
      <c r="L130" s="168"/>
      <c r="M130" s="168"/>
      <c r="N130" s="168"/>
      <c r="O130" s="181"/>
      <c r="P130" s="181"/>
    </row>
    <row r="131" spans="1:16" ht="21.75" customHeight="1" x14ac:dyDescent="0.3">
      <c r="A131" s="175"/>
      <c r="B131" s="176"/>
      <c r="C131" s="176"/>
      <c r="D131" s="193"/>
      <c r="E131" s="194" t="s">
        <v>48</v>
      </c>
      <c r="F131" s="195"/>
      <c r="G131" s="196"/>
      <c r="H131" s="186"/>
      <c r="I131" s="187"/>
      <c r="J131" s="187">
        <f ca="1">IFERROR(__xludf.DUMMYFUNCTION("IMPORTRANGE(""https://docs.google.com/spreadsheets/d/11923uPwbBZFjjGgGUA6NLw09EwE0CqkOc4q9oUmW1yo/edit?usp=sharing"",""พิจิตร!J61"")"),0)</f>
        <v>0</v>
      </c>
      <c r="K131" s="223"/>
      <c r="L131" s="168"/>
      <c r="M131" s="168"/>
      <c r="N131" s="168"/>
      <c r="O131" s="181"/>
      <c r="P131" s="181"/>
    </row>
    <row r="132" spans="1:16" ht="21.75" customHeight="1" x14ac:dyDescent="0.3">
      <c r="A132" s="175"/>
      <c r="B132" s="176"/>
      <c r="C132" s="176"/>
      <c r="D132" s="193"/>
      <c r="E132" s="198"/>
      <c r="F132" s="194" t="s">
        <v>70</v>
      </c>
      <c r="G132" s="196"/>
      <c r="H132" s="180" t="s">
        <v>37</v>
      </c>
      <c r="I132" s="187">
        <f ca="1">IFERROR(__xludf.DUMMYFUNCTION("IMPORTRANGE(""https://docs.google.com/spreadsheets/d/11923uPwbBZFjjGgGUA6NLw09EwE0CqkOc4q9oUmW1yo/edit?usp=sharing"",""พิจิตร!I62"")"),0)</f>
        <v>0</v>
      </c>
      <c r="J132" s="203">
        <f ca="1">IFERROR(__xludf.DUMMYFUNCTION("IMPORTRANGE(""https://docs.google.com/spreadsheets/d/11923uPwbBZFjjGgGUA6NLw09EwE0CqkOc4q9oUmW1yo/edit?usp=sharing"",""พิจิตร!J62"")"),0)</f>
        <v>0</v>
      </c>
      <c r="K132" s="223">
        <f t="shared" ref="K132:K133" ca="1" si="63">IF(I132&gt;0,J132*100/I132,0)</f>
        <v>0</v>
      </c>
      <c r="L132" s="168"/>
      <c r="M132" s="168"/>
      <c r="N132" s="168"/>
      <c r="O132" s="181"/>
      <c r="P132" s="181"/>
    </row>
    <row r="133" spans="1:16" ht="21.75" customHeight="1" x14ac:dyDescent="0.3">
      <c r="A133" s="175"/>
      <c r="B133" s="176"/>
      <c r="C133" s="176"/>
      <c r="D133" s="193"/>
      <c r="E133" s="198"/>
      <c r="F133" s="194" t="s">
        <v>71</v>
      </c>
      <c r="G133" s="196"/>
      <c r="H133" s="180" t="s">
        <v>37</v>
      </c>
      <c r="I133" s="187">
        <f ca="1">IFERROR(__xludf.DUMMYFUNCTION("IMPORTRANGE(""https://docs.google.com/spreadsheets/d/11923uPwbBZFjjGgGUA6NLw09EwE0CqkOc4q9oUmW1yo/edit?usp=sharing"",""พิจิตร!I63"")"),0)</f>
        <v>0</v>
      </c>
      <c r="J133" s="203">
        <f ca="1">IFERROR(__xludf.DUMMYFUNCTION("IMPORTRANGE(""https://docs.google.com/spreadsheets/d/11923uPwbBZFjjGgGUA6NLw09EwE0CqkOc4q9oUmW1yo/edit?usp=sharing"",""พิจิตร!J63"")"),0)</f>
        <v>0</v>
      </c>
      <c r="K133" s="223">
        <f t="shared" ca="1" si="63"/>
        <v>0</v>
      </c>
      <c r="L133" s="168"/>
      <c r="M133" s="168"/>
      <c r="N133" s="168"/>
      <c r="O133" s="181"/>
      <c r="P133" s="181"/>
    </row>
    <row r="134" spans="1:16" ht="21.75" customHeight="1" x14ac:dyDescent="0.3">
      <c r="A134" s="175"/>
      <c r="B134" s="176"/>
      <c r="C134" s="176"/>
      <c r="D134" s="193"/>
      <c r="E134" s="194" t="s">
        <v>54</v>
      </c>
      <c r="F134" s="195"/>
      <c r="G134" s="196"/>
      <c r="H134" s="186"/>
      <c r="I134" s="187"/>
      <c r="J134" s="187">
        <f ca="1">IFERROR(__xludf.DUMMYFUNCTION("IMPORTRANGE(""https://docs.google.com/spreadsheets/d/11923uPwbBZFjjGgGUA6NLw09EwE0CqkOc4q9oUmW1yo/edit?usp=sharing"",""พิจิตร!J64"")"),0)</f>
        <v>0</v>
      </c>
      <c r="K134" s="223"/>
      <c r="L134" s="168"/>
      <c r="M134" s="168"/>
      <c r="N134" s="168"/>
      <c r="O134" s="181"/>
      <c r="P134" s="181"/>
    </row>
    <row r="135" spans="1:16" ht="21.75" customHeight="1" x14ac:dyDescent="0.3">
      <c r="A135" s="233"/>
      <c r="B135" s="234"/>
      <c r="C135" s="234"/>
      <c r="D135" s="235">
        <v>3</v>
      </c>
      <c r="E135" s="236" t="s">
        <v>55</v>
      </c>
      <c r="F135" s="237"/>
      <c r="G135" s="238"/>
      <c r="H135" s="239"/>
      <c r="I135" s="240"/>
      <c r="J135" s="241">
        <f ca="1">IFERROR(__xludf.DUMMYFUNCTION("IMPORTRANGE(""https://docs.google.com/spreadsheets/d/11923uPwbBZFjjGgGUA6NLw09EwE0CqkOc4q9oUmW1yo/edit?usp=sharing"",""พิจิตร!J65"")"),0)</f>
        <v>0</v>
      </c>
      <c r="K135" s="242"/>
      <c r="L135" s="243"/>
      <c r="M135" s="243"/>
      <c r="N135" s="243"/>
      <c r="O135" s="244"/>
      <c r="P135" s="244"/>
    </row>
    <row r="136" spans="1:16" ht="21.75" customHeight="1" x14ac:dyDescent="0.3">
      <c r="A136" s="245" t="s">
        <v>72</v>
      </c>
      <c r="B136" s="246"/>
      <c r="C136" s="246"/>
      <c r="D136" s="246"/>
      <c r="E136" s="247"/>
      <c r="F136" s="247"/>
      <c r="G136" s="248"/>
      <c r="H136" s="249"/>
      <c r="I136" s="250"/>
      <c r="J136" s="250"/>
      <c r="K136" s="251"/>
      <c r="L136" s="252"/>
      <c r="M136" s="252"/>
      <c r="N136" s="252"/>
      <c r="O136" s="252"/>
      <c r="P136" s="252"/>
    </row>
    <row r="137" spans="1:16" ht="21.75" customHeight="1" x14ac:dyDescent="0.3">
      <c r="A137" s="253" t="s">
        <v>73</v>
      </c>
      <c r="B137" s="254"/>
      <c r="C137" s="254"/>
      <c r="D137" s="255"/>
      <c r="E137" s="255"/>
      <c r="F137" s="255"/>
      <c r="G137" s="256"/>
      <c r="H137" s="257"/>
      <c r="I137" s="258"/>
      <c r="J137" s="258"/>
      <c r="K137" s="259"/>
      <c r="L137" s="259"/>
      <c r="M137" s="259"/>
      <c r="N137" s="259"/>
      <c r="O137" s="260"/>
      <c r="P137" s="260"/>
    </row>
    <row r="138" spans="1:16" ht="21.75" customHeight="1" x14ac:dyDescent="0.3">
      <c r="A138" s="261"/>
      <c r="B138" s="262" t="s">
        <v>74</v>
      </c>
      <c r="C138" s="263"/>
      <c r="D138" s="262"/>
      <c r="E138" s="262"/>
      <c r="F138" s="262"/>
      <c r="G138" s="264"/>
      <c r="H138" s="265" t="s">
        <v>37</v>
      </c>
      <c r="I138" s="266">
        <f ca="1">IFERROR(__xludf.DUMMYFUNCTION("IMPORTRANGE(""https://docs.google.com/spreadsheets/d/11923uPwbBZFjjGgGUA6NLw09EwE0CqkOc4q9oUmW1yo/edit?usp=sharing"",""พิจิตร!I68"")"),0)</f>
        <v>0</v>
      </c>
      <c r="J138" s="266">
        <f ca="1">IFERROR(__xludf.DUMMYFUNCTION("IMPORTRANGE(""https://docs.google.com/spreadsheets/d/11923uPwbBZFjjGgGUA6NLw09EwE0CqkOc4q9oUmW1yo/edit?usp=sharing"",""พิจิตร!J68"")"),0)</f>
        <v>0</v>
      </c>
      <c r="K138" s="267">
        <f ca="1">IF(I138&gt;0,J138*100/I138,0)</f>
        <v>0</v>
      </c>
      <c r="L138" s="268"/>
      <c r="M138" s="268"/>
      <c r="N138" s="268"/>
      <c r="O138" s="267"/>
      <c r="P138" s="267"/>
    </row>
    <row r="139" spans="1:16" ht="21.75" customHeight="1" x14ac:dyDescent="0.3">
      <c r="A139" s="261"/>
      <c r="B139" s="262" t="s">
        <v>75</v>
      </c>
      <c r="C139" s="263"/>
      <c r="D139" s="262"/>
      <c r="E139" s="262"/>
      <c r="F139" s="262"/>
      <c r="G139" s="264"/>
      <c r="H139" s="265"/>
      <c r="I139" s="266"/>
      <c r="J139" s="266"/>
      <c r="K139" s="267"/>
      <c r="L139" s="268"/>
      <c r="M139" s="268"/>
      <c r="N139" s="268"/>
      <c r="O139" s="267"/>
      <c r="P139" s="267"/>
    </row>
    <row r="140" spans="1:16" ht="21.75" customHeight="1" x14ac:dyDescent="0.45">
      <c r="A140" s="145"/>
      <c r="B140" s="146"/>
      <c r="C140" s="147" t="s">
        <v>16</v>
      </c>
      <c r="D140" s="537" t="s">
        <v>17</v>
      </c>
      <c r="E140" s="528"/>
      <c r="F140" s="528"/>
      <c r="G140" s="528"/>
      <c r="H140" s="148" t="s">
        <v>12</v>
      </c>
      <c r="I140" s="162"/>
      <c r="J140" s="162"/>
      <c r="K140" s="163"/>
      <c r="L140" s="151">
        <f t="shared" ref="L140:N140" ca="1" si="64">L141+L142</f>
        <v>58500</v>
      </c>
      <c r="M140" s="151">
        <f t="shared" ca="1" si="64"/>
        <v>53750</v>
      </c>
      <c r="N140" s="151">
        <f t="shared" ca="1" si="64"/>
        <v>22298</v>
      </c>
      <c r="O140" s="150">
        <f t="shared" ref="O140:O142" ca="1" si="65">IF(L140&gt;0,N140*100/L140,0)</f>
        <v>38.116239316239316</v>
      </c>
      <c r="P140" s="150">
        <f t="shared" ref="P140:P142" ca="1" si="66">IF(M140&gt;0,N140*100/M140,0)</f>
        <v>41.484651162790698</v>
      </c>
    </row>
    <row r="141" spans="1:16" ht="21.75" customHeight="1" x14ac:dyDescent="0.45">
      <c r="A141" s="152"/>
      <c r="B141" s="32"/>
      <c r="C141" s="32"/>
      <c r="D141" s="32"/>
      <c r="E141" s="32"/>
      <c r="F141" s="32"/>
      <c r="G141" s="33" t="s">
        <v>18</v>
      </c>
      <c r="H141" s="153" t="s">
        <v>12</v>
      </c>
      <c r="I141" s="162"/>
      <c r="J141" s="162"/>
      <c r="K141" s="163"/>
      <c r="L141" s="87">
        <f t="shared" ref="L141:N141" si="67">L143+L147</f>
        <v>0</v>
      </c>
      <c r="M141" s="87">
        <f t="shared" si="67"/>
        <v>0</v>
      </c>
      <c r="N141" s="87">
        <f t="shared" si="67"/>
        <v>0</v>
      </c>
      <c r="O141" s="155">
        <f t="shared" si="65"/>
        <v>0</v>
      </c>
      <c r="P141" s="155">
        <f t="shared" si="66"/>
        <v>0</v>
      </c>
    </row>
    <row r="142" spans="1:16" ht="21.75" customHeight="1" x14ac:dyDescent="0.45">
      <c r="A142" s="152"/>
      <c r="B142" s="32"/>
      <c r="C142" s="32"/>
      <c r="D142" s="32"/>
      <c r="E142" s="32"/>
      <c r="F142" s="32"/>
      <c r="G142" s="33" t="s">
        <v>19</v>
      </c>
      <c r="H142" s="153" t="s">
        <v>12</v>
      </c>
      <c r="I142" s="162"/>
      <c r="J142" s="162"/>
      <c r="K142" s="163"/>
      <c r="L142" s="87">
        <f t="shared" ref="L142:N142" ca="1" si="68">L144+L148</f>
        <v>58500</v>
      </c>
      <c r="M142" s="87">
        <f t="shared" ca="1" si="68"/>
        <v>53750</v>
      </c>
      <c r="N142" s="87">
        <f t="shared" ca="1" si="68"/>
        <v>22298</v>
      </c>
      <c r="O142" s="155">
        <f t="shared" ca="1" si="65"/>
        <v>38.116239316239316</v>
      </c>
      <c r="P142" s="155">
        <f t="shared" ca="1" si="66"/>
        <v>41.484651162790698</v>
      </c>
    </row>
    <row r="143" spans="1:16" ht="21.75" customHeight="1" x14ac:dyDescent="0.3">
      <c r="A143" s="156"/>
      <c r="B143" s="157"/>
      <c r="C143" s="157" t="s">
        <v>16</v>
      </c>
      <c r="D143" s="158" t="s">
        <v>38</v>
      </c>
      <c r="E143" s="159"/>
      <c r="F143" s="159"/>
      <c r="G143" s="160" t="s">
        <v>39</v>
      </c>
      <c r="H143" s="161" t="s">
        <v>12</v>
      </c>
      <c r="I143" s="162" t="s">
        <v>40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3">
      <c r="A144" s="156"/>
      <c r="B144" s="157"/>
      <c r="C144" s="157"/>
      <c r="D144" s="166"/>
      <c r="E144" s="159"/>
      <c r="F144" s="159" t="s">
        <v>40</v>
      </c>
      <c r="G144" s="160" t="s">
        <v>41</v>
      </c>
      <c r="H144" s="161" t="s">
        <v>12</v>
      </c>
      <c r="I144" s="162"/>
      <c r="J144" s="162"/>
      <c r="K144" s="163"/>
      <c r="L144" s="167">
        <f ca="1">L145+L146</f>
        <v>58500</v>
      </c>
      <c r="M144" s="167">
        <f ca="1">IFERROR(__xludf.DUMMYFUNCTION("IMPORTRANGE(""https://docs.google.com/spreadsheets/d/1Yj_ptqi66GCucihVvJfMjLAmec39IyEx_6qawtMGysU/edit?usp=sharing"",""สบก!BJ27"")"),53750)</f>
        <v>53750</v>
      </c>
      <c r="N144" s="168">
        <f ca="1">IFERROR(__xludf.DUMMYFUNCTION("IMPORTRANGE(""https://docs.google.com/spreadsheets/d/1Yj_ptqi66GCucihVvJfMjLAmec39IyEx_6qawtMGysU/edit?usp=sharing"",""สบก!BK27"")"),22298)</f>
        <v>22298</v>
      </c>
      <c r="O144" s="168">
        <f ca="1">IF(L144&gt;0,N144*100/L144,0)</f>
        <v>38.116239316239316</v>
      </c>
      <c r="P144" s="168">
        <f ca="1">IF(M144&gt;0,N144*100/M144,0)</f>
        <v>41.484651162790698</v>
      </c>
    </row>
    <row r="145" spans="1:16" ht="21.75" customHeight="1" x14ac:dyDescent="0.3">
      <c r="A145" s="156"/>
      <c r="B145" s="157"/>
      <c r="C145" s="157"/>
      <c r="D145" s="166"/>
      <c r="E145" s="159"/>
      <c r="F145" s="159"/>
      <c r="G145" s="169" t="s">
        <v>42</v>
      </c>
      <c r="H145" s="161" t="s">
        <v>12</v>
      </c>
      <c r="I145" s="162"/>
      <c r="J145" s="162"/>
      <c r="K145" s="163"/>
      <c r="L145" s="167">
        <f ca="1">IFERROR(__xludf.DUMMYFUNCTION("IMPORTRANGE(""https://docs.google.com/spreadsheets/d/1Yj_ptqi66GCucihVvJfMjLAmec39IyEx_6qawtMGysU/edit?usp=sharing"",""สบก!BF27"")"),0)</f>
        <v>0</v>
      </c>
      <c r="M145" s="167"/>
      <c r="N145" s="167"/>
      <c r="O145" s="168"/>
      <c r="P145" s="168"/>
    </row>
    <row r="146" spans="1:16" ht="21.75" customHeight="1" x14ac:dyDescent="0.3">
      <c r="A146" s="156"/>
      <c r="B146" s="157"/>
      <c r="C146" s="157"/>
      <c r="D146" s="166"/>
      <c r="E146" s="159"/>
      <c r="F146" s="159"/>
      <c r="G146" s="169" t="s">
        <v>43</v>
      </c>
      <c r="H146" s="161" t="s">
        <v>12</v>
      </c>
      <c r="I146" s="162"/>
      <c r="J146" s="162"/>
      <c r="K146" s="163"/>
      <c r="L146" s="167">
        <f ca="1">IFERROR(__xludf.DUMMYFUNCTION("IMPORTRANGE(""https://docs.google.com/spreadsheets/d/1Yj_ptqi66GCucihVvJfMjLAmec39IyEx_6qawtMGysU/edit?usp=sharing"",""สบก!BG27"")"),58500)</f>
        <v>58500</v>
      </c>
      <c r="M146" s="167"/>
      <c r="N146" s="167"/>
      <c r="O146" s="168"/>
      <c r="P146" s="168"/>
    </row>
    <row r="147" spans="1:16" ht="21.75" customHeight="1" x14ac:dyDescent="0.45">
      <c r="A147" s="170"/>
      <c r="B147" s="80"/>
      <c r="C147" s="81" t="s">
        <v>16</v>
      </c>
      <c r="D147" s="534" t="s">
        <v>23</v>
      </c>
      <c r="E147" s="530"/>
      <c r="F147" s="88"/>
      <c r="G147" s="82" t="s">
        <v>18</v>
      </c>
      <c r="H147" s="171" t="s">
        <v>12</v>
      </c>
      <c r="I147" s="187"/>
      <c r="J147" s="187"/>
      <c r="K147" s="223"/>
      <c r="L147" s="41">
        <v>0</v>
      </c>
      <c r="M147" s="41"/>
      <c r="N147" s="41"/>
      <c r="O147" s="41"/>
      <c r="P147" s="41"/>
    </row>
    <row r="148" spans="1:16" ht="21.75" customHeight="1" x14ac:dyDescent="0.45">
      <c r="A148" s="172"/>
      <c r="B148" s="91"/>
      <c r="C148" s="91"/>
      <c r="D148" s="173"/>
      <c r="E148" s="92"/>
      <c r="F148" s="92"/>
      <c r="G148" s="93" t="s">
        <v>19</v>
      </c>
      <c r="H148" s="174" t="s">
        <v>12</v>
      </c>
      <c r="I148" s="187"/>
      <c r="J148" s="187"/>
      <c r="K148" s="223"/>
      <c r="L148" s="49">
        <f ca="1">IFERROR(__xludf.DUMMYFUNCTION("IMPORTRANGE(""https://docs.google.com/spreadsheets/d/1Yj_ptqi66GCucihVvJfMjLAmec39IyEx_6qawtMGysU/edit?usp=sharing"",""สบก!BH27"")"),0)</f>
        <v>0</v>
      </c>
      <c r="M148" s="49"/>
      <c r="N148" s="49">
        <f ca="1">IFERROR(__xludf.DUMMYFUNCTION("IMPORTRANGE(""https://docs.google.com/spreadsheets/d/1Yj_ptqi66GCucihVvJfMjLAmec39IyEx_6qawtMGysU/edit?usp=sharing"",""สบก!BL27"")"),0)</f>
        <v>0</v>
      </c>
      <c r="O148" s="49">
        <f ca="1">IF(L148&gt;0,N148*100/L148,0)</f>
        <v>0</v>
      </c>
      <c r="P148" s="49"/>
    </row>
    <row r="149" spans="1:16" ht="21.75" customHeight="1" x14ac:dyDescent="0.3">
      <c r="A149" s="269"/>
      <c r="B149" s="270"/>
      <c r="C149" s="271" t="s">
        <v>76</v>
      </c>
      <c r="D149" s="271"/>
      <c r="E149" s="271"/>
      <c r="F149" s="271"/>
      <c r="G149" s="272"/>
      <c r="H149" s="273" t="s">
        <v>77</v>
      </c>
      <c r="I149" s="274">
        <f ca="1">IFERROR(__xludf.DUMMYFUNCTION("IMPORTRANGE(""https://docs.google.com/spreadsheets/d/11923uPwbBZFjjGgGUA6NLw09EwE0CqkOc4q9oUmW1yo/edit?usp=sharing"",""พิจิตร!I74"")"),4)</f>
        <v>4</v>
      </c>
      <c r="J149" s="274">
        <f ca="1">IFERROR(__xludf.DUMMYFUNCTION("IMPORTRANGE(""https://docs.google.com/spreadsheets/d/11923uPwbBZFjjGgGUA6NLw09EwE0CqkOc4q9oUmW1yo/edit?usp=sharing"",""พิจิตร!J74"")"),1)</f>
        <v>1</v>
      </c>
      <c r="K149" s="275">
        <f ca="1">IF(I149&gt;0,J149*100/I149,0)</f>
        <v>25</v>
      </c>
      <c r="L149" s="276"/>
      <c r="M149" s="276"/>
      <c r="N149" s="276"/>
      <c r="O149" s="276"/>
      <c r="P149" s="276"/>
    </row>
    <row r="150" spans="1:16" ht="21.75" customHeight="1" x14ac:dyDescent="0.3">
      <c r="A150" s="156"/>
      <c r="B150" s="157"/>
      <c r="C150" s="157" t="s">
        <v>16</v>
      </c>
      <c r="D150" s="158" t="s">
        <v>38</v>
      </c>
      <c r="E150" s="159"/>
      <c r="F150" s="159"/>
      <c r="G150" s="160" t="s">
        <v>39</v>
      </c>
      <c r="H150" s="161" t="s">
        <v>12</v>
      </c>
      <c r="I150" s="162" t="s">
        <v>40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3">
      <c r="A151" s="156"/>
      <c r="B151" s="157"/>
      <c r="C151" s="157"/>
      <c r="D151" s="166"/>
      <c r="E151" s="159"/>
      <c r="F151" s="159" t="s">
        <v>40</v>
      </c>
      <c r="G151" s="160" t="s">
        <v>41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3">
      <c r="A152" s="156"/>
      <c r="B152" s="157"/>
      <c r="C152" s="157"/>
      <c r="D152" s="166"/>
      <c r="E152" s="159"/>
      <c r="F152" s="159"/>
      <c r="G152" s="169" t="s">
        <v>43</v>
      </c>
      <c r="H152" s="161" t="s">
        <v>12</v>
      </c>
      <c r="I152" s="162"/>
      <c r="J152" s="162"/>
      <c r="K152" s="163"/>
      <c r="L152" s="168"/>
      <c r="M152" s="168"/>
      <c r="N152" s="167"/>
      <c r="O152" s="168"/>
      <c r="P152" s="168"/>
    </row>
    <row r="153" spans="1:16" ht="21.75" customHeight="1" x14ac:dyDescent="0.3">
      <c r="A153" s="175"/>
      <c r="B153" s="176"/>
      <c r="C153" s="157" t="s">
        <v>16</v>
      </c>
      <c r="D153" s="177" t="s">
        <v>44</v>
      </c>
      <c r="E153" s="178"/>
      <c r="F153" s="178"/>
      <c r="G153" s="179"/>
      <c r="H153" s="180"/>
      <c r="I153" s="162"/>
      <c r="J153" s="162"/>
      <c r="K153" s="163"/>
      <c r="L153" s="181"/>
      <c r="M153" s="181"/>
      <c r="N153" s="181"/>
      <c r="O153" s="181"/>
      <c r="P153" s="181"/>
    </row>
    <row r="154" spans="1:16" ht="21.75" customHeight="1" x14ac:dyDescent="0.3">
      <c r="A154" s="175"/>
      <c r="B154" s="176"/>
      <c r="C154" s="176"/>
      <c r="D154" s="182">
        <v>1</v>
      </c>
      <c r="E154" s="183" t="s">
        <v>45</v>
      </c>
      <c r="F154" s="184"/>
      <c r="G154" s="185"/>
      <c r="H154" s="186"/>
      <c r="I154" s="187"/>
      <c r="J154" s="188">
        <f ca="1">IFERROR(__xludf.DUMMYFUNCTION("IMPORTRANGE(""https://docs.google.com/spreadsheets/d/11923uPwbBZFjjGgGUA6NLw09EwE0CqkOc4q9oUmW1yo/edit?usp=sharing"",""พิจิตร!J79"")"),0)</f>
        <v>0</v>
      </c>
      <c r="K154" s="163"/>
      <c r="L154" s="181"/>
      <c r="M154" s="181"/>
      <c r="N154" s="181"/>
      <c r="O154" s="181"/>
      <c r="P154" s="181"/>
    </row>
    <row r="155" spans="1:16" ht="21.75" customHeight="1" x14ac:dyDescent="0.3">
      <c r="A155" s="175"/>
      <c r="B155" s="176"/>
      <c r="C155" s="176"/>
      <c r="D155" s="189">
        <v>2</v>
      </c>
      <c r="E155" s="190" t="s">
        <v>46</v>
      </c>
      <c r="F155" s="191"/>
      <c r="G155" s="192"/>
      <c r="H155" s="186"/>
      <c r="I155" s="187"/>
      <c r="J155" s="197">
        <f ca="1">IFERROR(__xludf.DUMMYFUNCTION("IMPORTRANGE(""https://docs.google.com/spreadsheets/d/11923uPwbBZFjjGgGUA6NLw09EwE0CqkOc4q9oUmW1yo/edit?usp=sharing"",""พิจิตร!J80"")"),1)</f>
        <v>1</v>
      </c>
      <c r="K155" s="163"/>
      <c r="L155" s="181"/>
      <c r="M155" s="181"/>
      <c r="N155" s="181"/>
      <c r="O155" s="181"/>
      <c r="P155" s="181"/>
    </row>
    <row r="156" spans="1:16" ht="21.75" customHeight="1" x14ac:dyDescent="0.3">
      <c r="A156" s="175"/>
      <c r="B156" s="176"/>
      <c r="C156" s="176"/>
      <c r="D156" s="193"/>
      <c r="E156" s="194" t="s">
        <v>47</v>
      </c>
      <c r="F156" s="195"/>
      <c r="G156" s="196"/>
      <c r="H156" s="186"/>
      <c r="I156" s="187"/>
      <c r="J156" s="197">
        <f ca="1">IFERROR(__xludf.DUMMYFUNCTION("IMPORTRANGE(""https://docs.google.com/spreadsheets/d/11923uPwbBZFjjGgGUA6NLw09EwE0CqkOc4q9oUmW1yo/edit?usp=sharing"",""พิจิตร!J81"")"),1)</f>
        <v>1</v>
      </c>
      <c r="K156" s="163"/>
      <c r="L156" s="181"/>
      <c r="M156" s="181"/>
      <c r="N156" s="181"/>
      <c r="O156" s="181"/>
      <c r="P156" s="181"/>
    </row>
    <row r="157" spans="1:16" ht="21.75" customHeight="1" x14ac:dyDescent="0.3">
      <c r="A157" s="175"/>
      <c r="B157" s="176"/>
      <c r="C157" s="176"/>
      <c r="D157" s="193"/>
      <c r="E157" s="194" t="s">
        <v>48</v>
      </c>
      <c r="F157" s="195"/>
      <c r="G157" s="196"/>
      <c r="H157" s="186"/>
      <c r="I157" s="187"/>
      <c r="J157" s="197">
        <f ca="1">IFERROR(__xludf.DUMMYFUNCTION("IMPORTRANGE(""https://docs.google.com/spreadsheets/d/11923uPwbBZFjjGgGUA6NLw09EwE0CqkOc4q9oUmW1yo/edit?usp=sharing"",""พิจิตร!J82"")"),1)</f>
        <v>1</v>
      </c>
      <c r="K157" s="163"/>
      <c r="L157" s="181"/>
      <c r="M157" s="181"/>
      <c r="N157" s="181"/>
      <c r="O157" s="181"/>
      <c r="P157" s="181"/>
    </row>
    <row r="158" spans="1:16" ht="21.75" customHeight="1" x14ac:dyDescent="0.3">
      <c r="A158" s="175"/>
      <c r="B158" s="176"/>
      <c r="C158" s="176"/>
      <c r="D158" s="193"/>
      <c r="E158" s="198"/>
      <c r="F158" s="194" t="s">
        <v>78</v>
      </c>
      <c r="G158" s="196"/>
      <c r="H158" s="180" t="s">
        <v>77</v>
      </c>
      <c r="I158" s="187">
        <f ca="1">IFERROR(__xludf.DUMMYFUNCTION("IMPORTRANGE(""https://docs.google.com/spreadsheets/d/11923uPwbBZFjjGgGUA6NLw09EwE0CqkOc4q9oUmW1yo/edit?usp=sharing"",""พิจิตร!I83"")"),4)</f>
        <v>4</v>
      </c>
      <c r="J158" s="188">
        <f ca="1">IFERROR(__xludf.DUMMYFUNCTION("IMPORTRANGE(""https://docs.google.com/spreadsheets/d/11923uPwbBZFjjGgGUA6NLw09EwE0CqkOc4q9oUmW1yo/edit?usp=sharing"",""พิจิตร!J83"")"),1)</f>
        <v>1</v>
      </c>
      <c r="K158" s="163">
        <f ca="1">IF(I158&gt;0,J158*100/I158,0)</f>
        <v>25</v>
      </c>
      <c r="L158" s="181"/>
      <c r="M158" s="181"/>
      <c r="N158" s="181"/>
      <c r="O158" s="181"/>
      <c r="P158" s="181"/>
    </row>
    <row r="159" spans="1:16" ht="21.75" customHeight="1" x14ac:dyDescent="0.3">
      <c r="A159" s="175"/>
      <c r="B159" s="176"/>
      <c r="C159" s="176"/>
      <c r="D159" s="193"/>
      <c r="E159" s="195"/>
      <c r="F159" s="277" t="s">
        <v>79</v>
      </c>
      <c r="G159" s="196"/>
      <c r="H159" s="278" t="s">
        <v>37</v>
      </c>
      <c r="I159" s="187"/>
      <c r="J159" s="203">
        <f ca="1">IFERROR(__xludf.DUMMYFUNCTION("IMPORTRANGE(""https://docs.google.com/spreadsheets/d/11923uPwbBZFjjGgGUA6NLw09EwE0CqkOc4q9oUmW1yo/edit?usp=sharing"",""พิจิตร!J84"")"),28)</f>
        <v>28</v>
      </c>
      <c r="K159" s="163"/>
      <c r="L159" s="181"/>
      <c r="M159" s="181"/>
      <c r="N159" s="181"/>
      <c r="O159" s="181"/>
      <c r="P159" s="181"/>
    </row>
    <row r="160" spans="1:16" ht="21.75" customHeight="1" x14ac:dyDescent="0.45">
      <c r="A160" s="175"/>
      <c r="B160" s="176"/>
      <c r="C160" s="176"/>
      <c r="D160" s="193"/>
      <c r="E160" s="195"/>
      <c r="F160" s="195"/>
      <c r="G160" s="279" t="s">
        <v>80</v>
      </c>
      <c r="H160" s="278" t="s">
        <v>37</v>
      </c>
      <c r="I160" s="187"/>
      <c r="J160" s="280">
        <f ca="1">IFERROR(__xludf.DUMMYFUNCTION("IMPORTRANGE(""https://docs.google.com/spreadsheets/d/11923uPwbBZFjjGgGUA6NLw09EwE0CqkOc4q9oUmW1yo/edit?usp=sharing"",""พิจิตร!J85"")"),28)</f>
        <v>28</v>
      </c>
      <c r="K160" s="163"/>
      <c r="L160" s="181"/>
      <c r="M160" s="181"/>
      <c r="N160" s="181"/>
      <c r="O160" s="181"/>
      <c r="P160" s="181"/>
    </row>
    <row r="161" spans="1:16" ht="21.75" customHeight="1" x14ac:dyDescent="0.45">
      <c r="A161" s="175"/>
      <c r="B161" s="176"/>
      <c r="C161" s="176"/>
      <c r="D161" s="193"/>
      <c r="E161" s="195"/>
      <c r="F161" s="195"/>
      <c r="G161" s="279" t="s">
        <v>81</v>
      </c>
      <c r="H161" s="278" t="s">
        <v>37</v>
      </c>
      <c r="I161" s="187"/>
      <c r="J161" s="280">
        <f ca="1">IFERROR(__xludf.DUMMYFUNCTION("IMPORTRANGE(""https://docs.google.com/spreadsheets/d/11923uPwbBZFjjGgGUA6NLw09EwE0CqkOc4q9oUmW1yo/edit?usp=sharing"",""พิจิตร!J86"")"),0)</f>
        <v>0</v>
      </c>
      <c r="K161" s="163"/>
      <c r="L161" s="181"/>
      <c r="M161" s="181"/>
      <c r="N161" s="181"/>
      <c r="O161" s="181"/>
      <c r="P161" s="181"/>
    </row>
    <row r="162" spans="1:16" ht="21.75" customHeight="1" x14ac:dyDescent="0.3">
      <c r="A162" s="175"/>
      <c r="B162" s="176"/>
      <c r="C162" s="176"/>
      <c r="D162" s="193"/>
      <c r="E162" s="194" t="s">
        <v>54</v>
      </c>
      <c r="F162" s="195"/>
      <c r="G162" s="196"/>
      <c r="H162" s="186"/>
      <c r="I162" s="187"/>
      <c r="J162" s="197">
        <f ca="1">IFERROR(__xludf.DUMMYFUNCTION("IMPORTRANGE(""https://docs.google.com/spreadsheets/d/11923uPwbBZFjjGgGUA6NLw09EwE0CqkOc4q9oUmW1yo/edit?usp=sharing"",""พิจิตร!J87"")"),0)</f>
        <v>0</v>
      </c>
      <c r="K162" s="163"/>
      <c r="L162" s="181"/>
      <c r="M162" s="181"/>
      <c r="N162" s="181"/>
      <c r="O162" s="181"/>
      <c r="P162" s="181"/>
    </row>
    <row r="163" spans="1:16" ht="21.75" customHeight="1" x14ac:dyDescent="0.3">
      <c r="A163" s="175"/>
      <c r="B163" s="176"/>
      <c r="C163" s="176"/>
      <c r="D163" s="205">
        <v>3</v>
      </c>
      <c r="E163" s="206" t="s">
        <v>55</v>
      </c>
      <c r="F163" s="207"/>
      <c r="G163" s="208"/>
      <c r="H163" s="186"/>
      <c r="I163" s="187"/>
      <c r="J163" s="209">
        <f ca="1">IFERROR(__xludf.DUMMYFUNCTION("IMPORTRANGE(""https://docs.google.com/spreadsheets/d/11923uPwbBZFjjGgGUA6NLw09EwE0CqkOc4q9oUmW1yo/edit?usp=sharing"",""พิจิตร!J88"")"),0)</f>
        <v>0</v>
      </c>
      <c r="K163" s="163"/>
      <c r="L163" s="181"/>
      <c r="M163" s="181"/>
      <c r="N163" s="181"/>
      <c r="O163" s="181"/>
      <c r="P163" s="181"/>
    </row>
    <row r="164" spans="1:16" ht="21.75" customHeight="1" x14ac:dyDescent="0.3">
      <c r="A164" s="269"/>
      <c r="B164" s="270"/>
      <c r="C164" s="271" t="s">
        <v>82</v>
      </c>
      <c r="D164" s="271"/>
      <c r="E164" s="271"/>
      <c r="F164" s="271"/>
      <c r="G164" s="272"/>
      <c r="H164" s="281" t="s">
        <v>83</v>
      </c>
      <c r="I164" s="282">
        <f ca="1">IFERROR(__xludf.DUMMYFUNCTION("IMPORTRANGE(""https://docs.google.com/spreadsheets/d/11923uPwbBZFjjGgGUA6NLw09EwE0CqkOc4q9oUmW1yo/edit?usp=sharing"",""พิจิตร!I89"")"),3)</f>
        <v>3</v>
      </c>
      <c r="J164" s="282">
        <f ca="1">IFERROR(__xludf.DUMMYFUNCTION("IMPORTRANGE(""https://docs.google.com/spreadsheets/d/11923uPwbBZFjjGgGUA6NLw09EwE0CqkOc4q9oUmW1yo/edit?usp=sharing"",""พิจิตร!J89"")"),0)</f>
        <v>0</v>
      </c>
      <c r="K164" s="283">
        <f ca="1">IF(I164&gt;0,J164*100/I164,0)</f>
        <v>0</v>
      </c>
      <c r="L164" s="276"/>
      <c r="M164" s="276"/>
      <c r="N164" s="276"/>
      <c r="O164" s="276"/>
      <c r="P164" s="276"/>
    </row>
    <row r="165" spans="1:16" ht="21.75" customHeight="1" x14ac:dyDescent="0.3">
      <c r="A165" s="156"/>
      <c r="B165" s="157"/>
      <c r="C165" s="157" t="s">
        <v>16</v>
      </c>
      <c r="D165" s="158" t="s">
        <v>38</v>
      </c>
      <c r="E165" s="159"/>
      <c r="F165" s="159"/>
      <c r="G165" s="160" t="s">
        <v>39</v>
      </c>
      <c r="H165" s="161" t="s">
        <v>12</v>
      </c>
      <c r="I165" s="162" t="s">
        <v>40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3">
      <c r="A166" s="156"/>
      <c r="B166" s="157"/>
      <c r="C166" s="157"/>
      <c r="D166" s="166"/>
      <c r="E166" s="159"/>
      <c r="F166" s="159" t="s">
        <v>40</v>
      </c>
      <c r="G166" s="160" t="s">
        <v>41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3">
      <c r="A167" s="156"/>
      <c r="B167" s="157"/>
      <c r="C167" s="157"/>
      <c r="D167" s="166"/>
      <c r="E167" s="159"/>
      <c r="F167" s="159"/>
      <c r="G167" s="169" t="s">
        <v>43</v>
      </c>
      <c r="H167" s="161" t="s">
        <v>12</v>
      </c>
      <c r="I167" s="162"/>
      <c r="J167" s="162"/>
      <c r="K167" s="163"/>
      <c r="L167" s="168"/>
      <c r="M167" s="168"/>
      <c r="N167" s="167"/>
      <c r="O167" s="168"/>
      <c r="P167" s="168"/>
    </row>
    <row r="168" spans="1:16" ht="21.75" customHeight="1" x14ac:dyDescent="0.3">
      <c r="A168" s="175"/>
      <c r="B168" s="176"/>
      <c r="C168" s="157" t="s">
        <v>16</v>
      </c>
      <c r="D168" s="177" t="s">
        <v>44</v>
      </c>
      <c r="E168" s="178"/>
      <c r="F168" s="178"/>
      <c r="G168" s="179"/>
      <c r="H168" s="180"/>
      <c r="I168" s="162"/>
      <c r="J168" s="162"/>
      <c r="K168" s="163"/>
      <c r="L168" s="181"/>
      <c r="M168" s="181"/>
      <c r="N168" s="181"/>
      <c r="O168" s="181"/>
      <c r="P168" s="181"/>
    </row>
    <row r="169" spans="1:16" ht="21.75" customHeight="1" x14ac:dyDescent="0.3">
      <c r="A169" s="175"/>
      <c r="B169" s="176"/>
      <c r="C169" s="176"/>
      <c r="D169" s="182">
        <v>1</v>
      </c>
      <c r="E169" s="183" t="s">
        <v>45</v>
      </c>
      <c r="F169" s="184"/>
      <c r="G169" s="185"/>
      <c r="H169" s="186"/>
      <c r="I169" s="187"/>
      <c r="J169" s="188">
        <f ca="1">IFERROR(__xludf.DUMMYFUNCTION("IMPORTRANGE(""https://docs.google.com/spreadsheets/d/11923uPwbBZFjjGgGUA6NLw09EwE0CqkOc4q9oUmW1yo/edit?usp=sharing"",""พิจิตร!J94"")"),0)</f>
        <v>0</v>
      </c>
      <c r="K169" s="163"/>
      <c r="L169" s="181"/>
      <c r="M169" s="181"/>
      <c r="N169" s="181"/>
      <c r="O169" s="181"/>
      <c r="P169" s="181"/>
    </row>
    <row r="170" spans="1:16" ht="21.75" customHeight="1" x14ac:dyDescent="0.3">
      <c r="A170" s="175"/>
      <c r="B170" s="176"/>
      <c r="C170" s="176"/>
      <c r="D170" s="189">
        <v>2</v>
      </c>
      <c r="E170" s="190" t="s">
        <v>46</v>
      </c>
      <c r="F170" s="191"/>
      <c r="G170" s="192"/>
      <c r="H170" s="186"/>
      <c r="I170" s="187"/>
      <c r="J170" s="197">
        <f ca="1">IFERROR(__xludf.DUMMYFUNCTION("IMPORTRANGE(""https://docs.google.com/spreadsheets/d/11923uPwbBZFjjGgGUA6NLw09EwE0CqkOc4q9oUmW1yo/edit?usp=sharing"",""พิจิตร!J95"")"),1)</f>
        <v>1</v>
      </c>
      <c r="K170" s="163"/>
      <c r="L170" s="181"/>
      <c r="M170" s="181"/>
      <c r="N170" s="181"/>
      <c r="O170" s="181"/>
      <c r="P170" s="181"/>
    </row>
    <row r="171" spans="1:16" ht="21.75" customHeight="1" x14ac:dyDescent="0.3">
      <c r="A171" s="175"/>
      <c r="B171" s="176"/>
      <c r="C171" s="176"/>
      <c r="D171" s="193"/>
      <c r="E171" s="194" t="s">
        <v>47</v>
      </c>
      <c r="F171" s="195"/>
      <c r="G171" s="196"/>
      <c r="H171" s="186"/>
      <c r="I171" s="187"/>
      <c r="J171" s="197">
        <f ca="1">IFERROR(__xludf.DUMMYFUNCTION("IMPORTRANGE(""https://docs.google.com/spreadsheets/d/11923uPwbBZFjjGgGUA6NLw09EwE0CqkOc4q9oUmW1yo/edit?usp=sharing"",""พิจิตร!J96"")"),1)</f>
        <v>1</v>
      </c>
      <c r="K171" s="163"/>
      <c r="L171" s="181"/>
      <c r="M171" s="181"/>
      <c r="N171" s="181"/>
      <c r="O171" s="181"/>
      <c r="P171" s="181"/>
    </row>
    <row r="172" spans="1:16" ht="21.75" customHeight="1" x14ac:dyDescent="0.3">
      <c r="A172" s="175"/>
      <c r="B172" s="176"/>
      <c r="C172" s="176"/>
      <c r="D172" s="193"/>
      <c r="E172" s="194" t="s">
        <v>48</v>
      </c>
      <c r="F172" s="195"/>
      <c r="G172" s="196"/>
      <c r="H172" s="186"/>
      <c r="I172" s="187"/>
      <c r="J172" s="197">
        <f ca="1">IFERROR(__xludf.DUMMYFUNCTION("IMPORTRANGE(""https://docs.google.com/spreadsheets/d/11923uPwbBZFjjGgGUA6NLw09EwE0CqkOc4q9oUmW1yo/edit?usp=sharing"",""พิจิตร!J97"")"),1)</f>
        <v>1</v>
      </c>
      <c r="K172" s="163"/>
      <c r="L172" s="181"/>
      <c r="M172" s="181"/>
      <c r="N172" s="181"/>
      <c r="O172" s="181"/>
      <c r="P172" s="181"/>
    </row>
    <row r="173" spans="1:16" ht="21.75" customHeight="1" x14ac:dyDescent="0.3">
      <c r="A173" s="175"/>
      <c r="B173" s="176"/>
      <c r="C173" s="176"/>
      <c r="D173" s="193"/>
      <c r="E173" s="198"/>
      <c r="F173" s="204" t="s">
        <v>84</v>
      </c>
      <c r="G173" s="196"/>
      <c r="H173" s="180" t="s">
        <v>83</v>
      </c>
      <c r="I173" s="187">
        <f ca="1">IFERROR(__xludf.DUMMYFUNCTION("IMPORTRANGE(""https://docs.google.com/spreadsheets/d/11923uPwbBZFjjGgGUA6NLw09EwE0CqkOc4q9oUmW1yo/edit?usp=sharing"",""พิจิตร!I98"")"),3)</f>
        <v>3</v>
      </c>
      <c r="J173" s="188">
        <f ca="1">IFERROR(__xludf.DUMMYFUNCTION("IMPORTRANGE(""https://docs.google.com/spreadsheets/d/11923uPwbBZFjjGgGUA6NLw09EwE0CqkOc4q9oUmW1yo/edit?usp=sharing"",""พิจิตร!J98"")"),0)</f>
        <v>0</v>
      </c>
      <c r="K173" s="163">
        <f ca="1">IF(I173&gt;0,J173*100/I173,0)</f>
        <v>0</v>
      </c>
      <c r="L173" s="168"/>
      <c r="M173" s="168"/>
      <c r="N173" s="167"/>
      <c r="O173" s="168"/>
      <c r="P173" s="168"/>
    </row>
    <row r="174" spans="1:16" ht="21.75" customHeight="1" x14ac:dyDescent="0.3">
      <c r="A174" s="175"/>
      <c r="B174" s="176"/>
      <c r="C174" s="176"/>
      <c r="D174" s="193"/>
      <c r="E174" s="194" t="s">
        <v>54</v>
      </c>
      <c r="F174" s="195"/>
      <c r="G174" s="196"/>
      <c r="H174" s="186"/>
      <c r="I174" s="187"/>
      <c r="J174" s="197">
        <f ca="1">IFERROR(__xludf.DUMMYFUNCTION("IMPORTRANGE(""https://docs.google.com/spreadsheets/d/11923uPwbBZFjjGgGUA6NLw09EwE0CqkOc4q9oUmW1yo/edit?usp=sharing"",""พิจิตร!J99"")"),0)</f>
        <v>0</v>
      </c>
      <c r="K174" s="163"/>
      <c r="L174" s="181"/>
      <c r="M174" s="181"/>
      <c r="N174" s="181"/>
      <c r="O174" s="181"/>
      <c r="P174" s="181"/>
    </row>
    <row r="175" spans="1:16" ht="21.75" customHeight="1" x14ac:dyDescent="0.3">
      <c r="A175" s="175"/>
      <c r="B175" s="176"/>
      <c r="C175" s="176"/>
      <c r="D175" s="205">
        <v>3</v>
      </c>
      <c r="E175" s="206" t="s">
        <v>55</v>
      </c>
      <c r="F175" s="207"/>
      <c r="G175" s="208"/>
      <c r="H175" s="186"/>
      <c r="I175" s="187"/>
      <c r="J175" s="209">
        <f ca="1">IFERROR(__xludf.DUMMYFUNCTION("IMPORTRANGE(""https://docs.google.com/spreadsheets/d/11923uPwbBZFjjGgGUA6NLw09EwE0CqkOc4q9oUmW1yo/edit?usp=sharing"",""พิจิตร!J100"")"),0)</f>
        <v>0</v>
      </c>
      <c r="K175" s="163"/>
      <c r="L175" s="181"/>
      <c r="M175" s="181"/>
      <c r="N175" s="181"/>
      <c r="O175" s="181"/>
      <c r="P175" s="181"/>
    </row>
    <row r="176" spans="1:16" ht="21.75" customHeight="1" x14ac:dyDescent="0.3">
      <c r="A176" s="269"/>
      <c r="B176" s="270"/>
      <c r="C176" s="271" t="s">
        <v>85</v>
      </c>
      <c r="D176" s="271"/>
      <c r="E176" s="271"/>
      <c r="F176" s="271"/>
      <c r="G176" s="272"/>
      <c r="H176" s="281" t="s">
        <v>83</v>
      </c>
      <c r="I176" s="282">
        <f ca="1">IFERROR(__xludf.DUMMYFUNCTION("IMPORTRANGE(""https://docs.google.com/spreadsheets/d/11923uPwbBZFjjGgGUA6NLw09EwE0CqkOc4q9oUmW1yo/edit?usp=sharing"",""พิจิตร!I101"")"),0)</f>
        <v>0</v>
      </c>
      <c r="J176" s="282">
        <f ca="1">IFERROR(__xludf.DUMMYFUNCTION("IMPORTRANGE(""https://docs.google.com/spreadsheets/d/11923uPwbBZFjjGgGUA6NLw09EwE0CqkOc4q9oUmW1yo/edit?usp=sharing"",""พิจิตร!J101"")"),0)</f>
        <v>0</v>
      </c>
      <c r="K176" s="283">
        <f ca="1">IF(I176&gt;0,J176*100/I176,0)</f>
        <v>0</v>
      </c>
      <c r="L176" s="276"/>
      <c r="M176" s="276"/>
      <c r="N176" s="276"/>
      <c r="O176" s="276"/>
      <c r="P176" s="276"/>
    </row>
    <row r="177" spans="1:16" ht="21.75" customHeight="1" x14ac:dyDescent="0.3">
      <c r="A177" s="156"/>
      <c r="B177" s="157"/>
      <c r="C177" s="157" t="s">
        <v>16</v>
      </c>
      <c r="D177" s="158" t="s">
        <v>38</v>
      </c>
      <c r="E177" s="159"/>
      <c r="F177" s="159"/>
      <c r="G177" s="160" t="s">
        <v>39</v>
      </c>
      <c r="H177" s="161" t="s">
        <v>12</v>
      </c>
      <c r="I177" s="162" t="s">
        <v>40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3">
      <c r="A178" s="156"/>
      <c r="B178" s="157"/>
      <c r="C178" s="157"/>
      <c r="D178" s="166"/>
      <c r="E178" s="159"/>
      <c r="F178" s="159" t="s">
        <v>40</v>
      </c>
      <c r="G178" s="160" t="s">
        <v>41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3">
      <c r="A179" s="156"/>
      <c r="B179" s="157"/>
      <c r="C179" s="157"/>
      <c r="D179" s="166"/>
      <c r="E179" s="159"/>
      <c r="F179" s="159"/>
      <c r="G179" s="169" t="s">
        <v>43</v>
      </c>
      <c r="H179" s="161" t="s">
        <v>12</v>
      </c>
      <c r="I179" s="162"/>
      <c r="J179" s="187"/>
      <c r="K179" s="223"/>
      <c r="L179" s="168"/>
      <c r="M179" s="168"/>
      <c r="N179" s="167"/>
      <c r="O179" s="168"/>
      <c r="P179" s="168"/>
    </row>
    <row r="180" spans="1:16" ht="21.75" customHeight="1" x14ac:dyDescent="0.3">
      <c r="A180" s="175"/>
      <c r="B180" s="176"/>
      <c r="C180" s="157" t="s">
        <v>16</v>
      </c>
      <c r="D180" s="177" t="s">
        <v>44</v>
      </c>
      <c r="E180" s="178"/>
      <c r="F180" s="178"/>
      <c r="G180" s="179"/>
      <c r="H180" s="180"/>
      <c r="I180" s="162"/>
      <c r="J180" s="187"/>
      <c r="K180" s="223"/>
      <c r="L180" s="168"/>
      <c r="M180" s="168"/>
      <c r="N180" s="168"/>
      <c r="O180" s="181"/>
      <c r="P180" s="181"/>
    </row>
    <row r="181" spans="1:16" ht="21.75" customHeight="1" x14ac:dyDescent="0.3">
      <c r="A181" s="175"/>
      <c r="B181" s="176"/>
      <c r="C181" s="176"/>
      <c r="D181" s="182">
        <v>1</v>
      </c>
      <c r="E181" s="183" t="s">
        <v>45</v>
      </c>
      <c r="F181" s="184"/>
      <c r="G181" s="185"/>
      <c r="H181" s="186"/>
      <c r="I181" s="187"/>
      <c r="J181" s="187">
        <f ca="1">IFERROR(__xludf.DUMMYFUNCTION("IMPORTRANGE(""https://docs.google.com/spreadsheets/d/11923uPwbBZFjjGgGUA6NLw09EwE0CqkOc4q9oUmW1yo/edit?usp=sharing"",""พิจิตร!J106"")"),0)</f>
        <v>0</v>
      </c>
      <c r="K181" s="223"/>
      <c r="L181" s="168"/>
      <c r="M181" s="168"/>
      <c r="N181" s="168"/>
      <c r="O181" s="181"/>
      <c r="P181" s="181"/>
    </row>
    <row r="182" spans="1:16" ht="21.75" customHeight="1" x14ac:dyDescent="0.3">
      <c r="A182" s="175"/>
      <c r="B182" s="176"/>
      <c r="C182" s="176"/>
      <c r="D182" s="189">
        <v>2</v>
      </c>
      <c r="E182" s="190" t="s">
        <v>46</v>
      </c>
      <c r="F182" s="191"/>
      <c r="G182" s="192"/>
      <c r="H182" s="186"/>
      <c r="I182" s="187"/>
      <c r="J182" s="187">
        <f ca="1">IFERROR(__xludf.DUMMYFUNCTION("IMPORTRANGE(""https://docs.google.com/spreadsheets/d/11923uPwbBZFjjGgGUA6NLw09EwE0CqkOc4q9oUmW1yo/edit?usp=sharing"",""พิจิตร!J107"")"),0)</f>
        <v>0</v>
      </c>
      <c r="K182" s="223"/>
      <c r="L182" s="168"/>
      <c r="M182" s="168"/>
      <c r="N182" s="168"/>
      <c r="O182" s="181"/>
      <c r="P182" s="181"/>
    </row>
    <row r="183" spans="1:16" ht="21.75" customHeight="1" x14ac:dyDescent="0.3">
      <c r="A183" s="175"/>
      <c r="B183" s="176"/>
      <c r="C183" s="176"/>
      <c r="D183" s="193"/>
      <c r="E183" s="194" t="s">
        <v>47</v>
      </c>
      <c r="F183" s="195"/>
      <c r="G183" s="196"/>
      <c r="H183" s="186"/>
      <c r="I183" s="187"/>
      <c r="J183" s="187">
        <f ca="1">IFERROR(__xludf.DUMMYFUNCTION("IMPORTRANGE(""https://docs.google.com/spreadsheets/d/11923uPwbBZFjjGgGUA6NLw09EwE0CqkOc4q9oUmW1yo/edit?usp=sharing"",""พิจิตร!J108"")"),0)</f>
        <v>0</v>
      </c>
      <c r="K183" s="223"/>
      <c r="L183" s="168"/>
      <c r="M183" s="168"/>
      <c r="N183" s="168"/>
      <c r="O183" s="181"/>
      <c r="P183" s="181"/>
    </row>
    <row r="184" spans="1:16" ht="21.75" customHeight="1" x14ac:dyDescent="0.3">
      <c r="A184" s="175"/>
      <c r="B184" s="176"/>
      <c r="C184" s="176"/>
      <c r="D184" s="193"/>
      <c r="E184" s="194" t="s">
        <v>48</v>
      </c>
      <c r="F184" s="195"/>
      <c r="G184" s="196"/>
      <c r="H184" s="186"/>
      <c r="I184" s="187"/>
      <c r="J184" s="187">
        <f ca="1">IFERROR(__xludf.DUMMYFUNCTION("IMPORTRANGE(""https://docs.google.com/spreadsheets/d/11923uPwbBZFjjGgGUA6NLw09EwE0CqkOc4q9oUmW1yo/edit?usp=sharing"",""พิจิตร!J109"")"),0)</f>
        <v>0</v>
      </c>
      <c r="K184" s="223"/>
      <c r="L184" s="168"/>
      <c r="M184" s="168"/>
      <c r="N184" s="168"/>
      <c r="O184" s="181"/>
      <c r="P184" s="181"/>
    </row>
    <row r="185" spans="1:16" ht="21.75" customHeight="1" x14ac:dyDescent="0.3">
      <c r="A185" s="175"/>
      <c r="B185" s="176"/>
      <c r="C185" s="176"/>
      <c r="D185" s="193"/>
      <c r="E185" s="198"/>
      <c r="F185" s="194" t="s">
        <v>86</v>
      </c>
      <c r="G185" s="196"/>
      <c r="H185" s="180" t="s">
        <v>83</v>
      </c>
      <c r="I185" s="187">
        <f ca="1">IFERROR(__xludf.DUMMYFUNCTION("IMPORTRANGE(""https://docs.google.com/spreadsheets/d/11923uPwbBZFjjGgGUA6NLw09EwE0CqkOc4q9oUmW1yo/edit?usp=sharing"",""พิจิตร!I110"")"),0)</f>
        <v>0</v>
      </c>
      <c r="J185" s="203">
        <f ca="1">IFERROR(__xludf.DUMMYFUNCTION("IMPORTRANGE(""https://docs.google.com/spreadsheets/d/11923uPwbBZFjjGgGUA6NLw09EwE0CqkOc4q9oUmW1yo/edit?usp=sharing"",""พิจิตร!J110"")"),0)</f>
        <v>0</v>
      </c>
      <c r="K185" s="223">
        <f t="shared" ref="K185:K186" ca="1" si="69">IF(I185&gt;0,J185*100/I185,0)</f>
        <v>0</v>
      </c>
      <c r="L185" s="168"/>
      <c r="M185" s="168"/>
      <c r="N185" s="167"/>
      <c r="O185" s="168"/>
      <c r="P185" s="168"/>
    </row>
    <row r="186" spans="1:16" ht="21.75" customHeight="1" x14ac:dyDescent="0.3">
      <c r="A186" s="175"/>
      <c r="B186" s="176"/>
      <c r="C186" s="176"/>
      <c r="D186" s="193"/>
      <c r="E186" s="198"/>
      <c r="F186" s="194" t="s">
        <v>87</v>
      </c>
      <c r="G186" s="196"/>
      <c r="H186" s="180" t="s">
        <v>83</v>
      </c>
      <c r="I186" s="187">
        <f ca="1">IFERROR(__xludf.DUMMYFUNCTION("IMPORTRANGE(""https://docs.google.com/spreadsheets/d/11923uPwbBZFjjGgGUA6NLw09EwE0CqkOc4q9oUmW1yo/edit?usp=sharing"",""พิจิตร!I111"")"),0)</f>
        <v>0</v>
      </c>
      <c r="J186" s="203">
        <f ca="1">IFERROR(__xludf.DUMMYFUNCTION("IMPORTRANGE(""https://docs.google.com/spreadsheets/d/11923uPwbBZFjjGgGUA6NLw09EwE0CqkOc4q9oUmW1yo/edit?usp=sharing"",""พิจิตร!J111"")"),0)</f>
        <v>0</v>
      </c>
      <c r="K186" s="223">
        <f t="shared" ca="1" si="69"/>
        <v>0</v>
      </c>
      <c r="L186" s="168"/>
      <c r="M186" s="168"/>
      <c r="N186" s="167"/>
      <c r="O186" s="168"/>
      <c r="P186" s="168"/>
    </row>
    <row r="187" spans="1:16" ht="21.75" customHeight="1" x14ac:dyDescent="0.3">
      <c r="A187" s="175"/>
      <c r="B187" s="176"/>
      <c r="C187" s="176"/>
      <c r="D187" s="193"/>
      <c r="E187" s="194" t="s">
        <v>54</v>
      </c>
      <c r="F187" s="195"/>
      <c r="G187" s="196"/>
      <c r="H187" s="186"/>
      <c r="I187" s="187"/>
      <c r="J187" s="187">
        <f ca="1">IFERROR(__xludf.DUMMYFUNCTION("IMPORTRANGE(""https://docs.google.com/spreadsheets/d/11923uPwbBZFjjGgGUA6NLw09EwE0CqkOc4q9oUmW1yo/edit?usp=sharing"",""พิจิตร!J112"")"),0)</f>
        <v>0</v>
      </c>
      <c r="K187" s="223"/>
      <c r="L187" s="168"/>
      <c r="M187" s="168"/>
      <c r="N187" s="168"/>
      <c r="O187" s="181"/>
      <c r="P187" s="181"/>
    </row>
    <row r="188" spans="1:16" ht="21.75" customHeight="1" x14ac:dyDescent="0.3">
      <c r="A188" s="175"/>
      <c r="B188" s="176"/>
      <c r="C188" s="176"/>
      <c r="D188" s="205">
        <v>3</v>
      </c>
      <c r="E188" s="206" t="s">
        <v>55</v>
      </c>
      <c r="F188" s="207"/>
      <c r="G188" s="208"/>
      <c r="H188" s="186"/>
      <c r="I188" s="187"/>
      <c r="J188" s="226">
        <f ca="1">IFERROR(__xludf.DUMMYFUNCTION("IMPORTRANGE(""https://docs.google.com/spreadsheets/d/11923uPwbBZFjjGgGUA6NLw09EwE0CqkOc4q9oUmW1yo/edit?usp=sharing"",""พิจิตร!J113"")"),0)</f>
        <v>0</v>
      </c>
      <c r="K188" s="223"/>
      <c r="L188" s="168"/>
      <c r="M188" s="168"/>
      <c r="N188" s="168"/>
      <c r="O188" s="181"/>
      <c r="P188" s="181"/>
    </row>
    <row r="189" spans="1:16" ht="21.75" customHeight="1" x14ac:dyDescent="0.3">
      <c r="A189" s="269"/>
      <c r="B189" s="270"/>
      <c r="C189" s="271" t="s">
        <v>88</v>
      </c>
      <c r="D189" s="271"/>
      <c r="E189" s="271"/>
      <c r="F189" s="271"/>
      <c r="G189" s="272"/>
      <c r="H189" s="284" t="s">
        <v>89</v>
      </c>
      <c r="I189" s="282">
        <f ca="1">IFERROR(__xludf.DUMMYFUNCTION("IMPORTRANGE(""https://docs.google.com/spreadsheets/d/11923uPwbBZFjjGgGUA6NLw09EwE0CqkOc4q9oUmW1yo/edit?usp=sharing"",""พิจิตร!I114"")"),20000)</f>
        <v>20000</v>
      </c>
      <c r="J189" s="282">
        <f ca="1">IFERROR(__xludf.DUMMYFUNCTION("IMPORTRANGE(""https://docs.google.com/spreadsheets/d/11923uPwbBZFjjGgGUA6NLw09EwE0CqkOc4q9oUmW1yo/edit?usp=sharing"",""พิจิตร!J114"")"),0)</f>
        <v>0</v>
      </c>
      <c r="K189" s="283">
        <f ca="1">IF(I189&gt;0,J189*100/I189,0)</f>
        <v>0</v>
      </c>
      <c r="L189" s="276"/>
      <c r="M189" s="276"/>
      <c r="N189" s="276"/>
      <c r="O189" s="276"/>
      <c r="P189" s="276"/>
    </row>
    <row r="190" spans="1:16" ht="21.75" customHeight="1" x14ac:dyDescent="0.3">
      <c r="A190" s="156"/>
      <c r="B190" s="157"/>
      <c r="C190" s="157" t="s">
        <v>16</v>
      </c>
      <c r="D190" s="158" t="s">
        <v>38</v>
      </c>
      <c r="E190" s="159"/>
      <c r="F190" s="159"/>
      <c r="G190" s="160" t="s">
        <v>39</v>
      </c>
      <c r="H190" s="161" t="s">
        <v>12</v>
      </c>
      <c r="I190" s="162" t="s">
        <v>40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3">
      <c r="A191" s="156"/>
      <c r="B191" s="157"/>
      <c r="C191" s="157"/>
      <c r="D191" s="166"/>
      <c r="E191" s="159"/>
      <c r="F191" s="159" t="s">
        <v>40</v>
      </c>
      <c r="G191" s="160" t="s">
        <v>41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3">
      <c r="A192" s="156"/>
      <c r="B192" s="157"/>
      <c r="C192" s="157"/>
      <c r="D192" s="166"/>
      <c r="E192" s="159"/>
      <c r="F192" s="159"/>
      <c r="G192" s="169" t="s">
        <v>43</v>
      </c>
      <c r="H192" s="161" t="s">
        <v>12</v>
      </c>
      <c r="I192" s="162"/>
      <c r="J192" s="162"/>
      <c r="K192" s="163"/>
      <c r="L192" s="168"/>
      <c r="M192" s="168"/>
      <c r="N192" s="167"/>
      <c r="O192" s="168"/>
      <c r="P192" s="168"/>
    </row>
    <row r="193" spans="1:16" ht="21.75" customHeight="1" x14ac:dyDescent="0.3">
      <c r="A193" s="175"/>
      <c r="B193" s="176"/>
      <c r="C193" s="157" t="s">
        <v>16</v>
      </c>
      <c r="D193" s="177" t="s">
        <v>44</v>
      </c>
      <c r="E193" s="178"/>
      <c r="F193" s="178"/>
      <c r="G193" s="179"/>
      <c r="H193" s="180"/>
      <c r="I193" s="162"/>
      <c r="J193" s="162"/>
      <c r="K193" s="163"/>
      <c r="L193" s="181"/>
      <c r="M193" s="181"/>
      <c r="N193" s="181"/>
      <c r="O193" s="181"/>
      <c r="P193" s="181"/>
    </row>
    <row r="194" spans="1:16" ht="21.75" customHeight="1" x14ac:dyDescent="0.3">
      <c r="A194" s="175"/>
      <c r="B194" s="176"/>
      <c r="C194" s="176"/>
      <c r="D194" s="182">
        <v>1</v>
      </c>
      <c r="E194" s="183" t="s">
        <v>45</v>
      </c>
      <c r="F194" s="184"/>
      <c r="G194" s="185"/>
      <c r="H194" s="186"/>
      <c r="I194" s="187"/>
      <c r="J194" s="197">
        <f ca="1">IFERROR(__xludf.DUMMYFUNCTION("IMPORTRANGE(""https://docs.google.com/spreadsheets/d/11923uPwbBZFjjGgGUA6NLw09EwE0CqkOc4q9oUmW1yo/edit?usp=sharing"",""พิจิตร!J119"")"),0)</f>
        <v>0</v>
      </c>
      <c r="K194" s="163"/>
      <c r="L194" s="181"/>
      <c r="M194" s="181"/>
      <c r="N194" s="181"/>
      <c r="O194" s="181"/>
      <c r="P194" s="181"/>
    </row>
    <row r="195" spans="1:16" ht="21.75" customHeight="1" x14ac:dyDescent="0.3">
      <c r="A195" s="175"/>
      <c r="B195" s="176"/>
      <c r="C195" s="176"/>
      <c r="D195" s="189">
        <v>2</v>
      </c>
      <c r="E195" s="190" t="s">
        <v>46</v>
      </c>
      <c r="F195" s="191"/>
      <c r="G195" s="192"/>
      <c r="H195" s="186"/>
      <c r="I195" s="187"/>
      <c r="J195" s="188">
        <f ca="1">IFERROR(__xludf.DUMMYFUNCTION("IMPORTRANGE(""https://docs.google.com/spreadsheets/d/11923uPwbBZFjjGgGUA6NLw09EwE0CqkOc4q9oUmW1yo/edit?usp=sharing"",""พิจิตร!J120"")"),1)</f>
        <v>1</v>
      </c>
      <c r="K195" s="163"/>
      <c r="L195" s="181"/>
      <c r="M195" s="181"/>
      <c r="N195" s="181"/>
      <c r="O195" s="181"/>
      <c r="P195" s="181"/>
    </row>
    <row r="196" spans="1:16" ht="21.75" customHeight="1" x14ac:dyDescent="0.3">
      <c r="A196" s="175"/>
      <c r="B196" s="176"/>
      <c r="C196" s="176"/>
      <c r="D196" s="193"/>
      <c r="E196" s="194" t="s">
        <v>47</v>
      </c>
      <c r="F196" s="195"/>
      <c r="G196" s="196"/>
      <c r="H196" s="186"/>
      <c r="I196" s="187"/>
      <c r="J196" s="188">
        <f ca="1">IFERROR(__xludf.DUMMYFUNCTION("IMPORTRANGE(""https://docs.google.com/spreadsheets/d/11923uPwbBZFjjGgGUA6NLw09EwE0CqkOc4q9oUmW1yo/edit?usp=sharing"",""พิจิตร!J121"")"),1)</f>
        <v>1</v>
      </c>
      <c r="K196" s="163"/>
      <c r="L196" s="181"/>
      <c r="M196" s="181"/>
      <c r="N196" s="181"/>
      <c r="O196" s="181"/>
      <c r="P196" s="181"/>
    </row>
    <row r="197" spans="1:16" ht="21.75" customHeight="1" x14ac:dyDescent="0.3">
      <c r="A197" s="175"/>
      <c r="B197" s="176"/>
      <c r="C197" s="176"/>
      <c r="D197" s="193"/>
      <c r="E197" s="194" t="s">
        <v>48</v>
      </c>
      <c r="F197" s="195"/>
      <c r="G197" s="196"/>
      <c r="H197" s="186"/>
      <c r="I197" s="187"/>
      <c r="J197" s="197">
        <f ca="1">IFERROR(__xludf.DUMMYFUNCTION("IMPORTRANGE(""https://docs.google.com/spreadsheets/d/11923uPwbBZFjjGgGUA6NLw09EwE0CqkOc4q9oUmW1yo/edit?usp=sharing"",""พิจิตร!J122"")"),1)</f>
        <v>1</v>
      </c>
      <c r="K197" s="163"/>
      <c r="L197" s="181"/>
      <c r="M197" s="181"/>
      <c r="N197" s="181"/>
      <c r="O197" s="181"/>
      <c r="P197" s="181"/>
    </row>
    <row r="198" spans="1:16" ht="21.75" customHeight="1" x14ac:dyDescent="0.3">
      <c r="A198" s="175"/>
      <c r="B198" s="176"/>
      <c r="C198" s="176"/>
      <c r="D198" s="193"/>
      <c r="E198" s="195"/>
      <c r="F198" s="195" t="s">
        <v>90</v>
      </c>
      <c r="G198" s="196"/>
      <c r="H198" s="180"/>
      <c r="I198" s="187"/>
      <c r="J198" s="187"/>
      <c r="K198" s="163"/>
      <c r="L198" s="181"/>
      <c r="M198" s="181"/>
      <c r="N198" s="181"/>
      <c r="O198" s="181"/>
      <c r="P198" s="181"/>
    </row>
    <row r="199" spans="1:16" ht="21.75" customHeight="1" x14ac:dyDescent="0.3">
      <c r="A199" s="175"/>
      <c r="B199" s="176"/>
      <c r="C199" s="176"/>
      <c r="D199" s="193"/>
      <c r="E199" s="198"/>
      <c r="F199" s="195"/>
      <c r="G199" s="194" t="s">
        <v>91</v>
      </c>
      <c r="H199" s="180" t="s">
        <v>89</v>
      </c>
      <c r="I199" s="187">
        <f ca="1">IFERROR(__xludf.DUMMYFUNCTION("IMPORTRANGE(""https://docs.google.com/spreadsheets/d/11923uPwbBZFjjGgGUA6NLw09EwE0CqkOc4q9oUmW1yo/edit?usp=sharing"",""พิจิตร!I124"")"),20000)</f>
        <v>20000</v>
      </c>
      <c r="J199" s="188">
        <f ca="1">IFERROR(__xludf.DUMMYFUNCTION("IMPORTRANGE(""https://docs.google.com/spreadsheets/d/11923uPwbBZFjjGgGUA6NLw09EwE0CqkOc4q9oUmW1yo/edit?usp=sharing"",""พิจิตร!J124"")"),0)</f>
        <v>0</v>
      </c>
      <c r="K199" s="163">
        <f t="shared" ref="K199:K201" ca="1" si="70">IF(I199&gt;0,J199*100/I199,0)</f>
        <v>0</v>
      </c>
      <c r="L199" s="181"/>
      <c r="M199" s="181"/>
      <c r="N199" s="181"/>
      <c r="O199" s="181"/>
      <c r="P199" s="181"/>
    </row>
    <row r="200" spans="1:16" ht="21.75" customHeight="1" x14ac:dyDescent="0.3">
      <c r="A200" s="175"/>
      <c r="B200" s="176"/>
      <c r="C200" s="176"/>
      <c r="D200" s="193"/>
      <c r="E200" s="198"/>
      <c r="F200" s="195"/>
      <c r="G200" s="194" t="s">
        <v>92</v>
      </c>
      <c r="H200" s="180" t="s">
        <v>89</v>
      </c>
      <c r="I200" s="187">
        <f ca="1">IFERROR(__xludf.DUMMYFUNCTION("IMPORTRANGE(""https://docs.google.com/spreadsheets/d/11923uPwbBZFjjGgGUA6NLw09EwE0CqkOc4q9oUmW1yo/edit?usp=sharing"",""พิจิตร!I125"")"),20000)</f>
        <v>20000</v>
      </c>
      <c r="J200" s="188">
        <f ca="1">IFERROR(__xludf.DUMMYFUNCTION("IMPORTRANGE(""https://docs.google.com/spreadsheets/d/11923uPwbBZFjjGgGUA6NLw09EwE0CqkOc4q9oUmW1yo/edit?usp=sharing"",""พิจิตร!J125"")"),0)</f>
        <v>0</v>
      </c>
      <c r="K200" s="163">
        <f t="shared" ca="1" si="70"/>
        <v>0</v>
      </c>
      <c r="L200" s="168"/>
      <c r="M200" s="168"/>
      <c r="N200" s="167"/>
      <c r="O200" s="168"/>
      <c r="P200" s="168"/>
    </row>
    <row r="201" spans="1:16" ht="21.75" customHeight="1" x14ac:dyDescent="0.3">
      <c r="A201" s="175"/>
      <c r="B201" s="176"/>
      <c r="C201" s="176"/>
      <c r="D201" s="193"/>
      <c r="E201" s="198"/>
      <c r="F201" s="195" t="s">
        <v>93</v>
      </c>
      <c r="G201" s="196"/>
      <c r="H201" s="180" t="s">
        <v>37</v>
      </c>
      <c r="I201" s="187">
        <f ca="1">IFERROR(__xludf.DUMMYFUNCTION("IMPORTRANGE(""https://docs.google.com/spreadsheets/d/11923uPwbBZFjjGgGUA6NLw09EwE0CqkOc4q9oUmW1yo/edit?usp=sharing"",""พิจิตร!I126"")"),0)</f>
        <v>0</v>
      </c>
      <c r="J201" s="188">
        <f ca="1">IFERROR(__xludf.DUMMYFUNCTION("IMPORTRANGE(""https://docs.google.com/spreadsheets/d/11923uPwbBZFjjGgGUA6NLw09EwE0CqkOc4q9oUmW1yo/edit?usp=sharing"",""พิจิตร!J126"")"),0)</f>
        <v>0</v>
      </c>
      <c r="K201" s="163">
        <f t="shared" ca="1" si="70"/>
        <v>0</v>
      </c>
      <c r="L201" s="168"/>
      <c r="M201" s="168"/>
      <c r="N201" s="167"/>
      <c r="O201" s="168"/>
      <c r="P201" s="168"/>
    </row>
    <row r="202" spans="1:16" ht="21.75" customHeight="1" x14ac:dyDescent="0.3">
      <c r="A202" s="175"/>
      <c r="B202" s="176"/>
      <c r="C202" s="176"/>
      <c r="D202" s="193"/>
      <c r="E202" s="194" t="s">
        <v>54</v>
      </c>
      <c r="F202" s="195"/>
      <c r="G202" s="196"/>
      <c r="H202" s="186"/>
      <c r="I202" s="187"/>
      <c r="J202" s="197">
        <f ca="1">IFERROR(__xludf.DUMMYFUNCTION("IMPORTRANGE(""https://docs.google.com/spreadsheets/d/11923uPwbBZFjjGgGUA6NLw09EwE0CqkOc4q9oUmW1yo/edit?usp=sharing"",""พิจิตร!J127"")"),0)</f>
        <v>0</v>
      </c>
      <c r="K202" s="163"/>
      <c r="L202" s="181"/>
      <c r="M202" s="181"/>
      <c r="N202" s="181"/>
      <c r="O202" s="181"/>
      <c r="P202" s="181"/>
    </row>
    <row r="203" spans="1:16" ht="21.75" customHeight="1" x14ac:dyDescent="0.3">
      <c r="A203" s="233"/>
      <c r="B203" s="234"/>
      <c r="C203" s="234"/>
      <c r="D203" s="235">
        <v>3</v>
      </c>
      <c r="E203" s="236" t="s">
        <v>55</v>
      </c>
      <c r="F203" s="237"/>
      <c r="G203" s="238"/>
      <c r="H203" s="239"/>
      <c r="I203" s="240"/>
      <c r="J203" s="285">
        <f ca="1">IFERROR(__xludf.DUMMYFUNCTION("IMPORTRANGE(""https://docs.google.com/spreadsheets/d/11923uPwbBZFjjGgGUA6NLw09EwE0CqkOc4q9oUmW1yo/edit?usp=sharing"",""พิจิตร!J128"")"),0)</f>
        <v>0</v>
      </c>
      <c r="K203" s="286"/>
      <c r="L203" s="244"/>
      <c r="M203" s="244"/>
      <c r="N203" s="244"/>
      <c r="O203" s="244"/>
      <c r="P203" s="244"/>
    </row>
    <row r="204" spans="1:16" ht="21.75" customHeight="1" x14ac:dyDescent="0.3">
      <c r="A204" s="269"/>
      <c r="B204" s="270"/>
      <c r="C204" s="287" t="s">
        <v>94</v>
      </c>
      <c r="D204" s="271"/>
      <c r="E204" s="271"/>
      <c r="F204" s="271"/>
      <c r="G204" s="272"/>
      <c r="H204" s="284" t="s">
        <v>37</v>
      </c>
      <c r="I204" s="282">
        <f ca="1">IFERROR(__xludf.DUMMYFUNCTION("IMPORTRANGE(""https://docs.google.com/spreadsheets/d/11923uPwbBZFjjGgGUA6NLw09EwE0CqkOc4q9oUmW1yo/edit?usp=sharing"",""พิจิตร!I129"")"),0)</f>
        <v>0</v>
      </c>
      <c r="J204" s="282">
        <f ca="1">IFERROR(__xludf.DUMMYFUNCTION("IMPORTRANGE(""https://docs.google.com/spreadsheets/d/11923uPwbBZFjjGgGUA6NLw09EwE0CqkOc4q9oUmW1yo/edit?usp=sharing"",""พิจิตร!J129"")"),0)</f>
        <v>0</v>
      </c>
      <c r="K204" s="283">
        <f ca="1">IF(I204&gt;0,J204*100/I204,0)</f>
        <v>0</v>
      </c>
      <c r="L204" s="276"/>
      <c r="M204" s="276"/>
      <c r="N204" s="276"/>
      <c r="O204" s="276"/>
      <c r="P204" s="276"/>
    </row>
    <row r="205" spans="1:16" ht="21.75" customHeight="1" x14ac:dyDescent="0.3">
      <c r="A205" s="156"/>
      <c r="B205" s="157"/>
      <c r="C205" s="157" t="s">
        <v>16</v>
      </c>
      <c r="D205" s="158" t="s">
        <v>38</v>
      </c>
      <c r="E205" s="159"/>
      <c r="F205" s="159"/>
      <c r="G205" s="160" t="s">
        <v>39</v>
      </c>
      <c r="H205" s="161" t="s">
        <v>12</v>
      </c>
      <c r="I205" s="162" t="s">
        <v>40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3">
      <c r="A206" s="156"/>
      <c r="B206" s="157"/>
      <c r="C206" s="157"/>
      <c r="D206" s="166"/>
      <c r="E206" s="159"/>
      <c r="F206" s="159" t="s">
        <v>40</v>
      </c>
      <c r="G206" s="160" t="s">
        <v>41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3">
      <c r="A207" s="156"/>
      <c r="B207" s="157"/>
      <c r="C207" s="157"/>
      <c r="D207" s="166"/>
      <c r="E207" s="159"/>
      <c r="F207" s="159"/>
      <c r="G207" s="169" t="s">
        <v>43</v>
      </c>
      <c r="H207" s="161" t="s">
        <v>12</v>
      </c>
      <c r="I207" s="162"/>
      <c r="J207" s="187"/>
      <c r="K207" s="223"/>
      <c r="L207" s="168"/>
      <c r="M207" s="168"/>
      <c r="N207" s="167"/>
      <c r="O207" s="168"/>
      <c r="P207" s="168"/>
    </row>
    <row r="208" spans="1:16" ht="21.75" customHeight="1" x14ac:dyDescent="0.3">
      <c r="A208" s="175"/>
      <c r="B208" s="176"/>
      <c r="C208" s="157" t="s">
        <v>16</v>
      </c>
      <c r="D208" s="177" t="s">
        <v>44</v>
      </c>
      <c r="E208" s="178"/>
      <c r="F208" s="178"/>
      <c r="G208" s="179"/>
      <c r="H208" s="180"/>
      <c r="I208" s="162"/>
      <c r="J208" s="187"/>
      <c r="K208" s="223"/>
      <c r="L208" s="168"/>
      <c r="M208" s="168"/>
      <c r="N208" s="168"/>
      <c r="O208" s="181"/>
      <c r="P208" s="181"/>
    </row>
    <row r="209" spans="1:16" ht="21.75" customHeight="1" x14ac:dyDescent="0.3">
      <c r="A209" s="175"/>
      <c r="B209" s="176"/>
      <c r="C209" s="176"/>
      <c r="D209" s="182">
        <v>1</v>
      </c>
      <c r="E209" s="183" t="s">
        <v>45</v>
      </c>
      <c r="F209" s="184"/>
      <c r="G209" s="185"/>
      <c r="H209" s="186"/>
      <c r="I209" s="187"/>
      <c r="J209" s="187">
        <f ca="1">IFERROR(__xludf.DUMMYFUNCTION("IMPORTRANGE(""https://docs.google.com/spreadsheets/d/11923uPwbBZFjjGgGUA6NLw09EwE0CqkOc4q9oUmW1yo/edit?usp=sharing"",""พิจิตร!J134"")"),0)</f>
        <v>0</v>
      </c>
      <c r="K209" s="223"/>
      <c r="L209" s="168"/>
      <c r="M209" s="168"/>
      <c r="N209" s="168"/>
      <c r="O209" s="181"/>
      <c r="P209" s="181"/>
    </row>
    <row r="210" spans="1:16" ht="21.75" customHeight="1" x14ac:dyDescent="0.3">
      <c r="A210" s="175"/>
      <c r="B210" s="176"/>
      <c r="C210" s="176"/>
      <c r="D210" s="189">
        <v>2</v>
      </c>
      <c r="E210" s="190" t="s">
        <v>46</v>
      </c>
      <c r="F210" s="191"/>
      <c r="G210" s="192"/>
      <c r="H210" s="186"/>
      <c r="I210" s="187"/>
      <c r="J210" s="187">
        <f ca="1">IFERROR(__xludf.DUMMYFUNCTION("IMPORTRANGE(""https://docs.google.com/spreadsheets/d/11923uPwbBZFjjGgGUA6NLw09EwE0CqkOc4q9oUmW1yo/edit?usp=sharing"",""พิจิตร!J135"")"),0)</f>
        <v>0</v>
      </c>
      <c r="K210" s="223"/>
      <c r="L210" s="168"/>
      <c r="M210" s="168"/>
      <c r="N210" s="168"/>
      <c r="O210" s="181"/>
      <c r="P210" s="181"/>
    </row>
    <row r="211" spans="1:16" ht="21.75" customHeight="1" x14ac:dyDescent="0.3">
      <c r="A211" s="175"/>
      <c r="B211" s="176"/>
      <c r="C211" s="176"/>
      <c r="D211" s="193"/>
      <c r="E211" s="194" t="s">
        <v>47</v>
      </c>
      <c r="F211" s="195"/>
      <c r="G211" s="196"/>
      <c r="H211" s="186"/>
      <c r="I211" s="187"/>
      <c r="J211" s="187">
        <f ca="1">IFERROR(__xludf.DUMMYFUNCTION("IMPORTRANGE(""https://docs.google.com/spreadsheets/d/11923uPwbBZFjjGgGUA6NLw09EwE0CqkOc4q9oUmW1yo/edit?usp=sharing"",""พิจิตร!J136"")"),0)</f>
        <v>0</v>
      </c>
      <c r="K211" s="223"/>
      <c r="L211" s="168"/>
      <c r="M211" s="168"/>
      <c r="N211" s="168"/>
      <c r="O211" s="181"/>
      <c r="P211" s="181"/>
    </row>
    <row r="212" spans="1:16" ht="21.75" customHeight="1" x14ac:dyDescent="0.3">
      <c r="A212" s="175"/>
      <c r="B212" s="176"/>
      <c r="C212" s="176"/>
      <c r="D212" s="193"/>
      <c r="E212" s="194" t="s">
        <v>48</v>
      </c>
      <c r="F212" s="195"/>
      <c r="G212" s="196"/>
      <c r="H212" s="186"/>
      <c r="I212" s="187"/>
      <c r="J212" s="187">
        <f ca="1">IFERROR(__xludf.DUMMYFUNCTION("IMPORTRANGE(""https://docs.google.com/spreadsheets/d/11923uPwbBZFjjGgGUA6NLw09EwE0CqkOc4q9oUmW1yo/edit?usp=sharing"",""พิจิตร!J137"")"),0)</f>
        <v>0</v>
      </c>
      <c r="K212" s="223"/>
      <c r="L212" s="168"/>
      <c r="M212" s="168"/>
      <c r="N212" s="168"/>
      <c r="O212" s="181"/>
      <c r="P212" s="181"/>
    </row>
    <row r="213" spans="1:16" ht="21.75" customHeight="1" x14ac:dyDescent="0.3">
      <c r="A213" s="175"/>
      <c r="B213" s="176"/>
      <c r="C213" s="176"/>
      <c r="D213" s="193"/>
      <c r="E213" s="198"/>
      <c r="F213" s="195" t="s">
        <v>95</v>
      </c>
      <c r="G213" s="196"/>
      <c r="H213" s="180" t="s">
        <v>37</v>
      </c>
      <c r="I213" s="187">
        <f ca="1">IFERROR(__xludf.DUMMYFUNCTION("IMPORTRANGE(""https://docs.google.com/spreadsheets/d/11923uPwbBZFjjGgGUA6NLw09EwE0CqkOc4q9oUmW1yo/edit?usp=sharing"",""พิจิตร!I138"")"),0)</f>
        <v>0</v>
      </c>
      <c r="J213" s="203">
        <f ca="1">IFERROR(__xludf.DUMMYFUNCTION("IMPORTRANGE(""https://docs.google.com/spreadsheets/d/11923uPwbBZFjjGgGUA6NLw09EwE0CqkOc4q9oUmW1yo/edit?usp=sharing"",""พิจิตร!J138"")"),0)</f>
        <v>0</v>
      </c>
      <c r="K213" s="223">
        <f ca="1">IF(I213&gt;0,J213*100/I213,0)</f>
        <v>0</v>
      </c>
      <c r="L213" s="168"/>
      <c r="M213" s="168"/>
      <c r="N213" s="167"/>
      <c r="O213" s="168"/>
      <c r="P213" s="168"/>
    </row>
    <row r="214" spans="1:16" ht="21.75" customHeight="1" x14ac:dyDescent="0.3">
      <c r="A214" s="175"/>
      <c r="B214" s="176"/>
      <c r="C214" s="176"/>
      <c r="D214" s="193"/>
      <c r="E214" s="198"/>
      <c r="F214" s="194" t="s">
        <v>53</v>
      </c>
      <c r="G214" s="196"/>
      <c r="H214" s="180"/>
      <c r="I214" s="187"/>
      <c r="J214" s="187"/>
      <c r="K214" s="223"/>
      <c r="L214" s="168"/>
      <c r="M214" s="168"/>
      <c r="N214" s="168"/>
      <c r="O214" s="181"/>
      <c r="P214" s="181"/>
    </row>
    <row r="215" spans="1:16" ht="21.75" customHeight="1" x14ac:dyDescent="0.3">
      <c r="A215" s="175"/>
      <c r="B215" s="176"/>
      <c r="C215" s="176"/>
      <c r="D215" s="193"/>
      <c r="E215" s="198"/>
      <c r="F215" s="195"/>
      <c r="G215" s="225" t="s">
        <v>96</v>
      </c>
      <c r="H215" s="180" t="s">
        <v>37</v>
      </c>
      <c r="I215" s="187">
        <f ca="1">IFERROR(__xludf.DUMMYFUNCTION("IMPORTRANGE(""https://docs.google.com/spreadsheets/d/11923uPwbBZFjjGgGUA6NLw09EwE0CqkOc4q9oUmW1yo/edit?usp=sharing"",""พิจิตร!I140"")"),0)</f>
        <v>0</v>
      </c>
      <c r="J215" s="203">
        <f ca="1">IFERROR(__xludf.DUMMYFUNCTION("IMPORTRANGE(""https://docs.google.com/spreadsheets/d/11923uPwbBZFjjGgGUA6NLw09EwE0CqkOc4q9oUmW1yo/edit?usp=sharing"",""พิจิตร!J140"")"),0)</f>
        <v>0</v>
      </c>
      <c r="K215" s="223">
        <f t="shared" ref="K215:K216" ca="1" si="71">IF(I215&gt;0,J215*100/I215,0)</f>
        <v>0</v>
      </c>
      <c r="L215" s="168"/>
      <c r="M215" s="168"/>
      <c r="N215" s="167"/>
      <c r="O215" s="168"/>
      <c r="P215" s="168"/>
    </row>
    <row r="216" spans="1:16" ht="21.75" customHeight="1" x14ac:dyDescent="0.3">
      <c r="A216" s="175"/>
      <c r="B216" s="176"/>
      <c r="C216" s="176"/>
      <c r="D216" s="193"/>
      <c r="E216" s="198"/>
      <c r="F216" s="195"/>
      <c r="G216" s="225" t="s">
        <v>97</v>
      </c>
      <c r="H216" s="180" t="s">
        <v>59</v>
      </c>
      <c r="I216" s="187">
        <f ca="1">IFERROR(__xludf.DUMMYFUNCTION("IMPORTRANGE(""https://docs.google.com/spreadsheets/d/11923uPwbBZFjjGgGUA6NLw09EwE0CqkOc4q9oUmW1yo/edit?usp=sharing"",""พิจิตร!I141"")"),0)</f>
        <v>0</v>
      </c>
      <c r="J216" s="203">
        <f ca="1">IFERROR(__xludf.DUMMYFUNCTION("IMPORTRANGE(""https://docs.google.com/spreadsheets/d/11923uPwbBZFjjGgGUA6NLw09EwE0CqkOc4q9oUmW1yo/edit?usp=sharing"",""พิจิตร!J141"")"),0)</f>
        <v>0</v>
      </c>
      <c r="K216" s="223">
        <f t="shared" ca="1" si="71"/>
        <v>0</v>
      </c>
      <c r="L216" s="168"/>
      <c r="M216" s="168"/>
      <c r="N216" s="167"/>
      <c r="O216" s="168"/>
      <c r="P216" s="168"/>
    </row>
    <row r="217" spans="1:16" ht="21.75" customHeight="1" x14ac:dyDescent="0.3">
      <c r="A217" s="175"/>
      <c r="B217" s="176"/>
      <c r="C217" s="176"/>
      <c r="D217" s="193"/>
      <c r="E217" s="194" t="s">
        <v>54</v>
      </c>
      <c r="F217" s="195"/>
      <c r="G217" s="196"/>
      <c r="H217" s="186"/>
      <c r="I217" s="187"/>
      <c r="J217" s="187">
        <f ca="1">IFERROR(__xludf.DUMMYFUNCTION("IMPORTRANGE(""https://docs.google.com/spreadsheets/d/11923uPwbBZFjjGgGUA6NLw09EwE0CqkOc4q9oUmW1yo/edit?usp=sharing"",""พิจิตร!J142"")"),0)</f>
        <v>0</v>
      </c>
      <c r="K217" s="223"/>
      <c r="L217" s="168"/>
      <c r="M217" s="168"/>
      <c r="N217" s="168"/>
      <c r="O217" s="181"/>
      <c r="P217" s="181"/>
    </row>
    <row r="218" spans="1:16" ht="21.75" customHeight="1" x14ac:dyDescent="0.3">
      <c r="A218" s="233"/>
      <c r="B218" s="234"/>
      <c r="C218" s="234"/>
      <c r="D218" s="235">
        <v>3</v>
      </c>
      <c r="E218" s="236" t="s">
        <v>55</v>
      </c>
      <c r="F218" s="237"/>
      <c r="G218" s="238"/>
      <c r="H218" s="239"/>
      <c r="I218" s="240"/>
      <c r="J218" s="241">
        <f ca="1">IFERROR(__xludf.DUMMYFUNCTION("IMPORTRANGE(""https://docs.google.com/spreadsheets/d/11923uPwbBZFjjGgGUA6NLw09EwE0CqkOc4q9oUmW1yo/edit?usp=sharing"",""พิจิตร!J143"")"),0)</f>
        <v>0</v>
      </c>
      <c r="K218" s="242"/>
      <c r="L218" s="243"/>
      <c r="M218" s="243"/>
      <c r="N218" s="243"/>
      <c r="O218" s="244"/>
      <c r="P218" s="244"/>
    </row>
    <row r="219" spans="1:16" ht="21.75" customHeight="1" x14ac:dyDescent="0.3">
      <c r="A219" s="261"/>
      <c r="B219" s="262" t="s">
        <v>98</v>
      </c>
      <c r="C219" s="263"/>
      <c r="D219" s="262"/>
      <c r="E219" s="262"/>
      <c r="F219" s="262"/>
      <c r="G219" s="264"/>
      <c r="H219" s="265" t="s">
        <v>37</v>
      </c>
      <c r="I219" s="266">
        <f ca="1">IFERROR(__xludf.DUMMYFUNCTION("IMPORTRANGE(""https://docs.google.com/spreadsheets/d/11923uPwbBZFjjGgGUA6NLw09EwE0CqkOc4q9oUmW1yo/edit?usp=sharing"",""พิจิตร!I144"")"),15)</f>
        <v>15</v>
      </c>
      <c r="J219" s="266">
        <f ca="1">IFERROR(__xludf.DUMMYFUNCTION("IMPORTRANGE(""https://docs.google.com/spreadsheets/d/11923uPwbBZFjjGgGUA6NLw09EwE0CqkOc4q9oUmW1yo/edit?usp=sharing"",""พิจิตร!J144"")"),15)</f>
        <v>15</v>
      </c>
      <c r="K219" s="267">
        <f ca="1">IF(I219&gt;0,J219*100/I219,0)</f>
        <v>100</v>
      </c>
      <c r="L219" s="268"/>
      <c r="M219" s="268"/>
      <c r="N219" s="268"/>
      <c r="O219" s="267"/>
      <c r="P219" s="267"/>
    </row>
    <row r="220" spans="1:16" ht="21.75" customHeight="1" x14ac:dyDescent="0.45">
      <c r="A220" s="145"/>
      <c r="B220" s="146"/>
      <c r="C220" s="147" t="s">
        <v>16</v>
      </c>
      <c r="D220" s="537" t="s">
        <v>17</v>
      </c>
      <c r="E220" s="528"/>
      <c r="F220" s="528"/>
      <c r="G220" s="528"/>
      <c r="H220" s="148" t="s">
        <v>12</v>
      </c>
      <c r="I220" s="162"/>
      <c r="J220" s="162"/>
      <c r="K220" s="163"/>
      <c r="L220" s="151">
        <f t="shared" ref="L220:N220" ca="1" si="72">L221+L222</f>
        <v>21125</v>
      </c>
      <c r="M220" s="151">
        <f t="shared" ca="1" si="72"/>
        <v>21125</v>
      </c>
      <c r="N220" s="151">
        <f t="shared" ca="1" si="72"/>
        <v>0</v>
      </c>
      <c r="O220" s="150">
        <f t="shared" ref="O220:O222" ca="1" si="73">IF(L220&gt;0,N220*100/L220,0)</f>
        <v>0</v>
      </c>
      <c r="P220" s="150">
        <f t="shared" ref="P220:P222" ca="1" si="74">IF(M220&gt;0,N220*100/M220,0)</f>
        <v>0</v>
      </c>
    </row>
    <row r="221" spans="1:16" ht="21.75" customHeight="1" x14ac:dyDescent="0.45">
      <c r="A221" s="152"/>
      <c r="B221" s="32"/>
      <c r="C221" s="32"/>
      <c r="D221" s="32"/>
      <c r="E221" s="32"/>
      <c r="F221" s="32"/>
      <c r="G221" s="33" t="s">
        <v>18</v>
      </c>
      <c r="H221" s="153" t="s">
        <v>12</v>
      </c>
      <c r="I221" s="162"/>
      <c r="J221" s="162"/>
      <c r="K221" s="163"/>
      <c r="L221" s="87">
        <f t="shared" ref="L221:N221" si="75">L223+L227</f>
        <v>0</v>
      </c>
      <c r="M221" s="87">
        <f t="shared" si="75"/>
        <v>0</v>
      </c>
      <c r="N221" s="87">
        <f t="shared" si="75"/>
        <v>0</v>
      </c>
      <c r="O221" s="155">
        <f t="shared" si="73"/>
        <v>0</v>
      </c>
      <c r="P221" s="155">
        <f t="shared" si="74"/>
        <v>0</v>
      </c>
    </row>
    <row r="222" spans="1:16" ht="21.75" customHeight="1" x14ac:dyDescent="0.45">
      <c r="A222" s="152"/>
      <c r="B222" s="32"/>
      <c r="C222" s="32"/>
      <c r="D222" s="32"/>
      <c r="E222" s="32"/>
      <c r="F222" s="32"/>
      <c r="G222" s="33" t="s">
        <v>19</v>
      </c>
      <c r="H222" s="153" t="s">
        <v>12</v>
      </c>
      <c r="I222" s="162"/>
      <c r="J222" s="162"/>
      <c r="K222" s="163"/>
      <c r="L222" s="87">
        <f t="shared" ref="L222:N222" ca="1" si="76">L224+L228</f>
        <v>21125</v>
      </c>
      <c r="M222" s="87">
        <f t="shared" ca="1" si="76"/>
        <v>21125</v>
      </c>
      <c r="N222" s="87">
        <f t="shared" ca="1" si="76"/>
        <v>0</v>
      </c>
      <c r="O222" s="155">
        <f t="shared" ca="1" si="73"/>
        <v>0</v>
      </c>
      <c r="P222" s="155">
        <f t="shared" ca="1" si="74"/>
        <v>0</v>
      </c>
    </row>
    <row r="223" spans="1:16" ht="21.75" customHeight="1" x14ac:dyDescent="0.3">
      <c r="A223" s="156"/>
      <c r="B223" s="157"/>
      <c r="C223" s="157" t="s">
        <v>16</v>
      </c>
      <c r="D223" s="158" t="s">
        <v>38</v>
      </c>
      <c r="E223" s="159"/>
      <c r="F223" s="159"/>
      <c r="G223" s="160" t="s">
        <v>39</v>
      </c>
      <c r="H223" s="161" t="s">
        <v>12</v>
      </c>
      <c r="I223" s="162" t="s">
        <v>40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3">
      <c r="A224" s="156"/>
      <c r="B224" s="157"/>
      <c r="C224" s="157"/>
      <c r="D224" s="166"/>
      <c r="E224" s="159"/>
      <c r="F224" s="159" t="s">
        <v>40</v>
      </c>
      <c r="G224" s="160" t="s">
        <v>41</v>
      </c>
      <c r="H224" s="161" t="s">
        <v>12</v>
      </c>
      <c r="I224" s="162"/>
      <c r="J224" s="162"/>
      <c r="K224" s="163"/>
      <c r="L224" s="167">
        <f ca="1">L225+L226</f>
        <v>21125</v>
      </c>
      <c r="M224" s="167">
        <f ca="1">IFERROR(__xludf.DUMMYFUNCTION("IMPORTRANGE(""https://docs.google.com/spreadsheets/d/1Yj_ptqi66GCucihVvJfMjLAmec39IyEx_6qawtMGysU/edit?usp=sharing"",""สบก!BS27"")"),21125)</f>
        <v>21125</v>
      </c>
      <c r="N224" s="168">
        <f ca="1">IFERROR(__xludf.DUMMYFUNCTION("IMPORTRANGE(""https://docs.google.com/spreadsheets/d/1Yj_ptqi66GCucihVvJfMjLAmec39IyEx_6qawtMGysU/edit?usp=sharing"",""สบก!BT27"")"),0)</f>
        <v>0</v>
      </c>
      <c r="O224" s="168">
        <f ca="1">IF(L224&gt;0,N224*100/L224,0)</f>
        <v>0</v>
      </c>
      <c r="P224" s="168">
        <f ca="1">IF(M224&gt;0,N224*100/M224,0)</f>
        <v>0</v>
      </c>
    </row>
    <row r="225" spans="1:16" ht="21.75" customHeight="1" x14ac:dyDescent="0.3">
      <c r="A225" s="156"/>
      <c r="B225" s="157"/>
      <c r="C225" s="157"/>
      <c r="D225" s="166"/>
      <c r="E225" s="159"/>
      <c r="F225" s="159"/>
      <c r="G225" s="169" t="s">
        <v>42</v>
      </c>
      <c r="H225" s="161" t="s">
        <v>12</v>
      </c>
      <c r="I225" s="162"/>
      <c r="J225" s="162"/>
      <c r="K225" s="163"/>
      <c r="L225" s="167">
        <f ca="1">IFERROR(__xludf.DUMMYFUNCTION("IMPORTRANGE(""https://docs.google.com/spreadsheets/d/1Yj_ptqi66GCucihVvJfMjLAmec39IyEx_6qawtMGysU/edit?usp=sharing"",""สบก!BO27"")"),0)</f>
        <v>0</v>
      </c>
      <c r="M225" s="167"/>
      <c r="N225" s="167"/>
      <c r="O225" s="168"/>
      <c r="P225" s="168"/>
    </row>
    <row r="226" spans="1:16" ht="21.75" customHeight="1" x14ac:dyDescent="0.3">
      <c r="A226" s="156"/>
      <c r="B226" s="157"/>
      <c r="C226" s="157"/>
      <c r="D226" s="166"/>
      <c r="E226" s="159"/>
      <c r="F226" s="159"/>
      <c r="G226" s="169" t="s">
        <v>43</v>
      </c>
      <c r="H226" s="161" t="s">
        <v>12</v>
      </c>
      <c r="I226" s="162"/>
      <c r="J226" s="162"/>
      <c r="K226" s="163"/>
      <c r="L226" s="167">
        <f ca="1">IFERROR(__xludf.DUMMYFUNCTION("IMPORTRANGE(""https://docs.google.com/spreadsheets/d/1Yj_ptqi66GCucihVvJfMjLAmec39IyEx_6qawtMGysU/edit?usp=sharing"",""สบก!BP27"")"),21125)</f>
        <v>21125</v>
      </c>
      <c r="M226" s="167"/>
      <c r="N226" s="167"/>
      <c r="O226" s="168"/>
      <c r="P226" s="168"/>
    </row>
    <row r="227" spans="1:16" ht="21.75" customHeight="1" x14ac:dyDescent="0.45">
      <c r="A227" s="170"/>
      <c r="B227" s="80"/>
      <c r="C227" s="81" t="s">
        <v>16</v>
      </c>
      <c r="D227" s="534" t="s">
        <v>23</v>
      </c>
      <c r="E227" s="530"/>
      <c r="F227" s="88"/>
      <c r="G227" s="82" t="s">
        <v>18</v>
      </c>
      <c r="H227" s="171" t="s">
        <v>12</v>
      </c>
      <c r="I227" s="200"/>
      <c r="J227" s="200"/>
      <c r="K227" s="288"/>
      <c r="L227" s="41">
        <v>0</v>
      </c>
      <c r="M227" s="41"/>
      <c r="N227" s="41"/>
      <c r="O227" s="41"/>
      <c r="P227" s="41"/>
    </row>
    <row r="228" spans="1:16" ht="21.75" customHeight="1" x14ac:dyDescent="0.45">
      <c r="A228" s="172"/>
      <c r="B228" s="91"/>
      <c r="C228" s="91"/>
      <c r="D228" s="173"/>
      <c r="E228" s="92"/>
      <c r="F228" s="92"/>
      <c r="G228" s="93" t="s">
        <v>19</v>
      </c>
      <c r="H228" s="174" t="s">
        <v>12</v>
      </c>
      <c r="I228" s="200"/>
      <c r="J228" s="200"/>
      <c r="K228" s="288"/>
      <c r="L228" s="49">
        <f ca="1">IFERROR(__xludf.DUMMYFUNCTION("IMPORTRANGE(""https://docs.google.com/spreadsheets/d/1Yj_ptqi66GCucihVvJfMjLAmec39IyEx_6qawtMGysU/edit?usp=sharing"",""สบก!BQ27"")"),0)</f>
        <v>0</v>
      </c>
      <c r="M228" s="49"/>
      <c r="N228" s="49">
        <f ca="1">IFERROR(__xludf.DUMMYFUNCTION("IMPORTRANGE(""https://docs.google.com/spreadsheets/d/1Yj_ptqi66GCucihVvJfMjLAmec39IyEx_6qawtMGysU/edit?usp=sharing"",""สบก!BU27"")"),0)</f>
        <v>0</v>
      </c>
      <c r="O228" s="49">
        <f ca="1">IF(L228&gt;0,N228*100/L228,0)</f>
        <v>0</v>
      </c>
      <c r="P228" s="49"/>
    </row>
    <row r="229" spans="1:16" ht="21.75" customHeight="1" x14ac:dyDescent="0.3">
      <c r="A229" s="175"/>
      <c r="B229" s="289"/>
      <c r="C229" s="263" t="s">
        <v>99</v>
      </c>
      <c r="D229" s="262"/>
      <c r="E229" s="262"/>
      <c r="F229" s="262"/>
      <c r="G229" s="264"/>
      <c r="H229" s="265" t="s">
        <v>37</v>
      </c>
      <c r="I229" s="266">
        <f ca="1">IFERROR(__xludf.DUMMYFUNCTION("IMPORTRANGE(""https://docs.google.com/spreadsheets/d/11923uPwbBZFjjGgGUA6NLw09EwE0CqkOc4q9oUmW1yo/edit?usp=sharing"",""พิจิตร!I149"")"),15)</f>
        <v>15</v>
      </c>
      <c r="J229" s="266">
        <f ca="1">IFERROR(__xludf.DUMMYFUNCTION("IMPORTRANGE(""https://docs.google.com/spreadsheets/d/11923uPwbBZFjjGgGUA6NLw09EwE0CqkOc4q9oUmW1yo/edit?usp=sharing"",""พิจิตร!J149"")"),15)</f>
        <v>15</v>
      </c>
      <c r="K229" s="267">
        <f ca="1">IF(I229&gt;0,J229*100/I229,0)</f>
        <v>100</v>
      </c>
      <c r="L229" s="290"/>
      <c r="M229" s="290"/>
      <c r="N229" s="290"/>
      <c r="O229" s="290"/>
      <c r="P229" s="290"/>
    </row>
    <row r="230" spans="1:16" ht="21.75" customHeight="1" x14ac:dyDescent="0.3">
      <c r="A230" s="175"/>
      <c r="B230" s="176"/>
      <c r="C230" s="157" t="s">
        <v>16</v>
      </c>
      <c r="D230" s="177" t="s">
        <v>44</v>
      </c>
      <c r="E230" s="178"/>
      <c r="F230" s="178"/>
      <c r="G230" s="179"/>
      <c r="H230" s="180"/>
      <c r="I230" s="162"/>
      <c r="J230" s="162"/>
      <c r="K230" s="163"/>
      <c r="L230" s="181"/>
      <c r="M230" s="181"/>
      <c r="N230" s="181"/>
      <c r="O230" s="181"/>
      <c r="P230" s="181"/>
    </row>
    <row r="231" spans="1:16" ht="21.75" customHeight="1" x14ac:dyDescent="0.3">
      <c r="A231" s="175"/>
      <c r="B231" s="176"/>
      <c r="C231" s="176"/>
      <c r="D231" s="182">
        <v>1</v>
      </c>
      <c r="E231" s="183" t="s">
        <v>45</v>
      </c>
      <c r="F231" s="184"/>
      <c r="G231" s="185"/>
      <c r="H231" s="186"/>
      <c r="I231" s="187"/>
      <c r="J231" s="197">
        <f ca="1">IFERROR(__xludf.DUMMYFUNCTION("IMPORTRANGE(""https://docs.google.com/spreadsheets/d/11923uPwbBZFjjGgGUA6NLw09EwE0CqkOc4q9oUmW1yo/edit?usp=sharing"",""พิจิตร!J151"")"),0)</f>
        <v>0</v>
      </c>
      <c r="K231" s="163"/>
      <c r="L231" s="181"/>
      <c r="M231" s="181"/>
      <c r="N231" s="181"/>
      <c r="O231" s="181"/>
      <c r="P231" s="181"/>
    </row>
    <row r="232" spans="1:16" ht="21.75" customHeight="1" x14ac:dyDescent="0.3">
      <c r="A232" s="175"/>
      <c r="B232" s="176"/>
      <c r="C232" s="176"/>
      <c r="D232" s="189">
        <v>2</v>
      </c>
      <c r="E232" s="190" t="s">
        <v>46</v>
      </c>
      <c r="F232" s="191"/>
      <c r="G232" s="192"/>
      <c r="H232" s="186"/>
      <c r="I232" s="187"/>
      <c r="J232" s="188">
        <f ca="1">IFERROR(__xludf.DUMMYFUNCTION("IMPORTRANGE(""https://docs.google.com/spreadsheets/d/11923uPwbBZFjjGgGUA6NLw09EwE0CqkOc4q9oUmW1yo/edit?usp=sharing"",""พิจิตร!J152"")"),1)</f>
        <v>1</v>
      </c>
      <c r="K232" s="163"/>
      <c r="L232" s="181" t="s">
        <v>40</v>
      </c>
      <c r="M232" s="181"/>
      <c r="N232" s="181" t="s">
        <v>40</v>
      </c>
      <c r="O232" s="181"/>
      <c r="P232" s="181"/>
    </row>
    <row r="233" spans="1:16" ht="21.75" customHeight="1" x14ac:dyDescent="0.3">
      <c r="A233" s="175"/>
      <c r="B233" s="176"/>
      <c r="C233" s="176"/>
      <c r="D233" s="193"/>
      <c r="E233" s="194" t="s">
        <v>47</v>
      </c>
      <c r="F233" s="195"/>
      <c r="G233" s="196"/>
      <c r="H233" s="186"/>
      <c r="I233" s="187"/>
      <c r="J233" s="188">
        <f ca="1">IFERROR(__xludf.DUMMYFUNCTION("IMPORTRANGE(""https://docs.google.com/spreadsheets/d/11923uPwbBZFjjGgGUA6NLw09EwE0CqkOc4q9oUmW1yo/edit?usp=sharing"",""พิจิตร!J153"")"),1)</f>
        <v>1</v>
      </c>
      <c r="K233" s="163"/>
      <c r="L233" s="181"/>
      <c r="M233" s="181"/>
      <c r="N233" s="181"/>
      <c r="O233" s="181"/>
      <c r="P233" s="181"/>
    </row>
    <row r="234" spans="1:16" ht="21.75" customHeight="1" x14ac:dyDescent="0.3">
      <c r="A234" s="175"/>
      <c r="B234" s="176"/>
      <c r="C234" s="176"/>
      <c r="D234" s="193"/>
      <c r="E234" s="194" t="s">
        <v>48</v>
      </c>
      <c r="F234" s="195"/>
      <c r="G234" s="196"/>
      <c r="H234" s="186"/>
      <c r="I234" s="187"/>
      <c r="J234" s="197">
        <f ca="1">IFERROR(__xludf.DUMMYFUNCTION("IMPORTRANGE(""https://docs.google.com/spreadsheets/d/11923uPwbBZFjjGgGUA6NLw09EwE0CqkOc4q9oUmW1yo/edit?usp=sharing"",""พิจิตร!J154"")"),1)</f>
        <v>1</v>
      </c>
      <c r="K234" s="163"/>
      <c r="L234" s="181"/>
      <c r="M234" s="181"/>
      <c r="N234" s="181"/>
      <c r="O234" s="181"/>
      <c r="P234" s="181"/>
    </row>
    <row r="235" spans="1:16" ht="21.75" customHeight="1" x14ac:dyDescent="0.3">
      <c r="A235" s="175"/>
      <c r="B235" s="176"/>
      <c r="C235" s="176"/>
      <c r="D235" s="193"/>
      <c r="E235" s="198"/>
      <c r="F235" s="195"/>
      <c r="G235" s="291" t="s">
        <v>70</v>
      </c>
      <c r="H235" s="186" t="s">
        <v>37</v>
      </c>
      <c r="I235" s="187">
        <f ca="1">IFERROR(__xludf.DUMMYFUNCTION("IMPORTRANGE(""https://docs.google.com/spreadsheets/d/11923uPwbBZFjjGgGUA6NLw09EwE0CqkOc4q9oUmW1yo/edit?usp=sharing"",""พิจิตร!I155"")"),15)</f>
        <v>15</v>
      </c>
      <c r="J235" s="188">
        <f ca="1">IFERROR(__xludf.DUMMYFUNCTION("IMPORTRANGE(""https://docs.google.com/spreadsheets/d/11923uPwbBZFjjGgGUA6NLw09EwE0CqkOc4q9oUmW1yo/edit?usp=sharing"",""พิจิตร!J155"")"),15)</f>
        <v>15</v>
      </c>
      <c r="K235" s="163">
        <f ca="1">IF(I235&gt;0,J235*100/I235,0)</f>
        <v>100</v>
      </c>
      <c r="L235" s="181"/>
      <c r="M235" s="181"/>
      <c r="N235" s="181"/>
      <c r="O235" s="181"/>
      <c r="P235" s="181"/>
    </row>
    <row r="236" spans="1:16" ht="21.75" customHeight="1" x14ac:dyDescent="0.3">
      <c r="A236" s="175"/>
      <c r="B236" s="176"/>
      <c r="C236" s="176"/>
      <c r="D236" s="193"/>
      <c r="E236" s="194" t="s">
        <v>54</v>
      </c>
      <c r="F236" s="195"/>
      <c r="G236" s="196"/>
      <c r="H236" s="186"/>
      <c r="I236" s="187"/>
      <c r="J236" s="197">
        <f ca="1">IFERROR(__xludf.DUMMYFUNCTION("IMPORTRANGE(""https://docs.google.com/spreadsheets/d/11923uPwbBZFjjGgGUA6NLw09EwE0CqkOc4q9oUmW1yo/edit?usp=sharing"",""พิจิตร!J156"")"),0)</f>
        <v>0</v>
      </c>
      <c r="K236" s="163"/>
      <c r="L236" s="181"/>
      <c r="M236" s="181"/>
      <c r="N236" s="181"/>
      <c r="O236" s="181"/>
      <c r="P236" s="181"/>
    </row>
    <row r="237" spans="1:16" ht="21.75" customHeight="1" x14ac:dyDescent="0.3">
      <c r="A237" s="175"/>
      <c r="B237" s="176"/>
      <c r="C237" s="176"/>
      <c r="D237" s="205">
        <v>3</v>
      </c>
      <c r="E237" s="206" t="s">
        <v>55</v>
      </c>
      <c r="F237" s="207"/>
      <c r="G237" s="208"/>
      <c r="H237" s="186"/>
      <c r="I237" s="187"/>
      <c r="J237" s="209">
        <f ca="1">IFERROR(__xludf.DUMMYFUNCTION("IMPORTRANGE(""https://docs.google.com/spreadsheets/d/11923uPwbBZFjjGgGUA6NLw09EwE0CqkOc4q9oUmW1yo/edit?usp=sharing"",""พิจิตร!J157"")"),0)</f>
        <v>0</v>
      </c>
      <c r="K237" s="163"/>
      <c r="L237" s="181"/>
      <c r="M237" s="181"/>
      <c r="N237" s="181"/>
      <c r="O237" s="181"/>
      <c r="P237" s="181"/>
    </row>
    <row r="238" spans="1:16" ht="21.75" customHeight="1" x14ac:dyDescent="0.3">
      <c r="A238" s="175"/>
      <c r="B238" s="176"/>
      <c r="C238" s="263" t="s">
        <v>100</v>
      </c>
      <c r="D238" s="292"/>
      <c r="E238" s="262"/>
      <c r="F238" s="262"/>
      <c r="G238" s="264"/>
      <c r="H238" s="265" t="s">
        <v>37</v>
      </c>
      <c r="I238" s="266">
        <f ca="1">IFERROR(__xludf.DUMMYFUNCTION("IMPORTRANGE(""https://docs.google.com/spreadsheets/d/11923uPwbBZFjjGgGUA6NLw09EwE0CqkOc4q9oUmW1yo/edit?usp=sharing"",""พิจิตร!I158"")"),0)</f>
        <v>0</v>
      </c>
      <c r="J238" s="266">
        <f ca="1">IFERROR(__xludf.DUMMYFUNCTION("IMPORTRANGE(""https://docs.google.com/spreadsheets/d/11923uPwbBZFjjGgGUA6NLw09EwE0CqkOc4q9oUmW1yo/edit?usp=sharing"",""พิจิตร!J158"")"),0)</f>
        <v>0</v>
      </c>
      <c r="K238" s="267">
        <f ca="1">IF(I238&gt;0,J238*100/I238,0)</f>
        <v>0</v>
      </c>
      <c r="L238" s="181"/>
      <c r="M238" s="181"/>
      <c r="N238" s="181"/>
      <c r="O238" s="181"/>
      <c r="P238" s="181"/>
    </row>
    <row r="239" spans="1:16" ht="21.75" customHeight="1" x14ac:dyDescent="0.3">
      <c r="A239" s="175"/>
      <c r="B239" s="176"/>
      <c r="C239" s="157" t="s">
        <v>16</v>
      </c>
      <c r="D239" s="177" t="s">
        <v>44</v>
      </c>
      <c r="E239" s="178"/>
      <c r="F239" s="178"/>
      <c r="G239" s="179"/>
      <c r="H239" s="180"/>
      <c r="I239" s="162"/>
      <c r="J239" s="162"/>
      <c r="K239" s="163"/>
      <c r="L239" s="181"/>
      <c r="M239" s="181"/>
      <c r="N239" s="181"/>
      <c r="O239" s="181"/>
      <c r="P239" s="181"/>
    </row>
    <row r="240" spans="1:16" ht="21.75" customHeight="1" x14ac:dyDescent="0.3">
      <c r="A240" s="175"/>
      <c r="B240" s="176"/>
      <c r="C240" s="176"/>
      <c r="D240" s="182">
        <v>1</v>
      </c>
      <c r="E240" s="183" t="s">
        <v>45</v>
      </c>
      <c r="F240" s="184"/>
      <c r="G240" s="185"/>
      <c r="H240" s="186"/>
      <c r="I240" s="187"/>
      <c r="J240" s="187" t="str">
        <f ca="1">IFERROR(__xludf.DUMMYFUNCTION("IMPORTRANGE(""https://docs.google.com/spreadsheets/d/11923uPwbBZFjjGgGUA6NLw09EwE0CqkOc4q9oUmW1yo/edit?usp=sharing"",""พิจิตร!J159"")"),"")</f>
        <v/>
      </c>
      <c r="K240" s="163"/>
      <c r="L240" s="181"/>
      <c r="M240" s="181"/>
      <c r="N240" s="181"/>
      <c r="O240" s="181"/>
      <c r="P240" s="181"/>
    </row>
    <row r="241" spans="1:16" ht="21.75" customHeight="1" x14ac:dyDescent="0.3">
      <c r="A241" s="175"/>
      <c r="B241" s="176"/>
      <c r="C241" s="176"/>
      <c r="D241" s="189">
        <v>2</v>
      </c>
      <c r="E241" s="190" t="s">
        <v>46</v>
      </c>
      <c r="F241" s="191"/>
      <c r="G241" s="192"/>
      <c r="H241" s="186"/>
      <c r="I241" s="187"/>
      <c r="J241" s="187">
        <f ca="1">IFERROR(__xludf.DUMMYFUNCTION("IMPORTRANGE(""https://docs.google.com/spreadsheets/d/11923uPwbBZFjjGgGUA6NLw09EwE0CqkOc4q9oUmW1yo/edit?usp=sharing"",""พิจิตร!J161"")"),0)</f>
        <v>0</v>
      </c>
      <c r="K241" s="163"/>
      <c r="L241" s="181" t="s">
        <v>40</v>
      </c>
      <c r="M241" s="181"/>
      <c r="N241" s="181" t="s">
        <v>40</v>
      </c>
      <c r="O241" s="181"/>
      <c r="P241" s="181"/>
    </row>
    <row r="242" spans="1:16" ht="21.75" customHeight="1" x14ac:dyDescent="0.3">
      <c r="A242" s="175"/>
      <c r="B242" s="176"/>
      <c r="C242" s="176"/>
      <c r="D242" s="193"/>
      <c r="E242" s="194" t="s">
        <v>47</v>
      </c>
      <c r="F242" s="195"/>
      <c r="G242" s="196"/>
      <c r="H242" s="186"/>
      <c r="I242" s="187"/>
      <c r="J242" s="187">
        <f ca="1">IFERROR(__xludf.DUMMYFUNCTION("IMPORTRANGE(""https://docs.google.com/spreadsheets/d/11923uPwbBZFjjGgGUA6NLw09EwE0CqkOc4q9oUmW1yo/edit?usp=sharing"",""พิจิตร!J162"")"),0)</f>
        <v>0</v>
      </c>
      <c r="K242" s="163"/>
      <c r="L242" s="181"/>
      <c r="M242" s="181"/>
      <c r="N242" s="181"/>
      <c r="O242" s="181"/>
      <c r="P242" s="181"/>
    </row>
    <row r="243" spans="1:16" ht="21.75" customHeight="1" x14ac:dyDescent="0.3">
      <c r="A243" s="175"/>
      <c r="B243" s="176"/>
      <c r="C243" s="176"/>
      <c r="D243" s="193"/>
      <c r="E243" s="194" t="s">
        <v>48</v>
      </c>
      <c r="F243" s="195"/>
      <c r="G243" s="196"/>
      <c r="H243" s="186"/>
      <c r="I243" s="187"/>
      <c r="J243" s="187">
        <f ca="1">IFERROR(__xludf.DUMMYFUNCTION("IMPORTRANGE(""https://docs.google.com/spreadsheets/d/11923uPwbBZFjjGgGUA6NLw09EwE0CqkOc4q9oUmW1yo/edit?usp=sharing"",""พิจิตร!J163"")"),0)</f>
        <v>0</v>
      </c>
      <c r="K243" s="163"/>
      <c r="L243" s="181"/>
      <c r="M243" s="181"/>
      <c r="N243" s="181"/>
      <c r="O243" s="181"/>
      <c r="P243" s="181"/>
    </row>
    <row r="244" spans="1:16" ht="21.75" customHeight="1" x14ac:dyDescent="0.3">
      <c r="A244" s="175"/>
      <c r="B244" s="176"/>
      <c r="C244" s="176"/>
      <c r="D244" s="193"/>
      <c r="E244" s="195"/>
      <c r="F244" s="194" t="s">
        <v>101</v>
      </c>
      <c r="G244" s="195"/>
      <c r="H244" s="186" t="s">
        <v>37</v>
      </c>
      <c r="I244" s="203">
        <f ca="1">IFERROR(__xludf.DUMMYFUNCTION("IMPORTRANGE(""https://docs.google.com/spreadsheets/d/11923uPwbBZFjjGgGUA6NLw09EwE0CqkOc4q9oUmW1yo/edit?usp=sharing"",""พิจิตร!I164"")"),0)</f>
        <v>0</v>
      </c>
      <c r="J244" s="187">
        <f ca="1">IFERROR(__xludf.DUMMYFUNCTION("IMPORTRANGE(""https://docs.google.com/spreadsheets/d/11923uPwbBZFjjGgGUA6NLw09EwE0CqkOc4q9oUmW1yo/edit?usp=sharing"",""พิจิตร!J164"")"),0)</f>
        <v>0</v>
      </c>
      <c r="K244" s="163">
        <f ca="1">IF(I244&gt;0,J244*100/I244,0)</f>
        <v>0</v>
      </c>
      <c r="L244" s="181"/>
      <c r="M244" s="181"/>
      <c r="N244" s="181"/>
      <c r="O244" s="181"/>
      <c r="P244" s="181"/>
    </row>
    <row r="245" spans="1:16" ht="21.75" customHeight="1" x14ac:dyDescent="0.3">
      <c r="A245" s="175"/>
      <c r="B245" s="176"/>
      <c r="C245" s="176"/>
      <c r="D245" s="193"/>
      <c r="E245" s="194" t="s">
        <v>54</v>
      </c>
      <c r="F245" s="195"/>
      <c r="G245" s="196"/>
      <c r="H245" s="186"/>
      <c r="I245" s="187"/>
      <c r="J245" s="187">
        <f ca="1">IFERROR(__xludf.DUMMYFUNCTION("IMPORTRANGE(""https://docs.google.com/spreadsheets/d/11923uPwbBZFjjGgGUA6NLw09EwE0CqkOc4q9oUmW1yo/edit?usp=sharing"",""พิจิตร!J165"")"),0)</f>
        <v>0</v>
      </c>
      <c r="K245" s="163"/>
      <c r="L245" s="181"/>
      <c r="M245" s="181"/>
      <c r="N245" s="181"/>
      <c r="O245" s="181"/>
      <c r="P245" s="181"/>
    </row>
    <row r="246" spans="1:16" ht="21.75" customHeight="1" x14ac:dyDescent="0.3">
      <c r="A246" s="233"/>
      <c r="B246" s="234"/>
      <c r="C246" s="234"/>
      <c r="D246" s="235">
        <v>3</v>
      </c>
      <c r="E246" s="236" t="s">
        <v>55</v>
      </c>
      <c r="F246" s="237"/>
      <c r="G246" s="238"/>
      <c r="H246" s="239"/>
      <c r="I246" s="240"/>
      <c r="J246" s="241">
        <f ca="1">IFERROR(__xludf.DUMMYFUNCTION("IMPORTRANGE(""https://docs.google.com/spreadsheets/d/11923uPwbBZFjjGgGUA6NLw09EwE0CqkOc4q9oUmW1yo/edit?usp=sharing"",""พิจิตร!J166"")"),0)</f>
        <v>0</v>
      </c>
      <c r="K246" s="286"/>
      <c r="L246" s="244"/>
      <c r="M246" s="244"/>
      <c r="N246" s="244"/>
      <c r="O246" s="244"/>
      <c r="P246" s="244"/>
    </row>
    <row r="247" spans="1:16" ht="21.75" customHeight="1" x14ac:dyDescent="0.3">
      <c r="A247" s="293" t="s">
        <v>102</v>
      </c>
      <c r="B247" s="294"/>
      <c r="C247" s="294"/>
      <c r="D247" s="294"/>
      <c r="E247" s="295"/>
      <c r="F247" s="295"/>
      <c r="G247" s="296"/>
      <c r="H247" s="297"/>
      <c r="I247" s="298"/>
      <c r="J247" s="298"/>
      <c r="K247" s="299"/>
      <c r="L247" s="300"/>
      <c r="M247" s="300"/>
      <c r="N247" s="300"/>
      <c r="O247" s="301"/>
      <c r="P247" s="301"/>
    </row>
    <row r="248" spans="1:16" ht="21.75" customHeight="1" x14ac:dyDescent="0.3">
      <c r="A248" s="302" t="s">
        <v>103</v>
      </c>
      <c r="B248" s="303"/>
      <c r="C248" s="303"/>
      <c r="D248" s="304"/>
      <c r="E248" s="304"/>
      <c r="F248" s="304"/>
      <c r="G248" s="305"/>
      <c r="H248" s="306"/>
      <c r="I248" s="307"/>
      <c r="J248" s="307"/>
      <c r="K248" s="308"/>
      <c r="L248" s="308"/>
      <c r="M248" s="308"/>
      <c r="N248" s="308"/>
      <c r="O248" s="309"/>
      <c r="P248" s="309"/>
    </row>
    <row r="249" spans="1:16" ht="21.75" customHeight="1" x14ac:dyDescent="0.3">
      <c r="A249" s="310"/>
      <c r="B249" s="311" t="s">
        <v>104</v>
      </c>
      <c r="C249" s="311"/>
      <c r="D249" s="311"/>
      <c r="E249" s="311"/>
      <c r="F249" s="311"/>
      <c r="G249" s="312"/>
      <c r="H249" s="313" t="s">
        <v>37</v>
      </c>
      <c r="I249" s="314">
        <f ca="1">IFERROR(__xludf.DUMMYFUNCTION("IMPORTRANGE(""https://docs.google.com/spreadsheets/d/11923uPwbBZFjjGgGUA6NLw09EwE0CqkOc4q9oUmW1yo/edit?usp=sharing"",""พิจิตร!I169"")"),0)</f>
        <v>0</v>
      </c>
      <c r="J249" s="314">
        <f ca="1">IFERROR(__xludf.DUMMYFUNCTION("IMPORTRANGE(""https://docs.google.com/spreadsheets/d/11923uPwbBZFjjGgGUA6NLw09EwE0CqkOc4q9oUmW1yo/edit?usp=sharing"",""พิจิตร!J169"")"),0)</f>
        <v>0</v>
      </c>
      <c r="K249" s="315">
        <f ca="1">IF(I249&gt;0,J249*100/I249,0)</f>
        <v>0</v>
      </c>
      <c r="L249" s="316"/>
      <c r="M249" s="316"/>
      <c r="N249" s="316"/>
      <c r="O249" s="315"/>
      <c r="P249" s="315"/>
    </row>
    <row r="250" spans="1:16" ht="21.75" customHeight="1" x14ac:dyDescent="0.45">
      <c r="A250" s="145"/>
      <c r="B250" s="146"/>
      <c r="C250" s="147" t="s">
        <v>16</v>
      </c>
      <c r="D250" s="537" t="s">
        <v>17</v>
      </c>
      <c r="E250" s="528"/>
      <c r="F250" s="528"/>
      <c r="G250" s="528"/>
      <c r="H250" s="148" t="s">
        <v>12</v>
      </c>
      <c r="I250" s="162"/>
      <c r="J250" s="162"/>
      <c r="K250" s="163"/>
      <c r="L250" s="151">
        <f t="shared" ref="L250:N250" ca="1" si="77">L251+L252</f>
        <v>0</v>
      </c>
      <c r="M250" s="151">
        <f t="shared" ca="1" si="77"/>
        <v>0</v>
      </c>
      <c r="N250" s="151">
        <f t="shared" ca="1" si="77"/>
        <v>0</v>
      </c>
      <c r="O250" s="150">
        <f t="shared" ref="O250:O252" ca="1" si="78">IF(L250&gt;0,N250*100/L250,0)</f>
        <v>0</v>
      </c>
      <c r="P250" s="150">
        <f t="shared" ref="P250:P252" ca="1" si="79">IF(M250&gt;0,N250*100/M250,0)</f>
        <v>0</v>
      </c>
    </row>
    <row r="251" spans="1:16" ht="21.75" customHeight="1" x14ac:dyDescent="0.45">
      <c r="A251" s="152"/>
      <c r="B251" s="32"/>
      <c r="C251" s="32"/>
      <c r="D251" s="32"/>
      <c r="E251" s="32"/>
      <c r="F251" s="32"/>
      <c r="G251" s="33" t="s">
        <v>18</v>
      </c>
      <c r="H251" s="153" t="s">
        <v>12</v>
      </c>
      <c r="I251" s="162"/>
      <c r="J251" s="162"/>
      <c r="K251" s="163"/>
      <c r="L251" s="87">
        <f t="shared" ref="L251:N251" si="80">L253+L257</f>
        <v>0</v>
      </c>
      <c r="M251" s="87">
        <f t="shared" si="80"/>
        <v>0</v>
      </c>
      <c r="N251" s="87">
        <f t="shared" si="80"/>
        <v>0</v>
      </c>
      <c r="O251" s="155">
        <f t="shared" si="78"/>
        <v>0</v>
      </c>
      <c r="P251" s="155">
        <f t="shared" si="79"/>
        <v>0</v>
      </c>
    </row>
    <row r="252" spans="1:16" ht="21.75" customHeight="1" x14ac:dyDescent="0.45">
      <c r="A252" s="152"/>
      <c r="B252" s="32"/>
      <c r="C252" s="32"/>
      <c r="D252" s="32"/>
      <c r="E252" s="32"/>
      <c r="F252" s="32"/>
      <c r="G252" s="33" t="s">
        <v>19</v>
      </c>
      <c r="H252" s="153" t="s">
        <v>12</v>
      </c>
      <c r="I252" s="162"/>
      <c r="J252" s="162"/>
      <c r="K252" s="163"/>
      <c r="L252" s="87">
        <f t="shared" ref="L252:N252" ca="1" si="81">L254+L258</f>
        <v>0</v>
      </c>
      <c r="M252" s="87">
        <f t="shared" ca="1" si="81"/>
        <v>0</v>
      </c>
      <c r="N252" s="87">
        <f t="shared" ca="1" si="81"/>
        <v>0</v>
      </c>
      <c r="O252" s="155">
        <f t="shared" ca="1" si="78"/>
        <v>0</v>
      </c>
      <c r="P252" s="155">
        <f t="shared" ca="1" si="79"/>
        <v>0</v>
      </c>
    </row>
    <row r="253" spans="1:16" ht="21.75" customHeight="1" x14ac:dyDescent="0.3">
      <c r="A253" s="156"/>
      <c r="B253" s="157"/>
      <c r="C253" s="157" t="s">
        <v>16</v>
      </c>
      <c r="D253" s="158" t="s">
        <v>38</v>
      </c>
      <c r="E253" s="159"/>
      <c r="F253" s="159"/>
      <c r="G253" s="160" t="s">
        <v>39</v>
      </c>
      <c r="H253" s="161" t="s">
        <v>12</v>
      </c>
      <c r="I253" s="162" t="s">
        <v>40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3">
      <c r="A254" s="156"/>
      <c r="B254" s="157"/>
      <c r="C254" s="157"/>
      <c r="D254" s="166"/>
      <c r="E254" s="159"/>
      <c r="F254" s="159" t="s">
        <v>40</v>
      </c>
      <c r="G254" s="160" t="s">
        <v>41</v>
      </c>
      <c r="H254" s="161" t="s">
        <v>12</v>
      </c>
      <c r="I254" s="162"/>
      <c r="J254" s="162"/>
      <c r="K254" s="163"/>
      <c r="L254" s="167">
        <f ca="1">L255+L256</f>
        <v>0</v>
      </c>
      <c r="M254" s="167">
        <f ca="1">IFERROR(__xludf.DUMMYFUNCTION("IMPORTRANGE(""https://docs.google.com/spreadsheets/d/1Yj_ptqi66GCucihVvJfMjLAmec39IyEx_6qawtMGysU/edit?usp=sharing"",""สบก!CB27"")"),0)</f>
        <v>0</v>
      </c>
      <c r="N254" s="168">
        <f ca="1">IFERROR(__xludf.DUMMYFUNCTION("IMPORTRANGE(""https://docs.google.com/spreadsheets/d/1Yj_ptqi66GCucihVvJfMjLAmec39IyEx_6qawtMGysU/edit?usp=sharing"",""สบก!CC27"")"),0)</f>
        <v>0</v>
      </c>
      <c r="O254" s="168">
        <f ca="1">IF(L254&gt;0,N254*100/L254,0)</f>
        <v>0</v>
      </c>
      <c r="P254" s="168">
        <f ca="1">IF(M254&gt;0,N254*100/M254,0)</f>
        <v>0</v>
      </c>
    </row>
    <row r="255" spans="1:16" ht="21.75" customHeight="1" x14ac:dyDescent="0.3">
      <c r="A255" s="156"/>
      <c r="B255" s="157"/>
      <c r="C255" s="157"/>
      <c r="D255" s="166"/>
      <c r="E255" s="159"/>
      <c r="F255" s="159"/>
      <c r="G255" s="169" t="s">
        <v>42</v>
      </c>
      <c r="H255" s="161" t="s">
        <v>12</v>
      </c>
      <c r="I255" s="162"/>
      <c r="J255" s="162"/>
      <c r="K255" s="163"/>
      <c r="L255" s="167">
        <f ca="1">IFERROR(__xludf.DUMMYFUNCTION("IMPORTRANGE(""https://docs.google.com/spreadsheets/d/1Yj_ptqi66GCucihVvJfMjLAmec39IyEx_6qawtMGysU/edit?usp=sharing"",""สบก!BX27"")"),0)</f>
        <v>0</v>
      </c>
      <c r="M255" s="167"/>
      <c r="N255" s="167"/>
      <c r="O255" s="168"/>
      <c r="P255" s="168"/>
    </row>
    <row r="256" spans="1:16" ht="21.75" customHeight="1" x14ac:dyDescent="0.3">
      <c r="A256" s="156"/>
      <c r="B256" s="157"/>
      <c r="C256" s="157"/>
      <c r="D256" s="166"/>
      <c r="E256" s="159"/>
      <c r="F256" s="159"/>
      <c r="G256" s="169" t="s">
        <v>43</v>
      </c>
      <c r="H256" s="161" t="s">
        <v>12</v>
      </c>
      <c r="I256" s="162"/>
      <c r="J256" s="162"/>
      <c r="K256" s="163"/>
      <c r="L256" s="167">
        <f ca="1">IFERROR(__xludf.DUMMYFUNCTION("IMPORTRANGE(""https://docs.google.com/spreadsheets/d/1Yj_ptqi66GCucihVvJfMjLAmec39IyEx_6qawtMGysU/edit?usp=sharing"",""สบก!BY27"")"),0)</f>
        <v>0</v>
      </c>
      <c r="M256" s="167"/>
      <c r="N256" s="167"/>
      <c r="O256" s="168"/>
      <c r="P256" s="168"/>
    </row>
    <row r="257" spans="1:16" ht="21.75" customHeight="1" x14ac:dyDescent="0.45">
      <c r="A257" s="170"/>
      <c r="B257" s="80"/>
      <c r="C257" s="81" t="s">
        <v>16</v>
      </c>
      <c r="D257" s="534" t="s">
        <v>23</v>
      </c>
      <c r="E257" s="530"/>
      <c r="F257" s="88"/>
      <c r="G257" s="82" t="s">
        <v>18</v>
      </c>
      <c r="H257" s="171" t="s">
        <v>12</v>
      </c>
      <c r="I257" s="162"/>
      <c r="J257" s="162"/>
      <c r="K257" s="163"/>
      <c r="L257" s="41">
        <v>0</v>
      </c>
      <c r="M257" s="41"/>
      <c r="N257" s="41"/>
      <c r="O257" s="41"/>
      <c r="P257" s="41"/>
    </row>
    <row r="258" spans="1:16" ht="21.75" customHeight="1" x14ac:dyDescent="0.45">
      <c r="A258" s="172"/>
      <c r="B258" s="91"/>
      <c r="C258" s="91"/>
      <c r="D258" s="173"/>
      <c r="E258" s="92"/>
      <c r="F258" s="92"/>
      <c r="G258" s="93" t="s">
        <v>19</v>
      </c>
      <c r="H258" s="174" t="s">
        <v>12</v>
      </c>
      <c r="I258" s="162"/>
      <c r="J258" s="162"/>
      <c r="K258" s="163"/>
      <c r="L258" s="49">
        <f ca="1">IFERROR(__xludf.DUMMYFUNCTION("IMPORTRANGE(""https://docs.google.com/spreadsheets/d/1Yj_ptqi66GCucihVvJfMjLAmec39IyEx_6qawtMGysU/edit?usp=sharing"",""สบก!BZ27"")"),0)</f>
        <v>0</v>
      </c>
      <c r="M258" s="49"/>
      <c r="N258" s="49">
        <f ca="1">IFERROR(__xludf.DUMMYFUNCTION("IMPORTRANGE(""https://docs.google.com/spreadsheets/d/1Yj_ptqi66GCucihVvJfMjLAmec39IyEx_6qawtMGysU/edit?usp=sharing"",""สบก!CD27"")"),0)</f>
        <v>0</v>
      </c>
      <c r="O258" s="49">
        <f ca="1">IF(L258&gt;0,N258*100/L258,0)</f>
        <v>0</v>
      </c>
      <c r="P258" s="49"/>
    </row>
    <row r="259" spans="1:16" ht="21.75" customHeight="1" x14ac:dyDescent="0.3">
      <c r="A259" s="175"/>
      <c r="B259" s="176"/>
      <c r="C259" s="157" t="s">
        <v>16</v>
      </c>
      <c r="D259" s="177" t="s">
        <v>44</v>
      </c>
      <c r="E259" s="178"/>
      <c r="F259" s="178"/>
      <c r="G259" s="179"/>
      <c r="H259" s="180"/>
      <c r="I259" s="162"/>
      <c r="J259" s="162"/>
      <c r="K259" s="163"/>
      <c r="L259" s="181"/>
      <c r="M259" s="181"/>
      <c r="N259" s="181"/>
      <c r="O259" s="181"/>
      <c r="P259" s="181"/>
    </row>
    <row r="260" spans="1:16" ht="21.75" customHeight="1" x14ac:dyDescent="0.3">
      <c r="A260" s="175"/>
      <c r="B260" s="176"/>
      <c r="C260" s="176"/>
      <c r="D260" s="182">
        <v>1</v>
      </c>
      <c r="E260" s="183" t="s">
        <v>45</v>
      </c>
      <c r="F260" s="184"/>
      <c r="G260" s="185"/>
      <c r="H260" s="186"/>
      <c r="I260" s="187"/>
      <c r="J260" s="188">
        <f ca="1">IFERROR(__xludf.DUMMYFUNCTION("IMPORTRANGE(""https://docs.google.com/spreadsheets/d/11923uPwbBZFjjGgGUA6NLw09EwE0CqkOc4q9oUmW1yo/edit?usp=sharing"",""พิจิตร!J175"")"),0)</f>
        <v>0</v>
      </c>
      <c r="K260" s="163"/>
      <c r="L260" s="181"/>
      <c r="M260" s="181"/>
      <c r="N260" s="181"/>
      <c r="O260" s="181"/>
      <c r="P260" s="181"/>
    </row>
    <row r="261" spans="1:16" ht="21.75" customHeight="1" x14ac:dyDescent="0.3">
      <c r="A261" s="175"/>
      <c r="B261" s="176"/>
      <c r="C261" s="176"/>
      <c r="D261" s="189">
        <v>2</v>
      </c>
      <c r="E261" s="190" t="s">
        <v>46</v>
      </c>
      <c r="F261" s="191"/>
      <c r="G261" s="192"/>
      <c r="H261" s="186"/>
      <c r="I261" s="187"/>
      <c r="J261" s="197">
        <f ca="1">IFERROR(__xludf.DUMMYFUNCTION("IMPORTRANGE(""https://docs.google.com/spreadsheets/d/11923uPwbBZFjjGgGUA6NLw09EwE0CqkOc4q9oUmW1yo/edit?usp=sharing"",""พิจิตร!J176"")"),0)</f>
        <v>0</v>
      </c>
      <c r="K261" s="163"/>
      <c r="L261" s="181" t="s">
        <v>40</v>
      </c>
      <c r="M261" s="181"/>
      <c r="N261" s="181" t="s">
        <v>40</v>
      </c>
      <c r="O261" s="181"/>
      <c r="P261" s="181"/>
    </row>
    <row r="262" spans="1:16" ht="21.75" customHeight="1" x14ac:dyDescent="0.3">
      <c r="A262" s="175"/>
      <c r="B262" s="176"/>
      <c r="C262" s="176"/>
      <c r="D262" s="193"/>
      <c r="E262" s="194" t="s">
        <v>47</v>
      </c>
      <c r="F262" s="195"/>
      <c r="G262" s="196"/>
      <c r="H262" s="186"/>
      <c r="I262" s="187"/>
      <c r="J262" s="197">
        <f ca="1">IFERROR(__xludf.DUMMYFUNCTION("IMPORTRANGE(""https://docs.google.com/spreadsheets/d/11923uPwbBZFjjGgGUA6NLw09EwE0CqkOc4q9oUmW1yo/edit?usp=sharing"",""พิจิตร!J177"")"),0)</f>
        <v>0</v>
      </c>
      <c r="K262" s="163"/>
      <c r="L262" s="181"/>
      <c r="M262" s="181"/>
      <c r="N262" s="181"/>
      <c r="O262" s="181"/>
      <c r="P262" s="181"/>
    </row>
    <row r="263" spans="1:16" ht="21.75" customHeight="1" x14ac:dyDescent="0.3">
      <c r="A263" s="175"/>
      <c r="B263" s="176"/>
      <c r="C263" s="176"/>
      <c r="D263" s="193"/>
      <c r="E263" s="194" t="s">
        <v>48</v>
      </c>
      <c r="F263" s="195"/>
      <c r="G263" s="196"/>
      <c r="H263" s="186"/>
      <c r="I263" s="187"/>
      <c r="J263" s="197">
        <f ca="1">IFERROR(__xludf.DUMMYFUNCTION("IMPORTRANGE(""https://docs.google.com/spreadsheets/d/11923uPwbBZFjjGgGUA6NLw09EwE0CqkOc4q9oUmW1yo/edit?usp=sharing"",""พิจิตร!J178"")"),0)</f>
        <v>0</v>
      </c>
      <c r="K263" s="163"/>
      <c r="L263" s="181"/>
      <c r="M263" s="181"/>
      <c r="N263" s="181"/>
      <c r="O263" s="181"/>
      <c r="P263" s="181"/>
    </row>
    <row r="264" spans="1:16" ht="21.75" customHeight="1" x14ac:dyDescent="0.3">
      <c r="A264" s="175"/>
      <c r="B264" s="176"/>
      <c r="C264" s="176"/>
      <c r="D264" s="193"/>
      <c r="E264" s="198"/>
      <c r="F264" s="194" t="s">
        <v>105</v>
      </c>
      <c r="G264" s="196"/>
      <c r="H264" s="180" t="s">
        <v>59</v>
      </c>
      <c r="I264" s="187">
        <f ca="1">IFERROR(__xludf.DUMMYFUNCTION("IMPORTRANGE(""https://docs.google.com/spreadsheets/d/11923uPwbBZFjjGgGUA6NLw09EwE0CqkOc4q9oUmW1yo/edit?usp=sharing"",""พิจิตร!I179"")"),0)</f>
        <v>0</v>
      </c>
      <c r="J264" s="188">
        <f ca="1">IFERROR(__xludf.DUMMYFUNCTION("IMPORTRANGE(""https://docs.google.com/spreadsheets/d/11923uPwbBZFjjGgGUA6NLw09EwE0CqkOc4q9oUmW1yo/edit?usp=sharing"",""พิจิตร!J179"")"),0)</f>
        <v>0</v>
      </c>
      <c r="K264" s="163">
        <f t="shared" ref="K264:K267" ca="1" si="82">IF(I264&gt;0,J264*100/I264,0)</f>
        <v>0</v>
      </c>
      <c r="L264" s="181"/>
      <c r="M264" s="181"/>
      <c r="N264" s="181"/>
      <c r="O264" s="181"/>
      <c r="P264" s="181"/>
    </row>
    <row r="265" spans="1:16" ht="21.75" customHeight="1" x14ac:dyDescent="0.3">
      <c r="A265" s="175"/>
      <c r="B265" s="176"/>
      <c r="C265" s="176"/>
      <c r="D265" s="193"/>
      <c r="E265" s="198"/>
      <c r="F265" s="194" t="s">
        <v>106</v>
      </c>
      <c r="G265" s="196"/>
      <c r="H265" s="180" t="s">
        <v>37</v>
      </c>
      <c r="I265" s="187">
        <f ca="1">IFERROR(__xludf.DUMMYFUNCTION("IMPORTRANGE(""https://docs.google.com/spreadsheets/d/11923uPwbBZFjjGgGUA6NLw09EwE0CqkOc4q9oUmW1yo/edit?usp=sharing"",""พิจิตร!I180"")"),0)</f>
        <v>0</v>
      </c>
      <c r="J265" s="188">
        <f ca="1">IFERROR(__xludf.DUMMYFUNCTION("IMPORTRANGE(""https://docs.google.com/spreadsheets/d/11923uPwbBZFjjGgGUA6NLw09EwE0CqkOc4q9oUmW1yo/edit?usp=sharing"",""พิจิตร!J180"")"),0)</f>
        <v>0</v>
      </c>
      <c r="K265" s="163">
        <f t="shared" ca="1" si="82"/>
        <v>0</v>
      </c>
      <c r="L265" s="181"/>
      <c r="M265" s="181"/>
      <c r="N265" s="181"/>
      <c r="O265" s="181"/>
      <c r="P265" s="181"/>
    </row>
    <row r="266" spans="1:16" ht="21.75" customHeight="1" x14ac:dyDescent="0.3">
      <c r="A266" s="175"/>
      <c r="B266" s="176"/>
      <c r="C266" s="176"/>
      <c r="D266" s="193"/>
      <c r="E266" s="198"/>
      <c r="F266" s="194" t="s">
        <v>107</v>
      </c>
      <c r="G266" s="196"/>
      <c r="H266" s="180" t="s">
        <v>37</v>
      </c>
      <c r="I266" s="187">
        <f ca="1">IFERROR(__xludf.DUMMYFUNCTION("IMPORTRANGE(""https://docs.google.com/spreadsheets/d/11923uPwbBZFjjGgGUA6NLw09EwE0CqkOc4q9oUmW1yo/edit?usp=sharing"",""พิจิตร!I181"")"),0)</f>
        <v>0</v>
      </c>
      <c r="J266" s="188">
        <f ca="1">IFERROR(__xludf.DUMMYFUNCTION("IMPORTRANGE(""https://docs.google.com/spreadsheets/d/11923uPwbBZFjjGgGUA6NLw09EwE0CqkOc4q9oUmW1yo/edit?usp=sharing"",""พิจิตร!J181"")"),0)</f>
        <v>0</v>
      </c>
      <c r="K266" s="163">
        <f t="shared" ca="1" si="82"/>
        <v>0</v>
      </c>
      <c r="L266" s="181"/>
      <c r="M266" s="181"/>
      <c r="N266" s="181"/>
      <c r="O266" s="181"/>
      <c r="P266" s="181"/>
    </row>
    <row r="267" spans="1:16" ht="21.75" customHeight="1" x14ac:dyDescent="0.3">
      <c r="A267" s="175"/>
      <c r="B267" s="176"/>
      <c r="C267" s="176"/>
      <c r="D267" s="193"/>
      <c r="E267" s="198"/>
      <c r="F267" s="194" t="s">
        <v>108</v>
      </c>
      <c r="G267" s="196"/>
      <c r="H267" s="180" t="s">
        <v>37</v>
      </c>
      <c r="I267" s="187">
        <f ca="1">IFERROR(__xludf.DUMMYFUNCTION("IMPORTRANGE(""https://docs.google.com/spreadsheets/d/11923uPwbBZFjjGgGUA6NLw09EwE0CqkOc4q9oUmW1yo/edit?usp=sharing"",""พิจิตร!I182"")"),0)</f>
        <v>0</v>
      </c>
      <c r="J267" s="188">
        <f ca="1">IFERROR(__xludf.DUMMYFUNCTION("IMPORTRANGE(""https://docs.google.com/spreadsheets/d/11923uPwbBZFjjGgGUA6NLw09EwE0CqkOc4q9oUmW1yo/edit?usp=sharing"",""พิจิตร!J182"")"),0)</f>
        <v>0</v>
      </c>
      <c r="K267" s="163">
        <f t="shared" ca="1" si="82"/>
        <v>0</v>
      </c>
      <c r="L267" s="181"/>
      <c r="M267" s="181"/>
      <c r="N267" s="181"/>
      <c r="O267" s="181"/>
      <c r="P267" s="181"/>
    </row>
    <row r="268" spans="1:16" ht="21.75" customHeight="1" x14ac:dyDescent="0.3">
      <c r="A268" s="175"/>
      <c r="B268" s="176"/>
      <c r="C268" s="176"/>
      <c r="D268" s="193"/>
      <c r="E268" s="194" t="s">
        <v>54</v>
      </c>
      <c r="F268" s="195"/>
      <c r="G268" s="196"/>
      <c r="H268" s="186"/>
      <c r="I268" s="187"/>
      <c r="J268" s="197">
        <f ca="1">IFERROR(__xludf.DUMMYFUNCTION("IMPORTRANGE(""https://docs.google.com/spreadsheets/d/11923uPwbBZFjjGgGUA6NLw09EwE0CqkOc4q9oUmW1yo/edit?usp=sharing"",""พิจิตร!J183"")"),0)</f>
        <v>0</v>
      </c>
      <c r="K268" s="163"/>
      <c r="L268" s="181"/>
      <c r="M268" s="181"/>
      <c r="N268" s="181"/>
      <c r="O268" s="181"/>
      <c r="P268" s="181"/>
    </row>
    <row r="269" spans="1:16" ht="21.75" customHeight="1" x14ac:dyDescent="0.3">
      <c r="A269" s="233"/>
      <c r="B269" s="234"/>
      <c r="C269" s="234"/>
      <c r="D269" s="235">
        <v>3</v>
      </c>
      <c r="E269" s="236" t="s">
        <v>55</v>
      </c>
      <c r="F269" s="237"/>
      <c r="G269" s="238"/>
      <c r="H269" s="239"/>
      <c r="I269" s="240"/>
      <c r="J269" s="285">
        <f ca="1">IFERROR(__xludf.DUMMYFUNCTION("IMPORTRANGE(""https://docs.google.com/spreadsheets/d/11923uPwbBZFjjGgGUA6NLw09EwE0CqkOc4q9oUmW1yo/edit?usp=sharing"",""พิจิตร!J184"")"),0)</f>
        <v>0</v>
      </c>
      <c r="K269" s="286"/>
      <c r="L269" s="244"/>
      <c r="M269" s="244"/>
      <c r="N269" s="244"/>
      <c r="O269" s="244"/>
      <c r="P269" s="244"/>
    </row>
    <row r="270" spans="1:16" ht="21.75" customHeight="1" x14ac:dyDescent="0.3">
      <c r="A270" s="310"/>
      <c r="B270" s="311" t="s">
        <v>109</v>
      </c>
      <c r="C270" s="311"/>
      <c r="D270" s="311"/>
      <c r="E270" s="311"/>
      <c r="F270" s="311"/>
      <c r="G270" s="312"/>
      <c r="H270" s="313" t="s">
        <v>37</v>
      </c>
      <c r="I270" s="314">
        <f ca="1">IFERROR(__xludf.DUMMYFUNCTION("IMPORTRANGE(""https://docs.google.com/spreadsheets/d/11923uPwbBZFjjGgGUA6NLw09EwE0CqkOc4q9oUmW1yo/edit?usp=sharing"",""พิจิตร!I185"")"),0)</f>
        <v>0</v>
      </c>
      <c r="J270" s="314">
        <f ca="1">IFERROR(__xludf.DUMMYFUNCTION("IMPORTRANGE(""https://docs.google.com/spreadsheets/d/11923uPwbBZFjjGgGUA6NLw09EwE0CqkOc4q9oUmW1yo/edit?usp=sharing"",""พิจิตร!J185"")"),0)</f>
        <v>0</v>
      </c>
      <c r="K270" s="315">
        <f ca="1">IF(I270&gt;0,J270*100/I270,0)</f>
        <v>0</v>
      </c>
      <c r="L270" s="316"/>
      <c r="M270" s="316"/>
      <c r="N270" s="316"/>
      <c r="O270" s="315"/>
      <c r="P270" s="315"/>
    </row>
    <row r="271" spans="1:16" ht="21.75" customHeight="1" x14ac:dyDescent="0.45">
      <c r="A271" s="145"/>
      <c r="B271" s="146"/>
      <c r="C271" s="147" t="s">
        <v>16</v>
      </c>
      <c r="D271" s="537" t="s">
        <v>17</v>
      </c>
      <c r="E271" s="528"/>
      <c r="F271" s="528"/>
      <c r="G271" s="528"/>
      <c r="H271" s="148" t="s">
        <v>12</v>
      </c>
      <c r="I271" s="162"/>
      <c r="J271" s="162"/>
      <c r="K271" s="163"/>
      <c r="L271" s="151">
        <f t="shared" ref="L271:N271" ca="1" si="83">L272+L273</f>
        <v>0</v>
      </c>
      <c r="M271" s="151">
        <f t="shared" ca="1" si="83"/>
        <v>0</v>
      </c>
      <c r="N271" s="151">
        <f t="shared" ca="1" si="83"/>
        <v>0</v>
      </c>
      <c r="O271" s="150">
        <f t="shared" ref="O271:O273" ca="1" si="84">IF(L271&gt;0,N271*100/L271,0)</f>
        <v>0</v>
      </c>
      <c r="P271" s="150">
        <f t="shared" ref="P271:P273" ca="1" si="85">IF(M271&gt;0,N271*100/M271,0)</f>
        <v>0</v>
      </c>
    </row>
    <row r="272" spans="1:16" ht="21.75" customHeight="1" x14ac:dyDescent="0.45">
      <c r="A272" s="152"/>
      <c r="B272" s="32"/>
      <c r="C272" s="32"/>
      <c r="D272" s="32"/>
      <c r="E272" s="32"/>
      <c r="F272" s="32"/>
      <c r="G272" s="33" t="s">
        <v>18</v>
      </c>
      <c r="H272" s="153" t="s">
        <v>12</v>
      </c>
      <c r="I272" s="162"/>
      <c r="J272" s="162"/>
      <c r="K272" s="163"/>
      <c r="L272" s="87">
        <f t="shared" ref="L272:N272" si="86">L274+L278</f>
        <v>0</v>
      </c>
      <c r="M272" s="87">
        <f t="shared" si="86"/>
        <v>0</v>
      </c>
      <c r="N272" s="87">
        <f t="shared" si="86"/>
        <v>0</v>
      </c>
      <c r="O272" s="155">
        <f t="shared" si="84"/>
        <v>0</v>
      </c>
      <c r="P272" s="155">
        <f t="shared" si="85"/>
        <v>0</v>
      </c>
    </row>
    <row r="273" spans="1:16" ht="21.75" customHeight="1" x14ac:dyDescent="0.45">
      <c r="A273" s="152"/>
      <c r="B273" s="32"/>
      <c r="C273" s="32"/>
      <c r="D273" s="32"/>
      <c r="E273" s="32"/>
      <c r="F273" s="32"/>
      <c r="G273" s="33" t="s">
        <v>19</v>
      </c>
      <c r="H273" s="153" t="s">
        <v>12</v>
      </c>
      <c r="I273" s="162"/>
      <c r="J273" s="162"/>
      <c r="K273" s="163"/>
      <c r="L273" s="87">
        <f t="shared" ref="L273:N273" ca="1" si="87">L275+L279</f>
        <v>0</v>
      </c>
      <c r="M273" s="87">
        <f t="shared" ca="1" si="87"/>
        <v>0</v>
      </c>
      <c r="N273" s="87">
        <f t="shared" ca="1" si="87"/>
        <v>0</v>
      </c>
      <c r="O273" s="155">
        <f t="shared" ca="1" si="84"/>
        <v>0</v>
      </c>
      <c r="P273" s="155">
        <f t="shared" ca="1" si="85"/>
        <v>0</v>
      </c>
    </row>
    <row r="274" spans="1:16" ht="21.75" customHeight="1" x14ac:dyDescent="0.3">
      <c r="A274" s="156"/>
      <c r="B274" s="157"/>
      <c r="C274" s="157" t="s">
        <v>16</v>
      </c>
      <c r="D274" s="158" t="s">
        <v>38</v>
      </c>
      <c r="E274" s="159"/>
      <c r="F274" s="159"/>
      <c r="G274" s="160" t="s">
        <v>39</v>
      </c>
      <c r="H274" s="161" t="s">
        <v>12</v>
      </c>
      <c r="I274" s="162" t="s">
        <v>40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3">
      <c r="A275" s="156"/>
      <c r="B275" s="157"/>
      <c r="C275" s="157"/>
      <c r="D275" s="166"/>
      <c r="E275" s="159"/>
      <c r="F275" s="159" t="s">
        <v>40</v>
      </c>
      <c r="G275" s="160" t="s">
        <v>41</v>
      </c>
      <c r="H275" s="161" t="s">
        <v>12</v>
      </c>
      <c r="I275" s="162"/>
      <c r="J275" s="162"/>
      <c r="K275" s="163"/>
      <c r="L275" s="167">
        <f ca="1">L276+L277</f>
        <v>0</v>
      </c>
      <c r="M275" s="167">
        <f ca="1">IFERROR(__xludf.DUMMYFUNCTION("IMPORTRANGE(""https://docs.google.com/spreadsheets/d/1Yj_ptqi66GCucihVvJfMjLAmec39IyEx_6qawtMGysU/edit?usp=sharing"",""สบก!CK27"")"),0)</f>
        <v>0</v>
      </c>
      <c r="N275" s="168">
        <f ca="1">IFERROR(__xludf.DUMMYFUNCTION("IMPORTRANGE(""https://docs.google.com/spreadsheets/d/1Yj_ptqi66GCucihVvJfMjLAmec39IyEx_6qawtMGysU/edit?usp=sharing"",""สบก!CL27"")"),0)</f>
        <v>0</v>
      </c>
      <c r="O275" s="168">
        <f ca="1">IF(L275&gt;0,N275*100/L275,0)</f>
        <v>0</v>
      </c>
      <c r="P275" s="168">
        <f ca="1">IF(M275&gt;0,N275*100/M275,0)</f>
        <v>0</v>
      </c>
    </row>
    <row r="276" spans="1:16" ht="21.75" customHeight="1" x14ac:dyDescent="0.3">
      <c r="A276" s="156"/>
      <c r="B276" s="157"/>
      <c r="C276" s="157"/>
      <c r="D276" s="166"/>
      <c r="E276" s="159"/>
      <c r="F276" s="159"/>
      <c r="G276" s="169" t="s">
        <v>42</v>
      </c>
      <c r="H276" s="161" t="s">
        <v>12</v>
      </c>
      <c r="I276" s="162"/>
      <c r="J276" s="162"/>
      <c r="K276" s="163"/>
      <c r="L276" s="167">
        <f ca="1">IFERROR(__xludf.DUMMYFUNCTION("IMPORTRANGE(""https://docs.google.com/spreadsheets/d/1Yj_ptqi66GCucihVvJfMjLAmec39IyEx_6qawtMGysU/edit?usp=sharing"",""สบก!CG27"")"),0)</f>
        <v>0</v>
      </c>
      <c r="M276" s="167"/>
      <c r="N276" s="167"/>
      <c r="O276" s="168"/>
      <c r="P276" s="168"/>
    </row>
    <row r="277" spans="1:16" ht="21.75" customHeight="1" x14ac:dyDescent="0.3">
      <c r="A277" s="156"/>
      <c r="B277" s="157"/>
      <c r="C277" s="157"/>
      <c r="D277" s="166"/>
      <c r="E277" s="159"/>
      <c r="F277" s="159"/>
      <c r="G277" s="169" t="s">
        <v>43</v>
      </c>
      <c r="H277" s="161" t="s">
        <v>12</v>
      </c>
      <c r="I277" s="162"/>
      <c r="J277" s="162"/>
      <c r="K277" s="163"/>
      <c r="L277" s="167">
        <f ca="1">IFERROR(__xludf.DUMMYFUNCTION("IMPORTRANGE(""https://docs.google.com/spreadsheets/d/1Yj_ptqi66GCucihVvJfMjLAmec39IyEx_6qawtMGysU/edit?usp=sharing"",""สบก!CH27"")"),0)</f>
        <v>0</v>
      </c>
      <c r="M277" s="167"/>
      <c r="N277" s="167"/>
      <c r="O277" s="168"/>
      <c r="P277" s="168"/>
    </row>
    <row r="278" spans="1:16" ht="21.75" customHeight="1" x14ac:dyDescent="0.45">
      <c r="A278" s="170"/>
      <c r="B278" s="80"/>
      <c r="C278" s="81" t="s">
        <v>16</v>
      </c>
      <c r="D278" s="534" t="s">
        <v>23</v>
      </c>
      <c r="E278" s="530"/>
      <c r="F278" s="88"/>
      <c r="G278" s="82" t="s">
        <v>18</v>
      </c>
      <c r="H278" s="171" t="s">
        <v>12</v>
      </c>
      <c r="I278" s="162"/>
      <c r="J278" s="162"/>
      <c r="K278" s="163"/>
      <c r="L278" s="41">
        <v>0</v>
      </c>
      <c r="M278" s="41"/>
      <c r="N278" s="41"/>
      <c r="O278" s="41"/>
      <c r="P278" s="41"/>
    </row>
    <row r="279" spans="1:16" ht="21.75" customHeight="1" x14ac:dyDescent="0.45">
      <c r="A279" s="172"/>
      <c r="B279" s="91"/>
      <c r="C279" s="91"/>
      <c r="D279" s="173"/>
      <c r="E279" s="92"/>
      <c r="F279" s="92"/>
      <c r="G279" s="93" t="s">
        <v>19</v>
      </c>
      <c r="H279" s="174" t="s">
        <v>12</v>
      </c>
      <c r="I279" s="162"/>
      <c r="J279" s="162"/>
      <c r="K279" s="163"/>
      <c r="L279" s="49">
        <f ca="1">IFERROR(__xludf.DUMMYFUNCTION("IMPORTRANGE(""https://docs.google.com/spreadsheets/d/1Yj_ptqi66GCucihVvJfMjLAmec39IyEx_6qawtMGysU/edit?usp=sharing"",""สบก!CI27"")"),0)</f>
        <v>0</v>
      </c>
      <c r="M279" s="49"/>
      <c r="N279" s="49">
        <f ca="1">IFERROR(__xludf.DUMMYFUNCTION("IMPORTRANGE(""https://docs.google.com/spreadsheets/d/1Yj_ptqi66GCucihVvJfMjLAmec39IyEx_6qawtMGysU/edit?usp=sharing"",""สบก!CM27"")"),0)</f>
        <v>0</v>
      </c>
      <c r="O279" s="49">
        <f ca="1">IF(L279&gt;0,N279*100/L279,0)</f>
        <v>0</v>
      </c>
      <c r="P279" s="49"/>
    </row>
    <row r="280" spans="1:16" ht="21.75" customHeight="1" x14ac:dyDescent="0.3">
      <c r="A280" s="175"/>
      <c r="B280" s="176"/>
      <c r="C280" s="157" t="s">
        <v>16</v>
      </c>
      <c r="D280" s="177" t="s">
        <v>44</v>
      </c>
      <c r="E280" s="178"/>
      <c r="F280" s="178"/>
      <c r="G280" s="179"/>
      <c r="H280" s="180"/>
      <c r="I280" s="162"/>
      <c r="J280" s="162"/>
      <c r="K280" s="163"/>
      <c r="L280" s="181"/>
      <c r="M280" s="181"/>
      <c r="N280" s="181"/>
      <c r="O280" s="181"/>
      <c r="P280" s="181"/>
    </row>
    <row r="281" spans="1:16" ht="21.75" customHeight="1" x14ac:dyDescent="0.3">
      <c r="A281" s="175"/>
      <c r="B281" s="176"/>
      <c r="C281" s="176"/>
      <c r="D281" s="182">
        <v>1</v>
      </c>
      <c r="E281" s="183" t="s">
        <v>45</v>
      </c>
      <c r="F281" s="184"/>
      <c r="G281" s="185"/>
      <c r="H281" s="186"/>
      <c r="I281" s="187"/>
      <c r="J281" s="188">
        <f ca="1">IFERROR(__xludf.DUMMYFUNCTION("IMPORTRANGE(""https://docs.google.com/spreadsheets/d/11923uPwbBZFjjGgGUA6NLw09EwE0CqkOc4q9oUmW1yo/edit?usp=sharing"",""พิจิตร!J191"")"),0)</f>
        <v>0</v>
      </c>
      <c r="K281" s="163"/>
      <c r="L281" s="181"/>
      <c r="M281" s="181"/>
      <c r="N281" s="181"/>
      <c r="O281" s="181"/>
      <c r="P281" s="181"/>
    </row>
    <row r="282" spans="1:16" ht="21.75" customHeight="1" x14ac:dyDescent="0.3">
      <c r="A282" s="175"/>
      <c r="B282" s="176"/>
      <c r="C282" s="176"/>
      <c r="D282" s="189">
        <v>2</v>
      </c>
      <c r="E282" s="190" t="s">
        <v>46</v>
      </c>
      <c r="F282" s="191"/>
      <c r="G282" s="192"/>
      <c r="H282" s="186"/>
      <c r="I282" s="187"/>
      <c r="J282" s="197">
        <f ca="1">IFERROR(__xludf.DUMMYFUNCTION("IMPORTRANGE(""https://docs.google.com/spreadsheets/d/11923uPwbBZFjjGgGUA6NLw09EwE0CqkOc4q9oUmW1yo/edit?usp=sharing"",""พิจิตร!J192"")"),0)</f>
        <v>0</v>
      </c>
      <c r="K282" s="163"/>
      <c r="L282" s="181"/>
      <c r="M282" s="181"/>
      <c r="N282" s="181"/>
      <c r="O282" s="181"/>
      <c r="P282" s="181"/>
    </row>
    <row r="283" spans="1:16" ht="21.75" customHeight="1" x14ac:dyDescent="0.3">
      <c r="A283" s="175"/>
      <c r="B283" s="176"/>
      <c r="C283" s="176"/>
      <c r="D283" s="193"/>
      <c r="E283" s="194" t="s">
        <v>47</v>
      </c>
      <c r="F283" s="195"/>
      <c r="G283" s="196"/>
      <c r="H283" s="186"/>
      <c r="I283" s="187"/>
      <c r="J283" s="197">
        <f ca="1">IFERROR(__xludf.DUMMYFUNCTION("IMPORTRANGE(""https://docs.google.com/spreadsheets/d/11923uPwbBZFjjGgGUA6NLw09EwE0CqkOc4q9oUmW1yo/edit?usp=sharing"",""พิจิตร!J193"")"),0)</f>
        <v>0</v>
      </c>
      <c r="K283" s="163"/>
      <c r="L283" s="181"/>
      <c r="M283" s="181"/>
      <c r="N283" s="181"/>
      <c r="O283" s="181"/>
      <c r="P283" s="181"/>
    </row>
    <row r="284" spans="1:16" ht="21.75" customHeight="1" x14ac:dyDescent="0.3">
      <c r="A284" s="175"/>
      <c r="B284" s="176"/>
      <c r="C284" s="176"/>
      <c r="D284" s="193"/>
      <c r="E284" s="194" t="s">
        <v>48</v>
      </c>
      <c r="F284" s="195"/>
      <c r="G284" s="196"/>
      <c r="H284" s="186"/>
      <c r="I284" s="187"/>
      <c r="J284" s="197">
        <f ca="1">IFERROR(__xludf.DUMMYFUNCTION("IMPORTRANGE(""https://docs.google.com/spreadsheets/d/11923uPwbBZFjjGgGUA6NLw09EwE0CqkOc4q9oUmW1yo/edit?usp=sharing"",""พิจิตร!J194"")"),0)</f>
        <v>0</v>
      </c>
      <c r="K284" s="163"/>
      <c r="L284" s="181"/>
      <c r="M284" s="181"/>
      <c r="N284" s="181"/>
      <c r="O284" s="181"/>
      <c r="P284" s="181"/>
    </row>
    <row r="285" spans="1:16" ht="21.75" customHeight="1" x14ac:dyDescent="0.3">
      <c r="A285" s="175"/>
      <c r="B285" s="176"/>
      <c r="C285" s="176"/>
      <c r="D285" s="193"/>
      <c r="E285" s="195"/>
      <c r="F285" s="194" t="s">
        <v>110</v>
      </c>
      <c r="G285" s="196"/>
      <c r="H285" s="186" t="s">
        <v>37</v>
      </c>
      <c r="I285" s="187">
        <f ca="1">IFERROR(__xludf.DUMMYFUNCTION("IMPORTRANGE(""https://docs.google.com/spreadsheets/d/11923uPwbBZFjjGgGUA6NLw09EwE0CqkOc4q9oUmW1yo/edit?usp=sharing"",""พิจิตร!I195"")"),0)</f>
        <v>0</v>
      </c>
      <c r="J285" s="188">
        <f ca="1">IFERROR(__xludf.DUMMYFUNCTION("IMPORTRANGE(""https://docs.google.com/spreadsheets/d/11923uPwbBZFjjGgGUA6NLw09EwE0CqkOc4q9oUmW1yo/edit?usp=sharing"",""พิจิตร!J195"")"),0)</f>
        <v>0</v>
      </c>
      <c r="K285" s="163">
        <f ca="1">IF(I285&gt;0,J285*100/I285,0)</f>
        <v>0</v>
      </c>
      <c r="L285" s="181"/>
      <c r="M285" s="181"/>
      <c r="N285" s="181"/>
      <c r="O285" s="181"/>
      <c r="P285" s="181"/>
    </row>
    <row r="286" spans="1:16" ht="21.75" customHeight="1" x14ac:dyDescent="0.3">
      <c r="A286" s="175"/>
      <c r="B286" s="176"/>
      <c r="C286" s="176"/>
      <c r="D286" s="193"/>
      <c r="E286" s="194" t="s">
        <v>54</v>
      </c>
      <c r="F286" s="195"/>
      <c r="G286" s="196"/>
      <c r="H286" s="186"/>
      <c r="I286" s="187"/>
      <c r="J286" s="197">
        <f ca="1">IFERROR(__xludf.DUMMYFUNCTION("IMPORTRANGE(""https://docs.google.com/spreadsheets/d/11923uPwbBZFjjGgGUA6NLw09EwE0CqkOc4q9oUmW1yo/edit?usp=sharing"",""พิจิตร!J196"")"),0)</f>
        <v>0</v>
      </c>
      <c r="K286" s="163"/>
      <c r="L286" s="181"/>
      <c r="M286" s="181"/>
      <c r="N286" s="181"/>
      <c r="O286" s="181"/>
      <c r="P286" s="181"/>
    </row>
    <row r="287" spans="1:16" ht="21.75" customHeight="1" x14ac:dyDescent="0.3">
      <c r="A287" s="175"/>
      <c r="B287" s="176"/>
      <c r="C287" s="176"/>
      <c r="D287" s="205">
        <v>3</v>
      </c>
      <c r="E287" s="206" t="s">
        <v>55</v>
      </c>
      <c r="F287" s="207"/>
      <c r="G287" s="208"/>
      <c r="H287" s="186"/>
      <c r="I287" s="187"/>
      <c r="J287" s="209">
        <f ca="1">IFERROR(__xludf.DUMMYFUNCTION("IMPORTRANGE(""https://docs.google.com/spreadsheets/d/11923uPwbBZFjjGgGUA6NLw09EwE0CqkOc4q9oUmW1yo/edit?usp=sharing"",""พิจิตร!J197"")"),0)</f>
        <v>0</v>
      </c>
      <c r="K287" s="163"/>
      <c r="L287" s="181"/>
      <c r="M287" s="181"/>
      <c r="N287" s="181"/>
      <c r="O287" s="181"/>
      <c r="P287" s="181"/>
    </row>
    <row r="288" spans="1:16" ht="21.75" customHeight="1" x14ac:dyDescent="0.3">
      <c r="A288" s="302" t="s">
        <v>111</v>
      </c>
      <c r="B288" s="303"/>
      <c r="C288" s="303"/>
      <c r="D288" s="304"/>
      <c r="E288" s="303"/>
      <c r="F288" s="303"/>
      <c r="G288" s="317"/>
      <c r="H288" s="318"/>
      <c r="I288" s="319"/>
      <c r="J288" s="319"/>
      <c r="K288" s="320"/>
      <c r="L288" s="320"/>
      <c r="M288" s="320"/>
      <c r="N288" s="320"/>
      <c r="O288" s="309"/>
      <c r="P288" s="309"/>
    </row>
    <row r="289" spans="1:16" ht="21.75" customHeight="1" x14ac:dyDescent="0.3">
      <c r="A289" s="321"/>
      <c r="B289" s="311" t="s">
        <v>112</v>
      </c>
      <c r="C289" s="322"/>
      <c r="D289" s="323"/>
      <c r="E289" s="311"/>
      <c r="F289" s="311"/>
      <c r="G289" s="312"/>
      <c r="H289" s="313" t="s">
        <v>37</v>
      </c>
      <c r="I289" s="314">
        <f ca="1">IFERROR(__xludf.DUMMYFUNCTION("IMPORTRANGE(""https://docs.google.com/spreadsheets/d/11923uPwbBZFjjGgGUA6NLw09EwE0CqkOc4q9oUmW1yo/edit?usp=sharing"",""พิจิตร!I199"")"),0)</f>
        <v>0</v>
      </c>
      <c r="J289" s="314">
        <f ca="1">IFERROR(__xludf.DUMMYFUNCTION("IMPORTRANGE(""https://docs.google.com/spreadsheets/d/11923uPwbBZFjjGgGUA6NLw09EwE0CqkOc4q9oUmW1yo/edit?usp=sharing"",""พิจิตร!J199"")"),0)</f>
        <v>0</v>
      </c>
      <c r="K289" s="315">
        <f ca="1">IF(I289&gt;0,J289*100/I289,0)</f>
        <v>0</v>
      </c>
      <c r="L289" s="316"/>
      <c r="M289" s="316"/>
      <c r="N289" s="316"/>
      <c r="O289" s="315"/>
      <c r="P289" s="315"/>
    </row>
    <row r="290" spans="1:16" ht="21.75" customHeight="1" x14ac:dyDescent="0.45">
      <c r="A290" s="145"/>
      <c r="B290" s="146"/>
      <c r="C290" s="147" t="s">
        <v>16</v>
      </c>
      <c r="D290" s="537" t="s">
        <v>17</v>
      </c>
      <c r="E290" s="528"/>
      <c r="F290" s="528"/>
      <c r="G290" s="528"/>
      <c r="H290" s="148" t="s">
        <v>12</v>
      </c>
      <c r="I290" s="187"/>
      <c r="J290" s="187"/>
      <c r="K290" s="223"/>
      <c r="L290" s="151">
        <f t="shared" ref="L290:N290" ca="1" si="88">L291+L292</f>
        <v>0</v>
      </c>
      <c r="M290" s="151">
        <f t="shared" ca="1" si="88"/>
        <v>0</v>
      </c>
      <c r="N290" s="151">
        <f t="shared" ca="1" si="88"/>
        <v>0</v>
      </c>
      <c r="O290" s="150">
        <f t="shared" ref="O290:O292" ca="1" si="89">IF(L290&gt;0,N290*100/L290,0)</f>
        <v>0</v>
      </c>
      <c r="P290" s="150">
        <f t="shared" ref="P290:P292" ca="1" si="90">IF(M290&gt;0,N290*100/M290,0)</f>
        <v>0</v>
      </c>
    </row>
    <row r="291" spans="1:16" ht="21.75" customHeight="1" x14ac:dyDescent="0.45">
      <c r="A291" s="152"/>
      <c r="B291" s="32"/>
      <c r="C291" s="32"/>
      <c r="D291" s="32"/>
      <c r="E291" s="32"/>
      <c r="F291" s="32"/>
      <c r="G291" s="33" t="s">
        <v>18</v>
      </c>
      <c r="H291" s="153" t="s">
        <v>12</v>
      </c>
      <c r="I291" s="187"/>
      <c r="J291" s="187"/>
      <c r="K291" s="223"/>
      <c r="L291" s="87">
        <f t="shared" ref="L291:N291" si="91">L293+L297</f>
        <v>0</v>
      </c>
      <c r="M291" s="87">
        <f t="shared" si="91"/>
        <v>0</v>
      </c>
      <c r="N291" s="87">
        <f t="shared" si="91"/>
        <v>0</v>
      </c>
      <c r="O291" s="155">
        <f t="shared" si="89"/>
        <v>0</v>
      </c>
      <c r="P291" s="155">
        <f t="shared" si="90"/>
        <v>0</v>
      </c>
    </row>
    <row r="292" spans="1:16" ht="21.75" customHeight="1" x14ac:dyDescent="0.45">
      <c r="A292" s="152"/>
      <c r="B292" s="32"/>
      <c r="C292" s="32"/>
      <c r="D292" s="32"/>
      <c r="E292" s="32"/>
      <c r="F292" s="32"/>
      <c r="G292" s="33" t="s">
        <v>19</v>
      </c>
      <c r="H292" s="153" t="s">
        <v>12</v>
      </c>
      <c r="I292" s="187"/>
      <c r="J292" s="187"/>
      <c r="K292" s="223"/>
      <c r="L292" s="87">
        <f t="shared" ref="L292:N292" ca="1" si="92">L294+L298</f>
        <v>0</v>
      </c>
      <c r="M292" s="87">
        <f t="shared" ca="1" si="92"/>
        <v>0</v>
      </c>
      <c r="N292" s="87">
        <f t="shared" ca="1" si="92"/>
        <v>0</v>
      </c>
      <c r="O292" s="155">
        <f t="shared" ca="1" si="89"/>
        <v>0</v>
      </c>
      <c r="P292" s="155">
        <f t="shared" ca="1" si="90"/>
        <v>0</v>
      </c>
    </row>
    <row r="293" spans="1:16" ht="21.75" customHeight="1" x14ac:dyDescent="0.3">
      <c r="A293" s="156"/>
      <c r="B293" s="157"/>
      <c r="C293" s="157" t="s">
        <v>16</v>
      </c>
      <c r="D293" s="158" t="s">
        <v>38</v>
      </c>
      <c r="E293" s="159"/>
      <c r="F293" s="159"/>
      <c r="G293" s="160" t="s">
        <v>39</v>
      </c>
      <c r="H293" s="161" t="s">
        <v>12</v>
      </c>
      <c r="I293" s="187" t="s">
        <v>40</v>
      </c>
      <c r="J293" s="187"/>
      <c r="K293" s="223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3">
      <c r="A294" s="156"/>
      <c r="B294" s="157"/>
      <c r="C294" s="157"/>
      <c r="D294" s="166"/>
      <c r="E294" s="159"/>
      <c r="F294" s="159" t="s">
        <v>40</v>
      </c>
      <c r="G294" s="160" t="s">
        <v>41</v>
      </c>
      <c r="H294" s="161" t="s">
        <v>12</v>
      </c>
      <c r="I294" s="187"/>
      <c r="J294" s="187"/>
      <c r="K294" s="223"/>
      <c r="L294" s="167">
        <f ca="1">L295+L296</f>
        <v>0</v>
      </c>
      <c r="M294" s="167">
        <f ca="1">IFERROR(__xludf.DUMMYFUNCTION("IMPORTRANGE(""https://docs.google.com/spreadsheets/d/1Yj_ptqi66GCucihVvJfMjLAmec39IyEx_6qawtMGysU/edit?usp=sharing"",""สบก!CT27"")"),0)</f>
        <v>0</v>
      </c>
      <c r="N294" s="168">
        <f ca="1">IFERROR(__xludf.DUMMYFUNCTION("IMPORTRANGE(""https://docs.google.com/spreadsheets/d/1Yj_ptqi66GCucihVvJfMjLAmec39IyEx_6qawtMGysU/edit?usp=sharing"",""สบก!CU27"")"),0)</f>
        <v>0</v>
      </c>
      <c r="O294" s="168">
        <f ca="1">IF(L294&gt;0,N294*100/L294,0)</f>
        <v>0</v>
      </c>
      <c r="P294" s="168">
        <f ca="1">IF(M294&gt;0,N294*100/M294,0)</f>
        <v>0</v>
      </c>
    </row>
    <row r="295" spans="1:16" ht="21.75" customHeight="1" x14ac:dyDescent="0.3">
      <c r="A295" s="156"/>
      <c r="B295" s="157"/>
      <c r="C295" s="157"/>
      <c r="D295" s="166"/>
      <c r="E295" s="159"/>
      <c r="F295" s="159"/>
      <c r="G295" s="169" t="s">
        <v>42</v>
      </c>
      <c r="H295" s="161" t="s">
        <v>12</v>
      </c>
      <c r="I295" s="187"/>
      <c r="J295" s="187"/>
      <c r="K295" s="223"/>
      <c r="L295" s="167">
        <f ca="1">IFERROR(__xludf.DUMMYFUNCTION("IMPORTRANGE(""https://docs.google.com/spreadsheets/d/1Yj_ptqi66GCucihVvJfMjLAmec39IyEx_6qawtMGysU/edit?usp=sharing"",""สบก!CP27"")"),0)</f>
        <v>0</v>
      </c>
      <c r="M295" s="167"/>
      <c r="N295" s="167"/>
      <c r="O295" s="168"/>
      <c r="P295" s="168"/>
    </row>
    <row r="296" spans="1:16" ht="21.75" customHeight="1" x14ac:dyDescent="0.3">
      <c r="A296" s="156"/>
      <c r="B296" s="157"/>
      <c r="C296" s="157"/>
      <c r="D296" s="166"/>
      <c r="E296" s="159"/>
      <c r="F296" s="159"/>
      <c r="G296" s="169" t="s">
        <v>43</v>
      </c>
      <c r="H296" s="161" t="s">
        <v>12</v>
      </c>
      <c r="I296" s="187"/>
      <c r="J296" s="187"/>
      <c r="K296" s="223"/>
      <c r="L296" s="167">
        <f ca="1">IFERROR(__xludf.DUMMYFUNCTION("IMPORTRANGE(""https://docs.google.com/spreadsheets/d/1Yj_ptqi66GCucihVvJfMjLAmec39IyEx_6qawtMGysU/edit?usp=sharing"",""สบก!CQ27"")"),0)</f>
        <v>0</v>
      </c>
      <c r="M296" s="167"/>
      <c r="N296" s="167"/>
      <c r="O296" s="168"/>
      <c r="P296" s="168"/>
    </row>
    <row r="297" spans="1:16" ht="21.75" customHeight="1" x14ac:dyDescent="0.45">
      <c r="A297" s="170"/>
      <c r="B297" s="80"/>
      <c r="C297" s="81" t="s">
        <v>16</v>
      </c>
      <c r="D297" s="534" t="s">
        <v>23</v>
      </c>
      <c r="E297" s="530"/>
      <c r="F297" s="88"/>
      <c r="G297" s="82" t="s">
        <v>18</v>
      </c>
      <c r="H297" s="171" t="s">
        <v>12</v>
      </c>
      <c r="I297" s="187"/>
      <c r="J297" s="187"/>
      <c r="K297" s="223"/>
      <c r="L297" s="41">
        <v>0</v>
      </c>
      <c r="M297" s="41"/>
      <c r="N297" s="41"/>
      <c r="O297" s="41"/>
      <c r="P297" s="41"/>
    </row>
    <row r="298" spans="1:16" ht="21.75" customHeight="1" x14ac:dyDescent="0.45">
      <c r="A298" s="172"/>
      <c r="B298" s="91"/>
      <c r="C298" s="91"/>
      <c r="D298" s="173"/>
      <c r="E298" s="92"/>
      <c r="F298" s="92"/>
      <c r="G298" s="93" t="s">
        <v>19</v>
      </c>
      <c r="H298" s="174" t="s">
        <v>12</v>
      </c>
      <c r="I298" s="187"/>
      <c r="J298" s="187"/>
      <c r="K298" s="223"/>
      <c r="L298" s="49">
        <f ca="1">IFERROR(__xludf.DUMMYFUNCTION("IMPORTRANGE(""https://docs.google.com/spreadsheets/d/1Yj_ptqi66GCucihVvJfMjLAmec39IyEx_6qawtMGysU/edit?usp=sharing"",""สบก!CR27"")"),0)</f>
        <v>0</v>
      </c>
      <c r="M298" s="49"/>
      <c r="N298" s="49">
        <f ca="1">IFERROR(__xludf.DUMMYFUNCTION("IMPORTRANGE(""https://docs.google.com/spreadsheets/d/1Yj_ptqi66GCucihVvJfMjLAmec39IyEx_6qawtMGysU/edit?usp=sharing"",""สบก!CV27"")"),0)</f>
        <v>0</v>
      </c>
      <c r="O298" s="49">
        <f ca="1">IF(L298&gt;0,N298*100/L298,0)</f>
        <v>0</v>
      </c>
      <c r="P298" s="49"/>
    </row>
    <row r="299" spans="1:16" ht="21.75" customHeight="1" x14ac:dyDescent="0.3">
      <c r="A299" s="175"/>
      <c r="B299" s="176"/>
      <c r="C299" s="157" t="s">
        <v>16</v>
      </c>
      <c r="D299" s="177" t="s">
        <v>44</v>
      </c>
      <c r="E299" s="178"/>
      <c r="F299" s="178"/>
      <c r="G299" s="179"/>
      <c r="H299" s="180"/>
      <c r="I299" s="187"/>
      <c r="J299" s="187"/>
      <c r="K299" s="223"/>
      <c r="L299" s="168"/>
      <c r="M299" s="168"/>
      <c r="N299" s="168"/>
      <c r="O299" s="181"/>
      <c r="P299" s="181"/>
    </row>
    <row r="300" spans="1:16" ht="21.75" customHeight="1" x14ac:dyDescent="0.3">
      <c r="A300" s="175"/>
      <c r="B300" s="176"/>
      <c r="C300" s="176"/>
      <c r="D300" s="182">
        <v>1</v>
      </c>
      <c r="E300" s="183" t="s">
        <v>45</v>
      </c>
      <c r="F300" s="184"/>
      <c r="G300" s="185"/>
      <c r="H300" s="186"/>
      <c r="I300" s="187"/>
      <c r="J300" s="187">
        <f ca="1">IFERROR(__xludf.DUMMYFUNCTION("IMPORTRANGE(""https://docs.google.com/spreadsheets/d/11923uPwbBZFjjGgGUA6NLw09EwE0CqkOc4q9oUmW1yo/edit?usp=sharing"",""พิจิตร!J205"")"),0)</f>
        <v>0</v>
      </c>
      <c r="K300" s="223"/>
      <c r="L300" s="168"/>
      <c r="M300" s="168"/>
      <c r="N300" s="168"/>
      <c r="O300" s="181"/>
      <c r="P300" s="181"/>
    </row>
    <row r="301" spans="1:16" ht="21.75" customHeight="1" x14ac:dyDescent="0.3">
      <c r="A301" s="175"/>
      <c r="B301" s="176"/>
      <c r="C301" s="176"/>
      <c r="D301" s="189">
        <v>2</v>
      </c>
      <c r="E301" s="190" t="s">
        <v>46</v>
      </c>
      <c r="F301" s="191"/>
      <c r="G301" s="192"/>
      <c r="H301" s="186"/>
      <c r="I301" s="187"/>
      <c r="J301" s="187">
        <f ca="1">IFERROR(__xludf.DUMMYFUNCTION("IMPORTRANGE(""https://docs.google.com/spreadsheets/d/11923uPwbBZFjjGgGUA6NLw09EwE0CqkOc4q9oUmW1yo/edit?usp=sharing"",""พิจิตร!J206"")"),0)</f>
        <v>0</v>
      </c>
      <c r="K301" s="223"/>
      <c r="L301" s="168" t="s">
        <v>40</v>
      </c>
      <c r="M301" s="168"/>
      <c r="N301" s="168" t="s">
        <v>40</v>
      </c>
      <c r="O301" s="181"/>
      <c r="P301" s="181"/>
    </row>
    <row r="302" spans="1:16" ht="21.75" customHeight="1" x14ac:dyDescent="0.3">
      <c r="A302" s="175"/>
      <c r="B302" s="176"/>
      <c r="C302" s="176"/>
      <c r="D302" s="193"/>
      <c r="E302" s="194" t="s">
        <v>47</v>
      </c>
      <c r="F302" s="195"/>
      <c r="G302" s="196"/>
      <c r="H302" s="186"/>
      <c r="I302" s="187"/>
      <c r="J302" s="187">
        <f ca="1">IFERROR(__xludf.DUMMYFUNCTION("IMPORTRANGE(""https://docs.google.com/spreadsheets/d/11923uPwbBZFjjGgGUA6NLw09EwE0CqkOc4q9oUmW1yo/edit?usp=sharing"",""พิจิตร!J207"")"),0)</f>
        <v>0</v>
      </c>
      <c r="K302" s="223"/>
      <c r="L302" s="168"/>
      <c r="M302" s="168"/>
      <c r="N302" s="168"/>
      <c r="O302" s="181"/>
      <c r="P302" s="181"/>
    </row>
    <row r="303" spans="1:16" ht="21.75" customHeight="1" x14ac:dyDescent="0.3">
      <c r="A303" s="175"/>
      <c r="B303" s="176"/>
      <c r="C303" s="176"/>
      <c r="D303" s="193"/>
      <c r="E303" s="194" t="s">
        <v>48</v>
      </c>
      <c r="F303" s="195"/>
      <c r="G303" s="196"/>
      <c r="H303" s="186"/>
      <c r="I303" s="187"/>
      <c r="J303" s="187">
        <f ca="1">IFERROR(__xludf.DUMMYFUNCTION("IMPORTRANGE(""https://docs.google.com/spreadsheets/d/11923uPwbBZFjjGgGUA6NLw09EwE0CqkOc4q9oUmW1yo/edit?usp=sharing"",""พิจิตร!J208"")"),0)</f>
        <v>0</v>
      </c>
      <c r="K303" s="223"/>
      <c r="L303" s="168"/>
      <c r="M303" s="168"/>
      <c r="N303" s="168"/>
      <c r="O303" s="181"/>
      <c r="P303" s="181"/>
    </row>
    <row r="304" spans="1:16" ht="21.75" customHeight="1" x14ac:dyDescent="0.3">
      <c r="A304" s="175"/>
      <c r="B304" s="176"/>
      <c r="C304" s="176"/>
      <c r="D304" s="193"/>
      <c r="E304" s="198"/>
      <c r="F304" s="194" t="s">
        <v>113</v>
      </c>
      <c r="G304" s="196"/>
      <c r="H304" s="180" t="s">
        <v>37</v>
      </c>
      <c r="I304" s="187">
        <f ca="1">IFERROR(__xludf.DUMMYFUNCTION("IMPORTRANGE(""https://docs.google.com/spreadsheets/d/11923uPwbBZFjjGgGUA6NLw09EwE0CqkOc4q9oUmW1yo/edit?usp=sharing"",""พิจิตร!I209"")"),0)</f>
        <v>0</v>
      </c>
      <c r="J304" s="203">
        <f ca="1">IFERROR(__xludf.DUMMYFUNCTION("IMPORTRANGE(""https://docs.google.com/spreadsheets/d/11923uPwbBZFjjGgGUA6NLw09EwE0CqkOc4q9oUmW1yo/edit?usp=sharing"",""พิจิตร!J209"")"),0)</f>
        <v>0</v>
      </c>
      <c r="K304" s="223">
        <f ca="1">IF(I304&gt;0,J304*100/I304,0)</f>
        <v>0</v>
      </c>
      <c r="L304" s="168"/>
      <c r="M304" s="168"/>
      <c r="N304" s="168"/>
      <c r="O304" s="181"/>
      <c r="P304" s="181"/>
    </row>
    <row r="305" spans="1:16" ht="21.75" customHeight="1" x14ac:dyDescent="0.3">
      <c r="A305" s="175"/>
      <c r="B305" s="176"/>
      <c r="C305" s="176"/>
      <c r="D305" s="193"/>
      <c r="E305" s="198"/>
      <c r="F305" s="194" t="s">
        <v>114</v>
      </c>
      <c r="G305" s="196"/>
      <c r="H305" s="180"/>
      <c r="I305" s="187"/>
      <c r="J305" s="187"/>
      <c r="K305" s="223"/>
      <c r="L305" s="168"/>
      <c r="M305" s="168"/>
      <c r="N305" s="168"/>
      <c r="O305" s="181"/>
      <c r="P305" s="181"/>
    </row>
    <row r="306" spans="1:16" ht="21.75" customHeight="1" x14ac:dyDescent="0.3">
      <c r="A306" s="175"/>
      <c r="B306" s="176"/>
      <c r="C306" s="176"/>
      <c r="D306" s="193"/>
      <c r="E306" s="198"/>
      <c r="F306" s="195" t="s">
        <v>53</v>
      </c>
      <c r="G306" s="196"/>
      <c r="H306" s="180" t="s">
        <v>37</v>
      </c>
      <c r="I306" s="187">
        <f ca="1">IFERROR(__xludf.DUMMYFUNCTION("IMPORTRANGE(""https://docs.google.com/spreadsheets/d/11923uPwbBZFjjGgGUA6NLw09EwE0CqkOc4q9oUmW1yo/edit?usp=sharing"",""พิจิตร!I211"")"),0)</f>
        <v>0</v>
      </c>
      <c r="J306" s="203">
        <f ca="1">IFERROR(__xludf.DUMMYFUNCTION("IMPORTRANGE(""https://docs.google.com/spreadsheets/d/11923uPwbBZFjjGgGUA6NLw09EwE0CqkOc4q9oUmW1yo/edit?usp=sharing"",""พิจิตร!J211"")"),0)</f>
        <v>0</v>
      </c>
      <c r="K306" s="223">
        <f ca="1">IF(I306&gt;0,J306*100/I306,0)</f>
        <v>0</v>
      </c>
      <c r="L306" s="168"/>
      <c r="M306" s="168"/>
      <c r="N306" s="168"/>
      <c r="O306" s="181"/>
      <c r="P306" s="181"/>
    </row>
    <row r="307" spans="1:16" ht="21.75" customHeight="1" x14ac:dyDescent="0.3">
      <c r="A307" s="175"/>
      <c r="B307" s="176"/>
      <c r="C307" s="176"/>
      <c r="D307" s="193"/>
      <c r="E307" s="194" t="s">
        <v>54</v>
      </c>
      <c r="F307" s="195"/>
      <c r="G307" s="196"/>
      <c r="H307" s="186"/>
      <c r="I307" s="187"/>
      <c r="J307" s="187">
        <f ca="1">IFERROR(__xludf.DUMMYFUNCTION("IMPORTRANGE(""https://docs.google.com/spreadsheets/d/11923uPwbBZFjjGgGUA6NLw09EwE0CqkOc4q9oUmW1yo/edit?usp=sharing"",""พิจิตร!J212"")"),0)</f>
        <v>0</v>
      </c>
      <c r="K307" s="223"/>
      <c r="L307" s="168"/>
      <c r="M307" s="168"/>
      <c r="N307" s="168"/>
      <c r="O307" s="181"/>
      <c r="P307" s="181"/>
    </row>
    <row r="308" spans="1:16" ht="21.75" customHeight="1" x14ac:dyDescent="0.3">
      <c r="A308" s="175"/>
      <c r="B308" s="176"/>
      <c r="C308" s="176"/>
      <c r="D308" s="205">
        <v>3</v>
      </c>
      <c r="E308" s="206" t="s">
        <v>55</v>
      </c>
      <c r="F308" s="207"/>
      <c r="G308" s="208"/>
      <c r="H308" s="186"/>
      <c r="I308" s="187"/>
      <c r="J308" s="324">
        <f ca="1">IFERROR(__xludf.DUMMYFUNCTION("IMPORTRANGE(""https://docs.google.com/spreadsheets/d/11923uPwbBZFjjGgGUA6NLw09EwE0CqkOc4q9oUmW1yo/edit?usp=sharing"",""พิจิตร!J213"")"),0)</f>
        <v>0</v>
      </c>
      <c r="K308" s="223"/>
      <c r="L308" s="168"/>
      <c r="M308" s="168"/>
      <c r="N308" s="168"/>
      <c r="O308" s="181"/>
      <c r="P308" s="181"/>
    </row>
    <row r="309" spans="1:16" ht="21.75" customHeight="1" x14ac:dyDescent="0.3">
      <c r="A309" s="325"/>
      <c r="B309" s="326" t="s">
        <v>115</v>
      </c>
      <c r="C309" s="327"/>
      <c r="D309" s="328"/>
      <c r="E309" s="326"/>
      <c r="F309" s="326"/>
      <c r="G309" s="329"/>
      <c r="H309" s="330" t="s">
        <v>116</v>
      </c>
      <c r="I309" s="331">
        <f ca="1">IFERROR(__xludf.DUMMYFUNCTION("IMPORTRANGE(""https://docs.google.com/spreadsheets/d/11923uPwbBZFjjGgGUA6NLw09EwE0CqkOc4q9oUmW1yo/edit?usp=sharing"",""พิจิตร!I214"")"),0)</f>
        <v>0</v>
      </c>
      <c r="J309" s="331">
        <f ca="1">IFERROR(__xludf.DUMMYFUNCTION("IMPORTRANGE(""https://docs.google.com/spreadsheets/d/11923uPwbBZFjjGgGUA6NLw09EwE0CqkOc4q9oUmW1yo/edit?usp=sharing"",""พิจิตร!J214"")"),0)</f>
        <v>0</v>
      </c>
      <c r="K309" s="332">
        <f ca="1">IF(I309&gt;0,J309*100/I309,0)</f>
        <v>0</v>
      </c>
      <c r="L309" s="333"/>
      <c r="M309" s="333"/>
      <c r="N309" s="333"/>
      <c r="O309" s="332"/>
      <c r="P309" s="332"/>
    </row>
    <row r="310" spans="1:16" ht="21.75" customHeight="1" x14ac:dyDescent="0.45">
      <c r="A310" s="145"/>
      <c r="B310" s="146"/>
      <c r="C310" s="147" t="s">
        <v>16</v>
      </c>
      <c r="D310" s="537" t="s">
        <v>17</v>
      </c>
      <c r="E310" s="528"/>
      <c r="F310" s="528"/>
      <c r="G310" s="528"/>
      <c r="H310" s="148" t="s">
        <v>12</v>
      </c>
      <c r="I310" s="334"/>
      <c r="J310" s="334"/>
      <c r="K310" s="335"/>
      <c r="L310" s="151">
        <f t="shared" ref="L310:N310" ca="1" si="93">L311+L312</f>
        <v>0</v>
      </c>
      <c r="M310" s="151">
        <f t="shared" ca="1" si="93"/>
        <v>0</v>
      </c>
      <c r="N310" s="151">
        <f t="shared" ca="1" si="93"/>
        <v>0</v>
      </c>
      <c r="O310" s="150">
        <f t="shared" ref="O310:O312" ca="1" si="94">IF(L310&gt;0,N310*100/L310,0)</f>
        <v>0</v>
      </c>
      <c r="P310" s="150">
        <f t="shared" ref="P310:P312" ca="1" si="95">IF(M310&gt;0,N310*100/M310,0)</f>
        <v>0</v>
      </c>
    </row>
    <row r="311" spans="1:16" ht="21.75" customHeight="1" x14ac:dyDescent="0.45">
      <c r="A311" s="152"/>
      <c r="B311" s="32"/>
      <c r="C311" s="32"/>
      <c r="D311" s="32"/>
      <c r="E311" s="32"/>
      <c r="F311" s="32"/>
      <c r="G311" s="33" t="s">
        <v>18</v>
      </c>
      <c r="H311" s="153" t="s">
        <v>12</v>
      </c>
      <c r="I311" s="334"/>
      <c r="J311" s="334"/>
      <c r="K311" s="335"/>
      <c r="L311" s="87">
        <f t="shared" ref="L311:N311" si="96">L313+L317</f>
        <v>0</v>
      </c>
      <c r="M311" s="87">
        <f t="shared" si="96"/>
        <v>0</v>
      </c>
      <c r="N311" s="87">
        <f t="shared" si="96"/>
        <v>0</v>
      </c>
      <c r="O311" s="155">
        <f t="shared" si="94"/>
        <v>0</v>
      </c>
      <c r="P311" s="155">
        <f t="shared" si="95"/>
        <v>0</v>
      </c>
    </row>
    <row r="312" spans="1:16" ht="21.75" customHeight="1" x14ac:dyDescent="0.45">
      <c r="A312" s="152"/>
      <c r="B312" s="32"/>
      <c r="C312" s="32"/>
      <c r="D312" s="32"/>
      <c r="E312" s="32"/>
      <c r="F312" s="32"/>
      <c r="G312" s="33" t="s">
        <v>19</v>
      </c>
      <c r="H312" s="153" t="s">
        <v>12</v>
      </c>
      <c r="I312" s="334"/>
      <c r="J312" s="334"/>
      <c r="K312" s="335"/>
      <c r="L312" s="87">
        <f t="shared" ref="L312:N312" ca="1" si="97">L314+L318</f>
        <v>0</v>
      </c>
      <c r="M312" s="87">
        <f t="shared" ca="1" si="97"/>
        <v>0</v>
      </c>
      <c r="N312" s="87">
        <f t="shared" ca="1" si="97"/>
        <v>0</v>
      </c>
      <c r="O312" s="155">
        <f t="shared" ca="1" si="94"/>
        <v>0</v>
      </c>
      <c r="P312" s="155">
        <f t="shared" ca="1" si="95"/>
        <v>0</v>
      </c>
    </row>
    <row r="313" spans="1:16" ht="21.75" customHeight="1" x14ac:dyDescent="0.3">
      <c r="A313" s="156"/>
      <c r="B313" s="157"/>
      <c r="C313" s="157" t="s">
        <v>16</v>
      </c>
      <c r="D313" s="158" t="s">
        <v>38</v>
      </c>
      <c r="E313" s="159"/>
      <c r="F313" s="159"/>
      <c r="G313" s="160" t="s">
        <v>39</v>
      </c>
      <c r="H313" s="161" t="s">
        <v>12</v>
      </c>
      <c r="I313" s="162" t="s">
        <v>40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3">
      <c r="A314" s="156"/>
      <c r="B314" s="157"/>
      <c r="C314" s="157"/>
      <c r="D314" s="166"/>
      <c r="E314" s="159"/>
      <c r="F314" s="159" t="s">
        <v>40</v>
      </c>
      <c r="G314" s="160" t="s">
        <v>41</v>
      </c>
      <c r="H314" s="161" t="s">
        <v>12</v>
      </c>
      <c r="I314" s="162"/>
      <c r="J314" s="162"/>
      <c r="K314" s="163"/>
      <c r="L314" s="167">
        <f ca="1">L315+L316</f>
        <v>0</v>
      </c>
      <c r="M314" s="167">
        <f ca="1">IFERROR(__xludf.DUMMYFUNCTION("IMPORTRANGE(""https://docs.google.com/spreadsheets/d/1Yj_ptqi66GCucihVvJfMjLAmec39IyEx_6qawtMGysU/edit?usp=sharing"",""สบก!DC27"")"),0)</f>
        <v>0</v>
      </c>
      <c r="N314" s="168">
        <f ca="1">IFERROR(__xludf.DUMMYFUNCTION("IMPORTRANGE(""https://docs.google.com/spreadsheets/d/1Yj_ptqi66GCucihVvJfMjLAmec39IyEx_6qawtMGysU/edit?usp=sharing"",""สบก!DD27"")"),0)</f>
        <v>0</v>
      </c>
      <c r="O314" s="168">
        <f ca="1">IF(L314&gt;0,N314*100/L314,0)</f>
        <v>0</v>
      </c>
      <c r="P314" s="168">
        <f ca="1">IF(M314&gt;0,N314*100/M314,0)</f>
        <v>0</v>
      </c>
    </row>
    <row r="315" spans="1:16" ht="21.75" customHeight="1" x14ac:dyDescent="0.3">
      <c r="A315" s="156"/>
      <c r="B315" s="157"/>
      <c r="C315" s="157"/>
      <c r="D315" s="166"/>
      <c r="E315" s="159"/>
      <c r="F315" s="159"/>
      <c r="G315" s="169" t="s">
        <v>42</v>
      </c>
      <c r="H315" s="161" t="s">
        <v>12</v>
      </c>
      <c r="I315" s="162"/>
      <c r="J315" s="162"/>
      <c r="K315" s="163"/>
      <c r="L315" s="167">
        <f ca="1">IFERROR(__xludf.DUMMYFUNCTION("IMPORTRANGE(""https://docs.google.com/spreadsheets/d/1Yj_ptqi66GCucihVvJfMjLAmec39IyEx_6qawtMGysU/edit?usp=sharing"",""สบก!CY27"")"),0)</f>
        <v>0</v>
      </c>
      <c r="M315" s="167"/>
      <c r="N315" s="167"/>
      <c r="O315" s="168"/>
      <c r="P315" s="168"/>
    </row>
    <row r="316" spans="1:16" ht="21.75" customHeight="1" x14ac:dyDescent="0.3">
      <c r="A316" s="156"/>
      <c r="B316" s="157"/>
      <c r="C316" s="157"/>
      <c r="D316" s="166"/>
      <c r="E316" s="159"/>
      <c r="F316" s="159"/>
      <c r="G316" s="169" t="s">
        <v>43</v>
      </c>
      <c r="H316" s="161" t="s">
        <v>12</v>
      </c>
      <c r="I316" s="162"/>
      <c r="J316" s="187"/>
      <c r="K316" s="223"/>
      <c r="L316" s="167">
        <f ca="1">IFERROR(__xludf.DUMMYFUNCTION("IMPORTRANGE(""https://docs.google.com/spreadsheets/d/1Yj_ptqi66GCucihVvJfMjLAmec39IyEx_6qawtMGysU/edit?usp=sharing"",""สบก!CZ27"")"),0)</f>
        <v>0</v>
      </c>
      <c r="M316" s="167"/>
      <c r="N316" s="167"/>
      <c r="O316" s="168"/>
      <c r="P316" s="168"/>
    </row>
    <row r="317" spans="1:16" ht="21.75" customHeight="1" x14ac:dyDescent="0.45">
      <c r="A317" s="170"/>
      <c r="B317" s="80"/>
      <c r="C317" s="81" t="s">
        <v>16</v>
      </c>
      <c r="D317" s="534" t="s">
        <v>23</v>
      </c>
      <c r="E317" s="530"/>
      <c r="F317" s="88"/>
      <c r="G317" s="82" t="s">
        <v>18</v>
      </c>
      <c r="H317" s="171" t="s">
        <v>12</v>
      </c>
      <c r="I317" s="162"/>
      <c r="J317" s="187"/>
      <c r="K317" s="223"/>
      <c r="L317" s="41">
        <v>0</v>
      </c>
      <c r="M317" s="41"/>
      <c r="N317" s="41"/>
      <c r="O317" s="41"/>
      <c r="P317" s="41"/>
    </row>
    <row r="318" spans="1:16" ht="21.75" customHeight="1" x14ac:dyDescent="0.45">
      <c r="A318" s="172"/>
      <c r="B318" s="91"/>
      <c r="C318" s="91"/>
      <c r="D318" s="173"/>
      <c r="E318" s="92"/>
      <c r="F318" s="92"/>
      <c r="G318" s="93" t="s">
        <v>19</v>
      </c>
      <c r="H318" s="174" t="s">
        <v>12</v>
      </c>
      <c r="I318" s="162"/>
      <c r="J318" s="187"/>
      <c r="K318" s="223"/>
      <c r="L318" s="49">
        <f ca="1">IFERROR(__xludf.DUMMYFUNCTION("IMPORTRANGE(""https://docs.google.com/spreadsheets/d/1Yj_ptqi66GCucihVvJfMjLAmec39IyEx_6qawtMGysU/edit?usp=sharing"",""สบก!DA27"")"),0)</f>
        <v>0</v>
      </c>
      <c r="M318" s="49"/>
      <c r="N318" s="49">
        <f ca="1">IFERROR(__xludf.DUMMYFUNCTION("IMPORTRANGE(""https://docs.google.com/spreadsheets/d/1Yj_ptqi66GCucihVvJfMjLAmec39IyEx_6qawtMGysU/edit?usp=sharing"",""สบก!DE27"")"),0)</f>
        <v>0</v>
      </c>
      <c r="O318" s="49">
        <f ca="1">IF(L318&gt;0,N318*100/L318,0)</f>
        <v>0</v>
      </c>
      <c r="P318" s="49"/>
    </row>
    <row r="319" spans="1:16" ht="21.75" customHeight="1" x14ac:dyDescent="0.3">
      <c r="A319" s="175"/>
      <c r="B319" s="176"/>
      <c r="C319" s="157" t="s">
        <v>16</v>
      </c>
      <c r="D319" s="177" t="s">
        <v>44</v>
      </c>
      <c r="E319" s="178"/>
      <c r="F319" s="178"/>
      <c r="G319" s="179"/>
      <c r="H319" s="180"/>
      <c r="I319" s="162"/>
      <c r="J319" s="187"/>
      <c r="K319" s="223"/>
      <c r="L319" s="168"/>
      <c r="M319" s="168"/>
      <c r="N319" s="168"/>
      <c r="O319" s="181"/>
      <c r="P319" s="181"/>
    </row>
    <row r="320" spans="1:16" ht="21.75" customHeight="1" x14ac:dyDescent="0.3">
      <c r="A320" s="175"/>
      <c r="B320" s="176"/>
      <c r="C320" s="176"/>
      <c r="D320" s="182">
        <v>1</v>
      </c>
      <c r="E320" s="183" t="s">
        <v>45</v>
      </c>
      <c r="F320" s="184"/>
      <c r="G320" s="185"/>
      <c r="H320" s="186"/>
      <c r="I320" s="187"/>
      <c r="J320" s="187">
        <f ca="1">IFERROR(__xludf.DUMMYFUNCTION("IMPORTRANGE(""https://docs.google.com/spreadsheets/d/11923uPwbBZFjjGgGUA6NLw09EwE0CqkOc4q9oUmW1yo/edit?usp=sharing"",""พิจิตร!J220"")"),0)</f>
        <v>0</v>
      </c>
      <c r="K320" s="223"/>
      <c r="L320" s="168"/>
      <c r="M320" s="168"/>
      <c r="N320" s="168"/>
      <c r="O320" s="181"/>
      <c r="P320" s="181"/>
    </row>
    <row r="321" spans="1:16" ht="21.75" customHeight="1" x14ac:dyDescent="0.3">
      <c r="A321" s="175"/>
      <c r="B321" s="176"/>
      <c r="C321" s="176"/>
      <c r="D321" s="189">
        <v>2</v>
      </c>
      <c r="E321" s="190" t="s">
        <v>46</v>
      </c>
      <c r="F321" s="191"/>
      <c r="G321" s="192"/>
      <c r="H321" s="186"/>
      <c r="I321" s="187"/>
      <c r="J321" s="187">
        <f ca="1">IFERROR(__xludf.DUMMYFUNCTION("IMPORTRANGE(""https://docs.google.com/spreadsheets/d/11923uPwbBZFjjGgGUA6NLw09EwE0CqkOc4q9oUmW1yo/edit?usp=sharing"",""พิจิตร!J221"")"),0)</f>
        <v>0</v>
      </c>
      <c r="K321" s="223"/>
      <c r="L321" s="168" t="s">
        <v>40</v>
      </c>
      <c r="M321" s="168"/>
      <c r="N321" s="168" t="s">
        <v>40</v>
      </c>
      <c r="O321" s="181"/>
      <c r="P321" s="181"/>
    </row>
    <row r="322" spans="1:16" ht="21.75" customHeight="1" x14ac:dyDescent="0.3">
      <c r="A322" s="175"/>
      <c r="B322" s="176"/>
      <c r="C322" s="176"/>
      <c r="D322" s="193"/>
      <c r="E322" s="194" t="s">
        <v>47</v>
      </c>
      <c r="F322" s="195"/>
      <c r="G322" s="196"/>
      <c r="H322" s="186"/>
      <c r="I322" s="187"/>
      <c r="J322" s="187">
        <f ca="1">IFERROR(__xludf.DUMMYFUNCTION("IMPORTRANGE(""https://docs.google.com/spreadsheets/d/11923uPwbBZFjjGgGUA6NLw09EwE0CqkOc4q9oUmW1yo/edit?usp=sharing"",""พิจิตร!J222"")"),0)</f>
        <v>0</v>
      </c>
      <c r="K322" s="223"/>
      <c r="L322" s="168"/>
      <c r="M322" s="168"/>
      <c r="N322" s="168"/>
      <c r="O322" s="181"/>
      <c r="P322" s="181"/>
    </row>
    <row r="323" spans="1:16" ht="21.75" customHeight="1" x14ac:dyDescent="0.3">
      <c r="A323" s="175"/>
      <c r="B323" s="176"/>
      <c r="C323" s="176"/>
      <c r="D323" s="193"/>
      <c r="E323" s="194" t="s">
        <v>48</v>
      </c>
      <c r="F323" s="195"/>
      <c r="G323" s="196"/>
      <c r="H323" s="186"/>
      <c r="I323" s="187"/>
      <c r="J323" s="187">
        <f ca="1">IFERROR(__xludf.DUMMYFUNCTION("IMPORTRANGE(""https://docs.google.com/spreadsheets/d/11923uPwbBZFjjGgGUA6NLw09EwE0CqkOc4q9oUmW1yo/edit?usp=sharing"",""พิจิตร!J223"")"),0)</f>
        <v>0</v>
      </c>
      <c r="K323" s="223"/>
      <c r="L323" s="168"/>
      <c r="M323" s="168"/>
      <c r="N323" s="168"/>
      <c r="O323" s="181"/>
      <c r="P323" s="181"/>
    </row>
    <row r="324" spans="1:16" ht="21.75" customHeight="1" x14ac:dyDescent="0.3">
      <c r="A324" s="175"/>
      <c r="B324" s="176"/>
      <c r="C324" s="176"/>
      <c r="D324" s="193"/>
      <c r="E324" s="198"/>
      <c r="F324" s="194" t="s">
        <v>117</v>
      </c>
      <c r="G324" s="196"/>
      <c r="H324" s="186" t="s">
        <v>116</v>
      </c>
      <c r="I324" s="187">
        <f ca="1">IFERROR(__xludf.DUMMYFUNCTION("IMPORTRANGE(""https://docs.google.com/spreadsheets/d/11923uPwbBZFjjGgGUA6NLw09EwE0CqkOc4q9oUmW1yo/edit?usp=sharing"",""พิจิตร!I224"")"),0)</f>
        <v>0</v>
      </c>
      <c r="J324" s="203">
        <f ca="1">IFERROR(__xludf.DUMMYFUNCTION("IMPORTRANGE(""https://docs.google.com/spreadsheets/d/11923uPwbBZFjjGgGUA6NLw09EwE0CqkOc4q9oUmW1yo/edit?usp=sharing"",""พิจิตร!J224"")"),0)</f>
        <v>0</v>
      </c>
      <c r="K324" s="223">
        <f ca="1">IF(I324&gt;0,J324*100/I324,0)</f>
        <v>0</v>
      </c>
      <c r="L324" s="168"/>
      <c r="M324" s="168"/>
      <c r="N324" s="168"/>
      <c r="O324" s="181"/>
      <c r="P324" s="181"/>
    </row>
    <row r="325" spans="1:16" ht="21.75" customHeight="1" x14ac:dyDescent="0.3">
      <c r="A325" s="175"/>
      <c r="B325" s="176"/>
      <c r="C325" s="176"/>
      <c r="D325" s="193"/>
      <c r="E325" s="194" t="s">
        <v>54</v>
      </c>
      <c r="F325" s="195"/>
      <c r="G325" s="196"/>
      <c r="H325" s="186"/>
      <c r="I325" s="187"/>
      <c r="J325" s="187">
        <f ca="1">IFERROR(__xludf.DUMMYFUNCTION("IMPORTRANGE(""https://docs.google.com/spreadsheets/d/11923uPwbBZFjjGgGUA6NLw09EwE0CqkOc4q9oUmW1yo/edit?usp=sharing"",""พิจิตร!J225"")"),0)</f>
        <v>0</v>
      </c>
      <c r="K325" s="223"/>
      <c r="L325" s="168"/>
      <c r="M325" s="168"/>
      <c r="N325" s="168"/>
      <c r="O325" s="181"/>
      <c r="P325" s="181"/>
    </row>
    <row r="326" spans="1:16" ht="21.75" customHeight="1" x14ac:dyDescent="0.3">
      <c r="A326" s="175"/>
      <c r="B326" s="176"/>
      <c r="C326" s="176"/>
      <c r="D326" s="205">
        <v>3</v>
      </c>
      <c r="E326" s="206" t="s">
        <v>55</v>
      </c>
      <c r="F326" s="207"/>
      <c r="G326" s="208"/>
      <c r="H326" s="186"/>
      <c r="I326" s="187"/>
      <c r="J326" s="226">
        <f ca="1">IFERROR(__xludf.DUMMYFUNCTION("IMPORTRANGE(""https://docs.google.com/spreadsheets/d/11923uPwbBZFjjGgGUA6NLw09EwE0CqkOc4q9oUmW1yo/edit?usp=sharing"",""พิจิตร!J226"")"),0)</f>
        <v>0</v>
      </c>
      <c r="K326" s="223"/>
      <c r="L326" s="168"/>
      <c r="M326" s="168"/>
      <c r="N326" s="168"/>
      <c r="O326" s="181"/>
      <c r="P326" s="181"/>
    </row>
    <row r="327" spans="1:16" ht="21.75" customHeight="1" x14ac:dyDescent="0.3">
      <c r="A327" s="302" t="s">
        <v>118</v>
      </c>
      <c r="B327" s="303"/>
      <c r="C327" s="303"/>
      <c r="D327" s="304"/>
      <c r="E327" s="303"/>
      <c r="F327" s="303"/>
      <c r="G327" s="317"/>
      <c r="H327" s="306"/>
      <c r="I327" s="307"/>
      <c r="J327" s="307"/>
      <c r="K327" s="308"/>
      <c r="L327" s="308"/>
      <c r="M327" s="308"/>
      <c r="N327" s="308"/>
      <c r="O327" s="309"/>
      <c r="P327" s="309"/>
    </row>
    <row r="328" spans="1:16" ht="21.75" customHeight="1" x14ac:dyDescent="0.3">
      <c r="A328" s="310"/>
      <c r="B328" s="336" t="s">
        <v>119</v>
      </c>
      <c r="C328" s="323"/>
      <c r="D328" s="311"/>
      <c r="E328" s="311"/>
      <c r="F328" s="311"/>
      <c r="G328" s="312"/>
      <c r="H328" s="313" t="s">
        <v>37</v>
      </c>
      <c r="I328" s="337">
        <f ca="1">IFERROR(__xludf.DUMMYFUNCTION("IMPORTRANGE(""https://docs.google.com/spreadsheets/d/11923uPwbBZFjjGgGUA6NLw09EwE0CqkOc4q9oUmW1yo/edit?usp=sharing"",""พิจิตร!I228"")"),130)</f>
        <v>130</v>
      </c>
      <c r="J328" s="337">
        <f ca="1">IFERROR(__xludf.DUMMYFUNCTION("IMPORTRANGE(""https://docs.google.com/spreadsheets/d/11923uPwbBZFjjGgGUA6NLw09EwE0CqkOc4q9oUmW1yo/edit?usp=sharing"",""พิจิตร!J228"")"),30)</f>
        <v>30</v>
      </c>
      <c r="K328" s="315">
        <f ca="1">IF(I328&gt;0,J328*100/I328,0)</f>
        <v>23.076923076923077</v>
      </c>
      <c r="L328" s="316"/>
      <c r="M328" s="316"/>
      <c r="N328" s="316"/>
      <c r="O328" s="315"/>
      <c r="P328" s="315"/>
    </row>
    <row r="329" spans="1:16" ht="21.75" customHeight="1" x14ac:dyDescent="0.45">
      <c r="A329" s="145"/>
      <c r="B329" s="146"/>
      <c r="C329" s="147" t="s">
        <v>16</v>
      </c>
      <c r="D329" s="537" t="s">
        <v>17</v>
      </c>
      <c r="E329" s="528"/>
      <c r="F329" s="528"/>
      <c r="G329" s="528"/>
      <c r="H329" s="148" t="s">
        <v>12</v>
      </c>
      <c r="I329" s="162"/>
      <c r="J329" s="162"/>
      <c r="K329" s="163"/>
      <c r="L329" s="151">
        <f t="shared" ref="L329:N329" ca="1" si="98">L330+L331</f>
        <v>1253340</v>
      </c>
      <c r="M329" s="151">
        <f t="shared" ca="1" si="98"/>
        <v>681080</v>
      </c>
      <c r="N329" s="151">
        <f t="shared" ca="1" si="98"/>
        <v>525188</v>
      </c>
      <c r="O329" s="150">
        <f t="shared" ref="O329:O331" ca="1" si="99">IF(L329&gt;0,N329*100/L329,0)</f>
        <v>41.903074983643705</v>
      </c>
      <c r="P329" s="150">
        <f t="shared" ref="P329:P331" ca="1" si="100">IF(M329&gt;0,N329*100/M329,0)</f>
        <v>77.111058906442707</v>
      </c>
    </row>
    <row r="330" spans="1:16" ht="21.75" customHeight="1" x14ac:dyDescent="0.45">
      <c r="A330" s="152"/>
      <c r="B330" s="32"/>
      <c r="C330" s="32"/>
      <c r="D330" s="32"/>
      <c r="E330" s="32"/>
      <c r="F330" s="32"/>
      <c r="G330" s="33" t="s">
        <v>18</v>
      </c>
      <c r="H330" s="153" t="s">
        <v>12</v>
      </c>
      <c r="I330" s="162"/>
      <c r="J330" s="162"/>
      <c r="K330" s="163"/>
      <c r="L330" s="87">
        <f t="shared" ref="L330:N330" si="101">L332+L336</f>
        <v>0</v>
      </c>
      <c r="M330" s="87">
        <f t="shared" si="101"/>
        <v>0</v>
      </c>
      <c r="N330" s="87">
        <f t="shared" si="101"/>
        <v>0</v>
      </c>
      <c r="O330" s="155">
        <f t="shared" si="99"/>
        <v>0</v>
      </c>
      <c r="P330" s="155">
        <f t="shared" si="100"/>
        <v>0</v>
      </c>
    </row>
    <row r="331" spans="1:16" ht="21.75" customHeight="1" x14ac:dyDescent="0.45">
      <c r="A331" s="152"/>
      <c r="B331" s="32"/>
      <c r="C331" s="32"/>
      <c r="D331" s="32"/>
      <c r="E331" s="32"/>
      <c r="F331" s="32"/>
      <c r="G331" s="33" t="s">
        <v>19</v>
      </c>
      <c r="H331" s="153" t="s">
        <v>12</v>
      </c>
      <c r="I331" s="162"/>
      <c r="J331" s="162"/>
      <c r="K331" s="163"/>
      <c r="L331" s="87">
        <f t="shared" ref="L331:N331" ca="1" si="102">L333+L337</f>
        <v>1253340</v>
      </c>
      <c r="M331" s="87">
        <f t="shared" ca="1" si="102"/>
        <v>681080</v>
      </c>
      <c r="N331" s="87">
        <f t="shared" ca="1" si="102"/>
        <v>525188</v>
      </c>
      <c r="O331" s="155">
        <f t="shared" ca="1" si="99"/>
        <v>41.903074983643705</v>
      </c>
      <c r="P331" s="155">
        <f t="shared" ca="1" si="100"/>
        <v>77.111058906442707</v>
      </c>
    </row>
    <row r="332" spans="1:16" ht="21.75" customHeight="1" x14ac:dyDescent="0.3">
      <c r="A332" s="156"/>
      <c r="B332" s="157"/>
      <c r="C332" s="157" t="s">
        <v>16</v>
      </c>
      <c r="D332" s="158" t="s">
        <v>38</v>
      </c>
      <c r="E332" s="159"/>
      <c r="F332" s="159"/>
      <c r="G332" s="160" t="s">
        <v>39</v>
      </c>
      <c r="H332" s="161" t="s">
        <v>12</v>
      </c>
      <c r="I332" s="162" t="s">
        <v>40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3">
      <c r="A333" s="156"/>
      <c r="B333" s="157"/>
      <c r="C333" s="157"/>
      <c r="D333" s="166"/>
      <c r="E333" s="159"/>
      <c r="F333" s="159" t="s">
        <v>40</v>
      </c>
      <c r="G333" s="160" t="s">
        <v>41</v>
      </c>
      <c r="H333" s="161" t="s">
        <v>12</v>
      </c>
      <c r="I333" s="162"/>
      <c r="J333" s="162"/>
      <c r="K333" s="163"/>
      <c r="L333" s="167">
        <f ca="1">L334+L335</f>
        <v>1177740</v>
      </c>
      <c r="M333" s="167">
        <f ca="1">IFERROR(__xludf.DUMMYFUNCTION("IMPORTRANGE(""https://docs.google.com/spreadsheets/d/1Yj_ptqi66GCucihVvJfMjLAmec39IyEx_6qawtMGysU/edit?usp=sharing"",""สบก!DL27"")"),605480)</f>
        <v>605480</v>
      </c>
      <c r="N333" s="168">
        <f ca="1">IFERROR(__xludf.DUMMYFUNCTION("IMPORTRANGE(""https://docs.google.com/spreadsheets/d/1Yj_ptqi66GCucihVvJfMjLAmec39IyEx_6qawtMGysU/edit?usp=sharing"",""สบก!DM27"")"),449588)</f>
        <v>449588</v>
      </c>
      <c r="O333" s="168">
        <f ca="1">IF(L333&gt;0,N333*100/L333,0)</f>
        <v>38.173790480072</v>
      </c>
      <c r="P333" s="168">
        <f ca="1">IF(M333&gt;0,N333*100/M333,0)</f>
        <v>74.253154522032105</v>
      </c>
    </row>
    <row r="334" spans="1:16" ht="21.75" customHeight="1" x14ac:dyDescent="0.3">
      <c r="A334" s="156"/>
      <c r="B334" s="157"/>
      <c r="C334" s="157"/>
      <c r="D334" s="166"/>
      <c r="E334" s="159"/>
      <c r="F334" s="159"/>
      <c r="G334" s="169" t="s">
        <v>42</v>
      </c>
      <c r="H334" s="161" t="s">
        <v>12</v>
      </c>
      <c r="I334" s="162"/>
      <c r="J334" s="162"/>
      <c r="K334" s="163"/>
      <c r="L334" s="167">
        <f ca="1">IFERROR(__xludf.DUMMYFUNCTION("IMPORTRANGE(""https://docs.google.com/spreadsheets/d/1Yj_ptqi66GCucihVvJfMjLAmec39IyEx_6qawtMGysU/edit?usp=sharing"",""สบก!DH27"")"),854600)</f>
        <v>854600</v>
      </c>
      <c r="M334" s="167"/>
      <c r="N334" s="167"/>
      <c r="O334" s="168"/>
      <c r="P334" s="168"/>
    </row>
    <row r="335" spans="1:16" ht="21.75" customHeight="1" x14ac:dyDescent="0.3">
      <c r="A335" s="156"/>
      <c r="B335" s="157"/>
      <c r="C335" s="157"/>
      <c r="D335" s="166"/>
      <c r="E335" s="159"/>
      <c r="F335" s="159"/>
      <c r="G335" s="169" t="s">
        <v>43</v>
      </c>
      <c r="H335" s="161" t="s">
        <v>12</v>
      </c>
      <c r="I335" s="162"/>
      <c r="J335" s="162"/>
      <c r="K335" s="163"/>
      <c r="L335" s="167">
        <f ca="1">IFERROR(__xludf.DUMMYFUNCTION("IMPORTRANGE(""https://docs.google.com/spreadsheets/d/1Yj_ptqi66GCucihVvJfMjLAmec39IyEx_6qawtMGysU/edit?usp=sharing"",""สบก!DI27"")"),323140)</f>
        <v>323140</v>
      </c>
      <c r="M335" s="167"/>
      <c r="N335" s="167"/>
      <c r="O335" s="168"/>
      <c r="P335" s="168"/>
    </row>
    <row r="336" spans="1:16" ht="21.75" customHeight="1" x14ac:dyDescent="0.45">
      <c r="A336" s="170"/>
      <c r="B336" s="80"/>
      <c r="C336" s="81" t="s">
        <v>16</v>
      </c>
      <c r="D336" s="534" t="s">
        <v>23</v>
      </c>
      <c r="E336" s="530"/>
      <c r="F336" s="88"/>
      <c r="G336" s="82" t="s">
        <v>18</v>
      </c>
      <c r="H336" s="171" t="s">
        <v>12</v>
      </c>
      <c r="I336" s="162"/>
      <c r="J336" s="162"/>
      <c r="K336" s="163"/>
      <c r="L336" s="41">
        <v>0</v>
      </c>
      <c r="M336" s="41"/>
      <c r="N336" s="41"/>
      <c r="O336" s="41"/>
      <c r="P336" s="41"/>
    </row>
    <row r="337" spans="1:16" ht="21.75" customHeight="1" x14ac:dyDescent="0.45">
      <c r="A337" s="172"/>
      <c r="B337" s="91"/>
      <c r="C337" s="91"/>
      <c r="D337" s="173"/>
      <c r="E337" s="92"/>
      <c r="F337" s="92"/>
      <c r="G337" s="93" t="s">
        <v>19</v>
      </c>
      <c r="H337" s="174" t="s">
        <v>12</v>
      </c>
      <c r="I337" s="162"/>
      <c r="J337" s="162"/>
      <c r="K337" s="163"/>
      <c r="L337" s="49">
        <f ca="1">IFERROR(__xludf.DUMMYFUNCTION("IMPORTRANGE(""https://docs.google.com/spreadsheets/d/1Yj_ptqi66GCucihVvJfMjLAmec39IyEx_6qawtMGysU/edit?usp=sharing"",""สบก!DJ27"")"),75600)</f>
        <v>75600</v>
      </c>
      <c r="M337" s="49">
        <f ca="1">L337</f>
        <v>75600</v>
      </c>
      <c r="N337" s="49">
        <f ca="1">IFERROR(__xludf.DUMMYFUNCTION("IMPORTRANGE(""https://docs.google.com/spreadsheets/d/1Yj_ptqi66GCucihVvJfMjLAmec39IyEx_6qawtMGysU/edit?usp=sharing"",""สบก!DN27"")"),75600)</f>
        <v>75600</v>
      </c>
      <c r="O337" s="49">
        <f ca="1">IF(L337&gt;0,N337*100/L337,0)</f>
        <v>100</v>
      </c>
      <c r="P337" s="49">
        <f ca="1">IF(M337&gt;0,N337*100/M337,0)</f>
        <v>100</v>
      </c>
    </row>
    <row r="338" spans="1:16" ht="21.75" customHeight="1" x14ac:dyDescent="0.3">
      <c r="A338" s="175"/>
      <c r="B338" s="289"/>
      <c r="C338" s="338" t="s">
        <v>120</v>
      </c>
      <c r="D338" s="195"/>
      <c r="E338" s="195"/>
      <c r="F338" s="195"/>
      <c r="G338" s="196"/>
      <c r="H338" s="180"/>
      <c r="I338" s="339"/>
      <c r="J338" s="339"/>
      <c r="K338" s="340"/>
      <c r="L338" s="181"/>
      <c r="M338" s="181"/>
      <c r="N338" s="181"/>
      <c r="O338" s="341"/>
      <c r="P338" s="341"/>
    </row>
    <row r="339" spans="1:16" ht="21.75" customHeight="1" x14ac:dyDescent="0.3">
      <c r="A339" s="175"/>
      <c r="B339" s="289"/>
      <c r="C339" s="176"/>
      <c r="D339" s="195"/>
      <c r="E339" s="194" t="s">
        <v>121</v>
      </c>
      <c r="F339" s="195"/>
      <c r="G339" s="196"/>
      <c r="H339" s="342" t="s">
        <v>37</v>
      </c>
      <c r="I339" s="203">
        <f ca="1">IFERROR(__xludf.DUMMYFUNCTION("IMPORTRANGE(""https://docs.google.com/spreadsheets/d/11923uPwbBZFjjGgGUA6NLw09EwE0CqkOc4q9oUmW1yo/edit?usp=sharing"",""พิจิตร!I234"")"),0)</f>
        <v>0</v>
      </c>
      <c r="J339" s="187">
        <f ca="1">IFERROR(__xludf.DUMMYFUNCTION("IMPORTRANGE(""https://docs.google.com/spreadsheets/d/11923uPwbBZFjjGgGUA6NLw09EwE0CqkOc4q9oUmW1yo/edit?usp=sharing"",""พิจิตร!J234"")"),27)</f>
        <v>27</v>
      </c>
      <c r="K339" s="340">
        <f t="shared" ref="K339:K346" ca="1" si="103">IF(I339&gt;0,J339*100/I339,0)</f>
        <v>0</v>
      </c>
      <c r="L339" s="181"/>
      <c r="M339" s="181"/>
      <c r="N339" s="181"/>
      <c r="O339" s="341"/>
      <c r="P339" s="341"/>
    </row>
    <row r="340" spans="1:16" ht="21.75" customHeight="1" x14ac:dyDescent="0.3">
      <c r="A340" s="175"/>
      <c r="B340" s="289"/>
      <c r="C340" s="176"/>
      <c r="D340" s="195"/>
      <c r="E340" s="195"/>
      <c r="F340" s="195"/>
      <c r="G340" s="196"/>
      <c r="H340" s="342" t="s">
        <v>122</v>
      </c>
      <c r="I340" s="187">
        <f ca="1">IFERROR(__xludf.DUMMYFUNCTION("IMPORTRANGE(""https://docs.google.com/spreadsheets/d/11923uPwbBZFjjGgGUA6NLw09EwE0CqkOc4q9oUmW1yo/edit?usp=sharing"",""พิจิตร!I235"")"),1000)</f>
        <v>1000</v>
      </c>
      <c r="J340" s="187">
        <f ca="1">IFERROR(__xludf.DUMMYFUNCTION("IMPORTRANGE(""https://docs.google.com/spreadsheets/d/11923uPwbBZFjjGgGUA6NLw09EwE0CqkOc4q9oUmW1yo/edit?usp=sharing"",""พิจิตร!J235"")"),239.85)</f>
        <v>239.85</v>
      </c>
      <c r="K340" s="340">
        <f t="shared" ca="1" si="103"/>
        <v>23.984999999999999</v>
      </c>
      <c r="L340" s="181"/>
      <c r="M340" s="181"/>
      <c r="N340" s="181"/>
      <c r="O340" s="341"/>
      <c r="P340" s="341"/>
    </row>
    <row r="341" spans="1:16" ht="21.75" customHeight="1" x14ac:dyDescent="0.3">
      <c r="A341" s="175"/>
      <c r="B341" s="289"/>
      <c r="C341" s="176"/>
      <c r="D341" s="195"/>
      <c r="E341" s="194" t="s">
        <v>123</v>
      </c>
      <c r="F341" s="195"/>
      <c r="G341" s="196"/>
      <c r="H341" s="180" t="s">
        <v>37</v>
      </c>
      <c r="I341" s="187">
        <f ca="1">IFERROR(__xludf.DUMMYFUNCTION("IMPORTRANGE(""https://docs.google.com/spreadsheets/d/11923uPwbBZFjjGgGUA6NLw09EwE0CqkOc4q9oUmW1yo/edit?usp=sharing"",""พิจิตร!I236"")"),130)</f>
        <v>130</v>
      </c>
      <c r="J341" s="187">
        <f ca="1">IFERROR(__xludf.DUMMYFUNCTION("IMPORTRANGE(""https://docs.google.com/spreadsheets/d/11923uPwbBZFjjGgGUA6NLw09EwE0CqkOc4q9oUmW1yo/edit?usp=sharing"",""พิจิตร!J236"")"),64)</f>
        <v>64</v>
      </c>
      <c r="K341" s="340">
        <f t="shared" ca="1" si="103"/>
        <v>49.230769230769234</v>
      </c>
      <c r="L341" s="181"/>
      <c r="M341" s="181"/>
      <c r="N341" s="181"/>
      <c r="O341" s="341"/>
      <c r="P341" s="341"/>
    </row>
    <row r="342" spans="1:16" ht="21.75" customHeight="1" x14ac:dyDescent="0.3">
      <c r="A342" s="175"/>
      <c r="B342" s="289"/>
      <c r="C342" s="176"/>
      <c r="D342" s="195"/>
      <c r="E342" s="195"/>
      <c r="F342" s="195"/>
      <c r="G342" s="196"/>
      <c r="H342" s="180" t="s">
        <v>122</v>
      </c>
      <c r="I342" s="343">
        <f ca="1">IFERROR(__xludf.DUMMYFUNCTION("IMPORTRANGE(""https://docs.google.com/spreadsheets/d/11923uPwbBZFjjGgGUA6NLw09EwE0CqkOc4q9oUmW1yo/edit?usp=sharing"",""พิจิตร!I237"")"),0)</f>
        <v>0</v>
      </c>
      <c r="J342" s="187">
        <f ca="1">IFERROR(__xludf.DUMMYFUNCTION("IMPORTRANGE(""https://docs.google.com/spreadsheets/d/11923uPwbBZFjjGgGUA6NLw09EwE0CqkOc4q9oUmW1yo/edit?usp=sharing"",""พิจิตร!J237"")"),790.12)</f>
        <v>790.12</v>
      </c>
      <c r="K342" s="340">
        <f t="shared" ca="1" si="103"/>
        <v>0</v>
      </c>
      <c r="L342" s="181"/>
      <c r="M342" s="181"/>
      <c r="N342" s="181"/>
      <c r="O342" s="341"/>
      <c r="P342" s="341"/>
    </row>
    <row r="343" spans="1:16" ht="21.75" customHeight="1" x14ac:dyDescent="0.3">
      <c r="A343" s="175"/>
      <c r="B343" s="289"/>
      <c r="C343" s="176"/>
      <c r="D343" s="195"/>
      <c r="E343" s="194" t="s">
        <v>124</v>
      </c>
      <c r="F343" s="195"/>
      <c r="G343" s="196"/>
      <c r="H343" s="180" t="s">
        <v>37</v>
      </c>
      <c r="I343" s="187">
        <f ca="1">IFERROR(__xludf.DUMMYFUNCTION("IMPORTRANGE(""https://docs.google.com/spreadsheets/d/11923uPwbBZFjjGgGUA6NLw09EwE0CqkOc4q9oUmW1yo/edit?usp=sharing"",""พิจิตร!I238"")"),130)</f>
        <v>130</v>
      </c>
      <c r="J343" s="187">
        <f ca="1">IFERROR(__xludf.DUMMYFUNCTION("IMPORTRANGE(""https://docs.google.com/spreadsheets/d/11923uPwbBZFjjGgGUA6NLw09EwE0CqkOc4q9oUmW1yo/edit?usp=sharing"",""พิจิตร!J238"")"),0)</f>
        <v>0</v>
      </c>
      <c r="K343" s="340">
        <f t="shared" ca="1" si="103"/>
        <v>0</v>
      </c>
      <c r="L343" s="181"/>
      <c r="M343" s="181"/>
      <c r="N343" s="181"/>
      <c r="O343" s="341"/>
      <c r="P343" s="341"/>
    </row>
    <row r="344" spans="1:16" ht="21.75" customHeight="1" x14ac:dyDescent="0.3">
      <c r="A344" s="175"/>
      <c r="B344" s="289"/>
      <c r="C344" s="176"/>
      <c r="D344" s="195"/>
      <c r="E344" s="195"/>
      <c r="F344" s="195"/>
      <c r="G344" s="196"/>
      <c r="H344" s="180" t="s">
        <v>122</v>
      </c>
      <c r="I344" s="343">
        <f ca="1">IFERROR(__xludf.DUMMYFUNCTION("IMPORTRANGE(""https://docs.google.com/spreadsheets/d/11923uPwbBZFjjGgGUA6NLw09EwE0CqkOc4q9oUmW1yo/edit?usp=sharing"",""พิจิตร!I239"")"),0)</f>
        <v>0</v>
      </c>
      <c r="J344" s="187">
        <f ca="1">IFERROR(__xludf.DUMMYFUNCTION("IMPORTRANGE(""https://docs.google.com/spreadsheets/d/11923uPwbBZFjjGgGUA6NLw09EwE0CqkOc4q9oUmW1yo/edit?usp=sharing"",""พิจิตร!J239"")"),0)</f>
        <v>0</v>
      </c>
      <c r="K344" s="340">
        <f t="shared" ca="1" si="103"/>
        <v>0</v>
      </c>
      <c r="L344" s="181"/>
      <c r="M344" s="181"/>
      <c r="N344" s="181"/>
      <c r="O344" s="341"/>
      <c r="P344" s="341"/>
    </row>
    <row r="345" spans="1:16" ht="21.75" customHeight="1" x14ac:dyDescent="0.3">
      <c r="A345" s="175"/>
      <c r="B345" s="289"/>
      <c r="C345" s="176"/>
      <c r="D345" s="195"/>
      <c r="E345" s="194" t="s">
        <v>125</v>
      </c>
      <c r="F345" s="195"/>
      <c r="G345" s="196"/>
      <c r="H345" s="180" t="s">
        <v>37</v>
      </c>
      <c r="I345" s="187">
        <f ca="1">IFERROR(__xludf.DUMMYFUNCTION("IMPORTRANGE(""https://docs.google.com/spreadsheets/d/11923uPwbBZFjjGgGUA6NLw09EwE0CqkOc4q9oUmW1yo/edit?usp=sharing"",""พิจิตร!I240"")"),130)</f>
        <v>130</v>
      </c>
      <c r="J345" s="187">
        <f ca="1">IFERROR(__xludf.DUMMYFUNCTION("IMPORTRANGE(""https://docs.google.com/spreadsheets/d/11923uPwbBZFjjGgGUA6NLw09EwE0CqkOc4q9oUmW1yo/edit?usp=sharing"",""พิจิตร!J240"")"),30)</f>
        <v>30</v>
      </c>
      <c r="K345" s="340">
        <f t="shared" ca="1" si="103"/>
        <v>23.076923076923077</v>
      </c>
      <c r="L345" s="181"/>
      <c r="M345" s="181"/>
      <c r="N345" s="181"/>
      <c r="O345" s="341"/>
      <c r="P345" s="341"/>
    </row>
    <row r="346" spans="1:16" ht="21.75" customHeight="1" x14ac:dyDescent="0.3">
      <c r="A346" s="233"/>
      <c r="B346" s="344"/>
      <c r="C346" s="234"/>
      <c r="D346" s="344"/>
      <c r="E346" s="345"/>
      <c r="F346" s="345"/>
      <c r="G346" s="346"/>
      <c r="H346" s="347" t="s">
        <v>122</v>
      </c>
      <c r="I346" s="348">
        <f ca="1">IFERROR(__xludf.DUMMYFUNCTION("IMPORTRANGE(""https://docs.google.com/spreadsheets/d/11923uPwbBZFjjGgGUA6NLw09EwE0CqkOc4q9oUmW1yo/edit?usp=sharing"",""พิจิตร!I241"")"),0)</f>
        <v>0</v>
      </c>
      <c r="J346" s="187">
        <f ca="1">IFERROR(__xludf.DUMMYFUNCTION("IMPORTRANGE(""https://docs.google.com/spreadsheets/d/11923uPwbBZFjjGgGUA6NLw09EwE0CqkOc4q9oUmW1yo/edit?usp=sharing"",""พิจิตร!J241"")"),436.07)</f>
        <v>436.07</v>
      </c>
      <c r="K346" s="349">
        <f t="shared" ca="1" si="103"/>
        <v>0</v>
      </c>
      <c r="L346" s="244"/>
      <c r="M346" s="244"/>
      <c r="N346" s="244"/>
      <c r="O346" s="350"/>
      <c r="P346" s="350"/>
    </row>
    <row r="347" spans="1:16" ht="21.75" customHeight="1" x14ac:dyDescent="0.3">
      <c r="A347" s="351" t="s">
        <v>126</v>
      </c>
      <c r="B347" s="352"/>
      <c r="C347" s="352"/>
      <c r="D347" s="352"/>
      <c r="E347" s="352"/>
      <c r="F347" s="352"/>
      <c r="G347" s="353"/>
      <c r="H347" s="354"/>
      <c r="I347" s="355"/>
      <c r="J347" s="355"/>
      <c r="K347" s="356"/>
      <c r="L347" s="356">
        <f ca="1">IFERROR(__xludf.DUMMYFUNCTION("IMPORTRANGE(""https://docs.google.com/spreadsheets/d/11923uPwbBZFjjGgGUA6NLw09EwE0CqkOc4q9oUmW1yo/edit?usp=sharing"",""พิจิตร!L242"")"),1989847)</f>
        <v>1989847</v>
      </c>
      <c r="M347" s="356"/>
      <c r="N347" s="356">
        <f ca="1">IFERROR(__xludf.DUMMYFUNCTION("IMPORTRANGE(""https://docs.google.com/spreadsheets/d/11923uPwbBZFjjGgGUA6NLw09EwE0CqkOc4q9oUmW1yo/edit?usp=sharing"",""พิจิตร!M242"")"),260508.33)</f>
        <v>260508.33</v>
      </c>
      <c r="O347" s="356">
        <f ca="1">+IF(L347&gt;0,N347*100/L347,0)</f>
        <v>13.091877415700806</v>
      </c>
      <c r="P347" s="356"/>
    </row>
    <row r="348" spans="1:16" ht="21.75" customHeight="1" x14ac:dyDescent="0.3">
      <c r="A348" s="357" t="s">
        <v>127</v>
      </c>
      <c r="B348" s="358"/>
      <c r="C348" s="358"/>
      <c r="D348" s="358"/>
      <c r="E348" s="358"/>
      <c r="F348" s="358"/>
      <c r="G348" s="359"/>
      <c r="H348" s="360"/>
      <c r="I348" s="361"/>
      <c r="J348" s="361"/>
      <c r="K348" s="362"/>
      <c r="L348" s="362"/>
      <c r="M348" s="362"/>
      <c r="N348" s="362"/>
      <c r="O348" s="363"/>
      <c r="P348" s="363"/>
    </row>
    <row r="349" spans="1:16" ht="21.75" customHeight="1" x14ac:dyDescent="0.3">
      <c r="A349" s="364"/>
      <c r="B349" s="365">
        <v>1</v>
      </c>
      <c r="C349" s="366" t="s">
        <v>128</v>
      </c>
      <c r="D349" s="366"/>
      <c r="E349" s="366"/>
      <c r="F349" s="366"/>
      <c r="G349" s="367"/>
      <c r="H349" s="368" t="s">
        <v>122</v>
      </c>
      <c r="I349" s="369">
        <f ca="1">IFERROR(__xludf.DUMMYFUNCTION("IMPORTRANGE(""https://docs.google.com/spreadsheets/d/11923uPwbBZFjjGgGUA6NLw09EwE0CqkOc4q9oUmW1yo/edit?usp=sharing"",""พิจิตร!I244"")"),160)</f>
        <v>160</v>
      </c>
      <c r="J349" s="369">
        <f ca="1">IFERROR(__xludf.DUMMYFUNCTION("IMPORTRANGE(""https://docs.google.com/spreadsheets/d/11923uPwbBZFjjGgGUA6NLw09EwE0CqkOc4q9oUmW1yo/edit?usp=sharing"",""พิจิตร!J244"")"),0)</f>
        <v>0</v>
      </c>
      <c r="K349" s="370">
        <f t="shared" ref="K349:K350" ca="1" si="104">IF(I349&gt;0,J349*100/I349,0)</f>
        <v>0</v>
      </c>
      <c r="L349" s="371">
        <f ca="1">IFERROR(__xludf.DUMMYFUNCTION("IMPORTRANGE(""https://docs.google.com/spreadsheets/d/11923uPwbBZFjjGgGUA6NLw09EwE0CqkOc4q9oUmW1yo/edit?usp=sharing"",""พิจิตร!L244"")"),406480)</f>
        <v>406480</v>
      </c>
      <c r="M349" s="371"/>
      <c r="N349" s="371">
        <f ca="1">IFERROR(__xludf.DUMMYFUNCTION("IMPORTRANGE(""https://docs.google.com/spreadsheets/d/11923uPwbBZFjjGgGUA6NLw09EwE0CqkOc4q9oUmW1yo/edit?usp=sharing"",""พิจิตร!M244"")"),48751.7)</f>
        <v>48751.7</v>
      </c>
      <c r="O349" s="371">
        <f ca="1">+IF(L349&gt;0,N349*100/L349,0)</f>
        <v>11.99362822279079</v>
      </c>
      <c r="P349" s="371"/>
    </row>
    <row r="350" spans="1:16" ht="21.75" customHeight="1" x14ac:dyDescent="0.3">
      <c r="A350" s="364"/>
      <c r="B350" s="365"/>
      <c r="C350" s="366"/>
      <c r="D350" s="366"/>
      <c r="E350" s="366"/>
      <c r="F350" s="366"/>
      <c r="G350" s="367"/>
      <c r="H350" s="368" t="s">
        <v>37</v>
      </c>
      <c r="I350" s="369">
        <f ca="1">IFERROR(__xludf.DUMMYFUNCTION("IMPORTRANGE(""https://docs.google.com/spreadsheets/d/11923uPwbBZFjjGgGUA6NLw09EwE0CqkOc4q9oUmW1yo/edit?usp=sharing"",""พิจิตร!I245"")"),60)</f>
        <v>60</v>
      </c>
      <c r="J350" s="369">
        <f ca="1">IFERROR(__xludf.DUMMYFUNCTION("IMPORTRANGE(""https://docs.google.com/spreadsheets/d/11923uPwbBZFjjGgGUA6NLw09EwE0CqkOc4q9oUmW1yo/edit?usp=sharing"",""พิจิตร!J245"")"),0)</f>
        <v>0</v>
      </c>
      <c r="K350" s="370">
        <f t="shared" ca="1" si="104"/>
        <v>0</v>
      </c>
      <c r="L350" s="371"/>
      <c r="M350" s="371"/>
      <c r="N350" s="371"/>
      <c r="O350" s="371"/>
      <c r="P350" s="371"/>
    </row>
    <row r="351" spans="1:16" ht="21.75" customHeight="1" x14ac:dyDescent="0.3">
      <c r="A351" s="156"/>
      <c r="B351" s="157"/>
      <c r="C351" s="157" t="s">
        <v>16</v>
      </c>
      <c r="D351" s="158" t="s">
        <v>38</v>
      </c>
      <c r="E351" s="159"/>
      <c r="F351" s="159"/>
      <c r="G351" s="160" t="s">
        <v>39</v>
      </c>
      <c r="H351" s="161" t="s">
        <v>12</v>
      </c>
      <c r="I351" s="162" t="s">
        <v>40</v>
      </c>
      <c r="J351" s="162"/>
      <c r="K351" s="163"/>
      <c r="L351" s="164">
        <f ca="1">IFERROR(__xludf.DUMMYFUNCTION("IMPORTRANGE(""https://docs.google.com/spreadsheets/d/11923uPwbBZFjjGgGUA6NLw09EwE0CqkOc4q9oUmW1yo/edit?usp=sharing"",""พิจิตร!L246"")"),0)</f>
        <v>0</v>
      </c>
      <c r="M351" s="164"/>
      <c r="N351" s="164">
        <f ca="1">IFERROR(__xludf.DUMMYFUNCTION("IMPORTRANGE(""https://docs.google.com/spreadsheets/d/11923uPwbBZFjjGgGUA6NLw09EwE0CqkOc4q9oUmW1yo/edit?usp=sharing"",""พิจิตร!M246"")"),0)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3">
      <c r="A352" s="156"/>
      <c r="B352" s="157"/>
      <c r="C352" s="157"/>
      <c r="D352" s="166"/>
      <c r="E352" s="159"/>
      <c r="F352" s="159" t="s">
        <v>40</v>
      </c>
      <c r="G352" s="160" t="s">
        <v>41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IFERROR(__xludf.DUMMYFUNCTION("IMPORTRANGE(""https://docs.google.com/spreadsheets/d/11923uPwbBZFjjGgGUA6NLw09EwE0CqkOc4q9oUmW1yo/edit?usp=sharing"",""พิจิตร!L247"")"),406480)</f>
        <v>406480</v>
      </c>
      <c r="M352" s="165"/>
      <c r="N352" s="164">
        <f ca="1">IFERROR(__xludf.DUMMYFUNCTION("IMPORTRANGE(""https://docs.google.com/spreadsheets/d/11923uPwbBZFjjGgGUA6NLw09EwE0CqkOc4q9oUmW1yo/edit?usp=sharing"",""พิจิตร!M247"")"),48751.7)</f>
        <v>48751.7</v>
      </c>
      <c r="O352" s="165">
        <f t="shared" ca="1" si="105"/>
        <v>11.99362822279079</v>
      </c>
      <c r="P352" s="165"/>
    </row>
    <row r="353" spans="1:16" ht="21.75" customHeight="1" x14ac:dyDescent="0.3">
      <c r="A353" s="156"/>
      <c r="B353" s="157"/>
      <c r="C353" s="157"/>
      <c r="D353" s="166"/>
      <c r="E353" s="159"/>
      <c r="F353" s="159"/>
      <c r="G353" s="372" t="s">
        <v>129</v>
      </c>
      <c r="H353" s="161" t="s">
        <v>12</v>
      </c>
      <c r="I353" s="162"/>
      <c r="J353" s="162"/>
      <c r="K353" s="163"/>
      <c r="L353" s="168">
        <f ca="1">IFERROR(__xludf.DUMMYFUNCTION("IMPORTRANGE(""https://docs.google.com/spreadsheets/d/11923uPwbBZFjjGgGUA6NLw09EwE0CqkOc4q9oUmW1yo/edit?usp=sharing"",""พิจิตร!L248"")"),0)</f>
        <v>0</v>
      </c>
      <c r="M353" s="168"/>
      <c r="N353" s="168">
        <f ca="1">IFERROR(__xludf.DUMMYFUNCTION("IMPORTRANGE(""https://docs.google.com/spreadsheets/d/11923uPwbBZFjjGgGUA6NLw09EwE0CqkOc4q9oUmW1yo/edit?usp=sharing"",""พิจิตร!M248"")"),0)</f>
        <v>0</v>
      </c>
      <c r="O353" s="168">
        <f t="shared" ca="1" si="105"/>
        <v>0</v>
      </c>
      <c r="P353" s="168"/>
    </row>
    <row r="354" spans="1:16" ht="21.75" customHeight="1" x14ac:dyDescent="0.3">
      <c r="A354" s="156"/>
      <c r="B354" s="157"/>
      <c r="C354" s="157"/>
      <c r="D354" s="166"/>
      <c r="E354" s="159"/>
      <c r="F354" s="159"/>
      <c r="G354" s="372" t="s">
        <v>130</v>
      </c>
      <c r="H354" s="161" t="s">
        <v>12</v>
      </c>
      <c r="I354" s="162"/>
      <c r="J354" s="162"/>
      <c r="K354" s="163"/>
      <c r="L354" s="168">
        <f ca="1">IFERROR(__xludf.DUMMYFUNCTION("IMPORTRANGE(""https://docs.google.com/spreadsheets/d/11923uPwbBZFjjGgGUA6NLw09EwE0CqkOc4q9oUmW1yo/edit?usp=sharing"",""พิจิตร!L249"")"),406480)</f>
        <v>406480</v>
      </c>
      <c r="M354" s="168"/>
      <c r="N354" s="167">
        <f ca="1">IFERROR(__xludf.DUMMYFUNCTION("IMPORTRANGE(""https://docs.google.com/spreadsheets/d/11923uPwbBZFjjGgGUA6NLw09EwE0CqkOc4q9oUmW1yo/edit?usp=sharing"",""พิจิตร!M249"")"),48751.7)</f>
        <v>48751.7</v>
      </c>
      <c r="O354" s="168">
        <f t="shared" ca="1" si="105"/>
        <v>11.99362822279079</v>
      </c>
      <c r="P354" s="168"/>
    </row>
    <row r="355" spans="1:16" ht="21.75" customHeight="1" x14ac:dyDescent="0.3">
      <c r="A355" s="373"/>
      <c r="B355" s="374"/>
      <c r="C355" s="157"/>
      <c r="D355" s="375"/>
      <c r="E355" s="159"/>
      <c r="F355" s="159"/>
      <c r="G355" s="376" t="s">
        <v>131</v>
      </c>
      <c r="H355" s="161" t="s">
        <v>12</v>
      </c>
      <c r="I355" s="187"/>
      <c r="J355" s="187"/>
      <c r="K355" s="223"/>
      <c r="L355" s="168"/>
      <c r="M355" s="168"/>
      <c r="N355" s="377">
        <f ca="1">IFERROR(__xludf.DUMMYFUNCTION("IMPORTRANGE(""https://docs.google.com/spreadsheets/d/11923uPwbBZFjjGgGUA6NLw09EwE0CqkOc4q9oUmW1yo/edit?usp=sharing"",""พิจิตร!M250"")"),14700)</f>
        <v>14700</v>
      </c>
      <c r="O355" s="168"/>
      <c r="P355" s="168"/>
    </row>
    <row r="356" spans="1:16" ht="21.75" customHeight="1" x14ac:dyDescent="0.3">
      <c r="A356" s="373"/>
      <c r="B356" s="374"/>
      <c r="C356" s="157"/>
      <c r="D356" s="375"/>
      <c r="E356" s="159"/>
      <c r="F356" s="159"/>
      <c r="G356" s="376" t="s">
        <v>132</v>
      </c>
      <c r="H356" s="161" t="s">
        <v>12</v>
      </c>
      <c r="I356" s="187"/>
      <c r="J356" s="187"/>
      <c r="K356" s="223"/>
      <c r="L356" s="168"/>
      <c r="M356" s="168"/>
      <c r="N356" s="377">
        <f ca="1">IFERROR(__xludf.DUMMYFUNCTION("IMPORTRANGE(""https://docs.google.com/spreadsheets/d/11923uPwbBZFjjGgGUA6NLw09EwE0CqkOc4q9oUmW1yo/edit?usp=sharing"",""พิจิตร!M251"")"),0)</f>
        <v>0</v>
      </c>
      <c r="O356" s="168"/>
      <c r="P356" s="168"/>
    </row>
    <row r="357" spans="1:16" ht="21.75" customHeight="1" x14ac:dyDescent="0.3">
      <c r="A357" s="373"/>
      <c r="B357" s="374"/>
      <c r="C357" s="157"/>
      <c r="D357" s="375"/>
      <c r="E357" s="159"/>
      <c r="F357" s="159"/>
      <c r="G357" s="376" t="s">
        <v>133</v>
      </c>
      <c r="H357" s="161" t="s">
        <v>12</v>
      </c>
      <c r="I357" s="187"/>
      <c r="J357" s="187"/>
      <c r="K357" s="223"/>
      <c r="L357" s="168"/>
      <c r="M357" s="168"/>
      <c r="N357" s="377">
        <f ca="1">IFERROR(__xludf.DUMMYFUNCTION("IMPORTRANGE(""https://docs.google.com/spreadsheets/d/11923uPwbBZFjjGgGUA6NLw09EwE0CqkOc4q9oUmW1yo/edit?usp=sharing"",""พิจิตร!M252"")"),34051.7)</f>
        <v>34051.699999999997</v>
      </c>
      <c r="O357" s="168"/>
      <c r="P357" s="168"/>
    </row>
    <row r="358" spans="1:16" ht="21.75" customHeight="1" x14ac:dyDescent="0.3">
      <c r="A358" s="373"/>
      <c r="B358" s="374"/>
      <c r="C358" s="157"/>
      <c r="D358" s="375"/>
      <c r="E358" s="159"/>
      <c r="F358" s="159"/>
      <c r="G358" s="376" t="s">
        <v>134</v>
      </c>
      <c r="H358" s="161" t="s">
        <v>12</v>
      </c>
      <c r="I358" s="187"/>
      <c r="J358" s="187"/>
      <c r="K358" s="223"/>
      <c r="L358" s="168"/>
      <c r="M358" s="168"/>
      <c r="N358" s="377">
        <f ca="1">IFERROR(__xludf.DUMMYFUNCTION("IMPORTRANGE(""https://docs.google.com/spreadsheets/d/11923uPwbBZFjjGgGUA6NLw09EwE0CqkOc4q9oUmW1yo/edit?usp=sharing"",""พิจิตร!M253"")"),0)</f>
        <v>0</v>
      </c>
      <c r="O358" s="168"/>
      <c r="P358" s="168"/>
    </row>
    <row r="359" spans="1:16" ht="21.75" customHeight="1" x14ac:dyDescent="0.3">
      <c r="A359" s="175"/>
      <c r="B359" s="176"/>
      <c r="C359" s="157" t="s">
        <v>16</v>
      </c>
      <c r="D359" s="177" t="s">
        <v>44</v>
      </c>
      <c r="E359" s="178"/>
      <c r="F359" s="178"/>
      <c r="G359" s="179"/>
      <c r="H359" s="180"/>
      <c r="I359" s="162"/>
      <c r="J359" s="162"/>
      <c r="K359" s="163"/>
      <c r="L359" s="181"/>
      <c r="M359" s="181"/>
      <c r="N359" s="181"/>
      <c r="O359" s="181"/>
      <c r="P359" s="181"/>
    </row>
    <row r="360" spans="1:16" ht="21.75" customHeight="1" x14ac:dyDescent="0.3">
      <c r="A360" s="175"/>
      <c r="B360" s="176"/>
      <c r="C360" s="176"/>
      <c r="D360" s="182">
        <v>1</v>
      </c>
      <c r="E360" s="183" t="s">
        <v>45</v>
      </c>
      <c r="F360" s="184"/>
      <c r="G360" s="185"/>
      <c r="H360" s="186"/>
      <c r="I360" s="187"/>
      <c r="J360" s="197">
        <f ca="1">IFERROR(__xludf.DUMMYFUNCTION("IMPORTRANGE(""https://docs.google.com/spreadsheets/d/11923uPwbBZFjjGgGUA6NLw09EwE0CqkOc4q9oUmW1yo/edit?usp=sharing"",""พิจิตร!J255"")"),0)</f>
        <v>0</v>
      </c>
      <c r="K360" s="163"/>
      <c r="L360" s="181"/>
      <c r="M360" s="181"/>
      <c r="N360" s="181"/>
      <c r="O360" s="181"/>
      <c r="P360" s="181"/>
    </row>
    <row r="361" spans="1:16" ht="21.75" customHeight="1" x14ac:dyDescent="0.3">
      <c r="A361" s="175"/>
      <c r="B361" s="176"/>
      <c r="C361" s="176"/>
      <c r="D361" s="189">
        <v>2</v>
      </c>
      <c r="E361" s="190" t="s">
        <v>46</v>
      </c>
      <c r="F361" s="191"/>
      <c r="G361" s="192"/>
      <c r="H361" s="186"/>
      <c r="I361" s="187"/>
      <c r="J361" s="188">
        <f ca="1">IFERROR(__xludf.DUMMYFUNCTION("IMPORTRANGE(""https://docs.google.com/spreadsheets/d/11923uPwbBZFjjGgGUA6NLw09EwE0CqkOc4q9oUmW1yo/edit?usp=sharing"",""พิจิตร!J256"")"),1)</f>
        <v>1</v>
      </c>
      <c r="K361" s="163"/>
      <c r="L361" s="181" t="s">
        <v>40</v>
      </c>
      <c r="M361" s="181"/>
      <c r="N361" s="181" t="s">
        <v>40</v>
      </c>
      <c r="O361" s="181"/>
      <c r="P361" s="181"/>
    </row>
    <row r="362" spans="1:16" ht="21.75" customHeight="1" x14ac:dyDescent="0.3">
      <c r="A362" s="175"/>
      <c r="B362" s="176"/>
      <c r="C362" s="176"/>
      <c r="D362" s="193"/>
      <c r="E362" s="194" t="s">
        <v>47</v>
      </c>
      <c r="F362" s="195"/>
      <c r="G362" s="196"/>
      <c r="H362" s="186"/>
      <c r="I362" s="187"/>
      <c r="J362" s="188">
        <f ca="1">IFERROR(__xludf.DUMMYFUNCTION("IMPORTRANGE(""https://docs.google.com/spreadsheets/d/11923uPwbBZFjjGgGUA6NLw09EwE0CqkOc4q9oUmW1yo/edit?usp=sharing"",""พิจิตร!J257"")"),1)</f>
        <v>1</v>
      </c>
      <c r="K362" s="163"/>
      <c r="L362" s="181"/>
      <c r="M362" s="181"/>
      <c r="N362" s="181"/>
      <c r="O362" s="181"/>
      <c r="P362" s="181"/>
    </row>
    <row r="363" spans="1:16" ht="21.75" customHeight="1" x14ac:dyDescent="0.3">
      <c r="A363" s="175"/>
      <c r="B363" s="176"/>
      <c r="C363" s="176"/>
      <c r="D363" s="193"/>
      <c r="E363" s="194" t="s">
        <v>48</v>
      </c>
      <c r="F363" s="195"/>
      <c r="G363" s="196"/>
      <c r="H363" s="186"/>
      <c r="I363" s="187"/>
      <c r="J363" s="197">
        <f ca="1">IFERROR(__xludf.DUMMYFUNCTION("IMPORTRANGE(""https://docs.google.com/spreadsheets/d/11923uPwbBZFjjGgGUA6NLw09EwE0CqkOc4q9oUmW1yo/edit?usp=sharing"",""พิจิตร!J258"")"),1)</f>
        <v>1</v>
      </c>
      <c r="K363" s="163"/>
      <c r="L363" s="181"/>
      <c r="M363" s="181"/>
      <c r="N363" s="181"/>
      <c r="O363" s="181"/>
      <c r="P363" s="181"/>
    </row>
    <row r="364" spans="1:16" ht="21.75" hidden="1" customHeight="1" x14ac:dyDescent="0.3">
      <c r="A364" s="175"/>
      <c r="B364" s="176"/>
      <c r="C364" s="176"/>
      <c r="D364" s="193"/>
      <c r="E364" s="198"/>
      <c r="F364" s="194" t="s">
        <v>70</v>
      </c>
      <c r="G364" s="196"/>
      <c r="H364" s="180"/>
      <c r="I364" s="187"/>
      <c r="J364" s="187">
        <f ca="1">IFERROR(__xludf.DUMMYFUNCTION("IMPORTRANGE(""https://docs.google.com/spreadsheets/d/11923uPwbBZFjjGgGUA6NLw09EwE0CqkOc4q9oUmW1yo/edit?usp=sharing"",""พิจิตร!J166"")"),0)</f>
        <v>0</v>
      </c>
      <c r="K364" s="163"/>
      <c r="L364" s="181"/>
      <c r="M364" s="181"/>
      <c r="N364" s="181"/>
      <c r="O364" s="181"/>
      <c r="P364" s="181"/>
    </row>
    <row r="365" spans="1:16" ht="21.75" hidden="1" customHeight="1" x14ac:dyDescent="0.3">
      <c r="A365" s="175"/>
      <c r="B365" s="176"/>
      <c r="C365" s="176"/>
      <c r="D365" s="193"/>
      <c r="E365" s="198"/>
      <c r="F365" s="195"/>
      <c r="G365" s="225" t="s">
        <v>135</v>
      </c>
      <c r="H365" s="180" t="s">
        <v>37</v>
      </c>
      <c r="I365" s="187">
        <f ca="1">IFERROR(__xludf.DUMMYFUNCTION("IMPORTRANGE(""https://docs.google.com/spreadsheets/d/1C3CXT74ZlgGe6_JY_1olB1XN4rF0dxEuIIF-xsYjHgg/edit?usp=sharing"",""งบกองทุน!f63"")"),0)</f>
        <v>0</v>
      </c>
      <c r="J365" s="187">
        <f ca="1">IFERROR(__xludf.DUMMYFUNCTION("IMPORTRANGE(""https://docs.google.com/spreadsheets/d/11923uPwbBZFjjGgGUA6NLw09EwE0CqkOc4q9oUmW1yo/edit?usp=sharing"",""พิจิตร!J166"")"),0)</f>
        <v>0</v>
      </c>
      <c r="K365" s="163">
        <f ca="1">IF(I365&gt;0,J365*100/I365,0)</f>
        <v>0</v>
      </c>
      <c r="L365" s="181"/>
      <c r="M365" s="181"/>
      <c r="N365" s="181"/>
      <c r="O365" s="181"/>
      <c r="P365" s="181"/>
    </row>
    <row r="366" spans="1:16" ht="21.75" hidden="1" customHeight="1" x14ac:dyDescent="0.3">
      <c r="A366" s="175"/>
      <c r="B366" s="176"/>
      <c r="C366" s="176"/>
      <c r="D366" s="193"/>
      <c r="E366" s="198"/>
      <c r="F366" s="195"/>
      <c r="G366" s="196" t="s">
        <v>136</v>
      </c>
      <c r="H366" s="180"/>
      <c r="I366" s="162"/>
      <c r="J366" s="187">
        <f ca="1">IFERROR(__xludf.DUMMYFUNCTION("IMPORTRANGE(""https://docs.google.com/spreadsheets/d/11923uPwbBZFjjGgGUA6NLw09EwE0CqkOc4q9oUmW1yo/edit?usp=sharing"",""พิจิตร!J166"")"),0)</f>
        <v>0</v>
      </c>
      <c r="K366" s="163"/>
      <c r="L366" s="181"/>
      <c r="M366" s="181"/>
      <c r="N366" s="181"/>
      <c r="O366" s="181"/>
      <c r="P366" s="181"/>
    </row>
    <row r="367" spans="1:16" ht="21.75" hidden="1" customHeight="1" x14ac:dyDescent="0.3">
      <c r="A367" s="175"/>
      <c r="B367" s="176"/>
      <c r="C367" s="176"/>
      <c r="D367" s="193"/>
      <c r="E367" s="198"/>
      <c r="F367" s="195"/>
      <c r="G367" s="225" t="s">
        <v>137</v>
      </c>
      <c r="H367" s="186" t="s">
        <v>122</v>
      </c>
      <c r="I367" s="187">
        <f ca="1">SUM(I369,I371)</f>
        <v>0</v>
      </c>
      <c r="J367" s="187">
        <f ca="1">IFERROR(__xludf.DUMMYFUNCTION("IMPORTRANGE(""https://docs.google.com/spreadsheets/d/11923uPwbBZFjjGgGUA6NLw09EwE0CqkOc4q9oUmW1yo/edit?usp=sharing"",""พิจิตร!J166"")"),0)</f>
        <v>0</v>
      </c>
      <c r="K367" s="163">
        <f t="shared" ref="K367:K373" ca="1" si="106">IF(I367&gt;0,J367*100/I367,0)</f>
        <v>0</v>
      </c>
      <c r="L367" s="181"/>
      <c r="M367" s="181"/>
      <c r="N367" s="181"/>
      <c r="O367" s="181"/>
      <c r="P367" s="181"/>
    </row>
    <row r="368" spans="1:16" ht="21.75" customHeight="1" x14ac:dyDescent="0.3">
      <c r="A368" s="175"/>
      <c r="B368" s="176"/>
      <c r="C368" s="176"/>
      <c r="D368" s="193"/>
      <c r="E368" s="198"/>
      <c r="F368" s="378" t="s">
        <v>138</v>
      </c>
      <c r="G368" s="379"/>
      <c r="H368" s="186" t="s">
        <v>37</v>
      </c>
      <c r="I368" s="162">
        <f ca="1">IFERROR(__xludf.DUMMYFUNCTION("IMPORTRANGE(""https://docs.google.com/spreadsheets/d/11923uPwbBZFjjGgGUA6NLw09EwE0CqkOc4q9oUmW1yo/edit?usp=sharing"",""พิจิตร!I263"")"),60)</f>
        <v>60</v>
      </c>
      <c r="J368" s="187">
        <f ca="1">IFERROR(__xludf.DUMMYFUNCTION("IMPORTRANGE(""https://docs.google.com/spreadsheets/d/11923uPwbBZFjjGgGUA6NLw09EwE0CqkOc4q9oUmW1yo/edit?usp=sharing"",""พิจิตร!J263"")"),0)</f>
        <v>0</v>
      </c>
      <c r="K368" s="163">
        <f t="shared" ca="1" si="106"/>
        <v>0</v>
      </c>
      <c r="L368" s="181"/>
      <c r="M368" s="181"/>
      <c r="N368" s="181"/>
      <c r="O368" s="181"/>
      <c r="P368" s="181"/>
    </row>
    <row r="369" spans="1:16" ht="21.75" hidden="1" customHeight="1" x14ac:dyDescent="0.3">
      <c r="A369" s="175"/>
      <c r="B369" s="176"/>
      <c r="C369" s="176"/>
      <c r="D369" s="193"/>
      <c r="E369" s="198"/>
      <c r="F369" s="195"/>
      <c r="G369" s="379"/>
      <c r="H369" s="180" t="s">
        <v>122</v>
      </c>
      <c r="I369" s="162">
        <f ca="1">IFERROR(__xludf.DUMMYFUNCTION("IMPORTRANGE(""https://docs.google.com/spreadsheets/d/11923uPwbBZFjjGgGUA6NLw09EwE0CqkOc4q9oUmW1yo/edit?usp=sharing"",""พิจิตร!I164"")"),0)</f>
        <v>0</v>
      </c>
      <c r="J369" s="203">
        <f ca="1">IFERROR(__xludf.DUMMYFUNCTION("IMPORTRANGE(""https://docs.google.com/spreadsheets/d/11923uPwbBZFjjGgGUA6NLw09EwE0CqkOc4q9oUmW1yo/edit?usp=sharing"",""พิจิตร!J164"")"),0)</f>
        <v>0</v>
      </c>
      <c r="K369" s="163">
        <f t="shared" ca="1" si="106"/>
        <v>0</v>
      </c>
      <c r="L369" s="181"/>
      <c r="M369" s="181"/>
      <c r="N369" s="181"/>
      <c r="O369" s="181"/>
      <c r="P369" s="181"/>
    </row>
    <row r="370" spans="1:16" ht="21.75" customHeight="1" x14ac:dyDescent="0.3">
      <c r="A370" s="175"/>
      <c r="B370" s="176"/>
      <c r="C370" s="176"/>
      <c r="D370" s="193"/>
      <c r="E370" s="198"/>
      <c r="F370" s="195"/>
      <c r="G370" s="378" t="s">
        <v>139</v>
      </c>
      <c r="H370" s="180" t="s">
        <v>37</v>
      </c>
      <c r="I370" s="162">
        <f ca="1">IFERROR(__xludf.DUMMYFUNCTION("IMPORTRANGE(""https://docs.google.com/spreadsheets/d/11923uPwbBZFjjGgGUA6NLw09EwE0CqkOc4q9oUmW1yo/edit?usp=sharing"",""พิจิตร!I265"")"),60)</f>
        <v>60</v>
      </c>
      <c r="J370" s="203">
        <f ca="1">IFERROR(__xludf.DUMMYFUNCTION("IMPORTRANGE(""https://docs.google.com/spreadsheets/d/11923uPwbBZFjjGgGUA6NLw09EwE0CqkOc4q9oUmW1yo/edit?usp=sharing"",""พิจิตร!J265"")"),0)</f>
        <v>0</v>
      </c>
      <c r="K370" s="163">
        <f t="shared" ca="1" si="106"/>
        <v>0</v>
      </c>
      <c r="L370" s="181"/>
      <c r="M370" s="181"/>
      <c r="N370" s="181"/>
      <c r="O370" s="181"/>
      <c r="P370" s="181"/>
    </row>
    <row r="371" spans="1:16" ht="21.75" hidden="1" customHeight="1" x14ac:dyDescent="0.3">
      <c r="A371" s="175"/>
      <c r="B371" s="176"/>
      <c r="C371" s="176"/>
      <c r="D371" s="193"/>
      <c r="E371" s="198"/>
      <c r="F371" s="195"/>
      <c r="G371" s="379"/>
      <c r="H371" s="180" t="s">
        <v>122</v>
      </c>
      <c r="I371" s="162">
        <f ca="1">IFERROR(__xludf.DUMMYFUNCTION("IMPORTRANGE(""https://docs.google.com/spreadsheets/d/11923uPwbBZFjjGgGUA6NLw09EwE0CqkOc4q9oUmW1yo/edit?usp=sharing"",""พิจิตร!I164"")"),0)</f>
        <v>0</v>
      </c>
      <c r="J371" s="188">
        <f ca="1">IFERROR(__xludf.DUMMYFUNCTION("IMPORTRANGE(""https://docs.google.com/spreadsheets/d/11923uPwbBZFjjGgGUA6NLw09EwE0CqkOc4q9oUmW1yo/edit?usp=sharing"",""พิจิตร!J164"")"),0)</f>
        <v>0</v>
      </c>
      <c r="K371" s="163">
        <f t="shared" ca="1" si="106"/>
        <v>0</v>
      </c>
      <c r="L371" s="181"/>
      <c r="M371" s="181"/>
      <c r="N371" s="181"/>
      <c r="O371" s="181"/>
      <c r="P371" s="181"/>
    </row>
    <row r="372" spans="1:16" ht="21.75" customHeight="1" x14ac:dyDescent="0.3">
      <c r="A372" s="175"/>
      <c r="B372" s="176"/>
      <c r="C372" s="176"/>
      <c r="D372" s="193"/>
      <c r="E372" s="198"/>
      <c r="F372" s="195"/>
      <c r="G372" s="378" t="s">
        <v>140</v>
      </c>
      <c r="H372" s="180" t="s">
        <v>37</v>
      </c>
      <c r="I372" s="162">
        <f ca="1">IFERROR(__xludf.DUMMYFUNCTION("IMPORTRANGE(""https://docs.google.com/spreadsheets/d/11923uPwbBZFjjGgGUA6NLw09EwE0CqkOc4q9oUmW1yo/edit?usp=sharing"",""พิจิตร!I267"")"),60)</f>
        <v>60</v>
      </c>
      <c r="J372" s="188">
        <f ca="1">IFERROR(__xludf.DUMMYFUNCTION("IMPORTRANGE(""https://docs.google.com/spreadsheets/d/11923uPwbBZFjjGgGUA6NLw09EwE0CqkOc4q9oUmW1yo/edit?usp=sharing"",""พิจิตร!J267"")"),0)</f>
        <v>0</v>
      </c>
      <c r="K372" s="163">
        <f t="shared" ca="1" si="106"/>
        <v>0</v>
      </c>
      <c r="L372" s="181"/>
      <c r="M372" s="181"/>
      <c r="N372" s="181"/>
      <c r="O372" s="181"/>
      <c r="P372" s="181"/>
    </row>
    <row r="373" spans="1:16" ht="21.75" hidden="1" customHeight="1" x14ac:dyDescent="0.3">
      <c r="A373" s="175"/>
      <c r="B373" s="176"/>
      <c r="C373" s="176"/>
      <c r="D373" s="193"/>
      <c r="E373" s="198"/>
      <c r="F373" s="195"/>
      <c r="G373" s="225" t="s">
        <v>141</v>
      </c>
      <c r="H373" s="180" t="s">
        <v>37</v>
      </c>
      <c r="I373" s="187">
        <f ca="1">IFERROR(__xludf.DUMMYFUNCTION("IMPORTRANGE(""https://docs.google.com/spreadsheets/d/11923uPwbBZFjjGgGUA6NLw09EwE0CqkOc4q9oUmW1yo/edit?usp=sharing"",""พิจิตร!I164"")"),0)</f>
        <v>0</v>
      </c>
      <c r="J373" s="203">
        <f ca="1">IFERROR(__xludf.DUMMYFUNCTION("IMPORTRANGE(""https://docs.google.com/spreadsheets/d/11923uPwbBZFjjGgGUA6NLw09EwE0CqkOc4q9oUmW1yo/edit?usp=sharing"",""พิจิตร!J164"")"),0)</f>
        <v>0</v>
      </c>
      <c r="K373" s="163">
        <f t="shared" ca="1" si="106"/>
        <v>0</v>
      </c>
      <c r="L373" s="181"/>
      <c r="M373" s="181"/>
      <c r="N373" s="181"/>
      <c r="O373" s="181"/>
      <c r="P373" s="181"/>
    </row>
    <row r="374" spans="1:16" ht="21.75" hidden="1" customHeight="1" x14ac:dyDescent="0.3">
      <c r="A374" s="175"/>
      <c r="B374" s="176"/>
      <c r="C374" s="176"/>
      <c r="D374" s="193"/>
      <c r="E374" s="198"/>
      <c r="F374" s="195"/>
      <c r="G374" s="196" t="s">
        <v>142</v>
      </c>
      <c r="H374" s="180"/>
      <c r="I374" s="187">
        <f ca="1">IFERROR(__xludf.DUMMYFUNCTION("IMPORTRANGE(""https://docs.google.com/spreadsheets/d/11923uPwbBZFjjGgGUA6NLw09EwE0CqkOc4q9oUmW1yo/edit?usp=sharing"",""พิจิตร!I164"")"),0)</f>
        <v>0</v>
      </c>
      <c r="J374" s="187">
        <f ca="1">IFERROR(__xludf.DUMMYFUNCTION("IMPORTRANGE(""https://docs.google.com/spreadsheets/d/11923uPwbBZFjjGgGUA6NLw09EwE0CqkOc4q9oUmW1yo/edit?usp=sharing"",""พิจิตร!J164"")"),0)</f>
        <v>0</v>
      </c>
      <c r="K374" s="163"/>
      <c r="L374" s="181"/>
      <c r="M374" s="181"/>
      <c r="N374" s="181"/>
      <c r="O374" s="181"/>
      <c r="P374" s="181"/>
    </row>
    <row r="375" spans="1:16" ht="21.75" customHeight="1" x14ac:dyDescent="0.3">
      <c r="A375" s="175"/>
      <c r="B375" s="176"/>
      <c r="C375" s="176"/>
      <c r="D375" s="193"/>
      <c r="E375" s="195"/>
      <c r="F375" s="204" t="s">
        <v>53</v>
      </c>
      <c r="G375" s="196"/>
      <c r="H375" s="278" t="s">
        <v>122</v>
      </c>
      <c r="I375" s="187">
        <f ca="1">IFERROR(__xludf.DUMMYFUNCTION("IMPORTRANGE(""https://docs.google.com/spreadsheets/d/11923uPwbBZFjjGgGUA6NLw09EwE0CqkOc4q9oUmW1yo/edit?usp=sharing"",""พิจิตร!I270"")"),160)</f>
        <v>160</v>
      </c>
      <c r="J375" s="187">
        <f ca="1">IFERROR(__xludf.DUMMYFUNCTION("IMPORTRANGE(""https://docs.google.com/spreadsheets/d/11923uPwbBZFjjGgGUA6NLw09EwE0CqkOc4q9oUmW1yo/edit?usp=sharing"",""พิจิตร!J270"")"),0)</f>
        <v>0</v>
      </c>
      <c r="K375" s="163">
        <f t="shared" ref="K375:K377" ca="1" si="107">IF(I375&gt;0,J375*100/I375,0)</f>
        <v>0</v>
      </c>
      <c r="L375" s="181"/>
      <c r="M375" s="181"/>
      <c r="N375" s="181"/>
      <c r="O375" s="181"/>
      <c r="P375" s="181"/>
    </row>
    <row r="376" spans="1:16" ht="21.75" customHeight="1" x14ac:dyDescent="0.3">
      <c r="A376" s="175"/>
      <c r="B376" s="176"/>
      <c r="C376" s="176"/>
      <c r="D376" s="193"/>
      <c r="E376" s="195"/>
      <c r="F376" s="195"/>
      <c r="G376" s="279" t="s">
        <v>143</v>
      </c>
      <c r="H376" s="278" t="s">
        <v>122</v>
      </c>
      <c r="I376" s="187">
        <f ca="1">IFERROR(__xludf.DUMMYFUNCTION("IMPORTRANGE(""https://docs.google.com/spreadsheets/d/11923uPwbBZFjjGgGUA6NLw09EwE0CqkOc4q9oUmW1yo/edit?usp=sharing"",""พิจิตร!I271"")"),60)</f>
        <v>60</v>
      </c>
      <c r="J376" s="188">
        <f ca="1">IFERROR(__xludf.DUMMYFUNCTION("IMPORTRANGE(""https://docs.google.com/spreadsheets/d/11923uPwbBZFjjGgGUA6NLw09EwE0CqkOc4q9oUmW1yo/edit?usp=sharing"",""พิจิตร!J271"")"),0)</f>
        <v>0</v>
      </c>
      <c r="K376" s="163">
        <f t="shared" ca="1" si="107"/>
        <v>0</v>
      </c>
      <c r="L376" s="181"/>
      <c r="M376" s="181"/>
      <c r="N376" s="181"/>
      <c r="O376" s="181"/>
      <c r="P376" s="181"/>
    </row>
    <row r="377" spans="1:16" ht="21.75" customHeight="1" x14ac:dyDescent="0.3">
      <c r="A377" s="175"/>
      <c r="B377" s="176"/>
      <c r="C377" s="176"/>
      <c r="D377" s="193"/>
      <c r="E377" s="195"/>
      <c r="F377" s="195"/>
      <c r="G377" s="279" t="s">
        <v>144</v>
      </c>
      <c r="H377" s="278" t="s">
        <v>122</v>
      </c>
      <c r="I377" s="187">
        <f ca="1">IFERROR(__xludf.DUMMYFUNCTION("IMPORTRANGE(""https://docs.google.com/spreadsheets/d/11923uPwbBZFjjGgGUA6NLw09EwE0CqkOc4q9oUmW1yo/edit?usp=sharing"",""พิจิตร!I272"")"),100)</f>
        <v>100</v>
      </c>
      <c r="J377" s="203">
        <f ca="1">IFERROR(__xludf.DUMMYFUNCTION("IMPORTRANGE(""https://docs.google.com/spreadsheets/d/11923uPwbBZFjjGgGUA6NLw09EwE0CqkOc4q9oUmW1yo/edit?usp=sharing"",""พิจิตร!J272"")"),0)</f>
        <v>0</v>
      </c>
      <c r="K377" s="163">
        <f t="shared" ca="1" si="107"/>
        <v>0</v>
      </c>
      <c r="L377" s="181"/>
      <c r="M377" s="181"/>
      <c r="N377" s="181"/>
      <c r="O377" s="181"/>
      <c r="P377" s="181"/>
    </row>
    <row r="378" spans="1:16" ht="21.75" customHeight="1" x14ac:dyDescent="0.3">
      <c r="A378" s="175"/>
      <c r="B378" s="176"/>
      <c r="C378" s="176"/>
      <c r="D378" s="193"/>
      <c r="E378" s="194" t="s">
        <v>54</v>
      </c>
      <c r="F378" s="195"/>
      <c r="G378" s="196"/>
      <c r="H378" s="186"/>
      <c r="I378" s="187"/>
      <c r="J378" s="197">
        <f ca="1">IFERROR(__xludf.DUMMYFUNCTION("IMPORTRANGE(""https://docs.google.com/spreadsheets/d/11923uPwbBZFjjGgGUA6NLw09EwE0CqkOc4q9oUmW1yo/edit?usp=sharing"",""พิจิตร!J273"")"),0)</f>
        <v>0</v>
      </c>
      <c r="K378" s="163"/>
      <c r="L378" s="181"/>
      <c r="M378" s="181"/>
      <c r="N378" s="181"/>
      <c r="O378" s="181"/>
      <c r="P378" s="181"/>
    </row>
    <row r="379" spans="1:16" ht="21.75" customHeight="1" x14ac:dyDescent="0.3">
      <c r="A379" s="175"/>
      <c r="B379" s="176"/>
      <c r="C379" s="176"/>
      <c r="D379" s="205">
        <v>3</v>
      </c>
      <c r="E379" s="206" t="s">
        <v>55</v>
      </c>
      <c r="F379" s="207"/>
      <c r="G379" s="208"/>
      <c r="H379" s="186"/>
      <c r="I379" s="187"/>
      <c r="J379" s="209">
        <f ca="1">IFERROR(__xludf.DUMMYFUNCTION("IMPORTRANGE(""https://docs.google.com/spreadsheets/d/11923uPwbBZFjjGgGUA6NLw09EwE0CqkOc4q9oUmW1yo/edit?usp=sharing"",""พิจิตร!J274"")"),0)</f>
        <v>0</v>
      </c>
      <c r="K379" s="163"/>
      <c r="L379" s="181"/>
      <c r="M379" s="181"/>
      <c r="N379" s="181"/>
      <c r="O379" s="181"/>
      <c r="P379" s="181"/>
    </row>
    <row r="380" spans="1:16" ht="21.75" customHeight="1" x14ac:dyDescent="0.3">
      <c r="A380" s="364"/>
      <c r="B380" s="365">
        <v>2</v>
      </c>
      <c r="C380" s="366" t="s">
        <v>145</v>
      </c>
      <c r="D380" s="366"/>
      <c r="E380" s="380"/>
      <c r="F380" s="380"/>
      <c r="G380" s="381"/>
      <c r="H380" s="368" t="s">
        <v>122</v>
      </c>
      <c r="I380" s="369">
        <f ca="1">IFERROR(__xludf.DUMMYFUNCTION("IMPORTRANGE(""https://docs.google.com/spreadsheets/d/11923uPwbBZFjjGgGUA6NLw09EwE0CqkOc4q9oUmW1yo/edit?usp=sharing"",""พิจิตร!I275"")"),200)</f>
        <v>200</v>
      </c>
      <c r="J380" s="369">
        <f ca="1">IFERROR(__xludf.DUMMYFUNCTION("IMPORTRANGE(""https://docs.google.com/spreadsheets/d/11923uPwbBZFjjGgGUA6NLw09EwE0CqkOc4q9oUmW1yo/edit?usp=sharing"",""พิจิตร!J275"")"),0)</f>
        <v>0</v>
      </c>
      <c r="K380" s="370">
        <f t="shared" ref="K380:K381" ca="1" si="108">IF(I380&gt;0,J380*100/I380,0)</f>
        <v>0</v>
      </c>
      <c r="L380" s="371">
        <f ca="1">IFERROR(__xludf.DUMMYFUNCTION("IMPORTRANGE(""https://docs.google.com/spreadsheets/d/11923uPwbBZFjjGgGUA6NLw09EwE0CqkOc4q9oUmW1yo/edit?usp=sharing"",""พิจิตร!L275"")"),207560)</f>
        <v>207560</v>
      </c>
      <c r="M380" s="371"/>
      <c r="N380" s="371">
        <f ca="1">IFERROR(__xludf.DUMMYFUNCTION("IMPORTRANGE(""https://docs.google.com/spreadsheets/d/11923uPwbBZFjjGgGUA6NLw09EwE0CqkOc4q9oUmW1yo/edit?usp=sharing"",""พิจิตร!M275"")"),0)</f>
        <v>0</v>
      </c>
      <c r="O380" s="371">
        <f ca="1">+IF(L380&gt;0,N380*100/L380,0)</f>
        <v>0</v>
      </c>
      <c r="P380" s="371"/>
    </row>
    <row r="381" spans="1:16" ht="21.75" customHeight="1" x14ac:dyDescent="0.3">
      <c r="A381" s="364"/>
      <c r="B381" s="365"/>
      <c r="C381" s="366"/>
      <c r="D381" s="382"/>
      <c r="E381" s="383"/>
      <c r="F381" s="383"/>
      <c r="G381" s="384"/>
      <c r="H381" s="368" t="s">
        <v>37</v>
      </c>
      <c r="I381" s="369">
        <f ca="1">IFERROR(__xludf.DUMMYFUNCTION("IMPORTRANGE(""https://docs.google.com/spreadsheets/d/11923uPwbBZFjjGgGUA6NLw09EwE0CqkOc4q9oUmW1yo/edit?usp=sharing"",""พิจิตร!I276"")"),20)</f>
        <v>20</v>
      </c>
      <c r="J381" s="369">
        <f ca="1">IFERROR(__xludf.DUMMYFUNCTION("IMPORTRANGE(""https://docs.google.com/spreadsheets/d/11923uPwbBZFjjGgGUA6NLw09EwE0CqkOc4q9oUmW1yo/edit?usp=sharing"",""พิจิตร!J276"")"),0)</f>
        <v>0</v>
      </c>
      <c r="K381" s="370">
        <f t="shared" ca="1" si="108"/>
        <v>0</v>
      </c>
      <c r="L381" s="371"/>
      <c r="M381" s="371"/>
      <c r="N381" s="371"/>
      <c r="O381" s="371"/>
      <c r="P381" s="371"/>
    </row>
    <row r="382" spans="1:16" ht="21.75" customHeight="1" x14ac:dyDescent="0.3">
      <c r="A382" s="156"/>
      <c r="B382" s="157"/>
      <c r="C382" s="157" t="s">
        <v>16</v>
      </c>
      <c r="D382" s="158" t="s">
        <v>38</v>
      </c>
      <c r="E382" s="159"/>
      <c r="F382" s="159"/>
      <c r="G382" s="160" t="s">
        <v>39</v>
      </c>
      <c r="H382" s="161" t="s">
        <v>12</v>
      </c>
      <c r="I382" s="162" t="s">
        <v>40</v>
      </c>
      <c r="J382" s="162"/>
      <c r="K382" s="163"/>
      <c r="L382" s="164">
        <f ca="1">IFERROR(__xludf.DUMMYFUNCTION("IMPORTRANGE(""https://docs.google.com/spreadsheets/d/11923uPwbBZFjjGgGUA6NLw09EwE0CqkOc4q9oUmW1yo/edit?usp=sharing"",""พิจิตร!L277"")"),0)</f>
        <v>0</v>
      </c>
      <c r="M382" s="164"/>
      <c r="N382" s="164">
        <f ca="1">IFERROR(__xludf.DUMMYFUNCTION("IMPORTRANGE(""https://docs.google.com/spreadsheets/d/11923uPwbBZFjjGgGUA6NLw09EwE0CqkOc4q9oUmW1yo/edit?usp=sharing"",""พิจิตร!M277"")"),0)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3">
      <c r="A383" s="156"/>
      <c r="B383" s="157"/>
      <c r="C383" s="157"/>
      <c r="D383" s="166"/>
      <c r="E383" s="159"/>
      <c r="F383" s="159" t="s">
        <v>40</v>
      </c>
      <c r="G383" s="160" t="s">
        <v>41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IFERROR(__xludf.DUMMYFUNCTION("IMPORTRANGE(""https://docs.google.com/spreadsheets/d/11923uPwbBZFjjGgGUA6NLw09EwE0CqkOc4q9oUmW1yo/edit?usp=sharing"",""พิจิตร!L278"")"),207560)</f>
        <v>207560</v>
      </c>
      <c r="M383" s="165"/>
      <c r="N383" s="165">
        <f ca="1">IFERROR(__xludf.DUMMYFUNCTION("IMPORTRANGE(""https://docs.google.com/spreadsheets/d/11923uPwbBZFjjGgGUA6NLw09EwE0CqkOc4q9oUmW1yo/edit?usp=sharing"",""พิจิตร!M278"")"),0)</f>
        <v>0</v>
      </c>
      <c r="O383" s="165">
        <f t="shared" ca="1" si="109"/>
        <v>0</v>
      </c>
      <c r="P383" s="165"/>
    </row>
    <row r="384" spans="1:16" ht="21.75" customHeight="1" x14ac:dyDescent="0.3">
      <c r="A384" s="156"/>
      <c r="B384" s="157"/>
      <c r="C384" s="157"/>
      <c r="D384" s="166"/>
      <c r="E384" s="159"/>
      <c r="F384" s="159"/>
      <c r="G384" s="372" t="s">
        <v>129</v>
      </c>
      <c r="H384" s="161" t="s">
        <v>12</v>
      </c>
      <c r="I384" s="162"/>
      <c r="J384" s="162"/>
      <c r="K384" s="163"/>
      <c r="L384" s="168">
        <f ca="1">IFERROR(__xludf.DUMMYFUNCTION("IMPORTRANGE(""https://docs.google.com/spreadsheets/d/11923uPwbBZFjjGgGUA6NLw09EwE0CqkOc4q9oUmW1yo/edit?usp=sharing"",""พิจิตร!L279"")"),0)</f>
        <v>0</v>
      </c>
      <c r="M384" s="168"/>
      <c r="N384" s="168">
        <f ca="1">IFERROR(__xludf.DUMMYFUNCTION("IMPORTRANGE(""https://docs.google.com/spreadsheets/d/11923uPwbBZFjjGgGUA6NLw09EwE0CqkOc4q9oUmW1yo/edit?usp=sharing"",""พิจิตร!M279"")"),0)</f>
        <v>0</v>
      </c>
      <c r="O384" s="168">
        <f t="shared" ca="1" si="109"/>
        <v>0</v>
      </c>
      <c r="P384" s="168"/>
    </row>
    <row r="385" spans="1:16" ht="21.75" customHeight="1" x14ac:dyDescent="0.3">
      <c r="A385" s="156"/>
      <c r="B385" s="157"/>
      <c r="C385" s="157"/>
      <c r="D385" s="166"/>
      <c r="E385" s="159"/>
      <c r="F385" s="159"/>
      <c r="G385" s="372" t="s">
        <v>130</v>
      </c>
      <c r="H385" s="161" t="s">
        <v>12</v>
      </c>
      <c r="I385" s="162"/>
      <c r="J385" s="162"/>
      <c r="K385" s="163"/>
      <c r="L385" s="168">
        <f ca="1">IFERROR(__xludf.DUMMYFUNCTION("IMPORTRANGE(""https://docs.google.com/spreadsheets/d/11923uPwbBZFjjGgGUA6NLw09EwE0CqkOc4q9oUmW1yo/edit?usp=sharing"",""พิจิตร!L280"")"),207560)</f>
        <v>207560</v>
      </c>
      <c r="M385" s="168"/>
      <c r="N385" s="167">
        <f ca="1">IFERROR(__xludf.DUMMYFUNCTION("IMPORTRANGE(""https://docs.google.com/spreadsheets/d/11923uPwbBZFjjGgGUA6NLw09EwE0CqkOc4q9oUmW1yo/edit?usp=sharing"",""พิจิตร!M280"")"),0)</f>
        <v>0</v>
      </c>
      <c r="O385" s="168">
        <f t="shared" ca="1" si="109"/>
        <v>0</v>
      </c>
      <c r="P385" s="168"/>
    </row>
    <row r="386" spans="1:16" ht="21.75" customHeight="1" x14ac:dyDescent="0.3">
      <c r="A386" s="373"/>
      <c r="B386" s="374"/>
      <c r="C386" s="157"/>
      <c r="D386" s="375"/>
      <c r="E386" s="159"/>
      <c r="F386" s="159"/>
      <c r="G386" s="376" t="s">
        <v>131</v>
      </c>
      <c r="H386" s="161" t="s">
        <v>12</v>
      </c>
      <c r="I386" s="187"/>
      <c r="J386" s="187"/>
      <c r="K386" s="223"/>
      <c r="L386" s="168"/>
      <c r="M386" s="168"/>
      <c r="N386" s="377">
        <f ca="1">IFERROR(__xludf.DUMMYFUNCTION("IMPORTRANGE(""https://docs.google.com/spreadsheets/d/11923uPwbBZFjjGgGUA6NLw09EwE0CqkOc4q9oUmW1yo/edit?usp=sharing"",""พิจิตร!M281"")"),0)</f>
        <v>0</v>
      </c>
      <c r="O386" s="168"/>
      <c r="P386" s="168"/>
    </row>
    <row r="387" spans="1:16" ht="21.75" customHeight="1" x14ac:dyDescent="0.3">
      <c r="A387" s="373"/>
      <c r="B387" s="374"/>
      <c r="C387" s="157"/>
      <c r="D387" s="375"/>
      <c r="E387" s="159"/>
      <c r="F387" s="159"/>
      <c r="G387" s="376" t="s">
        <v>132</v>
      </c>
      <c r="H387" s="161" t="s">
        <v>12</v>
      </c>
      <c r="I387" s="187"/>
      <c r="J387" s="187"/>
      <c r="K387" s="223"/>
      <c r="L387" s="168"/>
      <c r="M387" s="168"/>
      <c r="N387" s="377">
        <f ca="1">IFERROR(__xludf.DUMMYFUNCTION("IMPORTRANGE(""https://docs.google.com/spreadsheets/d/11923uPwbBZFjjGgGUA6NLw09EwE0CqkOc4q9oUmW1yo/edit?usp=sharing"",""พิจิตร!M282"")"),0)</f>
        <v>0</v>
      </c>
      <c r="O387" s="168"/>
      <c r="P387" s="168"/>
    </row>
    <row r="388" spans="1:16" ht="21.75" customHeight="1" x14ac:dyDescent="0.3">
      <c r="A388" s="373"/>
      <c r="B388" s="374"/>
      <c r="C388" s="157"/>
      <c r="D388" s="375"/>
      <c r="E388" s="159"/>
      <c r="F388" s="159"/>
      <c r="G388" s="376" t="s">
        <v>133</v>
      </c>
      <c r="H388" s="161" t="s">
        <v>12</v>
      </c>
      <c r="I388" s="187"/>
      <c r="J388" s="187"/>
      <c r="K388" s="223"/>
      <c r="L388" s="168"/>
      <c r="M388" s="168"/>
      <c r="N388" s="377">
        <f ca="1">IFERROR(__xludf.DUMMYFUNCTION("IMPORTRANGE(""https://docs.google.com/spreadsheets/d/11923uPwbBZFjjGgGUA6NLw09EwE0CqkOc4q9oUmW1yo/edit?usp=sharing"",""พิจิตร!M283"")"),0)</f>
        <v>0</v>
      </c>
      <c r="O388" s="168"/>
      <c r="P388" s="168"/>
    </row>
    <row r="389" spans="1:16" ht="21.75" customHeight="1" x14ac:dyDescent="0.3">
      <c r="A389" s="373"/>
      <c r="B389" s="374"/>
      <c r="C389" s="157"/>
      <c r="D389" s="375"/>
      <c r="E389" s="159"/>
      <c r="F389" s="159"/>
      <c r="G389" s="376" t="s">
        <v>134</v>
      </c>
      <c r="H389" s="161" t="s">
        <v>12</v>
      </c>
      <c r="I389" s="187"/>
      <c r="J389" s="187"/>
      <c r="K389" s="223"/>
      <c r="L389" s="168"/>
      <c r="M389" s="168"/>
      <c r="N389" s="377">
        <f ca="1">IFERROR(__xludf.DUMMYFUNCTION("IMPORTRANGE(""https://docs.google.com/spreadsheets/d/11923uPwbBZFjjGgGUA6NLw09EwE0CqkOc4q9oUmW1yo/edit?usp=sharing"",""พิจิตร!M284"")"),0)</f>
        <v>0</v>
      </c>
      <c r="O389" s="168"/>
      <c r="P389" s="168"/>
    </row>
    <row r="390" spans="1:16" ht="21.75" customHeight="1" x14ac:dyDescent="0.3">
      <c r="A390" s="175"/>
      <c r="B390" s="176"/>
      <c r="C390" s="157" t="s">
        <v>16</v>
      </c>
      <c r="D390" s="177" t="s">
        <v>44</v>
      </c>
      <c r="E390" s="178"/>
      <c r="F390" s="178"/>
      <c r="G390" s="179"/>
      <c r="H390" s="180"/>
      <c r="I390" s="162"/>
      <c r="J390" s="162"/>
      <c r="K390" s="163"/>
      <c r="L390" s="181"/>
      <c r="M390" s="181"/>
      <c r="N390" s="181"/>
      <c r="O390" s="181"/>
      <c r="P390" s="181"/>
    </row>
    <row r="391" spans="1:16" ht="21.75" customHeight="1" x14ac:dyDescent="0.3">
      <c r="A391" s="175"/>
      <c r="B391" s="176"/>
      <c r="C391" s="176"/>
      <c r="D391" s="182">
        <v>1</v>
      </c>
      <c r="E391" s="183" t="s">
        <v>45</v>
      </c>
      <c r="F391" s="184"/>
      <c r="G391" s="185"/>
      <c r="H391" s="186"/>
      <c r="I391" s="187"/>
      <c r="J391" s="197">
        <f ca="1">IFERROR(__xludf.DUMMYFUNCTION("IMPORTRANGE(""https://docs.google.com/spreadsheets/d/11923uPwbBZFjjGgGUA6NLw09EwE0CqkOc4q9oUmW1yo/edit?usp=sharing"",""พิจิตร!J286"")"),0)</f>
        <v>0</v>
      </c>
      <c r="K391" s="163"/>
      <c r="L391" s="181"/>
      <c r="M391" s="181"/>
      <c r="N391" s="181"/>
      <c r="O391" s="181"/>
      <c r="P391" s="181"/>
    </row>
    <row r="392" spans="1:16" ht="21.75" customHeight="1" x14ac:dyDescent="0.3">
      <c r="A392" s="175"/>
      <c r="B392" s="176"/>
      <c r="C392" s="176"/>
      <c r="D392" s="189">
        <v>2</v>
      </c>
      <c r="E392" s="190" t="s">
        <v>46</v>
      </c>
      <c r="F392" s="191"/>
      <c r="G392" s="192"/>
      <c r="H392" s="186"/>
      <c r="I392" s="187"/>
      <c r="J392" s="188">
        <f ca="1">IFERROR(__xludf.DUMMYFUNCTION("IMPORTRANGE(""https://docs.google.com/spreadsheets/d/11923uPwbBZFjjGgGUA6NLw09EwE0CqkOc4q9oUmW1yo/edit?usp=sharing"",""พิจิตร!J287"")"),1)</f>
        <v>1</v>
      </c>
      <c r="K392" s="163"/>
      <c r="L392" s="181" t="s">
        <v>40</v>
      </c>
      <c r="M392" s="181"/>
      <c r="N392" s="181" t="s">
        <v>40</v>
      </c>
      <c r="O392" s="181"/>
      <c r="P392" s="181"/>
    </row>
    <row r="393" spans="1:16" ht="21.75" customHeight="1" x14ac:dyDescent="0.3">
      <c r="A393" s="175"/>
      <c r="B393" s="176"/>
      <c r="C393" s="176"/>
      <c r="D393" s="193"/>
      <c r="E393" s="194" t="s">
        <v>47</v>
      </c>
      <c r="F393" s="195"/>
      <c r="G393" s="196"/>
      <c r="H393" s="186"/>
      <c r="I393" s="187"/>
      <c r="J393" s="188">
        <f ca="1">IFERROR(__xludf.DUMMYFUNCTION("IMPORTRANGE(""https://docs.google.com/spreadsheets/d/11923uPwbBZFjjGgGUA6NLw09EwE0CqkOc4q9oUmW1yo/edit?usp=sharing"",""พิจิตร!J288"")"),1)</f>
        <v>1</v>
      </c>
      <c r="K393" s="163"/>
      <c r="L393" s="181"/>
      <c r="M393" s="181"/>
      <c r="N393" s="181"/>
      <c r="O393" s="181"/>
      <c r="P393" s="181"/>
    </row>
    <row r="394" spans="1:16" ht="21.75" customHeight="1" x14ac:dyDescent="0.3">
      <c r="A394" s="175"/>
      <c r="B394" s="176"/>
      <c r="C394" s="176"/>
      <c r="D394" s="193"/>
      <c r="E394" s="194" t="s">
        <v>48</v>
      </c>
      <c r="F394" s="195"/>
      <c r="G394" s="196"/>
      <c r="H394" s="186"/>
      <c r="I394" s="187"/>
      <c r="J394" s="197">
        <f ca="1">IFERROR(__xludf.DUMMYFUNCTION("IMPORTRANGE(""https://docs.google.com/spreadsheets/d/11923uPwbBZFjjGgGUA6NLw09EwE0CqkOc4q9oUmW1yo/edit?usp=sharing"",""พิจิตร!J289"")"),1)</f>
        <v>1</v>
      </c>
      <c r="K394" s="163"/>
      <c r="L394" s="181"/>
      <c r="M394" s="181"/>
      <c r="N394" s="181"/>
      <c r="O394" s="181"/>
      <c r="P394" s="181"/>
    </row>
    <row r="395" spans="1:16" ht="21.75" customHeight="1" x14ac:dyDescent="0.3">
      <c r="A395" s="175"/>
      <c r="B395" s="176"/>
      <c r="C395" s="176"/>
      <c r="D395" s="193"/>
      <c r="E395" s="198"/>
      <c r="F395" s="194" t="s">
        <v>146</v>
      </c>
      <c r="G395" s="195"/>
      <c r="H395" s="186"/>
      <c r="I395" s="187"/>
      <c r="J395" s="187"/>
      <c r="K395" s="163"/>
      <c r="L395" s="181"/>
      <c r="M395" s="181"/>
      <c r="N395" s="181"/>
      <c r="O395" s="181"/>
      <c r="P395" s="181"/>
    </row>
    <row r="396" spans="1:16" ht="21.75" customHeight="1" x14ac:dyDescent="0.3">
      <c r="A396" s="175"/>
      <c r="B396" s="176"/>
      <c r="C396" s="176"/>
      <c r="D396" s="193"/>
      <c r="E396" s="198"/>
      <c r="F396" s="195"/>
      <c r="G396" s="291" t="s">
        <v>70</v>
      </c>
      <c r="H396" s="186" t="s">
        <v>37</v>
      </c>
      <c r="I396" s="187">
        <f ca="1">IFERROR(__xludf.DUMMYFUNCTION("IMPORTRANGE(""https://docs.google.com/spreadsheets/d/11923uPwbBZFjjGgGUA6NLw09EwE0CqkOc4q9oUmW1yo/edit?usp=sharing"",""พิจิตร!I291"")"),20)</f>
        <v>20</v>
      </c>
      <c r="J396" s="197">
        <f ca="1">IFERROR(__xludf.DUMMYFUNCTION("IMPORTRANGE(""https://docs.google.com/spreadsheets/d/11923uPwbBZFjjGgGUA6NLw09EwE0CqkOc4q9oUmW1yo/edit?usp=sharing"",""พิจิตร!J291"")"),0)</f>
        <v>0</v>
      </c>
      <c r="K396" s="163">
        <f t="shared" ref="K396:K398" ca="1" si="110">IF(I396&gt;0,J396*100/I396,0)</f>
        <v>0</v>
      </c>
      <c r="L396" s="181"/>
      <c r="M396" s="181"/>
      <c r="N396" s="181"/>
      <c r="O396" s="181"/>
      <c r="P396" s="181"/>
    </row>
    <row r="397" spans="1:16" ht="21.75" customHeight="1" x14ac:dyDescent="0.3">
      <c r="A397" s="175"/>
      <c r="B397" s="176"/>
      <c r="C397" s="176"/>
      <c r="D397" s="193"/>
      <c r="E397" s="198"/>
      <c r="F397" s="195"/>
      <c r="G397" s="196" t="s">
        <v>53</v>
      </c>
      <c r="H397" s="186" t="s">
        <v>122</v>
      </c>
      <c r="I397" s="187">
        <f ca="1">IFERROR(__xludf.DUMMYFUNCTION("IMPORTRANGE(""https://docs.google.com/spreadsheets/d/11923uPwbBZFjjGgGUA6NLw09EwE0CqkOc4q9oUmW1yo/edit?usp=sharing"",""พิจิตร!I292"")"),200)</f>
        <v>200</v>
      </c>
      <c r="J397" s="197">
        <f ca="1">IFERROR(__xludf.DUMMYFUNCTION("IMPORTRANGE(""https://docs.google.com/spreadsheets/d/11923uPwbBZFjjGgGUA6NLw09EwE0CqkOc4q9oUmW1yo/edit?usp=sharing"",""พิจิตร!J292"")"),0)</f>
        <v>0</v>
      </c>
      <c r="K397" s="163">
        <f t="shared" ca="1" si="110"/>
        <v>0</v>
      </c>
      <c r="L397" s="181"/>
      <c r="M397" s="181"/>
      <c r="N397" s="181"/>
      <c r="O397" s="181"/>
      <c r="P397" s="181"/>
    </row>
    <row r="398" spans="1:16" ht="21.75" customHeight="1" x14ac:dyDescent="0.3">
      <c r="A398" s="175"/>
      <c r="B398" s="176"/>
      <c r="C398" s="176"/>
      <c r="D398" s="193"/>
      <c r="E398" s="198"/>
      <c r="F398" s="195"/>
      <c r="G398" s="196"/>
      <c r="H398" s="186" t="s">
        <v>37</v>
      </c>
      <c r="I398" s="187">
        <f ca="1">IFERROR(__xludf.DUMMYFUNCTION("IMPORTRANGE(""https://docs.google.com/spreadsheets/d/11923uPwbBZFjjGgGUA6NLw09EwE0CqkOc4q9oUmW1yo/edit?usp=sharing"",""พิจิตร!I293"")"),20)</f>
        <v>20</v>
      </c>
      <c r="J398" s="197">
        <f ca="1">IFERROR(__xludf.DUMMYFUNCTION("IMPORTRANGE(""https://docs.google.com/spreadsheets/d/11923uPwbBZFjjGgGUA6NLw09EwE0CqkOc4q9oUmW1yo/edit?usp=sharing"",""พิจิตร!J293"")"),0)</f>
        <v>0</v>
      </c>
      <c r="K398" s="163">
        <f t="shared" ca="1" si="110"/>
        <v>0</v>
      </c>
      <c r="L398" s="181"/>
      <c r="M398" s="181"/>
      <c r="N398" s="181"/>
      <c r="O398" s="181"/>
      <c r="P398" s="181"/>
    </row>
    <row r="399" spans="1:16" ht="21.75" customHeight="1" x14ac:dyDescent="0.3">
      <c r="A399" s="175"/>
      <c r="B399" s="176"/>
      <c r="C399" s="176"/>
      <c r="D399" s="193"/>
      <c r="E399" s="194" t="s">
        <v>54</v>
      </c>
      <c r="F399" s="195"/>
      <c r="G399" s="196"/>
      <c r="H399" s="186"/>
      <c r="I399" s="187"/>
      <c r="J399" s="197">
        <f ca="1">IFERROR(__xludf.DUMMYFUNCTION("IMPORTRANGE(""https://docs.google.com/spreadsheets/d/11923uPwbBZFjjGgGUA6NLw09EwE0CqkOc4q9oUmW1yo/edit?usp=sharing"",""พิจิตร!J294"")"),0)</f>
        <v>0</v>
      </c>
      <c r="K399" s="163"/>
      <c r="L399" s="181"/>
      <c r="M399" s="181"/>
      <c r="N399" s="181"/>
      <c r="O399" s="181"/>
      <c r="P399" s="181"/>
    </row>
    <row r="400" spans="1:16" ht="21.75" customHeight="1" x14ac:dyDescent="0.3">
      <c r="A400" s="175"/>
      <c r="B400" s="176"/>
      <c r="C400" s="176"/>
      <c r="D400" s="205">
        <v>3</v>
      </c>
      <c r="E400" s="206" t="s">
        <v>55</v>
      </c>
      <c r="F400" s="207"/>
      <c r="G400" s="208"/>
      <c r="H400" s="186"/>
      <c r="I400" s="187"/>
      <c r="J400" s="209">
        <f ca="1">IFERROR(__xludf.DUMMYFUNCTION("IMPORTRANGE(""https://docs.google.com/spreadsheets/d/11923uPwbBZFjjGgGUA6NLw09EwE0CqkOc4q9oUmW1yo/edit?usp=sharing"",""พิจิตร!J295"")"),0)</f>
        <v>0</v>
      </c>
      <c r="K400" s="163"/>
      <c r="L400" s="181"/>
      <c r="M400" s="181"/>
      <c r="N400" s="181"/>
      <c r="O400" s="181"/>
      <c r="P400" s="181"/>
    </row>
    <row r="401" spans="1:16" ht="21.75" customHeight="1" x14ac:dyDescent="0.3">
      <c r="A401" s="364"/>
      <c r="B401" s="365">
        <v>3</v>
      </c>
      <c r="C401" s="365" t="s">
        <v>147</v>
      </c>
      <c r="D401" s="366"/>
      <c r="E401" s="366"/>
      <c r="F401" s="366"/>
      <c r="G401" s="367"/>
      <c r="H401" s="368" t="s">
        <v>122</v>
      </c>
      <c r="I401" s="369">
        <f ca="1">IFERROR(__xludf.DUMMYFUNCTION("IMPORTRANGE(""https://docs.google.com/spreadsheets/d/11923uPwbBZFjjGgGUA6NLw09EwE0CqkOc4q9oUmW1yo/edit?usp=sharing"",""พิจิตร!I296"")"),174)</f>
        <v>174</v>
      </c>
      <c r="J401" s="369">
        <f ca="1">IFERROR(__xludf.DUMMYFUNCTION("IMPORTRANGE(""https://docs.google.com/spreadsheets/d/11923uPwbBZFjjGgGUA6NLw09EwE0CqkOc4q9oUmW1yo/edit?usp=sharing"",""พิจิตร!J296"")"),0)</f>
        <v>0</v>
      </c>
      <c r="K401" s="370">
        <f t="shared" ref="K401:K402" ca="1" si="111">IF(I401&gt;0,J401*100/I401,0)</f>
        <v>0</v>
      </c>
      <c r="L401" s="371">
        <f ca="1">IFERROR(__xludf.DUMMYFUNCTION("IMPORTRANGE(""https://docs.google.com/spreadsheets/d/11923uPwbBZFjjGgGUA6NLw09EwE0CqkOc4q9oUmW1yo/edit?usp=sharing"",""พิจิตร!L296"")"),195900)</f>
        <v>195900</v>
      </c>
      <c r="M401" s="371"/>
      <c r="N401" s="371">
        <f ca="1">IFERROR(__xludf.DUMMYFUNCTION("IMPORTRANGE(""https://docs.google.com/spreadsheets/d/11923uPwbBZFjjGgGUA6NLw09EwE0CqkOc4q9oUmW1yo/edit?usp=sharing"",""พิจิตร!M296"")"),20961)</f>
        <v>20961</v>
      </c>
      <c r="O401" s="371">
        <f ca="1">+IF(L401&gt;0,N401*100/L401,0)</f>
        <v>10.699846860643186</v>
      </c>
      <c r="P401" s="371"/>
    </row>
    <row r="402" spans="1:16" ht="21.75" customHeight="1" x14ac:dyDescent="0.3">
      <c r="A402" s="364"/>
      <c r="B402" s="365"/>
      <c r="C402" s="365"/>
      <c r="D402" s="382"/>
      <c r="E402" s="382"/>
      <c r="F402" s="382"/>
      <c r="G402" s="385"/>
      <c r="H402" s="368" t="s">
        <v>37</v>
      </c>
      <c r="I402" s="369">
        <f ca="1">IFERROR(__xludf.DUMMYFUNCTION("IMPORTRANGE(""https://docs.google.com/spreadsheets/d/11923uPwbBZFjjGgGUA6NLw09EwE0CqkOc4q9oUmW1yo/edit?usp=sharing"",""พิจิตร!I297"")"),58)</f>
        <v>58</v>
      </c>
      <c r="J402" s="369">
        <f ca="1">IFERROR(__xludf.DUMMYFUNCTION("IMPORTRANGE(""https://docs.google.com/spreadsheets/d/11923uPwbBZFjjGgGUA6NLw09EwE0CqkOc4q9oUmW1yo/edit?usp=sharing"",""พิจิตร!J297"")"),0)</f>
        <v>0</v>
      </c>
      <c r="K402" s="370">
        <f t="shared" ca="1" si="111"/>
        <v>0</v>
      </c>
      <c r="L402" s="371"/>
      <c r="M402" s="371"/>
      <c r="N402" s="371"/>
      <c r="O402" s="371"/>
      <c r="P402" s="371"/>
    </row>
    <row r="403" spans="1:16" ht="21.75" customHeight="1" x14ac:dyDescent="0.3">
      <c r="A403" s="156"/>
      <c r="B403" s="157"/>
      <c r="C403" s="157" t="s">
        <v>16</v>
      </c>
      <c r="D403" s="158" t="s">
        <v>38</v>
      </c>
      <c r="E403" s="159"/>
      <c r="F403" s="159"/>
      <c r="G403" s="160" t="s">
        <v>39</v>
      </c>
      <c r="H403" s="161" t="s">
        <v>12</v>
      </c>
      <c r="I403" s="162" t="s">
        <v>40</v>
      </c>
      <c r="J403" s="162"/>
      <c r="K403" s="163"/>
      <c r="L403" s="164">
        <f ca="1">IFERROR(__xludf.DUMMYFUNCTION("IMPORTRANGE(""https://docs.google.com/spreadsheets/d/11923uPwbBZFjjGgGUA6NLw09EwE0CqkOc4q9oUmW1yo/edit?usp=sharing"",""พิจิตร!L298"")"),0)</f>
        <v>0</v>
      </c>
      <c r="M403" s="164"/>
      <c r="N403" s="168">
        <f ca="1">IFERROR(__xludf.DUMMYFUNCTION("IMPORTRANGE(""https://docs.google.com/spreadsheets/d/11923uPwbBZFjjGgGUA6NLw09EwE0CqkOc4q9oUmW1yo/edit?usp=sharing"",""พิจิตร!M298"")"),0)</f>
        <v>0</v>
      </c>
      <c r="O403" s="168">
        <f t="shared" ref="O403:O406" ca="1" si="112">+IF(L403&gt;0,N403*100/L403,0)</f>
        <v>0</v>
      </c>
      <c r="P403" s="168"/>
    </row>
    <row r="404" spans="1:16" ht="21.75" customHeight="1" x14ac:dyDescent="0.3">
      <c r="A404" s="156"/>
      <c r="B404" s="157"/>
      <c r="C404" s="157"/>
      <c r="D404" s="166"/>
      <c r="E404" s="159"/>
      <c r="F404" s="159" t="s">
        <v>40</v>
      </c>
      <c r="G404" s="160" t="s">
        <v>41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IFERROR(__xludf.DUMMYFUNCTION("IMPORTRANGE(""https://docs.google.com/spreadsheets/d/11923uPwbBZFjjGgGUA6NLw09EwE0CqkOc4q9oUmW1yo/edit?usp=sharing"",""พิจิตร!L299"")"),195900)</f>
        <v>195900</v>
      </c>
      <c r="M404" s="165"/>
      <c r="N404" s="168">
        <f ca="1">IFERROR(__xludf.DUMMYFUNCTION("IMPORTRANGE(""https://docs.google.com/spreadsheets/d/11923uPwbBZFjjGgGUA6NLw09EwE0CqkOc4q9oUmW1yo/edit?usp=sharing"",""พิจิตร!M299"")"),20961)</f>
        <v>20961</v>
      </c>
      <c r="O404" s="168">
        <f t="shared" ca="1" si="112"/>
        <v>10.699846860643186</v>
      </c>
      <c r="P404" s="168"/>
    </row>
    <row r="405" spans="1:16" ht="21.75" customHeight="1" x14ac:dyDescent="0.3">
      <c r="A405" s="156"/>
      <c r="B405" s="157"/>
      <c r="C405" s="157"/>
      <c r="D405" s="166"/>
      <c r="E405" s="159"/>
      <c r="F405" s="159"/>
      <c r="G405" s="372" t="s">
        <v>129</v>
      </c>
      <c r="H405" s="161" t="s">
        <v>12</v>
      </c>
      <c r="I405" s="162"/>
      <c r="J405" s="162"/>
      <c r="K405" s="163"/>
      <c r="L405" s="168">
        <f ca="1">IFERROR(__xludf.DUMMYFUNCTION("IMPORTRANGE(""https://docs.google.com/spreadsheets/d/11923uPwbBZFjjGgGUA6NLw09EwE0CqkOc4q9oUmW1yo/edit?usp=sharing"",""พิจิตร!L300"")"),0)</f>
        <v>0</v>
      </c>
      <c r="M405" s="168"/>
      <c r="N405" s="168">
        <f ca="1">IFERROR(__xludf.DUMMYFUNCTION("IMPORTRANGE(""https://docs.google.com/spreadsheets/d/11923uPwbBZFjjGgGUA6NLw09EwE0CqkOc4q9oUmW1yo/edit?usp=sharing"",""พิจิตร!M300"")"),0)</f>
        <v>0</v>
      </c>
      <c r="O405" s="168">
        <f t="shared" ca="1" si="112"/>
        <v>0</v>
      </c>
      <c r="P405" s="168"/>
    </row>
    <row r="406" spans="1:16" ht="21.75" customHeight="1" x14ac:dyDescent="0.3">
      <c r="A406" s="156"/>
      <c r="B406" s="157"/>
      <c r="C406" s="157"/>
      <c r="D406" s="166"/>
      <c r="E406" s="159"/>
      <c r="F406" s="159"/>
      <c r="G406" s="372" t="s">
        <v>130</v>
      </c>
      <c r="H406" s="161" t="s">
        <v>12</v>
      </c>
      <c r="I406" s="162"/>
      <c r="J406" s="162"/>
      <c r="K406" s="163"/>
      <c r="L406" s="168">
        <f ca="1">IFERROR(__xludf.DUMMYFUNCTION("IMPORTRANGE(""https://docs.google.com/spreadsheets/d/11923uPwbBZFjjGgGUA6NLw09EwE0CqkOc4q9oUmW1yo/edit?usp=sharing"",""พิจิตร!L301"")"),195900)</f>
        <v>195900</v>
      </c>
      <c r="M406" s="168"/>
      <c r="N406" s="168">
        <f ca="1">IFERROR(__xludf.DUMMYFUNCTION("IMPORTRANGE(""https://docs.google.com/spreadsheets/d/11923uPwbBZFjjGgGUA6NLw09EwE0CqkOc4q9oUmW1yo/edit?usp=sharing"",""พิจิตร!M301"")"),20961)</f>
        <v>20961</v>
      </c>
      <c r="O406" s="168">
        <f t="shared" ca="1" si="112"/>
        <v>10.699846860643186</v>
      </c>
      <c r="P406" s="168"/>
    </row>
    <row r="407" spans="1:16" ht="21.75" customHeight="1" x14ac:dyDescent="0.3">
      <c r="A407" s="373"/>
      <c r="B407" s="374"/>
      <c r="C407" s="157"/>
      <c r="D407" s="375"/>
      <c r="E407" s="159"/>
      <c r="F407" s="159"/>
      <c r="G407" s="376" t="s">
        <v>131</v>
      </c>
      <c r="H407" s="161" t="s">
        <v>12</v>
      </c>
      <c r="I407" s="187"/>
      <c r="J407" s="187"/>
      <c r="K407" s="223"/>
      <c r="L407" s="168"/>
      <c r="M407" s="168"/>
      <c r="N407" s="377">
        <f ca="1">IFERROR(__xludf.DUMMYFUNCTION("IMPORTRANGE(""https://docs.google.com/spreadsheets/d/11923uPwbBZFjjGgGUA6NLw09EwE0CqkOc4q9oUmW1yo/edit?usp=sharing"",""พิจิตร!M302"")"),10266)</f>
        <v>10266</v>
      </c>
      <c r="O407" s="168"/>
      <c r="P407" s="168"/>
    </row>
    <row r="408" spans="1:16" ht="21.75" customHeight="1" x14ac:dyDescent="0.3">
      <c r="A408" s="373"/>
      <c r="B408" s="374"/>
      <c r="C408" s="157"/>
      <c r="D408" s="375"/>
      <c r="E408" s="159"/>
      <c r="F408" s="159"/>
      <c r="G408" s="376" t="s">
        <v>132</v>
      </c>
      <c r="H408" s="161" t="s">
        <v>12</v>
      </c>
      <c r="I408" s="187"/>
      <c r="J408" s="187"/>
      <c r="K408" s="223"/>
      <c r="L408" s="168"/>
      <c r="M408" s="168"/>
      <c r="N408" s="377">
        <f ca="1">IFERROR(__xludf.DUMMYFUNCTION("IMPORTRANGE(""https://docs.google.com/spreadsheets/d/11923uPwbBZFjjGgGUA6NLw09EwE0CqkOc4q9oUmW1yo/edit?usp=sharing"",""พิจิตร!M303"")"),0)</f>
        <v>0</v>
      </c>
      <c r="O408" s="168"/>
      <c r="P408" s="168"/>
    </row>
    <row r="409" spans="1:16" ht="21.75" customHeight="1" x14ac:dyDescent="0.3">
      <c r="A409" s="373"/>
      <c r="B409" s="374"/>
      <c r="C409" s="157"/>
      <c r="D409" s="375"/>
      <c r="E409" s="159"/>
      <c r="F409" s="159"/>
      <c r="G409" s="376" t="s">
        <v>133</v>
      </c>
      <c r="H409" s="161" t="s">
        <v>12</v>
      </c>
      <c r="I409" s="187"/>
      <c r="J409" s="187"/>
      <c r="K409" s="223"/>
      <c r="L409" s="168"/>
      <c r="M409" s="168"/>
      <c r="N409" s="377">
        <f ca="1">IFERROR(__xludf.DUMMYFUNCTION("IMPORTRANGE(""https://docs.google.com/spreadsheets/d/11923uPwbBZFjjGgGUA6NLw09EwE0CqkOc4q9oUmW1yo/edit?usp=sharing"",""พิจิตร!M304"")"),0)</f>
        <v>0</v>
      </c>
      <c r="O409" s="168"/>
      <c r="P409" s="168"/>
    </row>
    <row r="410" spans="1:16" ht="21.75" customHeight="1" x14ac:dyDescent="0.3">
      <c r="A410" s="373"/>
      <c r="B410" s="374"/>
      <c r="C410" s="157"/>
      <c r="D410" s="375"/>
      <c r="E410" s="159"/>
      <c r="F410" s="159"/>
      <c r="G410" s="376" t="s">
        <v>134</v>
      </c>
      <c r="H410" s="161" t="s">
        <v>12</v>
      </c>
      <c r="I410" s="187"/>
      <c r="J410" s="187"/>
      <c r="K410" s="223"/>
      <c r="L410" s="168"/>
      <c r="M410" s="168"/>
      <c r="N410" s="377">
        <f ca="1">IFERROR(__xludf.DUMMYFUNCTION("IMPORTRANGE(""https://docs.google.com/spreadsheets/d/11923uPwbBZFjjGgGUA6NLw09EwE0CqkOc4q9oUmW1yo/edit?usp=sharing"",""พิจิตร!M305"")"),10695)</f>
        <v>10695</v>
      </c>
      <c r="O410" s="168"/>
      <c r="P410" s="168"/>
    </row>
    <row r="411" spans="1:16" ht="21.75" customHeight="1" x14ac:dyDescent="0.3">
      <c r="A411" s="175"/>
      <c r="B411" s="176"/>
      <c r="C411" s="157" t="s">
        <v>16</v>
      </c>
      <c r="D411" s="177" t="s">
        <v>44</v>
      </c>
      <c r="E411" s="178"/>
      <c r="F411" s="178"/>
      <c r="G411" s="179"/>
      <c r="H411" s="180"/>
      <c r="I411" s="162"/>
      <c r="J411" s="162"/>
      <c r="K411" s="163"/>
      <c r="L411" s="181"/>
      <c r="M411" s="181"/>
      <c r="N411" s="181"/>
      <c r="O411" s="181"/>
      <c r="P411" s="181"/>
    </row>
    <row r="412" spans="1:16" ht="21.75" customHeight="1" x14ac:dyDescent="0.3">
      <c r="A412" s="175"/>
      <c r="B412" s="176"/>
      <c r="C412" s="176"/>
      <c r="D412" s="182">
        <v>1</v>
      </c>
      <c r="E412" s="183" t="s">
        <v>45</v>
      </c>
      <c r="F412" s="184"/>
      <c r="G412" s="185"/>
      <c r="H412" s="186"/>
      <c r="I412" s="187"/>
      <c r="J412" s="197">
        <f ca="1">IFERROR(__xludf.DUMMYFUNCTION("IMPORTRANGE(""https://docs.google.com/spreadsheets/d/11923uPwbBZFjjGgGUA6NLw09EwE0CqkOc4q9oUmW1yo/edit?usp=sharing"",""พิจิตร!J307"")"),0)</f>
        <v>0</v>
      </c>
      <c r="K412" s="163"/>
      <c r="L412" s="181"/>
      <c r="M412" s="181"/>
      <c r="N412" s="181"/>
      <c r="O412" s="181"/>
      <c r="P412" s="181"/>
    </row>
    <row r="413" spans="1:16" ht="21.75" customHeight="1" x14ac:dyDescent="0.3">
      <c r="A413" s="175"/>
      <c r="B413" s="176"/>
      <c r="C413" s="176"/>
      <c r="D413" s="189">
        <v>2</v>
      </c>
      <c r="E413" s="190" t="s">
        <v>46</v>
      </c>
      <c r="F413" s="191"/>
      <c r="G413" s="192"/>
      <c r="H413" s="186"/>
      <c r="I413" s="187"/>
      <c r="J413" s="188">
        <f ca="1">IFERROR(__xludf.DUMMYFUNCTION("IMPORTRANGE(""https://docs.google.com/spreadsheets/d/11923uPwbBZFjjGgGUA6NLw09EwE0CqkOc4q9oUmW1yo/edit?usp=sharing"",""พิจิตร!J308"")"),1)</f>
        <v>1</v>
      </c>
      <c r="K413" s="163"/>
      <c r="L413" s="181" t="s">
        <v>40</v>
      </c>
      <c r="M413" s="181"/>
      <c r="N413" s="181" t="s">
        <v>40</v>
      </c>
      <c r="O413" s="181"/>
      <c r="P413" s="181"/>
    </row>
    <row r="414" spans="1:16" ht="21.75" customHeight="1" x14ac:dyDescent="0.3">
      <c r="A414" s="175"/>
      <c r="B414" s="176"/>
      <c r="C414" s="176"/>
      <c r="D414" s="193"/>
      <c r="E414" s="194" t="s">
        <v>47</v>
      </c>
      <c r="F414" s="195"/>
      <c r="G414" s="196"/>
      <c r="H414" s="186"/>
      <c r="I414" s="187"/>
      <c r="J414" s="188">
        <f ca="1">IFERROR(__xludf.DUMMYFUNCTION("IMPORTRANGE(""https://docs.google.com/spreadsheets/d/11923uPwbBZFjjGgGUA6NLw09EwE0CqkOc4q9oUmW1yo/edit?usp=sharing"",""พิจิตร!J309"")"),1)</f>
        <v>1</v>
      </c>
      <c r="K414" s="163"/>
      <c r="L414" s="181"/>
      <c r="M414" s="181"/>
      <c r="N414" s="181"/>
      <c r="O414" s="181"/>
      <c r="P414" s="181"/>
    </row>
    <row r="415" spans="1:16" ht="21.75" customHeight="1" x14ac:dyDescent="0.3">
      <c r="A415" s="175"/>
      <c r="B415" s="176"/>
      <c r="C415" s="176"/>
      <c r="D415" s="193"/>
      <c r="E415" s="194" t="s">
        <v>48</v>
      </c>
      <c r="F415" s="195"/>
      <c r="G415" s="196"/>
      <c r="H415" s="186"/>
      <c r="I415" s="187"/>
      <c r="J415" s="197">
        <f ca="1">IFERROR(__xludf.DUMMYFUNCTION("IMPORTRANGE(""https://docs.google.com/spreadsheets/d/11923uPwbBZFjjGgGUA6NLw09EwE0CqkOc4q9oUmW1yo/edit?usp=sharing"",""พิจิตร!J310"")"),1)</f>
        <v>1</v>
      </c>
      <c r="K415" s="163"/>
      <c r="L415" s="181"/>
      <c r="M415" s="181"/>
      <c r="N415" s="181"/>
      <c r="O415" s="181"/>
      <c r="P415" s="181"/>
    </row>
    <row r="416" spans="1:16" ht="21.75" customHeight="1" x14ac:dyDescent="0.3">
      <c r="A416" s="175"/>
      <c r="B416" s="176"/>
      <c r="C416" s="176"/>
      <c r="D416" s="193"/>
      <c r="E416" s="198"/>
      <c r="F416" s="194" t="s">
        <v>70</v>
      </c>
      <c r="G416" s="386"/>
      <c r="H416" s="387" t="s">
        <v>37</v>
      </c>
      <c r="I416" s="200">
        <f ca="1">IFERROR(__xludf.DUMMYFUNCTION("IMPORTRANGE(""https://docs.google.com/spreadsheets/d/11923uPwbBZFjjGgGUA6NLw09EwE0CqkOc4q9oUmW1yo/edit?usp=sharing"",""พิจิตร!I311"")"),58)</f>
        <v>58</v>
      </c>
      <c r="J416" s="200">
        <f ca="1">IFERROR(__xludf.DUMMYFUNCTION("IMPORTRANGE(""https://docs.google.com/spreadsheets/d/11923uPwbBZFjjGgGUA6NLw09EwE0CqkOc4q9oUmW1yo/edit?usp=sharing"",""พิจิตร!J311"")"),0)</f>
        <v>0</v>
      </c>
      <c r="K416" s="201">
        <f t="shared" ref="K416:K432" ca="1" si="113">IF(I416&gt;0,J416*100/I416,0)</f>
        <v>0</v>
      </c>
      <c r="L416" s="181"/>
      <c r="M416" s="181"/>
      <c r="N416" s="181"/>
      <c r="O416" s="181"/>
      <c r="P416" s="181"/>
    </row>
    <row r="417" spans="1:16" ht="21.75" customHeight="1" x14ac:dyDescent="0.45">
      <c r="A417" s="175"/>
      <c r="B417" s="176"/>
      <c r="C417" s="176"/>
      <c r="D417" s="193"/>
      <c r="E417" s="198"/>
      <c r="F417" s="388" t="s">
        <v>148</v>
      </c>
      <c r="G417" s="196"/>
      <c r="H417" s="199" t="s">
        <v>37</v>
      </c>
      <c r="I417" s="389">
        <f ca="1">IFERROR(__xludf.DUMMYFUNCTION("IMPORTRANGE(""https://docs.google.com/spreadsheets/d/11923uPwbBZFjjGgGUA6NLw09EwE0CqkOc4q9oUmW1yo/edit?usp=sharing"",""พิจิตร!I312"")"),10)</f>
        <v>10</v>
      </c>
      <c r="J417" s="390">
        <f ca="1">IFERROR(__xludf.DUMMYFUNCTION("IMPORTRANGE(""https://docs.google.com/spreadsheets/d/11923uPwbBZFjjGgGUA6NLw09EwE0CqkOc4q9oUmW1yo/edit?usp=sharing"",""พิจิตร!J312"")"),0)</f>
        <v>0</v>
      </c>
      <c r="K417" s="201">
        <f t="shared" ca="1" si="113"/>
        <v>0</v>
      </c>
      <c r="L417" s="181"/>
      <c r="M417" s="181"/>
      <c r="N417" s="181"/>
      <c r="O417" s="181"/>
      <c r="P417" s="181"/>
    </row>
    <row r="418" spans="1:16" ht="21.75" customHeight="1" x14ac:dyDescent="0.45">
      <c r="A418" s="175"/>
      <c r="B418" s="176"/>
      <c r="C418" s="176"/>
      <c r="D418" s="193"/>
      <c r="E418" s="198"/>
      <c r="F418" s="195"/>
      <c r="G418" s="196"/>
      <c r="H418" s="199" t="s">
        <v>122</v>
      </c>
      <c r="I418" s="389">
        <f ca="1">IFERROR(__xludf.DUMMYFUNCTION("IMPORTRANGE(""https://docs.google.com/spreadsheets/d/11923uPwbBZFjjGgGUA6NLw09EwE0CqkOc4q9oUmW1yo/edit?usp=sharing"",""พิจิตร!I313"")"),30)</f>
        <v>30</v>
      </c>
      <c r="J418" s="391">
        <f ca="1">IFERROR(__xludf.DUMMYFUNCTION("IMPORTRANGE(""https://docs.google.com/spreadsheets/d/11923uPwbBZFjjGgGUA6NLw09EwE0CqkOc4q9oUmW1yo/edit?usp=sharing"",""พิจิตร!J313"")"),0)</f>
        <v>0</v>
      </c>
      <c r="K418" s="201">
        <f t="shared" ca="1" si="113"/>
        <v>0</v>
      </c>
      <c r="L418" s="181"/>
      <c r="M418" s="181"/>
      <c r="N418" s="181"/>
      <c r="O418" s="181"/>
      <c r="P418" s="181"/>
    </row>
    <row r="419" spans="1:16" ht="21.75" customHeight="1" x14ac:dyDescent="0.45">
      <c r="A419" s="175"/>
      <c r="B419" s="176"/>
      <c r="C419" s="176"/>
      <c r="D419" s="193"/>
      <c r="E419" s="198"/>
      <c r="F419" s="195"/>
      <c r="G419" s="225" t="s">
        <v>149</v>
      </c>
      <c r="H419" s="180" t="s">
        <v>37</v>
      </c>
      <c r="I419" s="339">
        <f ca="1">IFERROR(__xludf.DUMMYFUNCTION("IMPORTRANGE(""https://docs.google.com/spreadsheets/d/11923uPwbBZFjjGgGUA6NLw09EwE0CqkOc4q9oUmW1yo/edit?usp=sharing"",""พิจิตร!I314"")"),10)</f>
        <v>10</v>
      </c>
      <c r="J419" s="392">
        <f ca="1">IFERROR(__xludf.DUMMYFUNCTION("IMPORTRANGE(""https://docs.google.com/spreadsheets/d/11923uPwbBZFjjGgGUA6NLw09EwE0CqkOc4q9oUmW1yo/edit?usp=sharing"",""พิจิตร!J314"")"),10)</f>
        <v>10</v>
      </c>
      <c r="K419" s="163">
        <f t="shared" ca="1" si="113"/>
        <v>100</v>
      </c>
      <c r="L419" s="181"/>
      <c r="M419" s="181"/>
      <c r="N419" s="181"/>
      <c r="O419" s="181"/>
      <c r="P419" s="181"/>
    </row>
    <row r="420" spans="1:16" ht="21.75" customHeight="1" x14ac:dyDescent="0.45">
      <c r="A420" s="233"/>
      <c r="B420" s="234"/>
      <c r="C420" s="234"/>
      <c r="D420" s="393"/>
      <c r="E420" s="394"/>
      <c r="F420" s="345"/>
      <c r="G420" s="395" t="s">
        <v>150</v>
      </c>
      <c r="H420" s="347" t="s">
        <v>37</v>
      </c>
      <c r="I420" s="396">
        <f ca="1">IFERROR(__xludf.DUMMYFUNCTION("IMPORTRANGE(""https://docs.google.com/spreadsheets/d/11923uPwbBZFjjGgGUA6NLw09EwE0CqkOc4q9oUmW1yo/edit?usp=sharing"",""พิจิตร!I315"")"),10)</f>
        <v>10</v>
      </c>
      <c r="J420" s="392">
        <f ca="1">IFERROR(__xludf.DUMMYFUNCTION("IMPORTRANGE(""https://docs.google.com/spreadsheets/d/11923uPwbBZFjjGgGUA6NLw09EwE0CqkOc4q9oUmW1yo/edit?usp=sharing"",""พิจิตร!J315"")"),0)</f>
        <v>0</v>
      </c>
      <c r="K420" s="286">
        <f t="shared" ca="1" si="113"/>
        <v>0</v>
      </c>
      <c r="L420" s="244"/>
      <c r="M420" s="244"/>
      <c r="N420" s="244"/>
      <c r="O420" s="244"/>
      <c r="P420" s="244"/>
    </row>
    <row r="421" spans="1:16" ht="21.75" customHeight="1" x14ac:dyDescent="0.45">
      <c r="A421" s="175"/>
      <c r="B421" s="176"/>
      <c r="C421" s="176"/>
      <c r="D421" s="193"/>
      <c r="E421" s="198"/>
      <c r="F421" s="388" t="s">
        <v>151</v>
      </c>
      <c r="G421" s="196"/>
      <c r="H421" s="199" t="s">
        <v>37</v>
      </c>
      <c r="I421" s="389">
        <f ca="1">IFERROR(__xludf.DUMMYFUNCTION("IMPORTRANGE(""https://docs.google.com/spreadsheets/d/11923uPwbBZFjjGgGUA6NLw09EwE0CqkOc4q9oUmW1yo/edit?usp=sharing"",""พิจิตร!I316"")"),38)</f>
        <v>38</v>
      </c>
      <c r="J421" s="390">
        <f ca="1">IFERROR(__xludf.DUMMYFUNCTION("IMPORTRANGE(""https://docs.google.com/spreadsheets/d/11923uPwbBZFjjGgGUA6NLw09EwE0CqkOc4q9oUmW1yo/edit?usp=sharing"",""พิจิตร!J316"")"),0)</f>
        <v>0</v>
      </c>
      <c r="K421" s="201">
        <f t="shared" ca="1" si="113"/>
        <v>0</v>
      </c>
      <c r="L421" s="181"/>
      <c r="M421" s="181"/>
      <c r="N421" s="181"/>
      <c r="O421" s="181"/>
      <c r="P421" s="181"/>
    </row>
    <row r="422" spans="1:16" ht="21.75" customHeight="1" x14ac:dyDescent="0.45">
      <c r="A422" s="175"/>
      <c r="B422" s="176"/>
      <c r="C422" s="176"/>
      <c r="D422" s="193"/>
      <c r="E422" s="198"/>
      <c r="F422" s="195"/>
      <c r="G422" s="196"/>
      <c r="H422" s="199" t="s">
        <v>122</v>
      </c>
      <c r="I422" s="389">
        <f ca="1">IFERROR(__xludf.DUMMYFUNCTION("IMPORTRANGE(""https://docs.google.com/spreadsheets/d/11923uPwbBZFjjGgGUA6NLw09EwE0CqkOc4q9oUmW1yo/edit?usp=sharing"",""พิจิตร!I317"")"),114)</f>
        <v>114</v>
      </c>
      <c r="J422" s="391">
        <f ca="1">IFERROR(__xludf.DUMMYFUNCTION("IMPORTRANGE(""https://docs.google.com/spreadsheets/d/11923uPwbBZFjjGgGUA6NLw09EwE0CqkOc4q9oUmW1yo/edit?usp=sharing"",""พิจิตร!J317"")"),0)</f>
        <v>0</v>
      </c>
      <c r="K422" s="201">
        <f t="shared" ca="1" si="113"/>
        <v>0</v>
      </c>
      <c r="L422" s="181"/>
      <c r="M422" s="181"/>
      <c r="N422" s="181"/>
      <c r="O422" s="181"/>
      <c r="P422" s="181"/>
    </row>
    <row r="423" spans="1:16" ht="21.75" customHeight="1" x14ac:dyDescent="0.45">
      <c r="A423" s="175"/>
      <c r="B423" s="176"/>
      <c r="C423" s="176"/>
      <c r="D423" s="193"/>
      <c r="E423" s="198"/>
      <c r="F423" s="195"/>
      <c r="G423" s="225" t="s">
        <v>152</v>
      </c>
      <c r="H423" s="180" t="s">
        <v>37</v>
      </c>
      <c r="I423" s="339">
        <f ca="1">IFERROR(__xludf.DUMMYFUNCTION("IMPORTRANGE(""https://docs.google.com/spreadsheets/d/11923uPwbBZFjjGgGUA6NLw09EwE0CqkOc4q9oUmW1yo/edit?usp=sharing"",""พิจิตร!I318"")"),38)</f>
        <v>38</v>
      </c>
      <c r="J423" s="392">
        <f ca="1">IFERROR(__xludf.DUMMYFUNCTION("IMPORTRANGE(""https://docs.google.com/spreadsheets/d/11923uPwbBZFjjGgGUA6NLw09EwE0CqkOc4q9oUmW1yo/edit?usp=sharing"",""พิจิตร!J318"")"),0)</f>
        <v>0</v>
      </c>
      <c r="K423" s="163">
        <f t="shared" ca="1" si="113"/>
        <v>0</v>
      </c>
      <c r="L423" s="181"/>
      <c r="M423" s="181"/>
      <c r="N423" s="181"/>
      <c r="O423" s="181"/>
      <c r="P423" s="181"/>
    </row>
    <row r="424" spans="1:16" ht="21.75" customHeight="1" x14ac:dyDescent="0.45">
      <c r="A424" s="175"/>
      <c r="B424" s="176"/>
      <c r="C424" s="176"/>
      <c r="D424" s="193"/>
      <c r="E424" s="198"/>
      <c r="F424" s="195"/>
      <c r="G424" s="225" t="s">
        <v>153</v>
      </c>
      <c r="H424" s="180" t="s">
        <v>37</v>
      </c>
      <c r="I424" s="339">
        <f ca="1">IFERROR(__xludf.DUMMYFUNCTION("IMPORTRANGE(""https://docs.google.com/spreadsheets/d/11923uPwbBZFjjGgGUA6NLw09EwE0CqkOc4q9oUmW1yo/edit?usp=sharing"",""พิจิตร!I319"")"),38)</f>
        <v>38</v>
      </c>
      <c r="J424" s="392">
        <f ca="1">IFERROR(__xludf.DUMMYFUNCTION("IMPORTRANGE(""https://docs.google.com/spreadsheets/d/11923uPwbBZFjjGgGUA6NLw09EwE0CqkOc4q9oUmW1yo/edit?usp=sharing"",""พิจิตร!J319"")"),0)</f>
        <v>0</v>
      </c>
      <c r="K424" s="163">
        <f t="shared" ca="1" si="113"/>
        <v>0</v>
      </c>
      <c r="L424" s="181"/>
      <c r="M424" s="181"/>
      <c r="N424" s="181"/>
      <c r="O424" s="181"/>
      <c r="P424" s="181"/>
    </row>
    <row r="425" spans="1:16" ht="21.75" customHeight="1" x14ac:dyDescent="0.45">
      <c r="A425" s="175"/>
      <c r="B425" s="176"/>
      <c r="C425" s="176"/>
      <c r="D425" s="193"/>
      <c r="E425" s="198"/>
      <c r="F425" s="195"/>
      <c r="G425" s="225" t="s">
        <v>154</v>
      </c>
      <c r="H425" s="180" t="s">
        <v>37</v>
      </c>
      <c r="I425" s="339">
        <f ca="1">IFERROR(__xludf.DUMMYFUNCTION("IMPORTRANGE(""https://docs.google.com/spreadsheets/d/11923uPwbBZFjjGgGUA6NLw09EwE0CqkOc4q9oUmW1yo/edit?usp=sharing"",""พิจิตร!I320"")"),38)</f>
        <v>38</v>
      </c>
      <c r="J425" s="392">
        <f ca="1">IFERROR(__xludf.DUMMYFUNCTION("IMPORTRANGE(""https://docs.google.com/spreadsheets/d/11923uPwbBZFjjGgGUA6NLw09EwE0CqkOc4q9oUmW1yo/edit?usp=sharing"",""พิจิตร!J320"")"),0)</f>
        <v>0</v>
      </c>
      <c r="K425" s="163">
        <f t="shared" ca="1" si="113"/>
        <v>0</v>
      </c>
      <c r="L425" s="181"/>
      <c r="M425" s="181"/>
      <c r="N425" s="181"/>
      <c r="O425" s="181"/>
      <c r="P425" s="181"/>
    </row>
    <row r="426" spans="1:16" ht="21.75" customHeight="1" x14ac:dyDescent="0.45">
      <c r="A426" s="175"/>
      <c r="B426" s="176"/>
      <c r="C426" s="176"/>
      <c r="D426" s="193"/>
      <c r="E426" s="198"/>
      <c r="F426" s="397" t="s">
        <v>155</v>
      </c>
      <c r="G426" s="196"/>
      <c r="H426" s="199" t="s">
        <v>37</v>
      </c>
      <c r="I426" s="389">
        <f ca="1">IFERROR(__xludf.DUMMYFUNCTION("IMPORTRANGE(""https://docs.google.com/spreadsheets/d/11923uPwbBZFjjGgGUA6NLw09EwE0CqkOc4q9oUmW1yo/edit?usp=sharing"",""พิจิตร!I321"")"),10)</f>
        <v>10</v>
      </c>
      <c r="J426" s="390">
        <f ca="1">IFERROR(__xludf.DUMMYFUNCTION("IMPORTRANGE(""https://docs.google.com/spreadsheets/d/11923uPwbBZFjjGgGUA6NLw09EwE0CqkOc4q9oUmW1yo/edit?usp=sharing"",""พิจิตร!J321"")"),0)</f>
        <v>0</v>
      </c>
      <c r="K426" s="201">
        <f t="shared" ca="1" si="113"/>
        <v>0</v>
      </c>
      <c r="L426" s="181"/>
      <c r="M426" s="181"/>
      <c r="N426" s="181"/>
      <c r="O426" s="181"/>
      <c r="P426" s="181"/>
    </row>
    <row r="427" spans="1:16" ht="21.75" customHeight="1" x14ac:dyDescent="0.45">
      <c r="A427" s="175"/>
      <c r="B427" s="176"/>
      <c r="C427" s="176"/>
      <c r="D427" s="193"/>
      <c r="E427" s="198"/>
      <c r="F427" s="195"/>
      <c r="G427" s="196"/>
      <c r="H427" s="199" t="s">
        <v>122</v>
      </c>
      <c r="I427" s="389">
        <f ca="1">IFERROR(__xludf.DUMMYFUNCTION("IMPORTRANGE(""https://docs.google.com/spreadsheets/d/11923uPwbBZFjjGgGUA6NLw09EwE0CqkOc4q9oUmW1yo/edit?usp=sharing"",""พิจิตร!I322"")"),30)</f>
        <v>30</v>
      </c>
      <c r="J427" s="391">
        <f ca="1">IFERROR(__xludf.DUMMYFUNCTION("IMPORTRANGE(""https://docs.google.com/spreadsheets/d/11923uPwbBZFjjGgGUA6NLw09EwE0CqkOc4q9oUmW1yo/edit?usp=sharing"",""พิจิตร!J322"")"),0)</f>
        <v>0</v>
      </c>
      <c r="K427" s="201">
        <f t="shared" ca="1" si="113"/>
        <v>0</v>
      </c>
      <c r="L427" s="181"/>
      <c r="M427" s="181"/>
      <c r="N427" s="181"/>
      <c r="O427" s="181"/>
      <c r="P427" s="181"/>
    </row>
    <row r="428" spans="1:16" ht="21.75" customHeight="1" x14ac:dyDescent="0.45">
      <c r="A428" s="175"/>
      <c r="B428" s="176"/>
      <c r="C428" s="176"/>
      <c r="D428" s="193"/>
      <c r="E428" s="198"/>
      <c r="F428" s="195"/>
      <c r="G428" s="225" t="s">
        <v>156</v>
      </c>
      <c r="H428" s="180" t="s">
        <v>37</v>
      </c>
      <c r="I428" s="398">
        <f ca="1">IFERROR(__xludf.DUMMYFUNCTION("IMPORTRANGE(""https://docs.google.com/spreadsheets/d/11923uPwbBZFjjGgGUA6NLw09EwE0CqkOc4q9oUmW1yo/edit?usp=sharing"",""พิจิตร!I323"")"),10)</f>
        <v>10</v>
      </c>
      <c r="J428" s="392">
        <f ca="1">IFERROR(__xludf.DUMMYFUNCTION("IMPORTRANGE(""https://docs.google.com/spreadsheets/d/11923uPwbBZFjjGgGUA6NLw09EwE0CqkOc4q9oUmW1yo/edit?usp=sharing"",""พิจิตร!J323"")"),0)</f>
        <v>0</v>
      </c>
      <c r="K428" s="163">
        <f t="shared" ca="1" si="113"/>
        <v>0</v>
      </c>
      <c r="L428" s="181"/>
      <c r="M428" s="181"/>
      <c r="N428" s="181"/>
      <c r="O428" s="181"/>
      <c r="P428" s="181"/>
    </row>
    <row r="429" spans="1:16" ht="21.75" customHeight="1" x14ac:dyDescent="0.45">
      <c r="A429" s="175"/>
      <c r="B429" s="176"/>
      <c r="C429" s="176"/>
      <c r="D429" s="193"/>
      <c r="E429" s="198"/>
      <c r="F429" s="195"/>
      <c r="G429" s="225" t="s">
        <v>157</v>
      </c>
      <c r="H429" s="180" t="s">
        <v>37</v>
      </c>
      <c r="I429" s="398">
        <f ca="1">IFERROR(__xludf.DUMMYFUNCTION("IMPORTRANGE(""https://docs.google.com/spreadsheets/d/11923uPwbBZFjjGgGUA6NLw09EwE0CqkOc4q9oUmW1yo/edit?usp=sharing"",""พิจิตร!I324"")"),10)</f>
        <v>10</v>
      </c>
      <c r="J429" s="392">
        <f ca="1">IFERROR(__xludf.DUMMYFUNCTION("IMPORTRANGE(""https://docs.google.com/spreadsheets/d/11923uPwbBZFjjGgGUA6NLw09EwE0CqkOc4q9oUmW1yo/edit?usp=sharing"",""พิจิตร!J324"")"),0)</f>
        <v>0</v>
      </c>
      <c r="K429" s="163">
        <f t="shared" ca="1" si="113"/>
        <v>0</v>
      </c>
      <c r="L429" s="181"/>
      <c r="M429" s="181"/>
      <c r="N429" s="181"/>
      <c r="O429" s="181"/>
      <c r="P429" s="181"/>
    </row>
    <row r="430" spans="1:16" ht="21.75" customHeight="1" x14ac:dyDescent="0.45">
      <c r="A430" s="175"/>
      <c r="B430" s="176"/>
      <c r="C430" s="176"/>
      <c r="D430" s="193"/>
      <c r="E430" s="198"/>
      <c r="F430" s="194" t="s">
        <v>53</v>
      </c>
      <c r="G430" s="386"/>
      <c r="H430" s="399" t="s">
        <v>37</v>
      </c>
      <c r="I430" s="200">
        <f ca="1">IFERROR(__xludf.DUMMYFUNCTION("IMPORTRANGE(""https://docs.google.com/spreadsheets/d/11923uPwbBZFjjGgGUA6NLw09EwE0CqkOc4q9oUmW1yo/edit?usp=sharing"",""พิจิตร!I325"")"),48)</f>
        <v>48</v>
      </c>
      <c r="J430" s="390">
        <f ca="1">IFERROR(__xludf.DUMMYFUNCTION("IMPORTRANGE(""https://docs.google.com/spreadsheets/d/11923uPwbBZFjjGgGUA6NLw09EwE0CqkOc4q9oUmW1yo/edit?usp=sharing"",""พิจิตร!J325"")"),0)</f>
        <v>0</v>
      </c>
      <c r="K430" s="201">
        <f t="shared" ca="1" si="113"/>
        <v>0</v>
      </c>
      <c r="L430" s="181"/>
      <c r="M430" s="181"/>
      <c r="N430" s="181"/>
      <c r="O430" s="181"/>
      <c r="P430" s="181"/>
    </row>
    <row r="431" spans="1:16" ht="21.75" customHeight="1" x14ac:dyDescent="0.45">
      <c r="A431" s="400"/>
      <c r="B431" s="401"/>
      <c r="C431" s="401"/>
      <c r="D431" s="402"/>
      <c r="E431" s="198"/>
      <c r="F431" s="195"/>
      <c r="G431" s="225" t="s">
        <v>158</v>
      </c>
      <c r="H431" s="180" t="s">
        <v>37</v>
      </c>
      <c r="I431" s="398">
        <f ca="1">IFERROR(__xludf.DUMMYFUNCTION("IMPORTRANGE(""https://docs.google.com/spreadsheets/d/11923uPwbBZFjjGgGUA6NLw09EwE0CqkOc4q9oUmW1yo/edit?usp=sharing"",""พิจิตร!I326"")"),10)</f>
        <v>10</v>
      </c>
      <c r="J431" s="392">
        <f ca="1">IFERROR(__xludf.DUMMYFUNCTION("IMPORTRANGE(""https://docs.google.com/spreadsheets/d/11923uPwbBZFjjGgGUA6NLw09EwE0CqkOc4q9oUmW1yo/edit?usp=sharing"",""พิจิตร!J326"")"),0)</f>
        <v>0</v>
      </c>
      <c r="K431" s="163">
        <f t="shared" ca="1" si="113"/>
        <v>0</v>
      </c>
      <c r="L431" s="181"/>
      <c r="M431" s="181"/>
      <c r="N431" s="181"/>
      <c r="O431" s="181"/>
      <c r="P431" s="181"/>
    </row>
    <row r="432" spans="1:16" ht="21.75" customHeight="1" x14ac:dyDescent="0.45">
      <c r="A432" s="400"/>
      <c r="B432" s="401"/>
      <c r="C432" s="401"/>
      <c r="D432" s="402"/>
      <c r="E432" s="198"/>
      <c r="F432" s="195"/>
      <c r="G432" s="225" t="s">
        <v>159</v>
      </c>
      <c r="H432" s="180" t="s">
        <v>37</v>
      </c>
      <c r="I432" s="398">
        <f ca="1">IFERROR(__xludf.DUMMYFUNCTION("IMPORTRANGE(""https://docs.google.com/spreadsheets/d/11923uPwbBZFjjGgGUA6NLw09EwE0CqkOc4q9oUmW1yo/edit?usp=sharing"",""พิจิตร!I327"")"),38)</f>
        <v>38</v>
      </c>
      <c r="J432" s="392">
        <f ca="1">IFERROR(__xludf.DUMMYFUNCTION("IMPORTRANGE(""https://docs.google.com/spreadsheets/d/11923uPwbBZFjjGgGUA6NLw09EwE0CqkOc4q9oUmW1yo/edit?usp=sharing"",""พิจิตร!J327"")"),0)</f>
        <v>0</v>
      </c>
      <c r="K432" s="163">
        <f t="shared" ca="1" si="113"/>
        <v>0</v>
      </c>
      <c r="L432" s="181"/>
      <c r="M432" s="181"/>
      <c r="N432" s="181"/>
      <c r="O432" s="181"/>
      <c r="P432" s="181"/>
    </row>
    <row r="433" spans="1:16" ht="21.75" customHeight="1" x14ac:dyDescent="0.3">
      <c r="A433" s="175"/>
      <c r="B433" s="176"/>
      <c r="C433" s="176"/>
      <c r="D433" s="193"/>
      <c r="E433" s="194" t="s">
        <v>54</v>
      </c>
      <c r="F433" s="195"/>
      <c r="G433" s="196"/>
      <c r="H433" s="186"/>
      <c r="I433" s="187"/>
      <c r="J433" s="197">
        <f ca="1">IFERROR(__xludf.DUMMYFUNCTION("IMPORTRANGE(""https://docs.google.com/spreadsheets/d/11923uPwbBZFjjGgGUA6NLw09EwE0CqkOc4q9oUmW1yo/edit?usp=sharing"",""พิจิตร!J328"")"),0)</f>
        <v>0</v>
      </c>
      <c r="K433" s="163"/>
      <c r="L433" s="181"/>
      <c r="M433" s="181"/>
      <c r="N433" s="181"/>
      <c r="O433" s="181"/>
      <c r="P433" s="181"/>
    </row>
    <row r="434" spans="1:16" ht="21.75" customHeight="1" x14ac:dyDescent="0.3">
      <c r="A434" s="175"/>
      <c r="B434" s="176"/>
      <c r="C434" s="176"/>
      <c r="D434" s="205">
        <v>3</v>
      </c>
      <c r="E434" s="206" t="s">
        <v>55</v>
      </c>
      <c r="F434" s="207"/>
      <c r="G434" s="208"/>
      <c r="H434" s="186"/>
      <c r="I434" s="187"/>
      <c r="J434" s="209">
        <f ca="1">IFERROR(__xludf.DUMMYFUNCTION("IMPORTRANGE(""https://docs.google.com/spreadsheets/d/11923uPwbBZFjjGgGUA6NLw09EwE0CqkOc4q9oUmW1yo/edit?usp=sharing"",""พิจิตร!J329"")"),0)</f>
        <v>0</v>
      </c>
      <c r="K434" s="163"/>
      <c r="L434" s="181"/>
      <c r="M434" s="181"/>
      <c r="N434" s="181"/>
      <c r="O434" s="181"/>
      <c r="P434" s="181"/>
    </row>
    <row r="435" spans="1:16" ht="21.75" customHeight="1" x14ac:dyDescent="0.3">
      <c r="A435" s="403"/>
      <c r="B435" s="404">
        <v>4</v>
      </c>
      <c r="C435" s="404" t="s">
        <v>160</v>
      </c>
      <c r="D435" s="405"/>
      <c r="E435" s="405"/>
      <c r="F435" s="405"/>
      <c r="G435" s="406"/>
      <c r="H435" s="407" t="s">
        <v>37</v>
      </c>
      <c r="I435" s="408">
        <f ca="1">IFERROR(__xludf.DUMMYFUNCTION("IMPORTRANGE(""https://docs.google.com/spreadsheets/d/11923uPwbBZFjjGgGUA6NLw09EwE0CqkOc4q9oUmW1yo/edit?usp=sharing"",""พิจิตร!I330"")"),15)</f>
        <v>15</v>
      </c>
      <c r="J435" s="408">
        <f ca="1">IFERROR(__xludf.DUMMYFUNCTION("IMPORTRANGE(""https://docs.google.com/spreadsheets/d/11923uPwbBZFjjGgGUA6NLw09EwE0CqkOc4q9oUmW1yo/edit?usp=sharing"",""พิจิตร!J330"")"),15)</f>
        <v>15</v>
      </c>
      <c r="K435" s="409">
        <f ca="1">IF(I435&gt;0,J435*100/I435,0)</f>
        <v>100</v>
      </c>
      <c r="L435" s="410">
        <f ca="1">IFERROR(__xludf.DUMMYFUNCTION("IMPORTRANGE(""https://docs.google.com/spreadsheets/d/11923uPwbBZFjjGgGUA6NLw09EwE0CqkOc4q9oUmW1yo/edit?usp=sharing"",""พิจิตร!L330"")"),83000)</f>
        <v>83000</v>
      </c>
      <c r="M435" s="410"/>
      <c r="N435" s="410">
        <f ca="1">IFERROR(__xludf.DUMMYFUNCTION("IMPORTRANGE(""https://docs.google.com/spreadsheets/d/11923uPwbBZFjjGgGUA6NLw09EwE0CqkOc4q9oUmW1yo/edit?usp=sharing"",""พิจิตร!M330"")"),42986)</f>
        <v>42986</v>
      </c>
      <c r="O435" s="410">
        <f t="shared" ref="O435:O439" ca="1" si="114">+IF(L435&gt;0,N435*100/L435,0)</f>
        <v>51.790361445783134</v>
      </c>
      <c r="P435" s="410"/>
    </row>
    <row r="436" spans="1:16" ht="21.75" customHeight="1" x14ac:dyDescent="0.3">
      <c r="A436" s="156"/>
      <c r="B436" s="157"/>
      <c r="C436" s="157" t="s">
        <v>16</v>
      </c>
      <c r="D436" s="158" t="s">
        <v>38</v>
      </c>
      <c r="E436" s="159"/>
      <c r="F436" s="159"/>
      <c r="G436" s="160" t="s">
        <v>39</v>
      </c>
      <c r="H436" s="161" t="s">
        <v>12</v>
      </c>
      <c r="I436" s="162" t="s">
        <v>40</v>
      </c>
      <c r="J436" s="162"/>
      <c r="K436" s="163"/>
      <c r="L436" s="164">
        <f ca="1">IFERROR(__xludf.DUMMYFUNCTION("IMPORTRANGE(""https://docs.google.com/spreadsheets/d/11923uPwbBZFjjGgGUA6NLw09EwE0CqkOc4q9oUmW1yo/edit?usp=sharing"",""พิจิตร!L331"")"),0)</f>
        <v>0</v>
      </c>
      <c r="M436" s="164"/>
      <c r="N436" s="168">
        <f ca="1">IFERROR(__xludf.DUMMYFUNCTION("IMPORTRANGE(""https://docs.google.com/spreadsheets/d/11923uPwbBZFjjGgGUA6NLw09EwE0CqkOc4q9oUmW1yo/edit?usp=sharing"",""พิจิตร!M331"")"),0)</f>
        <v>0</v>
      </c>
      <c r="O436" s="168">
        <f t="shared" ca="1" si="114"/>
        <v>0</v>
      </c>
      <c r="P436" s="168"/>
    </row>
    <row r="437" spans="1:16" ht="21.75" customHeight="1" x14ac:dyDescent="0.3">
      <c r="A437" s="156"/>
      <c r="B437" s="157"/>
      <c r="C437" s="157"/>
      <c r="D437" s="166"/>
      <c r="E437" s="159"/>
      <c r="F437" s="159" t="s">
        <v>40</v>
      </c>
      <c r="G437" s="160" t="s">
        <v>41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IFERROR(__xludf.DUMMYFUNCTION("IMPORTRANGE(""https://docs.google.com/spreadsheets/d/11923uPwbBZFjjGgGUA6NLw09EwE0CqkOc4q9oUmW1yo/edit?usp=sharing"",""พิจิตร!L332"")"),83000)</f>
        <v>83000</v>
      </c>
      <c r="M437" s="165"/>
      <c r="N437" s="168">
        <f ca="1">IFERROR(__xludf.DUMMYFUNCTION("IMPORTRANGE(""https://docs.google.com/spreadsheets/d/11923uPwbBZFjjGgGUA6NLw09EwE0CqkOc4q9oUmW1yo/edit?usp=sharing"",""พิจิตร!M332"")"),42986)</f>
        <v>42986</v>
      </c>
      <c r="O437" s="168">
        <f t="shared" ca="1" si="114"/>
        <v>51.790361445783134</v>
      </c>
      <c r="P437" s="168"/>
    </row>
    <row r="438" spans="1:16" ht="21.75" customHeight="1" x14ac:dyDescent="0.3">
      <c r="A438" s="156"/>
      <c r="B438" s="157"/>
      <c r="C438" s="157"/>
      <c r="D438" s="166"/>
      <c r="E438" s="159"/>
      <c r="F438" s="159"/>
      <c r="G438" s="372" t="s">
        <v>129</v>
      </c>
      <c r="H438" s="161" t="s">
        <v>12</v>
      </c>
      <c r="I438" s="162"/>
      <c r="J438" s="162"/>
      <c r="K438" s="163"/>
      <c r="L438" s="168">
        <f ca="1">IFERROR(__xludf.DUMMYFUNCTION("IMPORTRANGE(""https://docs.google.com/spreadsheets/d/11923uPwbBZFjjGgGUA6NLw09EwE0CqkOc4q9oUmW1yo/edit?usp=sharing"",""พิจิตร!L333"")"),0)</f>
        <v>0</v>
      </c>
      <c r="M438" s="168"/>
      <c r="N438" s="168">
        <f ca="1">IFERROR(__xludf.DUMMYFUNCTION("IMPORTRANGE(""https://docs.google.com/spreadsheets/d/11923uPwbBZFjjGgGUA6NLw09EwE0CqkOc4q9oUmW1yo/edit?usp=sharing"",""พิจิตร!M333"")"),0)</f>
        <v>0</v>
      </c>
      <c r="O438" s="168">
        <f t="shared" ca="1" si="114"/>
        <v>0</v>
      </c>
      <c r="P438" s="168"/>
    </row>
    <row r="439" spans="1:16" ht="21.75" customHeight="1" x14ac:dyDescent="0.3">
      <c r="A439" s="156"/>
      <c r="B439" s="157"/>
      <c r="C439" s="157"/>
      <c r="D439" s="166"/>
      <c r="E439" s="159"/>
      <c r="F439" s="159"/>
      <c r="G439" s="372" t="s">
        <v>130</v>
      </c>
      <c r="H439" s="161" t="s">
        <v>12</v>
      </c>
      <c r="I439" s="162"/>
      <c r="J439" s="162"/>
      <c r="K439" s="163"/>
      <c r="L439" s="168">
        <f ca="1">IFERROR(__xludf.DUMMYFUNCTION("IMPORTRANGE(""https://docs.google.com/spreadsheets/d/11923uPwbBZFjjGgGUA6NLw09EwE0CqkOc4q9oUmW1yo/edit?usp=sharing"",""พิจิตร!L334"")"),83000)</f>
        <v>83000</v>
      </c>
      <c r="M439" s="168"/>
      <c r="N439" s="168">
        <f ca="1">IFERROR(__xludf.DUMMYFUNCTION("IMPORTRANGE(""https://docs.google.com/spreadsheets/d/11923uPwbBZFjjGgGUA6NLw09EwE0CqkOc4q9oUmW1yo/edit?usp=sharing"",""พิจิตร!M334"")"),42986)</f>
        <v>42986</v>
      </c>
      <c r="O439" s="168">
        <f t="shared" ca="1" si="114"/>
        <v>51.790361445783134</v>
      </c>
      <c r="P439" s="168"/>
    </row>
    <row r="440" spans="1:16" ht="21.75" customHeight="1" x14ac:dyDescent="0.3">
      <c r="A440" s="373"/>
      <c r="B440" s="374"/>
      <c r="C440" s="157"/>
      <c r="D440" s="375"/>
      <c r="E440" s="159"/>
      <c r="F440" s="159"/>
      <c r="G440" s="376" t="s">
        <v>131</v>
      </c>
      <c r="H440" s="161" t="s">
        <v>12</v>
      </c>
      <c r="I440" s="187"/>
      <c r="J440" s="187"/>
      <c r="K440" s="223"/>
      <c r="L440" s="168"/>
      <c r="M440" s="168"/>
      <c r="N440" s="377">
        <f ca="1">IFERROR(__xludf.DUMMYFUNCTION("IMPORTRANGE(""https://docs.google.com/spreadsheets/d/11923uPwbBZFjjGgGUA6NLw09EwE0CqkOc4q9oUmW1yo/edit?usp=sharing"",""พิจิตร!M335"")"),32191)</f>
        <v>32191</v>
      </c>
      <c r="O440" s="168"/>
      <c r="P440" s="168"/>
    </row>
    <row r="441" spans="1:16" ht="21.75" customHeight="1" x14ac:dyDescent="0.3">
      <c r="A441" s="373"/>
      <c r="B441" s="374"/>
      <c r="C441" s="157"/>
      <c r="D441" s="375"/>
      <c r="E441" s="159"/>
      <c r="F441" s="159"/>
      <c r="G441" s="376" t="s">
        <v>132</v>
      </c>
      <c r="H441" s="161" t="s">
        <v>12</v>
      </c>
      <c r="I441" s="187"/>
      <c r="J441" s="187"/>
      <c r="K441" s="223"/>
      <c r="L441" s="168"/>
      <c r="M441" s="168"/>
      <c r="N441" s="377">
        <f ca="1">IFERROR(__xludf.DUMMYFUNCTION("IMPORTRANGE(""https://docs.google.com/spreadsheets/d/11923uPwbBZFjjGgGUA6NLw09EwE0CqkOc4q9oUmW1yo/edit?usp=sharing"",""พิจิตร!M336"")"),0)</f>
        <v>0</v>
      </c>
      <c r="O441" s="168"/>
      <c r="P441" s="168"/>
    </row>
    <row r="442" spans="1:16" ht="21.75" customHeight="1" x14ac:dyDescent="0.3">
      <c r="A442" s="373"/>
      <c r="B442" s="374"/>
      <c r="C442" s="157"/>
      <c r="D442" s="375"/>
      <c r="E442" s="159"/>
      <c r="F442" s="159"/>
      <c r="G442" s="376" t="s">
        <v>133</v>
      </c>
      <c r="H442" s="161" t="s">
        <v>12</v>
      </c>
      <c r="I442" s="187"/>
      <c r="J442" s="187"/>
      <c r="K442" s="223"/>
      <c r="L442" s="168"/>
      <c r="M442" s="168"/>
      <c r="N442" s="377">
        <f ca="1">IFERROR(__xludf.DUMMYFUNCTION("IMPORTRANGE(""https://docs.google.com/spreadsheets/d/11923uPwbBZFjjGgGUA6NLw09EwE0CqkOc4q9oUmW1yo/edit?usp=sharing"",""พิจิตร!M337"")"),0)</f>
        <v>0</v>
      </c>
      <c r="O442" s="168"/>
      <c r="P442" s="168"/>
    </row>
    <row r="443" spans="1:16" ht="21.75" customHeight="1" x14ac:dyDescent="0.3">
      <c r="A443" s="373"/>
      <c r="B443" s="374"/>
      <c r="C443" s="157"/>
      <c r="D443" s="375"/>
      <c r="E443" s="159"/>
      <c r="F443" s="159"/>
      <c r="G443" s="376" t="s">
        <v>134</v>
      </c>
      <c r="H443" s="161" t="s">
        <v>12</v>
      </c>
      <c r="I443" s="187"/>
      <c r="J443" s="187"/>
      <c r="K443" s="223"/>
      <c r="L443" s="168"/>
      <c r="M443" s="168"/>
      <c r="N443" s="377">
        <f ca="1">IFERROR(__xludf.DUMMYFUNCTION("IMPORTRANGE(""https://docs.google.com/spreadsheets/d/11923uPwbBZFjjGgGUA6NLw09EwE0CqkOc4q9oUmW1yo/edit?usp=sharing"",""พิจิตร!M338"")"),10795)</f>
        <v>10795</v>
      </c>
      <c r="O443" s="168"/>
      <c r="P443" s="168"/>
    </row>
    <row r="444" spans="1:16" ht="21.75" customHeight="1" x14ac:dyDescent="0.3">
      <c r="A444" s="175"/>
      <c r="B444" s="176"/>
      <c r="C444" s="157" t="s">
        <v>16</v>
      </c>
      <c r="D444" s="177" t="s">
        <v>44</v>
      </c>
      <c r="E444" s="178"/>
      <c r="F444" s="178"/>
      <c r="G444" s="179"/>
      <c r="H444" s="180"/>
      <c r="I444" s="162"/>
      <c r="J444" s="162"/>
      <c r="K444" s="163"/>
      <c r="L444" s="181"/>
      <c r="M444" s="181"/>
      <c r="N444" s="181"/>
      <c r="O444" s="181"/>
      <c r="P444" s="181"/>
    </row>
    <row r="445" spans="1:16" ht="21.75" customHeight="1" x14ac:dyDescent="0.3">
      <c r="A445" s="175"/>
      <c r="B445" s="176"/>
      <c r="C445" s="176"/>
      <c r="D445" s="182">
        <v>1</v>
      </c>
      <c r="E445" s="183" t="s">
        <v>45</v>
      </c>
      <c r="F445" s="184"/>
      <c r="G445" s="185"/>
      <c r="H445" s="186"/>
      <c r="I445" s="187"/>
      <c r="J445" s="209">
        <f ca="1">IFERROR(__xludf.DUMMYFUNCTION("IMPORTRANGE(""https://docs.google.com/spreadsheets/d/11923uPwbBZFjjGgGUA6NLw09EwE0CqkOc4q9oUmW1yo/edit?usp=sharing"",""พิจิตร!J340"")"),0)</f>
        <v>0</v>
      </c>
      <c r="K445" s="163"/>
      <c r="L445" s="181"/>
      <c r="M445" s="181"/>
      <c r="N445" s="181"/>
      <c r="O445" s="181"/>
      <c r="P445" s="181"/>
    </row>
    <row r="446" spans="1:16" ht="21.75" customHeight="1" x14ac:dyDescent="0.3">
      <c r="A446" s="175"/>
      <c r="B446" s="176"/>
      <c r="C446" s="176"/>
      <c r="D446" s="189">
        <v>2</v>
      </c>
      <c r="E446" s="190" t="s">
        <v>46</v>
      </c>
      <c r="F446" s="191"/>
      <c r="G446" s="192"/>
      <c r="H446" s="186"/>
      <c r="I446" s="187"/>
      <c r="J446" s="411">
        <f ca="1">IFERROR(__xludf.DUMMYFUNCTION("IMPORTRANGE(""https://docs.google.com/spreadsheets/d/11923uPwbBZFjjGgGUA6NLw09EwE0CqkOc4q9oUmW1yo/edit?usp=sharing"",""พิจิตร!J341"")"),1)</f>
        <v>1</v>
      </c>
      <c r="K446" s="163"/>
      <c r="L446" s="181" t="s">
        <v>40</v>
      </c>
      <c r="M446" s="181"/>
      <c r="N446" s="181" t="s">
        <v>40</v>
      </c>
      <c r="O446" s="181"/>
      <c r="P446" s="181"/>
    </row>
    <row r="447" spans="1:16" ht="21.75" customHeight="1" x14ac:dyDescent="0.3">
      <c r="A447" s="175"/>
      <c r="B447" s="176"/>
      <c r="C447" s="176"/>
      <c r="D447" s="193"/>
      <c r="E447" s="194" t="s">
        <v>161</v>
      </c>
      <c r="F447" s="195"/>
      <c r="G447" s="196"/>
      <c r="H447" s="186"/>
      <c r="I447" s="187"/>
      <c r="J447" s="188">
        <f ca="1">IFERROR(__xludf.DUMMYFUNCTION("IMPORTRANGE(""https://docs.google.com/spreadsheets/d/11923uPwbBZFjjGgGUA6NLw09EwE0CqkOc4q9oUmW1yo/edit?usp=sharing"",""พิจิตร!J342"")"),1)</f>
        <v>1</v>
      </c>
      <c r="K447" s="163"/>
      <c r="L447" s="181"/>
      <c r="M447" s="181"/>
      <c r="N447" s="181"/>
      <c r="O447" s="181"/>
      <c r="P447" s="181"/>
    </row>
    <row r="448" spans="1:16" ht="21.75" customHeight="1" x14ac:dyDescent="0.3">
      <c r="A448" s="175"/>
      <c r="B448" s="176"/>
      <c r="C448" s="176"/>
      <c r="D448" s="193"/>
      <c r="E448" s="194" t="s">
        <v>48</v>
      </c>
      <c r="F448" s="195"/>
      <c r="G448" s="196"/>
      <c r="H448" s="186"/>
      <c r="I448" s="187"/>
      <c r="J448" s="188">
        <f ca="1">IFERROR(__xludf.DUMMYFUNCTION("IMPORTRANGE(""https://docs.google.com/spreadsheets/d/11923uPwbBZFjjGgGUA6NLw09EwE0CqkOc4q9oUmW1yo/edit?usp=sharing"",""พิจิตร!J343"")"),1)</f>
        <v>1</v>
      </c>
      <c r="K448" s="163"/>
      <c r="L448" s="181"/>
      <c r="M448" s="181"/>
      <c r="N448" s="181"/>
      <c r="O448" s="181"/>
      <c r="P448" s="181"/>
    </row>
    <row r="449" spans="1:16" ht="21.75" customHeight="1" x14ac:dyDescent="0.3">
      <c r="A449" s="175"/>
      <c r="B449" s="176"/>
      <c r="C449" s="176"/>
      <c r="D449" s="193"/>
      <c r="E449" s="198"/>
      <c r="F449" s="412" t="s">
        <v>101</v>
      </c>
      <c r="G449" s="196"/>
      <c r="H449" s="186" t="s">
        <v>37</v>
      </c>
      <c r="I449" s="389">
        <f ca="1">IFERROR(__xludf.DUMMYFUNCTION("IMPORTRANGE(""https://docs.google.com/spreadsheets/d/11923uPwbBZFjjGgGUA6NLw09EwE0CqkOc4q9oUmW1yo/edit?usp=sharing"",""พิจิตร!I344"")"),15)</f>
        <v>15</v>
      </c>
      <c r="J449" s="200">
        <f ca="1">IFERROR(__xludf.DUMMYFUNCTION("IMPORTRANGE(""https://docs.google.com/spreadsheets/d/11923uPwbBZFjjGgGUA6NLw09EwE0CqkOc4q9oUmW1yo/edit?usp=sharing"",""พิจิตร!J344"")"),15)</f>
        <v>15</v>
      </c>
      <c r="K449" s="163">
        <f t="shared" ref="K449:K452" ca="1" si="115">IF(I449&gt;0,J449*100/I449,0)</f>
        <v>100</v>
      </c>
      <c r="L449" s="181"/>
      <c r="M449" s="181"/>
      <c r="N449" s="181"/>
      <c r="O449" s="181"/>
      <c r="P449" s="181"/>
    </row>
    <row r="450" spans="1:16" ht="21.75" customHeight="1" x14ac:dyDescent="0.3">
      <c r="A450" s="175"/>
      <c r="B450" s="176"/>
      <c r="C450" s="176"/>
      <c r="D450" s="193"/>
      <c r="E450" s="198"/>
      <c r="F450" s="195"/>
      <c r="G450" s="225" t="s">
        <v>162</v>
      </c>
      <c r="H450" s="186" t="s">
        <v>37</v>
      </c>
      <c r="I450" s="339">
        <f ca="1">IFERROR(__xludf.DUMMYFUNCTION("IMPORTRANGE(""https://docs.google.com/spreadsheets/d/11923uPwbBZFjjGgGUA6NLw09EwE0CqkOc4q9oUmW1yo/edit?usp=sharing"",""พิจิตร!I345"")"),15)</f>
        <v>15</v>
      </c>
      <c r="J450" s="188">
        <f ca="1">IFERROR(__xludf.DUMMYFUNCTION("IMPORTRANGE(""https://docs.google.com/spreadsheets/d/11923uPwbBZFjjGgGUA6NLw09EwE0CqkOc4q9oUmW1yo/edit?usp=sharing"",""พิจิตร!J345"")"),15)</f>
        <v>15</v>
      </c>
      <c r="K450" s="163">
        <f t="shared" ca="1" si="115"/>
        <v>100</v>
      </c>
      <c r="L450" s="181"/>
      <c r="M450" s="181"/>
      <c r="N450" s="181"/>
      <c r="O450" s="181"/>
      <c r="P450" s="181"/>
    </row>
    <row r="451" spans="1:16" ht="21.75" customHeight="1" x14ac:dyDescent="0.3">
      <c r="A451" s="175"/>
      <c r="B451" s="176"/>
      <c r="C451" s="176"/>
      <c r="D451" s="193"/>
      <c r="E451" s="198"/>
      <c r="F451" s="195"/>
      <c r="G451" s="279" t="s">
        <v>163</v>
      </c>
      <c r="H451" s="186" t="s">
        <v>37</v>
      </c>
      <c r="I451" s="339">
        <f ca="1">IFERROR(__xludf.DUMMYFUNCTION("IMPORTRANGE(""https://docs.google.com/spreadsheets/d/11923uPwbBZFjjGgGUA6NLw09EwE0CqkOc4q9oUmW1yo/edit?usp=sharing"",""พิจิตร!I346"")"),0)</f>
        <v>0</v>
      </c>
      <c r="J451" s="187">
        <f ca="1">IFERROR(__xludf.DUMMYFUNCTION("IMPORTRANGE(""https://docs.google.com/spreadsheets/d/11923uPwbBZFjjGgGUA6NLw09EwE0CqkOc4q9oUmW1yo/edit?usp=sharing"",""พิจิตร!J346"")"),0)</f>
        <v>0</v>
      </c>
      <c r="K451" s="163">
        <f t="shared" ca="1" si="115"/>
        <v>0</v>
      </c>
      <c r="L451" s="181"/>
      <c r="M451" s="181"/>
      <c r="N451" s="181"/>
      <c r="O451" s="181"/>
      <c r="P451" s="181"/>
    </row>
    <row r="452" spans="1:16" ht="21.75" customHeight="1" x14ac:dyDescent="0.3">
      <c r="A452" s="175"/>
      <c r="B452" s="176"/>
      <c r="C452" s="176"/>
      <c r="D452" s="193"/>
      <c r="E452" s="198"/>
      <c r="F452" s="195"/>
      <c r="G452" s="196" t="s">
        <v>164</v>
      </c>
      <c r="H452" s="186" t="s">
        <v>37</v>
      </c>
      <c r="I452" s="187">
        <f ca="1">IFERROR(__xludf.DUMMYFUNCTION("IMPORTRANGE(""https://docs.google.com/spreadsheets/d/11923uPwbBZFjjGgGUA6NLw09EwE0CqkOc4q9oUmW1yo/edit?usp=sharing"",""พิจิตร!I347"")"),0)</f>
        <v>0</v>
      </c>
      <c r="J452" s="187">
        <f ca="1">IFERROR(__xludf.DUMMYFUNCTION("IMPORTRANGE(""https://docs.google.com/spreadsheets/d/11923uPwbBZFjjGgGUA6NLw09EwE0CqkOc4q9oUmW1yo/edit?usp=sharing"",""พิจิตร!J347"")"),0)</f>
        <v>0</v>
      </c>
      <c r="K452" s="163">
        <f t="shared" ca="1" si="115"/>
        <v>0</v>
      </c>
      <c r="L452" s="181"/>
      <c r="M452" s="181"/>
      <c r="N452" s="181"/>
      <c r="O452" s="181"/>
      <c r="P452" s="181"/>
    </row>
    <row r="453" spans="1:16" ht="21.75" customHeight="1" x14ac:dyDescent="0.3">
      <c r="A453" s="175"/>
      <c r="B453" s="176"/>
      <c r="C453" s="176"/>
      <c r="D453" s="193"/>
      <c r="E453" s="194" t="s">
        <v>54</v>
      </c>
      <c r="F453" s="195"/>
      <c r="G453" s="196"/>
      <c r="H453" s="186"/>
      <c r="I453" s="187"/>
      <c r="J453" s="197">
        <f ca="1">IFERROR(__xludf.DUMMYFUNCTION("IMPORTRANGE(""https://docs.google.com/spreadsheets/d/11923uPwbBZFjjGgGUA6NLw09EwE0CqkOc4q9oUmW1yo/edit?usp=sharing"",""พิจิตร!J348"")"),0)</f>
        <v>0</v>
      </c>
      <c r="K453" s="163"/>
      <c r="L453" s="181"/>
      <c r="M453" s="181"/>
      <c r="N453" s="181"/>
      <c r="O453" s="181"/>
      <c r="P453" s="181"/>
    </row>
    <row r="454" spans="1:16" ht="21.75" customHeight="1" x14ac:dyDescent="0.3">
      <c r="A454" s="175"/>
      <c r="B454" s="176"/>
      <c r="C454" s="176"/>
      <c r="D454" s="205">
        <v>3</v>
      </c>
      <c r="E454" s="206" t="s">
        <v>55</v>
      </c>
      <c r="F454" s="207"/>
      <c r="G454" s="208"/>
      <c r="H454" s="186"/>
      <c r="I454" s="187"/>
      <c r="J454" s="209">
        <f ca="1">IFERROR(__xludf.DUMMYFUNCTION("IMPORTRANGE(""https://docs.google.com/spreadsheets/d/11923uPwbBZFjjGgGUA6NLw09EwE0CqkOc4q9oUmW1yo/edit?usp=sharing"",""พิจิตร!J349"")"),0)</f>
        <v>0</v>
      </c>
      <c r="K454" s="163"/>
      <c r="L454" s="181"/>
      <c r="M454" s="181"/>
      <c r="N454" s="181"/>
      <c r="O454" s="181"/>
      <c r="P454" s="181"/>
    </row>
    <row r="455" spans="1:16" ht="21.75" customHeight="1" x14ac:dyDescent="0.3">
      <c r="A455" s="364"/>
      <c r="B455" s="365">
        <v>5</v>
      </c>
      <c r="C455" s="366" t="s">
        <v>165</v>
      </c>
      <c r="D455" s="366"/>
      <c r="E455" s="366"/>
      <c r="F455" s="366"/>
      <c r="G455" s="367"/>
      <c r="H455" s="368" t="s">
        <v>122</v>
      </c>
      <c r="I455" s="369">
        <f ca="1">IFERROR(__xludf.DUMMYFUNCTION("IMPORTRANGE(""https://docs.google.com/spreadsheets/d/11923uPwbBZFjjGgGUA6NLw09EwE0CqkOc4q9oUmW1yo/edit?usp=sharing"",""พิจิตร!I350"")"),77223)</f>
        <v>77223</v>
      </c>
      <c r="J455" s="369">
        <f ca="1">IFERROR(__xludf.DUMMYFUNCTION("IMPORTRANGE(""https://docs.google.com/spreadsheets/d/11923uPwbBZFjjGgGUA6NLw09EwE0CqkOc4q9oUmW1yo/edit?usp=sharing"",""พิจิตร!J350"")"),0)</f>
        <v>0</v>
      </c>
      <c r="K455" s="370">
        <f ca="1">IF(I455&gt;0,J455*100/I455,0)</f>
        <v>0</v>
      </c>
      <c r="L455" s="371">
        <f ca="1">IFERROR(__xludf.DUMMYFUNCTION("IMPORTRANGE(""https://docs.google.com/spreadsheets/d/11923uPwbBZFjjGgGUA6NLw09EwE0CqkOc4q9oUmW1yo/edit?usp=sharing"",""พิจิตร!L350"")"),579537)</f>
        <v>579537</v>
      </c>
      <c r="M455" s="371"/>
      <c r="N455" s="371">
        <f ca="1">IFERROR(__xludf.DUMMYFUNCTION("IMPORTRANGE(""https://docs.google.com/spreadsheets/d/11923uPwbBZFjjGgGUA6NLw09EwE0CqkOc4q9oUmW1yo/edit?usp=sharing"",""พิจิตร!M350"")"),67716.8)</f>
        <v>67716.800000000003</v>
      </c>
      <c r="O455" s="371">
        <f t="shared" ref="O455:O459" ca="1" si="116">+IF(L455&gt;0,N455*100/L455,0)</f>
        <v>11.684637909227538</v>
      </c>
      <c r="P455" s="371"/>
    </row>
    <row r="456" spans="1:16" ht="21.75" customHeight="1" x14ac:dyDescent="0.3">
      <c r="A456" s="156"/>
      <c r="B456" s="157"/>
      <c r="C456" s="157" t="s">
        <v>16</v>
      </c>
      <c r="D456" s="158" t="s">
        <v>38</v>
      </c>
      <c r="E456" s="159"/>
      <c r="F456" s="159"/>
      <c r="G456" s="160" t="s">
        <v>39</v>
      </c>
      <c r="H456" s="161" t="s">
        <v>12</v>
      </c>
      <c r="I456" s="162" t="s">
        <v>40</v>
      </c>
      <c r="J456" s="162"/>
      <c r="K456" s="163"/>
      <c r="L456" s="164">
        <f ca="1">IFERROR(__xludf.DUMMYFUNCTION("IMPORTRANGE(""https://docs.google.com/spreadsheets/d/11923uPwbBZFjjGgGUA6NLw09EwE0CqkOc4q9oUmW1yo/edit?usp=sharing"",""พิจิตร!L351"")"),0)</f>
        <v>0</v>
      </c>
      <c r="M456" s="164"/>
      <c r="N456" s="168">
        <f ca="1">IFERROR(__xludf.DUMMYFUNCTION("IMPORTRANGE(""https://docs.google.com/spreadsheets/d/11923uPwbBZFjjGgGUA6NLw09EwE0CqkOc4q9oUmW1yo/edit?usp=sharing"",""พิจิตร!M351"")"),0)</f>
        <v>0</v>
      </c>
      <c r="O456" s="168">
        <f t="shared" ca="1" si="116"/>
        <v>0</v>
      </c>
      <c r="P456" s="168"/>
    </row>
    <row r="457" spans="1:16" ht="21.75" customHeight="1" x14ac:dyDescent="0.3">
      <c r="A457" s="156"/>
      <c r="B457" s="157"/>
      <c r="C457" s="157"/>
      <c r="D457" s="166"/>
      <c r="E457" s="159"/>
      <c r="F457" s="159" t="s">
        <v>40</v>
      </c>
      <c r="G457" s="160" t="s">
        <v>41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IFERROR(__xludf.DUMMYFUNCTION("IMPORTRANGE(""https://docs.google.com/spreadsheets/d/11923uPwbBZFjjGgGUA6NLw09EwE0CqkOc4q9oUmW1yo/edit?usp=sharing"",""พิจิตร!L352"")"),579537)</f>
        <v>579537</v>
      </c>
      <c r="M457" s="165"/>
      <c r="N457" s="168">
        <f ca="1">IFERROR(__xludf.DUMMYFUNCTION("IMPORTRANGE(""https://docs.google.com/spreadsheets/d/11923uPwbBZFjjGgGUA6NLw09EwE0CqkOc4q9oUmW1yo/edit?usp=sharing"",""พิจิตร!M352"")"),67716.8)</f>
        <v>67716.800000000003</v>
      </c>
      <c r="O457" s="168">
        <f t="shared" ca="1" si="116"/>
        <v>11.684637909227538</v>
      </c>
      <c r="P457" s="168"/>
    </row>
    <row r="458" spans="1:16" ht="21.75" customHeight="1" x14ac:dyDescent="0.3">
      <c r="A458" s="156"/>
      <c r="B458" s="157"/>
      <c r="C458" s="157"/>
      <c r="D458" s="166"/>
      <c r="E458" s="159"/>
      <c r="F458" s="159"/>
      <c r="G458" s="372" t="s">
        <v>129</v>
      </c>
      <c r="H458" s="161" t="s">
        <v>12</v>
      </c>
      <c r="I458" s="162"/>
      <c r="J458" s="162"/>
      <c r="K458" s="163"/>
      <c r="L458" s="168">
        <f ca="1">IFERROR(__xludf.DUMMYFUNCTION("IMPORTRANGE(""https://docs.google.com/spreadsheets/d/11923uPwbBZFjjGgGUA6NLw09EwE0CqkOc4q9oUmW1yo/edit?usp=sharing"",""พิจิตร!L353"")"),0)</f>
        <v>0</v>
      </c>
      <c r="M458" s="168"/>
      <c r="N458" s="168">
        <f ca="1">IFERROR(__xludf.DUMMYFUNCTION("IMPORTRANGE(""https://docs.google.com/spreadsheets/d/11923uPwbBZFjjGgGUA6NLw09EwE0CqkOc4q9oUmW1yo/edit?usp=sharing"",""พิจิตร!M353"")"),0)</f>
        <v>0</v>
      </c>
      <c r="O458" s="168">
        <f t="shared" ca="1" si="116"/>
        <v>0</v>
      </c>
      <c r="P458" s="168"/>
    </row>
    <row r="459" spans="1:16" ht="21.75" customHeight="1" x14ac:dyDescent="0.3">
      <c r="A459" s="156"/>
      <c r="B459" s="157"/>
      <c r="C459" s="157"/>
      <c r="D459" s="166"/>
      <c r="E459" s="159"/>
      <c r="F459" s="159"/>
      <c r="G459" s="372" t="s">
        <v>130</v>
      </c>
      <c r="H459" s="161" t="s">
        <v>12</v>
      </c>
      <c r="I459" s="162"/>
      <c r="J459" s="162"/>
      <c r="K459" s="163"/>
      <c r="L459" s="168">
        <f ca="1">IFERROR(__xludf.DUMMYFUNCTION("IMPORTRANGE(""https://docs.google.com/spreadsheets/d/11923uPwbBZFjjGgGUA6NLw09EwE0CqkOc4q9oUmW1yo/edit?usp=sharing"",""พิจิตร!L354"")"),579537)</f>
        <v>579537</v>
      </c>
      <c r="M459" s="168"/>
      <c r="N459" s="168">
        <f ca="1">IFERROR(__xludf.DUMMYFUNCTION("IMPORTRANGE(""https://docs.google.com/spreadsheets/d/11923uPwbBZFjjGgGUA6NLw09EwE0CqkOc4q9oUmW1yo/edit?usp=sharing"",""พิจิตร!M354"")"),67716.8)</f>
        <v>67716.800000000003</v>
      </c>
      <c r="O459" s="168">
        <f t="shared" ca="1" si="116"/>
        <v>11.684637909227538</v>
      </c>
      <c r="P459" s="168"/>
    </row>
    <row r="460" spans="1:16" ht="21.75" customHeight="1" x14ac:dyDescent="0.3">
      <c r="A460" s="373"/>
      <c r="B460" s="374"/>
      <c r="C460" s="157"/>
      <c r="D460" s="375"/>
      <c r="E460" s="159"/>
      <c r="F460" s="159"/>
      <c r="G460" s="376" t="s">
        <v>131</v>
      </c>
      <c r="H460" s="161" t="s">
        <v>12</v>
      </c>
      <c r="I460" s="187"/>
      <c r="J460" s="187"/>
      <c r="K460" s="223"/>
      <c r="L460" s="168"/>
      <c r="M460" s="168"/>
      <c r="N460" s="167">
        <f ca="1">IFERROR(__xludf.DUMMYFUNCTION("IMPORTRANGE(""https://docs.google.com/spreadsheets/d/11923uPwbBZFjjGgGUA6NLw09EwE0CqkOc4q9oUmW1yo/edit?usp=sharing"",""พิจิตร!M355"")"),0)</f>
        <v>0</v>
      </c>
      <c r="O460" s="168"/>
      <c r="P460" s="168"/>
    </row>
    <row r="461" spans="1:16" ht="21.75" customHeight="1" x14ac:dyDescent="0.3">
      <c r="A461" s="373"/>
      <c r="B461" s="374"/>
      <c r="C461" s="157"/>
      <c r="D461" s="375"/>
      <c r="E461" s="159"/>
      <c r="F461" s="159"/>
      <c r="G461" s="376" t="s">
        <v>132</v>
      </c>
      <c r="H461" s="161" t="s">
        <v>12</v>
      </c>
      <c r="I461" s="187"/>
      <c r="J461" s="187"/>
      <c r="K461" s="223"/>
      <c r="L461" s="168"/>
      <c r="M461" s="168"/>
      <c r="N461" s="167">
        <f ca="1">IFERROR(__xludf.DUMMYFUNCTION("IMPORTRANGE(""https://docs.google.com/spreadsheets/d/11923uPwbBZFjjGgGUA6NLw09EwE0CqkOc4q9oUmW1yo/edit?usp=sharing"",""พิจิตร!M356"")"),0)</f>
        <v>0</v>
      </c>
      <c r="O461" s="168"/>
      <c r="P461" s="168"/>
    </row>
    <row r="462" spans="1:16" ht="21.75" customHeight="1" x14ac:dyDescent="0.3">
      <c r="A462" s="373"/>
      <c r="B462" s="374"/>
      <c r="C462" s="157"/>
      <c r="D462" s="375"/>
      <c r="E462" s="159"/>
      <c r="F462" s="159"/>
      <c r="G462" s="376" t="s">
        <v>133</v>
      </c>
      <c r="H462" s="161" t="s">
        <v>12</v>
      </c>
      <c r="I462" s="187"/>
      <c r="J462" s="187"/>
      <c r="K462" s="223"/>
      <c r="L462" s="168"/>
      <c r="M462" s="168"/>
      <c r="N462" s="377">
        <f ca="1">IFERROR(__xludf.DUMMYFUNCTION("IMPORTRANGE(""https://docs.google.com/spreadsheets/d/11923uPwbBZFjjGgGUA6NLw09EwE0CqkOc4q9oUmW1yo/edit?usp=sharing"",""พิจิตร!M357"")"),29096.8)</f>
        <v>29096.799999999999</v>
      </c>
      <c r="O462" s="168"/>
      <c r="P462" s="168"/>
    </row>
    <row r="463" spans="1:16" ht="21.75" customHeight="1" x14ac:dyDescent="0.3">
      <c r="A463" s="373"/>
      <c r="B463" s="374"/>
      <c r="C463" s="157"/>
      <c r="D463" s="375"/>
      <c r="E463" s="159"/>
      <c r="F463" s="159"/>
      <c r="G463" s="376" t="s">
        <v>134</v>
      </c>
      <c r="H463" s="161" t="s">
        <v>12</v>
      </c>
      <c r="I463" s="187"/>
      <c r="J463" s="187"/>
      <c r="K463" s="223"/>
      <c r="L463" s="168"/>
      <c r="M463" s="168"/>
      <c r="N463" s="377">
        <f ca="1">IFERROR(__xludf.DUMMYFUNCTION("IMPORTRANGE(""https://docs.google.com/spreadsheets/d/11923uPwbBZFjjGgGUA6NLw09EwE0CqkOc4q9oUmW1yo/edit?usp=sharing"",""พิจิตร!M358"")"),38620)</f>
        <v>38620</v>
      </c>
      <c r="O463" s="168"/>
      <c r="P463" s="168"/>
    </row>
    <row r="464" spans="1:16" ht="21.75" customHeight="1" x14ac:dyDescent="0.3">
      <c r="A464" s="175"/>
      <c r="B464" s="176"/>
      <c r="C464" s="413" t="s">
        <v>166</v>
      </c>
      <c r="D464" s="413"/>
      <c r="E464" s="414"/>
      <c r="F464" s="414"/>
      <c r="G464" s="415"/>
      <c r="H464" s="265" t="s">
        <v>122</v>
      </c>
      <c r="I464" s="266">
        <f ca="1">IFERROR(__xludf.DUMMYFUNCTION("IMPORTRANGE(""https://docs.google.com/spreadsheets/d/11923uPwbBZFjjGgGUA6NLw09EwE0CqkOc4q9oUmW1yo/edit?usp=sharing"",""พิจิตร!I359"")"),77223)</f>
        <v>77223</v>
      </c>
      <c r="J464" s="266">
        <f ca="1">IFERROR(__xludf.DUMMYFUNCTION("IMPORTRANGE(""https://docs.google.com/spreadsheets/d/11923uPwbBZFjjGgGUA6NLw09EwE0CqkOc4q9oUmW1yo/edit?usp=sharing"",""พิจิตร!J359"")"),0)</f>
        <v>0</v>
      </c>
      <c r="K464" s="267">
        <f t="shared" ref="K464:K515" ca="1" si="117">IF(I464&gt;0,J464*100/I464,0)</f>
        <v>0</v>
      </c>
      <c r="L464" s="290"/>
      <c r="M464" s="290"/>
      <c r="N464" s="290"/>
      <c r="O464" s="290"/>
      <c r="P464" s="290"/>
    </row>
    <row r="465" spans="1:16" ht="21.75" customHeight="1" x14ac:dyDescent="0.3">
      <c r="A465" s="400"/>
      <c r="B465" s="401"/>
      <c r="C465" s="401"/>
      <c r="D465" s="402"/>
      <c r="E465" s="193" t="s">
        <v>167</v>
      </c>
      <c r="F465" s="195"/>
      <c r="G465" s="196"/>
      <c r="H465" s="416" t="s">
        <v>122</v>
      </c>
      <c r="I465" s="417">
        <f ca="1">IFERROR(__xludf.DUMMYFUNCTION("IMPORTRANGE(""https://docs.google.com/spreadsheets/d/11923uPwbBZFjjGgGUA6NLw09EwE0CqkOc4q9oUmW1yo/edit?usp=sharing"",""พิจิตร!I360"")"),77223)</f>
        <v>77223</v>
      </c>
      <c r="J465" s="418">
        <f ca="1">IFERROR(__xludf.DUMMYFUNCTION("IMPORTRANGE(""https://docs.google.com/spreadsheets/d/11923uPwbBZFjjGgGUA6NLw09EwE0CqkOc4q9oUmW1yo/edit?usp=sharing"",""พิจิตร!J360"")"),0)</f>
        <v>0</v>
      </c>
      <c r="K465" s="201">
        <f t="shared" ca="1" si="117"/>
        <v>0</v>
      </c>
      <c r="L465" s="181"/>
      <c r="M465" s="181"/>
      <c r="N465" s="181"/>
      <c r="O465" s="181"/>
      <c r="P465" s="181"/>
    </row>
    <row r="466" spans="1:16" ht="21.75" customHeight="1" x14ac:dyDescent="0.3">
      <c r="A466" s="400"/>
      <c r="B466" s="401"/>
      <c r="C466" s="401"/>
      <c r="D466" s="402"/>
      <c r="E466" s="195"/>
      <c r="F466" s="195"/>
      <c r="G466" s="196"/>
      <c r="H466" s="416" t="s">
        <v>36</v>
      </c>
      <c r="I466" s="417">
        <f ca="1">IFERROR(__xludf.DUMMYFUNCTION("IMPORTRANGE(""https://docs.google.com/spreadsheets/d/11923uPwbBZFjjGgGUA6NLw09EwE0CqkOc4q9oUmW1yo/edit?usp=sharing"",""พิจิตร!I361"")"),7854)</f>
        <v>7854</v>
      </c>
      <c r="J466" s="418">
        <f ca="1">IFERROR(__xludf.DUMMYFUNCTION("IMPORTRANGE(""https://docs.google.com/spreadsheets/d/11923uPwbBZFjjGgGUA6NLw09EwE0CqkOc4q9oUmW1yo/edit?usp=sharing"",""พิจิตร!J361"")"),0)</f>
        <v>0</v>
      </c>
      <c r="K466" s="201">
        <f t="shared" ca="1" si="117"/>
        <v>0</v>
      </c>
      <c r="L466" s="181"/>
      <c r="M466" s="181"/>
      <c r="N466" s="181"/>
      <c r="O466" s="181"/>
      <c r="P466" s="181"/>
    </row>
    <row r="467" spans="1:16" ht="21.75" customHeight="1" x14ac:dyDescent="0.3">
      <c r="A467" s="400"/>
      <c r="B467" s="401"/>
      <c r="C467" s="401"/>
      <c r="D467" s="402"/>
      <c r="E467" s="195"/>
      <c r="F467" s="388" t="s">
        <v>168</v>
      </c>
      <c r="G467" s="419"/>
      <c r="H467" s="420" t="s">
        <v>122</v>
      </c>
      <c r="I467" s="202">
        <f ca="1">IFERROR(__xludf.DUMMYFUNCTION("IMPORTRANGE(""https://docs.google.com/spreadsheets/d/11923uPwbBZFjjGgGUA6NLw09EwE0CqkOc4q9oUmW1yo/edit?usp=sharing"",""พิจิตร!I362"")"),0)</f>
        <v>0</v>
      </c>
      <c r="J467" s="188">
        <f ca="1">IFERROR(__xludf.DUMMYFUNCTION("IMPORTRANGE(""https://docs.google.com/spreadsheets/d/11923uPwbBZFjjGgGUA6NLw09EwE0CqkOc4q9oUmW1yo/edit?usp=sharing"",""พิจิตร!J362"")"),0)</f>
        <v>0</v>
      </c>
      <c r="K467" s="163">
        <f t="shared" ca="1" si="117"/>
        <v>0</v>
      </c>
      <c r="L467" s="181"/>
      <c r="M467" s="181"/>
      <c r="N467" s="181"/>
      <c r="O467" s="181"/>
      <c r="P467" s="181"/>
    </row>
    <row r="468" spans="1:16" ht="21.75" customHeight="1" x14ac:dyDescent="0.3">
      <c r="A468" s="400"/>
      <c r="B468" s="401"/>
      <c r="C468" s="401"/>
      <c r="D468" s="402"/>
      <c r="E468" s="195"/>
      <c r="F468" s="195"/>
      <c r="G468" s="419"/>
      <c r="H468" s="420" t="s">
        <v>36</v>
      </c>
      <c r="I468" s="202">
        <f ca="1">IFERROR(__xludf.DUMMYFUNCTION("IMPORTRANGE(""https://docs.google.com/spreadsheets/d/11923uPwbBZFjjGgGUA6NLw09EwE0CqkOc4q9oUmW1yo/edit?usp=sharing"",""พิจิตร!I363"")"),0)</f>
        <v>0</v>
      </c>
      <c r="J468" s="188">
        <f ca="1">IFERROR(__xludf.DUMMYFUNCTION("IMPORTRANGE(""https://docs.google.com/spreadsheets/d/11923uPwbBZFjjGgGUA6NLw09EwE0CqkOc4q9oUmW1yo/edit?usp=sharing"",""พิจิตร!J363"")"),0)</f>
        <v>0</v>
      </c>
      <c r="K468" s="163">
        <f t="shared" ca="1" si="117"/>
        <v>0</v>
      </c>
      <c r="L468" s="181"/>
      <c r="M468" s="181"/>
      <c r="N468" s="181"/>
      <c r="O468" s="181"/>
      <c r="P468" s="181"/>
    </row>
    <row r="469" spans="1:16" ht="21.75" customHeight="1" x14ac:dyDescent="0.3">
      <c r="A469" s="400"/>
      <c r="B469" s="401"/>
      <c r="C469" s="401"/>
      <c r="D469" s="402"/>
      <c r="E469" s="195"/>
      <c r="F469" s="388" t="s">
        <v>169</v>
      </c>
      <c r="G469" s="419"/>
      <c r="H469" s="420" t="s">
        <v>122</v>
      </c>
      <c r="I469" s="202">
        <f ca="1">IFERROR(__xludf.DUMMYFUNCTION("IMPORTRANGE(""https://docs.google.com/spreadsheets/d/11923uPwbBZFjjGgGUA6NLw09EwE0CqkOc4q9oUmW1yo/edit?usp=sharing"",""พิจิตร!I364"")"),0)</f>
        <v>0</v>
      </c>
      <c r="J469" s="188">
        <f ca="1">IFERROR(__xludf.DUMMYFUNCTION("IMPORTRANGE(""https://docs.google.com/spreadsheets/d/11923uPwbBZFjjGgGUA6NLw09EwE0CqkOc4q9oUmW1yo/edit?usp=sharing"",""พิจิตร!J364"")"),0)</f>
        <v>0</v>
      </c>
      <c r="K469" s="163">
        <f t="shared" ca="1" si="117"/>
        <v>0</v>
      </c>
      <c r="L469" s="181"/>
      <c r="M469" s="181"/>
      <c r="N469" s="181"/>
      <c r="O469" s="181"/>
      <c r="P469" s="181"/>
    </row>
    <row r="470" spans="1:16" ht="21.75" customHeight="1" x14ac:dyDescent="0.3">
      <c r="A470" s="400"/>
      <c r="B470" s="401"/>
      <c r="C470" s="401"/>
      <c r="D470" s="402"/>
      <c r="E470" s="195"/>
      <c r="F470" s="195"/>
      <c r="G470" s="419"/>
      <c r="H470" s="420" t="s">
        <v>36</v>
      </c>
      <c r="I470" s="202">
        <f ca="1">IFERROR(__xludf.DUMMYFUNCTION("IMPORTRANGE(""https://docs.google.com/spreadsheets/d/11923uPwbBZFjjGgGUA6NLw09EwE0CqkOc4q9oUmW1yo/edit?usp=sharing"",""พิจิตร!I365"")"),0)</f>
        <v>0</v>
      </c>
      <c r="J470" s="188">
        <f ca="1">IFERROR(__xludf.DUMMYFUNCTION("IMPORTRANGE(""https://docs.google.com/spreadsheets/d/11923uPwbBZFjjGgGUA6NLw09EwE0CqkOc4q9oUmW1yo/edit?usp=sharing"",""พิจิตร!J365"")"),0)</f>
        <v>0</v>
      </c>
      <c r="K470" s="163">
        <f t="shared" ca="1" si="117"/>
        <v>0</v>
      </c>
      <c r="L470" s="181"/>
      <c r="M470" s="181"/>
      <c r="N470" s="181"/>
      <c r="O470" s="181"/>
      <c r="P470" s="181"/>
    </row>
    <row r="471" spans="1:16" ht="21.75" customHeight="1" x14ac:dyDescent="0.3">
      <c r="A471" s="400"/>
      <c r="B471" s="401"/>
      <c r="C471" s="401"/>
      <c r="D471" s="402"/>
      <c r="E471" s="195"/>
      <c r="F471" s="388" t="s">
        <v>170</v>
      </c>
      <c r="G471" s="419"/>
      <c r="H471" s="420" t="s">
        <v>122</v>
      </c>
      <c r="I471" s="202">
        <f ca="1">IFERROR(__xludf.DUMMYFUNCTION("IMPORTRANGE(""https://docs.google.com/spreadsheets/d/11923uPwbBZFjjGgGUA6NLw09EwE0CqkOc4q9oUmW1yo/edit?usp=sharing"",""พิจิตร!I366"")"),0)</f>
        <v>0</v>
      </c>
      <c r="J471" s="188">
        <f ca="1">IFERROR(__xludf.DUMMYFUNCTION("IMPORTRANGE(""https://docs.google.com/spreadsheets/d/11923uPwbBZFjjGgGUA6NLw09EwE0CqkOc4q9oUmW1yo/edit?usp=sharing"",""พิจิตร!J366"")"),0)</f>
        <v>0</v>
      </c>
      <c r="K471" s="163">
        <f t="shared" ca="1" si="117"/>
        <v>0</v>
      </c>
      <c r="L471" s="181"/>
      <c r="M471" s="181"/>
      <c r="N471" s="181"/>
      <c r="O471" s="181"/>
      <c r="P471" s="181"/>
    </row>
    <row r="472" spans="1:16" ht="21.75" customHeight="1" x14ac:dyDescent="0.3">
      <c r="A472" s="400"/>
      <c r="B472" s="401"/>
      <c r="C472" s="401"/>
      <c r="D472" s="402"/>
      <c r="E472" s="195"/>
      <c r="F472" s="195"/>
      <c r="G472" s="195"/>
      <c r="H472" s="420" t="s">
        <v>36</v>
      </c>
      <c r="I472" s="202">
        <f ca="1">IFERROR(__xludf.DUMMYFUNCTION("IMPORTRANGE(""https://docs.google.com/spreadsheets/d/11923uPwbBZFjjGgGUA6NLw09EwE0CqkOc4q9oUmW1yo/edit?usp=sharing"",""พิจิตร!I367"")"),0)</f>
        <v>0</v>
      </c>
      <c r="J472" s="188">
        <f ca="1">IFERROR(__xludf.DUMMYFUNCTION("IMPORTRANGE(""https://docs.google.com/spreadsheets/d/11923uPwbBZFjjGgGUA6NLw09EwE0CqkOc4q9oUmW1yo/edit?usp=sharing"",""พิจิตร!J367"")"),0)</f>
        <v>0</v>
      </c>
      <c r="K472" s="163">
        <f t="shared" ca="1" si="117"/>
        <v>0</v>
      </c>
      <c r="L472" s="181"/>
      <c r="M472" s="181"/>
      <c r="N472" s="181"/>
      <c r="O472" s="181"/>
      <c r="P472" s="181"/>
    </row>
    <row r="473" spans="1:16" ht="21.75" customHeight="1" x14ac:dyDescent="0.3">
      <c r="A473" s="400"/>
      <c r="B473" s="401"/>
      <c r="C473" s="401"/>
      <c r="D473" s="402"/>
      <c r="E473" s="289" t="s">
        <v>171</v>
      </c>
      <c r="F473" s="195"/>
      <c r="G473" s="196"/>
      <c r="H473" s="416" t="s">
        <v>122</v>
      </c>
      <c r="I473" s="418">
        <f ca="1">IFERROR(__xludf.DUMMYFUNCTION("IMPORTRANGE(""https://docs.google.com/spreadsheets/d/11923uPwbBZFjjGgGUA6NLw09EwE0CqkOc4q9oUmW1yo/edit?usp=sharing"",""พิจิตร!I368"")"),77223)</f>
        <v>77223</v>
      </c>
      <c r="J473" s="418">
        <f ca="1">IFERROR(__xludf.DUMMYFUNCTION("IMPORTRANGE(""https://docs.google.com/spreadsheets/d/11923uPwbBZFjjGgGUA6NLw09EwE0CqkOc4q9oUmW1yo/edit?usp=sharing"",""พิจิตร!J368"")"),0)</f>
        <v>0</v>
      </c>
      <c r="K473" s="201">
        <f t="shared" ca="1" si="117"/>
        <v>0</v>
      </c>
      <c r="L473" s="181"/>
      <c r="M473" s="181"/>
      <c r="N473" s="181"/>
      <c r="O473" s="181"/>
      <c r="P473" s="181"/>
    </row>
    <row r="474" spans="1:16" ht="21.75" customHeight="1" x14ac:dyDescent="0.3">
      <c r="A474" s="400"/>
      <c r="B474" s="401"/>
      <c r="C474" s="401"/>
      <c r="D474" s="402"/>
      <c r="E474" s="195"/>
      <c r="F474" s="195"/>
      <c r="G474" s="196"/>
      <c r="H474" s="416" t="s">
        <v>36</v>
      </c>
      <c r="I474" s="417">
        <f ca="1">IFERROR(__xludf.DUMMYFUNCTION("IMPORTRANGE(""https://docs.google.com/spreadsheets/d/11923uPwbBZFjjGgGUA6NLw09EwE0CqkOc4q9oUmW1yo/edit?usp=sharing"",""พิจิตร!I369"")"),7854)</f>
        <v>7854</v>
      </c>
      <c r="J474" s="418">
        <f ca="1">IFERROR(__xludf.DUMMYFUNCTION("IMPORTRANGE(""https://docs.google.com/spreadsheets/d/11923uPwbBZFjjGgGUA6NLw09EwE0CqkOc4q9oUmW1yo/edit?usp=sharing"",""พิจิตร!J369"")"),0)</f>
        <v>0</v>
      </c>
      <c r="K474" s="163">
        <f t="shared" ca="1" si="117"/>
        <v>0</v>
      </c>
      <c r="L474" s="181"/>
      <c r="M474" s="181"/>
      <c r="N474" s="181"/>
      <c r="O474" s="181"/>
      <c r="P474" s="181"/>
    </row>
    <row r="475" spans="1:16" ht="21.75" customHeight="1" x14ac:dyDescent="0.3">
      <c r="A475" s="400"/>
      <c r="B475" s="401"/>
      <c r="C475" s="401"/>
      <c r="D475" s="402"/>
      <c r="E475" s="195"/>
      <c r="F475" s="194" t="s">
        <v>172</v>
      </c>
      <c r="G475" s="419"/>
      <c r="H475" s="420" t="s">
        <v>122</v>
      </c>
      <c r="I475" s="202">
        <f ca="1">IFERROR(__xludf.DUMMYFUNCTION("IMPORTRANGE(""https://docs.google.com/spreadsheets/d/11923uPwbBZFjjGgGUA6NLw09EwE0CqkOc4q9oUmW1yo/edit?usp=sharing"",""พิจิตร!I370"")"),0)</f>
        <v>0</v>
      </c>
      <c r="J475" s="188">
        <f ca="1">IFERROR(__xludf.DUMMYFUNCTION("IMPORTRANGE(""https://docs.google.com/spreadsheets/d/11923uPwbBZFjjGgGUA6NLw09EwE0CqkOc4q9oUmW1yo/edit?usp=sharing"",""พิจิตร!J370"")"),0)</f>
        <v>0</v>
      </c>
      <c r="K475" s="163">
        <f t="shared" ca="1" si="117"/>
        <v>0</v>
      </c>
      <c r="L475" s="181"/>
      <c r="M475" s="181"/>
      <c r="N475" s="181"/>
      <c r="O475" s="181"/>
      <c r="P475" s="181"/>
    </row>
    <row r="476" spans="1:16" ht="21.75" customHeight="1" x14ac:dyDescent="0.3">
      <c r="A476" s="400"/>
      <c r="B476" s="401"/>
      <c r="C476" s="401"/>
      <c r="D476" s="402"/>
      <c r="E476" s="195"/>
      <c r="F476" s="195"/>
      <c r="G476" s="419"/>
      <c r="H476" s="420" t="s">
        <v>36</v>
      </c>
      <c r="I476" s="202">
        <f ca="1">IFERROR(__xludf.DUMMYFUNCTION("IMPORTRANGE(""https://docs.google.com/spreadsheets/d/11923uPwbBZFjjGgGUA6NLw09EwE0CqkOc4q9oUmW1yo/edit?usp=sharing"",""พิจิตร!I371"")"),0)</f>
        <v>0</v>
      </c>
      <c r="J476" s="188">
        <f ca="1">IFERROR(__xludf.DUMMYFUNCTION("IMPORTRANGE(""https://docs.google.com/spreadsheets/d/11923uPwbBZFjjGgGUA6NLw09EwE0CqkOc4q9oUmW1yo/edit?usp=sharing"",""พิจิตร!J371"")"),0)</f>
        <v>0</v>
      </c>
      <c r="K476" s="163">
        <f t="shared" ca="1" si="117"/>
        <v>0</v>
      </c>
      <c r="L476" s="181"/>
      <c r="M476" s="181"/>
      <c r="N476" s="181"/>
      <c r="O476" s="181"/>
      <c r="P476" s="181"/>
    </row>
    <row r="477" spans="1:16" ht="21.75" customHeight="1" x14ac:dyDescent="0.3">
      <c r="A477" s="400"/>
      <c r="B477" s="401"/>
      <c r="C477" s="401"/>
      <c r="D477" s="402"/>
      <c r="E477" s="195"/>
      <c r="F477" s="194" t="s">
        <v>173</v>
      </c>
      <c r="G477" s="419"/>
      <c r="H477" s="420" t="s">
        <v>122</v>
      </c>
      <c r="I477" s="202">
        <f ca="1">IFERROR(__xludf.DUMMYFUNCTION("IMPORTRANGE(""https://docs.google.com/spreadsheets/d/11923uPwbBZFjjGgGUA6NLw09EwE0CqkOc4q9oUmW1yo/edit?usp=sharing"",""พิจิตร!I372"")"),0)</f>
        <v>0</v>
      </c>
      <c r="J477" s="188">
        <f ca="1">IFERROR(__xludf.DUMMYFUNCTION("IMPORTRANGE(""https://docs.google.com/spreadsheets/d/11923uPwbBZFjjGgGUA6NLw09EwE0CqkOc4q9oUmW1yo/edit?usp=sharing"",""พิจิตร!J372"")"),0)</f>
        <v>0</v>
      </c>
      <c r="K477" s="163">
        <f t="shared" ca="1" si="117"/>
        <v>0</v>
      </c>
      <c r="L477" s="181"/>
      <c r="M477" s="181"/>
      <c r="N477" s="181"/>
      <c r="O477" s="181"/>
      <c r="P477" s="181"/>
    </row>
    <row r="478" spans="1:16" ht="21.75" customHeight="1" x14ac:dyDescent="0.3">
      <c r="A478" s="400"/>
      <c r="B478" s="401"/>
      <c r="C478" s="401"/>
      <c r="D478" s="402"/>
      <c r="E478" s="195"/>
      <c r="F478" s="195"/>
      <c r="G478" s="419"/>
      <c r="H478" s="420" t="s">
        <v>36</v>
      </c>
      <c r="I478" s="202">
        <f ca="1">IFERROR(__xludf.DUMMYFUNCTION("IMPORTRANGE(""https://docs.google.com/spreadsheets/d/11923uPwbBZFjjGgGUA6NLw09EwE0CqkOc4q9oUmW1yo/edit?usp=sharing"",""พิจิตร!I373"")"),0)</f>
        <v>0</v>
      </c>
      <c r="J478" s="188">
        <f ca="1">IFERROR(__xludf.DUMMYFUNCTION("IMPORTRANGE(""https://docs.google.com/spreadsheets/d/11923uPwbBZFjjGgGUA6NLw09EwE0CqkOc4q9oUmW1yo/edit?usp=sharing"",""พิจิตร!J373"")"),0)</f>
        <v>0</v>
      </c>
      <c r="K478" s="163">
        <f t="shared" ca="1" si="117"/>
        <v>0</v>
      </c>
      <c r="L478" s="181"/>
      <c r="M478" s="181"/>
      <c r="N478" s="181"/>
      <c r="O478" s="181"/>
      <c r="P478" s="181"/>
    </row>
    <row r="479" spans="1:16" ht="21.75" customHeight="1" x14ac:dyDescent="0.3">
      <c r="A479" s="400"/>
      <c r="B479" s="401"/>
      <c r="C479" s="401"/>
      <c r="D479" s="402"/>
      <c r="E479" s="195"/>
      <c r="F479" s="194" t="s">
        <v>174</v>
      </c>
      <c r="G479" s="419"/>
      <c r="H479" s="420" t="s">
        <v>122</v>
      </c>
      <c r="I479" s="202">
        <f ca="1">IFERROR(__xludf.DUMMYFUNCTION("IMPORTRANGE(""https://docs.google.com/spreadsheets/d/11923uPwbBZFjjGgGUA6NLw09EwE0CqkOc4q9oUmW1yo/edit?usp=sharing"",""พิจิตร!I374"")"),0)</f>
        <v>0</v>
      </c>
      <c r="J479" s="188">
        <f ca="1">IFERROR(__xludf.DUMMYFUNCTION("IMPORTRANGE(""https://docs.google.com/spreadsheets/d/11923uPwbBZFjjGgGUA6NLw09EwE0CqkOc4q9oUmW1yo/edit?usp=sharing"",""พิจิตร!J374"")"),0)</f>
        <v>0</v>
      </c>
      <c r="K479" s="163">
        <f t="shared" ca="1" si="117"/>
        <v>0</v>
      </c>
      <c r="L479" s="181"/>
      <c r="M479" s="181"/>
      <c r="N479" s="181"/>
      <c r="O479" s="181"/>
      <c r="P479" s="181"/>
    </row>
    <row r="480" spans="1:16" ht="21.75" customHeight="1" x14ac:dyDescent="0.3">
      <c r="A480" s="400"/>
      <c r="B480" s="401"/>
      <c r="C480" s="401"/>
      <c r="D480" s="402"/>
      <c r="E480" s="195"/>
      <c r="F480" s="195"/>
      <c r="G480" s="196"/>
      <c r="H480" s="420" t="s">
        <v>36</v>
      </c>
      <c r="I480" s="202">
        <f ca="1">IFERROR(__xludf.DUMMYFUNCTION("IMPORTRANGE(""https://docs.google.com/spreadsheets/d/11923uPwbBZFjjGgGUA6NLw09EwE0CqkOc4q9oUmW1yo/edit?usp=sharing"",""พิจิตร!I375"")"),0)</f>
        <v>0</v>
      </c>
      <c r="J480" s="188">
        <f ca="1">IFERROR(__xludf.DUMMYFUNCTION("IMPORTRANGE(""https://docs.google.com/spreadsheets/d/11923uPwbBZFjjGgGUA6NLw09EwE0CqkOc4q9oUmW1yo/edit?usp=sharing"",""พิจิตร!J375"")"),0)</f>
        <v>0</v>
      </c>
      <c r="K480" s="163">
        <f t="shared" ca="1" si="117"/>
        <v>0</v>
      </c>
      <c r="L480" s="181"/>
      <c r="M480" s="181"/>
      <c r="N480" s="181"/>
      <c r="O480" s="181"/>
      <c r="P480" s="181"/>
    </row>
    <row r="481" spans="1:16" ht="21.75" customHeight="1" x14ac:dyDescent="0.3">
      <c r="A481" s="421"/>
      <c r="B481" s="422"/>
      <c r="C481" s="422"/>
      <c r="D481" s="423"/>
      <c r="E481" s="424" t="s">
        <v>175</v>
      </c>
      <c r="F481" s="425"/>
      <c r="G481" s="426"/>
      <c r="H481" s="427" t="s">
        <v>122</v>
      </c>
      <c r="I481" s="418">
        <f ca="1">IFERROR(__xludf.DUMMYFUNCTION("IMPORTRANGE(""https://docs.google.com/spreadsheets/d/11923uPwbBZFjjGgGUA6NLw09EwE0CqkOc4q9oUmW1yo/edit?usp=sharing"",""พิจิตร!I376"")"),77223)</f>
        <v>77223</v>
      </c>
      <c r="J481" s="418">
        <f ca="1">IFERROR(__xludf.DUMMYFUNCTION("IMPORTRANGE(""https://docs.google.com/spreadsheets/d/11923uPwbBZFjjGgGUA6NLw09EwE0CqkOc4q9oUmW1yo/edit?usp=sharing"",""พิจิตร!J376"")"),0)</f>
        <v>0</v>
      </c>
      <c r="K481" s="201">
        <f t="shared" ca="1" si="117"/>
        <v>0</v>
      </c>
      <c r="L481" s="428"/>
      <c r="M481" s="428"/>
      <c r="N481" s="428"/>
      <c r="O481" s="428"/>
      <c r="P481" s="428"/>
    </row>
    <row r="482" spans="1:16" ht="21.75" customHeight="1" x14ac:dyDescent="0.3">
      <c r="A482" s="400"/>
      <c r="B482" s="401"/>
      <c r="C482" s="401"/>
      <c r="D482" s="402"/>
      <c r="E482" s="195"/>
      <c r="F482" s="195"/>
      <c r="G482" s="196"/>
      <c r="H482" s="416" t="s">
        <v>36</v>
      </c>
      <c r="I482" s="417">
        <f ca="1">IFERROR(__xludf.DUMMYFUNCTION("IMPORTRANGE(""https://docs.google.com/spreadsheets/d/11923uPwbBZFjjGgGUA6NLw09EwE0CqkOc4q9oUmW1yo/edit?usp=sharing"",""พิจิตร!I377"")"),7854)</f>
        <v>7854</v>
      </c>
      <c r="J482" s="418">
        <f ca="1">IFERROR(__xludf.DUMMYFUNCTION("IMPORTRANGE(""https://docs.google.com/spreadsheets/d/11923uPwbBZFjjGgGUA6NLw09EwE0CqkOc4q9oUmW1yo/edit?usp=sharing"",""พิจิตร!J377"")"),0)</f>
        <v>0</v>
      </c>
      <c r="K482" s="163">
        <f t="shared" ca="1" si="117"/>
        <v>0</v>
      </c>
      <c r="L482" s="181"/>
      <c r="M482" s="181"/>
      <c r="N482" s="181"/>
      <c r="O482" s="181"/>
      <c r="P482" s="181"/>
    </row>
    <row r="483" spans="1:16" ht="21.75" customHeight="1" x14ac:dyDescent="0.3">
      <c r="A483" s="400"/>
      <c r="B483" s="401"/>
      <c r="C483" s="401"/>
      <c r="D483" s="402"/>
      <c r="E483" s="195"/>
      <c r="F483" s="194" t="s">
        <v>176</v>
      </c>
      <c r="G483" s="419"/>
      <c r="H483" s="420" t="s">
        <v>122</v>
      </c>
      <c r="I483" s="202">
        <f ca="1">IFERROR(__xludf.DUMMYFUNCTION("IMPORTRANGE(""https://docs.google.com/spreadsheets/d/11923uPwbBZFjjGgGUA6NLw09EwE0CqkOc4q9oUmW1yo/edit?usp=sharing"",""พิจิตร!I378"")"),0)</f>
        <v>0</v>
      </c>
      <c r="J483" s="188">
        <f ca="1">IFERROR(__xludf.DUMMYFUNCTION("IMPORTRANGE(""https://docs.google.com/spreadsheets/d/11923uPwbBZFjjGgGUA6NLw09EwE0CqkOc4q9oUmW1yo/edit?usp=sharing"",""พิจิตร!J378"")"),0)</f>
        <v>0</v>
      </c>
      <c r="K483" s="163">
        <f t="shared" ca="1" si="117"/>
        <v>0</v>
      </c>
      <c r="L483" s="181"/>
      <c r="M483" s="181"/>
      <c r="N483" s="181"/>
      <c r="O483" s="181"/>
      <c r="P483" s="181"/>
    </row>
    <row r="484" spans="1:16" ht="21.75" customHeight="1" x14ac:dyDescent="0.3">
      <c r="A484" s="400"/>
      <c r="B484" s="401"/>
      <c r="C484" s="401"/>
      <c r="D484" s="402"/>
      <c r="E484" s="195"/>
      <c r="F484" s="195"/>
      <c r="G484" s="419"/>
      <c r="H484" s="420" t="s">
        <v>36</v>
      </c>
      <c r="I484" s="202">
        <f ca="1">IFERROR(__xludf.DUMMYFUNCTION("IMPORTRANGE(""https://docs.google.com/spreadsheets/d/11923uPwbBZFjjGgGUA6NLw09EwE0CqkOc4q9oUmW1yo/edit?usp=sharing"",""พิจิตร!I379"")"),0)</f>
        <v>0</v>
      </c>
      <c r="J484" s="188">
        <f ca="1">IFERROR(__xludf.DUMMYFUNCTION("IMPORTRANGE(""https://docs.google.com/spreadsheets/d/11923uPwbBZFjjGgGUA6NLw09EwE0CqkOc4q9oUmW1yo/edit?usp=sharing"",""พิจิตร!J379"")"),0)</f>
        <v>0</v>
      </c>
      <c r="K484" s="163">
        <f t="shared" ca="1" si="117"/>
        <v>0</v>
      </c>
      <c r="L484" s="181"/>
      <c r="M484" s="181"/>
      <c r="N484" s="181"/>
      <c r="O484" s="181"/>
      <c r="P484" s="181"/>
    </row>
    <row r="485" spans="1:16" ht="21.75" customHeight="1" x14ac:dyDescent="0.3">
      <c r="A485" s="400"/>
      <c r="B485" s="401"/>
      <c r="C485" s="401"/>
      <c r="D485" s="402"/>
      <c r="E485" s="195"/>
      <c r="F485" s="194" t="s">
        <v>177</v>
      </c>
      <c r="G485" s="419"/>
      <c r="H485" s="420" t="s">
        <v>122</v>
      </c>
      <c r="I485" s="202">
        <f ca="1">IFERROR(__xludf.DUMMYFUNCTION("IMPORTRANGE(""https://docs.google.com/spreadsheets/d/11923uPwbBZFjjGgGUA6NLw09EwE0CqkOc4q9oUmW1yo/edit?usp=sharing"",""พิจิตร!I380"")"),0)</f>
        <v>0</v>
      </c>
      <c r="J485" s="188">
        <f ca="1">IFERROR(__xludf.DUMMYFUNCTION("IMPORTRANGE(""https://docs.google.com/spreadsheets/d/11923uPwbBZFjjGgGUA6NLw09EwE0CqkOc4q9oUmW1yo/edit?usp=sharing"",""พิจิตร!J380"")"),0)</f>
        <v>0</v>
      </c>
      <c r="K485" s="163">
        <f t="shared" ca="1" si="117"/>
        <v>0</v>
      </c>
      <c r="L485" s="181"/>
      <c r="M485" s="181"/>
      <c r="N485" s="181"/>
      <c r="O485" s="181"/>
      <c r="P485" s="181"/>
    </row>
    <row r="486" spans="1:16" ht="21.75" customHeight="1" x14ac:dyDescent="0.3">
      <c r="A486" s="400"/>
      <c r="B486" s="401"/>
      <c r="C486" s="401"/>
      <c r="D486" s="402"/>
      <c r="E486" s="195"/>
      <c r="F486" s="195"/>
      <c r="G486" s="419"/>
      <c r="H486" s="420" t="s">
        <v>36</v>
      </c>
      <c r="I486" s="202">
        <f ca="1">IFERROR(__xludf.DUMMYFUNCTION("IMPORTRANGE(""https://docs.google.com/spreadsheets/d/11923uPwbBZFjjGgGUA6NLw09EwE0CqkOc4q9oUmW1yo/edit?usp=sharing"",""พิจิตร!I381"")"),0)</f>
        <v>0</v>
      </c>
      <c r="J486" s="188">
        <f ca="1">IFERROR(__xludf.DUMMYFUNCTION("IMPORTRANGE(""https://docs.google.com/spreadsheets/d/11923uPwbBZFjjGgGUA6NLw09EwE0CqkOc4q9oUmW1yo/edit?usp=sharing"",""พิจิตร!J381"")"),0)</f>
        <v>0</v>
      </c>
      <c r="K486" s="163">
        <f t="shared" ca="1" si="117"/>
        <v>0</v>
      </c>
      <c r="L486" s="181"/>
      <c r="M486" s="181"/>
      <c r="N486" s="181"/>
      <c r="O486" s="181"/>
      <c r="P486" s="181"/>
    </row>
    <row r="487" spans="1:16" ht="21.75" customHeight="1" x14ac:dyDescent="0.3">
      <c r="A487" s="400"/>
      <c r="B487" s="401"/>
      <c r="C487" s="401"/>
      <c r="D487" s="402"/>
      <c r="E487" s="195"/>
      <c r="F487" s="194" t="s">
        <v>178</v>
      </c>
      <c r="G487" s="419"/>
      <c r="H487" s="420" t="s">
        <v>122</v>
      </c>
      <c r="I487" s="202">
        <f ca="1">IFERROR(__xludf.DUMMYFUNCTION("IMPORTRANGE(""https://docs.google.com/spreadsheets/d/11923uPwbBZFjjGgGUA6NLw09EwE0CqkOc4q9oUmW1yo/edit?usp=sharing"",""พิจิตร!I382"")"),0)</f>
        <v>0</v>
      </c>
      <c r="J487" s="418">
        <f ca="1">IFERROR(__xludf.DUMMYFUNCTION("IMPORTRANGE(""https://docs.google.com/spreadsheets/d/11923uPwbBZFjjGgGUA6NLw09EwE0CqkOc4q9oUmW1yo/edit?usp=sharing"",""พิจิตร!J382"")"),0)</f>
        <v>0</v>
      </c>
      <c r="K487" s="163">
        <f t="shared" ca="1" si="117"/>
        <v>0</v>
      </c>
      <c r="L487" s="181"/>
      <c r="M487" s="181"/>
      <c r="N487" s="181"/>
      <c r="O487" s="181"/>
      <c r="P487" s="181"/>
    </row>
    <row r="488" spans="1:16" ht="21.75" customHeight="1" x14ac:dyDescent="0.3">
      <c r="A488" s="400"/>
      <c r="B488" s="401"/>
      <c r="C488" s="401"/>
      <c r="D488" s="402"/>
      <c r="E488" s="195"/>
      <c r="F488" s="195"/>
      <c r="G488" s="195"/>
      <c r="H488" s="420" t="s">
        <v>36</v>
      </c>
      <c r="I488" s="202">
        <f ca="1">IFERROR(__xludf.DUMMYFUNCTION("IMPORTRANGE(""https://docs.google.com/spreadsheets/d/11923uPwbBZFjjGgGUA6NLw09EwE0CqkOc4q9oUmW1yo/edit?usp=sharing"",""พิจิตร!I383"")"),0)</f>
        <v>0</v>
      </c>
      <c r="J488" s="418">
        <f ca="1">IFERROR(__xludf.DUMMYFUNCTION("IMPORTRANGE(""https://docs.google.com/spreadsheets/d/11923uPwbBZFjjGgGUA6NLw09EwE0CqkOc4q9oUmW1yo/edit?usp=sharing"",""พิจิตร!J383"")"),0)</f>
        <v>0</v>
      </c>
      <c r="K488" s="163">
        <f t="shared" ca="1" si="117"/>
        <v>0</v>
      </c>
      <c r="L488" s="181"/>
      <c r="M488" s="181"/>
      <c r="N488" s="181"/>
      <c r="O488" s="181"/>
      <c r="P488" s="181"/>
    </row>
    <row r="489" spans="1:16" ht="21.75" customHeight="1" x14ac:dyDescent="0.3">
      <c r="A489" s="400"/>
      <c r="B489" s="401"/>
      <c r="C489" s="401"/>
      <c r="D489" s="402"/>
      <c r="E489" s="195"/>
      <c r="F489" s="195"/>
      <c r="G489" s="194" t="s">
        <v>179</v>
      </c>
      <c r="H489" s="420" t="s">
        <v>122</v>
      </c>
      <c r="I489" s="202">
        <f ca="1">IFERROR(__xludf.DUMMYFUNCTION("IMPORTRANGE(""https://docs.google.com/spreadsheets/d/11923uPwbBZFjjGgGUA6NLw09EwE0CqkOc4q9oUmW1yo/edit?usp=sharing"",""พิจิตร!I384"")"),0)</f>
        <v>0</v>
      </c>
      <c r="J489" s="188">
        <f ca="1">IFERROR(__xludf.DUMMYFUNCTION("IMPORTRANGE(""https://docs.google.com/spreadsheets/d/11923uPwbBZFjjGgGUA6NLw09EwE0CqkOc4q9oUmW1yo/edit?usp=sharing"",""พิจิตร!J384"")"),0)</f>
        <v>0</v>
      </c>
      <c r="K489" s="163">
        <f t="shared" ca="1" si="117"/>
        <v>0</v>
      </c>
      <c r="L489" s="181"/>
      <c r="M489" s="181"/>
      <c r="N489" s="181"/>
      <c r="O489" s="181"/>
      <c r="P489" s="181"/>
    </row>
    <row r="490" spans="1:16" ht="21.75" customHeight="1" x14ac:dyDescent="0.3">
      <c r="A490" s="400"/>
      <c r="B490" s="401"/>
      <c r="C490" s="401"/>
      <c r="D490" s="402"/>
      <c r="E490" s="195"/>
      <c r="F490" s="195"/>
      <c r="G490" s="195"/>
      <c r="H490" s="420" t="s">
        <v>36</v>
      </c>
      <c r="I490" s="202">
        <f ca="1">IFERROR(__xludf.DUMMYFUNCTION("IMPORTRANGE(""https://docs.google.com/spreadsheets/d/11923uPwbBZFjjGgGUA6NLw09EwE0CqkOc4q9oUmW1yo/edit?usp=sharing"",""พิจิตร!I385"")"),0)</f>
        <v>0</v>
      </c>
      <c r="J490" s="188">
        <f ca="1">IFERROR(__xludf.DUMMYFUNCTION("IMPORTRANGE(""https://docs.google.com/spreadsheets/d/11923uPwbBZFjjGgGUA6NLw09EwE0CqkOc4q9oUmW1yo/edit?usp=sharing"",""พิจิตร!J385"")"),0)</f>
        <v>0</v>
      </c>
      <c r="K490" s="163">
        <f t="shared" ca="1" si="117"/>
        <v>0</v>
      </c>
      <c r="L490" s="181"/>
      <c r="M490" s="181"/>
      <c r="N490" s="181"/>
      <c r="O490" s="181"/>
      <c r="P490" s="181"/>
    </row>
    <row r="491" spans="1:16" ht="21.75" customHeight="1" x14ac:dyDescent="0.3">
      <c r="A491" s="400"/>
      <c r="B491" s="401"/>
      <c r="C491" s="401"/>
      <c r="D491" s="402"/>
      <c r="E491" s="195"/>
      <c r="F491" s="195"/>
      <c r="G491" s="194" t="s">
        <v>180</v>
      </c>
      <c r="H491" s="420" t="s">
        <v>122</v>
      </c>
      <c r="I491" s="202">
        <f ca="1">IFERROR(__xludf.DUMMYFUNCTION("IMPORTRANGE(""https://docs.google.com/spreadsheets/d/11923uPwbBZFjjGgGUA6NLw09EwE0CqkOc4q9oUmW1yo/edit?usp=sharing"",""พิจิตร!I386"")"),0)</f>
        <v>0</v>
      </c>
      <c r="J491" s="188">
        <f ca="1">IFERROR(__xludf.DUMMYFUNCTION("IMPORTRANGE(""https://docs.google.com/spreadsheets/d/11923uPwbBZFjjGgGUA6NLw09EwE0CqkOc4q9oUmW1yo/edit?usp=sharing"",""พิจิตร!J386"")"),0)</f>
        <v>0</v>
      </c>
      <c r="K491" s="163">
        <f t="shared" ca="1" si="117"/>
        <v>0</v>
      </c>
      <c r="L491" s="181"/>
      <c r="M491" s="181"/>
      <c r="N491" s="181"/>
      <c r="O491" s="181"/>
      <c r="P491" s="181"/>
    </row>
    <row r="492" spans="1:16" ht="21.75" customHeight="1" x14ac:dyDescent="0.3">
      <c r="A492" s="400"/>
      <c r="B492" s="401"/>
      <c r="C492" s="401"/>
      <c r="D492" s="402"/>
      <c r="E492" s="195"/>
      <c r="F492" s="195"/>
      <c r="G492" s="196"/>
      <c r="H492" s="420" t="s">
        <v>36</v>
      </c>
      <c r="I492" s="202">
        <f ca="1">IFERROR(__xludf.DUMMYFUNCTION("IMPORTRANGE(""https://docs.google.com/spreadsheets/d/11923uPwbBZFjjGgGUA6NLw09EwE0CqkOc4q9oUmW1yo/edit?usp=sharing"",""พิจิตร!I387"")"),0)</f>
        <v>0</v>
      </c>
      <c r="J492" s="188">
        <f ca="1">IFERROR(__xludf.DUMMYFUNCTION("IMPORTRANGE(""https://docs.google.com/spreadsheets/d/11923uPwbBZFjjGgGUA6NLw09EwE0CqkOc4q9oUmW1yo/edit?usp=sharing"",""พิจิตร!J387"")"),0)</f>
        <v>0</v>
      </c>
      <c r="K492" s="163">
        <f t="shared" ca="1" si="117"/>
        <v>0</v>
      </c>
      <c r="L492" s="181"/>
      <c r="M492" s="181"/>
      <c r="N492" s="181"/>
      <c r="O492" s="181"/>
      <c r="P492" s="181"/>
    </row>
    <row r="493" spans="1:16" ht="21.75" customHeight="1" x14ac:dyDescent="0.3">
      <c r="A493" s="400"/>
      <c r="B493" s="401"/>
      <c r="C493" s="401"/>
      <c r="D493" s="402"/>
      <c r="E493" s="195"/>
      <c r="F493" s="194" t="s">
        <v>181</v>
      </c>
      <c r="G493" s="419"/>
      <c r="H493" s="420" t="s">
        <v>122</v>
      </c>
      <c r="I493" s="202">
        <f ca="1">IFERROR(__xludf.DUMMYFUNCTION("IMPORTRANGE(""https://docs.google.com/spreadsheets/d/11923uPwbBZFjjGgGUA6NLw09EwE0CqkOc4q9oUmW1yo/edit?usp=sharing"",""พิจิตร!I388"")"),0)</f>
        <v>0</v>
      </c>
      <c r="J493" s="188">
        <f ca="1">IFERROR(__xludf.DUMMYFUNCTION("IMPORTRANGE(""https://docs.google.com/spreadsheets/d/11923uPwbBZFjjGgGUA6NLw09EwE0CqkOc4q9oUmW1yo/edit?usp=sharing"",""พิจิตร!J388"")"),0)</f>
        <v>0</v>
      </c>
      <c r="K493" s="163">
        <f t="shared" ca="1" si="117"/>
        <v>0</v>
      </c>
      <c r="L493" s="181"/>
      <c r="M493" s="181"/>
      <c r="N493" s="181"/>
      <c r="O493" s="181"/>
      <c r="P493" s="181"/>
    </row>
    <row r="494" spans="1:16" ht="21.75" customHeight="1" x14ac:dyDescent="0.3">
      <c r="A494" s="429"/>
      <c r="B494" s="430"/>
      <c r="C494" s="430"/>
      <c r="D494" s="431"/>
      <c r="E494" s="345"/>
      <c r="F494" s="345"/>
      <c r="G494" s="345"/>
      <c r="H494" s="432" t="s">
        <v>36</v>
      </c>
      <c r="I494" s="433">
        <f ca="1">IFERROR(__xludf.DUMMYFUNCTION("IMPORTRANGE(""https://docs.google.com/spreadsheets/d/11923uPwbBZFjjGgGUA6NLw09EwE0CqkOc4q9oUmW1yo/edit?usp=sharing"",""พิจิตร!I389"")"),0)</f>
        <v>0</v>
      </c>
      <c r="J494" s="434">
        <f ca="1">IFERROR(__xludf.DUMMYFUNCTION("IMPORTRANGE(""https://docs.google.com/spreadsheets/d/11923uPwbBZFjjGgGUA6NLw09EwE0CqkOc4q9oUmW1yo/edit?usp=sharing"",""พิจิตร!J389"")"),0)</f>
        <v>0</v>
      </c>
      <c r="K494" s="286">
        <f t="shared" ca="1" si="117"/>
        <v>0</v>
      </c>
      <c r="L494" s="244"/>
      <c r="M494" s="244"/>
      <c r="N494" s="244"/>
      <c r="O494" s="244"/>
      <c r="P494" s="244"/>
    </row>
    <row r="495" spans="1:16" ht="21.75" customHeight="1" x14ac:dyDescent="0.3">
      <c r="A495" s="400"/>
      <c r="B495" s="401"/>
      <c r="C495" s="401"/>
      <c r="D495" s="402"/>
      <c r="E495" s="195"/>
      <c r="F495" s="195">
        <v>3.5</v>
      </c>
      <c r="G495" s="419" t="s">
        <v>182</v>
      </c>
      <c r="H495" s="420" t="s">
        <v>122</v>
      </c>
      <c r="I495" s="433">
        <f ca="1">IFERROR(__xludf.DUMMYFUNCTION("IMPORTRANGE(""https://docs.google.com/spreadsheets/d/11923uPwbBZFjjGgGUA6NLw09EwE0CqkOc4q9oUmW1yo/edit?usp=sharing"",""พิจิตร!I390"")"),0)</f>
        <v>0</v>
      </c>
      <c r="J495" s="434">
        <f ca="1">IFERROR(__xludf.DUMMYFUNCTION("IMPORTRANGE(""https://docs.google.com/spreadsheets/d/11923uPwbBZFjjGgGUA6NLw09EwE0CqkOc4q9oUmW1yo/edit?usp=sharing"",""พิจิตร!J390"")"),0)</f>
        <v>0</v>
      </c>
      <c r="K495" s="163">
        <f t="shared" ca="1" si="117"/>
        <v>0</v>
      </c>
      <c r="L495" s="181"/>
      <c r="M495" s="181"/>
      <c r="N495" s="181"/>
      <c r="O495" s="181"/>
      <c r="P495" s="181"/>
    </row>
    <row r="496" spans="1:16" ht="21.75" customHeight="1" x14ac:dyDescent="0.3">
      <c r="A496" s="429"/>
      <c r="B496" s="430"/>
      <c r="C496" s="430"/>
      <c r="D496" s="431"/>
      <c r="E496" s="345"/>
      <c r="F496" s="345"/>
      <c r="G496" s="345"/>
      <c r="H496" s="432" t="s">
        <v>36</v>
      </c>
      <c r="I496" s="433">
        <f ca="1">IFERROR(__xludf.DUMMYFUNCTION("IMPORTRANGE(""https://docs.google.com/spreadsheets/d/11923uPwbBZFjjGgGUA6NLw09EwE0CqkOc4q9oUmW1yo/edit?usp=sharing"",""พิจิตร!I391"")"),0)</f>
        <v>0</v>
      </c>
      <c r="J496" s="434">
        <f ca="1">IFERROR(__xludf.DUMMYFUNCTION("IMPORTRANGE(""https://docs.google.com/spreadsheets/d/11923uPwbBZFjjGgGUA6NLw09EwE0CqkOc4q9oUmW1yo/edit?usp=sharing"",""พิจิตร!J391"")"),0)</f>
        <v>0</v>
      </c>
      <c r="K496" s="286">
        <f t="shared" ca="1" si="117"/>
        <v>0</v>
      </c>
      <c r="L496" s="244"/>
      <c r="M496" s="244"/>
      <c r="N496" s="244"/>
      <c r="O496" s="244"/>
      <c r="P496" s="244"/>
    </row>
    <row r="497" spans="1:16" ht="21.75" customHeight="1" x14ac:dyDescent="0.3">
      <c r="A497" s="435"/>
      <c r="B497" s="436"/>
      <c r="C497" s="437" t="s">
        <v>183</v>
      </c>
      <c r="D497" s="437"/>
      <c r="E497" s="438"/>
      <c r="F497" s="438"/>
      <c r="G497" s="439"/>
      <c r="H497" s="440" t="s">
        <v>122</v>
      </c>
      <c r="I497" s="441">
        <f ca="1">IFERROR(__xludf.DUMMYFUNCTION("IMPORTRANGE(""https://docs.google.com/spreadsheets/d/11923uPwbBZFjjGgGUA6NLw09EwE0CqkOc4q9oUmW1yo/edit?usp=sharing"",""พิจิตร!I392"")"),1124)</f>
        <v>1124</v>
      </c>
      <c r="J497" s="441">
        <f ca="1">IFERROR(__xludf.DUMMYFUNCTION("IMPORTRANGE(""https://docs.google.com/spreadsheets/d/11923uPwbBZFjjGgGUA6NLw09EwE0CqkOc4q9oUmW1yo/edit?usp=sharing"",""พิจิตร!J392"")"),0)</f>
        <v>0</v>
      </c>
      <c r="K497" s="442">
        <f t="shared" ca="1" si="117"/>
        <v>0</v>
      </c>
      <c r="L497" s="443"/>
      <c r="M497" s="443"/>
      <c r="N497" s="443"/>
      <c r="O497" s="443"/>
      <c r="P497" s="443"/>
    </row>
    <row r="498" spans="1:16" ht="21.75" customHeight="1" x14ac:dyDescent="0.3">
      <c r="A498" s="175"/>
      <c r="B498" s="176"/>
      <c r="C498" s="176"/>
      <c r="D498" s="402"/>
      <c r="E498" s="444" t="s">
        <v>184</v>
      </c>
      <c r="F498" s="445"/>
      <c r="G498" s="446"/>
      <c r="H498" s="447" t="s">
        <v>122</v>
      </c>
      <c r="I498" s="418">
        <f ca="1">IFERROR(__xludf.DUMMYFUNCTION("IMPORTRANGE(""https://docs.google.com/spreadsheets/d/11923uPwbBZFjjGgGUA6NLw09EwE0CqkOc4q9oUmW1yo/edit?usp=sharing"",""พิจิตร!I393"")"),1124)</f>
        <v>1124</v>
      </c>
      <c r="J498" s="418">
        <f ca="1">IFERROR(__xludf.DUMMYFUNCTION("IMPORTRANGE(""https://docs.google.com/spreadsheets/d/11923uPwbBZFjjGgGUA6NLw09EwE0CqkOc4q9oUmW1yo/edit?usp=sharing"",""พิจิตร!J393"")"),0)</f>
        <v>0</v>
      </c>
      <c r="K498" s="163">
        <f t="shared" ca="1" si="117"/>
        <v>0</v>
      </c>
      <c r="L498" s="181"/>
      <c r="M498" s="181"/>
      <c r="N498" s="181"/>
      <c r="O498" s="181"/>
      <c r="P498" s="181"/>
    </row>
    <row r="499" spans="1:16" ht="21.75" customHeight="1" x14ac:dyDescent="0.3">
      <c r="A499" s="175"/>
      <c r="B499" s="176"/>
      <c r="C499" s="176"/>
      <c r="D499" s="193"/>
      <c r="E499" s="445"/>
      <c r="F499" s="445"/>
      <c r="G499" s="446"/>
      <c r="H499" s="447" t="s">
        <v>36</v>
      </c>
      <c r="I499" s="418">
        <f ca="1">IFERROR(__xludf.DUMMYFUNCTION("IMPORTRANGE(""https://docs.google.com/spreadsheets/d/11923uPwbBZFjjGgGUA6NLw09EwE0CqkOc4q9oUmW1yo/edit?usp=sharing"",""พิจิตร!I394"")"),58)</f>
        <v>58</v>
      </c>
      <c r="J499" s="418">
        <f ca="1">IFERROR(__xludf.DUMMYFUNCTION("IMPORTRANGE(""https://docs.google.com/spreadsheets/d/11923uPwbBZFjjGgGUA6NLw09EwE0CqkOc4q9oUmW1yo/edit?usp=sharing"",""พิจิตร!J394"")"),0)</f>
        <v>0</v>
      </c>
      <c r="K499" s="201">
        <f t="shared" ca="1" si="117"/>
        <v>0</v>
      </c>
      <c r="L499" s="181"/>
      <c r="M499" s="181"/>
      <c r="N499" s="181"/>
      <c r="O499" s="181"/>
      <c r="P499" s="181"/>
    </row>
    <row r="500" spans="1:16" ht="21.75" customHeight="1" x14ac:dyDescent="0.3">
      <c r="A500" s="175"/>
      <c r="B500" s="176"/>
      <c r="C500" s="176"/>
      <c r="D500" s="402"/>
      <c r="E500" s="402" t="s">
        <v>185</v>
      </c>
      <c r="F500" s="195"/>
      <c r="G500" s="196"/>
      <c r="H500" s="420" t="s">
        <v>122</v>
      </c>
      <c r="I500" s="202">
        <f ca="1">IFERROR(__xludf.DUMMYFUNCTION("IMPORTRANGE(""https://docs.google.com/spreadsheets/d/11923uPwbBZFjjGgGUA6NLw09EwE0CqkOc4q9oUmW1yo/edit?usp=sharing"",""พิจิตร!I395"")"),0)</f>
        <v>0</v>
      </c>
      <c r="J500" s="162">
        <f ca="1">IFERROR(__xludf.DUMMYFUNCTION("IMPORTRANGE(""https://docs.google.com/spreadsheets/d/11923uPwbBZFjjGgGUA6NLw09EwE0CqkOc4q9oUmW1yo/edit?usp=sharing"",""พิจิตร!J395"")"),0)</f>
        <v>0</v>
      </c>
      <c r="K500" s="163">
        <f t="shared" ca="1" si="117"/>
        <v>0</v>
      </c>
      <c r="L500" s="181"/>
      <c r="M500" s="181"/>
      <c r="N500" s="181"/>
      <c r="O500" s="181"/>
      <c r="P500" s="181"/>
    </row>
    <row r="501" spans="1:16" ht="21.75" customHeight="1" x14ac:dyDescent="0.3">
      <c r="A501" s="175"/>
      <c r="B501" s="176"/>
      <c r="C501" s="176"/>
      <c r="D501" s="193"/>
      <c r="E501" s="195"/>
      <c r="F501" s="195"/>
      <c r="G501" s="196"/>
      <c r="H501" s="420" t="s">
        <v>36</v>
      </c>
      <c r="I501" s="202">
        <f ca="1">IFERROR(__xludf.DUMMYFUNCTION("IMPORTRANGE(""https://docs.google.com/spreadsheets/d/11923uPwbBZFjjGgGUA6NLw09EwE0CqkOc4q9oUmW1yo/edit?usp=sharing"",""พิจิตร!I396"")"),0)</f>
        <v>0</v>
      </c>
      <c r="J501" s="162">
        <f ca="1">IFERROR(__xludf.DUMMYFUNCTION("IMPORTRANGE(""https://docs.google.com/spreadsheets/d/11923uPwbBZFjjGgGUA6NLw09EwE0CqkOc4q9oUmW1yo/edit?usp=sharing"",""พิจิตร!J396"")"),0)</f>
        <v>0</v>
      </c>
      <c r="K501" s="163">
        <f t="shared" ca="1" si="117"/>
        <v>0</v>
      </c>
      <c r="L501" s="181"/>
      <c r="M501" s="181"/>
      <c r="N501" s="181"/>
      <c r="O501" s="181"/>
      <c r="P501" s="181"/>
    </row>
    <row r="502" spans="1:16" ht="21.75" customHeight="1" x14ac:dyDescent="0.3">
      <c r="A502" s="175"/>
      <c r="B502" s="176"/>
      <c r="C502" s="176"/>
      <c r="D502" s="193"/>
      <c r="E502" s="195"/>
      <c r="F502" s="397" t="s">
        <v>186</v>
      </c>
      <c r="G502" s="419"/>
      <c r="H502" s="420" t="s">
        <v>122</v>
      </c>
      <c r="I502" s="202">
        <f ca="1">IFERROR(__xludf.DUMMYFUNCTION("IMPORTRANGE(""https://docs.google.com/spreadsheets/d/11923uPwbBZFjjGgGUA6NLw09EwE0CqkOc4q9oUmW1yo/edit?usp=sharing"",""พิจิตร!I397"")"),0)</f>
        <v>0</v>
      </c>
      <c r="J502" s="188">
        <f ca="1">IFERROR(__xludf.DUMMYFUNCTION("IMPORTRANGE(""https://docs.google.com/spreadsheets/d/11923uPwbBZFjjGgGUA6NLw09EwE0CqkOc4q9oUmW1yo/edit?usp=sharing"",""พิจิตร!J397"")"),0)</f>
        <v>0</v>
      </c>
      <c r="K502" s="163">
        <f t="shared" ca="1" si="117"/>
        <v>0</v>
      </c>
      <c r="L502" s="181"/>
      <c r="M502" s="181"/>
      <c r="N502" s="181"/>
      <c r="O502" s="181"/>
      <c r="P502" s="181"/>
    </row>
    <row r="503" spans="1:16" ht="21.75" customHeight="1" x14ac:dyDescent="0.3">
      <c r="A503" s="175"/>
      <c r="B503" s="176"/>
      <c r="C503" s="176"/>
      <c r="D503" s="193"/>
      <c r="E503" s="195"/>
      <c r="F503" s="195"/>
      <c r="G503" s="419"/>
      <c r="H503" s="420" t="s">
        <v>36</v>
      </c>
      <c r="I503" s="187">
        <f ca="1">IFERROR(__xludf.DUMMYFUNCTION("IMPORTRANGE(""https://docs.google.com/spreadsheets/d/11923uPwbBZFjjGgGUA6NLw09EwE0CqkOc4q9oUmW1yo/edit?usp=sharing"",""พิจิตร!I398"")"),0)</f>
        <v>0</v>
      </c>
      <c r="J503" s="197">
        <f ca="1">IFERROR(__xludf.DUMMYFUNCTION("IMPORTRANGE(""https://docs.google.com/spreadsheets/d/11923uPwbBZFjjGgGUA6NLw09EwE0CqkOc4q9oUmW1yo/edit?usp=sharing"",""พิจิตร!J398"")"),0)</f>
        <v>0</v>
      </c>
      <c r="K503" s="163">
        <f t="shared" ca="1" si="117"/>
        <v>0</v>
      </c>
      <c r="L503" s="181"/>
      <c r="M503" s="181"/>
      <c r="N503" s="181"/>
      <c r="O503" s="181"/>
      <c r="P503" s="181"/>
    </row>
    <row r="504" spans="1:16" ht="21.75" customHeight="1" x14ac:dyDescent="0.3">
      <c r="A504" s="175"/>
      <c r="B504" s="176"/>
      <c r="C504" s="176"/>
      <c r="D504" s="193"/>
      <c r="E504" s="195"/>
      <c r="F504" s="388" t="s">
        <v>187</v>
      </c>
      <c r="G504" s="419"/>
      <c r="H504" s="420" t="s">
        <v>122</v>
      </c>
      <c r="I504" s="203">
        <f ca="1">IFERROR(__xludf.DUMMYFUNCTION("IMPORTRANGE(""https://docs.google.com/spreadsheets/d/11923uPwbBZFjjGgGUA6NLw09EwE0CqkOc4q9oUmW1yo/edit?usp=sharing"",""พิจิตร!I399"")"),0)</f>
        <v>0</v>
      </c>
      <c r="J504" s="188">
        <f ca="1">IFERROR(__xludf.DUMMYFUNCTION("IMPORTRANGE(""https://docs.google.com/spreadsheets/d/11923uPwbBZFjjGgGUA6NLw09EwE0CqkOc4q9oUmW1yo/edit?usp=sharing"",""พิจิตร!J399"")"),0)</f>
        <v>0</v>
      </c>
      <c r="K504" s="163">
        <f t="shared" ca="1" si="117"/>
        <v>0</v>
      </c>
      <c r="L504" s="181"/>
      <c r="M504" s="181"/>
      <c r="N504" s="181"/>
      <c r="O504" s="181"/>
      <c r="P504" s="181"/>
    </row>
    <row r="505" spans="1:16" ht="21.75" customHeight="1" x14ac:dyDescent="0.3">
      <c r="A505" s="175"/>
      <c r="B505" s="176"/>
      <c r="C505" s="176"/>
      <c r="D505" s="193"/>
      <c r="E505" s="195"/>
      <c r="F505" s="195"/>
      <c r="G505" s="419"/>
      <c r="H505" s="420" t="s">
        <v>36</v>
      </c>
      <c r="I505" s="187">
        <f ca="1">IFERROR(__xludf.DUMMYFUNCTION("IMPORTRANGE(""https://docs.google.com/spreadsheets/d/11923uPwbBZFjjGgGUA6NLw09EwE0CqkOc4q9oUmW1yo/edit?usp=sharing"",""พิจิตร!I400"")"),0)</f>
        <v>0</v>
      </c>
      <c r="J505" s="197">
        <f ca="1">IFERROR(__xludf.DUMMYFUNCTION("IMPORTRANGE(""https://docs.google.com/spreadsheets/d/11923uPwbBZFjjGgGUA6NLw09EwE0CqkOc4q9oUmW1yo/edit?usp=sharing"",""พิจิตร!J400"")"),0)</f>
        <v>0</v>
      </c>
      <c r="K505" s="163">
        <f t="shared" ca="1" si="117"/>
        <v>0</v>
      </c>
      <c r="L505" s="181"/>
      <c r="M505" s="181"/>
      <c r="N505" s="181"/>
      <c r="O505" s="181"/>
      <c r="P505" s="181"/>
    </row>
    <row r="506" spans="1:16" ht="21.75" customHeight="1" x14ac:dyDescent="0.3">
      <c r="A506" s="175"/>
      <c r="B506" s="176"/>
      <c r="C506" s="176"/>
      <c r="D506" s="193"/>
      <c r="E506" s="195"/>
      <c r="F506" s="397" t="s">
        <v>188</v>
      </c>
      <c r="G506" s="419"/>
      <c r="H506" s="420" t="s">
        <v>122</v>
      </c>
      <c r="I506" s="203">
        <f ca="1">IFERROR(__xludf.DUMMYFUNCTION("IMPORTRANGE(""https://docs.google.com/spreadsheets/d/11923uPwbBZFjjGgGUA6NLw09EwE0CqkOc4q9oUmW1yo/edit?usp=sharing"",""พิจิตร!I401"")"),0)</f>
        <v>0</v>
      </c>
      <c r="J506" s="188">
        <f ca="1">IFERROR(__xludf.DUMMYFUNCTION("IMPORTRANGE(""https://docs.google.com/spreadsheets/d/11923uPwbBZFjjGgGUA6NLw09EwE0CqkOc4q9oUmW1yo/edit?usp=sharing"",""พิจิตร!J401"")"),0)</f>
        <v>0</v>
      </c>
      <c r="K506" s="163">
        <f t="shared" ca="1" si="117"/>
        <v>0</v>
      </c>
      <c r="L506" s="181"/>
      <c r="M506" s="181"/>
      <c r="N506" s="181"/>
      <c r="O506" s="181"/>
      <c r="P506" s="181"/>
    </row>
    <row r="507" spans="1:16" ht="21.75" customHeight="1" x14ac:dyDescent="0.3">
      <c r="A507" s="175"/>
      <c r="B507" s="176"/>
      <c r="C507" s="176"/>
      <c r="D507" s="193"/>
      <c r="E507" s="195"/>
      <c r="F507" s="195"/>
      <c r="G507" s="195"/>
      <c r="H507" s="420" t="s">
        <v>36</v>
      </c>
      <c r="I507" s="187">
        <f ca="1">IFERROR(__xludf.DUMMYFUNCTION("IMPORTRANGE(""https://docs.google.com/spreadsheets/d/11923uPwbBZFjjGgGUA6NLw09EwE0CqkOc4q9oUmW1yo/edit?usp=sharing"",""พิจิตร!I402"")"),0)</f>
        <v>0</v>
      </c>
      <c r="J507" s="197">
        <f ca="1">IFERROR(__xludf.DUMMYFUNCTION("IMPORTRANGE(""https://docs.google.com/spreadsheets/d/11923uPwbBZFjjGgGUA6NLw09EwE0CqkOc4q9oUmW1yo/edit?usp=sharing"",""พิจิตร!J402"")"),0)</f>
        <v>0</v>
      </c>
      <c r="K507" s="163">
        <f t="shared" ca="1" si="117"/>
        <v>0</v>
      </c>
      <c r="L507" s="181"/>
      <c r="M507" s="181"/>
      <c r="N507" s="181"/>
      <c r="O507" s="181"/>
      <c r="P507" s="181"/>
    </row>
    <row r="508" spans="1:16" ht="21.75" customHeight="1" x14ac:dyDescent="0.3">
      <c r="A508" s="175"/>
      <c r="B508" s="176"/>
      <c r="C508" s="176"/>
      <c r="D508" s="193"/>
      <c r="E508" s="194" t="s">
        <v>189</v>
      </c>
      <c r="F508" s="195"/>
      <c r="G508" s="419"/>
      <c r="H508" s="420" t="s">
        <v>122</v>
      </c>
      <c r="I508" s="187">
        <f ca="1">IFERROR(__xludf.DUMMYFUNCTION("IMPORTRANGE(""https://docs.google.com/spreadsheets/d/11923uPwbBZFjjGgGUA6NLw09EwE0CqkOc4q9oUmW1yo/edit?usp=sharing"",""พิจิตร!I403"")"),0)</f>
        <v>0</v>
      </c>
      <c r="J508" s="162">
        <f ca="1">IFERROR(__xludf.DUMMYFUNCTION("IMPORTRANGE(""https://docs.google.com/spreadsheets/d/11923uPwbBZFjjGgGUA6NLw09EwE0CqkOc4q9oUmW1yo/edit?usp=sharing"",""พิจิตร!J403"")"),0)</f>
        <v>0</v>
      </c>
      <c r="K508" s="163">
        <f t="shared" ca="1" si="117"/>
        <v>0</v>
      </c>
      <c r="L508" s="181"/>
      <c r="M508" s="181"/>
      <c r="N508" s="181"/>
      <c r="O508" s="181"/>
      <c r="P508" s="181"/>
    </row>
    <row r="509" spans="1:16" ht="21.75" customHeight="1" x14ac:dyDescent="0.3">
      <c r="A509" s="175"/>
      <c r="B509" s="176"/>
      <c r="C509" s="176"/>
      <c r="D509" s="193"/>
      <c r="E509" s="195"/>
      <c r="F509" s="195"/>
      <c r="G509" s="195"/>
      <c r="H509" s="420" t="s">
        <v>36</v>
      </c>
      <c r="I509" s="187">
        <f ca="1">IFERROR(__xludf.DUMMYFUNCTION("IMPORTRANGE(""https://docs.google.com/spreadsheets/d/11923uPwbBZFjjGgGUA6NLw09EwE0CqkOc4q9oUmW1yo/edit?usp=sharing"",""พิจิตร!I404"")"),0)</f>
        <v>0</v>
      </c>
      <c r="J509" s="162">
        <f ca="1">IFERROR(__xludf.DUMMYFUNCTION("IMPORTRANGE(""https://docs.google.com/spreadsheets/d/11923uPwbBZFjjGgGUA6NLw09EwE0CqkOc4q9oUmW1yo/edit?usp=sharing"",""พิจิตร!J404"")"),0)</f>
        <v>0</v>
      </c>
      <c r="K509" s="163">
        <f t="shared" ca="1" si="117"/>
        <v>0</v>
      </c>
      <c r="L509" s="181"/>
      <c r="M509" s="181"/>
      <c r="N509" s="181"/>
      <c r="O509" s="181"/>
      <c r="P509" s="181"/>
    </row>
    <row r="510" spans="1:16" ht="21.75" customHeight="1" x14ac:dyDescent="0.3">
      <c r="A510" s="175"/>
      <c r="B510" s="176"/>
      <c r="C510" s="176"/>
      <c r="D510" s="193"/>
      <c r="E510" s="195"/>
      <c r="F510" s="194" t="s">
        <v>190</v>
      </c>
      <c r="G510" s="195"/>
      <c r="H510" s="420" t="s">
        <v>122</v>
      </c>
      <c r="I510" s="187">
        <f ca="1">IFERROR(__xludf.DUMMYFUNCTION("IMPORTRANGE(""https://docs.google.com/spreadsheets/d/11923uPwbBZFjjGgGUA6NLw09EwE0CqkOc4q9oUmW1yo/edit?usp=sharing"",""พิจิตร!I405"")"),0)</f>
        <v>0</v>
      </c>
      <c r="J510" s="197">
        <f ca="1">IFERROR(__xludf.DUMMYFUNCTION("IMPORTRANGE(""https://docs.google.com/spreadsheets/d/11923uPwbBZFjjGgGUA6NLw09EwE0CqkOc4q9oUmW1yo/edit?usp=sharing"",""พิจิตร!J405"")"),0)</f>
        <v>0</v>
      </c>
      <c r="K510" s="163">
        <f t="shared" ca="1" si="117"/>
        <v>0</v>
      </c>
      <c r="L510" s="181"/>
      <c r="M510" s="181"/>
      <c r="N510" s="181"/>
      <c r="O510" s="181"/>
      <c r="P510" s="181"/>
    </row>
    <row r="511" spans="1:16" ht="21.75" customHeight="1" x14ac:dyDescent="0.3">
      <c r="A511" s="175"/>
      <c r="B511" s="176"/>
      <c r="C511" s="176"/>
      <c r="D511" s="193"/>
      <c r="E511" s="195"/>
      <c r="F511" s="195"/>
      <c r="G511" s="195"/>
      <c r="H511" s="420" t="s">
        <v>36</v>
      </c>
      <c r="I511" s="187">
        <f ca="1">IFERROR(__xludf.DUMMYFUNCTION("IMPORTRANGE(""https://docs.google.com/spreadsheets/d/11923uPwbBZFjjGgGUA6NLw09EwE0CqkOc4q9oUmW1yo/edit?usp=sharing"",""พิจิตร!I406"")"),0)</f>
        <v>0</v>
      </c>
      <c r="J511" s="197">
        <f ca="1">IFERROR(__xludf.DUMMYFUNCTION("IMPORTRANGE(""https://docs.google.com/spreadsheets/d/11923uPwbBZFjjGgGUA6NLw09EwE0CqkOc4q9oUmW1yo/edit?usp=sharing"",""พิจิตร!J406"")"),0)</f>
        <v>0</v>
      </c>
      <c r="K511" s="163">
        <f t="shared" ca="1" si="117"/>
        <v>0</v>
      </c>
      <c r="L511" s="181"/>
      <c r="M511" s="181"/>
      <c r="N511" s="181"/>
      <c r="O511" s="181"/>
      <c r="P511" s="181"/>
    </row>
    <row r="512" spans="1:16" ht="21.75" customHeight="1" x14ac:dyDescent="0.3">
      <c r="A512" s="175"/>
      <c r="B512" s="176"/>
      <c r="C512" s="176"/>
      <c r="D512" s="193"/>
      <c r="E512" s="195"/>
      <c r="F512" s="194" t="s">
        <v>191</v>
      </c>
      <c r="G512" s="195"/>
      <c r="H512" s="420" t="s">
        <v>122</v>
      </c>
      <c r="I512" s="187">
        <f ca="1">IFERROR(__xludf.DUMMYFUNCTION("IMPORTRANGE(""https://docs.google.com/spreadsheets/d/11923uPwbBZFjjGgGUA6NLw09EwE0CqkOc4q9oUmW1yo/edit?usp=sharing"",""พิจิตร!I407"")"),0)</f>
        <v>0</v>
      </c>
      <c r="J512" s="197">
        <f ca="1">IFERROR(__xludf.DUMMYFUNCTION("IMPORTRANGE(""https://docs.google.com/spreadsheets/d/11923uPwbBZFjjGgGUA6NLw09EwE0CqkOc4q9oUmW1yo/edit?usp=sharing"",""พิจิตร!J407"")"),0)</f>
        <v>0</v>
      </c>
      <c r="K512" s="163">
        <f t="shared" ca="1" si="117"/>
        <v>0</v>
      </c>
      <c r="L512" s="181"/>
      <c r="M512" s="181"/>
      <c r="N512" s="181"/>
      <c r="O512" s="181"/>
      <c r="P512" s="181"/>
    </row>
    <row r="513" spans="1:16" ht="21.75" customHeight="1" x14ac:dyDescent="0.3">
      <c r="A513" s="175"/>
      <c r="B513" s="176"/>
      <c r="C513" s="176"/>
      <c r="D513" s="193"/>
      <c r="E513" s="195"/>
      <c r="F513" s="195"/>
      <c r="G513" s="196"/>
      <c r="H513" s="420" t="s">
        <v>36</v>
      </c>
      <c r="I513" s="187">
        <f ca="1">IFERROR(__xludf.DUMMYFUNCTION("IMPORTRANGE(""https://docs.google.com/spreadsheets/d/11923uPwbBZFjjGgGUA6NLw09EwE0CqkOc4q9oUmW1yo/edit?usp=sharing"",""พิจิตร!I408"")"),0)</f>
        <v>0</v>
      </c>
      <c r="J513" s="197">
        <f ca="1">IFERROR(__xludf.DUMMYFUNCTION("IMPORTRANGE(""https://docs.google.com/spreadsheets/d/11923uPwbBZFjjGgGUA6NLw09EwE0CqkOc4q9oUmW1yo/edit?usp=sharing"",""พิจิตร!J408"")"),0)</f>
        <v>0</v>
      </c>
      <c r="K513" s="163">
        <f t="shared" ca="1" si="117"/>
        <v>0</v>
      </c>
      <c r="L513" s="181"/>
      <c r="M513" s="181"/>
      <c r="N513" s="181"/>
      <c r="O513" s="181"/>
      <c r="P513" s="181"/>
    </row>
    <row r="514" spans="1:16" ht="21.75" customHeight="1" x14ac:dyDescent="0.3">
      <c r="A514" s="175"/>
      <c r="B514" s="176"/>
      <c r="C514" s="176"/>
      <c r="D514" s="402"/>
      <c r="E514" s="448" t="s">
        <v>192</v>
      </c>
      <c r="F514" s="195"/>
      <c r="G514" s="196"/>
      <c r="H514" s="420" t="s">
        <v>122</v>
      </c>
      <c r="I514" s="187">
        <f ca="1">IFERROR(__xludf.DUMMYFUNCTION("IMPORTRANGE(""https://docs.google.com/spreadsheets/d/11923uPwbBZFjjGgGUA6NLw09EwE0CqkOc4q9oUmW1yo/edit?usp=sharing"",""พิจิตร!I409"")"),0)</f>
        <v>0</v>
      </c>
      <c r="J514" s="197">
        <f ca="1">IFERROR(__xludf.DUMMYFUNCTION("IMPORTRANGE(""https://docs.google.com/spreadsheets/d/11923uPwbBZFjjGgGUA6NLw09EwE0CqkOc4q9oUmW1yo/edit?usp=sharing"",""พิจิตร!J409"")"),0)</f>
        <v>0</v>
      </c>
      <c r="K514" s="163">
        <f t="shared" ca="1" si="117"/>
        <v>0</v>
      </c>
      <c r="L514" s="181"/>
      <c r="M514" s="181"/>
      <c r="N514" s="181"/>
      <c r="O514" s="181"/>
      <c r="P514" s="181"/>
    </row>
    <row r="515" spans="1:16" ht="21.75" customHeight="1" x14ac:dyDescent="0.3">
      <c r="A515" s="175"/>
      <c r="B515" s="176"/>
      <c r="C515" s="176"/>
      <c r="D515" s="193"/>
      <c r="E515" s="195"/>
      <c r="F515" s="195"/>
      <c r="G515" s="196"/>
      <c r="H515" s="420" t="s">
        <v>36</v>
      </c>
      <c r="I515" s="187">
        <f ca="1">IFERROR(__xludf.DUMMYFUNCTION("IMPORTRANGE(""https://docs.google.com/spreadsheets/d/11923uPwbBZFjjGgGUA6NLw09EwE0CqkOc4q9oUmW1yo/edit?usp=sharing"",""พิจิตร!I410"")"),0)</f>
        <v>0</v>
      </c>
      <c r="J515" s="197">
        <f ca="1">IFERROR(__xludf.DUMMYFUNCTION("IMPORTRANGE(""https://docs.google.com/spreadsheets/d/11923uPwbBZFjjGgGUA6NLw09EwE0CqkOc4q9oUmW1yo/edit?usp=sharing"",""พิจิตร!J410"")"),0)</f>
        <v>0</v>
      </c>
      <c r="K515" s="163">
        <f t="shared" ca="1" si="117"/>
        <v>0</v>
      </c>
      <c r="L515" s="181"/>
      <c r="M515" s="181"/>
      <c r="N515" s="181"/>
      <c r="O515" s="181"/>
      <c r="P515" s="181"/>
    </row>
    <row r="516" spans="1:16" ht="21.75" customHeight="1" x14ac:dyDescent="0.3">
      <c r="A516" s="175"/>
      <c r="B516" s="176"/>
      <c r="C516" s="413" t="s">
        <v>193</v>
      </c>
      <c r="D516" s="413"/>
      <c r="E516" s="449"/>
      <c r="F516" s="449"/>
      <c r="G516" s="450"/>
      <c r="H516" s="451" t="s">
        <v>122</v>
      </c>
      <c r="I516" s="266">
        <f ca="1">IFERROR(__xludf.DUMMYFUNCTION("IMPORTRANGE(""https://docs.google.com/spreadsheets/d/11923uPwbBZFjjGgGUA6NLw09EwE0CqkOc4q9oUmW1yo/edit?usp=sharing"",""พิจิตร!I411"")"),0)</f>
        <v>0</v>
      </c>
      <c r="J516" s="266">
        <f ca="1">IFERROR(__xludf.DUMMYFUNCTION("IMPORTRANGE(""https://docs.google.com/spreadsheets/d/11923uPwbBZFjjGgGUA6NLw09EwE0CqkOc4q9oUmW1yo/edit?usp=sharing"",""พิจิตร!J411"")"),0)</f>
        <v>0</v>
      </c>
      <c r="K516" s="267">
        <v>0</v>
      </c>
      <c r="L516" s="181"/>
      <c r="M516" s="181"/>
      <c r="N516" s="181"/>
      <c r="O516" s="181"/>
      <c r="P516" s="181"/>
    </row>
    <row r="517" spans="1:16" ht="21.75" customHeight="1" x14ac:dyDescent="0.3">
      <c r="A517" s="175"/>
      <c r="B517" s="176"/>
      <c r="C517" s="452"/>
      <c r="D517" s="452"/>
      <c r="E517" s="452" t="s">
        <v>194</v>
      </c>
      <c r="F517" s="453"/>
      <c r="G517" s="454"/>
      <c r="H517" s="455" t="s">
        <v>122</v>
      </c>
      <c r="I517" s="282">
        <f ca="1">IFERROR(__xludf.DUMMYFUNCTION("IMPORTRANGE(""https://docs.google.com/spreadsheets/d/11923uPwbBZFjjGgGUA6NLw09EwE0CqkOc4q9oUmW1yo/edit?usp=sharing"",""พิจิตร!I412"")"),0)</f>
        <v>0</v>
      </c>
      <c r="J517" s="282">
        <f ca="1">IFERROR(__xludf.DUMMYFUNCTION("IMPORTRANGE(""https://docs.google.com/spreadsheets/d/11923uPwbBZFjjGgGUA6NLw09EwE0CqkOc4q9oUmW1yo/edit?usp=sharing"",""พิจิตร!J412"")"),0)</f>
        <v>0</v>
      </c>
      <c r="K517" s="283">
        <v>0</v>
      </c>
      <c r="L517" s="181"/>
      <c r="M517" s="181"/>
      <c r="N517" s="181"/>
      <c r="O517" s="181"/>
      <c r="P517" s="181"/>
    </row>
    <row r="518" spans="1:16" ht="21.75" customHeight="1" x14ac:dyDescent="0.3">
      <c r="A518" s="175"/>
      <c r="B518" s="176"/>
      <c r="C518" s="452"/>
      <c r="D518" s="452"/>
      <c r="E518" s="452" t="s">
        <v>195</v>
      </c>
      <c r="F518" s="453"/>
      <c r="G518" s="454"/>
      <c r="H518" s="455" t="s">
        <v>36</v>
      </c>
      <c r="I518" s="282">
        <f ca="1">IFERROR(__xludf.DUMMYFUNCTION("IMPORTRANGE(""https://docs.google.com/spreadsheets/d/11923uPwbBZFjjGgGUA6NLw09EwE0CqkOc4q9oUmW1yo/edit?usp=sharing"",""พิจิตร!I413"")"),0)</f>
        <v>0</v>
      </c>
      <c r="J518" s="282">
        <f ca="1">IFERROR(__xludf.DUMMYFUNCTION("IMPORTRANGE(""https://docs.google.com/spreadsheets/d/11923uPwbBZFjjGgGUA6NLw09EwE0CqkOc4q9oUmW1yo/edit?usp=sharing"",""พิจิตร!J413"")"),0)</f>
        <v>0</v>
      </c>
      <c r="K518" s="283">
        <v>0</v>
      </c>
      <c r="L518" s="181"/>
      <c r="M518" s="181"/>
      <c r="N518" s="181"/>
      <c r="O518" s="181"/>
      <c r="P518" s="181"/>
    </row>
    <row r="519" spans="1:16" ht="21.75" customHeight="1" x14ac:dyDescent="0.3">
      <c r="A519" s="175"/>
      <c r="B519" s="176"/>
      <c r="C519" s="176"/>
      <c r="D519" s="193"/>
      <c r="E519" s="195"/>
      <c r="F519" s="195"/>
      <c r="G519" s="225" t="s">
        <v>196</v>
      </c>
      <c r="H519" s="420" t="s">
        <v>122</v>
      </c>
      <c r="I519" s="187">
        <f ca="1">IFERROR(__xludf.DUMMYFUNCTION("IMPORTRANGE(""https://docs.google.com/spreadsheets/d/11923uPwbBZFjjGgGUA6NLw09EwE0CqkOc4q9oUmW1yo/edit?usp=sharing"",""พิจิตร!I414"")"),0)</f>
        <v>0</v>
      </c>
      <c r="J519" s="187">
        <f ca="1">IFERROR(__xludf.DUMMYFUNCTION("IMPORTRANGE(""https://docs.google.com/spreadsheets/d/11923uPwbBZFjjGgGUA6NLw09EwE0CqkOc4q9oUmW1yo/edit?usp=sharing"",""พิจิตร!J414"")"),0)</f>
        <v>0</v>
      </c>
      <c r="K519" s="163">
        <v>0</v>
      </c>
      <c r="L519" s="181"/>
      <c r="M519" s="181"/>
      <c r="N519" s="181"/>
      <c r="O519" s="181"/>
      <c r="P519" s="181"/>
    </row>
    <row r="520" spans="1:16" ht="21.75" customHeight="1" x14ac:dyDescent="0.3">
      <c r="A520" s="175"/>
      <c r="B520" s="176"/>
      <c r="C520" s="176"/>
      <c r="D520" s="193"/>
      <c r="E520" s="195"/>
      <c r="F520" s="195"/>
      <c r="G520" s="196"/>
      <c r="H520" s="420" t="s">
        <v>36</v>
      </c>
      <c r="I520" s="187">
        <f ca="1">IFERROR(__xludf.DUMMYFUNCTION("IMPORTRANGE(""https://docs.google.com/spreadsheets/d/11923uPwbBZFjjGgGUA6NLw09EwE0CqkOc4q9oUmW1yo/edit?usp=sharing"",""พิจิตร!I415"")"),0)</f>
        <v>0</v>
      </c>
      <c r="J520" s="187">
        <f ca="1">IFERROR(__xludf.DUMMYFUNCTION("IMPORTRANGE(""https://docs.google.com/spreadsheets/d/11923uPwbBZFjjGgGUA6NLw09EwE0CqkOc4q9oUmW1yo/edit?usp=sharing"",""พิจิตร!J415"")"),0)</f>
        <v>0</v>
      </c>
      <c r="K520" s="163">
        <v>0</v>
      </c>
      <c r="L520" s="181"/>
      <c r="M520" s="181"/>
      <c r="N520" s="181"/>
      <c r="O520" s="181"/>
      <c r="P520" s="181"/>
    </row>
    <row r="521" spans="1:16" ht="21.75" customHeight="1" x14ac:dyDescent="0.3">
      <c r="A521" s="175"/>
      <c r="B521" s="176"/>
      <c r="C521" s="176"/>
      <c r="D521" s="193"/>
      <c r="E521" s="195"/>
      <c r="F521" s="195"/>
      <c r="G521" s="225" t="s">
        <v>197</v>
      </c>
      <c r="H521" s="420" t="s">
        <v>122</v>
      </c>
      <c r="I521" s="187">
        <f ca="1">IFERROR(__xludf.DUMMYFUNCTION("IMPORTRANGE(""https://docs.google.com/spreadsheets/d/11923uPwbBZFjjGgGUA6NLw09EwE0CqkOc4q9oUmW1yo/edit?usp=sharing"",""พิจิตร!I416"")"),0)</f>
        <v>0</v>
      </c>
      <c r="J521" s="187">
        <f ca="1">IFERROR(__xludf.DUMMYFUNCTION("IMPORTRANGE(""https://docs.google.com/spreadsheets/d/11923uPwbBZFjjGgGUA6NLw09EwE0CqkOc4q9oUmW1yo/edit?usp=sharing"",""พิจิตร!J416"")"),0)</f>
        <v>0</v>
      </c>
      <c r="K521" s="163">
        <v>0</v>
      </c>
      <c r="L521" s="181"/>
      <c r="M521" s="181"/>
      <c r="N521" s="181"/>
      <c r="O521" s="181"/>
      <c r="P521" s="181"/>
    </row>
    <row r="522" spans="1:16" ht="21.75" customHeight="1" x14ac:dyDescent="0.3">
      <c r="A522" s="175"/>
      <c r="B522" s="176"/>
      <c r="C522" s="176"/>
      <c r="D522" s="193"/>
      <c r="E522" s="195"/>
      <c r="F522" s="195"/>
      <c r="G522" s="196"/>
      <c r="H522" s="420" t="s">
        <v>36</v>
      </c>
      <c r="I522" s="187">
        <f ca="1">IFERROR(__xludf.DUMMYFUNCTION("IMPORTRANGE(""https://docs.google.com/spreadsheets/d/11923uPwbBZFjjGgGUA6NLw09EwE0CqkOc4q9oUmW1yo/edit?usp=sharing"",""พิจิตร!I417"")"),0)</f>
        <v>0</v>
      </c>
      <c r="J522" s="187">
        <f ca="1">IFERROR(__xludf.DUMMYFUNCTION("IMPORTRANGE(""https://docs.google.com/spreadsheets/d/11923uPwbBZFjjGgGUA6NLw09EwE0CqkOc4q9oUmW1yo/edit?usp=sharing"",""พิจิตร!J417"")"),0)</f>
        <v>0</v>
      </c>
      <c r="K522" s="163">
        <v>0</v>
      </c>
      <c r="L522" s="181"/>
      <c r="M522" s="181"/>
      <c r="N522" s="181"/>
      <c r="O522" s="181"/>
      <c r="P522" s="181"/>
    </row>
    <row r="523" spans="1:16" ht="21.75" customHeight="1" x14ac:dyDescent="0.3">
      <c r="A523" s="175"/>
      <c r="B523" s="176"/>
      <c r="C523" s="176"/>
      <c r="D523" s="193"/>
      <c r="E523" s="195"/>
      <c r="F523" s="195"/>
      <c r="G523" s="456" t="s">
        <v>198</v>
      </c>
      <c r="H523" s="420" t="s">
        <v>122</v>
      </c>
      <c r="I523" s="187">
        <f ca="1">IFERROR(__xludf.DUMMYFUNCTION("IMPORTRANGE(""https://docs.google.com/spreadsheets/d/11923uPwbBZFjjGgGUA6NLw09EwE0CqkOc4q9oUmW1yo/edit?usp=sharing"",""พิจิตร!I418"")"),0)</f>
        <v>0</v>
      </c>
      <c r="J523" s="187">
        <f ca="1">IFERROR(__xludf.DUMMYFUNCTION("IMPORTRANGE(""https://docs.google.com/spreadsheets/d/11923uPwbBZFjjGgGUA6NLw09EwE0CqkOc4q9oUmW1yo/edit?usp=sharing"",""พิจิตร!J418"")"),106)</f>
        <v>106</v>
      </c>
      <c r="K523" s="163">
        <v>0</v>
      </c>
      <c r="L523" s="181"/>
      <c r="M523" s="181"/>
      <c r="N523" s="181"/>
      <c r="O523" s="181"/>
      <c r="P523" s="181"/>
    </row>
    <row r="524" spans="1:16" ht="21.75" customHeight="1" x14ac:dyDescent="0.3">
      <c r="A524" s="175"/>
      <c r="B524" s="176"/>
      <c r="C524" s="176"/>
      <c r="D524" s="193"/>
      <c r="E524" s="195"/>
      <c r="F524" s="195"/>
      <c r="G524" s="196"/>
      <c r="H524" s="420" t="s">
        <v>36</v>
      </c>
      <c r="I524" s="187">
        <f ca="1">IFERROR(__xludf.DUMMYFUNCTION("IMPORTRANGE(""https://docs.google.com/spreadsheets/d/11923uPwbBZFjjGgGUA6NLw09EwE0CqkOc4q9oUmW1yo/edit?usp=sharing"",""พิจิตร!I419"")"),0)</f>
        <v>0</v>
      </c>
      <c r="J524" s="187">
        <f ca="1">IFERROR(__xludf.DUMMYFUNCTION("IMPORTRANGE(""https://docs.google.com/spreadsheets/d/11923uPwbBZFjjGgGUA6NLw09EwE0CqkOc4q9oUmW1yo/edit?usp=sharing"",""พิจิตร!J419"")"),30)</f>
        <v>30</v>
      </c>
      <c r="K524" s="163">
        <v>0</v>
      </c>
      <c r="L524" s="181"/>
      <c r="M524" s="181"/>
      <c r="N524" s="181"/>
      <c r="O524" s="181"/>
      <c r="P524" s="181"/>
    </row>
    <row r="525" spans="1:16" ht="21.75" customHeight="1" x14ac:dyDescent="0.3">
      <c r="A525" s="175"/>
      <c r="B525" s="176"/>
      <c r="C525" s="452"/>
      <c r="D525" s="452"/>
      <c r="E525" s="452" t="s">
        <v>199</v>
      </c>
      <c r="F525" s="453"/>
      <c r="G525" s="454"/>
      <c r="H525" s="455" t="s">
        <v>122</v>
      </c>
      <c r="I525" s="282">
        <f ca="1">IFERROR(__xludf.DUMMYFUNCTION("IMPORTRANGE(""https://docs.google.com/spreadsheets/d/11923uPwbBZFjjGgGUA6NLw09EwE0CqkOc4q9oUmW1yo/edit?usp=sharing"",""พิจิตร!I420"")"),106)</f>
        <v>106</v>
      </c>
      <c r="J525" s="282">
        <f ca="1">IFERROR(__xludf.DUMMYFUNCTION("IMPORTRANGE(""https://docs.google.com/spreadsheets/d/11923uPwbBZFjjGgGUA6NLw09EwE0CqkOc4q9oUmW1yo/edit?usp=sharing"",""พิจิตร!J420"")"),0)</f>
        <v>0</v>
      </c>
      <c r="K525" s="283">
        <v>0</v>
      </c>
      <c r="L525" s="181"/>
      <c r="M525" s="181"/>
      <c r="N525" s="181"/>
      <c r="O525" s="181"/>
      <c r="P525" s="181"/>
    </row>
    <row r="526" spans="1:16" ht="21.75" customHeight="1" x14ac:dyDescent="0.3">
      <c r="A526" s="175"/>
      <c r="B526" s="176"/>
      <c r="C526" s="452"/>
      <c r="D526" s="452"/>
      <c r="E526" s="452" t="s">
        <v>200</v>
      </c>
      <c r="F526" s="453"/>
      <c r="G526" s="454"/>
      <c r="H526" s="455" t="s">
        <v>36</v>
      </c>
      <c r="I526" s="282">
        <f ca="1">IFERROR(__xludf.DUMMYFUNCTION("IMPORTRANGE(""https://docs.google.com/spreadsheets/d/11923uPwbBZFjjGgGUA6NLw09EwE0CqkOc4q9oUmW1yo/edit?usp=sharing"",""พิจิตร!I421"")"),30)</f>
        <v>30</v>
      </c>
      <c r="J526" s="282">
        <f ca="1">IFERROR(__xludf.DUMMYFUNCTION("IMPORTRANGE(""https://docs.google.com/spreadsheets/d/11923uPwbBZFjjGgGUA6NLw09EwE0CqkOc4q9oUmW1yo/edit?usp=sharing"",""พิจิตร!J421"")"),0)</f>
        <v>0</v>
      </c>
      <c r="K526" s="283">
        <v>0</v>
      </c>
      <c r="L526" s="181"/>
      <c r="M526" s="181"/>
      <c r="N526" s="181"/>
      <c r="O526" s="181"/>
      <c r="P526" s="181"/>
    </row>
    <row r="527" spans="1:16" ht="21.75" customHeight="1" x14ac:dyDescent="0.3">
      <c r="A527" s="175"/>
      <c r="B527" s="176"/>
      <c r="C527" s="176"/>
      <c r="D527" s="193"/>
      <c r="E527" s="195"/>
      <c r="F527" s="195"/>
      <c r="G527" s="225" t="s">
        <v>196</v>
      </c>
      <c r="H527" s="420" t="s">
        <v>122</v>
      </c>
      <c r="I527" s="187">
        <f ca="1">IFERROR(__xludf.DUMMYFUNCTION("IMPORTRANGE(""https://docs.google.com/spreadsheets/d/11923uPwbBZFjjGgGUA6NLw09EwE0CqkOc4q9oUmW1yo/edit?usp=sharing"",""พิจิตร!I422"")"),0)</f>
        <v>0</v>
      </c>
      <c r="J527" s="197">
        <f ca="1">IFERROR(__xludf.DUMMYFUNCTION("IMPORTRANGE(""https://docs.google.com/spreadsheets/d/11923uPwbBZFjjGgGUA6NLw09EwE0CqkOc4q9oUmW1yo/edit?usp=sharing"",""พิจิตร!J422"")"),0)</f>
        <v>0</v>
      </c>
      <c r="K527" s="163">
        <v>0</v>
      </c>
      <c r="L527" s="181"/>
      <c r="M527" s="181"/>
      <c r="N527" s="181"/>
      <c r="O527" s="181"/>
      <c r="P527" s="181"/>
    </row>
    <row r="528" spans="1:16" ht="21.75" customHeight="1" x14ac:dyDescent="0.3">
      <c r="A528" s="175"/>
      <c r="B528" s="176"/>
      <c r="C528" s="176"/>
      <c r="D528" s="193"/>
      <c r="E528" s="195"/>
      <c r="F528" s="195"/>
      <c r="G528" s="196"/>
      <c r="H528" s="420" t="s">
        <v>36</v>
      </c>
      <c r="I528" s="187">
        <f ca="1">IFERROR(__xludf.DUMMYFUNCTION("IMPORTRANGE(""https://docs.google.com/spreadsheets/d/11923uPwbBZFjjGgGUA6NLw09EwE0CqkOc4q9oUmW1yo/edit?usp=sharing"",""พิจิตร!I423"")"),0)</f>
        <v>0</v>
      </c>
      <c r="J528" s="197">
        <f ca="1">IFERROR(__xludf.DUMMYFUNCTION("IMPORTRANGE(""https://docs.google.com/spreadsheets/d/11923uPwbBZFjjGgGUA6NLw09EwE0CqkOc4q9oUmW1yo/edit?usp=sharing"",""พิจิตร!J423"")"),0)</f>
        <v>0</v>
      </c>
      <c r="K528" s="163">
        <v>0</v>
      </c>
      <c r="L528" s="181"/>
      <c r="M528" s="181"/>
      <c r="N528" s="181"/>
      <c r="O528" s="181"/>
      <c r="P528" s="181"/>
    </row>
    <row r="529" spans="1:16" ht="21.75" customHeight="1" x14ac:dyDescent="0.3">
      <c r="A529" s="175"/>
      <c r="B529" s="176"/>
      <c r="C529" s="176"/>
      <c r="D529" s="193"/>
      <c r="E529" s="195"/>
      <c r="F529" s="195"/>
      <c r="G529" s="225" t="s">
        <v>197</v>
      </c>
      <c r="H529" s="420" t="s">
        <v>122</v>
      </c>
      <c r="I529" s="187">
        <f ca="1">IFERROR(__xludf.DUMMYFUNCTION("IMPORTRANGE(""https://docs.google.com/spreadsheets/d/11923uPwbBZFjjGgGUA6NLw09EwE0CqkOc4q9oUmW1yo/edit?usp=sharing"",""พิจิตร!I424"")"),0)</f>
        <v>0</v>
      </c>
      <c r="J529" s="197">
        <f ca="1">IFERROR(__xludf.DUMMYFUNCTION("IMPORTRANGE(""https://docs.google.com/spreadsheets/d/11923uPwbBZFjjGgGUA6NLw09EwE0CqkOc4q9oUmW1yo/edit?usp=sharing"",""พิจิตร!J424"")"),0)</f>
        <v>0</v>
      </c>
      <c r="K529" s="163">
        <v>0</v>
      </c>
      <c r="L529" s="181"/>
      <c r="M529" s="181"/>
      <c r="N529" s="181"/>
      <c r="O529" s="181"/>
      <c r="P529" s="181"/>
    </row>
    <row r="530" spans="1:16" ht="21.75" customHeight="1" x14ac:dyDescent="0.3">
      <c r="A530" s="175"/>
      <c r="B530" s="176"/>
      <c r="C530" s="176"/>
      <c r="D530" s="193"/>
      <c r="E530" s="195"/>
      <c r="F530" s="195"/>
      <c r="G530" s="196"/>
      <c r="H530" s="420" t="s">
        <v>36</v>
      </c>
      <c r="I530" s="187">
        <f ca="1">IFERROR(__xludf.DUMMYFUNCTION("IMPORTRANGE(""https://docs.google.com/spreadsheets/d/11923uPwbBZFjjGgGUA6NLw09EwE0CqkOc4q9oUmW1yo/edit?usp=sharing"",""พิจิตร!I425"")"),0)</f>
        <v>0</v>
      </c>
      <c r="J530" s="197">
        <f ca="1">IFERROR(__xludf.DUMMYFUNCTION("IMPORTRANGE(""https://docs.google.com/spreadsheets/d/11923uPwbBZFjjGgGUA6NLw09EwE0CqkOc4q9oUmW1yo/edit?usp=sharing"",""พิจิตร!J425"")"),0)</f>
        <v>0</v>
      </c>
      <c r="K530" s="163">
        <v>0</v>
      </c>
      <c r="L530" s="181"/>
      <c r="M530" s="181"/>
      <c r="N530" s="181"/>
      <c r="O530" s="181"/>
      <c r="P530" s="181"/>
    </row>
    <row r="531" spans="1:16" ht="21.75" customHeight="1" x14ac:dyDescent="0.3">
      <c r="A531" s="175"/>
      <c r="B531" s="176"/>
      <c r="C531" s="176"/>
      <c r="D531" s="193"/>
      <c r="E531" s="195"/>
      <c r="F531" s="195"/>
      <c r="G531" s="225" t="s">
        <v>201</v>
      </c>
      <c r="H531" s="420" t="s">
        <v>122</v>
      </c>
      <c r="I531" s="187">
        <f ca="1">IFERROR(__xludf.DUMMYFUNCTION("IMPORTRANGE(""https://docs.google.com/spreadsheets/d/11923uPwbBZFjjGgGUA6NLw09EwE0CqkOc4q9oUmW1yo/edit?usp=sharing"",""พิจิตร!I426"")"),0)</f>
        <v>0</v>
      </c>
      <c r="J531" s="197">
        <f ca="1">IFERROR(__xludf.DUMMYFUNCTION("IMPORTRANGE(""https://docs.google.com/spreadsheets/d/11923uPwbBZFjjGgGUA6NLw09EwE0CqkOc4q9oUmW1yo/edit?usp=sharing"",""พิจิตร!J426"")"),0)</f>
        <v>0</v>
      </c>
      <c r="K531" s="163">
        <v>0</v>
      </c>
      <c r="L531" s="181"/>
      <c r="M531" s="181"/>
      <c r="N531" s="181"/>
      <c r="O531" s="181"/>
      <c r="P531" s="181"/>
    </row>
    <row r="532" spans="1:16" ht="21.75" customHeight="1" x14ac:dyDescent="0.3">
      <c r="A532" s="457"/>
      <c r="B532" s="458"/>
      <c r="C532" s="458"/>
      <c r="D532" s="459"/>
      <c r="E532" s="460"/>
      <c r="F532" s="460"/>
      <c r="G532" s="461"/>
      <c r="H532" s="462" t="s">
        <v>36</v>
      </c>
      <c r="I532" s="463">
        <f ca="1">IFERROR(__xludf.DUMMYFUNCTION("IMPORTRANGE(""https://docs.google.com/spreadsheets/d/11923uPwbBZFjjGgGUA6NLw09EwE0CqkOc4q9oUmW1yo/edit?usp=sharing"",""พิจิตร!I427"")"),0)</f>
        <v>0</v>
      </c>
      <c r="J532" s="464">
        <f ca="1">IFERROR(__xludf.DUMMYFUNCTION("IMPORTRANGE(""https://docs.google.com/spreadsheets/d/11923uPwbBZFjjGgGUA6NLw09EwE0CqkOc4q9oUmW1yo/edit?usp=sharing"",""พิจิตร!J427"")"),0)</f>
        <v>0</v>
      </c>
      <c r="K532" s="465">
        <v>0</v>
      </c>
      <c r="L532" s="466"/>
      <c r="M532" s="466"/>
      <c r="N532" s="466"/>
      <c r="O532" s="466"/>
      <c r="P532" s="466"/>
    </row>
    <row r="533" spans="1:16" ht="21.75" customHeight="1" x14ac:dyDescent="0.3">
      <c r="A533" s="403"/>
      <c r="B533" s="404">
        <v>6</v>
      </c>
      <c r="C533" s="405" t="s">
        <v>202</v>
      </c>
      <c r="D533" s="405"/>
      <c r="E533" s="405"/>
      <c r="F533" s="405"/>
      <c r="G533" s="406"/>
      <c r="H533" s="407" t="s">
        <v>37</v>
      </c>
      <c r="I533" s="408">
        <f ca="1">IFERROR(__xludf.DUMMYFUNCTION("IMPORTRANGE(""https://docs.google.com/spreadsheets/d/11923uPwbBZFjjGgGUA6NLw09EwE0CqkOc4q9oUmW1yo/edit?usp=sharing"",""พิจิตร!I428"")"),22)</f>
        <v>22</v>
      </c>
      <c r="J533" s="408">
        <f ca="1">IFERROR(__xludf.DUMMYFUNCTION("IMPORTRANGE(""https://docs.google.com/spreadsheets/d/11923uPwbBZFjjGgGUA6NLw09EwE0CqkOc4q9oUmW1yo/edit?usp=sharing"",""พิจิตร!J428"")"),22)</f>
        <v>22</v>
      </c>
      <c r="K533" s="409">
        <f ca="1">IF(I533&gt;0,J533*100/I533,0)</f>
        <v>100</v>
      </c>
      <c r="L533" s="410">
        <f ca="1">IFERROR(__xludf.DUMMYFUNCTION("IMPORTRANGE(""https://docs.google.com/spreadsheets/d/11923uPwbBZFjjGgGUA6NLw09EwE0CqkOc4q9oUmW1yo/edit?usp=sharing"",""พิจิตร!L428"")"),34340)</f>
        <v>34340</v>
      </c>
      <c r="M533" s="410"/>
      <c r="N533" s="410">
        <f ca="1">IFERROR(__xludf.DUMMYFUNCTION("IMPORTRANGE(""https://docs.google.com/spreadsheets/d/11923uPwbBZFjjGgGUA6NLw09EwE0CqkOc4q9oUmW1yo/edit?usp=sharing"",""พิจิตร!M428"")"),18181)</f>
        <v>18181</v>
      </c>
      <c r="O533" s="410">
        <f t="shared" ref="O533:O537" ca="1" si="118">+IF(L533&gt;0,N533*100/L533,0)</f>
        <v>52.944088526499712</v>
      </c>
      <c r="P533" s="410"/>
    </row>
    <row r="534" spans="1:16" ht="21.75" customHeight="1" x14ac:dyDescent="0.3">
      <c r="A534" s="156"/>
      <c r="B534" s="157"/>
      <c r="C534" s="157" t="s">
        <v>16</v>
      </c>
      <c r="D534" s="158" t="s">
        <v>38</v>
      </c>
      <c r="E534" s="159"/>
      <c r="F534" s="159"/>
      <c r="G534" s="160" t="s">
        <v>39</v>
      </c>
      <c r="H534" s="161" t="s">
        <v>12</v>
      </c>
      <c r="I534" s="162" t="s">
        <v>40</v>
      </c>
      <c r="J534" s="162"/>
      <c r="K534" s="163"/>
      <c r="L534" s="164">
        <f ca="1">IFERROR(__xludf.DUMMYFUNCTION("IMPORTRANGE(""https://docs.google.com/spreadsheets/d/11923uPwbBZFjjGgGUA6NLw09EwE0CqkOc4q9oUmW1yo/edit?usp=sharing"",""พิจิตร!L429"")"),0)</f>
        <v>0</v>
      </c>
      <c r="M534" s="164"/>
      <c r="N534" s="168">
        <f ca="1">IFERROR(__xludf.DUMMYFUNCTION("IMPORTRANGE(""https://docs.google.com/spreadsheets/d/11923uPwbBZFjjGgGUA6NLw09EwE0CqkOc4q9oUmW1yo/edit?usp=sharing"",""พิจิตร!M429"")"),0)</f>
        <v>0</v>
      </c>
      <c r="O534" s="168">
        <f t="shared" ca="1" si="118"/>
        <v>0</v>
      </c>
      <c r="P534" s="168"/>
    </row>
    <row r="535" spans="1:16" ht="21.75" customHeight="1" x14ac:dyDescent="0.3">
      <c r="A535" s="156"/>
      <c r="B535" s="157"/>
      <c r="C535" s="157"/>
      <c r="D535" s="166"/>
      <c r="E535" s="159"/>
      <c r="F535" s="159" t="s">
        <v>40</v>
      </c>
      <c r="G535" s="160" t="s">
        <v>41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IFERROR(__xludf.DUMMYFUNCTION("IMPORTRANGE(""https://docs.google.com/spreadsheets/d/11923uPwbBZFjjGgGUA6NLw09EwE0CqkOc4q9oUmW1yo/edit?usp=sharing"",""พิจิตร!L430"")"),34340)</f>
        <v>34340</v>
      </c>
      <c r="M535" s="165"/>
      <c r="N535" s="168">
        <f ca="1">IFERROR(__xludf.DUMMYFUNCTION("IMPORTRANGE(""https://docs.google.com/spreadsheets/d/11923uPwbBZFjjGgGUA6NLw09EwE0CqkOc4q9oUmW1yo/edit?usp=sharing"",""พิจิตร!M430"")"),18181)</f>
        <v>18181</v>
      </c>
      <c r="O535" s="168">
        <f t="shared" ca="1" si="118"/>
        <v>52.944088526499712</v>
      </c>
      <c r="P535" s="168"/>
    </row>
    <row r="536" spans="1:16" ht="21.75" customHeight="1" x14ac:dyDescent="0.3">
      <c r="A536" s="156"/>
      <c r="B536" s="157"/>
      <c r="C536" s="157"/>
      <c r="D536" s="166"/>
      <c r="E536" s="159"/>
      <c r="F536" s="159"/>
      <c r="G536" s="372" t="s">
        <v>129</v>
      </c>
      <c r="H536" s="161" t="s">
        <v>12</v>
      </c>
      <c r="I536" s="162"/>
      <c r="J536" s="162"/>
      <c r="K536" s="163"/>
      <c r="L536" s="168">
        <f ca="1">IFERROR(__xludf.DUMMYFUNCTION("IMPORTRANGE(""https://docs.google.com/spreadsheets/d/11923uPwbBZFjjGgGUA6NLw09EwE0CqkOc4q9oUmW1yo/edit?usp=sharing"",""พิจิตร!L431"")"),0)</f>
        <v>0</v>
      </c>
      <c r="M536" s="168"/>
      <c r="N536" s="168">
        <f ca="1">IFERROR(__xludf.DUMMYFUNCTION("IMPORTRANGE(""https://docs.google.com/spreadsheets/d/11923uPwbBZFjjGgGUA6NLw09EwE0CqkOc4q9oUmW1yo/edit?usp=sharing"",""พิจิตร!M431"")"),0)</f>
        <v>0</v>
      </c>
      <c r="O536" s="168">
        <f t="shared" ca="1" si="118"/>
        <v>0</v>
      </c>
      <c r="P536" s="168"/>
    </row>
    <row r="537" spans="1:16" ht="21.75" customHeight="1" x14ac:dyDescent="0.3">
      <c r="A537" s="156"/>
      <c r="B537" s="157"/>
      <c r="C537" s="157"/>
      <c r="D537" s="166"/>
      <c r="E537" s="159"/>
      <c r="F537" s="159"/>
      <c r="G537" s="372" t="s">
        <v>130</v>
      </c>
      <c r="H537" s="161" t="s">
        <v>12</v>
      </c>
      <c r="I537" s="162"/>
      <c r="J537" s="162"/>
      <c r="K537" s="163"/>
      <c r="L537" s="168">
        <f ca="1">IFERROR(__xludf.DUMMYFUNCTION("IMPORTRANGE(""https://docs.google.com/spreadsheets/d/11923uPwbBZFjjGgGUA6NLw09EwE0CqkOc4q9oUmW1yo/edit?usp=sharing"",""พิจิตร!L432"")"),34340)</f>
        <v>34340</v>
      </c>
      <c r="M537" s="168"/>
      <c r="N537" s="168">
        <f ca="1">IFERROR(__xludf.DUMMYFUNCTION("IMPORTRANGE(""https://docs.google.com/spreadsheets/d/11923uPwbBZFjjGgGUA6NLw09EwE0CqkOc4q9oUmW1yo/edit?usp=sharing"",""พิจิตร!M432"")"),18181)</f>
        <v>18181</v>
      </c>
      <c r="O537" s="168">
        <f t="shared" ca="1" si="118"/>
        <v>52.944088526499712</v>
      </c>
      <c r="P537" s="168"/>
    </row>
    <row r="538" spans="1:16" ht="21.75" customHeight="1" x14ac:dyDescent="0.3">
      <c r="A538" s="373"/>
      <c r="B538" s="374"/>
      <c r="C538" s="157"/>
      <c r="D538" s="375"/>
      <c r="E538" s="159"/>
      <c r="F538" s="159"/>
      <c r="G538" s="376" t="s">
        <v>131</v>
      </c>
      <c r="H538" s="161" t="s">
        <v>12</v>
      </c>
      <c r="I538" s="187"/>
      <c r="J538" s="187"/>
      <c r="K538" s="223"/>
      <c r="L538" s="168"/>
      <c r="M538" s="168"/>
      <c r="N538" s="377">
        <f ca="1">IFERROR(__xludf.DUMMYFUNCTION("IMPORTRANGE(""https://docs.google.com/spreadsheets/d/11923uPwbBZFjjGgGUA6NLw09EwE0CqkOc4q9oUmW1yo/edit?usp=sharing"",""พิจิตร!M433"")"),17181)</f>
        <v>17181</v>
      </c>
      <c r="O538" s="168"/>
      <c r="P538" s="168"/>
    </row>
    <row r="539" spans="1:16" ht="21.75" customHeight="1" x14ac:dyDescent="0.3">
      <c r="A539" s="373"/>
      <c r="B539" s="374"/>
      <c r="C539" s="157"/>
      <c r="D539" s="375"/>
      <c r="E539" s="159"/>
      <c r="F539" s="159"/>
      <c r="G539" s="376" t="s">
        <v>132</v>
      </c>
      <c r="H539" s="161" t="s">
        <v>12</v>
      </c>
      <c r="I539" s="187"/>
      <c r="J539" s="187"/>
      <c r="K539" s="223"/>
      <c r="L539" s="168"/>
      <c r="M539" s="168"/>
      <c r="N539" s="377">
        <f ca="1">IFERROR(__xludf.DUMMYFUNCTION("IMPORTRANGE(""https://docs.google.com/spreadsheets/d/11923uPwbBZFjjGgGUA6NLw09EwE0CqkOc4q9oUmW1yo/edit?usp=sharing"",""พิจิตร!M434"")"),0)</f>
        <v>0</v>
      </c>
      <c r="O539" s="168"/>
      <c r="P539" s="168"/>
    </row>
    <row r="540" spans="1:16" ht="21.75" customHeight="1" x14ac:dyDescent="0.3">
      <c r="A540" s="373"/>
      <c r="B540" s="374"/>
      <c r="C540" s="157"/>
      <c r="D540" s="375"/>
      <c r="E540" s="159"/>
      <c r="F540" s="159"/>
      <c r="G540" s="376" t="s">
        <v>133</v>
      </c>
      <c r="H540" s="161" t="s">
        <v>12</v>
      </c>
      <c r="I540" s="187"/>
      <c r="J540" s="187"/>
      <c r="K540" s="223"/>
      <c r="L540" s="168"/>
      <c r="M540" s="168"/>
      <c r="N540" s="377">
        <f ca="1">IFERROR(__xludf.DUMMYFUNCTION("IMPORTRANGE(""https://docs.google.com/spreadsheets/d/11923uPwbBZFjjGgGUA6NLw09EwE0CqkOc4q9oUmW1yo/edit?usp=sharing"",""พิจิตร!M435"")"),0)</f>
        <v>0</v>
      </c>
      <c r="O540" s="168"/>
      <c r="P540" s="168"/>
    </row>
    <row r="541" spans="1:16" ht="21.75" customHeight="1" x14ac:dyDescent="0.3">
      <c r="A541" s="373"/>
      <c r="B541" s="374"/>
      <c r="C541" s="157"/>
      <c r="D541" s="375"/>
      <c r="E541" s="159"/>
      <c r="F541" s="159"/>
      <c r="G541" s="376" t="s">
        <v>134</v>
      </c>
      <c r="H541" s="161" t="s">
        <v>12</v>
      </c>
      <c r="I541" s="187"/>
      <c r="J541" s="187"/>
      <c r="K541" s="223"/>
      <c r="L541" s="168"/>
      <c r="M541" s="168"/>
      <c r="N541" s="377">
        <f ca="1">IFERROR(__xludf.DUMMYFUNCTION("IMPORTRANGE(""https://docs.google.com/spreadsheets/d/11923uPwbBZFjjGgGUA6NLw09EwE0CqkOc4q9oUmW1yo/edit?usp=sharing"",""พิจิตร!M436"")"),1000)</f>
        <v>1000</v>
      </c>
      <c r="O541" s="168"/>
      <c r="P541" s="168"/>
    </row>
    <row r="542" spans="1:16" ht="21.75" customHeight="1" x14ac:dyDescent="0.3">
      <c r="A542" s="175"/>
      <c r="B542" s="176"/>
      <c r="C542" s="157" t="s">
        <v>16</v>
      </c>
      <c r="D542" s="177" t="s">
        <v>44</v>
      </c>
      <c r="E542" s="178"/>
      <c r="F542" s="178"/>
      <c r="G542" s="179"/>
      <c r="H542" s="180"/>
      <c r="I542" s="162"/>
      <c r="J542" s="162"/>
      <c r="K542" s="163"/>
      <c r="L542" s="181"/>
      <c r="M542" s="181"/>
      <c r="N542" s="181"/>
      <c r="O542" s="181"/>
      <c r="P542" s="181"/>
    </row>
    <row r="543" spans="1:16" ht="21.75" customHeight="1" x14ac:dyDescent="0.3">
      <c r="A543" s="175"/>
      <c r="B543" s="176"/>
      <c r="C543" s="176"/>
      <c r="D543" s="182">
        <v>1</v>
      </c>
      <c r="E543" s="183" t="s">
        <v>45</v>
      </c>
      <c r="F543" s="184"/>
      <c r="G543" s="185"/>
      <c r="H543" s="186"/>
      <c r="I543" s="187"/>
      <c r="J543" s="197">
        <f ca="1">IFERROR(__xludf.DUMMYFUNCTION("IMPORTRANGE(""https://docs.google.com/spreadsheets/d/11923uPwbBZFjjGgGUA6NLw09EwE0CqkOc4q9oUmW1yo/edit?usp=sharing"",""พิจิตร!J438"")"),0)</f>
        <v>0</v>
      </c>
      <c r="K543" s="163"/>
      <c r="L543" s="181"/>
      <c r="M543" s="181"/>
      <c r="N543" s="181"/>
      <c r="O543" s="181"/>
      <c r="P543" s="181"/>
    </row>
    <row r="544" spans="1:16" ht="21.75" customHeight="1" x14ac:dyDescent="0.3">
      <c r="A544" s="175"/>
      <c r="B544" s="176"/>
      <c r="C544" s="176"/>
      <c r="D544" s="189">
        <v>2</v>
      </c>
      <c r="E544" s="190" t="s">
        <v>46</v>
      </c>
      <c r="F544" s="191"/>
      <c r="G544" s="192"/>
      <c r="H544" s="186"/>
      <c r="I544" s="187"/>
      <c r="J544" s="188">
        <f ca="1">IFERROR(__xludf.DUMMYFUNCTION("IMPORTRANGE(""https://docs.google.com/spreadsheets/d/11923uPwbBZFjjGgGUA6NLw09EwE0CqkOc4q9oUmW1yo/edit?usp=sharing"",""พิจิตร!J439"")"),1)</f>
        <v>1</v>
      </c>
      <c r="K544" s="163"/>
      <c r="L544" s="181" t="s">
        <v>40</v>
      </c>
      <c r="M544" s="181"/>
      <c r="N544" s="181" t="s">
        <v>40</v>
      </c>
      <c r="O544" s="181"/>
      <c r="P544" s="181"/>
    </row>
    <row r="545" spans="1:16" ht="21.75" customHeight="1" x14ac:dyDescent="0.3">
      <c r="A545" s="175"/>
      <c r="B545" s="176"/>
      <c r="C545" s="176"/>
      <c r="D545" s="193"/>
      <c r="E545" s="194" t="s">
        <v>47</v>
      </c>
      <c r="F545" s="195"/>
      <c r="G545" s="196"/>
      <c r="H545" s="186"/>
      <c r="I545" s="187"/>
      <c r="J545" s="188">
        <f ca="1">IFERROR(__xludf.DUMMYFUNCTION("IMPORTRANGE(""https://docs.google.com/spreadsheets/d/11923uPwbBZFjjGgGUA6NLw09EwE0CqkOc4q9oUmW1yo/edit?usp=sharing"",""พิจิตร!J440"")"),1)</f>
        <v>1</v>
      </c>
      <c r="K545" s="163"/>
      <c r="L545" s="181"/>
      <c r="M545" s="181"/>
      <c r="N545" s="181"/>
      <c r="O545" s="181"/>
      <c r="P545" s="181"/>
    </row>
    <row r="546" spans="1:16" ht="21.75" customHeight="1" x14ac:dyDescent="0.3">
      <c r="A546" s="175"/>
      <c r="B546" s="176"/>
      <c r="C546" s="176"/>
      <c r="D546" s="193"/>
      <c r="E546" s="194" t="s">
        <v>48</v>
      </c>
      <c r="F546" s="195"/>
      <c r="G546" s="196"/>
      <c r="H546" s="186"/>
      <c r="I546" s="187"/>
      <c r="J546" s="197">
        <f ca="1">IFERROR(__xludf.DUMMYFUNCTION("IMPORTRANGE(""https://docs.google.com/spreadsheets/d/11923uPwbBZFjjGgGUA6NLw09EwE0CqkOc4q9oUmW1yo/edit?usp=sharing"",""พิจิตร!J441"")"),1)</f>
        <v>1</v>
      </c>
      <c r="K546" s="163"/>
      <c r="L546" s="181"/>
      <c r="M546" s="181"/>
      <c r="N546" s="181"/>
      <c r="O546" s="181"/>
      <c r="P546" s="181"/>
    </row>
    <row r="547" spans="1:16" ht="21.75" customHeight="1" x14ac:dyDescent="0.3">
      <c r="A547" s="175"/>
      <c r="B547" s="176"/>
      <c r="C547" s="176"/>
      <c r="D547" s="193"/>
      <c r="E547" s="198"/>
      <c r="F547" s="195"/>
      <c r="G547" s="225" t="s">
        <v>203</v>
      </c>
      <c r="H547" s="186" t="s">
        <v>37</v>
      </c>
      <c r="I547" s="203">
        <f ca="1">IFERROR(__xludf.DUMMYFUNCTION("IMPORTRANGE(""https://docs.google.com/spreadsheets/d/11923uPwbBZFjjGgGUA6NLw09EwE0CqkOc4q9oUmW1yo/edit?usp=sharing"",""พิจิตร!I442"")"),22)</f>
        <v>22</v>
      </c>
      <c r="J547" s="188">
        <f ca="1">IFERROR(__xludf.DUMMYFUNCTION("IMPORTRANGE(""https://docs.google.com/spreadsheets/d/11923uPwbBZFjjGgGUA6NLw09EwE0CqkOc4q9oUmW1yo/edit?usp=sharing"",""พิจิตร!J442"")"),22)</f>
        <v>22</v>
      </c>
      <c r="K547" s="163">
        <f t="shared" ref="K547:K548" ca="1" si="119">IF(I547&gt;0,J547*100/I547,0)</f>
        <v>100</v>
      </c>
      <c r="L547" s="181"/>
      <c r="M547" s="181"/>
      <c r="N547" s="181"/>
      <c r="O547" s="181"/>
      <c r="P547" s="181"/>
    </row>
    <row r="548" spans="1:16" ht="21.75" hidden="1" customHeight="1" x14ac:dyDescent="0.3">
      <c r="A548" s="175"/>
      <c r="B548" s="176"/>
      <c r="C548" s="176"/>
      <c r="D548" s="193"/>
      <c r="E548" s="198"/>
      <c r="F548" s="195"/>
      <c r="G548" s="225" t="s">
        <v>204</v>
      </c>
      <c r="H548" s="186" t="s">
        <v>37</v>
      </c>
      <c r="I548" s="339">
        <f ca="1">IFERROR(__xludf.DUMMYFUNCTION("IMPORTRANGE(""https://docs.google.com/spreadsheets/d/1C3CXT74ZlgGe6_JY_1olB1XN4rF0dxEuIIF-xsYjHgg/edit?usp=sharing"",""งบกองทุน!dr63"")"),0)</f>
        <v>0</v>
      </c>
      <c r="J548" s="197">
        <f ca="1">IFERROR(__xludf.DUMMYFUNCTION("IMPORTRANGE(""https://docs.google.com/spreadsheets/d/11923uPwbBZFjjGgGUA6NLw09EwE0CqkOc4q9oUmW1yo/edit?usp=sharing"",""พิจิตร!J166"")"),0)</f>
        <v>0</v>
      </c>
      <c r="K548" s="163">
        <f t="shared" ca="1" si="119"/>
        <v>0</v>
      </c>
      <c r="L548" s="181"/>
      <c r="M548" s="181"/>
      <c r="N548" s="181"/>
      <c r="O548" s="181"/>
      <c r="P548" s="181"/>
    </row>
    <row r="549" spans="1:16" ht="21.75" customHeight="1" x14ac:dyDescent="0.3">
      <c r="A549" s="175"/>
      <c r="B549" s="176"/>
      <c r="C549" s="176"/>
      <c r="D549" s="193"/>
      <c r="E549" s="194" t="s">
        <v>54</v>
      </c>
      <c r="F549" s="195"/>
      <c r="G549" s="196"/>
      <c r="H549" s="186"/>
      <c r="I549" s="187"/>
      <c r="J549" s="197">
        <f ca="1">IFERROR(__xludf.DUMMYFUNCTION("IMPORTRANGE(""https://docs.google.com/spreadsheets/d/11923uPwbBZFjjGgGUA6NLw09EwE0CqkOc4q9oUmW1yo/edit?usp=sharing"",""พิจิตร!J444"")"),1)</f>
        <v>1</v>
      </c>
      <c r="K549" s="163"/>
      <c r="L549" s="181"/>
      <c r="M549" s="181"/>
      <c r="N549" s="181"/>
      <c r="O549" s="181"/>
      <c r="P549" s="181"/>
    </row>
    <row r="550" spans="1:16" ht="21.75" customHeight="1" x14ac:dyDescent="0.3">
      <c r="A550" s="457"/>
      <c r="B550" s="458"/>
      <c r="C550" s="458"/>
      <c r="D550" s="467">
        <v>3</v>
      </c>
      <c r="E550" s="468" t="s">
        <v>55</v>
      </c>
      <c r="F550" s="469"/>
      <c r="G550" s="470"/>
      <c r="H550" s="471"/>
      <c r="I550" s="463"/>
      <c r="J550" s="472">
        <f ca="1">IFERROR(__xludf.DUMMYFUNCTION("IMPORTRANGE(""https://docs.google.com/spreadsheets/d/11923uPwbBZFjjGgGUA6NLw09EwE0CqkOc4q9oUmW1yo/edit?usp=sharing"",""พิจิตร!J445"")"),0)</f>
        <v>0</v>
      </c>
      <c r="K550" s="465"/>
      <c r="L550" s="466"/>
      <c r="M550" s="466"/>
      <c r="N550" s="466"/>
      <c r="O550" s="466"/>
      <c r="P550" s="466"/>
    </row>
    <row r="551" spans="1:16" ht="21.75" customHeight="1" x14ac:dyDescent="0.3">
      <c r="A551" s="403"/>
      <c r="B551" s="404">
        <v>7</v>
      </c>
      <c r="C551" s="405" t="s">
        <v>205</v>
      </c>
      <c r="D551" s="405"/>
      <c r="E551" s="405"/>
      <c r="F551" s="405"/>
      <c r="G551" s="406"/>
      <c r="H551" s="407" t="s">
        <v>122</v>
      </c>
      <c r="I551" s="408">
        <f ca="1">IFERROR(__xludf.DUMMYFUNCTION("IMPORTRANGE(""https://docs.google.com/spreadsheets/d/11923uPwbBZFjjGgGUA6NLw09EwE0CqkOc4q9oUmW1yo/edit?usp=sharing"",""พิจิตร!I446"")"),0)</f>
        <v>0</v>
      </c>
      <c r="J551" s="408">
        <f ca="1">IFERROR(__xludf.DUMMYFUNCTION("IMPORTRANGE(""https://docs.google.com/spreadsheets/d/11923uPwbBZFjjGgGUA6NLw09EwE0CqkOc4q9oUmW1yo/edit?usp=sharing"",""พิจิตร!J446"")"),0)</f>
        <v>0</v>
      </c>
      <c r="K551" s="409">
        <f ca="1">IF(I551&gt;0,J551*100/I551,0)</f>
        <v>0</v>
      </c>
      <c r="L551" s="410">
        <f ca="1">IFERROR(__xludf.DUMMYFUNCTION("IMPORTRANGE(""https://docs.google.com/spreadsheets/d/11923uPwbBZFjjGgGUA6NLw09EwE0CqkOc4q9oUmW1yo/edit?usp=sharing"",""พิจิตร!L446"")"),0)</f>
        <v>0</v>
      </c>
      <c r="M551" s="410"/>
      <c r="N551" s="410">
        <f ca="1">IFERROR(__xludf.DUMMYFUNCTION("IMPORTRANGE(""https://docs.google.com/spreadsheets/d/11923uPwbBZFjjGgGUA6NLw09EwE0CqkOc4q9oUmW1yo/edit?usp=sharing"",""พิจิตร!M446"")"),0)</f>
        <v>0</v>
      </c>
      <c r="O551" s="410">
        <f t="shared" ref="O551:O555" ca="1" si="120">+IF(L551&gt;0,N551*100/L551,0)</f>
        <v>0</v>
      </c>
      <c r="P551" s="410"/>
    </row>
    <row r="552" spans="1:16" ht="21.75" customHeight="1" x14ac:dyDescent="0.3">
      <c r="A552" s="156"/>
      <c r="B552" s="157"/>
      <c r="C552" s="157" t="s">
        <v>16</v>
      </c>
      <c r="D552" s="158" t="s">
        <v>38</v>
      </c>
      <c r="E552" s="159"/>
      <c r="F552" s="159"/>
      <c r="G552" s="160" t="s">
        <v>39</v>
      </c>
      <c r="H552" s="161" t="s">
        <v>12</v>
      </c>
      <c r="I552" s="162" t="s">
        <v>40</v>
      </c>
      <c r="J552" s="162"/>
      <c r="K552" s="163"/>
      <c r="L552" s="164">
        <f ca="1">IFERROR(__xludf.DUMMYFUNCTION("IMPORTRANGE(""https://docs.google.com/spreadsheets/d/11923uPwbBZFjjGgGUA6NLw09EwE0CqkOc4q9oUmW1yo/edit?usp=sharing"",""พิจิตร!L447"")"),0)</f>
        <v>0</v>
      </c>
      <c r="M552" s="164"/>
      <c r="N552" s="168">
        <f ca="1">IFERROR(__xludf.DUMMYFUNCTION("IMPORTRANGE(""https://docs.google.com/spreadsheets/d/11923uPwbBZFjjGgGUA6NLw09EwE0CqkOc4q9oUmW1yo/edit?usp=sharing"",""พิจิตร!M447"")"),0)</f>
        <v>0</v>
      </c>
      <c r="O552" s="168">
        <f t="shared" ca="1" si="120"/>
        <v>0</v>
      </c>
      <c r="P552" s="168"/>
    </row>
    <row r="553" spans="1:16" ht="21.75" customHeight="1" x14ac:dyDescent="0.3">
      <c r="A553" s="156"/>
      <c r="B553" s="157"/>
      <c r="C553" s="157"/>
      <c r="D553" s="166"/>
      <c r="E553" s="159"/>
      <c r="F553" s="159" t="s">
        <v>40</v>
      </c>
      <c r="G553" s="160" t="s">
        <v>41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IFERROR(__xludf.DUMMYFUNCTION("IMPORTRANGE(""https://docs.google.com/spreadsheets/d/11923uPwbBZFjjGgGUA6NLw09EwE0CqkOc4q9oUmW1yo/edit?usp=sharing"",""พิจิตร!L448"")"),0)</f>
        <v>0</v>
      </c>
      <c r="M553" s="165"/>
      <c r="N553" s="168">
        <f ca="1">IFERROR(__xludf.DUMMYFUNCTION("IMPORTRANGE(""https://docs.google.com/spreadsheets/d/11923uPwbBZFjjGgGUA6NLw09EwE0CqkOc4q9oUmW1yo/edit?usp=sharing"",""พิจิตร!M448"")"),0)</f>
        <v>0</v>
      </c>
      <c r="O553" s="168">
        <f t="shared" ca="1" si="120"/>
        <v>0</v>
      </c>
      <c r="P553" s="168"/>
    </row>
    <row r="554" spans="1:16" ht="21.75" customHeight="1" x14ac:dyDescent="0.3">
      <c r="A554" s="156"/>
      <c r="B554" s="157"/>
      <c r="C554" s="157"/>
      <c r="D554" s="166"/>
      <c r="E554" s="159"/>
      <c r="F554" s="159"/>
      <c r="G554" s="372" t="s">
        <v>129</v>
      </c>
      <c r="H554" s="161" t="s">
        <v>12</v>
      </c>
      <c r="I554" s="162"/>
      <c r="J554" s="162"/>
      <c r="K554" s="163"/>
      <c r="L554" s="168">
        <f ca="1">IFERROR(__xludf.DUMMYFUNCTION("IMPORTRANGE(""https://docs.google.com/spreadsheets/d/11923uPwbBZFjjGgGUA6NLw09EwE0CqkOc4q9oUmW1yo/edit?usp=sharing"",""พิจิตร!L449"")"),0)</f>
        <v>0</v>
      </c>
      <c r="M554" s="168"/>
      <c r="N554" s="168">
        <f ca="1">IFERROR(__xludf.DUMMYFUNCTION("IMPORTRANGE(""https://docs.google.com/spreadsheets/d/11923uPwbBZFjjGgGUA6NLw09EwE0CqkOc4q9oUmW1yo/edit?usp=sharing"",""พิจิตร!M449"")"),0)</f>
        <v>0</v>
      </c>
      <c r="O554" s="168">
        <f t="shared" ca="1" si="120"/>
        <v>0</v>
      </c>
      <c r="P554" s="168"/>
    </row>
    <row r="555" spans="1:16" ht="21.75" customHeight="1" x14ac:dyDescent="0.3">
      <c r="A555" s="156"/>
      <c r="B555" s="157"/>
      <c r="C555" s="157"/>
      <c r="D555" s="166"/>
      <c r="E555" s="159"/>
      <c r="F555" s="159"/>
      <c r="G555" s="372" t="s">
        <v>130</v>
      </c>
      <c r="H555" s="161" t="s">
        <v>12</v>
      </c>
      <c r="I555" s="162"/>
      <c r="J555" s="162"/>
      <c r="K555" s="163"/>
      <c r="L555" s="168">
        <f ca="1">IFERROR(__xludf.DUMMYFUNCTION("IMPORTRANGE(""https://docs.google.com/spreadsheets/d/11923uPwbBZFjjGgGUA6NLw09EwE0CqkOc4q9oUmW1yo/edit?usp=sharing"",""พิจิตร!L450"")"),0)</f>
        <v>0</v>
      </c>
      <c r="M555" s="168"/>
      <c r="N555" s="168">
        <f ca="1">IFERROR(__xludf.DUMMYFUNCTION("IMPORTRANGE(""https://docs.google.com/spreadsheets/d/11923uPwbBZFjjGgGUA6NLw09EwE0CqkOc4q9oUmW1yo/edit?usp=sharing"",""พิจิตร!M450"")"),0)</f>
        <v>0</v>
      </c>
      <c r="O555" s="168">
        <f t="shared" ca="1" si="120"/>
        <v>0</v>
      </c>
      <c r="P555" s="168"/>
    </row>
    <row r="556" spans="1:16" ht="21.75" customHeight="1" x14ac:dyDescent="0.3">
      <c r="A556" s="373"/>
      <c r="B556" s="374"/>
      <c r="C556" s="157"/>
      <c r="D556" s="375"/>
      <c r="E556" s="159"/>
      <c r="F556" s="159"/>
      <c r="G556" s="376" t="s">
        <v>131</v>
      </c>
      <c r="H556" s="161" t="s">
        <v>12</v>
      </c>
      <c r="I556" s="187"/>
      <c r="J556" s="187"/>
      <c r="K556" s="223"/>
      <c r="L556" s="168"/>
      <c r="M556" s="168"/>
      <c r="N556" s="167">
        <f ca="1">IFERROR(__xludf.DUMMYFUNCTION("IMPORTRANGE(""https://docs.google.com/spreadsheets/d/11923uPwbBZFjjGgGUA6NLw09EwE0CqkOc4q9oUmW1yo/edit?usp=sharing"",""พิจิตร!M451"")"),0)</f>
        <v>0</v>
      </c>
      <c r="O556" s="168"/>
      <c r="P556" s="168"/>
    </row>
    <row r="557" spans="1:16" ht="21.75" customHeight="1" x14ac:dyDescent="0.3">
      <c r="A557" s="373"/>
      <c r="B557" s="374"/>
      <c r="C557" s="157"/>
      <c r="D557" s="375"/>
      <c r="E557" s="159"/>
      <c r="F557" s="159"/>
      <c r="G557" s="376" t="s">
        <v>132</v>
      </c>
      <c r="H557" s="161" t="s">
        <v>12</v>
      </c>
      <c r="I557" s="187"/>
      <c r="J557" s="187"/>
      <c r="K557" s="223"/>
      <c r="L557" s="168"/>
      <c r="M557" s="168"/>
      <c r="N557" s="167">
        <f ca="1">IFERROR(__xludf.DUMMYFUNCTION("IMPORTRANGE(""https://docs.google.com/spreadsheets/d/11923uPwbBZFjjGgGUA6NLw09EwE0CqkOc4q9oUmW1yo/edit?usp=sharing"",""พิจิตร!M452"")"),0)</f>
        <v>0</v>
      </c>
      <c r="O557" s="168"/>
      <c r="P557" s="168"/>
    </row>
    <row r="558" spans="1:16" ht="21.75" customHeight="1" x14ac:dyDescent="0.3">
      <c r="A558" s="373"/>
      <c r="B558" s="374"/>
      <c r="C558" s="157"/>
      <c r="D558" s="375"/>
      <c r="E558" s="159"/>
      <c r="F558" s="159"/>
      <c r="G558" s="376" t="s">
        <v>133</v>
      </c>
      <c r="H558" s="161" t="s">
        <v>12</v>
      </c>
      <c r="I558" s="187"/>
      <c r="J558" s="187"/>
      <c r="K558" s="223"/>
      <c r="L558" s="168"/>
      <c r="M558" s="168"/>
      <c r="N558" s="167">
        <f ca="1">IFERROR(__xludf.DUMMYFUNCTION("IMPORTRANGE(""https://docs.google.com/spreadsheets/d/11923uPwbBZFjjGgGUA6NLw09EwE0CqkOc4q9oUmW1yo/edit?usp=sharing"",""พิจิตร!M453"")"),0)</f>
        <v>0</v>
      </c>
      <c r="O558" s="168"/>
      <c r="P558" s="168"/>
    </row>
    <row r="559" spans="1:16" ht="21.75" customHeight="1" x14ac:dyDescent="0.3">
      <c r="A559" s="373"/>
      <c r="B559" s="374"/>
      <c r="C559" s="157"/>
      <c r="D559" s="375"/>
      <c r="E559" s="159"/>
      <c r="F559" s="159"/>
      <c r="G559" s="376" t="s">
        <v>134</v>
      </c>
      <c r="H559" s="161" t="s">
        <v>12</v>
      </c>
      <c r="I559" s="187"/>
      <c r="J559" s="187"/>
      <c r="K559" s="223"/>
      <c r="L559" s="168"/>
      <c r="M559" s="168"/>
      <c r="N559" s="167">
        <f ca="1">IFERROR(__xludf.DUMMYFUNCTION("IMPORTRANGE(""https://docs.google.com/spreadsheets/d/11923uPwbBZFjjGgGUA6NLw09EwE0CqkOc4q9oUmW1yo/edit?usp=sharing"",""พิจิตร!M454"")"),0)</f>
        <v>0</v>
      </c>
      <c r="O559" s="168"/>
      <c r="P559" s="168"/>
    </row>
    <row r="560" spans="1:16" ht="21.75" customHeight="1" x14ac:dyDescent="0.3">
      <c r="A560" s="175"/>
      <c r="B560" s="176"/>
      <c r="C560" s="176"/>
      <c r="D560" s="193"/>
      <c r="E560" s="195"/>
      <c r="F560" s="277" t="s">
        <v>206</v>
      </c>
      <c r="G560" s="196"/>
      <c r="H560" s="473" t="s">
        <v>122</v>
      </c>
      <c r="I560" s="162">
        <f ca="1">IFERROR(__xludf.DUMMYFUNCTION("IMPORTRANGE(""https://docs.google.com/spreadsheets/d/11923uPwbBZFjjGgGUA6NLw09EwE0CqkOc4q9oUmW1yo/edit?usp=sharing"",""พิจิตร!I455"")"),0)</f>
        <v>0</v>
      </c>
      <c r="J560" s="162">
        <f ca="1">IFERROR(__xludf.DUMMYFUNCTION("IMPORTRANGE(""https://docs.google.com/spreadsheets/d/11923uPwbBZFjjGgGUA6NLw09EwE0CqkOc4q9oUmW1yo/edit?usp=sharing"",""พิจิตร!J455"")"),0)</f>
        <v>0</v>
      </c>
      <c r="K560" s="223">
        <f t="shared" ref="K560:K564" ca="1" si="121">IF(I560&gt;0,J560*100/I560,0)</f>
        <v>0</v>
      </c>
      <c r="L560" s="168"/>
      <c r="M560" s="168"/>
      <c r="N560" s="168"/>
      <c r="O560" s="181"/>
      <c r="P560" s="181"/>
    </row>
    <row r="561" spans="1:16" ht="21.75" customHeight="1" x14ac:dyDescent="0.3">
      <c r="A561" s="175"/>
      <c r="B561" s="176"/>
      <c r="C561" s="176"/>
      <c r="D561" s="193"/>
      <c r="E561" s="195"/>
      <c r="F561" s="195"/>
      <c r="G561" s="196"/>
      <c r="H561" s="473" t="s">
        <v>36</v>
      </c>
      <c r="I561" s="162">
        <f ca="1">IFERROR(__xludf.DUMMYFUNCTION("IMPORTRANGE(""https://docs.google.com/spreadsheets/d/11923uPwbBZFjjGgGUA6NLw09EwE0CqkOc4q9oUmW1yo/edit?usp=sharing"",""พิจิตร!I456"")"),0)</f>
        <v>0</v>
      </c>
      <c r="J561" s="203">
        <f ca="1">IFERROR(__xludf.DUMMYFUNCTION("IMPORTRANGE(""https://docs.google.com/spreadsheets/d/11923uPwbBZFjjGgGUA6NLw09EwE0CqkOc4q9oUmW1yo/edit?usp=sharing"",""พิจิตร!J456"")"),0)</f>
        <v>0</v>
      </c>
      <c r="K561" s="223">
        <f t="shared" ca="1" si="121"/>
        <v>0</v>
      </c>
      <c r="L561" s="168"/>
      <c r="M561" s="168"/>
      <c r="N561" s="168"/>
      <c r="O561" s="181"/>
      <c r="P561" s="181"/>
    </row>
    <row r="562" spans="1:16" ht="21.75" customHeight="1" x14ac:dyDescent="0.3">
      <c r="A562" s="175"/>
      <c r="B562" s="176"/>
      <c r="C562" s="176"/>
      <c r="D562" s="193"/>
      <c r="E562" s="195"/>
      <c r="F562" s="195" t="s">
        <v>207</v>
      </c>
      <c r="G562" s="196"/>
      <c r="H562" s="473" t="s">
        <v>122</v>
      </c>
      <c r="I562" s="162">
        <v>0</v>
      </c>
      <c r="J562" s="203" t="str">
        <f ca="1">IFERROR(__xludf.DUMMYFUNCTION("IMPORTRANGE(""https://docs.google.com/spreadsheets/d/11923uPwbBZFjjGgGUA6NLw09EwE0CqkOc4q9oUmW1yo/edit?usp=sharing"",""พิจิตร!J457"")"),"")</f>
        <v/>
      </c>
      <c r="K562" s="163">
        <f t="shared" si="121"/>
        <v>0</v>
      </c>
      <c r="L562" s="181"/>
      <c r="M562" s="181"/>
      <c r="N562" s="181"/>
      <c r="O562" s="181"/>
      <c r="P562" s="181"/>
    </row>
    <row r="563" spans="1:16" ht="21.75" customHeight="1" x14ac:dyDescent="0.3">
      <c r="A563" s="175"/>
      <c r="B563" s="176"/>
      <c r="C563" s="176"/>
      <c r="D563" s="193"/>
      <c r="E563" s="195"/>
      <c r="F563" s="195"/>
      <c r="G563" s="196"/>
      <c r="H563" s="473" t="s">
        <v>36</v>
      </c>
      <c r="I563" s="162">
        <v>0</v>
      </c>
      <c r="J563" s="187" t="str">
        <f ca="1">IFERROR(__xludf.DUMMYFUNCTION("IMPORTRANGE(""https://docs.google.com/spreadsheets/d/11923uPwbBZFjjGgGUA6NLw09EwE0CqkOc4q9oUmW1yo/edit?usp=sharing"",""พิจิตร!J458"")"),"")</f>
        <v/>
      </c>
      <c r="K563" s="163">
        <f t="shared" si="121"/>
        <v>0</v>
      </c>
      <c r="L563" s="181"/>
      <c r="M563" s="181"/>
      <c r="N563" s="181"/>
      <c r="O563" s="181"/>
      <c r="P563" s="181"/>
    </row>
    <row r="564" spans="1:16" ht="21.75" customHeight="1" x14ac:dyDescent="0.3">
      <c r="A564" s="364"/>
      <c r="B564" s="365">
        <v>8</v>
      </c>
      <c r="C564" s="366" t="s">
        <v>208</v>
      </c>
      <c r="D564" s="366"/>
      <c r="E564" s="366"/>
      <c r="F564" s="366"/>
      <c r="G564" s="367"/>
      <c r="H564" s="368" t="s">
        <v>37</v>
      </c>
      <c r="I564" s="369">
        <f ca="1">IFERROR(__xludf.DUMMYFUNCTION("IMPORTRANGE(""https://docs.google.com/spreadsheets/d/11923uPwbBZFjjGgGUA6NLw09EwE0CqkOc4q9oUmW1yo/edit?usp=sharing"",""พิจิตร!I459"")"),1100)</f>
        <v>1100</v>
      </c>
      <c r="J564" s="369">
        <f ca="1">IFERROR(__xludf.DUMMYFUNCTION("IMPORTRANGE(""https://docs.google.com/spreadsheets/d/11923uPwbBZFjjGgGUA6NLw09EwE0CqkOc4q9oUmW1yo/edit?usp=sharing"",""พิจิตร!J459"")"),671)</f>
        <v>671</v>
      </c>
      <c r="K564" s="370">
        <f t="shared" ca="1" si="121"/>
        <v>61</v>
      </c>
      <c r="L564" s="371">
        <f ca="1">IFERROR(__xludf.DUMMYFUNCTION("IMPORTRANGE(""https://docs.google.com/spreadsheets/d/11923uPwbBZFjjGgGUA6NLw09EwE0CqkOc4q9oUmW1yo/edit?usp=sharing"",""พิจิตร!L459"")"),126080)</f>
        <v>126080</v>
      </c>
      <c r="M564" s="371"/>
      <c r="N564" s="371">
        <f ca="1">IFERROR(__xludf.DUMMYFUNCTION("IMPORTRANGE(""https://docs.google.com/spreadsheets/d/11923uPwbBZFjjGgGUA6NLw09EwE0CqkOc4q9oUmW1yo/edit?usp=sharing"",""พิจิตร!M459"")"),28706.19)</f>
        <v>28706.19</v>
      </c>
      <c r="O564" s="371">
        <f t="shared" ref="O564:O568" ca="1" si="122">+IF(L564&gt;0,N564*100/L564,0)</f>
        <v>22.768234454314722</v>
      </c>
      <c r="P564" s="371"/>
    </row>
    <row r="565" spans="1:16" ht="21.75" customHeight="1" x14ac:dyDescent="0.3">
      <c r="A565" s="156"/>
      <c r="B565" s="157"/>
      <c r="C565" s="157" t="s">
        <v>16</v>
      </c>
      <c r="D565" s="158" t="s">
        <v>38</v>
      </c>
      <c r="E565" s="159"/>
      <c r="F565" s="159"/>
      <c r="G565" s="160" t="s">
        <v>39</v>
      </c>
      <c r="H565" s="161" t="s">
        <v>12</v>
      </c>
      <c r="I565" s="162" t="s">
        <v>40</v>
      </c>
      <c r="J565" s="162"/>
      <c r="K565" s="163"/>
      <c r="L565" s="164">
        <f ca="1">IFERROR(__xludf.DUMMYFUNCTION("IMPORTRANGE(""https://docs.google.com/spreadsheets/d/11923uPwbBZFjjGgGUA6NLw09EwE0CqkOc4q9oUmW1yo/edit?usp=sharing"",""พิจิตร!L460"")"),0)</f>
        <v>0</v>
      </c>
      <c r="M565" s="164"/>
      <c r="N565" s="168">
        <f ca="1">IFERROR(__xludf.DUMMYFUNCTION("IMPORTRANGE(""https://docs.google.com/spreadsheets/d/11923uPwbBZFjjGgGUA6NLw09EwE0CqkOc4q9oUmW1yo/edit?usp=sharing"",""พิจิตร!M460"")"),0)</f>
        <v>0</v>
      </c>
      <c r="O565" s="168">
        <f t="shared" ca="1" si="122"/>
        <v>0</v>
      </c>
      <c r="P565" s="168"/>
    </row>
    <row r="566" spans="1:16" ht="21.75" customHeight="1" x14ac:dyDescent="0.3">
      <c r="A566" s="156"/>
      <c r="B566" s="157"/>
      <c r="C566" s="157"/>
      <c r="D566" s="166"/>
      <c r="E566" s="159"/>
      <c r="F566" s="159" t="s">
        <v>40</v>
      </c>
      <c r="G566" s="160" t="s">
        <v>41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IFERROR(__xludf.DUMMYFUNCTION("IMPORTRANGE(""https://docs.google.com/spreadsheets/d/11923uPwbBZFjjGgGUA6NLw09EwE0CqkOc4q9oUmW1yo/edit?usp=sharing"",""พิจิตร!L461"")"),126080)</f>
        <v>126080</v>
      </c>
      <c r="M566" s="165"/>
      <c r="N566" s="168">
        <f ca="1">IFERROR(__xludf.DUMMYFUNCTION("IMPORTRANGE(""https://docs.google.com/spreadsheets/d/11923uPwbBZFjjGgGUA6NLw09EwE0CqkOc4q9oUmW1yo/edit?usp=sharing"",""พิจิตร!M461"")"),28706.19)</f>
        <v>28706.19</v>
      </c>
      <c r="O566" s="168">
        <f t="shared" ca="1" si="122"/>
        <v>22.768234454314722</v>
      </c>
      <c r="P566" s="168"/>
    </row>
    <row r="567" spans="1:16" ht="21.75" customHeight="1" x14ac:dyDescent="0.3">
      <c r="A567" s="156"/>
      <c r="B567" s="157"/>
      <c r="C567" s="157"/>
      <c r="D567" s="166"/>
      <c r="E567" s="159"/>
      <c r="F567" s="159"/>
      <c r="G567" s="372" t="s">
        <v>129</v>
      </c>
      <c r="H567" s="161" t="s">
        <v>12</v>
      </c>
      <c r="I567" s="162"/>
      <c r="J567" s="162"/>
      <c r="K567" s="163"/>
      <c r="L567" s="168">
        <f ca="1">IFERROR(__xludf.DUMMYFUNCTION("IMPORTRANGE(""https://docs.google.com/spreadsheets/d/11923uPwbBZFjjGgGUA6NLw09EwE0CqkOc4q9oUmW1yo/edit?usp=sharing"",""พิจิตร!L462"")"),0)</f>
        <v>0</v>
      </c>
      <c r="M567" s="168"/>
      <c r="N567" s="168">
        <f ca="1">IFERROR(__xludf.DUMMYFUNCTION("IMPORTRANGE(""https://docs.google.com/spreadsheets/d/11923uPwbBZFjjGgGUA6NLw09EwE0CqkOc4q9oUmW1yo/edit?usp=sharing"",""พิจิตร!M462"")"),0)</f>
        <v>0</v>
      </c>
      <c r="O567" s="168">
        <f t="shared" ca="1" si="122"/>
        <v>0</v>
      </c>
      <c r="P567" s="168"/>
    </row>
    <row r="568" spans="1:16" ht="21.75" customHeight="1" x14ac:dyDescent="0.3">
      <c r="A568" s="156"/>
      <c r="B568" s="157"/>
      <c r="C568" s="157"/>
      <c r="D568" s="166"/>
      <c r="E568" s="159"/>
      <c r="F568" s="159"/>
      <c r="G568" s="372" t="s">
        <v>130</v>
      </c>
      <c r="H568" s="161" t="s">
        <v>12</v>
      </c>
      <c r="I568" s="162"/>
      <c r="J568" s="162"/>
      <c r="K568" s="163"/>
      <c r="L568" s="168">
        <f ca="1">IFERROR(__xludf.DUMMYFUNCTION("IMPORTRANGE(""https://docs.google.com/spreadsheets/d/11923uPwbBZFjjGgGUA6NLw09EwE0CqkOc4q9oUmW1yo/edit?usp=sharing"",""พิจิตร!L463"")"),126080)</f>
        <v>126080</v>
      </c>
      <c r="M568" s="168"/>
      <c r="N568" s="168">
        <f ca="1">IFERROR(__xludf.DUMMYFUNCTION("IMPORTRANGE(""https://docs.google.com/spreadsheets/d/11923uPwbBZFjjGgGUA6NLw09EwE0CqkOc4q9oUmW1yo/edit?usp=sharing"",""พิจิตร!M463"")"),28706.19)</f>
        <v>28706.19</v>
      </c>
      <c r="O568" s="168">
        <f t="shared" ca="1" si="122"/>
        <v>22.768234454314722</v>
      </c>
      <c r="P568" s="168"/>
    </row>
    <row r="569" spans="1:16" ht="21.75" customHeight="1" x14ac:dyDescent="0.3">
      <c r="A569" s="373"/>
      <c r="B569" s="374"/>
      <c r="C569" s="157"/>
      <c r="D569" s="375"/>
      <c r="E569" s="159"/>
      <c r="F569" s="159"/>
      <c r="G569" s="376" t="s">
        <v>131</v>
      </c>
      <c r="H569" s="161" t="s">
        <v>12</v>
      </c>
      <c r="I569" s="187"/>
      <c r="J569" s="187"/>
      <c r="K569" s="223"/>
      <c r="L569" s="168"/>
      <c r="M569" s="168"/>
      <c r="N569" s="167">
        <f ca="1">IFERROR(__xludf.DUMMYFUNCTION("IMPORTRANGE(""https://docs.google.com/spreadsheets/d/11923uPwbBZFjjGgGUA6NLw09EwE0CqkOc4q9oUmW1yo/edit?usp=sharing"",""พิจิตร!M464"")"),0)</f>
        <v>0</v>
      </c>
      <c r="O569" s="168"/>
      <c r="P569" s="168"/>
    </row>
    <row r="570" spans="1:16" ht="21.75" customHeight="1" x14ac:dyDescent="0.3">
      <c r="A570" s="373"/>
      <c r="B570" s="374"/>
      <c r="C570" s="157"/>
      <c r="D570" s="375"/>
      <c r="E570" s="159"/>
      <c r="F570" s="159"/>
      <c r="G570" s="376" t="s">
        <v>132</v>
      </c>
      <c r="H570" s="161" t="s">
        <v>12</v>
      </c>
      <c r="I570" s="187"/>
      <c r="J570" s="187"/>
      <c r="K570" s="223"/>
      <c r="L570" s="168"/>
      <c r="M570" s="168"/>
      <c r="N570" s="167">
        <f ca="1">IFERROR(__xludf.DUMMYFUNCTION("IMPORTRANGE(""https://docs.google.com/spreadsheets/d/11923uPwbBZFjjGgGUA6NLw09EwE0CqkOc4q9oUmW1yo/edit?usp=sharing"",""พิจิตร!M465"")"),0)</f>
        <v>0</v>
      </c>
      <c r="O570" s="168"/>
      <c r="P570" s="168"/>
    </row>
    <row r="571" spans="1:16" ht="21.75" customHeight="1" x14ac:dyDescent="0.3">
      <c r="A571" s="373"/>
      <c r="B571" s="374"/>
      <c r="C571" s="157"/>
      <c r="D571" s="375"/>
      <c r="E571" s="159"/>
      <c r="F571" s="159"/>
      <c r="G571" s="376" t="s">
        <v>133</v>
      </c>
      <c r="H571" s="161" t="s">
        <v>12</v>
      </c>
      <c r="I571" s="187"/>
      <c r="J571" s="187"/>
      <c r="K571" s="223"/>
      <c r="L571" s="168"/>
      <c r="M571" s="168"/>
      <c r="N571" s="377">
        <f ca="1">IFERROR(__xludf.DUMMYFUNCTION("IMPORTRANGE(""https://docs.google.com/spreadsheets/d/11923uPwbBZFjjGgGUA6NLw09EwE0CqkOc4q9oUmW1yo/edit?usp=sharing"",""พิจิตร!M466"")"),24330.19)</f>
        <v>24330.19</v>
      </c>
      <c r="O571" s="168"/>
      <c r="P571" s="168"/>
    </row>
    <row r="572" spans="1:16" ht="21.75" customHeight="1" x14ac:dyDescent="0.3">
      <c r="A572" s="373"/>
      <c r="B572" s="374"/>
      <c r="C572" s="157"/>
      <c r="D572" s="375"/>
      <c r="E572" s="159"/>
      <c r="F572" s="159"/>
      <c r="G572" s="376" t="s">
        <v>134</v>
      </c>
      <c r="H572" s="161" t="s">
        <v>12</v>
      </c>
      <c r="I572" s="187"/>
      <c r="J572" s="187"/>
      <c r="K572" s="223"/>
      <c r="L572" s="168"/>
      <c r="M572" s="168"/>
      <c r="N572" s="377">
        <f ca="1">IFERROR(__xludf.DUMMYFUNCTION("IMPORTRANGE(""https://docs.google.com/spreadsheets/d/11923uPwbBZFjjGgGUA6NLw09EwE0CqkOc4q9oUmW1yo/edit?usp=sharing"",""พิจิตร!M467"")"),4376)</f>
        <v>4376</v>
      </c>
      <c r="O572" s="168"/>
      <c r="P572" s="168"/>
    </row>
    <row r="573" spans="1:16" ht="21.75" customHeight="1" x14ac:dyDescent="0.3">
      <c r="A573" s="175"/>
      <c r="B573" s="176"/>
      <c r="C573" s="176"/>
      <c r="D573" s="195"/>
      <c r="E573" s="194" t="s">
        <v>40</v>
      </c>
      <c r="F573" s="412" t="s">
        <v>209</v>
      </c>
      <c r="G573" s="386"/>
      <c r="H573" s="474" t="s">
        <v>37</v>
      </c>
      <c r="I573" s="418">
        <f ca="1">IFERROR(__xludf.DUMMYFUNCTION("IMPORTRANGE(""https://docs.google.com/spreadsheets/d/11923uPwbBZFjjGgGUA6NLw09EwE0CqkOc4q9oUmW1yo/edit?usp=sharing"",""พิจิตร!I468"")"),1100)</f>
        <v>1100</v>
      </c>
      <c r="J573" s="418">
        <f ca="1">IFERROR(__xludf.DUMMYFUNCTION("IMPORTRANGE(""https://docs.google.com/spreadsheets/d/11923uPwbBZFjjGgGUA6NLw09EwE0CqkOc4q9oUmW1yo/edit?usp=sharing"",""พิจิตร!J468"")"),671)</f>
        <v>671</v>
      </c>
      <c r="K573" s="201">
        <f ca="1">IF(I573&gt;0,J573*100/I573,0)</f>
        <v>61</v>
      </c>
      <c r="L573" s="181"/>
      <c r="M573" s="181"/>
      <c r="N573" s="181"/>
      <c r="O573" s="181"/>
      <c r="P573" s="181"/>
    </row>
    <row r="574" spans="1:16" ht="21.75" customHeight="1" x14ac:dyDescent="0.3">
      <c r="A574" s="175"/>
      <c r="B574" s="176"/>
      <c r="C574" s="176"/>
      <c r="D574" s="195"/>
      <c r="E574" s="195"/>
      <c r="F574" s="194" t="s">
        <v>210</v>
      </c>
      <c r="G574" s="196"/>
      <c r="H574" s="473"/>
      <c r="I574" s="162"/>
      <c r="J574" s="162"/>
      <c r="K574" s="163"/>
      <c r="L574" s="181"/>
      <c r="M574" s="181"/>
      <c r="N574" s="181"/>
      <c r="O574" s="181"/>
      <c r="P574" s="181"/>
    </row>
    <row r="575" spans="1:16" ht="21.75" customHeight="1" x14ac:dyDescent="0.3">
      <c r="A575" s="175"/>
      <c r="B575" s="176"/>
      <c r="C575" s="176"/>
      <c r="D575" s="195"/>
      <c r="E575" s="194" t="s">
        <v>40</v>
      </c>
      <c r="F575" s="194" t="s">
        <v>211</v>
      </c>
      <c r="G575" s="196"/>
      <c r="H575" s="473" t="s">
        <v>77</v>
      </c>
      <c r="I575" s="202">
        <f ca="1">IFERROR(__xludf.DUMMYFUNCTION("IMPORTRANGE(""https://docs.google.com/spreadsheets/d/11923uPwbBZFjjGgGUA6NLw09EwE0CqkOc4q9oUmW1yo/edit?usp=sharing"",""พิจิตร!I470"")"),0)</f>
        <v>0</v>
      </c>
      <c r="J575" s="197">
        <f ca="1">IFERROR(__xludf.DUMMYFUNCTION("IMPORTRANGE(""https://docs.google.com/spreadsheets/d/11923uPwbBZFjjGgGUA6NLw09EwE0CqkOc4q9oUmW1yo/edit?usp=sharing"",""พิจิตร!J470"")"),4)</f>
        <v>4</v>
      </c>
      <c r="K575" s="163">
        <f t="shared" ref="K575:K579" ca="1" si="123">IF(I575&gt;0,J575*100/I575,0)</f>
        <v>0</v>
      </c>
      <c r="L575" s="181"/>
      <c r="M575" s="181"/>
      <c r="N575" s="181"/>
      <c r="O575" s="181"/>
      <c r="P575" s="181"/>
    </row>
    <row r="576" spans="1:16" ht="21.75" customHeight="1" x14ac:dyDescent="0.3">
      <c r="A576" s="175"/>
      <c r="B576" s="176"/>
      <c r="C576" s="176"/>
      <c r="D576" s="195"/>
      <c r="E576" s="195"/>
      <c r="F576" s="194" t="s">
        <v>212</v>
      </c>
      <c r="G576" s="196"/>
      <c r="H576" s="473" t="s">
        <v>37</v>
      </c>
      <c r="I576" s="202">
        <f ca="1">IFERROR(__xludf.DUMMYFUNCTION("IMPORTRANGE(""https://docs.google.com/spreadsheets/d/11923uPwbBZFjjGgGUA6NLw09EwE0CqkOc4q9oUmW1yo/edit?usp=sharing"",""พิจิตร!I471"")"),0)</f>
        <v>0</v>
      </c>
      <c r="J576" s="197">
        <f ca="1">IFERROR(__xludf.DUMMYFUNCTION("IMPORTRANGE(""https://docs.google.com/spreadsheets/d/11923uPwbBZFjjGgGUA6NLw09EwE0CqkOc4q9oUmW1yo/edit?usp=sharing"",""พิจิตร!J471"")"),95)</f>
        <v>95</v>
      </c>
      <c r="K576" s="163">
        <f t="shared" ca="1" si="123"/>
        <v>0</v>
      </c>
      <c r="L576" s="181"/>
      <c r="M576" s="181"/>
      <c r="N576" s="181"/>
      <c r="O576" s="181"/>
      <c r="P576" s="181"/>
    </row>
    <row r="577" spans="1:16" ht="21.75" customHeight="1" x14ac:dyDescent="0.3">
      <c r="A577" s="175"/>
      <c r="B577" s="176"/>
      <c r="C577" s="176"/>
      <c r="D577" s="195"/>
      <c r="E577" s="195"/>
      <c r="F577" s="194" t="s">
        <v>213</v>
      </c>
      <c r="G577" s="196"/>
      <c r="H577" s="473" t="s">
        <v>37</v>
      </c>
      <c r="I577" s="202">
        <f ca="1">IFERROR(__xludf.DUMMYFUNCTION("IMPORTRANGE(""https://docs.google.com/spreadsheets/d/11923uPwbBZFjjGgGUA6NLw09EwE0CqkOc4q9oUmW1yo/edit?usp=sharing"",""พิจิตร!I472"")"),0)</f>
        <v>0</v>
      </c>
      <c r="J577" s="188">
        <f ca="1">IFERROR(__xludf.DUMMYFUNCTION("IMPORTRANGE(""https://docs.google.com/spreadsheets/d/11923uPwbBZFjjGgGUA6NLw09EwE0CqkOc4q9oUmW1yo/edit?usp=sharing"",""พิจิตร!J472"")"),576)</f>
        <v>576</v>
      </c>
      <c r="K577" s="163">
        <f t="shared" ca="1" si="123"/>
        <v>0</v>
      </c>
      <c r="L577" s="181"/>
      <c r="M577" s="181"/>
      <c r="N577" s="181"/>
      <c r="O577" s="181"/>
      <c r="P577" s="181"/>
    </row>
    <row r="578" spans="1:16" ht="21.75" customHeight="1" x14ac:dyDescent="0.3">
      <c r="A578" s="175"/>
      <c r="B578" s="176"/>
      <c r="C578" s="176"/>
      <c r="D578" s="195"/>
      <c r="E578" s="195"/>
      <c r="F578" s="194" t="s">
        <v>214</v>
      </c>
      <c r="G578" s="419"/>
      <c r="H578" s="473" t="s">
        <v>37</v>
      </c>
      <c r="I578" s="202">
        <f ca="1">IFERROR(__xludf.DUMMYFUNCTION("IMPORTRANGE(""https://docs.google.com/spreadsheets/d/11923uPwbBZFjjGgGUA6NLw09EwE0CqkOc4q9oUmW1yo/edit?usp=sharing"",""พิจิตร!I473"")"),0)</f>
        <v>0</v>
      </c>
      <c r="J578" s="197">
        <f ca="1">IFERROR(__xludf.DUMMYFUNCTION("IMPORTRANGE(""https://docs.google.com/spreadsheets/d/11923uPwbBZFjjGgGUA6NLw09EwE0CqkOc4q9oUmW1yo/edit?usp=sharing"",""พิจิตร!J473"")"),0)</f>
        <v>0</v>
      </c>
      <c r="K578" s="163">
        <f t="shared" ca="1" si="123"/>
        <v>0</v>
      </c>
      <c r="L578" s="181"/>
      <c r="M578" s="181"/>
      <c r="N578" s="181"/>
      <c r="O578" s="181"/>
      <c r="P578" s="181"/>
    </row>
    <row r="579" spans="1:16" ht="21.75" customHeight="1" x14ac:dyDescent="0.3">
      <c r="A579" s="175"/>
      <c r="B579" s="176"/>
      <c r="C579" s="176"/>
      <c r="D579" s="195"/>
      <c r="E579" s="195"/>
      <c r="F579" s="194" t="s">
        <v>215</v>
      </c>
      <c r="G579" s="419"/>
      <c r="H579" s="473" t="s">
        <v>37</v>
      </c>
      <c r="I579" s="202">
        <f ca="1">IFERROR(__xludf.DUMMYFUNCTION("IMPORTRANGE(""https://docs.google.com/spreadsheets/d/11923uPwbBZFjjGgGUA6NLw09EwE0CqkOc4q9oUmW1yo/edit?usp=sharing"",""พิจิตร!I474"")"),0)</f>
        <v>0</v>
      </c>
      <c r="J579" s="197">
        <f ca="1">IFERROR(__xludf.DUMMYFUNCTION("IMPORTRANGE(""https://docs.google.com/spreadsheets/d/11923uPwbBZFjjGgGUA6NLw09EwE0CqkOc4q9oUmW1yo/edit?usp=sharing"",""พิจิตร!J474"")"),0)</f>
        <v>0</v>
      </c>
      <c r="K579" s="163">
        <f t="shared" ca="1" si="123"/>
        <v>0</v>
      </c>
      <c r="L579" s="181"/>
      <c r="M579" s="181"/>
      <c r="N579" s="181"/>
      <c r="O579" s="181"/>
      <c r="P579" s="181"/>
    </row>
    <row r="580" spans="1:16" ht="21.75" customHeight="1" x14ac:dyDescent="0.3">
      <c r="A580" s="364"/>
      <c r="B580" s="365">
        <v>9</v>
      </c>
      <c r="C580" s="475" t="s">
        <v>216</v>
      </c>
      <c r="D580" s="366"/>
      <c r="E580" s="366"/>
      <c r="F580" s="366"/>
      <c r="G580" s="367"/>
      <c r="H580" s="368" t="s">
        <v>37</v>
      </c>
      <c r="I580" s="369">
        <f ca="1">IFERROR(__xludf.DUMMYFUNCTION("IMPORTRANGE(""https://docs.google.com/spreadsheets/d/11923uPwbBZFjjGgGUA6NLw09EwE0CqkOc4q9oUmW1yo/edit?usp=sharing"",""พิจิตร!I475"")"),200)</f>
        <v>200</v>
      </c>
      <c r="J580" s="369">
        <f ca="1">IFERROR(__xludf.DUMMYFUNCTION("IMPORTRANGE(""https://docs.google.com/spreadsheets/d/11923uPwbBZFjjGgGUA6NLw09EwE0CqkOc4q9oUmW1yo/edit?usp=sharing"",""พิจิตร!J475"")"),18)</f>
        <v>18</v>
      </c>
      <c r="K580" s="370">
        <f ca="1">IF(I580&gt;0,J580*100/I580,0)</f>
        <v>9</v>
      </c>
      <c r="L580" s="371">
        <f ca="1">IFERROR(__xludf.DUMMYFUNCTION("IMPORTRANGE(""https://docs.google.com/spreadsheets/d/11923uPwbBZFjjGgGUA6NLw09EwE0CqkOc4q9oUmW1yo/edit?usp=sharing"",""พิจิตร!L475"")"),352400)</f>
        <v>352400</v>
      </c>
      <c r="M580" s="371"/>
      <c r="N580" s="371">
        <f ca="1">IFERROR(__xludf.DUMMYFUNCTION("IMPORTRANGE(""https://docs.google.com/spreadsheets/d/11923uPwbBZFjjGgGUA6NLw09EwE0CqkOc4q9oUmW1yo/edit?usp=sharing"",""พิจิตร!M475"")"),31411.64)</f>
        <v>31411.64</v>
      </c>
      <c r="O580" s="371">
        <f t="shared" ref="O580:O584" ca="1" si="124">+IF(L580&gt;0,N580*100/L580,0)</f>
        <v>8.9136322360953457</v>
      </c>
      <c r="P580" s="371"/>
    </row>
    <row r="581" spans="1:16" ht="21.75" customHeight="1" x14ac:dyDescent="0.3">
      <c r="A581" s="156"/>
      <c r="B581" s="157"/>
      <c r="C581" s="157" t="s">
        <v>16</v>
      </c>
      <c r="D581" s="158" t="s">
        <v>38</v>
      </c>
      <c r="E581" s="159"/>
      <c r="F581" s="159"/>
      <c r="G581" s="160" t="s">
        <v>39</v>
      </c>
      <c r="H581" s="161" t="s">
        <v>12</v>
      </c>
      <c r="I581" s="162" t="s">
        <v>40</v>
      </c>
      <c r="J581" s="162"/>
      <c r="K581" s="163"/>
      <c r="L581" s="164">
        <f ca="1">IFERROR(__xludf.DUMMYFUNCTION("IMPORTRANGE(""https://docs.google.com/spreadsheets/d/11923uPwbBZFjjGgGUA6NLw09EwE0CqkOc4q9oUmW1yo/edit?usp=sharing"",""พิจิตร!L476"")"),0)</f>
        <v>0</v>
      </c>
      <c r="M581" s="164"/>
      <c r="N581" s="168">
        <f ca="1">IFERROR(__xludf.DUMMYFUNCTION("IMPORTRANGE(""https://docs.google.com/spreadsheets/d/11923uPwbBZFjjGgGUA6NLw09EwE0CqkOc4q9oUmW1yo/edit?usp=sharing"",""พิจิตร!M476"")"),0)</f>
        <v>0</v>
      </c>
      <c r="O581" s="168">
        <f t="shared" ca="1" si="124"/>
        <v>0</v>
      </c>
      <c r="P581" s="168"/>
    </row>
    <row r="582" spans="1:16" ht="21.75" customHeight="1" x14ac:dyDescent="0.3">
      <c r="A582" s="156"/>
      <c r="B582" s="157"/>
      <c r="C582" s="157"/>
      <c r="D582" s="166"/>
      <c r="E582" s="159"/>
      <c r="F582" s="159" t="s">
        <v>40</v>
      </c>
      <c r="G582" s="160" t="s">
        <v>41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IFERROR(__xludf.DUMMYFUNCTION("IMPORTRANGE(""https://docs.google.com/spreadsheets/d/11923uPwbBZFjjGgGUA6NLw09EwE0CqkOc4q9oUmW1yo/edit?usp=sharing"",""พิจิตร!L477"")"),352400)</f>
        <v>352400</v>
      </c>
      <c r="M582" s="165"/>
      <c r="N582" s="168">
        <f ca="1">IFERROR(__xludf.DUMMYFUNCTION("IMPORTRANGE(""https://docs.google.com/spreadsheets/d/11923uPwbBZFjjGgGUA6NLw09EwE0CqkOc4q9oUmW1yo/edit?usp=sharing"",""พิจิตร!M477"")"),31411.64)</f>
        <v>31411.64</v>
      </c>
      <c r="O582" s="168">
        <f t="shared" ca="1" si="124"/>
        <v>8.9136322360953457</v>
      </c>
      <c r="P582" s="168"/>
    </row>
    <row r="583" spans="1:16" ht="21.75" customHeight="1" x14ac:dyDescent="0.3">
      <c r="A583" s="156"/>
      <c r="B583" s="157"/>
      <c r="C583" s="157"/>
      <c r="D583" s="166"/>
      <c r="E583" s="159"/>
      <c r="F583" s="159"/>
      <c r="G583" s="372" t="s">
        <v>129</v>
      </c>
      <c r="H583" s="161" t="s">
        <v>12</v>
      </c>
      <c r="I583" s="162"/>
      <c r="J583" s="162"/>
      <c r="K583" s="163"/>
      <c r="L583" s="168">
        <f ca="1">IFERROR(__xludf.DUMMYFUNCTION("IMPORTRANGE(""https://docs.google.com/spreadsheets/d/11923uPwbBZFjjGgGUA6NLw09EwE0CqkOc4q9oUmW1yo/edit?usp=sharing"",""พิจิตร!L478"")"),0)</f>
        <v>0</v>
      </c>
      <c r="M583" s="168"/>
      <c r="N583" s="168">
        <f ca="1">IFERROR(__xludf.DUMMYFUNCTION("IMPORTRANGE(""https://docs.google.com/spreadsheets/d/11923uPwbBZFjjGgGUA6NLw09EwE0CqkOc4q9oUmW1yo/edit?usp=sharing"",""พิจิตร!M478"")"),0)</f>
        <v>0</v>
      </c>
      <c r="O583" s="168">
        <f t="shared" ca="1" si="124"/>
        <v>0</v>
      </c>
      <c r="P583" s="168"/>
    </row>
    <row r="584" spans="1:16" ht="21.75" customHeight="1" x14ac:dyDescent="0.3">
      <c r="A584" s="156"/>
      <c r="B584" s="157"/>
      <c r="C584" s="157"/>
      <c r="D584" s="166"/>
      <c r="E584" s="159"/>
      <c r="F584" s="159"/>
      <c r="G584" s="372" t="s">
        <v>130</v>
      </c>
      <c r="H584" s="161" t="s">
        <v>12</v>
      </c>
      <c r="I584" s="162"/>
      <c r="J584" s="162"/>
      <c r="K584" s="163"/>
      <c r="L584" s="168">
        <f ca="1">IFERROR(__xludf.DUMMYFUNCTION("IMPORTRANGE(""https://docs.google.com/spreadsheets/d/11923uPwbBZFjjGgGUA6NLw09EwE0CqkOc4q9oUmW1yo/edit?usp=sharing"",""พิจิตร!L479"")"),352400)</f>
        <v>352400</v>
      </c>
      <c r="M584" s="168"/>
      <c r="N584" s="168">
        <f ca="1">IFERROR(__xludf.DUMMYFUNCTION("IMPORTRANGE(""https://docs.google.com/spreadsheets/d/11923uPwbBZFjjGgGUA6NLw09EwE0CqkOc4q9oUmW1yo/edit?usp=sharing"",""พิจิตร!M479"")"),31411.64)</f>
        <v>31411.64</v>
      </c>
      <c r="O584" s="168">
        <f t="shared" ca="1" si="124"/>
        <v>8.9136322360953457</v>
      </c>
      <c r="P584" s="168"/>
    </row>
    <row r="585" spans="1:16" ht="21.75" customHeight="1" x14ac:dyDescent="0.3">
      <c r="A585" s="373"/>
      <c r="B585" s="374"/>
      <c r="C585" s="157"/>
      <c r="D585" s="375"/>
      <c r="E585" s="159"/>
      <c r="F585" s="159"/>
      <c r="G585" s="376" t="s">
        <v>131</v>
      </c>
      <c r="H585" s="161" t="s">
        <v>12</v>
      </c>
      <c r="I585" s="187"/>
      <c r="J585" s="187"/>
      <c r="K585" s="223"/>
      <c r="L585" s="168"/>
      <c r="M585" s="168"/>
      <c r="N585" s="167">
        <f ca="1">IFERROR(__xludf.DUMMYFUNCTION("IMPORTRANGE(""https://docs.google.com/spreadsheets/d/11923uPwbBZFjjGgGUA6NLw09EwE0CqkOc4q9oUmW1yo/edit?usp=sharing"",""พิจิตร!M480"")"),0)</f>
        <v>0</v>
      </c>
      <c r="O585" s="168"/>
      <c r="P585" s="168"/>
    </row>
    <row r="586" spans="1:16" ht="21.75" customHeight="1" x14ac:dyDescent="0.3">
      <c r="A586" s="373"/>
      <c r="B586" s="374"/>
      <c r="C586" s="157"/>
      <c r="D586" s="375"/>
      <c r="E586" s="159"/>
      <c r="F586" s="159"/>
      <c r="G586" s="376" t="s">
        <v>132</v>
      </c>
      <c r="H586" s="161" t="s">
        <v>12</v>
      </c>
      <c r="I586" s="187"/>
      <c r="J586" s="187"/>
      <c r="K586" s="223"/>
      <c r="L586" s="168"/>
      <c r="M586" s="168"/>
      <c r="N586" s="167">
        <f ca="1">IFERROR(__xludf.DUMMYFUNCTION("IMPORTRANGE(""https://docs.google.com/spreadsheets/d/11923uPwbBZFjjGgGUA6NLw09EwE0CqkOc4q9oUmW1yo/edit?usp=sharing"",""พิจิตร!M481"")"),0)</f>
        <v>0</v>
      </c>
      <c r="O586" s="168"/>
      <c r="P586" s="168"/>
    </row>
    <row r="587" spans="1:16" ht="21.75" customHeight="1" x14ac:dyDescent="0.3">
      <c r="A587" s="373"/>
      <c r="B587" s="374"/>
      <c r="C587" s="157"/>
      <c r="D587" s="375"/>
      <c r="E587" s="159"/>
      <c r="F587" s="159"/>
      <c r="G587" s="376" t="s">
        <v>133</v>
      </c>
      <c r="H587" s="161" t="s">
        <v>12</v>
      </c>
      <c r="I587" s="187"/>
      <c r="J587" s="187"/>
      <c r="K587" s="223"/>
      <c r="L587" s="168"/>
      <c r="M587" s="168"/>
      <c r="N587" s="167">
        <f ca="1">IFERROR(__xludf.DUMMYFUNCTION("IMPORTRANGE(""https://docs.google.com/spreadsheets/d/11923uPwbBZFjjGgGUA6NLw09EwE0CqkOc4q9oUmW1yo/edit?usp=sharing"",""พิจิตร!M482"")"),1960)</f>
        <v>1960</v>
      </c>
      <c r="O587" s="168"/>
      <c r="P587" s="168"/>
    </row>
    <row r="588" spans="1:16" ht="21.75" customHeight="1" x14ac:dyDescent="0.3">
      <c r="A588" s="373"/>
      <c r="B588" s="374"/>
      <c r="C588" s="157"/>
      <c r="D588" s="375"/>
      <c r="E588" s="159"/>
      <c r="F588" s="159"/>
      <c r="G588" s="376" t="s">
        <v>134</v>
      </c>
      <c r="H588" s="161" t="s">
        <v>12</v>
      </c>
      <c r="I588" s="187"/>
      <c r="J588" s="187"/>
      <c r="K588" s="223"/>
      <c r="L588" s="168"/>
      <c r="M588" s="168"/>
      <c r="N588" s="167">
        <f ca="1">IFERROR(__xludf.DUMMYFUNCTION("IMPORTRANGE(""https://docs.google.com/spreadsheets/d/11923uPwbBZFjjGgGUA6NLw09EwE0CqkOc4q9oUmW1yo/edit?usp=sharing"",""พิจิตร!M483"")"),29451.64)</f>
        <v>29451.64</v>
      </c>
      <c r="O588" s="168"/>
      <c r="P588" s="168"/>
    </row>
    <row r="589" spans="1:16" ht="21.75" customHeight="1" x14ac:dyDescent="0.3">
      <c r="A589" s="476"/>
      <c r="B589" s="166"/>
      <c r="C589" s="157"/>
      <c r="D589" s="289"/>
      <c r="E589" s="194" t="s">
        <v>217</v>
      </c>
      <c r="F589" s="195"/>
      <c r="G589" s="196"/>
      <c r="H589" s="180" t="s">
        <v>36</v>
      </c>
      <c r="I589" s="339">
        <f ca="1">IFERROR(__xludf.DUMMYFUNCTION("IMPORTRANGE(""https://docs.google.com/spreadsheets/d/11923uPwbBZFjjGgGUA6NLw09EwE0CqkOc4q9oUmW1yo/edit?usp=sharing"",""พิจิตร!I484"")"),200)</f>
        <v>200</v>
      </c>
      <c r="J589" s="187">
        <f ca="1">IFERROR(__xludf.DUMMYFUNCTION("IMPORTRANGE(""https://docs.google.com/spreadsheets/d/11923uPwbBZFjjGgGUA6NLw09EwE0CqkOc4q9oUmW1yo/edit?usp=sharing"",""พิจิตร!J484"")"),107)</f>
        <v>107</v>
      </c>
      <c r="K589" s="163">
        <f t="shared" ref="K589:K596" ca="1" si="125">IF(I589&gt;0,J589*100/I589,0)</f>
        <v>53.5</v>
      </c>
      <c r="L589" s="181"/>
      <c r="M589" s="181"/>
      <c r="N589" s="168"/>
      <c r="O589" s="181"/>
      <c r="P589" s="181"/>
    </row>
    <row r="590" spans="1:16" ht="21.75" customHeight="1" x14ac:dyDescent="0.3">
      <c r="A590" s="476"/>
      <c r="B590" s="166"/>
      <c r="C590" s="157"/>
      <c r="D590" s="289"/>
      <c r="E590" s="195"/>
      <c r="F590" s="195"/>
      <c r="G590" s="196"/>
      <c r="H590" s="180" t="s">
        <v>122</v>
      </c>
      <c r="I590" s="343">
        <f ca="1">IFERROR(__xludf.DUMMYFUNCTION("IMPORTRANGE(""https://docs.google.com/spreadsheets/d/11923uPwbBZFjjGgGUA6NLw09EwE0CqkOc4q9oUmW1yo/edit?usp=sharing"",""พิจิตร!I485"")"),0)</f>
        <v>0</v>
      </c>
      <c r="J590" s="187">
        <f ca="1">IFERROR(__xludf.DUMMYFUNCTION("IMPORTRANGE(""https://docs.google.com/spreadsheets/d/11923uPwbBZFjjGgGUA6NLw09EwE0CqkOc4q9oUmW1yo/edit?usp=sharing"",""พิจิตร!J485"")"),61.02)</f>
        <v>61.02</v>
      </c>
      <c r="K590" s="477">
        <f t="shared" ca="1" si="125"/>
        <v>0</v>
      </c>
      <c r="L590" s="181"/>
      <c r="M590" s="181"/>
      <c r="N590" s="168"/>
      <c r="O590" s="181"/>
      <c r="P590" s="181"/>
    </row>
    <row r="591" spans="1:16" ht="21.75" customHeight="1" x14ac:dyDescent="0.3">
      <c r="A591" s="476"/>
      <c r="B591" s="166"/>
      <c r="C591" s="157"/>
      <c r="D591" s="289"/>
      <c r="E591" s="194" t="s">
        <v>123</v>
      </c>
      <c r="F591" s="195"/>
      <c r="G591" s="196"/>
      <c r="H591" s="180" t="s">
        <v>37</v>
      </c>
      <c r="I591" s="339">
        <f ca="1">IFERROR(__xludf.DUMMYFUNCTION("IMPORTRANGE(""https://docs.google.com/spreadsheets/d/11923uPwbBZFjjGgGUA6NLw09EwE0CqkOc4q9oUmW1yo/edit?usp=sharing"",""พิจิตร!I486"")"),200)</f>
        <v>200</v>
      </c>
      <c r="J591" s="187">
        <f ca="1">IFERROR(__xludf.DUMMYFUNCTION("IMPORTRANGE(""https://docs.google.com/spreadsheets/d/11923uPwbBZFjjGgGUA6NLw09EwE0CqkOc4q9oUmW1yo/edit?usp=sharing"",""พิจิตร!J486"")"),5)</f>
        <v>5</v>
      </c>
      <c r="K591" s="163">
        <f t="shared" ca="1" si="125"/>
        <v>2.5</v>
      </c>
      <c r="L591" s="181"/>
      <c r="M591" s="181"/>
      <c r="N591" s="181"/>
      <c r="O591" s="181"/>
      <c r="P591" s="181"/>
    </row>
    <row r="592" spans="1:16" ht="21.75" customHeight="1" x14ac:dyDescent="0.3">
      <c r="A592" s="476"/>
      <c r="B592" s="166"/>
      <c r="C592" s="157"/>
      <c r="D592" s="289"/>
      <c r="E592" s="195"/>
      <c r="F592" s="195"/>
      <c r="G592" s="196"/>
      <c r="H592" s="180" t="s">
        <v>122</v>
      </c>
      <c r="I592" s="343">
        <f ca="1">IFERROR(__xludf.DUMMYFUNCTION("IMPORTRANGE(""https://docs.google.com/spreadsheets/d/11923uPwbBZFjjGgGUA6NLw09EwE0CqkOc4q9oUmW1yo/edit?usp=sharing"",""พิจิตร!I487"")"),0)</f>
        <v>0</v>
      </c>
      <c r="J592" s="187">
        <f ca="1">IFERROR(__xludf.DUMMYFUNCTION("IMPORTRANGE(""https://docs.google.com/spreadsheets/d/11923uPwbBZFjjGgGUA6NLw09EwE0CqkOc4q9oUmW1yo/edit?usp=sharing"",""พิจิตร!J487"")"),7.18)</f>
        <v>7.18</v>
      </c>
      <c r="K592" s="340">
        <f t="shared" ca="1" si="125"/>
        <v>0</v>
      </c>
      <c r="L592" s="181"/>
      <c r="M592" s="181"/>
      <c r="N592" s="181"/>
      <c r="O592" s="181"/>
      <c r="P592" s="181"/>
    </row>
    <row r="593" spans="1:16" ht="21.75" customHeight="1" x14ac:dyDescent="0.3">
      <c r="A593" s="476"/>
      <c r="B593" s="166"/>
      <c r="C593" s="157"/>
      <c r="D593" s="289"/>
      <c r="E593" s="194" t="s">
        <v>124</v>
      </c>
      <c r="F593" s="195"/>
      <c r="G593" s="196"/>
      <c r="H593" s="180" t="s">
        <v>37</v>
      </c>
      <c r="I593" s="339">
        <f ca="1">IFERROR(__xludf.DUMMYFUNCTION("IMPORTRANGE(""https://docs.google.com/spreadsheets/d/11923uPwbBZFjjGgGUA6NLw09EwE0CqkOc4q9oUmW1yo/edit?usp=sharing"",""พิจิตร!I488"")"),200)</f>
        <v>200</v>
      </c>
      <c r="J593" s="187">
        <f ca="1">IFERROR(__xludf.DUMMYFUNCTION("IMPORTRANGE(""https://docs.google.com/spreadsheets/d/11923uPwbBZFjjGgGUA6NLw09EwE0CqkOc4q9oUmW1yo/edit?usp=sharing"",""พิจิตร!J488"")"),0)</f>
        <v>0</v>
      </c>
      <c r="K593" s="163">
        <f t="shared" ca="1" si="125"/>
        <v>0</v>
      </c>
      <c r="L593" s="181"/>
      <c r="M593" s="181"/>
      <c r="N593" s="181"/>
      <c r="O593" s="181"/>
      <c r="P593" s="181"/>
    </row>
    <row r="594" spans="1:16" ht="21.75" customHeight="1" x14ac:dyDescent="0.3">
      <c r="A594" s="476"/>
      <c r="B594" s="166"/>
      <c r="C594" s="157"/>
      <c r="D594" s="289"/>
      <c r="E594" s="195"/>
      <c r="F594" s="195"/>
      <c r="G594" s="196"/>
      <c r="H594" s="180" t="s">
        <v>122</v>
      </c>
      <c r="I594" s="343">
        <f ca="1">IFERROR(__xludf.DUMMYFUNCTION("IMPORTRANGE(""https://docs.google.com/spreadsheets/d/11923uPwbBZFjjGgGUA6NLw09EwE0CqkOc4q9oUmW1yo/edit?usp=sharing"",""พิจิตร!I489"")"),0)</f>
        <v>0</v>
      </c>
      <c r="J594" s="187">
        <f ca="1">IFERROR(__xludf.DUMMYFUNCTION("IMPORTRANGE(""https://docs.google.com/spreadsheets/d/11923uPwbBZFjjGgGUA6NLw09EwE0CqkOc4q9oUmW1yo/edit?usp=sharing"",""พิจิตร!J489"")"),0)</f>
        <v>0</v>
      </c>
      <c r="K594" s="340">
        <f t="shared" ca="1" si="125"/>
        <v>0</v>
      </c>
      <c r="L594" s="181"/>
      <c r="M594" s="181"/>
      <c r="N594" s="181"/>
      <c r="O594" s="181"/>
      <c r="P594" s="181"/>
    </row>
    <row r="595" spans="1:16" ht="21.75" customHeight="1" x14ac:dyDescent="0.3">
      <c r="A595" s="476"/>
      <c r="B595" s="166"/>
      <c r="C595" s="157"/>
      <c r="D595" s="289"/>
      <c r="E595" s="194" t="s">
        <v>125</v>
      </c>
      <c r="F595" s="195"/>
      <c r="G595" s="196"/>
      <c r="H595" s="180" t="s">
        <v>37</v>
      </c>
      <c r="I595" s="339">
        <f ca="1">IFERROR(__xludf.DUMMYFUNCTION("IMPORTRANGE(""https://docs.google.com/spreadsheets/d/11923uPwbBZFjjGgGUA6NLw09EwE0CqkOc4q9oUmW1yo/edit?usp=sharing"",""พิจิตร!I490"")"),200)</f>
        <v>200</v>
      </c>
      <c r="J595" s="187">
        <f ca="1">IFERROR(__xludf.DUMMYFUNCTION("IMPORTRANGE(""https://docs.google.com/spreadsheets/d/11923uPwbBZFjjGgGUA6NLw09EwE0CqkOc4q9oUmW1yo/edit?usp=sharing"",""พิจิตร!J490"")"),18)</f>
        <v>18</v>
      </c>
      <c r="K595" s="163">
        <f t="shared" ca="1" si="125"/>
        <v>9</v>
      </c>
      <c r="L595" s="181"/>
      <c r="M595" s="181"/>
      <c r="N595" s="181"/>
      <c r="O595" s="181"/>
      <c r="P595" s="181"/>
    </row>
    <row r="596" spans="1:16" ht="21.75" customHeight="1" x14ac:dyDescent="0.3">
      <c r="A596" s="478"/>
      <c r="B596" s="479"/>
      <c r="C596" s="480"/>
      <c r="D596" s="481"/>
      <c r="E596" s="460"/>
      <c r="F596" s="460"/>
      <c r="G596" s="461"/>
      <c r="H596" s="482" t="s">
        <v>122</v>
      </c>
      <c r="I596" s="483">
        <f ca="1">IFERROR(__xludf.DUMMYFUNCTION("IMPORTRANGE(""https://docs.google.com/spreadsheets/d/11923uPwbBZFjjGgGUA6NLw09EwE0CqkOc4q9oUmW1yo/edit?usp=sharing"",""พิจิตร!I491"")"),0)</f>
        <v>0</v>
      </c>
      <c r="J596" s="240">
        <f ca="1">IFERROR(__xludf.DUMMYFUNCTION("IMPORTRANGE(""https://docs.google.com/spreadsheets/d/11923uPwbBZFjjGgGUA6NLw09EwE0CqkOc4q9oUmW1yo/edit?usp=sharing"",""พิจิตร!J491"")"),13.41)</f>
        <v>13.41</v>
      </c>
      <c r="K596" s="484">
        <f t="shared" ca="1" si="125"/>
        <v>0</v>
      </c>
      <c r="L596" s="466"/>
      <c r="M596" s="466"/>
      <c r="N596" s="466"/>
      <c r="O596" s="466"/>
      <c r="P596" s="466"/>
    </row>
    <row r="597" spans="1:16" ht="21.75" customHeight="1" x14ac:dyDescent="0.3">
      <c r="A597" s="403"/>
      <c r="B597" s="404">
        <v>10</v>
      </c>
      <c r="C597" s="405" t="s">
        <v>218</v>
      </c>
      <c r="D597" s="405"/>
      <c r="E597" s="405"/>
      <c r="F597" s="405"/>
      <c r="G597" s="406"/>
      <c r="H597" s="407" t="s">
        <v>122</v>
      </c>
      <c r="I597" s="408">
        <f ca="1">IFERROR(__xludf.DUMMYFUNCTION("IMPORTRANGE(""https://docs.google.com/spreadsheets/d/11923uPwbBZFjjGgGUA6NLw09EwE0CqkOc4q9oUmW1yo/edit?usp=sharing"",""พิจิตร!I492"")"),50)</f>
        <v>50</v>
      </c>
      <c r="J597" s="485">
        <f ca="1">IFERROR(__xludf.DUMMYFUNCTION("IMPORTRANGE(""https://docs.google.com/spreadsheets/d/11923uPwbBZFjjGgGUA6NLw09EwE0CqkOc4q9oUmW1yo/edit?usp=sharing"",""พิจิตร!J492"")"),0)</f>
        <v>0</v>
      </c>
      <c r="K597" s="409">
        <f ca="1">IF(I597&gt;0,J597*100/I597,0)</f>
        <v>0</v>
      </c>
      <c r="L597" s="410">
        <f ca="1">IFERROR(__xludf.DUMMYFUNCTION("IMPORTRANGE(""https://docs.google.com/spreadsheets/d/11923uPwbBZFjjGgGUA6NLw09EwE0CqkOc4q9oUmW1yo/edit?usp=sharing"",""พิจิตร!L492"")"),4550)</f>
        <v>4550</v>
      </c>
      <c r="M597" s="410"/>
      <c r="N597" s="410">
        <f ca="1">IFERROR(__xludf.DUMMYFUNCTION("IMPORTRANGE(""https://docs.google.com/spreadsheets/d/11923uPwbBZFjjGgGUA6NLw09EwE0CqkOc4q9oUmW1yo/edit?usp=sharing"",""พิจิตร!M492"")"),1794)</f>
        <v>1794</v>
      </c>
      <c r="O597" s="410">
        <f t="shared" ref="O597:O601" ca="1" si="126">+IF(L597&gt;0,N597*100/L597,0)</f>
        <v>39.428571428571431</v>
      </c>
      <c r="P597" s="410"/>
    </row>
    <row r="598" spans="1:16" ht="21.75" customHeight="1" x14ac:dyDescent="0.3">
      <c r="A598" s="156"/>
      <c r="B598" s="157"/>
      <c r="C598" s="157" t="s">
        <v>16</v>
      </c>
      <c r="D598" s="158" t="s">
        <v>38</v>
      </c>
      <c r="E598" s="159"/>
      <c r="F598" s="159"/>
      <c r="G598" s="160" t="s">
        <v>39</v>
      </c>
      <c r="H598" s="161" t="s">
        <v>12</v>
      </c>
      <c r="I598" s="162" t="s">
        <v>40</v>
      </c>
      <c r="J598" s="162"/>
      <c r="K598" s="163"/>
      <c r="L598" s="164">
        <f ca="1">IFERROR(__xludf.DUMMYFUNCTION("IMPORTRANGE(""https://docs.google.com/spreadsheets/d/11923uPwbBZFjjGgGUA6NLw09EwE0CqkOc4q9oUmW1yo/edit?usp=sharing"",""พิจิตร!L493"")"),0)</f>
        <v>0</v>
      </c>
      <c r="M598" s="164"/>
      <c r="N598" s="168">
        <f ca="1">IFERROR(__xludf.DUMMYFUNCTION("IMPORTRANGE(""https://docs.google.com/spreadsheets/d/11923uPwbBZFjjGgGUA6NLw09EwE0CqkOc4q9oUmW1yo/edit?usp=sharing"",""พิจิตร!M493"")"),0)</f>
        <v>0</v>
      </c>
      <c r="O598" s="168">
        <f t="shared" ca="1" si="126"/>
        <v>0</v>
      </c>
      <c r="P598" s="168"/>
    </row>
    <row r="599" spans="1:16" ht="21.75" customHeight="1" x14ac:dyDescent="0.3">
      <c r="A599" s="156"/>
      <c r="B599" s="157"/>
      <c r="C599" s="157"/>
      <c r="D599" s="166"/>
      <c r="E599" s="159"/>
      <c r="F599" s="159" t="s">
        <v>40</v>
      </c>
      <c r="G599" s="160" t="s">
        <v>41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IFERROR(__xludf.DUMMYFUNCTION("IMPORTRANGE(""https://docs.google.com/spreadsheets/d/11923uPwbBZFjjGgGUA6NLw09EwE0CqkOc4q9oUmW1yo/edit?usp=sharing"",""พิจิตร!L494"")"),4550)</f>
        <v>4550</v>
      </c>
      <c r="M599" s="165"/>
      <c r="N599" s="168">
        <f ca="1">IFERROR(__xludf.DUMMYFUNCTION("IMPORTRANGE(""https://docs.google.com/spreadsheets/d/11923uPwbBZFjjGgGUA6NLw09EwE0CqkOc4q9oUmW1yo/edit?usp=sharing"",""พิจิตร!M494"")"),1794)</f>
        <v>1794</v>
      </c>
      <c r="O599" s="168">
        <f t="shared" ca="1" si="126"/>
        <v>39.428571428571431</v>
      </c>
      <c r="P599" s="168"/>
    </row>
    <row r="600" spans="1:16" ht="21.75" customHeight="1" x14ac:dyDescent="0.3">
      <c r="A600" s="156"/>
      <c r="B600" s="157"/>
      <c r="C600" s="157"/>
      <c r="D600" s="166"/>
      <c r="E600" s="159"/>
      <c r="F600" s="159"/>
      <c r="G600" s="372" t="s">
        <v>129</v>
      </c>
      <c r="H600" s="161" t="s">
        <v>12</v>
      </c>
      <c r="I600" s="162"/>
      <c r="J600" s="162"/>
      <c r="K600" s="163"/>
      <c r="L600" s="168">
        <f ca="1">IFERROR(__xludf.DUMMYFUNCTION("IMPORTRANGE(""https://docs.google.com/spreadsheets/d/11923uPwbBZFjjGgGUA6NLw09EwE0CqkOc4q9oUmW1yo/edit?usp=sharing"",""พิจิตร!L495"")"),0)</f>
        <v>0</v>
      </c>
      <c r="M600" s="168"/>
      <c r="N600" s="168">
        <f ca="1">IFERROR(__xludf.DUMMYFUNCTION("IMPORTRANGE(""https://docs.google.com/spreadsheets/d/11923uPwbBZFjjGgGUA6NLw09EwE0CqkOc4q9oUmW1yo/edit?usp=sharing"",""พิจิตร!M495"")"),0)</f>
        <v>0</v>
      </c>
      <c r="O600" s="168">
        <f t="shared" ca="1" si="126"/>
        <v>0</v>
      </c>
      <c r="P600" s="168"/>
    </row>
    <row r="601" spans="1:16" ht="21.75" customHeight="1" x14ac:dyDescent="0.3">
      <c r="A601" s="156"/>
      <c r="B601" s="157"/>
      <c r="C601" s="157"/>
      <c r="D601" s="166"/>
      <c r="E601" s="159"/>
      <c r="F601" s="159"/>
      <c r="G601" s="372" t="s">
        <v>130</v>
      </c>
      <c r="H601" s="161" t="s">
        <v>12</v>
      </c>
      <c r="I601" s="162"/>
      <c r="J601" s="162"/>
      <c r="K601" s="163"/>
      <c r="L601" s="168">
        <f ca="1">IFERROR(__xludf.DUMMYFUNCTION("IMPORTRANGE(""https://docs.google.com/spreadsheets/d/11923uPwbBZFjjGgGUA6NLw09EwE0CqkOc4q9oUmW1yo/edit?usp=sharing"",""พิจิตร!L496"")"),4550)</f>
        <v>4550</v>
      </c>
      <c r="M601" s="168"/>
      <c r="N601" s="168">
        <f ca="1">IFERROR(__xludf.DUMMYFUNCTION("IMPORTRANGE(""https://docs.google.com/spreadsheets/d/11923uPwbBZFjjGgGUA6NLw09EwE0CqkOc4q9oUmW1yo/edit?usp=sharing"",""พิจิตร!M496"")"),1794)</f>
        <v>1794</v>
      </c>
      <c r="O601" s="168">
        <f t="shared" ca="1" si="126"/>
        <v>39.428571428571431</v>
      </c>
      <c r="P601" s="168"/>
    </row>
    <row r="602" spans="1:16" ht="21.75" customHeight="1" x14ac:dyDescent="0.3">
      <c r="A602" s="373"/>
      <c r="B602" s="374"/>
      <c r="C602" s="157"/>
      <c r="D602" s="375"/>
      <c r="E602" s="159"/>
      <c r="F602" s="159"/>
      <c r="G602" s="376" t="s">
        <v>131</v>
      </c>
      <c r="H602" s="161" t="s">
        <v>12</v>
      </c>
      <c r="I602" s="187"/>
      <c r="J602" s="187"/>
      <c r="K602" s="223"/>
      <c r="L602" s="168"/>
      <c r="M602" s="168"/>
      <c r="N602" s="167">
        <f ca="1">IFERROR(__xludf.DUMMYFUNCTION("IMPORTRANGE(""https://docs.google.com/spreadsheets/d/11923uPwbBZFjjGgGUA6NLw09EwE0CqkOc4q9oUmW1yo/edit?usp=sharing"",""พิจิตร!M497"")"),0)</f>
        <v>0</v>
      </c>
      <c r="O602" s="168"/>
      <c r="P602" s="168"/>
    </row>
    <row r="603" spans="1:16" ht="21.75" customHeight="1" x14ac:dyDescent="0.3">
      <c r="A603" s="373"/>
      <c r="B603" s="374"/>
      <c r="C603" s="157"/>
      <c r="D603" s="375"/>
      <c r="E603" s="159"/>
      <c r="F603" s="159"/>
      <c r="G603" s="376" t="s">
        <v>132</v>
      </c>
      <c r="H603" s="161" t="s">
        <v>12</v>
      </c>
      <c r="I603" s="187"/>
      <c r="J603" s="187"/>
      <c r="K603" s="223"/>
      <c r="L603" s="168"/>
      <c r="M603" s="168"/>
      <c r="N603" s="167">
        <f ca="1">IFERROR(__xludf.DUMMYFUNCTION("IMPORTRANGE(""https://docs.google.com/spreadsheets/d/11923uPwbBZFjjGgGUA6NLw09EwE0CqkOc4q9oUmW1yo/edit?usp=sharing"",""พิจิตร!M498"")"),0)</f>
        <v>0</v>
      </c>
      <c r="O603" s="168"/>
      <c r="P603" s="168"/>
    </row>
    <row r="604" spans="1:16" ht="21.75" customHeight="1" x14ac:dyDescent="0.3">
      <c r="A604" s="373"/>
      <c r="B604" s="374"/>
      <c r="C604" s="157"/>
      <c r="D604" s="375"/>
      <c r="E604" s="159"/>
      <c r="F604" s="159"/>
      <c r="G604" s="376" t="s">
        <v>133</v>
      </c>
      <c r="H604" s="161" t="s">
        <v>12</v>
      </c>
      <c r="I604" s="187"/>
      <c r="J604" s="187"/>
      <c r="K604" s="223"/>
      <c r="L604" s="168"/>
      <c r="M604" s="168"/>
      <c r="N604" s="377">
        <f ca="1">IFERROR(__xludf.DUMMYFUNCTION("IMPORTRANGE(""https://docs.google.com/spreadsheets/d/11923uPwbBZFjjGgGUA6NLw09EwE0CqkOc4q9oUmW1yo/edit?usp=sharing"",""พิจิตร!M499"")"),0)</f>
        <v>0</v>
      </c>
      <c r="O604" s="168"/>
      <c r="P604" s="168"/>
    </row>
    <row r="605" spans="1:16" ht="21.75" customHeight="1" x14ac:dyDescent="0.3">
      <c r="A605" s="373"/>
      <c r="B605" s="374"/>
      <c r="C605" s="157"/>
      <c r="D605" s="375"/>
      <c r="E605" s="159"/>
      <c r="F605" s="159"/>
      <c r="G605" s="376" t="s">
        <v>134</v>
      </c>
      <c r="H605" s="161" t="s">
        <v>12</v>
      </c>
      <c r="I605" s="187"/>
      <c r="J605" s="187"/>
      <c r="K605" s="223"/>
      <c r="L605" s="168"/>
      <c r="M605" s="168"/>
      <c r="N605" s="377">
        <f ca="1">IFERROR(__xludf.DUMMYFUNCTION("IMPORTRANGE(""https://docs.google.com/spreadsheets/d/11923uPwbBZFjjGgGUA6NLw09EwE0CqkOc4q9oUmW1yo/edit?usp=sharing"",""พิจิตร!M500"")"),1794)</f>
        <v>1794</v>
      </c>
      <c r="O605" s="168"/>
      <c r="P605" s="168"/>
    </row>
    <row r="606" spans="1:16" ht="21.75" customHeight="1" x14ac:dyDescent="0.3">
      <c r="A606" s="175"/>
      <c r="B606" s="176"/>
      <c r="C606" s="157" t="s">
        <v>16</v>
      </c>
      <c r="D606" s="177" t="s">
        <v>44</v>
      </c>
      <c r="E606" s="178"/>
      <c r="F606" s="178"/>
      <c r="G606" s="179"/>
      <c r="H606" s="180"/>
      <c r="I606" s="162"/>
      <c r="J606" s="162"/>
      <c r="K606" s="163"/>
      <c r="L606" s="181"/>
      <c r="M606" s="181"/>
      <c r="N606" s="181"/>
      <c r="O606" s="181"/>
      <c r="P606" s="181"/>
    </row>
    <row r="607" spans="1:16" ht="21.75" customHeight="1" x14ac:dyDescent="0.3">
      <c r="A607" s="175"/>
      <c r="B607" s="176"/>
      <c r="C607" s="176"/>
      <c r="D607" s="182">
        <v>1</v>
      </c>
      <c r="E607" s="183" t="s">
        <v>45</v>
      </c>
      <c r="F607" s="184"/>
      <c r="G607" s="185"/>
      <c r="H607" s="186"/>
      <c r="I607" s="187"/>
      <c r="J607" s="197">
        <f ca="1">IFERROR(__xludf.DUMMYFUNCTION("IMPORTRANGE(""https://docs.google.com/spreadsheets/d/11923uPwbBZFjjGgGUA6NLw09EwE0CqkOc4q9oUmW1yo/edit?usp=sharing"",""พิจิตร!J502"")"),0)</f>
        <v>0</v>
      </c>
      <c r="K607" s="163"/>
      <c r="L607" s="181"/>
      <c r="M607" s="181"/>
      <c r="N607" s="181"/>
      <c r="O607" s="181"/>
      <c r="P607" s="181"/>
    </row>
    <row r="608" spans="1:16" ht="21.75" customHeight="1" x14ac:dyDescent="0.3">
      <c r="A608" s="175"/>
      <c r="B608" s="176"/>
      <c r="C608" s="176"/>
      <c r="D608" s="189">
        <v>2</v>
      </c>
      <c r="E608" s="190" t="s">
        <v>46</v>
      </c>
      <c r="F608" s="191"/>
      <c r="G608" s="192"/>
      <c r="H608" s="186"/>
      <c r="I608" s="187"/>
      <c r="J608" s="197">
        <f ca="1">IFERROR(__xludf.DUMMYFUNCTION("IMPORTRANGE(""https://docs.google.com/spreadsheets/d/11923uPwbBZFjjGgGUA6NLw09EwE0CqkOc4q9oUmW1yo/edit?usp=sharing"",""พิจิตร!J503"")"),1)</f>
        <v>1</v>
      </c>
      <c r="K608" s="163"/>
      <c r="L608" s="181" t="s">
        <v>40</v>
      </c>
      <c r="M608" s="181"/>
      <c r="N608" s="181" t="s">
        <v>40</v>
      </c>
      <c r="O608" s="181"/>
      <c r="P608" s="181"/>
    </row>
    <row r="609" spans="1:16" ht="21.75" hidden="1" customHeight="1" x14ac:dyDescent="0.3">
      <c r="A609" s="373"/>
      <c r="B609" s="374"/>
      <c r="C609" s="374"/>
      <c r="D609" s="486"/>
      <c r="E609" s="487" t="s">
        <v>47</v>
      </c>
      <c r="F609" s="488"/>
      <c r="G609" s="379"/>
      <c r="H609" s="186"/>
      <c r="I609" s="187"/>
      <c r="J609" s="187">
        <f ca="1">IFERROR(__xludf.DUMMYFUNCTION("IMPORTRANGE(""https://docs.google.com/spreadsheets/d/11923uPwbBZFjjGgGUA6NLw09EwE0CqkOc4q9oUmW1yo/edit?usp=sharing"",""พิจิตร!J166"")"),0)</f>
        <v>0</v>
      </c>
      <c r="K609" s="223"/>
      <c r="L609" s="168"/>
      <c r="M609" s="168"/>
      <c r="N609" s="168"/>
      <c r="O609" s="168"/>
      <c r="P609" s="168"/>
    </row>
    <row r="610" spans="1:16" ht="21.75" hidden="1" customHeight="1" x14ac:dyDescent="0.3">
      <c r="A610" s="373"/>
      <c r="B610" s="374"/>
      <c r="C610" s="374"/>
      <c r="D610" s="486"/>
      <c r="E610" s="487" t="s">
        <v>48</v>
      </c>
      <c r="F610" s="488"/>
      <c r="G610" s="379"/>
      <c r="H610" s="186"/>
      <c r="I610" s="187"/>
      <c r="J610" s="187">
        <f ca="1">IFERROR(__xludf.DUMMYFUNCTION("IMPORTRANGE(""https://docs.google.com/spreadsheets/d/11923uPwbBZFjjGgGUA6NLw09EwE0CqkOc4q9oUmW1yo/edit?usp=sharing"",""พิจิตร!J166"")"),0)</f>
        <v>0</v>
      </c>
      <c r="K610" s="223"/>
      <c r="L610" s="168"/>
      <c r="M610" s="168"/>
      <c r="N610" s="168"/>
      <c r="O610" s="168"/>
      <c r="P610" s="168"/>
    </row>
    <row r="611" spans="1:16" ht="21.75" customHeight="1" x14ac:dyDescent="0.3">
      <c r="A611" s="175"/>
      <c r="B611" s="176"/>
      <c r="C611" s="176"/>
      <c r="D611" s="193"/>
      <c r="E611" s="195"/>
      <c r="F611" s="195" t="s">
        <v>219</v>
      </c>
      <c r="G611" s="196"/>
      <c r="H611" s="180" t="s">
        <v>122</v>
      </c>
      <c r="I611" s="187">
        <f ca="1">IFERROR(__xludf.DUMMYFUNCTION("IMPORTRANGE(""https://docs.google.com/spreadsheets/d/11923uPwbBZFjjGgGUA6NLw09EwE0CqkOc4q9oUmW1yo/edit?usp=sharing"",""พิจิตร!I506"")"),50)</f>
        <v>50</v>
      </c>
      <c r="J611" s="162">
        <f ca="1">IFERROR(__xludf.DUMMYFUNCTION("IMPORTRANGE(""https://docs.google.com/spreadsheets/d/11923uPwbBZFjjGgGUA6NLw09EwE0CqkOc4q9oUmW1yo/edit?usp=sharing"",""พิจิตร!J506"")"),0)</f>
        <v>0</v>
      </c>
      <c r="K611" s="163">
        <f t="shared" ref="K611:K619" ca="1" si="127">IF(I$611&gt;0,J611*100/I$611,0)</f>
        <v>0</v>
      </c>
      <c r="L611" s="181"/>
      <c r="M611" s="181"/>
      <c r="N611" s="181"/>
      <c r="O611" s="181"/>
      <c r="P611" s="181"/>
    </row>
    <row r="612" spans="1:16" ht="21.75" customHeight="1" x14ac:dyDescent="0.3">
      <c r="A612" s="175"/>
      <c r="B612" s="176"/>
      <c r="C612" s="176"/>
      <c r="D612" s="193"/>
      <c r="E612" s="198"/>
      <c r="F612" s="195"/>
      <c r="G612" s="225" t="s">
        <v>220</v>
      </c>
      <c r="H612" s="180" t="s">
        <v>122</v>
      </c>
      <c r="I612" s="203">
        <f ca="1">IFERROR(__xludf.DUMMYFUNCTION("IMPORTRANGE(""https://docs.google.com/spreadsheets/d/11923uPwbBZFjjGgGUA6NLw09EwE0CqkOc4q9oUmW1yo/edit?usp=sharing"",""พิจิตร!I507"")"),0)</f>
        <v>0</v>
      </c>
      <c r="J612" s="197">
        <f ca="1">IFERROR(__xludf.DUMMYFUNCTION("IMPORTRANGE(""https://docs.google.com/spreadsheets/d/11923uPwbBZFjjGgGUA6NLw09EwE0CqkOc4q9oUmW1yo/edit?usp=sharing"",""พิจิตร!J507"")"),0)</f>
        <v>0</v>
      </c>
      <c r="K612" s="163">
        <f t="shared" ca="1" si="127"/>
        <v>0</v>
      </c>
      <c r="L612" s="181"/>
      <c r="M612" s="181"/>
      <c r="N612" s="181"/>
      <c r="O612" s="181"/>
      <c r="P612" s="181"/>
    </row>
    <row r="613" spans="1:16" ht="21.75" customHeight="1" x14ac:dyDescent="0.3">
      <c r="A613" s="175"/>
      <c r="B613" s="176"/>
      <c r="C613" s="176"/>
      <c r="D613" s="193"/>
      <c r="E613" s="198"/>
      <c r="F613" s="195"/>
      <c r="G613" s="225" t="s">
        <v>221</v>
      </c>
      <c r="H613" s="180" t="s">
        <v>122</v>
      </c>
      <c r="I613" s="203">
        <f ca="1">IFERROR(__xludf.DUMMYFUNCTION("IMPORTRANGE(""https://docs.google.com/spreadsheets/d/11923uPwbBZFjjGgGUA6NLw09EwE0CqkOc4q9oUmW1yo/edit?usp=sharing"",""พิจิตร!I508"")"),0)</f>
        <v>0</v>
      </c>
      <c r="J613" s="197">
        <f ca="1">IFERROR(__xludf.DUMMYFUNCTION("IMPORTRANGE(""https://docs.google.com/spreadsheets/d/11923uPwbBZFjjGgGUA6NLw09EwE0CqkOc4q9oUmW1yo/edit?usp=sharing"",""พิจิตร!J508"")"),0)</f>
        <v>0</v>
      </c>
      <c r="K613" s="163">
        <f t="shared" ca="1" si="127"/>
        <v>0</v>
      </c>
      <c r="L613" s="181"/>
      <c r="M613" s="181"/>
      <c r="N613" s="181"/>
      <c r="O613" s="181"/>
      <c r="P613" s="181"/>
    </row>
    <row r="614" spans="1:16" ht="21.75" customHeight="1" x14ac:dyDescent="0.3">
      <c r="A614" s="175"/>
      <c r="B614" s="176"/>
      <c r="C614" s="176"/>
      <c r="D614" s="193"/>
      <c r="E614" s="198"/>
      <c r="F614" s="195"/>
      <c r="G614" s="225" t="s">
        <v>222</v>
      </c>
      <c r="H614" s="180" t="s">
        <v>122</v>
      </c>
      <c r="I614" s="203">
        <f ca="1">IFERROR(__xludf.DUMMYFUNCTION("IMPORTRANGE(""https://docs.google.com/spreadsheets/d/11923uPwbBZFjjGgGUA6NLw09EwE0CqkOc4q9oUmW1yo/edit?usp=sharing"",""พิจิตร!I509"")"),0)</f>
        <v>0</v>
      </c>
      <c r="J614" s="197">
        <f ca="1">IFERROR(__xludf.DUMMYFUNCTION("IMPORTRANGE(""https://docs.google.com/spreadsheets/d/11923uPwbBZFjjGgGUA6NLw09EwE0CqkOc4q9oUmW1yo/edit?usp=sharing"",""พิจิตร!J509"")"),0)</f>
        <v>0</v>
      </c>
      <c r="K614" s="163">
        <f t="shared" ca="1" si="127"/>
        <v>0</v>
      </c>
      <c r="L614" s="181"/>
      <c r="M614" s="181"/>
      <c r="N614" s="181"/>
      <c r="O614" s="181"/>
      <c r="P614" s="181"/>
    </row>
    <row r="615" spans="1:16" ht="21.75" customHeight="1" x14ac:dyDescent="0.3">
      <c r="A615" s="175"/>
      <c r="B615" s="176"/>
      <c r="C615" s="176"/>
      <c r="D615" s="193"/>
      <c r="E615" s="198"/>
      <c r="F615" s="195"/>
      <c r="G615" s="225" t="s">
        <v>223</v>
      </c>
      <c r="H615" s="180" t="s">
        <v>122</v>
      </c>
      <c r="I615" s="203">
        <f ca="1">IFERROR(__xludf.DUMMYFUNCTION("IMPORTRANGE(""https://docs.google.com/spreadsheets/d/11923uPwbBZFjjGgGUA6NLw09EwE0CqkOc4q9oUmW1yo/edit?usp=sharing"",""พิจิตร!I510"")"),0)</f>
        <v>0</v>
      </c>
      <c r="J615" s="197">
        <f ca="1">IFERROR(__xludf.DUMMYFUNCTION("IMPORTRANGE(""https://docs.google.com/spreadsheets/d/11923uPwbBZFjjGgGUA6NLw09EwE0CqkOc4q9oUmW1yo/edit?usp=sharing"",""พิจิตร!J510"")"),0)</f>
        <v>0</v>
      </c>
      <c r="K615" s="163">
        <f t="shared" ca="1" si="127"/>
        <v>0</v>
      </c>
      <c r="L615" s="181"/>
      <c r="M615" s="181"/>
      <c r="N615" s="181"/>
      <c r="O615" s="181"/>
      <c r="P615" s="181"/>
    </row>
    <row r="616" spans="1:16" ht="21.75" customHeight="1" x14ac:dyDescent="0.3">
      <c r="A616" s="175"/>
      <c r="B616" s="176"/>
      <c r="C616" s="176"/>
      <c r="D616" s="193"/>
      <c r="E616" s="198"/>
      <c r="F616" s="195"/>
      <c r="G616" s="194" t="s">
        <v>224</v>
      </c>
      <c r="H616" s="180" t="s">
        <v>122</v>
      </c>
      <c r="I616" s="203">
        <f ca="1">IFERROR(__xludf.DUMMYFUNCTION("IMPORTRANGE(""https://docs.google.com/spreadsheets/d/11923uPwbBZFjjGgGUA6NLw09EwE0CqkOc4q9oUmW1yo/edit?usp=sharing"",""พิจิตร!I511"")"),0)</f>
        <v>0</v>
      </c>
      <c r="J616" s="197">
        <f ca="1">IFERROR(__xludf.DUMMYFUNCTION("IMPORTRANGE(""https://docs.google.com/spreadsheets/d/11923uPwbBZFjjGgGUA6NLw09EwE0CqkOc4q9oUmW1yo/edit?usp=sharing"",""พิจิตร!J511"")"),0)</f>
        <v>0</v>
      </c>
      <c r="K616" s="163">
        <f t="shared" ca="1" si="127"/>
        <v>0</v>
      </c>
      <c r="L616" s="181"/>
      <c r="M616" s="181"/>
      <c r="N616" s="181"/>
      <c r="O616" s="181"/>
      <c r="P616" s="181"/>
    </row>
    <row r="617" spans="1:16" ht="21.75" customHeight="1" x14ac:dyDescent="0.3">
      <c r="A617" s="175"/>
      <c r="B617" s="176"/>
      <c r="C617" s="176"/>
      <c r="D617" s="193"/>
      <c r="E617" s="198"/>
      <c r="F617" s="195"/>
      <c r="G617" s="194" t="s">
        <v>225</v>
      </c>
      <c r="H617" s="180" t="s">
        <v>122</v>
      </c>
      <c r="I617" s="187">
        <f ca="1">IFERROR(__xludf.DUMMYFUNCTION("IMPORTRANGE(""https://docs.google.com/spreadsheets/d/11923uPwbBZFjjGgGUA6NLw09EwE0CqkOc4q9oUmW1yo/edit?usp=sharing"",""พิจิตร!I512"")"),0)</f>
        <v>0</v>
      </c>
      <c r="J617" s="187">
        <f ca="1">IFERROR(__xludf.DUMMYFUNCTION("IMPORTRANGE(""https://docs.google.com/spreadsheets/d/11923uPwbBZFjjGgGUA6NLw09EwE0CqkOc4q9oUmW1yo/edit?usp=sharing"",""พิจิตร!J512"")"),0)</f>
        <v>0</v>
      </c>
      <c r="K617" s="163">
        <f t="shared" ca="1" si="127"/>
        <v>0</v>
      </c>
      <c r="L617" s="181"/>
      <c r="M617" s="181"/>
      <c r="N617" s="181"/>
      <c r="O617" s="181"/>
      <c r="P617" s="181"/>
    </row>
    <row r="618" spans="1:16" ht="21.75" customHeight="1" x14ac:dyDescent="0.3">
      <c r="A618" s="175"/>
      <c r="B618" s="176"/>
      <c r="C618" s="176"/>
      <c r="D618" s="193"/>
      <c r="E618" s="198"/>
      <c r="F618" s="195"/>
      <c r="G618" s="489" t="s">
        <v>226</v>
      </c>
      <c r="H618" s="180" t="s">
        <v>122</v>
      </c>
      <c r="I618" s="203">
        <f ca="1">IFERROR(__xludf.DUMMYFUNCTION("IMPORTRANGE(""https://docs.google.com/spreadsheets/d/11923uPwbBZFjjGgGUA6NLw09EwE0CqkOc4q9oUmW1yo/edit?usp=sharing"",""พิจิตร!I513"")"),0)</f>
        <v>0</v>
      </c>
      <c r="J618" s="188">
        <f ca="1">IFERROR(__xludf.DUMMYFUNCTION("IMPORTRANGE(""https://docs.google.com/spreadsheets/d/11923uPwbBZFjjGgGUA6NLw09EwE0CqkOc4q9oUmW1yo/edit?usp=sharing"",""พิจิตร!J513"")"),0)</f>
        <v>0</v>
      </c>
      <c r="K618" s="163">
        <f t="shared" ca="1" si="127"/>
        <v>0</v>
      </c>
      <c r="L618" s="181"/>
      <c r="M618" s="181"/>
      <c r="N618" s="181"/>
      <c r="O618" s="181"/>
      <c r="P618" s="181"/>
    </row>
    <row r="619" spans="1:16" ht="21.75" customHeight="1" x14ac:dyDescent="0.3">
      <c r="A619" s="175"/>
      <c r="B619" s="176"/>
      <c r="C619" s="176"/>
      <c r="D619" s="193"/>
      <c r="E619" s="198"/>
      <c r="F619" s="195"/>
      <c r="G619" s="489" t="s">
        <v>227</v>
      </c>
      <c r="H619" s="180" t="s">
        <v>122</v>
      </c>
      <c r="I619" s="203">
        <f ca="1">IFERROR(__xludf.DUMMYFUNCTION("IMPORTRANGE(""https://docs.google.com/spreadsheets/d/11923uPwbBZFjjGgGUA6NLw09EwE0CqkOc4q9oUmW1yo/edit?usp=sharing"",""พิจิตร!I514"")"),0)</f>
        <v>0</v>
      </c>
      <c r="J619" s="188">
        <f ca="1">IFERROR(__xludf.DUMMYFUNCTION("IMPORTRANGE(""https://docs.google.com/spreadsheets/d/11923uPwbBZFjjGgGUA6NLw09EwE0CqkOc4q9oUmW1yo/edit?usp=sharing"",""พิจิตร!J514"")"),0)</f>
        <v>0</v>
      </c>
      <c r="K619" s="163">
        <f t="shared" ca="1" si="127"/>
        <v>0</v>
      </c>
      <c r="L619" s="181"/>
      <c r="M619" s="181"/>
      <c r="N619" s="181"/>
      <c r="O619" s="181"/>
      <c r="P619" s="181"/>
    </row>
    <row r="620" spans="1:16" ht="21.75" customHeight="1" x14ac:dyDescent="0.3">
      <c r="A620" s="175"/>
      <c r="B620" s="176"/>
      <c r="C620" s="176"/>
      <c r="D620" s="193"/>
      <c r="E620" s="195"/>
      <c r="F620" s="194" t="s">
        <v>228</v>
      </c>
      <c r="G620" s="196"/>
      <c r="H620" s="180" t="s">
        <v>122</v>
      </c>
      <c r="I620" s="187">
        <f ca="1">IFERROR(__xludf.DUMMYFUNCTION("IMPORTRANGE(""https://docs.google.com/spreadsheets/d/11923uPwbBZFjjGgGUA6NLw09EwE0CqkOc4q9oUmW1yo/edit?usp=sharing"",""พิจิตร!I515"")"),0)</f>
        <v>0</v>
      </c>
      <c r="J620" s="202">
        <f ca="1">IFERROR(__xludf.DUMMYFUNCTION("IMPORTRANGE(""https://docs.google.com/spreadsheets/d/11923uPwbBZFjjGgGUA6NLw09EwE0CqkOc4q9oUmW1yo/edit?usp=sharing"",""พิจิตร!J515"")"),0)</f>
        <v>0</v>
      </c>
      <c r="K620" s="163">
        <f t="shared" ref="K620:K626" ca="1" si="128">IF(I$620&gt;0,J620*100/I$620,0)</f>
        <v>0</v>
      </c>
      <c r="L620" s="181"/>
      <c r="M620" s="181"/>
      <c r="N620" s="181"/>
      <c r="O620" s="181"/>
      <c r="P620" s="181"/>
    </row>
    <row r="621" spans="1:16" ht="21.75" customHeight="1" x14ac:dyDescent="0.3">
      <c r="A621" s="175"/>
      <c r="B621" s="176"/>
      <c r="C621" s="176"/>
      <c r="D621" s="193"/>
      <c r="E621" s="198"/>
      <c r="F621" s="195"/>
      <c r="G621" s="225" t="s">
        <v>225</v>
      </c>
      <c r="H621" s="180" t="s">
        <v>122</v>
      </c>
      <c r="I621" s="202">
        <f ca="1">IFERROR(__xludf.DUMMYFUNCTION("IMPORTRANGE(""https://docs.google.com/spreadsheets/d/11923uPwbBZFjjGgGUA6NLw09EwE0CqkOc4q9oUmW1yo/edit?usp=sharing"",""พิจิตร!I516"")"),0)</f>
        <v>0</v>
      </c>
      <c r="J621" s="202">
        <f ca="1">IFERROR(__xludf.DUMMYFUNCTION("IMPORTRANGE(""https://docs.google.com/spreadsheets/d/11923uPwbBZFjjGgGUA6NLw09EwE0CqkOc4q9oUmW1yo/edit?usp=sharing"",""พิจิตร!J516"")"),0)</f>
        <v>0</v>
      </c>
      <c r="K621" s="163">
        <f t="shared" ca="1" si="128"/>
        <v>0</v>
      </c>
      <c r="L621" s="181"/>
      <c r="M621" s="181"/>
      <c r="N621" s="181"/>
      <c r="O621" s="181"/>
      <c r="P621" s="181"/>
    </row>
    <row r="622" spans="1:16" ht="21.75" customHeight="1" x14ac:dyDescent="0.3">
      <c r="A622" s="175"/>
      <c r="B622" s="176"/>
      <c r="C622" s="176"/>
      <c r="D622" s="193"/>
      <c r="E622" s="198"/>
      <c r="F622" s="195"/>
      <c r="G622" s="489" t="s">
        <v>226</v>
      </c>
      <c r="H622" s="180" t="s">
        <v>122</v>
      </c>
      <c r="I622" s="203">
        <f ca="1">IFERROR(__xludf.DUMMYFUNCTION("IMPORTRANGE(""https://docs.google.com/spreadsheets/d/11923uPwbBZFjjGgGUA6NLw09EwE0CqkOc4q9oUmW1yo/edit?usp=sharing"",""พิจิตร!I517"")"),0)</f>
        <v>0</v>
      </c>
      <c r="J622" s="188">
        <f ca="1">IFERROR(__xludf.DUMMYFUNCTION("IMPORTRANGE(""https://docs.google.com/spreadsheets/d/11923uPwbBZFjjGgGUA6NLw09EwE0CqkOc4q9oUmW1yo/edit?usp=sharing"",""พิจิตร!J517"")"),0)</f>
        <v>0</v>
      </c>
      <c r="K622" s="163">
        <f t="shared" ca="1" si="128"/>
        <v>0</v>
      </c>
      <c r="L622" s="181"/>
      <c r="M622" s="181"/>
      <c r="N622" s="181"/>
      <c r="O622" s="181"/>
      <c r="P622" s="181"/>
    </row>
    <row r="623" spans="1:16" ht="21.75" customHeight="1" x14ac:dyDescent="0.3">
      <c r="A623" s="175"/>
      <c r="B623" s="176"/>
      <c r="C623" s="176"/>
      <c r="D623" s="193"/>
      <c r="E623" s="198"/>
      <c r="F623" s="195"/>
      <c r="G623" s="489" t="s">
        <v>227</v>
      </c>
      <c r="H623" s="180" t="s">
        <v>122</v>
      </c>
      <c r="I623" s="203">
        <f ca="1">IFERROR(__xludf.DUMMYFUNCTION("IMPORTRANGE(""https://docs.google.com/spreadsheets/d/11923uPwbBZFjjGgGUA6NLw09EwE0CqkOc4q9oUmW1yo/edit?usp=sharing"",""พิจิตร!I518"")"),0)</f>
        <v>0</v>
      </c>
      <c r="J623" s="188">
        <f ca="1">IFERROR(__xludf.DUMMYFUNCTION("IMPORTRANGE(""https://docs.google.com/spreadsheets/d/11923uPwbBZFjjGgGUA6NLw09EwE0CqkOc4q9oUmW1yo/edit?usp=sharing"",""พิจิตร!J518"")"),0)</f>
        <v>0</v>
      </c>
      <c r="K623" s="163">
        <f t="shared" ca="1" si="128"/>
        <v>0</v>
      </c>
      <c r="L623" s="181"/>
      <c r="M623" s="181"/>
      <c r="N623" s="181"/>
      <c r="O623" s="181"/>
      <c r="P623" s="181"/>
    </row>
    <row r="624" spans="1:16" ht="21.75" customHeight="1" x14ac:dyDescent="0.3">
      <c r="A624" s="175"/>
      <c r="B624" s="176"/>
      <c r="C624" s="176"/>
      <c r="D624" s="193"/>
      <c r="E624" s="198"/>
      <c r="F624" s="195"/>
      <c r="G624" s="225" t="s">
        <v>229</v>
      </c>
      <c r="H624" s="180" t="s">
        <v>122</v>
      </c>
      <c r="I624" s="187">
        <f ca="1">IFERROR(__xludf.DUMMYFUNCTION("IMPORTRANGE(""https://docs.google.com/spreadsheets/d/11923uPwbBZFjjGgGUA6NLw09EwE0CqkOc4q9oUmW1yo/edit?usp=sharing"",""พิจิตร!I519"")"),0)</f>
        <v>0</v>
      </c>
      <c r="J624" s="187">
        <f ca="1">IFERROR(__xludf.DUMMYFUNCTION("IMPORTRANGE(""https://docs.google.com/spreadsheets/d/11923uPwbBZFjjGgGUA6NLw09EwE0CqkOc4q9oUmW1yo/edit?usp=sharing"",""พิจิตร!J519"")"),0)</f>
        <v>0</v>
      </c>
      <c r="K624" s="163">
        <f t="shared" ca="1" si="128"/>
        <v>0</v>
      </c>
      <c r="L624" s="181"/>
      <c r="M624" s="181"/>
      <c r="N624" s="181"/>
      <c r="O624" s="181"/>
      <c r="P624" s="181"/>
    </row>
    <row r="625" spans="1:16" ht="21.75" customHeight="1" x14ac:dyDescent="0.3">
      <c r="A625" s="175"/>
      <c r="B625" s="176"/>
      <c r="C625" s="176"/>
      <c r="D625" s="193"/>
      <c r="E625" s="198"/>
      <c r="F625" s="195"/>
      <c r="G625" s="489" t="s">
        <v>230</v>
      </c>
      <c r="H625" s="180" t="s">
        <v>122</v>
      </c>
      <c r="I625" s="203">
        <f ca="1">IFERROR(__xludf.DUMMYFUNCTION("IMPORTRANGE(""https://docs.google.com/spreadsheets/d/11923uPwbBZFjjGgGUA6NLw09EwE0CqkOc4q9oUmW1yo/edit?usp=sharing"",""พิจิตร!I520"")"),0)</f>
        <v>0</v>
      </c>
      <c r="J625" s="188">
        <f ca="1">IFERROR(__xludf.DUMMYFUNCTION("IMPORTRANGE(""https://docs.google.com/spreadsheets/d/11923uPwbBZFjjGgGUA6NLw09EwE0CqkOc4q9oUmW1yo/edit?usp=sharing"",""พิจิตร!J520"")"),0)</f>
        <v>0</v>
      </c>
      <c r="K625" s="163">
        <f t="shared" ca="1" si="128"/>
        <v>0</v>
      </c>
      <c r="L625" s="181"/>
      <c r="M625" s="181"/>
      <c r="N625" s="181"/>
      <c r="O625" s="181"/>
      <c r="P625" s="181"/>
    </row>
    <row r="626" spans="1:16" ht="21.75" customHeight="1" x14ac:dyDescent="0.3">
      <c r="A626" s="175"/>
      <c r="B626" s="176"/>
      <c r="C626" s="176"/>
      <c r="D626" s="193"/>
      <c r="E626" s="198"/>
      <c r="F626" s="195"/>
      <c r="G626" s="489" t="s">
        <v>231</v>
      </c>
      <c r="H626" s="180" t="s">
        <v>122</v>
      </c>
      <c r="I626" s="203">
        <f ca="1">IFERROR(__xludf.DUMMYFUNCTION("IMPORTRANGE(""https://docs.google.com/spreadsheets/d/11923uPwbBZFjjGgGUA6NLw09EwE0CqkOc4q9oUmW1yo/edit?usp=sharing"",""พิจิตร!I521"")"),0)</f>
        <v>0</v>
      </c>
      <c r="J626" s="188">
        <f ca="1">IFERROR(__xludf.DUMMYFUNCTION("IMPORTRANGE(""https://docs.google.com/spreadsheets/d/11923uPwbBZFjjGgGUA6NLw09EwE0CqkOc4q9oUmW1yo/edit?usp=sharing"",""พิจิตร!J521"")"),0)</f>
        <v>0</v>
      </c>
      <c r="K626" s="163">
        <f t="shared" ca="1" si="128"/>
        <v>0</v>
      </c>
      <c r="L626" s="181"/>
      <c r="M626" s="181"/>
      <c r="N626" s="181"/>
      <c r="O626" s="181"/>
      <c r="P626" s="181"/>
    </row>
    <row r="627" spans="1:16" ht="21.75" customHeight="1" x14ac:dyDescent="0.3">
      <c r="A627" s="490" t="s">
        <v>232</v>
      </c>
      <c r="B627" s="491"/>
      <c r="C627" s="491"/>
      <c r="D627" s="491"/>
      <c r="E627" s="491"/>
      <c r="F627" s="491"/>
      <c r="G627" s="492"/>
      <c r="H627" s="493"/>
      <c r="I627" s="494"/>
      <c r="J627" s="494"/>
      <c r="K627" s="495"/>
      <c r="L627" s="495"/>
      <c r="M627" s="495"/>
      <c r="N627" s="495"/>
      <c r="O627" s="496"/>
      <c r="P627" s="496"/>
    </row>
    <row r="628" spans="1:16" ht="21.75" customHeight="1" x14ac:dyDescent="0.3">
      <c r="A628" s="476"/>
      <c r="B628" s="497" t="s">
        <v>233</v>
      </c>
      <c r="C628" s="157"/>
      <c r="D628" s="166"/>
      <c r="E628" s="159"/>
      <c r="F628" s="159"/>
      <c r="G628" s="160"/>
      <c r="H628" s="498" t="s">
        <v>12</v>
      </c>
      <c r="I628" s="339">
        <f ca="1">IFERROR(__xludf.DUMMYFUNCTION("IMPORTRANGE(""https://docs.google.com/spreadsheets/d/11923uPwbBZFjjGgGUA6NLw09EwE0CqkOc4q9oUmW1yo/edit?usp=sharing"",""พิจิตร!I523"")"),2520250)</f>
        <v>2520250</v>
      </c>
      <c r="J628" s="339">
        <f ca="1">IFERROR(__xludf.DUMMYFUNCTION("IMPORTRANGE(""https://docs.google.com/spreadsheets/d/11923uPwbBZFjjGgGUA6NLw09EwE0CqkOc4q9oUmW1yo/edit?usp=sharing"",""พิจิตร!J523"")"),370000)</f>
        <v>370000</v>
      </c>
      <c r="K628" s="340">
        <f t="shared" ref="K628:K635" ca="1" si="129">IF(I628&gt;0,J628*100/I628,0)</f>
        <v>14.681083225870449</v>
      </c>
      <c r="L628" s="340"/>
      <c r="M628" s="340"/>
      <c r="N628" s="340"/>
      <c r="O628" s="168"/>
      <c r="P628" s="168"/>
    </row>
    <row r="629" spans="1:16" ht="21.75" customHeight="1" x14ac:dyDescent="0.3">
      <c r="A629" s="476"/>
      <c r="B629" s="157"/>
      <c r="C629" s="157"/>
      <c r="D629" s="166"/>
      <c r="E629" s="159"/>
      <c r="F629" s="159"/>
      <c r="G629" s="160"/>
      <c r="H629" s="498" t="s">
        <v>37</v>
      </c>
      <c r="I629" s="339">
        <f ca="1">IFERROR(__xludf.DUMMYFUNCTION("IMPORTRANGE(""https://docs.google.com/spreadsheets/d/11923uPwbBZFjjGgGUA6NLw09EwE0CqkOc4q9oUmW1yo/edit?usp=sharing"",""พิจิตร!I524"")"),93)</f>
        <v>93</v>
      </c>
      <c r="J629" s="339">
        <f ca="1">IFERROR(__xludf.DUMMYFUNCTION("IMPORTRANGE(""https://docs.google.com/spreadsheets/d/11923uPwbBZFjjGgGUA6NLw09EwE0CqkOc4q9oUmW1yo/edit?usp=sharing"",""พิจิตร!J524"")"),13)</f>
        <v>13</v>
      </c>
      <c r="K629" s="340">
        <f t="shared" ca="1" si="129"/>
        <v>13.978494623655914</v>
      </c>
      <c r="L629" s="340"/>
      <c r="M629" s="340"/>
      <c r="N629" s="340"/>
      <c r="O629" s="168"/>
      <c r="P629" s="168"/>
    </row>
    <row r="630" spans="1:16" ht="21.75" customHeight="1" x14ac:dyDescent="0.3">
      <c r="A630" s="476"/>
      <c r="B630" s="497" t="s">
        <v>234</v>
      </c>
      <c r="C630" s="157"/>
      <c r="D630" s="166"/>
      <c r="E630" s="159"/>
      <c r="F630" s="159"/>
      <c r="G630" s="160"/>
      <c r="H630" s="498" t="s">
        <v>12</v>
      </c>
      <c r="I630" s="339">
        <f ca="1">IFERROR(__xludf.DUMMYFUNCTION("IMPORTRANGE(""https://docs.google.com/spreadsheets/d/11923uPwbBZFjjGgGUA6NLw09EwE0CqkOc4q9oUmW1yo/edit?usp=sharing"",""พิจิตร!I525"")"),510790.7)</f>
        <v>510790.7</v>
      </c>
      <c r="J630" s="339">
        <f ca="1">IFERROR(__xludf.DUMMYFUNCTION("IMPORTRANGE(""https://docs.google.com/spreadsheets/d/11923uPwbBZFjjGgGUA6NLw09EwE0CqkOc4q9oUmW1yo/edit?usp=sharing"",""พิจิตร!J525"")"),45074.55)</f>
        <v>45074.55</v>
      </c>
      <c r="K630" s="340">
        <f t="shared" ca="1" si="129"/>
        <v>8.8244656764502558</v>
      </c>
      <c r="L630" s="340"/>
      <c r="M630" s="340"/>
      <c r="N630" s="340"/>
      <c r="O630" s="168"/>
      <c r="P630" s="168"/>
    </row>
    <row r="631" spans="1:16" ht="21.75" customHeight="1" x14ac:dyDescent="0.3">
      <c r="A631" s="476"/>
      <c r="B631" s="157"/>
      <c r="C631" s="157"/>
      <c r="D631" s="166"/>
      <c r="E631" s="159"/>
      <c r="F631" s="159"/>
      <c r="G631" s="160"/>
      <c r="H631" s="498" t="s">
        <v>37</v>
      </c>
      <c r="I631" s="339">
        <f ca="1">IFERROR(__xludf.DUMMYFUNCTION("IMPORTRANGE(""https://docs.google.com/spreadsheets/d/11923uPwbBZFjjGgGUA6NLw09EwE0CqkOc4q9oUmW1yo/edit?usp=sharing"",""พิจิตร!I526"")"),29)</f>
        <v>29</v>
      </c>
      <c r="J631" s="339">
        <f ca="1">IFERROR(__xludf.DUMMYFUNCTION("IMPORTRANGE(""https://docs.google.com/spreadsheets/d/11923uPwbBZFjjGgGUA6NLw09EwE0CqkOc4q9oUmW1yo/edit?usp=sharing"",""พิจิตร!J526"")"),12)</f>
        <v>12</v>
      </c>
      <c r="K631" s="340">
        <f t="shared" ca="1" si="129"/>
        <v>41.379310344827587</v>
      </c>
      <c r="L631" s="340"/>
      <c r="M631" s="340"/>
      <c r="N631" s="340"/>
      <c r="O631" s="168"/>
      <c r="P631" s="168"/>
    </row>
    <row r="632" spans="1:16" ht="21.75" customHeight="1" x14ac:dyDescent="0.3">
      <c r="A632" s="476"/>
      <c r="B632" s="497" t="s">
        <v>235</v>
      </c>
      <c r="C632" s="157"/>
      <c r="D632" s="166"/>
      <c r="E632" s="159"/>
      <c r="F632" s="159"/>
      <c r="G632" s="160"/>
      <c r="H632" s="498" t="s">
        <v>12</v>
      </c>
      <c r="I632" s="339">
        <f ca="1">IFERROR(__xludf.DUMMYFUNCTION("IMPORTRANGE(""https://docs.google.com/spreadsheets/d/11923uPwbBZFjjGgGUA6NLw09EwE0CqkOc4q9oUmW1yo/edit?usp=sharing"",""พิจิตร!I527"")"),6140853.3)</f>
        <v>6140853.2999999998</v>
      </c>
      <c r="J632" s="339">
        <f ca="1">IFERROR(__xludf.DUMMYFUNCTION("IMPORTRANGE(""https://docs.google.com/spreadsheets/d/11923uPwbBZFjjGgGUA6NLw09EwE0CqkOc4q9oUmW1yo/edit?usp=sharing"",""พิจิตร!J527"")"),2232101.28)</f>
        <v>2232101.2799999998</v>
      </c>
      <c r="K632" s="340">
        <f t="shared" ca="1" si="129"/>
        <v>36.348389563385268</v>
      </c>
      <c r="L632" s="340"/>
      <c r="M632" s="340"/>
      <c r="N632" s="340"/>
      <c r="O632" s="168"/>
      <c r="P632" s="168"/>
    </row>
    <row r="633" spans="1:16" ht="21.75" customHeight="1" x14ac:dyDescent="0.3">
      <c r="A633" s="476"/>
      <c r="B633" s="497"/>
      <c r="C633" s="157"/>
      <c r="D633" s="166"/>
      <c r="E633" s="159"/>
      <c r="F633" s="159"/>
      <c r="G633" s="160"/>
      <c r="H633" s="498" t="s">
        <v>37</v>
      </c>
      <c r="I633" s="339">
        <f ca="1">IFERROR(__xludf.DUMMYFUNCTION("IMPORTRANGE(""https://docs.google.com/spreadsheets/d/11923uPwbBZFjjGgGUA6NLw09EwE0CqkOc4q9oUmW1yo/edit?usp=sharing"",""พิจิตร!I528"")"),482)</f>
        <v>482</v>
      </c>
      <c r="J633" s="339">
        <f ca="1">IFERROR(__xludf.DUMMYFUNCTION("IMPORTRANGE(""https://docs.google.com/spreadsheets/d/11923uPwbBZFjjGgGUA6NLw09EwE0CqkOc4q9oUmW1yo/edit?usp=sharing"",""พิจิตร!J528"")"),302)</f>
        <v>302</v>
      </c>
      <c r="K633" s="340">
        <f t="shared" ca="1" si="129"/>
        <v>62.655601659751035</v>
      </c>
      <c r="L633" s="340"/>
      <c r="M633" s="340"/>
      <c r="N633" s="340"/>
      <c r="O633" s="168"/>
      <c r="P633" s="168"/>
    </row>
    <row r="634" spans="1:16" ht="21.75" customHeight="1" x14ac:dyDescent="0.3">
      <c r="A634" s="476"/>
      <c r="B634" s="497" t="s">
        <v>236</v>
      </c>
      <c r="C634" s="157"/>
      <c r="D634" s="166"/>
      <c r="E634" s="159"/>
      <c r="F634" s="159"/>
      <c r="G634" s="160"/>
      <c r="H634" s="498" t="s">
        <v>12</v>
      </c>
      <c r="I634" s="339">
        <f ca="1">IFERROR(__xludf.DUMMYFUNCTION("IMPORTRANGE(""https://docs.google.com/spreadsheets/d/11923uPwbBZFjjGgGUA6NLw09EwE0CqkOc4q9oUmW1yo/edit?usp=sharing"",""พิจิตร!I529"")"),2320000)</f>
        <v>2320000</v>
      </c>
      <c r="J634" s="339">
        <f ca="1">IFERROR(__xludf.DUMMYFUNCTION("IMPORTRANGE(""https://docs.google.com/spreadsheets/d/11923uPwbBZFjjGgGUA6NLw09EwE0CqkOc4q9oUmW1yo/edit?usp=sharing"",""พิจิตร!J529"")"),180000)</f>
        <v>180000</v>
      </c>
      <c r="K634" s="340">
        <f t="shared" ca="1" si="129"/>
        <v>7.7586206896551726</v>
      </c>
      <c r="L634" s="340"/>
      <c r="M634" s="340"/>
      <c r="N634" s="340"/>
      <c r="O634" s="168"/>
      <c r="P634" s="168"/>
    </row>
    <row r="635" spans="1:16" ht="21.75" customHeight="1" x14ac:dyDescent="0.3">
      <c r="A635" s="478"/>
      <c r="B635" s="480"/>
      <c r="C635" s="480"/>
      <c r="D635" s="479"/>
      <c r="E635" s="499"/>
      <c r="F635" s="499"/>
      <c r="G635" s="500"/>
      <c r="H635" s="501" t="s">
        <v>37</v>
      </c>
      <c r="I635" s="502">
        <f ca="1">IFERROR(__xludf.DUMMYFUNCTION("IMPORTRANGE(""https://docs.google.com/spreadsheets/d/11923uPwbBZFjjGgGUA6NLw09EwE0CqkOc4q9oUmW1yo/edit?usp=sharing"",""พิจิตร!I530"")"),87)</f>
        <v>87</v>
      </c>
      <c r="J635" s="502">
        <f ca="1">IFERROR(__xludf.DUMMYFUNCTION("IMPORTRANGE(""https://docs.google.com/spreadsheets/d/11923uPwbBZFjjGgGUA6NLw09EwE0CqkOc4q9oUmW1yo/edit?usp=sharing"",""พิจิตร!J530"")"),6)</f>
        <v>6</v>
      </c>
      <c r="K635" s="484">
        <f t="shared" ca="1" si="129"/>
        <v>6.8965517241379306</v>
      </c>
      <c r="L635" s="484"/>
      <c r="M635" s="484"/>
      <c r="N635" s="484"/>
      <c r="O635" s="503"/>
      <c r="P635" s="503"/>
    </row>
    <row r="636" spans="1:16" ht="21.75" customHeight="1" x14ac:dyDescent="0.3">
      <c r="A636" s="504"/>
      <c r="B636" s="504"/>
      <c r="C636" s="504"/>
      <c r="D636" s="504"/>
      <c r="E636" s="505" t="s">
        <v>237</v>
      </c>
      <c r="F636" s="505"/>
      <c r="G636" s="505"/>
      <c r="H636" s="506"/>
      <c r="I636" s="506"/>
      <c r="J636" s="506"/>
      <c r="K636" s="507"/>
      <c r="L636" s="508"/>
      <c r="M636" s="508"/>
      <c r="N636" s="508"/>
      <c r="O636" s="509"/>
      <c r="P636" s="509"/>
    </row>
    <row r="637" spans="1:16" ht="21.75" customHeight="1" x14ac:dyDescent="0.3">
      <c r="A637" s="504"/>
      <c r="B637" s="504"/>
      <c r="C637" s="504"/>
      <c r="D637" s="504"/>
      <c r="E637" s="506"/>
      <c r="F637" s="506"/>
      <c r="G637" s="506"/>
      <c r="H637" s="506"/>
      <c r="I637" s="506"/>
      <c r="J637" s="506"/>
      <c r="K637" s="507"/>
      <c r="L637" s="508"/>
      <c r="M637" s="508"/>
      <c r="N637" s="508"/>
      <c r="O637" s="509"/>
      <c r="P637" s="509"/>
    </row>
    <row r="638" spans="1:16" ht="21.75" customHeight="1" x14ac:dyDescent="0.3">
      <c r="A638" s="504"/>
      <c r="B638" s="504"/>
      <c r="C638" s="504"/>
      <c r="D638" s="504"/>
      <c r="E638" s="506"/>
      <c r="F638" s="506"/>
      <c r="G638" s="506"/>
      <c r="H638" s="506"/>
      <c r="I638" s="506"/>
      <c r="J638" s="506"/>
      <c r="K638" s="507"/>
      <c r="L638" s="508"/>
      <c r="M638" s="508"/>
      <c r="N638" s="508"/>
      <c r="O638" s="509"/>
      <c r="P638" s="509"/>
    </row>
    <row r="639" spans="1:16" ht="21.75" customHeight="1" x14ac:dyDescent="0.3">
      <c r="A639" s="504"/>
      <c r="B639" s="504"/>
      <c r="C639" s="504"/>
      <c r="D639" s="504"/>
      <c r="E639" s="506"/>
      <c r="F639" s="506"/>
      <c r="G639" s="506"/>
      <c r="H639" s="506"/>
      <c r="I639" s="506"/>
      <c r="J639" s="506"/>
      <c r="K639" s="507"/>
      <c r="L639" s="508"/>
      <c r="M639" s="508"/>
      <c r="N639" s="508"/>
      <c r="O639" s="509"/>
      <c r="P639" s="509"/>
    </row>
    <row r="640" spans="1:16" ht="21.75" customHeight="1" x14ac:dyDescent="0.3">
      <c r="A640" s="504"/>
      <c r="B640" s="504"/>
      <c r="C640" s="504"/>
      <c r="D640" s="504"/>
      <c r="E640" s="506"/>
      <c r="F640" s="506"/>
      <c r="G640" s="506"/>
      <c r="H640" s="506"/>
      <c r="I640" s="506"/>
      <c r="J640" s="506"/>
      <c r="K640" s="507"/>
      <c r="L640" s="508"/>
      <c r="M640" s="508"/>
      <c r="N640" s="508"/>
      <c r="O640" s="509"/>
      <c r="P640" s="509"/>
    </row>
    <row r="641" spans="1:16" ht="21.75" customHeight="1" x14ac:dyDescent="0.3">
      <c r="A641" s="504"/>
      <c r="B641" s="504"/>
      <c r="C641" s="504"/>
      <c r="D641" s="504"/>
      <c r="E641" s="506"/>
      <c r="F641" s="506"/>
      <c r="G641" s="506"/>
      <c r="H641" s="506"/>
      <c r="I641" s="506"/>
      <c r="J641" s="506"/>
      <c r="K641" s="507"/>
      <c r="L641" s="508"/>
      <c r="M641" s="508"/>
      <c r="N641" s="508"/>
      <c r="O641" s="509"/>
      <c r="P641" s="509"/>
    </row>
    <row r="642" spans="1:16" ht="21.75" customHeight="1" x14ac:dyDescent="0.3">
      <c r="A642" s="504"/>
      <c r="B642" s="504"/>
      <c r="C642" s="504"/>
      <c r="D642" s="504"/>
      <c r="E642" s="506"/>
      <c r="F642" s="506"/>
      <c r="G642" s="506"/>
      <c r="H642" s="506"/>
      <c r="I642" s="506"/>
      <c r="J642" s="506"/>
      <c r="K642" s="507"/>
      <c r="L642" s="508"/>
      <c r="M642" s="508"/>
      <c r="N642" s="508"/>
      <c r="O642" s="509"/>
      <c r="P642" s="509"/>
    </row>
    <row r="643" spans="1:16" ht="21.75" customHeight="1" x14ac:dyDescent="0.3">
      <c r="A643" s="504"/>
      <c r="B643" s="504"/>
      <c r="C643" s="504"/>
      <c r="D643" s="504"/>
      <c r="E643" s="506"/>
      <c r="F643" s="506"/>
      <c r="G643" s="506"/>
      <c r="H643" s="506"/>
      <c r="I643" s="506"/>
      <c r="J643" s="506"/>
      <c r="K643" s="507"/>
      <c r="L643" s="508"/>
      <c r="M643" s="508"/>
      <c r="N643" s="508"/>
      <c r="O643" s="509"/>
      <c r="P643" s="509"/>
    </row>
    <row r="644" spans="1:16" ht="21.75" customHeight="1" x14ac:dyDescent="0.3">
      <c r="A644" s="504"/>
      <c r="B644" s="504"/>
      <c r="C644" s="504"/>
      <c r="D644" s="504"/>
      <c r="E644" s="506"/>
      <c r="F644" s="506"/>
      <c r="G644" s="506"/>
      <c r="H644" s="506"/>
      <c r="I644" s="506"/>
      <c r="J644" s="506"/>
      <c r="K644" s="507"/>
      <c r="L644" s="508"/>
      <c r="M644" s="508"/>
      <c r="N644" s="508"/>
      <c r="O644" s="509"/>
      <c r="P644" s="509"/>
    </row>
    <row r="645" spans="1:16" ht="21.75" customHeight="1" x14ac:dyDescent="0.3">
      <c r="A645" s="504"/>
      <c r="B645" s="504"/>
      <c r="C645" s="504"/>
      <c r="D645" s="504"/>
      <c r="E645" s="506"/>
      <c r="F645" s="506"/>
      <c r="G645" s="506"/>
      <c r="H645" s="506"/>
      <c r="I645" s="506"/>
      <c r="J645" s="506"/>
      <c r="K645" s="507"/>
      <c r="L645" s="508"/>
      <c r="M645" s="508"/>
      <c r="N645" s="508"/>
      <c r="O645" s="509"/>
      <c r="P645" s="509"/>
    </row>
    <row r="646" spans="1:16" ht="21.75" customHeight="1" x14ac:dyDescent="0.3">
      <c r="A646" s="504"/>
      <c r="B646" s="504"/>
      <c r="C646" s="504"/>
      <c r="D646" s="504"/>
      <c r="E646" s="506"/>
      <c r="F646" s="506"/>
      <c r="G646" s="506"/>
      <c r="H646" s="506"/>
      <c r="I646" s="506"/>
      <c r="J646" s="506"/>
      <c r="K646" s="507"/>
      <c r="L646" s="508"/>
      <c r="M646" s="508"/>
      <c r="N646" s="508"/>
      <c r="O646" s="509"/>
      <c r="P646" s="509"/>
    </row>
    <row r="647" spans="1:16" ht="21.75" customHeight="1" x14ac:dyDescent="0.3">
      <c r="A647" s="504"/>
      <c r="B647" s="504"/>
      <c r="C647" s="504"/>
      <c r="D647" s="504"/>
      <c r="E647" s="506"/>
      <c r="F647" s="506"/>
      <c r="G647" s="506"/>
      <c r="H647" s="506"/>
      <c r="I647" s="506"/>
      <c r="J647" s="506"/>
      <c r="K647" s="507"/>
      <c r="L647" s="508"/>
      <c r="M647" s="508"/>
      <c r="N647" s="508"/>
      <c r="O647" s="509"/>
      <c r="P647" s="509"/>
    </row>
    <row r="648" spans="1:16" ht="21.75" customHeight="1" x14ac:dyDescent="0.3">
      <c r="A648" s="504"/>
      <c r="B648" s="504"/>
      <c r="C648" s="504"/>
      <c r="D648" s="504"/>
      <c r="E648" s="506"/>
      <c r="F648" s="506"/>
      <c r="G648" s="506"/>
      <c r="H648" s="506"/>
      <c r="I648" s="506"/>
      <c r="J648" s="506"/>
      <c r="K648" s="507"/>
      <c r="L648" s="508"/>
      <c r="M648" s="508"/>
      <c r="N648" s="508"/>
      <c r="O648" s="509"/>
      <c r="P648" s="509"/>
    </row>
    <row r="649" spans="1:16" ht="21.75" customHeight="1" x14ac:dyDescent="0.3">
      <c r="A649" s="504"/>
      <c r="B649" s="504"/>
      <c r="C649" s="504"/>
      <c r="D649" s="504"/>
      <c r="E649" s="506"/>
      <c r="F649" s="506"/>
      <c r="G649" s="506"/>
      <c r="H649" s="506"/>
      <c r="I649" s="506"/>
      <c r="J649" s="506"/>
      <c r="K649" s="507"/>
      <c r="L649" s="508"/>
      <c r="M649" s="508"/>
      <c r="N649" s="508"/>
      <c r="O649" s="509"/>
      <c r="P649" s="509"/>
    </row>
    <row r="650" spans="1:16" ht="21.75" customHeight="1" x14ac:dyDescent="0.3">
      <c r="A650" s="504"/>
      <c r="B650" s="504"/>
      <c r="C650" s="504"/>
      <c r="D650" s="504"/>
      <c r="E650" s="506"/>
      <c r="F650" s="506"/>
      <c r="G650" s="506"/>
      <c r="H650" s="506"/>
      <c r="I650" s="506"/>
      <c r="J650" s="506"/>
      <c r="K650" s="507"/>
      <c r="L650" s="508"/>
      <c r="M650" s="508"/>
      <c r="N650" s="508"/>
      <c r="O650" s="509"/>
      <c r="P650" s="509"/>
    </row>
    <row r="651" spans="1:16" ht="21.75" customHeight="1" x14ac:dyDescent="0.3">
      <c r="A651" s="504"/>
      <c r="B651" s="504"/>
      <c r="C651" s="504"/>
      <c r="D651" s="504"/>
      <c r="E651" s="506"/>
      <c r="F651" s="506"/>
      <c r="G651" s="506"/>
      <c r="H651" s="506"/>
      <c r="I651" s="506"/>
      <c r="J651" s="506"/>
      <c r="K651" s="507"/>
      <c r="L651" s="508"/>
      <c r="M651" s="508"/>
      <c r="N651" s="508"/>
      <c r="O651" s="509"/>
      <c r="P651" s="509"/>
    </row>
    <row r="652" spans="1:16" ht="21.75" customHeight="1" x14ac:dyDescent="0.3">
      <c r="A652" s="504"/>
      <c r="B652" s="504"/>
      <c r="C652" s="504"/>
      <c r="D652" s="504"/>
      <c r="E652" s="506"/>
      <c r="F652" s="506"/>
      <c r="G652" s="506"/>
      <c r="H652" s="506"/>
      <c r="I652" s="506"/>
      <c r="J652" s="506"/>
      <c r="K652" s="507"/>
      <c r="L652" s="508"/>
      <c r="M652" s="508"/>
      <c r="N652" s="508"/>
      <c r="O652" s="509"/>
      <c r="P652" s="509"/>
    </row>
    <row r="653" spans="1:16" ht="21.75" customHeight="1" x14ac:dyDescent="0.3">
      <c r="A653" s="504"/>
      <c r="B653" s="504"/>
      <c r="C653" s="504"/>
      <c r="D653" s="504"/>
      <c r="E653" s="506"/>
      <c r="F653" s="506"/>
      <c r="G653" s="506"/>
      <c r="H653" s="506"/>
      <c r="I653" s="506"/>
      <c r="J653" s="506"/>
      <c r="K653" s="507"/>
      <c r="L653" s="508"/>
      <c r="M653" s="508"/>
      <c r="N653" s="508"/>
      <c r="O653" s="509"/>
      <c r="P653" s="509"/>
    </row>
    <row r="654" spans="1:16" ht="21.75" customHeight="1" x14ac:dyDescent="0.3">
      <c r="A654" s="504"/>
      <c r="B654" s="504"/>
      <c r="C654" s="504"/>
      <c r="D654" s="504"/>
      <c r="E654" s="506"/>
      <c r="F654" s="506"/>
      <c r="G654" s="506"/>
      <c r="H654" s="506"/>
      <c r="I654" s="506"/>
      <c r="J654" s="506"/>
      <c r="K654" s="507"/>
      <c r="L654" s="508"/>
      <c r="M654" s="508"/>
      <c r="N654" s="508"/>
      <c r="O654" s="509"/>
      <c r="P654" s="509"/>
    </row>
    <row r="655" spans="1:16" ht="21.75" customHeight="1" x14ac:dyDescent="0.3">
      <c r="A655" s="504"/>
      <c r="B655" s="504"/>
      <c r="C655" s="504"/>
      <c r="D655" s="504"/>
      <c r="E655" s="506"/>
      <c r="F655" s="506"/>
      <c r="G655" s="506"/>
      <c r="H655" s="506"/>
      <c r="I655" s="506"/>
      <c r="J655" s="506"/>
      <c r="K655" s="507"/>
      <c r="L655" s="508"/>
      <c r="M655" s="508"/>
      <c r="N655" s="508"/>
      <c r="O655" s="509"/>
      <c r="P655" s="509"/>
    </row>
    <row r="656" spans="1:16" ht="21.75" customHeight="1" x14ac:dyDescent="0.3">
      <c r="A656" s="504"/>
      <c r="B656" s="504"/>
      <c r="C656" s="504"/>
      <c r="D656" s="504"/>
      <c r="E656" s="506"/>
      <c r="F656" s="506"/>
      <c r="G656" s="506"/>
      <c r="H656" s="506"/>
      <c r="I656" s="506"/>
      <c r="J656" s="506"/>
      <c r="K656" s="507"/>
      <c r="L656" s="508"/>
      <c r="M656" s="508"/>
      <c r="N656" s="508"/>
      <c r="O656" s="509"/>
      <c r="P656" s="509"/>
    </row>
    <row r="657" spans="1:16" ht="21.75" customHeight="1" x14ac:dyDescent="0.3">
      <c r="A657" s="504"/>
      <c r="B657" s="504"/>
      <c r="C657" s="504"/>
      <c r="D657" s="504"/>
      <c r="E657" s="506"/>
      <c r="F657" s="506"/>
      <c r="G657" s="506"/>
      <c r="H657" s="506"/>
      <c r="I657" s="506"/>
      <c r="J657" s="506"/>
      <c r="K657" s="507"/>
      <c r="L657" s="508"/>
      <c r="M657" s="508"/>
      <c r="N657" s="508"/>
      <c r="O657" s="509"/>
      <c r="P657" s="509"/>
    </row>
    <row r="658" spans="1:16" ht="21.75" customHeight="1" x14ac:dyDescent="0.3">
      <c r="A658" s="504"/>
      <c r="B658" s="504"/>
      <c r="C658" s="504"/>
      <c r="D658" s="504"/>
      <c r="E658" s="506"/>
      <c r="F658" s="506"/>
      <c r="G658" s="506"/>
      <c r="H658" s="506"/>
      <c r="I658" s="506"/>
      <c r="J658" s="506"/>
      <c r="K658" s="507"/>
      <c r="L658" s="508"/>
      <c r="M658" s="508"/>
      <c r="N658" s="508"/>
      <c r="O658" s="509"/>
      <c r="P658" s="509"/>
    </row>
    <row r="659" spans="1:16" ht="21.75" customHeight="1" x14ac:dyDescent="0.3">
      <c r="A659" s="504"/>
      <c r="B659" s="504"/>
      <c r="C659" s="504"/>
      <c r="D659" s="504"/>
      <c r="E659" s="506"/>
      <c r="F659" s="506"/>
      <c r="G659" s="506"/>
      <c r="H659" s="506"/>
      <c r="I659" s="506"/>
      <c r="J659" s="506"/>
      <c r="K659" s="507"/>
      <c r="L659" s="508"/>
      <c r="M659" s="508"/>
      <c r="N659" s="508"/>
      <c r="O659" s="509"/>
      <c r="P659" s="509"/>
    </row>
    <row r="660" spans="1:16" ht="21.75" customHeight="1" x14ac:dyDescent="0.3">
      <c r="A660" s="504"/>
      <c r="B660" s="504"/>
      <c r="C660" s="504"/>
      <c r="D660" s="504"/>
      <c r="E660" s="506"/>
      <c r="F660" s="506"/>
      <c r="G660" s="506"/>
      <c r="H660" s="506"/>
      <c r="I660" s="506"/>
      <c r="J660" s="506"/>
      <c r="K660" s="507"/>
      <c r="L660" s="508"/>
      <c r="M660" s="508"/>
      <c r="N660" s="508"/>
      <c r="O660" s="509"/>
      <c r="P660" s="509"/>
    </row>
    <row r="661" spans="1:16" ht="21.75" customHeight="1" x14ac:dyDescent="0.3">
      <c r="A661" s="504"/>
      <c r="B661" s="504"/>
      <c r="C661" s="504"/>
      <c r="D661" s="504"/>
      <c r="E661" s="506"/>
      <c r="F661" s="506"/>
      <c r="G661" s="506"/>
      <c r="H661" s="506"/>
      <c r="I661" s="506"/>
      <c r="J661" s="506"/>
      <c r="K661" s="507"/>
      <c r="L661" s="508"/>
      <c r="M661" s="508"/>
      <c r="N661" s="508"/>
      <c r="O661" s="509"/>
      <c r="P661" s="509"/>
    </row>
    <row r="662" spans="1:16" ht="21.75" customHeight="1" x14ac:dyDescent="0.3">
      <c r="A662" s="504"/>
      <c r="B662" s="504"/>
      <c r="C662" s="504"/>
      <c r="D662" s="504"/>
      <c r="E662" s="506"/>
      <c r="F662" s="506"/>
      <c r="G662" s="506"/>
      <c r="H662" s="506"/>
      <c r="I662" s="506"/>
      <c r="J662" s="506"/>
      <c r="K662" s="507"/>
      <c r="L662" s="508"/>
      <c r="M662" s="508"/>
      <c r="N662" s="508"/>
      <c r="O662" s="509"/>
      <c r="P662" s="509"/>
    </row>
    <row r="663" spans="1:16" ht="21.75" customHeight="1" x14ac:dyDescent="0.3">
      <c r="A663" s="504"/>
      <c r="B663" s="504"/>
      <c r="C663" s="504"/>
      <c r="D663" s="504"/>
      <c r="E663" s="506"/>
      <c r="F663" s="506"/>
      <c r="G663" s="506"/>
      <c r="H663" s="506"/>
      <c r="I663" s="506"/>
      <c r="J663" s="506"/>
      <c r="K663" s="507"/>
      <c r="L663" s="508"/>
      <c r="M663" s="508"/>
      <c r="N663" s="508"/>
      <c r="O663" s="509"/>
      <c r="P663" s="509"/>
    </row>
    <row r="664" spans="1:16" ht="21.75" customHeight="1" x14ac:dyDescent="0.3">
      <c r="A664" s="504"/>
      <c r="B664" s="504"/>
      <c r="C664" s="504"/>
      <c r="D664" s="504"/>
      <c r="E664" s="506"/>
      <c r="F664" s="506"/>
      <c r="G664" s="506"/>
      <c r="H664" s="506"/>
      <c r="I664" s="506"/>
      <c r="J664" s="506"/>
      <c r="K664" s="507"/>
      <c r="L664" s="508"/>
      <c r="M664" s="508"/>
      <c r="N664" s="508"/>
      <c r="O664" s="509"/>
      <c r="P664" s="509"/>
    </row>
    <row r="665" spans="1:16" ht="21.75" customHeight="1" x14ac:dyDescent="0.3">
      <c r="A665" s="504"/>
      <c r="B665" s="504"/>
      <c r="C665" s="504"/>
      <c r="D665" s="504"/>
      <c r="E665" s="506"/>
      <c r="F665" s="506"/>
      <c r="G665" s="506"/>
      <c r="H665" s="506"/>
      <c r="I665" s="506"/>
      <c r="J665" s="506"/>
      <c r="K665" s="507"/>
      <c r="L665" s="508"/>
      <c r="M665" s="508"/>
      <c r="N665" s="508"/>
      <c r="O665" s="509"/>
      <c r="P665" s="509"/>
    </row>
    <row r="666" spans="1:16" ht="21.75" customHeight="1" x14ac:dyDescent="0.3">
      <c r="A666" s="504"/>
      <c r="B666" s="504"/>
      <c r="C666" s="504"/>
      <c r="D666" s="504"/>
      <c r="E666" s="506"/>
      <c r="F666" s="506"/>
      <c r="G666" s="506"/>
      <c r="H666" s="506"/>
      <c r="I666" s="506"/>
      <c r="J666" s="506"/>
      <c r="K666" s="507"/>
      <c r="L666" s="508"/>
      <c r="M666" s="508"/>
      <c r="N666" s="508"/>
      <c r="O666" s="509"/>
      <c r="P666" s="509"/>
    </row>
    <row r="667" spans="1:16" ht="21.75" customHeight="1" x14ac:dyDescent="0.3">
      <c r="A667" s="504"/>
      <c r="B667" s="504"/>
      <c r="C667" s="504"/>
      <c r="D667" s="504"/>
      <c r="E667" s="506"/>
      <c r="F667" s="506"/>
      <c r="G667" s="506"/>
      <c r="H667" s="506"/>
      <c r="I667" s="506"/>
      <c r="J667" s="506"/>
      <c r="K667" s="507"/>
      <c r="L667" s="508"/>
      <c r="M667" s="508"/>
      <c r="N667" s="508"/>
      <c r="O667" s="509"/>
      <c r="P667" s="509"/>
    </row>
    <row r="668" spans="1:16" ht="21.75" customHeight="1" x14ac:dyDescent="0.3">
      <c r="A668" s="504"/>
      <c r="B668" s="504"/>
      <c r="C668" s="504"/>
      <c r="D668" s="504"/>
      <c r="E668" s="506"/>
      <c r="F668" s="506"/>
      <c r="G668" s="506"/>
      <c r="H668" s="506"/>
      <c r="I668" s="506"/>
      <c r="J668" s="506"/>
      <c r="K668" s="507"/>
      <c r="L668" s="508"/>
      <c r="M668" s="508"/>
      <c r="N668" s="508"/>
      <c r="O668" s="509"/>
      <c r="P668" s="509"/>
    </row>
    <row r="669" spans="1:16" ht="21.75" customHeight="1" x14ac:dyDescent="0.3">
      <c r="A669" s="504"/>
      <c r="B669" s="504"/>
      <c r="C669" s="504"/>
      <c r="D669" s="504"/>
      <c r="E669" s="506"/>
      <c r="F669" s="506"/>
      <c r="G669" s="506"/>
      <c r="H669" s="506"/>
      <c r="I669" s="506"/>
      <c r="J669" s="506"/>
      <c r="K669" s="507"/>
      <c r="L669" s="508"/>
      <c r="M669" s="508"/>
      <c r="N669" s="508"/>
      <c r="O669" s="509"/>
      <c r="P669" s="509"/>
    </row>
    <row r="670" spans="1:16" ht="21.75" customHeight="1" x14ac:dyDescent="0.3">
      <c r="A670" s="504"/>
      <c r="B670" s="504"/>
      <c r="C670" s="504"/>
      <c r="D670" s="504"/>
      <c r="E670" s="506"/>
      <c r="F670" s="506"/>
      <c r="G670" s="506"/>
      <c r="H670" s="506"/>
      <c r="I670" s="506"/>
      <c r="J670" s="506"/>
      <c r="K670" s="507"/>
      <c r="L670" s="508"/>
      <c r="M670" s="508"/>
      <c r="N670" s="508"/>
      <c r="O670" s="509"/>
      <c r="P670" s="509"/>
    </row>
    <row r="671" spans="1:16" ht="21.75" customHeight="1" x14ac:dyDescent="0.3">
      <c r="A671" s="504"/>
      <c r="B671" s="504"/>
      <c r="C671" s="504"/>
      <c r="D671" s="504"/>
      <c r="E671" s="506"/>
      <c r="F671" s="506"/>
      <c r="G671" s="506"/>
      <c r="H671" s="506"/>
      <c r="I671" s="506"/>
      <c r="J671" s="506"/>
      <c r="K671" s="507"/>
      <c r="L671" s="508"/>
      <c r="M671" s="508"/>
      <c r="N671" s="508"/>
      <c r="O671" s="509"/>
      <c r="P671" s="509"/>
    </row>
    <row r="672" spans="1:16" ht="21.75" customHeight="1" x14ac:dyDescent="0.3">
      <c r="A672" s="504"/>
      <c r="B672" s="504"/>
      <c r="C672" s="504"/>
      <c r="D672" s="504"/>
      <c r="E672" s="506"/>
      <c r="F672" s="506"/>
      <c r="G672" s="506"/>
      <c r="H672" s="506"/>
      <c r="I672" s="506"/>
      <c r="J672" s="506"/>
      <c r="K672" s="507"/>
      <c r="L672" s="508"/>
      <c r="M672" s="508"/>
      <c r="N672" s="508"/>
      <c r="O672" s="509"/>
      <c r="P672" s="509"/>
    </row>
    <row r="673" spans="1:16" ht="21.75" customHeight="1" x14ac:dyDescent="0.3">
      <c r="A673" s="504"/>
      <c r="B673" s="504"/>
      <c r="C673" s="504"/>
      <c r="D673" s="504"/>
      <c r="E673" s="506"/>
      <c r="F673" s="506"/>
      <c r="G673" s="506"/>
      <c r="H673" s="506"/>
      <c r="I673" s="506"/>
      <c r="J673" s="506"/>
      <c r="K673" s="507"/>
      <c r="L673" s="508"/>
      <c r="M673" s="508"/>
      <c r="N673" s="508"/>
      <c r="O673" s="509"/>
      <c r="P673" s="509"/>
    </row>
    <row r="674" spans="1:16" ht="21.75" customHeight="1" x14ac:dyDescent="0.3">
      <c r="A674" s="504"/>
      <c r="B674" s="504"/>
      <c r="C674" s="504"/>
      <c r="D674" s="504"/>
      <c r="E674" s="506"/>
      <c r="F674" s="506"/>
      <c r="G674" s="506"/>
      <c r="H674" s="506"/>
      <c r="I674" s="506"/>
      <c r="J674" s="506"/>
      <c r="K674" s="507"/>
      <c r="L674" s="508"/>
      <c r="M674" s="508"/>
      <c r="N674" s="508"/>
      <c r="O674" s="509"/>
      <c r="P674" s="509"/>
    </row>
    <row r="675" spans="1:16" ht="21.75" customHeight="1" x14ac:dyDescent="0.3">
      <c r="A675" s="504"/>
      <c r="B675" s="504"/>
      <c r="C675" s="504"/>
      <c r="D675" s="504"/>
      <c r="E675" s="506"/>
      <c r="F675" s="506"/>
      <c r="G675" s="506"/>
      <c r="H675" s="506"/>
      <c r="I675" s="506"/>
      <c r="J675" s="506"/>
      <c r="K675" s="507"/>
      <c r="L675" s="508"/>
      <c r="M675" s="508"/>
      <c r="N675" s="508"/>
      <c r="O675" s="509"/>
      <c r="P675" s="509"/>
    </row>
    <row r="676" spans="1:16" ht="21.75" customHeight="1" x14ac:dyDescent="0.3">
      <c r="A676" s="504"/>
      <c r="B676" s="504"/>
      <c r="C676" s="504"/>
      <c r="D676" s="504"/>
      <c r="E676" s="506"/>
      <c r="F676" s="506"/>
      <c r="G676" s="506"/>
      <c r="H676" s="506"/>
      <c r="I676" s="506"/>
      <c r="J676" s="506"/>
      <c r="K676" s="507"/>
      <c r="L676" s="508"/>
      <c r="M676" s="508"/>
      <c r="N676" s="508"/>
      <c r="O676" s="509"/>
      <c r="P676" s="509"/>
    </row>
    <row r="677" spans="1:16" ht="21.75" customHeight="1" x14ac:dyDescent="0.3">
      <c r="A677" s="504"/>
      <c r="B677" s="504"/>
      <c r="C677" s="504"/>
      <c r="D677" s="504"/>
      <c r="E677" s="506"/>
      <c r="F677" s="506"/>
      <c r="G677" s="506"/>
      <c r="H677" s="506"/>
      <c r="I677" s="506"/>
      <c r="J677" s="506"/>
      <c r="K677" s="507"/>
      <c r="L677" s="508"/>
      <c r="M677" s="508"/>
      <c r="N677" s="508"/>
      <c r="O677" s="509"/>
      <c r="P677" s="509"/>
    </row>
    <row r="678" spans="1:16" ht="21.75" customHeight="1" x14ac:dyDescent="0.3">
      <c r="A678" s="504"/>
      <c r="B678" s="504"/>
      <c r="C678" s="504"/>
      <c r="D678" s="504"/>
      <c r="E678" s="506"/>
      <c r="F678" s="506"/>
      <c r="G678" s="506"/>
      <c r="H678" s="506"/>
      <c r="I678" s="506"/>
      <c r="J678" s="506"/>
      <c r="K678" s="507"/>
      <c r="L678" s="508"/>
      <c r="M678" s="508"/>
      <c r="N678" s="508"/>
      <c r="O678" s="509"/>
      <c r="P678" s="509"/>
    </row>
    <row r="679" spans="1:16" ht="21.75" customHeight="1" x14ac:dyDescent="0.3">
      <c r="A679" s="504"/>
      <c r="B679" s="504"/>
      <c r="C679" s="504"/>
      <c r="D679" s="504"/>
      <c r="E679" s="506"/>
      <c r="F679" s="506"/>
      <c r="G679" s="506"/>
      <c r="H679" s="506"/>
      <c r="I679" s="506"/>
      <c r="J679" s="506"/>
      <c r="K679" s="507"/>
      <c r="L679" s="508"/>
      <c r="M679" s="508"/>
      <c r="N679" s="508"/>
      <c r="O679" s="509"/>
      <c r="P679" s="509"/>
    </row>
    <row r="680" spans="1:16" ht="21.75" customHeight="1" x14ac:dyDescent="0.3">
      <c r="A680" s="504"/>
      <c r="B680" s="504"/>
      <c r="C680" s="504"/>
      <c r="D680" s="504"/>
      <c r="E680" s="506"/>
      <c r="F680" s="506"/>
      <c r="G680" s="506"/>
      <c r="H680" s="506"/>
      <c r="I680" s="506"/>
      <c r="J680" s="506"/>
      <c r="K680" s="507"/>
      <c r="L680" s="508"/>
      <c r="M680" s="508"/>
      <c r="N680" s="508"/>
      <c r="O680" s="509"/>
      <c r="P680" s="509"/>
    </row>
    <row r="681" spans="1:16" ht="21.75" customHeight="1" x14ac:dyDescent="0.3">
      <c r="A681" s="504"/>
      <c r="B681" s="504"/>
      <c r="C681" s="504"/>
      <c r="D681" s="504"/>
      <c r="E681" s="506"/>
      <c r="F681" s="506"/>
      <c r="G681" s="506"/>
      <c r="H681" s="506"/>
      <c r="I681" s="506"/>
      <c r="J681" s="506"/>
      <c r="K681" s="507"/>
      <c r="L681" s="508"/>
      <c r="M681" s="508"/>
      <c r="N681" s="508"/>
      <c r="O681" s="509"/>
      <c r="P681" s="509"/>
    </row>
    <row r="682" spans="1:16" ht="21.75" customHeight="1" x14ac:dyDescent="0.3">
      <c r="A682" s="504"/>
      <c r="B682" s="504"/>
      <c r="C682" s="504"/>
      <c r="D682" s="504"/>
      <c r="E682" s="506"/>
      <c r="F682" s="506"/>
      <c r="G682" s="506"/>
      <c r="H682" s="506"/>
      <c r="I682" s="506"/>
      <c r="J682" s="506"/>
      <c r="K682" s="507"/>
      <c r="L682" s="508"/>
      <c r="M682" s="508"/>
      <c r="N682" s="508"/>
      <c r="O682" s="509"/>
      <c r="P682" s="509"/>
    </row>
    <row r="683" spans="1:16" ht="21.75" customHeight="1" x14ac:dyDescent="0.3">
      <c r="A683" s="504"/>
      <c r="B683" s="504"/>
      <c r="C683" s="504"/>
      <c r="D683" s="504"/>
      <c r="E683" s="506"/>
      <c r="F683" s="506"/>
      <c r="G683" s="506"/>
      <c r="H683" s="506"/>
      <c r="I683" s="506"/>
      <c r="J683" s="506"/>
      <c r="K683" s="507"/>
      <c r="L683" s="508"/>
      <c r="M683" s="508"/>
      <c r="N683" s="508"/>
      <c r="O683" s="509"/>
      <c r="P683" s="509"/>
    </row>
    <row r="684" spans="1:16" ht="21.75" customHeight="1" x14ac:dyDescent="0.3">
      <c r="A684" s="504"/>
      <c r="B684" s="504"/>
      <c r="C684" s="504"/>
      <c r="D684" s="504"/>
      <c r="E684" s="506"/>
      <c r="F684" s="506"/>
      <c r="G684" s="506"/>
      <c r="H684" s="506"/>
      <c r="I684" s="506"/>
      <c r="J684" s="506"/>
      <c r="K684" s="507"/>
      <c r="L684" s="508"/>
      <c r="M684" s="508"/>
      <c r="N684" s="508"/>
      <c r="O684" s="509"/>
      <c r="P684" s="509"/>
    </row>
    <row r="685" spans="1:16" ht="21.75" customHeight="1" x14ac:dyDescent="0.3">
      <c r="A685" s="504"/>
      <c r="B685" s="504"/>
      <c r="C685" s="504"/>
      <c r="D685" s="504"/>
      <c r="E685" s="506"/>
      <c r="F685" s="506"/>
      <c r="G685" s="506"/>
      <c r="H685" s="506"/>
      <c r="I685" s="506"/>
      <c r="J685" s="506"/>
      <c r="K685" s="507"/>
      <c r="L685" s="508"/>
      <c r="M685" s="508"/>
      <c r="N685" s="508"/>
      <c r="O685" s="509"/>
      <c r="P685" s="509"/>
    </row>
    <row r="686" spans="1:16" ht="21.75" customHeight="1" x14ac:dyDescent="0.3">
      <c r="A686" s="504"/>
      <c r="B686" s="504"/>
      <c r="C686" s="504"/>
      <c r="D686" s="504"/>
      <c r="E686" s="506"/>
      <c r="F686" s="506"/>
      <c r="G686" s="506"/>
      <c r="H686" s="506"/>
      <c r="I686" s="506"/>
      <c r="J686" s="506"/>
      <c r="K686" s="507"/>
      <c r="L686" s="508"/>
      <c r="M686" s="508"/>
      <c r="N686" s="508"/>
      <c r="O686" s="509"/>
      <c r="P686" s="509"/>
    </row>
    <row r="687" spans="1:16" ht="21.75" customHeight="1" x14ac:dyDescent="0.3">
      <c r="A687" s="504"/>
      <c r="B687" s="504"/>
      <c r="C687" s="504"/>
      <c r="D687" s="504"/>
      <c r="E687" s="506"/>
      <c r="F687" s="506"/>
      <c r="G687" s="506"/>
      <c r="H687" s="506"/>
      <c r="I687" s="506"/>
      <c r="J687" s="506"/>
      <c r="K687" s="507"/>
      <c r="L687" s="508"/>
      <c r="M687" s="508"/>
      <c r="N687" s="508"/>
      <c r="O687" s="509"/>
      <c r="P687" s="509"/>
    </row>
    <row r="688" spans="1:16" ht="21.75" customHeight="1" x14ac:dyDescent="0.3">
      <c r="A688" s="504"/>
      <c r="B688" s="504"/>
      <c r="C688" s="504"/>
      <c r="D688" s="504"/>
      <c r="E688" s="506"/>
      <c r="F688" s="506"/>
      <c r="G688" s="506"/>
      <c r="H688" s="506"/>
      <c r="I688" s="506"/>
      <c r="J688" s="506"/>
      <c r="K688" s="507"/>
      <c r="L688" s="508"/>
      <c r="M688" s="508"/>
      <c r="N688" s="508"/>
      <c r="O688" s="509"/>
      <c r="P688" s="509"/>
    </row>
    <row r="689" spans="1:16" ht="21.75" customHeight="1" x14ac:dyDescent="0.3">
      <c r="A689" s="504"/>
      <c r="B689" s="504"/>
      <c r="C689" s="504"/>
      <c r="D689" s="504"/>
      <c r="E689" s="506"/>
      <c r="F689" s="506"/>
      <c r="G689" s="506"/>
      <c r="H689" s="506"/>
      <c r="I689" s="506"/>
      <c r="J689" s="506"/>
      <c r="K689" s="507"/>
      <c r="L689" s="508"/>
      <c r="M689" s="508"/>
      <c r="N689" s="508"/>
      <c r="O689" s="509"/>
      <c r="P689" s="509"/>
    </row>
    <row r="690" spans="1:16" ht="21.75" customHeight="1" x14ac:dyDescent="0.3">
      <c r="A690" s="504"/>
      <c r="B690" s="504"/>
      <c r="C690" s="504"/>
      <c r="D690" s="504"/>
      <c r="E690" s="506"/>
      <c r="F690" s="506"/>
      <c r="G690" s="506"/>
      <c r="H690" s="506"/>
      <c r="I690" s="506"/>
      <c r="J690" s="506"/>
      <c r="K690" s="507"/>
      <c r="L690" s="508"/>
      <c r="M690" s="508"/>
      <c r="N690" s="508"/>
      <c r="O690" s="509"/>
      <c r="P690" s="509"/>
    </row>
    <row r="691" spans="1:16" ht="21.75" customHeight="1" x14ac:dyDescent="0.3">
      <c r="A691" s="504"/>
      <c r="B691" s="504"/>
      <c r="C691" s="504"/>
      <c r="D691" s="504"/>
      <c r="E691" s="506"/>
      <c r="F691" s="506"/>
      <c r="G691" s="506"/>
      <c r="H691" s="506"/>
      <c r="I691" s="506"/>
      <c r="J691" s="506"/>
      <c r="K691" s="507"/>
      <c r="L691" s="508"/>
      <c r="M691" s="508"/>
      <c r="N691" s="508"/>
      <c r="O691" s="509"/>
      <c r="P691" s="509"/>
    </row>
    <row r="692" spans="1:16" ht="21.75" customHeight="1" x14ac:dyDescent="0.3">
      <c r="A692" s="504"/>
      <c r="B692" s="504"/>
      <c r="C692" s="504"/>
      <c r="D692" s="504"/>
      <c r="E692" s="506"/>
      <c r="F692" s="506"/>
      <c r="G692" s="506"/>
      <c r="H692" s="506"/>
      <c r="I692" s="506"/>
      <c r="J692" s="506"/>
      <c r="K692" s="507"/>
      <c r="L692" s="508"/>
      <c r="M692" s="508"/>
      <c r="N692" s="508"/>
      <c r="O692" s="509"/>
      <c r="P692" s="509"/>
    </row>
    <row r="693" spans="1:16" ht="21.75" customHeight="1" x14ac:dyDescent="0.3">
      <c r="A693" s="504"/>
      <c r="B693" s="504"/>
      <c r="C693" s="504"/>
      <c r="D693" s="504"/>
      <c r="E693" s="506"/>
      <c r="F693" s="506"/>
      <c r="G693" s="506"/>
      <c r="H693" s="506"/>
      <c r="I693" s="506"/>
      <c r="J693" s="506"/>
      <c r="K693" s="507"/>
      <c r="L693" s="508"/>
      <c r="M693" s="508"/>
      <c r="N693" s="508"/>
      <c r="O693" s="509"/>
      <c r="P693" s="509"/>
    </row>
    <row r="694" spans="1:16" ht="21.75" customHeight="1" x14ac:dyDescent="0.3">
      <c r="A694" s="504"/>
      <c r="B694" s="504"/>
      <c r="C694" s="504"/>
      <c r="D694" s="504"/>
      <c r="E694" s="506"/>
      <c r="F694" s="506"/>
      <c r="G694" s="506"/>
      <c r="H694" s="506"/>
      <c r="I694" s="506"/>
      <c r="J694" s="506"/>
      <c r="K694" s="507"/>
      <c r="L694" s="508"/>
      <c r="M694" s="508"/>
      <c r="N694" s="508"/>
      <c r="O694" s="509"/>
      <c r="P694" s="509"/>
    </row>
    <row r="695" spans="1:16" ht="21.75" customHeight="1" x14ac:dyDescent="0.3">
      <c r="A695" s="504"/>
      <c r="B695" s="504"/>
      <c r="C695" s="504"/>
      <c r="D695" s="504"/>
      <c r="E695" s="506"/>
      <c r="F695" s="506"/>
      <c r="G695" s="506"/>
      <c r="H695" s="506"/>
      <c r="I695" s="506"/>
      <c r="J695" s="506"/>
      <c r="K695" s="507"/>
      <c r="L695" s="508"/>
      <c r="M695" s="508"/>
      <c r="N695" s="508"/>
      <c r="O695" s="509"/>
      <c r="P695" s="509"/>
    </row>
    <row r="696" spans="1:16" ht="21.75" customHeight="1" x14ac:dyDescent="0.3">
      <c r="A696" s="504"/>
      <c r="B696" s="504"/>
      <c r="C696" s="504"/>
      <c r="D696" s="504"/>
      <c r="E696" s="506"/>
      <c r="F696" s="506"/>
      <c r="G696" s="506"/>
      <c r="H696" s="506"/>
      <c r="I696" s="506"/>
      <c r="J696" s="506"/>
      <c r="K696" s="507"/>
      <c r="L696" s="508"/>
      <c r="M696" s="508"/>
      <c r="N696" s="508"/>
      <c r="O696" s="509"/>
      <c r="P696" s="509"/>
    </row>
    <row r="697" spans="1:16" ht="21.75" customHeight="1" x14ac:dyDescent="0.3">
      <c r="A697" s="504"/>
      <c r="B697" s="504"/>
      <c r="C697" s="504"/>
      <c r="D697" s="504"/>
      <c r="E697" s="506"/>
      <c r="F697" s="506"/>
      <c r="G697" s="506"/>
      <c r="H697" s="506"/>
      <c r="I697" s="506"/>
      <c r="J697" s="506"/>
      <c r="K697" s="507"/>
      <c r="L697" s="508"/>
      <c r="M697" s="508"/>
      <c r="N697" s="508"/>
      <c r="O697" s="509"/>
      <c r="P697" s="509"/>
    </row>
    <row r="698" spans="1:16" ht="21.75" customHeight="1" x14ac:dyDescent="0.3">
      <c r="A698" s="504"/>
      <c r="B698" s="504"/>
      <c r="C698" s="504"/>
      <c r="D698" s="504"/>
      <c r="E698" s="506"/>
      <c r="F698" s="506"/>
      <c r="G698" s="506"/>
      <c r="H698" s="506"/>
      <c r="I698" s="506"/>
      <c r="J698" s="506"/>
      <c r="K698" s="507"/>
      <c r="L698" s="508"/>
      <c r="M698" s="508"/>
      <c r="N698" s="508"/>
      <c r="O698" s="509"/>
      <c r="P698" s="509"/>
    </row>
    <row r="699" spans="1:16" ht="21.75" customHeight="1" x14ac:dyDescent="0.3">
      <c r="A699" s="504"/>
      <c r="B699" s="504"/>
      <c r="C699" s="504"/>
      <c r="D699" s="504"/>
      <c r="E699" s="506"/>
      <c r="F699" s="506"/>
      <c r="G699" s="506"/>
      <c r="H699" s="506"/>
      <c r="I699" s="506"/>
      <c r="J699" s="506"/>
      <c r="K699" s="507"/>
      <c r="L699" s="508"/>
      <c r="M699" s="508"/>
      <c r="N699" s="508"/>
      <c r="O699" s="509"/>
      <c r="P699" s="509"/>
    </row>
    <row r="700" spans="1:16" ht="21.75" customHeight="1" x14ac:dyDescent="0.3">
      <c r="A700" s="504"/>
      <c r="B700" s="504"/>
      <c r="C700" s="504"/>
      <c r="D700" s="504"/>
      <c r="E700" s="506"/>
      <c r="F700" s="506"/>
      <c r="G700" s="506"/>
      <c r="H700" s="506"/>
      <c r="I700" s="506"/>
      <c r="J700" s="506"/>
      <c r="K700" s="507"/>
      <c r="L700" s="508"/>
      <c r="M700" s="508"/>
      <c r="N700" s="508"/>
      <c r="O700" s="509"/>
      <c r="P700" s="509"/>
    </row>
    <row r="701" spans="1:16" ht="21.75" customHeight="1" x14ac:dyDescent="0.3">
      <c r="A701" s="504"/>
      <c r="B701" s="504"/>
      <c r="C701" s="504"/>
      <c r="D701" s="504"/>
      <c r="E701" s="506"/>
      <c r="F701" s="506"/>
      <c r="G701" s="506"/>
      <c r="H701" s="506"/>
      <c r="I701" s="506"/>
      <c r="J701" s="506"/>
      <c r="K701" s="507"/>
      <c r="L701" s="508"/>
      <c r="M701" s="508"/>
      <c r="N701" s="508"/>
      <c r="O701" s="509"/>
      <c r="P701" s="509"/>
    </row>
    <row r="702" spans="1:16" ht="21.75" customHeight="1" x14ac:dyDescent="0.3">
      <c r="A702" s="504"/>
      <c r="B702" s="504"/>
      <c r="C702" s="504"/>
      <c r="D702" s="504"/>
      <c r="E702" s="506"/>
      <c r="F702" s="506"/>
      <c r="G702" s="506"/>
      <c r="H702" s="506"/>
      <c r="I702" s="506"/>
      <c r="J702" s="506"/>
      <c r="K702" s="507"/>
      <c r="L702" s="508"/>
      <c r="M702" s="508"/>
      <c r="N702" s="508"/>
      <c r="O702" s="509"/>
      <c r="P702" s="509"/>
    </row>
    <row r="703" spans="1:16" ht="21.75" customHeight="1" x14ac:dyDescent="0.3">
      <c r="A703" s="504"/>
      <c r="B703" s="504"/>
      <c r="C703" s="504"/>
      <c r="D703" s="504"/>
      <c r="E703" s="506"/>
      <c r="F703" s="506"/>
      <c r="G703" s="506"/>
      <c r="H703" s="506"/>
      <c r="I703" s="506"/>
      <c r="J703" s="506"/>
      <c r="K703" s="507"/>
      <c r="L703" s="508"/>
      <c r="M703" s="508"/>
      <c r="N703" s="508"/>
      <c r="O703" s="509"/>
      <c r="P703" s="509"/>
    </row>
    <row r="704" spans="1:16" ht="21.75" customHeight="1" x14ac:dyDescent="0.3">
      <c r="A704" s="504"/>
      <c r="B704" s="504"/>
      <c r="C704" s="504"/>
      <c r="D704" s="504"/>
      <c r="E704" s="506"/>
      <c r="F704" s="506"/>
      <c r="G704" s="506"/>
      <c r="H704" s="506"/>
      <c r="I704" s="506"/>
      <c r="J704" s="506"/>
      <c r="K704" s="507"/>
      <c r="L704" s="508"/>
      <c r="M704" s="508"/>
      <c r="N704" s="508"/>
      <c r="O704" s="509"/>
      <c r="P704" s="509"/>
    </row>
    <row r="705" spans="1:16" ht="21.75" customHeight="1" x14ac:dyDescent="0.3">
      <c r="A705" s="504"/>
      <c r="B705" s="504"/>
      <c r="C705" s="504"/>
      <c r="D705" s="504"/>
      <c r="E705" s="506"/>
      <c r="F705" s="506"/>
      <c r="G705" s="506"/>
      <c r="H705" s="506"/>
      <c r="I705" s="506"/>
      <c r="J705" s="506"/>
      <c r="K705" s="507"/>
      <c r="L705" s="508"/>
      <c r="M705" s="508"/>
      <c r="N705" s="508"/>
      <c r="O705" s="509"/>
      <c r="P705" s="509"/>
    </row>
    <row r="706" spans="1:16" ht="21.75" customHeight="1" x14ac:dyDescent="0.3">
      <c r="A706" s="504"/>
      <c r="B706" s="504"/>
      <c r="C706" s="504"/>
      <c r="D706" s="504"/>
      <c r="E706" s="506"/>
      <c r="F706" s="506"/>
      <c r="G706" s="506"/>
      <c r="H706" s="506"/>
      <c r="I706" s="506"/>
      <c r="J706" s="506"/>
      <c r="K706" s="507"/>
      <c r="L706" s="508"/>
      <c r="M706" s="508"/>
      <c r="N706" s="508"/>
      <c r="O706" s="509"/>
      <c r="P706" s="509"/>
    </row>
    <row r="707" spans="1:16" ht="21.75" customHeight="1" x14ac:dyDescent="0.3">
      <c r="A707" s="504"/>
      <c r="B707" s="504"/>
      <c r="C707" s="504"/>
      <c r="D707" s="504"/>
      <c r="E707" s="506"/>
      <c r="F707" s="506"/>
      <c r="G707" s="506"/>
      <c r="H707" s="506"/>
      <c r="I707" s="506"/>
      <c r="J707" s="506"/>
      <c r="K707" s="507"/>
      <c r="L707" s="508"/>
      <c r="M707" s="508"/>
      <c r="N707" s="508"/>
      <c r="O707" s="509"/>
      <c r="P707" s="509"/>
    </row>
    <row r="708" spans="1:16" ht="21.75" customHeight="1" x14ac:dyDescent="0.3">
      <c r="A708" s="504"/>
      <c r="B708" s="504"/>
      <c r="C708" s="504"/>
      <c r="D708" s="504"/>
      <c r="E708" s="506"/>
      <c r="F708" s="506"/>
      <c r="G708" s="506"/>
      <c r="H708" s="506"/>
      <c r="I708" s="506"/>
      <c r="J708" s="506"/>
      <c r="K708" s="507"/>
      <c r="L708" s="508"/>
      <c r="M708" s="508"/>
      <c r="N708" s="508"/>
      <c r="O708" s="509"/>
      <c r="P708" s="509"/>
    </row>
    <row r="709" spans="1:16" ht="21.75" customHeight="1" x14ac:dyDescent="0.3">
      <c r="A709" s="504"/>
      <c r="B709" s="504"/>
      <c r="C709" s="504"/>
      <c r="D709" s="504"/>
      <c r="E709" s="506"/>
      <c r="F709" s="506"/>
      <c r="G709" s="506"/>
      <c r="H709" s="506"/>
      <c r="I709" s="506"/>
      <c r="J709" s="506"/>
      <c r="K709" s="507"/>
      <c r="L709" s="508"/>
      <c r="M709" s="508"/>
      <c r="N709" s="508"/>
      <c r="O709" s="509"/>
      <c r="P709" s="509"/>
    </row>
    <row r="710" spans="1:16" ht="21.75" customHeight="1" x14ac:dyDescent="0.3">
      <c r="A710" s="504"/>
      <c r="B710" s="504"/>
      <c r="C710" s="504"/>
      <c r="D710" s="504"/>
      <c r="E710" s="506"/>
      <c r="F710" s="506"/>
      <c r="G710" s="506"/>
      <c r="H710" s="506"/>
      <c r="I710" s="506"/>
      <c r="J710" s="506"/>
      <c r="K710" s="507"/>
      <c r="L710" s="508"/>
      <c r="M710" s="508"/>
      <c r="N710" s="508"/>
      <c r="O710" s="509"/>
      <c r="P710" s="509"/>
    </row>
    <row r="711" spans="1:16" ht="21.75" customHeight="1" x14ac:dyDescent="0.3">
      <c r="A711" s="504"/>
      <c r="B711" s="504"/>
      <c r="C711" s="504"/>
      <c r="D711" s="504"/>
      <c r="E711" s="506"/>
      <c r="F711" s="506"/>
      <c r="G711" s="506"/>
      <c r="H711" s="506"/>
      <c r="I711" s="506"/>
      <c r="J711" s="506"/>
      <c r="K711" s="507"/>
      <c r="L711" s="508"/>
      <c r="M711" s="508"/>
      <c r="N711" s="508"/>
      <c r="O711" s="509"/>
      <c r="P711" s="509"/>
    </row>
    <row r="712" spans="1:16" ht="21.75" customHeight="1" x14ac:dyDescent="0.3">
      <c r="A712" s="504"/>
      <c r="B712" s="504"/>
      <c r="C712" s="504"/>
      <c r="D712" s="504"/>
      <c r="E712" s="506"/>
      <c r="F712" s="506"/>
      <c r="G712" s="506"/>
      <c r="H712" s="506"/>
      <c r="I712" s="506"/>
      <c r="J712" s="506"/>
      <c r="K712" s="507"/>
      <c r="L712" s="508"/>
      <c r="M712" s="508"/>
      <c r="N712" s="508"/>
      <c r="O712" s="509"/>
      <c r="P712" s="509"/>
    </row>
    <row r="713" spans="1:16" ht="21.75" customHeight="1" x14ac:dyDescent="0.3">
      <c r="A713" s="504"/>
      <c r="B713" s="504"/>
      <c r="C713" s="504"/>
      <c r="D713" s="504"/>
      <c r="E713" s="506"/>
      <c r="F713" s="506"/>
      <c r="G713" s="506"/>
      <c r="H713" s="506"/>
      <c r="I713" s="506"/>
      <c r="J713" s="506"/>
      <c r="K713" s="507"/>
      <c r="L713" s="508"/>
      <c r="M713" s="508"/>
      <c r="N713" s="508"/>
      <c r="O713" s="509"/>
      <c r="P713" s="509"/>
    </row>
    <row r="714" spans="1:16" ht="21.75" customHeight="1" x14ac:dyDescent="0.3">
      <c r="A714" s="504"/>
      <c r="B714" s="504"/>
      <c r="C714" s="504"/>
      <c r="D714" s="504"/>
      <c r="E714" s="506"/>
      <c r="F714" s="506"/>
      <c r="G714" s="506"/>
      <c r="H714" s="506"/>
      <c r="I714" s="506"/>
      <c r="J714" s="506"/>
      <c r="K714" s="507"/>
      <c r="L714" s="508"/>
      <c r="M714" s="508"/>
      <c r="N714" s="508"/>
      <c r="O714" s="509"/>
      <c r="P714" s="509"/>
    </row>
    <row r="715" spans="1:16" ht="21.75" customHeight="1" x14ac:dyDescent="0.3">
      <c r="A715" s="504"/>
      <c r="B715" s="504"/>
      <c r="C715" s="504"/>
      <c r="D715" s="504"/>
      <c r="E715" s="506"/>
      <c r="F715" s="506"/>
      <c r="G715" s="506"/>
      <c r="H715" s="506"/>
      <c r="I715" s="506"/>
      <c r="J715" s="506"/>
      <c r="K715" s="507"/>
      <c r="L715" s="508"/>
      <c r="M715" s="508"/>
      <c r="N715" s="508"/>
      <c r="O715" s="509"/>
      <c r="P715" s="509"/>
    </row>
    <row r="716" spans="1:16" ht="21.75" customHeight="1" x14ac:dyDescent="0.3">
      <c r="A716" s="504"/>
      <c r="B716" s="504"/>
      <c r="C716" s="504"/>
      <c r="D716" s="504"/>
      <c r="E716" s="506"/>
      <c r="F716" s="506"/>
      <c r="G716" s="506"/>
      <c r="H716" s="506"/>
      <c r="I716" s="506"/>
      <c r="J716" s="506"/>
      <c r="K716" s="507"/>
      <c r="L716" s="508"/>
      <c r="M716" s="508"/>
      <c r="N716" s="508"/>
      <c r="O716" s="509"/>
      <c r="P716" s="509"/>
    </row>
    <row r="717" spans="1:16" ht="21.75" customHeight="1" x14ac:dyDescent="0.3">
      <c r="A717" s="504"/>
      <c r="B717" s="504"/>
      <c r="C717" s="504"/>
      <c r="D717" s="504"/>
      <c r="E717" s="506"/>
      <c r="F717" s="506"/>
      <c r="G717" s="506"/>
      <c r="H717" s="506"/>
      <c r="I717" s="506"/>
      <c r="J717" s="506"/>
      <c r="K717" s="507"/>
      <c r="L717" s="508"/>
      <c r="M717" s="508"/>
      <c r="N717" s="508"/>
      <c r="O717" s="509"/>
      <c r="P717" s="509"/>
    </row>
    <row r="718" spans="1:16" ht="21.75" customHeight="1" x14ac:dyDescent="0.3">
      <c r="A718" s="504"/>
      <c r="B718" s="504"/>
      <c r="C718" s="504"/>
      <c r="D718" s="504"/>
      <c r="E718" s="506"/>
      <c r="F718" s="506"/>
      <c r="G718" s="506"/>
      <c r="H718" s="506"/>
      <c r="I718" s="506"/>
      <c r="J718" s="506"/>
      <c r="K718" s="507"/>
      <c r="L718" s="508"/>
      <c r="M718" s="508"/>
      <c r="N718" s="508"/>
      <c r="O718" s="509"/>
      <c r="P718" s="509"/>
    </row>
    <row r="719" spans="1:16" ht="21.75" customHeight="1" x14ac:dyDescent="0.3">
      <c r="A719" s="504"/>
      <c r="B719" s="504"/>
      <c r="C719" s="504"/>
      <c r="D719" s="504"/>
      <c r="E719" s="506"/>
      <c r="F719" s="506"/>
      <c r="G719" s="506"/>
      <c r="H719" s="506"/>
      <c r="I719" s="506"/>
      <c r="J719" s="506"/>
      <c r="K719" s="507"/>
      <c r="L719" s="508"/>
      <c r="M719" s="508"/>
      <c r="N719" s="508"/>
      <c r="O719" s="509"/>
      <c r="P719" s="509"/>
    </row>
    <row r="720" spans="1:16" ht="21.75" customHeight="1" x14ac:dyDescent="0.3">
      <c r="A720" s="504"/>
      <c r="B720" s="504"/>
      <c r="C720" s="504"/>
      <c r="D720" s="504"/>
      <c r="E720" s="506"/>
      <c r="F720" s="506"/>
      <c r="G720" s="506"/>
      <c r="H720" s="506"/>
      <c r="I720" s="506"/>
      <c r="J720" s="506"/>
      <c r="K720" s="507"/>
      <c r="L720" s="508"/>
      <c r="M720" s="508"/>
      <c r="N720" s="508"/>
      <c r="O720" s="509"/>
      <c r="P720" s="509"/>
    </row>
    <row r="721" spans="1:16" ht="21.75" customHeight="1" x14ac:dyDescent="0.3">
      <c r="A721" s="504"/>
      <c r="B721" s="504"/>
      <c r="C721" s="504"/>
      <c r="D721" s="504"/>
      <c r="E721" s="506"/>
      <c r="F721" s="506"/>
      <c r="G721" s="506"/>
      <c r="H721" s="506"/>
      <c r="I721" s="506"/>
      <c r="J721" s="506"/>
      <c r="K721" s="507"/>
      <c r="L721" s="508"/>
      <c r="M721" s="508"/>
      <c r="N721" s="508"/>
      <c r="O721" s="509"/>
      <c r="P721" s="509"/>
    </row>
    <row r="722" spans="1:16" ht="21.75" customHeight="1" x14ac:dyDescent="0.3">
      <c r="A722" s="504"/>
      <c r="B722" s="504"/>
      <c r="C722" s="504"/>
      <c r="D722" s="504"/>
      <c r="E722" s="506"/>
      <c r="F722" s="506"/>
      <c r="G722" s="506"/>
      <c r="H722" s="506"/>
      <c r="I722" s="506"/>
      <c r="J722" s="506"/>
      <c r="K722" s="507"/>
      <c r="L722" s="508"/>
      <c r="M722" s="508"/>
      <c r="N722" s="508"/>
      <c r="O722" s="509"/>
      <c r="P722" s="509"/>
    </row>
    <row r="723" spans="1:16" ht="21.75" customHeight="1" x14ac:dyDescent="0.3">
      <c r="A723" s="504"/>
      <c r="B723" s="504"/>
      <c r="C723" s="504"/>
      <c r="D723" s="504"/>
      <c r="E723" s="506"/>
      <c r="F723" s="506"/>
      <c r="G723" s="506"/>
      <c r="H723" s="506"/>
      <c r="I723" s="506"/>
      <c r="J723" s="506"/>
      <c r="K723" s="507"/>
      <c r="L723" s="508"/>
      <c r="M723" s="508"/>
      <c r="N723" s="508"/>
      <c r="O723" s="509"/>
      <c r="P723" s="509"/>
    </row>
    <row r="724" spans="1:16" ht="21.75" customHeight="1" x14ac:dyDescent="0.3">
      <c r="A724" s="504"/>
      <c r="B724" s="504"/>
      <c r="C724" s="504"/>
      <c r="D724" s="504"/>
      <c r="E724" s="506"/>
      <c r="F724" s="506"/>
      <c r="G724" s="506"/>
      <c r="H724" s="506"/>
      <c r="I724" s="506"/>
      <c r="J724" s="506"/>
      <c r="K724" s="507"/>
      <c r="L724" s="508"/>
      <c r="M724" s="508"/>
      <c r="N724" s="508"/>
      <c r="O724" s="509"/>
      <c r="P724" s="509"/>
    </row>
    <row r="725" spans="1:16" ht="21.75" customHeight="1" x14ac:dyDescent="0.3">
      <c r="A725" s="504"/>
      <c r="B725" s="504"/>
      <c r="C725" s="504"/>
      <c r="D725" s="504"/>
      <c r="E725" s="506"/>
      <c r="F725" s="506"/>
      <c r="G725" s="506"/>
      <c r="H725" s="506"/>
      <c r="I725" s="506"/>
      <c r="J725" s="506"/>
      <c r="K725" s="507"/>
      <c r="L725" s="508"/>
      <c r="M725" s="508"/>
      <c r="N725" s="508"/>
      <c r="O725" s="509"/>
      <c r="P725" s="509"/>
    </row>
    <row r="726" spans="1:16" ht="21.75" customHeight="1" x14ac:dyDescent="0.3">
      <c r="A726" s="504"/>
      <c r="B726" s="504"/>
      <c r="C726" s="504"/>
      <c r="D726" s="504"/>
      <c r="E726" s="506"/>
      <c r="F726" s="506"/>
      <c r="G726" s="506"/>
      <c r="H726" s="506"/>
      <c r="I726" s="506"/>
      <c r="J726" s="506"/>
      <c r="K726" s="507"/>
      <c r="L726" s="508"/>
      <c r="M726" s="508"/>
      <c r="N726" s="508"/>
      <c r="O726" s="509"/>
      <c r="P726" s="509"/>
    </row>
    <row r="727" spans="1:16" ht="21.75" customHeight="1" x14ac:dyDescent="0.3">
      <c r="A727" s="504"/>
      <c r="B727" s="504"/>
      <c r="C727" s="504"/>
      <c r="D727" s="504"/>
      <c r="E727" s="506"/>
      <c r="F727" s="506"/>
      <c r="G727" s="506"/>
      <c r="H727" s="506"/>
      <c r="I727" s="506"/>
      <c r="J727" s="506"/>
      <c r="K727" s="507"/>
      <c r="L727" s="508"/>
      <c r="M727" s="508"/>
      <c r="N727" s="508"/>
      <c r="O727" s="509"/>
      <c r="P727" s="509"/>
    </row>
    <row r="728" spans="1:16" ht="21.75" customHeight="1" x14ac:dyDescent="0.3">
      <c r="A728" s="504"/>
      <c r="B728" s="504"/>
      <c r="C728" s="504"/>
      <c r="D728" s="504"/>
      <c r="E728" s="506"/>
      <c r="F728" s="506"/>
      <c r="G728" s="506"/>
      <c r="H728" s="506"/>
      <c r="I728" s="506"/>
      <c r="J728" s="506"/>
      <c r="K728" s="507"/>
      <c r="L728" s="508"/>
      <c r="M728" s="508"/>
      <c r="N728" s="508"/>
      <c r="O728" s="509"/>
      <c r="P728" s="509"/>
    </row>
    <row r="729" spans="1:16" ht="21.75" customHeight="1" x14ac:dyDescent="0.3">
      <c r="A729" s="504"/>
      <c r="B729" s="504"/>
      <c r="C729" s="504"/>
      <c r="D729" s="504"/>
      <c r="E729" s="506"/>
      <c r="F729" s="506"/>
      <c r="G729" s="506"/>
      <c r="H729" s="506"/>
      <c r="I729" s="506"/>
      <c r="J729" s="506"/>
      <c r="K729" s="507"/>
      <c r="L729" s="508"/>
      <c r="M729" s="508"/>
      <c r="N729" s="508"/>
      <c r="O729" s="509"/>
      <c r="P729" s="509"/>
    </row>
    <row r="730" spans="1:16" ht="21.75" customHeight="1" x14ac:dyDescent="0.3">
      <c r="A730" s="504"/>
      <c r="B730" s="504"/>
      <c r="C730" s="504"/>
      <c r="D730" s="504"/>
      <c r="E730" s="506"/>
      <c r="F730" s="506"/>
      <c r="G730" s="506"/>
      <c r="H730" s="506"/>
      <c r="I730" s="506"/>
      <c r="J730" s="506"/>
      <c r="K730" s="507"/>
      <c r="L730" s="508"/>
      <c r="M730" s="508"/>
      <c r="N730" s="508"/>
      <c r="O730" s="509"/>
      <c r="P730" s="509"/>
    </row>
    <row r="731" spans="1:16" ht="21.75" customHeight="1" x14ac:dyDescent="0.3">
      <c r="A731" s="504"/>
      <c r="B731" s="504"/>
      <c r="C731" s="504"/>
      <c r="D731" s="504"/>
      <c r="E731" s="506"/>
      <c r="F731" s="506"/>
      <c r="G731" s="506"/>
      <c r="H731" s="506"/>
      <c r="I731" s="506"/>
      <c r="J731" s="506"/>
      <c r="K731" s="507"/>
      <c r="L731" s="508"/>
      <c r="M731" s="508"/>
      <c r="N731" s="508"/>
      <c r="O731" s="509"/>
      <c r="P731" s="509"/>
    </row>
    <row r="732" spans="1:16" ht="21.75" customHeight="1" x14ac:dyDescent="0.3">
      <c r="A732" s="504"/>
      <c r="B732" s="504"/>
      <c r="C732" s="504"/>
      <c r="D732" s="504"/>
      <c r="E732" s="506"/>
      <c r="F732" s="506"/>
      <c r="G732" s="506"/>
      <c r="H732" s="506"/>
      <c r="I732" s="506"/>
      <c r="J732" s="506"/>
      <c r="K732" s="507"/>
      <c r="L732" s="508"/>
      <c r="M732" s="508"/>
      <c r="N732" s="508"/>
      <c r="O732" s="509"/>
      <c r="P732" s="509"/>
    </row>
    <row r="733" spans="1:16" ht="21.75" customHeight="1" x14ac:dyDescent="0.3">
      <c r="A733" s="504"/>
      <c r="B733" s="504"/>
      <c r="C733" s="504"/>
      <c r="D733" s="504"/>
      <c r="E733" s="506"/>
      <c r="F733" s="506"/>
      <c r="G733" s="506"/>
      <c r="H733" s="506"/>
      <c r="I733" s="506"/>
      <c r="J733" s="506"/>
      <c r="K733" s="507"/>
      <c r="L733" s="508"/>
      <c r="M733" s="508"/>
      <c r="N733" s="508"/>
      <c r="O733" s="509"/>
      <c r="P733" s="509"/>
    </row>
    <row r="734" spans="1:16" ht="21.75" customHeight="1" x14ac:dyDescent="0.3">
      <c r="A734" s="504"/>
      <c r="B734" s="504"/>
      <c r="C734" s="504"/>
      <c r="D734" s="504"/>
      <c r="E734" s="506"/>
      <c r="F734" s="506"/>
      <c r="G734" s="506"/>
      <c r="H734" s="506"/>
      <c r="I734" s="506"/>
      <c r="J734" s="506"/>
      <c r="K734" s="507"/>
      <c r="L734" s="508"/>
      <c r="M734" s="508"/>
      <c r="N734" s="508"/>
      <c r="O734" s="509"/>
      <c r="P734" s="509"/>
    </row>
    <row r="735" spans="1:16" ht="21.75" customHeight="1" x14ac:dyDescent="0.3">
      <c r="A735" s="504"/>
      <c r="B735" s="504"/>
      <c r="C735" s="504"/>
      <c r="D735" s="504"/>
      <c r="E735" s="506"/>
      <c r="F735" s="506"/>
      <c r="G735" s="506"/>
      <c r="H735" s="506"/>
      <c r="I735" s="506"/>
      <c r="J735" s="506"/>
      <c r="K735" s="507"/>
      <c r="L735" s="508"/>
      <c r="M735" s="508"/>
      <c r="N735" s="508"/>
      <c r="O735" s="509"/>
      <c r="P735" s="509"/>
    </row>
    <row r="736" spans="1:16" ht="21.75" customHeight="1" x14ac:dyDescent="0.3">
      <c r="A736" s="504"/>
      <c r="B736" s="504"/>
      <c r="C736" s="504"/>
      <c r="D736" s="504"/>
      <c r="E736" s="506"/>
      <c r="F736" s="506"/>
      <c r="G736" s="506"/>
      <c r="H736" s="506"/>
      <c r="I736" s="506"/>
      <c r="J736" s="506"/>
      <c r="K736" s="507"/>
      <c r="L736" s="508"/>
      <c r="M736" s="508"/>
      <c r="N736" s="508"/>
      <c r="O736" s="509"/>
      <c r="P736" s="509"/>
    </row>
    <row r="737" spans="1:16" ht="21.75" customHeight="1" x14ac:dyDescent="0.3">
      <c r="A737" s="504"/>
      <c r="B737" s="504"/>
      <c r="C737" s="504"/>
      <c r="D737" s="504"/>
      <c r="E737" s="506"/>
      <c r="F737" s="506"/>
      <c r="G737" s="506"/>
      <c r="H737" s="506"/>
      <c r="I737" s="506"/>
      <c r="J737" s="506"/>
      <c r="K737" s="507"/>
      <c r="L737" s="508"/>
      <c r="M737" s="508"/>
      <c r="N737" s="508"/>
      <c r="O737" s="509"/>
      <c r="P737" s="509"/>
    </row>
    <row r="738" spans="1:16" ht="21.75" customHeight="1" x14ac:dyDescent="0.3">
      <c r="A738" s="504"/>
      <c r="B738" s="504"/>
      <c r="C738" s="504"/>
      <c r="D738" s="504"/>
      <c r="E738" s="506"/>
      <c r="F738" s="506"/>
      <c r="G738" s="506"/>
      <c r="H738" s="506"/>
      <c r="I738" s="506"/>
      <c r="J738" s="506"/>
      <c r="K738" s="507"/>
      <c r="L738" s="508"/>
      <c r="M738" s="508"/>
      <c r="N738" s="508"/>
      <c r="O738" s="509"/>
      <c r="P738" s="509"/>
    </row>
    <row r="739" spans="1:16" ht="21.75" customHeight="1" x14ac:dyDescent="0.3">
      <c r="A739" s="504"/>
      <c r="B739" s="504"/>
      <c r="C739" s="504"/>
      <c r="D739" s="504"/>
      <c r="E739" s="506"/>
      <c r="F739" s="506"/>
      <c r="G739" s="506"/>
      <c r="H739" s="506"/>
      <c r="I739" s="506"/>
      <c r="J739" s="506"/>
      <c r="K739" s="507"/>
      <c r="L739" s="508"/>
      <c r="M739" s="508"/>
      <c r="N739" s="508"/>
      <c r="O739" s="509"/>
      <c r="P739" s="509"/>
    </row>
    <row r="740" spans="1:16" ht="21.75" customHeight="1" x14ac:dyDescent="0.3">
      <c r="A740" s="504"/>
      <c r="B740" s="504"/>
      <c r="C740" s="504"/>
      <c r="D740" s="504"/>
      <c r="E740" s="506"/>
      <c r="F740" s="506"/>
      <c r="G740" s="506"/>
      <c r="H740" s="506"/>
      <c r="I740" s="506"/>
      <c r="J740" s="506"/>
      <c r="K740" s="507"/>
      <c r="L740" s="508"/>
      <c r="M740" s="508"/>
      <c r="N740" s="508"/>
      <c r="O740" s="509"/>
      <c r="P740" s="509"/>
    </row>
    <row r="741" spans="1:16" ht="21.75" customHeight="1" x14ac:dyDescent="0.3">
      <c r="A741" s="504"/>
      <c r="B741" s="504"/>
      <c r="C741" s="504"/>
      <c r="D741" s="504"/>
      <c r="E741" s="506"/>
      <c r="F741" s="506"/>
      <c r="G741" s="506"/>
      <c r="H741" s="506"/>
      <c r="I741" s="506"/>
      <c r="J741" s="506"/>
      <c r="K741" s="507"/>
      <c r="L741" s="508"/>
      <c r="M741" s="508"/>
      <c r="N741" s="508"/>
      <c r="O741" s="509"/>
      <c r="P741" s="509"/>
    </row>
    <row r="742" spans="1:16" ht="21.75" customHeight="1" x14ac:dyDescent="0.3">
      <c r="A742" s="504"/>
      <c r="B742" s="504"/>
      <c r="C742" s="504"/>
      <c r="D742" s="504"/>
      <c r="E742" s="506"/>
      <c r="F742" s="506"/>
      <c r="G742" s="506"/>
      <c r="H742" s="506"/>
      <c r="I742" s="506"/>
      <c r="J742" s="506"/>
      <c r="K742" s="507"/>
      <c r="L742" s="508"/>
      <c r="M742" s="508"/>
      <c r="N742" s="508"/>
      <c r="O742" s="509"/>
      <c r="P742" s="509"/>
    </row>
    <row r="743" spans="1:16" ht="21.75" customHeight="1" x14ac:dyDescent="0.3">
      <c r="A743" s="504"/>
      <c r="B743" s="504"/>
      <c r="C743" s="504"/>
      <c r="D743" s="504"/>
      <c r="E743" s="506"/>
      <c r="F743" s="506"/>
      <c r="G743" s="506"/>
      <c r="H743" s="506"/>
      <c r="I743" s="506"/>
      <c r="J743" s="506"/>
      <c r="K743" s="507"/>
      <c r="L743" s="508"/>
      <c r="M743" s="508"/>
      <c r="N743" s="508"/>
      <c r="O743" s="509"/>
      <c r="P743" s="509"/>
    </row>
    <row r="744" spans="1:16" ht="21.75" customHeight="1" x14ac:dyDescent="0.3">
      <c r="A744" s="504"/>
      <c r="B744" s="504"/>
      <c r="C744" s="504"/>
      <c r="D744" s="504"/>
      <c r="E744" s="506"/>
      <c r="F744" s="506"/>
      <c r="G744" s="506"/>
      <c r="H744" s="506"/>
      <c r="I744" s="506"/>
      <c r="J744" s="506"/>
      <c r="K744" s="507"/>
      <c r="L744" s="508"/>
      <c r="M744" s="508"/>
      <c r="N744" s="508"/>
      <c r="O744" s="509"/>
      <c r="P744" s="509"/>
    </row>
    <row r="745" spans="1:16" ht="21.75" customHeight="1" x14ac:dyDescent="0.3">
      <c r="A745" s="504"/>
      <c r="B745" s="504"/>
      <c r="C745" s="504"/>
      <c r="D745" s="504"/>
      <c r="E745" s="506"/>
      <c r="F745" s="506"/>
      <c r="G745" s="506"/>
      <c r="H745" s="506"/>
      <c r="I745" s="506"/>
      <c r="J745" s="506"/>
      <c r="K745" s="507"/>
      <c r="L745" s="508"/>
      <c r="M745" s="508"/>
      <c r="N745" s="508"/>
      <c r="O745" s="509"/>
      <c r="P745" s="509"/>
    </row>
    <row r="746" spans="1:16" ht="21.75" customHeight="1" x14ac:dyDescent="0.3">
      <c r="A746" s="504"/>
      <c r="B746" s="504"/>
      <c r="C746" s="504"/>
      <c r="D746" s="504"/>
      <c r="E746" s="506"/>
      <c r="F746" s="506"/>
      <c r="G746" s="506"/>
      <c r="H746" s="506"/>
      <c r="I746" s="506"/>
      <c r="J746" s="506"/>
      <c r="K746" s="507"/>
      <c r="L746" s="508"/>
      <c r="M746" s="508"/>
      <c r="N746" s="508"/>
      <c r="O746" s="509"/>
      <c r="P746" s="509"/>
    </row>
    <row r="747" spans="1:16" ht="21.75" customHeight="1" x14ac:dyDescent="0.3">
      <c r="A747" s="504"/>
      <c r="B747" s="504"/>
      <c r="C747" s="504"/>
      <c r="D747" s="504"/>
      <c r="E747" s="506"/>
      <c r="F747" s="506"/>
      <c r="G747" s="506"/>
      <c r="H747" s="506"/>
      <c r="I747" s="506"/>
      <c r="J747" s="506"/>
      <c r="K747" s="507"/>
      <c r="L747" s="508"/>
      <c r="M747" s="508"/>
      <c r="N747" s="508"/>
      <c r="O747" s="509"/>
      <c r="P747" s="509"/>
    </row>
    <row r="748" spans="1:16" ht="21.75" customHeight="1" x14ac:dyDescent="0.3">
      <c r="A748" s="504"/>
      <c r="B748" s="504"/>
      <c r="C748" s="504"/>
      <c r="D748" s="504"/>
      <c r="E748" s="506"/>
      <c r="F748" s="506"/>
      <c r="G748" s="506"/>
      <c r="H748" s="506"/>
      <c r="I748" s="506"/>
      <c r="J748" s="506"/>
      <c r="K748" s="507"/>
      <c r="L748" s="508"/>
      <c r="M748" s="508"/>
      <c r="N748" s="508"/>
      <c r="O748" s="509"/>
      <c r="P748" s="509"/>
    </row>
    <row r="749" spans="1:16" ht="21.75" customHeight="1" x14ac:dyDescent="0.3">
      <c r="A749" s="504"/>
      <c r="B749" s="504"/>
      <c r="C749" s="504"/>
      <c r="D749" s="504"/>
      <c r="E749" s="506"/>
      <c r="F749" s="506"/>
      <c r="G749" s="506"/>
      <c r="H749" s="506"/>
      <c r="I749" s="506"/>
      <c r="J749" s="506"/>
      <c r="K749" s="507"/>
      <c r="L749" s="508"/>
      <c r="M749" s="508"/>
      <c r="N749" s="508"/>
      <c r="O749" s="509"/>
      <c r="P749" s="509"/>
    </row>
    <row r="750" spans="1:16" ht="21.75" customHeight="1" x14ac:dyDescent="0.3">
      <c r="A750" s="504"/>
      <c r="B750" s="504"/>
      <c r="C750" s="504"/>
      <c r="D750" s="504"/>
      <c r="E750" s="506"/>
      <c r="F750" s="506"/>
      <c r="G750" s="506"/>
      <c r="H750" s="506"/>
      <c r="I750" s="506"/>
      <c r="J750" s="506"/>
      <c r="K750" s="507"/>
      <c r="L750" s="508"/>
      <c r="M750" s="508"/>
      <c r="N750" s="508"/>
      <c r="O750" s="509"/>
      <c r="P750" s="509"/>
    </row>
    <row r="751" spans="1:16" ht="21.75" customHeight="1" x14ac:dyDescent="0.3">
      <c r="A751" s="504"/>
      <c r="B751" s="504"/>
      <c r="C751" s="504"/>
      <c r="D751" s="504"/>
      <c r="E751" s="506"/>
      <c r="F751" s="506"/>
      <c r="G751" s="506"/>
      <c r="H751" s="506"/>
      <c r="I751" s="506"/>
      <c r="J751" s="506"/>
      <c r="K751" s="507"/>
      <c r="L751" s="508"/>
      <c r="M751" s="508"/>
      <c r="N751" s="508"/>
      <c r="O751" s="509"/>
      <c r="P751" s="509"/>
    </row>
    <row r="752" spans="1:16" ht="21.75" customHeight="1" x14ac:dyDescent="0.3">
      <c r="A752" s="504"/>
      <c r="B752" s="504"/>
      <c r="C752" s="504"/>
      <c r="D752" s="504"/>
      <c r="E752" s="506"/>
      <c r="F752" s="506"/>
      <c r="G752" s="506"/>
      <c r="H752" s="506"/>
      <c r="I752" s="506"/>
      <c r="J752" s="506"/>
      <c r="K752" s="507"/>
      <c r="L752" s="508"/>
      <c r="M752" s="508"/>
      <c r="N752" s="508"/>
      <c r="O752" s="509"/>
      <c r="P752" s="509"/>
    </row>
    <row r="753" spans="1:16" ht="21.75" customHeight="1" x14ac:dyDescent="0.3">
      <c r="A753" s="504"/>
      <c r="B753" s="504"/>
      <c r="C753" s="504"/>
      <c r="D753" s="504"/>
      <c r="E753" s="506"/>
      <c r="F753" s="506"/>
      <c r="G753" s="506"/>
      <c r="H753" s="506"/>
      <c r="I753" s="506"/>
      <c r="J753" s="506"/>
      <c r="K753" s="507"/>
      <c r="L753" s="508"/>
      <c r="M753" s="508"/>
      <c r="N753" s="508"/>
      <c r="O753" s="509"/>
      <c r="P753" s="509"/>
    </row>
    <row r="754" spans="1:16" ht="21.75" customHeight="1" x14ac:dyDescent="0.3">
      <c r="A754" s="504"/>
      <c r="B754" s="504"/>
      <c r="C754" s="504"/>
      <c r="D754" s="504"/>
      <c r="E754" s="506"/>
      <c r="F754" s="506"/>
      <c r="G754" s="506"/>
      <c r="H754" s="506"/>
      <c r="I754" s="506"/>
      <c r="J754" s="506"/>
      <c r="K754" s="507"/>
      <c r="L754" s="508"/>
      <c r="M754" s="508"/>
      <c r="N754" s="508"/>
      <c r="O754" s="509"/>
      <c r="P754" s="509"/>
    </row>
    <row r="755" spans="1:16" ht="21.75" customHeight="1" x14ac:dyDescent="0.3">
      <c r="A755" s="504"/>
      <c r="B755" s="504"/>
      <c r="C755" s="504"/>
      <c r="D755" s="504"/>
      <c r="E755" s="506"/>
      <c r="F755" s="506"/>
      <c r="G755" s="506"/>
      <c r="H755" s="506"/>
      <c r="I755" s="506"/>
      <c r="J755" s="506"/>
      <c r="K755" s="507"/>
      <c r="L755" s="508"/>
      <c r="M755" s="508"/>
      <c r="N755" s="508"/>
      <c r="O755" s="509"/>
      <c r="P755" s="509"/>
    </row>
    <row r="756" spans="1:16" ht="21.75" customHeight="1" x14ac:dyDescent="0.3">
      <c r="A756" s="504"/>
      <c r="B756" s="504"/>
      <c r="C756" s="504"/>
      <c r="D756" s="504"/>
      <c r="E756" s="506"/>
      <c r="F756" s="506"/>
      <c r="G756" s="506"/>
      <c r="H756" s="506"/>
      <c r="I756" s="506"/>
      <c r="J756" s="506"/>
      <c r="K756" s="507"/>
      <c r="L756" s="508"/>
      <c r="M756" s="508"/>
      <c r="N756" s="508"/>
      <c r="O756" s="509"/>
      <c r="P756" s="509"/>
    </row>
    <row r="757" spans="1:16" ht="21.75" customHeight="1" x14ac:dyDescent="0.3">
      <c r="A757" s="504"/>
      <c r="B757" s="504"/>
      <c r="C757" s="504"/>
      <c r="D757" s="504"/>
      <c r="E757" s="506"/>
      <c r="F757" s="506"/>
      <c r="G757" s="506"/>
      <c r="H757" s="506"/>
      <c r="I757" s="506"/>
      <c r="J757" s="506"/>
      <c r="K757" s="507"/>
      <c r="L757" s="508"/>
      <c r="M757" s="508"/>
      <c r="N757" s="508"/>
      <c r="O757" s="509"/>
      <c r="P757" s="509"/>
    </row>
    <row r="758" spans="1:16" ht="21.75" customHeight="1" x14ac:dyDescent="0.3">
      <c r="A758" s="504"/>
      <c r="B758" s="504"/>
      <c r="C758" s="504"/>
      <c r="D758" s="504"/>
      <c r="E758" s="506"/>
      <c r="F758" s="506"/>
      <c r="G758" s="506"/>
      <c r="H758" s="506"/>
      <c r="I758" s="506"/>
      <c r="J758" s="506"/>
      <c r="K758" s="507"/>
      <c r="L758" s="508"/>
      <c r="M758" s="508"/>
      <c r="N758" s="508"/>
      <c r="O758" s="509"/>
      <c r="P758" s="509"/>
    </row>
    <row r="759" spans="1:16" ht="21.75" customHeight="1" x14ac:dyDescent="0.3">
      <c r="A759" s="504"/>
      <c r="B759" s="504"/>
      <c r="C759" s="504"/>
      <c r="D759" s="504"/>
      <c r="E759" s="506"/>
      <c r="F759" s="506"/>
      <c r="G759" s="506"/>
      <c r="H759" s="506"/>
      <c r="I759" s="506"/>
      <c r="J759" s="506"/>
      <c r="K759" s="507"/>
      <c r="L759" s="508"/>
      <c r="M759" s="508"/>
      <c r="N759" s="508"/>
      <c r="O759" s="509"/>
      <c r="P759" s="509"/>
    </row>
    <row r="760" spans="1:16" ht="21.75" customHeight="1" x14ac:dyDescent="0.3">
      <c r="A760" s="504"/>
      <c r="B760" s="504"/>
      <c r="C760" s="504"/>
      <c r="D760" s="504"/>
      <c r="E760" s="506"/>
      <c r="F760" s="506"/>
      <c r="G760" s="506"/>
      <c r="H760" s="506"/>
      <c r="I760" s="506"/>
      <c r="J760" s="506"/>
      <c r="K760" s="507"/>
      <c r="L760" s="508"/>
      <c r="M760" s="508"/>
      <c r="N760" s="508"/>
      <c r="O760" s="509"/>
      <c r="P760" s="509"/>
    </row>
    <row r="761" spans="1:16" ht="21.75" customHeight="1" x14ac:dyDescent="0.3">
      <c r="A761" s="504"/>
      <c r="B761" s="504"/>
      <c r="C761" s="504"/>
      <c r="D761" s="504"/>
      <c r="E761" s="506"/>
      <c r="F761" s="506"/>
      <c r="G761" s="506"/>
      <c r="H761" s="506"/>
      <c r="I761" s="506"/>
      <c r="J761" s="506"/>
      <c r="K761" s="507"/>
      <c r="L761" s="508"/>
      <c r="M761" s="508"/>
      <c r="N761" s="508"/>
      <c r="O761" s="509"/>
      <c r="P761" s="509"/>
    </row>
    <row r="762" spans="1:16" ht="21.75" customHeight="1" x14ac:dyDescent="0.3">
      <c r="A762" s="504"/>
      <c r="B762" s="504"/>
      <c r="C762" s="504"/>
      <c r="D762" s="504"/>
      <c r="E762" s="506"/>
      <c r="F762" s="506"/>
      <c r="G762" s="506"/>
      <c r="H762" s="506"/>
      <c r="I762" s="506"/>
      <c r="J762" s="506"/>
      <c r="K762" s="507"/>
      <c r="L762" s="508"/>
      <c r="M762" s="508"/>
      <c r="N762" s="508"/>
      <c r="O762" s="509"/>
      <c r="P762" s="509"/>
    </row>
    <row r="763" spans="1:16" ht="21.75" customHeight="1" x14ac:dyDescent="0.3">
      <c r="A763" s="504"/>
      <c r="B763" s="504"/>
      <c r="C763" s="504"/>
      <c r="D763" s="504"/>
      <c r="E763" s="506"/>
      <c r="F763" s="506"/>
      <c r="G763" s="506"/>
      <c r="H763" s="506"/>
      <c r="I763" s="506"/>
      <c r="J763" s="506"/>
      <c r="K763" s="507"/>
      <c r="L763" s="508"/>
      <c r="M763" s="508"/>
      <c r="N763" s="508"/>
      <c r="O763" s="509"/>
      <c r="P763" s="509"/>
    </row>
    <row r="764" spans="1:16" ht="21.75" customHeight="1" x14ac:dyDescent="0.3">
      <c r="A764" s="504"/>
      <c r="B764" s="504"/>
      <c r="C764" s="504"/>
      <c r="D764" s="504"/>
      <c r="E764" s="506"/>
      <c r="F764" s="506"/>
      <c r="G764" s="506"/>
      <c r="H764" s="506"/>
      <c r="I764" s="506"/>
      <c r="J764" s="506"/>
      <c r="K764" s="507"/>
      <c r="L764" s="508"/>
      <c r="M764" s="508"/>
      <c r="N764" s="508"/>
      <c r="O764" s="509"/>
      <c r="P764" s="509"/>
    </row>
    <row r="765" spans="1:16" ht="21.75" customHeight="1" x14ac:dyDescent="0.3">
      <c r="A765" s="504"/>
      <c r="B765" s="504"/>
      <c r="C765" s="504"/>
      <c r="D765" s="504"/>
      <c r="E765" s="506"/>
      <c r="F765" s="506"/>
      <c r="G765" s="506"/>
      <c r="H765" s="506"/>
      <c r="I765" s="506"/>
      <c r="J765" s="506"/>
      <c r="K765" s="507"/>
      <c r="L765" s="508"/>
      <c r="M765" s="508"/>
      <c r="N765" s="508"/>
      <c r="O765" s="509"/>
      <c r="P765" s="509"/>
    </row>
    <row r="766" spans="1:16" ht="21.75" customHeight="1" x14ac:dyDescent="0.3">
      <c r="A766" s="504"/>
      <c r="B766" s="504"/>
      <c r="C766" s="504"/>
      <c r="D766" s="504"/>
      <c r="E766" s="506"/>
      <c r="F766" s="506"/>
      <c r="G766" s="506"/>
      <c r="H766" s="506"/>
      <c r="I766" s="506"/>
      <c r="J766" s="506"/>
      <c r="K766" s="507"/>
      <c r="L766" s="508"/>
      <c r="M766" s="508"/>
      <c r="N766" s="508"/>
      <c r="O766" s="509"/>
      <c r="P766" s="509"/>
    </row>
    <row r="767" spans="1:16" ht="21.75" customHeight="1" x14ac:dyDescent="0.3">
      <c r="A767" s="504"/>
      <c r="B767" s="504"/>
      <c r="C767" s="504"/>
      <c r="D767" s="504"/>
      <c r="E767" s="506"/>
      <c r="F767" s="506"/>
      <c r="G767" s="506"/>
      <c r="H767" s="506"/>
      <c r="I767" s="506"/>
      <c r="J767" s="506"/>
      <c r="K767" s="507"/>
      <c r="L767" s="508"/>
      <c r="M767" s="508"/>
      <c r="N767" s="508"/>
      <c r="O767" s="509"/>
      <c r="P767" s="509"/>
    </row>
    <row r="768" spans="1:16" ht="21.75" customHeight="1" x14ac:dyDescent="0.3">
      <c r="A768" s="504"/>
      <c r="B768" s="504"/>
      <c r="C768" s="504"/>
      <c r="D768" s="504"/>
      <c r="E768" s="506"/>
      <c r="F768" s="506"/>
      <c r="G768" s="506"/>
      <c r="H768" s="506"/>
      <c r="I768" s="506"/>
      <c r="J768" s="506"/>
      <c r="K768" s="507"/>
      <c r="L768" s="508"/>
      <c r="M768" s="508"/>
      <c r="N768" s="508"/>
      <c r="O768" s="509"/>
      <c r="P768" s="509"/>
    </row>
    <row r="769" spans="1:16" ht="21.75" customHeight="1" x14ac:dyDescent="0.3">
      <c r="A769" s="504"/>
      <c r="B769" s="504"/>
      <c r="C769" s="504"/>
      <c r="D769" s="504"/>
      <c r="E769" s="506"/>
      <c r="F769" s="506"/>
      <c r="G769" s="506"/>
      <c r="H769" s="506"/>
      <c r="I769" s="506"/>
      <c r="J769" s="506"/>
      <c r="K769" s="507"/>
      <c r="L769" s="508"/>
      <c r="M769" s="508"/>
      <c r="N769" s="508"/>
      <c r="O769" s="509"/>
      <c r="P769" s="509"/>
    </row>
    <row r="770" spans="1:16" ht="21.75" customHeight="1" x14ac:dyDescent="0.3">
      <c r="A770" s="504"/>
      <c r="B770" s="504"/>
      <c r="C770" s="504"/>
      <c r="D770" s="504"/>
      <c r="E770" s="506"/>
      <c r="F770" s="506"/>
      <c r="G770" s="506"/>
      <c r="H770" s="506"/>
      <c r="I770" s="506"/>
      <c r="J770" s="506"/>
      <c r="K770" s="507"/>
      <c r="L770" s="508"/>
      <c r="M770" s="508"/>
      <c r="N770" s="508"/>
      <c r="O770" s="509"/>
      <c r="P770" s="509"/>
    </row>
    <row r="771" spans="1:16" ht="21.75" customHeight="1" x14ac:dyDescent="0.3">
      <c r="A771" s="504"/>
      <c r="B771" s="504"/>
      <c r="C771" s="504"/>
      <c r="D771" s="504"/>
      <c r="E771" s="506"/>
      <c r="F771" s="506"/>
      <c r="G771" s="506"/>
      <c r="H771" s="506"/>
      <c r="I771" s="506"/>
      <c r="J771" s="506"/>
      <c r="K771" s="507"/>
      <c r="L771" s="508"/>
      <c r="M771" s="508"/>
      <c r="N771" s="508"/>
      <c r="O771" s="509"/>
      <c r="P771" s="509"/>
    </row>
    <row r="772" spans="1:16" ht="21.75" customHeight="1" x14ac:dyDescent="0.3">
      <c r="A772" s="504"/>
      <c r="B772" s="504"/>
      <c r="C772" s="504"/>
      <c r="D772" s="504"/>
      <c r="E772" s="506"/>
      <c r="F772" s="506"/>
      <c r="G772" s="506"/>
      <c r="H772" s="506"/>
      <c r="I772" s="506"/>
      <c r="J772" s="506"/>
      <c r="K772" s="507"/>
      <c r="L772" s="508"/>
      <c r="M772" s="508"/>
      <c r="N772" s="508"/>
      <c r="O772" s="509"/>
      <c r="P772" s="509"/>
    </row>
    <row r="773" spans="1:16" ht="21.75" customHeight="1" x14ac:dyDescent="0.3">
      <c r="A773" s="504"/>
      <c r="B773" s="504"/>
      <c r="C773" s="504"/>
      <c r="D773" s="504"/>
      <c r="E773" s="506"/>
      <c r="F773" s="506"/>
      <c r="G773" s="506"/>
      <c r="H773" s="506"/>
      <c r="I773" s="506"/>
      <c r="J773" s="506"/>
      <c r="K773" s="507"/>
      <c r="L773" s="508"/>
      <c r="M773" s="508"/>
      <c r="N773" s="508"/>
      <c r="O773" s="509"/>
      <c r="P773" s="509"/>
    </row>
    <row r="774" spans="1:16" ht="21.75" customHeight="1" x14ac:dyDescent="0.3">
      <c r="A774" s="504"/>
      <c r="B774" s="504"/>
      <c r="C774" s="504"/>
      <c r="D774" s="504"/>
      <c r="E774" s="506"/>
      <c r="F774" s="506"/>
      <c r="G774" s="506"/>
      <c r="H774" s="506"/>
      <c r="I774" s="506"/>
      <c r="J774" s="506"/>
      <c r="K774" s="507"/>
      <c r="L774" s="508"/>
      <c r="M774" s="508"/>
      <c r="N774" s="508"/>
      <c r="O774" s="509"/>
      <c r="P774" s="509"/>
    </row>
    <row r="775" spans="1:16" ht="21.75" customHeight="1" x14ac:dyDescent="0.3">
      <c r="A775" s="504"/>
      <c r="B775" s="504"/>
      <c r="C775" s="504"/>
      <c r="D775" s="504"/>
      <c r="E775" s="506"/>
      <c r="F775" s="506"/>
      <c r="G775" s="506"/>
      <c r="H775" s="506"/>
      <c r="I775" s="506"/>
      <c r="J775" s="506"/>
      <c r="K775" s="507"/>
      <c r="L775" s="508"/>
      <c r="M775" s="508"/>
      <c r="N775" s="508"/>
      <c r="O775" s="509"/>
      <c r="P775" s="509"/>
    </row>
    <row r="776" spans="1:16" ht="21.75" customHeight="1" x14ac:dyDescent="0.3">
      <c r="A776" s="504"/>
      <c r="B776" s="504"/>
      <c r="C776" s="504"/>
      <c r="D776" s="504"/>
      <c r="E776" s="506"/>
      <c r="F776" s="506"/>
      <c r="G776" s="506"/>
      <c r="H776" s="506"/>
      <c r="I776" s="506"/>
      <c r="J776" s="506"/>
      <c r="K776" s="507"/>
      <c r="L776" s="508"/>
      <c r="M776" s="508"/>
      <c r="N776" s="508"/>
      <c r="O776" s="509"/>
      <c r="P776" s="509"/>
    </row>
    <row r="777" spans="1:16" ht="21.75" customHeight="1" x14ac:dyDescent="0.3">
      <c r="A777" s="504"/>
      <c r="B777" s="504"/>
      <c r="C777" s="504"/>
      <c r="D777" s="504"/>
      <c r="E777" s="506"/>
      <c r="F777" s="506"/>
      <c r="G777" s="506"/>
      <c r="H777" s="506"/>
      <c r="I777" s="506"/>
      <c r="J777" s="506"/>
      <c r="K777" s="507"/>
      <c r="L777" s="508"/>
      <c r="M777" s="508"/>
      <c r="N777" s="508"/>
      <c r="O777" s="509"/>
      <c r="P777" s="509"/>
    </row>
    <row r="778" spans="1:16" ht="21.75" customHeight="1" x14ac:dyDescent="0.3">
      <c r="A778" s="504"/>
      <c r="B778" s="504"/>
      <c r="C778" s="504"/>
      <c r="D778" s="504"/>
      <c r="E778" s="506"/>
      <c r="F778" s="506"/>
      <c r="G778" s="506"/>
      <c r="H778" s="506"/>
      <c r="I778" s="506"/>
      <c r="J778" s="506"/>
      <c r="K778" s="507"/>
      <c r="L778" s="508"/>
      <c r="M778" s="508"/>
      <c r="N778" s="508"/>
      <c r="O778" s="509"/>
      <c r="P778" s="509"/>
    </row>
    <row r="779" spans="1:16" ht="21.75" customHeight="1" x14ac:dyDescent="0.3">
      <c r="A779" s="504"/>
      <c r="B779" s="504"/>
      <c r="C779" s="504"/>
      <c r="D779" s="504"/>
      <c r="E779" s="506"/>
      <c r="F779" s="506"/>
      <c r="G779" s="506"/>
      <c r="H779" s="506"/>
      <c r="I779" s="506"/>
      <c r="J779" s="506"/>
      <c r="K779" s="507"/>
      <c r="L779" s="508"/>
      <c r="M779" s="508"/>
      <c r="N779" s="508"/>
      <c r="O779" s="509"/>
      <c r="P779" s="509"/>
    </row>
    <row r="780" spans="1:16" ht="21.75" customHeight="1" x14ac:dyDescent="0.3">
      <c r="A780" s="504"/>
      <c r="B780" s="504"/>
      <c r="C780" s="504"/>
      <c r="D780" s="504"/>
      <c r="E780" s="506"/>
      <c r="F780" s="506"/>
      <c r="G780" s="506"/>
      <c r="H780" s="506"/>
      <c r="I780" s="506"/>
      <c r="J780" s="506"/>
      <c r="K780" s="507"/>
      <c r="L780" s="508"/>
      <c r="M780" s="508"/>
      <c r="N780" s="508"/>
      <c r="O780" s="509"/>
      <c r="P780" s="509"/>
    </row>
    <row r="781" spans="1:16" ht="21.75" customHeight="1" x14ac:dyDescent="0.3">
      <c r="A781" s="504"/>
      <c r="B781" s="504"/>
      <c r="C781" s="504"/>
      <c r="D781" s="504"/>
      <c r="E781" s="506"/>
      <c r="F781" s="506"/>
      <c r="G781" s="506"/>
      <c r="H781" s="506"/>
      <c r="I781" s="506"/>
      <c r="J781" s="506"/>
      <c r="K781" s="507"/>
      <c r="L781" s="508"/>
      <c r="M781" s="508"/>
      <c r="N781" s="508"/>
      <c r="O781" s="509"/>
      <c r="P781" s="509"/>
    </row>
    <row r="782" spans="1:16" ht="21.75" customHeight="1" x14ac:dyDescent="0.3">
      <c r="A782" s="504"/>
      <c r="B782" s="504"/>
      <c r="C782" s="504"/>
      <c r="D782" s="504"/>
      <c r="E782" s="506"/>
      <c r="F782" s="506"/>
      <c r="G782" s="506"/>
      <c r="H782" s="506"/>
      <c r="I782" s="506"/>
      <c r="J782" s="506"/>
      <c r="K782" s="507"/>
      <c r="L782" s="508"/>
      <c r="M782" s="508"/>
      <c r="N782" s="508"/>
      <c r="O782" s="509"/>
      <c r="P782" s="509"/>
    </row>
    <row r="783" spans="1:16" ht="21.75" customHeight="1" x14ac:dyDescent="0.3">
      <c r="A783" s="504"/>
      <c r="B783" s="504"/>
      <c r="C783" s="504"/>
      <c r="D783" s="504"/>
      <c r="E783" s="506"/>
      <c r="F783" s="506"/>
      <c r="G783" s="506"/>
      <c r="H783" s="506"/>
      <c r="I783" s="506"/>
      <c r="J783" s="506"/>
      <c r="K783" s="507"/>
      <c r="L783" s="508"/>
      <c r="M783" s="508"/>
      <c r="N783" s="508"/>
      <c r="O783" s="509"/>
      <c r="P783" s="509"/>
    </row>
    <row r="784" spans="1:16" ht="21.75" customHeight="1" x14ac:dyDescent="0.3">
      <c r="A784" s="504"/>
      <c r="B784" s="504"/>
      <c r="C784" s="504"/>
      <c r="D784" s="504"/>
      <c r="E784" s="506"/>
      <c r="F784" s="506"/>
      <c r="G784" s="506"/>
      <c r="H784" s="506"/>
      <c r="I784" s="506"/>
      <c r="J784" s="506"/>
      <c r="K784" s="507"/>
      <c r="L784" s="508"/>
      <c r="M784" s="508"/>
      <c r="N784" s="508"/>
      <c r="O784" s="509"/>
      <c r="P784" s="509"/>
    </row>
    <row r="785" spans="1:16" ht="21.75" customHeight="1" x14ac:dyDescent="0.3">
      <c r="A785" s="504"/>
      <c r="B785" s="504"/>
      <c r="C785" s="504"/>
      <c r="D785" s="504"/>
      <c r="E785" s="506"/>
      <c r="F785" s="506"/>
      <c r="G785" s="506"/>
      <c r="H785" s="506"/>
      <c r="I785" s="506"/>
      <c r="J785" s="506"/>
      <c r="K785" s="507"/>
      <c r="L785" s="508"/>
      <c r="M785" s="508"/>
      <c r="N785" s="508"/>
      <c r="O785" s="509"/>
      <c r="P785" s="509"/>
    </row>
    <row r="786" spans="1:16" ht="21.75" customHeight="1" x14ac:dyDescent="0.3">
      <c r="A786" s="504"/>
      <c r="B786" s="504"/>
      <c r="C786" s="504"/>
      <c r="D786" s="504"/>
      <c r="E786" s="506"/>
      <c r="F786" s="506"/>
      <c r="G786" s="506"/>
      <c r="H786" s="506"/>
      <c r="I786" s="506"/>
      <c r="J786" s="506"/>
      <c r="K786" s="507"/>
      <c r="L786" s="508"/>
      <c r="M786" s="508"/>
      <c r="N786" s="508"/>
      <c r="O786" s="509"/>
      <c r="P786" s="509"/>
    </row>
    <row r="787" spans="1:16" ht="21.75" customHeight="1" x14ac:dyDescent="0.3">
      <c r="A787" s="504"/>
      <c r="B787" s="504"/>
      <c r="C787" s="504"/>
      <c r="D787" s="504"/>
      <c r="E787" s="506"/>
      <c r="F787" s="506"/>
      <c r="G787" s="506"/>
      <c r="H787" s="506"/>
      <c r="I787" s="506"/>
      <c r="J787" s="506"/>
      <c r="K787" s="507"/>
      <c r="L787" s="508"/>
      <c r="M787" s="508"/>
      <c r="N787" s="508"/>
      <c r="O787" s="509"/>
      <c r="P787" s="509"/>
    </row>
    <row r="788" spans="1:16" ht="21.75" customHeight="1" x14ac:dyDescent="0.3">
      <c r="A788" s="504"/>
      <c r="B788" s="504"/>
      <c r="C788" s="504"/>
      <c r="D788" s="504"/>
      <c r="E788" s="506"/>
      <c r="F788" s="506"/>
      <c r="G788" s="506"/>
      <c r="H788" s="506"/>
      <c r="I788" s="506"/>
      <c r="J788" s="506"/>
      <c r="K788" s="507"/>
      <c r="L788" s="508"/>
      <c r="M788" s="508"/>
      <c r="N788" s="508"/>
      <c r="O788" s="509"/>
      <c r="P788" s="509"/>
    </row>
    <row r="789" spans="1:16" ht="21.75" customHeight="1" x14ac:dyDescent="0.3">
      <c r="A789" s="504"/>
      <c r="B789" s="504"/>
      <c r="C789" s="504"/>
      <c r="D789" s="504"/>
      <c r="E789" s="506"/>
      <c r="F789" s="506"/>
      <c r="G789" s="506"/>
      <c r="H789" s="506"/>
      <c r="I789" s="506"/>
      <c r="J789" s="506"/>
      <c r="K789" s="507"/>
      <c r="L789" s="508"/>
      <c r="M789" s="508"/>
      <c r="N789" s="508"/>
      <c r="O789" s="509"/>
      <c r="P789" s="509"/>
    </row>
    <row r="790" spans="1:16" ht="21.75" customHeight="1" x14ac:dyDescent="0.3">
      <c r="A790" s="504"/>
      <c r="B790" s="504"/>
      <c r="C790" s="504"/>
      <c r="D790" s="504"/>
      <c r="E790" s="506"/>
      <c r="F790" s="506"/>
      <c r="G790" s="506"/>
      <c r="H790" s="506"/>
      <c r="I790" s="506"/>
      <c r="J790" s="506"/>
      <c r="K790" s="507"/>
      <c r="L790" s="508"/>
      <c r="M790" s="508"/>
      <c r="N790" s="508"/>
      <c r="O790" s="509"/>
      <c r="P790" s="509"/>
    </row>
    <row r="791" spans="1:16" ht="21.75" customHeight="1" x14ac:dyDescent="0.3">
      <c r="A791" s="504"/>
      <c r="B791" s="504"/>
      <c r="C791" s="504"/>
      <c r="D791" s="504"/>
      <c r="E791" s="506"/>
      <c r="F791" s="506"/>
      <c r="G791" s="506"/>
      <c r="H791" s="506"/>
      <c r="I791" s="506"/>
      <c r="J791" s="506"/>
      <c r="K791" s="507"/>
      <c r="L791" s="508"/>
      <c r="M791" s="508"/>
      <c r="N791" s="508"/>
      <c r="O791" s="509"/>
      <c r="P791" s="509"/>
    </row>
    <row r="792" spans="1:16" ht="21.75" customHeight="1" x14ac:dyDescent="0.3">
      <c r="A792" s="504"/>
      <c r="B792" s="504"/>
      <c r="C792" s="504"/>
      <c r="D792" s="504"/>
      <c r="E792" s="506"/>
      <c r="F792" s="506"/>
      <c r="G792" s="506"/>
      <c r="H792" s="506"/>
      <c r="I792" s="506"/>
      <c r="J792" s="506"/>
      <c r="K792" s="507"/>
      <c r="L792" s="508"/>
      <c r="M792" s="508"/>
      <c r="N792" s="508"/>
      <c r="O792" s="509"/>
      <c r="P792" s="509"/>
    </row>
    <row r="793" spans="1:16" ht="21.75" customHeight="1" x14ac:dyDescent="0.3">
      <c r="A793" s="504"/>
      <c r="B793" s="504"/>
      <c r="C793" s="504"/>
      <c r="D793" s="504"/>
      <c r="E793" s="506"/>
      <c r="F793" s="506"/>
      <c r="G793" s="506"/>
      <c r="H793" s="506"/>
      <c r="I793" s="506"/>
      <c r="J793" s="506"/>
      <c r="K793" s="507"/>
      <c r="L793" s="508"/>
      <c r="M793" s="508"/>
      <c r="N793" s="508"/>
      <c r="O793" s="509"/>
      <c r="P793" s="509"/>
    </row>
    <row r="794" spans="1:16" ht="21.75" customHeight="1" x14ac:dyDescent="0.3">
      <c r="A794" s="504"/>
      <c r="B794" s="504"/>
      <c r="C794" s="504"/>
      <c r="D794" s="504"/>
      <c r="E794" s="506"/>
      <c r="F794" s="506"/>
      <c r="G794" s="506"/>
      <c r="H794" s="506"/>
      <c r="I794" s="506"/>
      <c r="J794" s="506"/>
      <c r="K794" s="507"/>
      <c r="L794" s="508"/>
      <c r="M794" s="508"/>
      <c r="N794" s="508"/>
      <c r="O794" s="509"/>
      <c r="P794" s="509"/>
    </row>
    <row r="795" spans="1:16" ht="21.75" customHeight="1" x14ac:dyDescent="0.3">
      <c r="A795" s="504"/>
      <c r="B795" s="504"/>
      <c r="C795" s="504"/>
      <c r="D795" s="504"/>
      <c r="E795" s="506"/>
      <c r="F795" s="506"/>
      <c r="G795" s="506"/>
      <c r="H795" s="506"/>
      <c r="I795" s="506"/>
      <c r="J795" s="506"/>
      <c r="K795" s="507"/>
      <c r="L795" s="508"/>
      <c r="M795" s="508"/>
      <c r="N795" s="508"/>
      <c r="O795" s="509"/>
      <c r="P795" s="509"/>
    </row>
    <row r="796" spans="1:16" ht="21.75" customHeight="1" x14ac:dyDescent="0.3">
      <c r="A796" s="504"/>
      <c r="B796" s="504"/>
      <c r="C796" s="504"/>
      <c r="D796" s="504"/>
      <c r="E796" s="506"/>
      <c r="F796" s="506"/>
      <c r="G796" s="506"/>
      <c r="H796" s="506"/>
      <c r="I796" s="506"/>
      <c r="J796" s="506"/>
      <c r="K796" s="507"/>
      <c r="L796" s="508"/>
      <c r="M796" s="508"/>
      <c r="N796" s="508"/>
      <c r="O796" s="509"/>
      <c r="P796" s="509"/>
    </row>
    <row r="797" spans="1:16" ht="21.75" customHeight="1" x14ac:dyDescent="0.3">
      <c r="A797" s="504"/>
      <c r="B797" s="504"/>
      <c r="C797" s="504"/>
      <c r="D797" s="504"/>
      <c r="E797" s="506"/>
      <c r="F797" s="506"/>
      <c r="G797" s="506"/>
      <c r="H797" s="506"/>
      <c r="I797" s="506"/>
      <c r="J797" s="506"/>
      <c r="K797" s="507"/>
      <c r="L797" s="508"/>
      <c r="M797" s="508"/>
      <c r="N797" s="508"/>
      <c r="O797" s="509"/>
      <c r="P797" s="509"/>
    </row>
    <row r="798" spans="1:16" ht="21.75" customHeight="1" x14ac:dyDescent="0.3">
      <c r="A798" s="504"/>
      <c r="B798" s="504"/>
      <c r="C798" s="504"/>
      <c r="D798" s="504"/>
      <c r="E798" s="506"/>
      <c r="F798" s="506"/>
      <c r="G798" s="506"/>
      <c r="H798" s="506"/>
      <c r="I798" s="506"/>
      <c r="J798" s="506"/>
      <c r="K798" s="507"/>
      <c r="L798" s="508"/>
      <c r="M798" s="508"/>
      <c r="N798" s="508"/>
      <c r="O798" s="509"/>
      <c r="P798" s="509"/>
    </row>
    <row r="799" spans="1:16" ht="21.75" customHeight="1" x14ac:dyDescent="0.3">
      <c r="A799" s="504"/>
      <c r="B799" s="504"/>
      <c r="C799" s="504"/>
      <c r="D799" s="504"/>
      <c r="E799" s="506"/>
      <c r="F799" s="506"/>
      <c r="G799" s="506"/>
      <c r="H799" s="506"/>
      <c r="I799" s="506"/>
      <c r="J799" s="506"/>
      <c r="K799" s="507"/>
      <c r="L799" s="508"/>
      <c r="M799" s="508"/>
      <c r="N799" s="508"/>
      <c r="O799" s="509"/>
      <c r="P799" s="509"/>
    </row>
    <row r="800" spans="1:16" ht="21.75" customHeight="1" x14ac:dyDescent="0.3">
      <c r="A800" s="504"/>
      <c r="B800" s="504"/>
      <c r="C800" s="504"/>
      <c r="D800" s="504"/>
      <c r="E800" s="506"/>
      <c r="F800" s="506"/>
      <c r="G800" s="506"/>
      <c r="H800" s="506"/>
      <c r="I800" s="506"/>
      <c r="J800" s="506"/>
      <c r="K800" s="507"/>
      <c r="L800" s="508"/>
      <c r="M800" s="508"/>
      <c r="N800" s="508"/>
      <c r="O800" s="509"/>
      <c r="P800" s="509"/>
    </row>
    <row r="801" spans="1:16" ht="21.75" customHeight="1" x14ac:dyDescent="0.3">
      <c r="A801" s="504"/>
      <c r="B801" s="504"/>
      <c r="C801" s="504"/>
      <c r="D801" s="504"/>
      <c r="E801" s="506"/>
      <c r="F801" s="506"/>
      <c r="G801" s="506"/>
      <c r="H801" s="506"/>
      <c r="I801" s="506"/>
      <c r="J801" s="506"/>
      <c r="K801" s="507"/>
      <c r="L801" s="508"/>
      <c r="M801" s="508"/>
      <c r="N801" s="508"/>
      <c r="O801" s="509"/>
      <c r="P801" s="509"/>
    </row>
    <row r="802" spans="1:16" ht="21.75" customHeight="1" x14ac:dyDescent="0.3">
      <c r="A802" s="504"/>
      <c r="B802" s="504"/>
      <c r="C802" s="504"/>
      <c r="D802" s="504"/>
      <c r="E802" s="506"/>
      <c r="F802" s="506"/>
      <c r="G802" s="506"/>
      <c r="H802" s="506"/>
      <c r="I802" s="506"/>
      <c r="J802" s="506"/>
      <c r="K802" s="507"/>
      <c r="L802" s="508"/>
      <c r="M802" s="508"/>
      <c r="N802" s="508"/>
      <c r="O802" s="509"/>
      <c r="P802" s="509"/>
    </row>
    <row r="803" spans="1:16" ht="21.75" customHeight="1" x14ac:dyDescent="0.3">
      <c r="A803" s="504"/>
      <c r="B803" s="504"/>
      <c r="C803" s="504"/>
      <c r="D803" s="504"/>
      <c r="E803" s="506"/>
      <c r="F803" s="506"/>
      <c r="G803" s="506"/>
      <c r="H803" s="506"/>
      <c r="I803" s="506"/>
      <c r="J803" s="506"/>
      <c r="K803" s="507"/>
      <c r="L803" s="508"/>
      <c r="M803" s="508"/>
      <c r="N803" s="508"/>
      <c r="O803" s="509"/>
      <c r="P803" s="509"/>
    </row>
    <row r="804" spans="1:16" ht="21.75" customHeight="1" x14ac:dyDescent="0.3">
      <c r="A804" s="504"/>
      <c r="B804" s="504"/>
      <c r="C804" s="504"/>
      <c r="D804" s="504"/>
      <c r="E804" s="506"/>
      <c r="F804" s="506"/>
      <c r="G804" s="506"/>
      <c r="H804" s="506"/>
      <c r="I804" s="506"/>
      <c r="J804" s="506"/>
      <c r="K804" s="507"/>
      <c r="L804" s="508"/>
      <c r="M804" s="508"/>
      <c r="N804" s="508"/>
      <c r="O804" s="509"/>
      <c r="P804" s="509"/>
    </row>
    <row r="805" spans="1:16" ht="21.75" customHeight="1" x14ac:dyDescent="0.3">
      <c r="A805" s="504"/>
      <c r="B805" s="504"/>
      <c r="C805" s="504"/>
      <c r="D805" s="504"/>
      <c r="E805" s="506"/>
      <c r="F805" s="506"/>
      <c r="G805" s="506"/>
      <c r="H805" s="506"/>
      <c r="I805" s="506"/>
      <c r="J805" s="506"/>
      <c r="K805" s="507"/>
      <c r="L805" s="508"/>
      <c r="M805" s="508"/>
      <c r="N805" s="508"/>
      <c r="O805" s="509"/>
      <c r="P805" s="509"/>
    </row>
    <row r="806" spans="1:16" ht="21.75" customHeight="1" x14ac:dyDescent="0.3">
      <c r="A806" s="504"/>
      <c r="B806" s="504"/>
      <c r="C806" s="504"/>
      <c r="D806" s="504"/>
      <c r="E806" s="506"/>
      <c r="F806" s="506"/>
      <c r="G806" s="506"/>
      <c r="H806" s="506"/>
      <c r="I806" s="506"/>
      <c r="J806" s="506"/>
      <c r="K806" s="507"/>
      <c r="L806" s="508"/>
      <c r="M806" s="508"/>
      <c r="N806" s="508"/>
      <c r="O806" s="509"/>
      <c r="P806" s="509"/>
    </row>
    <row r="807" spans="1:16" ht="21.75" customHeight="1" x14ac:dyDescent="0.3">
      <c r="A807" s="504"/>
      <c r="B807" s="504"/>
      <c r="C807" s="504"/>
      <c r="D807" s="504"/>
      <c r="E807" s="506"/>
      <c r="F807" s="506"/>
      <c r="G807" s="506"/>
      <c r="H807" s="506"/>
      <c r="I807" s="506"/>
      <c r="J807" s="506"/>
      <c r="K807" s="507"/>
      <c r="L807" s="508"/>
      <c r="M807" s="508"/>
      <c r="N807" s="508"/>
      <c r="O807" s="509"/>
      <c r="P807" s="509"/>
    </row>
    <row r="808" spans="1:16" ht="21.75" customHeight="1" x14ac:dyDescent="0.3">
      <c r="A808" s="504"/>
      <c r="B808" s="504"/>
      <c r="C808" s="504"/>
      <c r="D808" s="504"/>
      <c r="E808" s="506"/>
      <c r="F808" s="506"/>
      <c r="G808" s="506"/>
      <c r="H808" s="506"/>
      <c r="I808" s="506"/>
      <c r="J808" s="506"/>
      <c r="K808" s="507"/>
      <c r="L808" s="508"/>
      <c r="M808" s="508"/>
      <c r="N808" s="508"/>
      <c r="O808" s="509"/>
      <c r="P808" s="509"/>
    </row>
    <row r="809" spans="1:16" ht="21.75" customHeight="1" x14ac:dyDescent="0.3">
      <c r="A809" s="504"/>
      <c r="B809" s="504"/>
      <c r="C809" s="504"/>
      <c r="D809" s="504"/>
      <c r="E809" s="506"/>
      <c r="F809" s="506"/>
      <c r="G809" s="506"/>
      <c r="H809" s="506"/>
      <c r="I809" s="506"/>
      <c r="J809" s="506"/>
      <c r="K809" s="507"/>
      <c r="L809" s="508"/>
      <c r="M809" s="508"/>
      <c r="N809" s="508"/>
      <c r="O809" s="509"/>
      <c r="P809" s="509"/>
    </row>
    <row r="810" spans="1:16" ht="21.75" customHeight="1" x14ac:dyDescent="0.3">
      <c r="A810" s="504"/>
      <c r="B810" s="504"/>
      <c r="C810" s="504"/>
      <c r="D810" s="504"/>
      <c r="E810" s="506"/>
      <c r="F810" s="506"/>
      <c r="G810" s="506"/>
      <c r="H810" s="506"/>
      <c r="I810" s="506"/>
      <c r="J810" s="506"/>
      <c r="K810" s="507"/>
      <c r="L810" s="508"/>
      <c r="M810" s="508"/>
      <c r="N810" s="508"/>
      <c r="O810" s="509"/>
      <c r="P810" s="509"/>
    </row>
    <row r="811" spans="1:16" ht="21.75" customHeight="1" x14ac:dyDescent="0.3">
      <c r="A811" s="504"/>
      <c r="B811" s="504"/>
      <c r="C811" s="504"/>
      <c r="D811" s="504"/>
      <c r="E811" s="506"/>
      <c r="F811" s="506"/>
      <c r="G811" s="506"/>
      <c r="H811" s="506"/>
      <c r="I811" s="506"/>
      <c r="J811" s="506"/>
      <c r="K811" s="507"/>
      <c r="L811" s="508"/>
      <c r="M811" s="508"/>
      <c r="N811" s="508"/>
      <c r="O811" s="509"/>
      <c r="P811" s="509"/>
    </row>
    <row r="812" spans="1:16" ht="21.75" customHeight="1" x14ac:dyDescent="0.3">
      <c r="A812" s="504"/>
      <c r="B812" s="504"/>
      <c r="C812" s="504"/>
      <c r="D812" s="504"/>
      <c r="E812" s="506"/>
      <c r="F812" s="506"/>
      <c r="G812" s="506"/>
      <c r="H812" s="506"/>
      <c r="I812" s="506"/>
      <c r="J812" s="506"/>
      <c r="K812" s="507"/>
      <c r="L812" s="508"/>
      <c r="M812" s="508"/>
      <c r="N812" s="508"/>
      <c r="O812" s="509"/>
      <c r="P812" s="509"/>
    </row>
    <row r="813" spans="1:16" ht="21.75" customHeight="1" x14ac:dyDescent="0.3">
      <c r="A813" s="504"/>
      <c r="B813" s="504"/>
      <c r="C813" s="504"/>
      <c r="D813" s="504"/>
      <c r="E813" s="506"/>
      <c r="F813" s="506"/>
      <c r="G813" s="506"/>
      <c r="H813" s="506"/>
      <c r="I813" s="506"/>
      <c r="J813" s="506"/>
      <c r="K813" s="507"/>
      <c r="L813" s="508"/>
      <c r="M813" s="508"/>
      <c r="N813" s="508"/>
      <c r="O813" s="509"/>
      <c r="P813" s="509"/>
    </row>
    <row r="814" spans="1:16" ht="21.75" customHeight="1" x14ac:dyDescent="0.3">
      <c r="A814" s="504"/>
      <c r="B814" s="504"/>
      <c r="C814" s="504"/>
      <c r="D814" s="504"/>
      <c r="E814" s="506"/>
      <c r="F814" s="506"/>
      <c r="G814" s="506"/>
      <c r="H814" s="506"/>
      <c r="I814" s="506"/>
      <c r="J814" s="506"/>
      <c r="K814" s="507"/>
      <c r="L814" s="508"/>
      <c r="M814" s="508"/>
      <c r="N814" s="508"/>
      <c r="O814" s="509"/>
      <c r="P814" s="509"/>
    </row>
    <row r="815" spans="1:16" ht="21.75" customHeight="1" x14ac:dyDescent="0.3">
      <c r="A815" s="504"/>
      <c r="B815" s="504"/>
      <c r="C815" s="504"/>
      <c r="D815" s="504"/>
      <c r="E815" s="506"/>
      <c r="F815" s="506"/>
      <c r="G815" s="506"/>
      <c r="H815" s="506"/>
      <c r="I815" s="506"/>
      <c r="J815" s="506"/>
      <c r="K815" s="507"/>
      <c r="L815" s="508"/>
      <c r="M815" s="508"/>
      <c r="N815" s="508"/>
      <c r="O815" s="509"/>
      <c r="P815" s="509"/>
    </row>
    <row r="816" spans="1:16" ht="21.75" customHeight="1" x14ac:dyDescent="0.3">
      <c r="A816" s="504"/>
      <c r="B816" s="504"/>
      <c r="C816" s="504"/>
      <c r="D816" s="504"/>
      <c r="E816" s="506"/>
      <c r="F816" s="506"/>
      <c r="G816" s="506"/>
      <c r="H816" s="506"/>
      <c r="I816" s="506"/>
      <c r="J816" s="506"/>
      <c r="K816" s="507"/>
      <c r="L816" s="508"/>
      <c r="M816" s="508"/>
      <c r="N816" s="508"/>
      <c r="O816" s="509"/>
      <c r="P816" s="509"/>
    </row>
    <row r="817" spans="1:16" ht="21.75" customHeight="1" x14ac:dyDescent="0.3">
      <c r="A817" s="504"/>
      <c r="B817" s="504"/>
      <c r="C817" s="504"/>
      <c r="D817" s="504"/>
      <c r="E817" s="506"/>
      <c r="F817" s="506"/>
      <c r="G817" s="506"/>
      <c r="H817" s="506"/>
      <c r="I817" s="506"/>
      <c r="J817" s="506"/>
      <c r="K817" s="507"/>
      <c r="L817" s="508"/>
      <c r="M817" s="508"/>
      <c r="N817" s="508"/>
      <c r="O817" s="509"/>
      <c r="P817" s="509"/>
    </row>
    <row r="818" spans="1:16" ht="21.75" customHeight="1" x14ac:dyDescent="0.3">
      <c r="A818" s="504"/>
      <c r="B818" s="504"/>
      <c r="C818" s="504"/>
      <c r="D818" s="504"/>
      <c r="E818" s="506"/>
      <c r="F818" s="506"/>
      <c r="G818" s="506"/>
      <c r="H818" s="506"/>
      <c r="I818" s="506"/>
      <c r="J818" s="506"/>
      <c r="K818" s="507"/>
      <c r="L818" s="508"/>
      <c r="M818" s="508"/>
      <c r="N818" s="508"/>
      <c r="O818" s="509"/>
      <c r="P818" s="509"/>
    </row>
    <row r="819" spans="1:16" ht="21.75" customHeight="1" x14ac:dyDescent="0.3">
      <c r="A819" s="504"/>
      <c r="B819" s="504"/>
      <c r="C819" s="504"/>
      <c r="D819" s="504"/>
      <c r="E819" s="506"/>
      <c r="F819" s="506"/>
      <c r="G819" s="506"/>
      <c r="H819" s="506"/>
      <c r="I819" s="506"/>
      <c r="J819" s="506"/>
      <c r="K819" s="507"/>
      <c r="L819" s="508"/>
      <c r="M819" s="508"/>
      <c r="N819" s="508"/>
      <c r="O819" s="509"/>
      <c r="P819" s="509"/>
    </row>
    <row r="820" spans="1:16" ht="21.75" customHeight="1" x14ac:dyDescent="0.3">
      <c r="A820" s="504"/>
      <c r="B820" s="504"/>
      <c r="C820" s="504"/>
      <c r="D820" s="504"/>
      <c r="E820" s="506"/>
      <c r="F820" s="506"/>
      <c r="G820" s="506"/>
      <c r="H820" s="506"/>
      <c r="I820" s="506"/>
      <c r="J820" s="506"/>
      <c r="K820" s="507"/>
      <c r="L820" s="508"/>
      <c r="M820" s="508"/>
      <c r="N820" s="508"/>
      <c r="O820" s="509"/>
      <c r="P820" s="509"/>
    </row>
    <row r="821" spans="1:16" ht="21.75" customHeight="1" x14ac:dyDescent="0.3">
      <c r="A821" s="504"/>
      <c r="B821" s="504"/>
      <c r="C821" s="504"/>
      <c r="D821" s="504"/>
      <c r="E821" s="506"/>
      <c r="F821" s="506"/>
      <c r="G821" s="506"/>
      <c r="H821" s="506"/>
      <c r="I821" s="506"/>
      <c r="J821" s="506"/>
      <c r="K821" s="507"/>
      <c r="L821" s="508"/>
      <c r="M821" s="508"/>
      <c r="N821" s="508"/>
      <c r="O821" s="509"/>
      <c r="P821" s="509"/>
    </row>
    <row r="822" spans="1:16" ht="21.75" customHeight="1" x14ac:dyDescent="0.3">
      <c r="A822" s="504"/>
      <c r="B822" s="504"/>
      <c r="C822" s="504"/>
      <c r="D822" s="504"/>
      <c r="E822" s="506"/>
      <c r="F822" s="506"/>
      <c r="G822" s="506"/>
      <c r="H822" s="506"/>
      <c r="I822" s="506"/>
      <c r="J822" s="506"/>
      <c r="K822" s="507"/>
      <c r="L822" s="508"/>
      <c r="M822" s="508"/>
      <c r="N822" s="508"/>
      <c r="O822" s="509"/>
      <c r="P822" s="509"/>
    </row>
    <row r="823" spans="1:16" ht="21.75" customHeight="1" x14ac:dyDescent="0.3">
      <c r="A823" s="504"/>
      <c r="B823" s="504"/>
      <c r="C823" s="504"/>
      <c r="D823" s="504"/>
      <c r="E823" s="506"/>
      <c r="F823" s="506"/>
      <c r="G823" s="506"/>
      <c r="H823" s="506"/>
      <c r="I823" s="506"/>
      <c r="J823" s="506"/>
      <c r="K823" s="507"/>
      <c r="L823" s="508"/>
      <c r="M823" s="508"/>
      <c r="N823" s="508"/>
      <c r="O823" s="509"/>
      <c r="P823" s="509"/>
    </row>
    <row r="824" spans="1:16" ht="21.75" customHeight="1" x14ac:dyDescent="0.3">
      <c r="A824" s="504"/>
      <c r="B824" s="504"/>
      <c r="C824" s="504"/>
      <c r="D824" s="504"/>
      <c r="E824" s="506"/>
      <c r="F824" s="506"/>
      <c r="G824" s="506"/>
      <c r="H824" s="506"/>
      <c r="I824" s="506"/>
      <c r="J824" s="506"/>
      <c r="K824" s="507"/>
      <c r="L824" s="508"/>
      <c r="M824" s="508"/>
      <c r="N824" s="508"/>
      <c r="O824" s="509"/>
      <c r="P824" s="509"/>
    </row>
    <row r="825" spans="1:16" ht="21.75" customHeight="1" x14ac:dyDescent="0.3">
      <c r="A825" s="504"/>
      <c r="B825" s="504"/>
      <c r="C825" s="504"/>
      <c r="D825" s="504"/>
      <c r="E825" s="506"/>
      <c r="F825" s="506"/>
      <c r="G825" s="506"/>
      <c r="H825" s="506"/>
      <c r="I825" s="506"/>
      <c r="J825" s="506"/>
      <c r="K825" s="507"/>
      <c r="L825" s="508"/>
      <c r="M825" s="508"/>
      <c r="N825" s="508"/>
      <c r="O825" s="509"/>
      <c r="P825" s="509"/>
    </row>
    <row r="826" spans="1:16" ht="21.75" customHeight="1" x14ac:dyDescent="0.3">
      <c r="A826" s="504"/>
      <c r="B826" s="504"/>
      <c r="C826" s="504"/>
      <c r="D826" s="504"/>
      <c r="E826" s="506"/>
      <c r="F826" s="506"/>
      <c r="G826" s="506"/>
      <c r="H826" s="506"/>
      <c r="I826" s="506"/>
      <c r="J826" s="506"/>
      <c r="K826" s="507"/>
      <c r="L826" s="508"/>
      <c r="M826" s="508"/>
      <c r="N826" s="508"/>
      <c r="O826" s="509"/>
      <c r="P826" s="509"/>
    </row>
    <row r="827" spans="1:16" ht="21.75" customHeight="1" x14ac:dyDescent="0.3">
      <c r="A827" s="504"/>
      <c r="B827" s="504"/>
      <c r="C827" s="504"/>
      <c r="D827" s="504"/>
      <c r="E827" s="506"/>
      <c r="F827" s="506"/>
      <c r="G827" s="506"/>
      <c r="H827" s="506"/>
      <c r="I827" s="506"/>
      <c r="J827" s="506"/>
      <c r="K827" s="507"/>
      <c r="L827" s="508"/>
      <c r="M827" s="508"/>
      <c r="N827" s="508"/>
      <c r="O827" s="509"/>
      <c r="P827" s="509"/>
    </row>
    <row r="828" spans="1:16" ht="21.75" customHeight="1" x14ac:dyDescent="0.3">
      <c r="A828" s="504"/>
      <c r="B828" s="504"/>
      <c r="C828" s="504"/>
      <c r="D828" s="504"/>
      <c r="E828" s="506"/>
      <c r="F828" s="506"/>
      <c r="G828" s="506"/>
      <c r="H828" s="506"/>
      <c r="I828" s="506"/>
      <c r="J828" s="506"/>
      <c r="K828" s="507"/>
      <c r="L828" s="508"/>
      <c r="M828" s="508"/>
      <c r="N828" s="508"/>
      <c r="O828" s="509"/>
      <c r="P828" s="509"/>
    </row>
    <row r="829" spans="1:16" ht="21.75" customHeight="1" x14ac:dyDescent="0.3">
      <c r="A829" s="504"/>
      <c r="B829" s="504"/>
      <c r="C829" s="504"/>
      <c r="D829" s="504"/>
      <c r="E829" s="506"/>
      <c r="F829" s="506"/>
      <c r="G829" s="506"/>
      <c r="H829" s="506"/>
      <c r="I829" s="506"/>
      <c r="J829" s="506"/>
      <c r="K829" s="507"/>
      <c r="L829" s="508"/>
      <c r="M829" s="508"/>
      <c r="N829" s="508"/>
      <c r="O829" s="509"/>
      <c r="P829" s="509"/>
    </row>
    <row r="830" spans="1:16" ht="21.75" customHeight="1" x14ac:dyDescent="0.3">
      <c r="A830" s="504"/>
      <c r="B830" s="504"/>
      <c r="C830" s="504"/>
      <c r="D830" s="504"/>
      <c r="E830" s="506"/>
      <c r="F830" s="506"/>
      <c r="G830" s="506"/>
      <c r="H830" s="506"/>
      <c r="I830" s="506"/>
      <c r="J830" s="506"/>
      <c r="K830" s="507"/>
      <c r="L830" s="508"/>
      <c r="M830" s="508"/>
      <c r="N830" s="508"/>
      <c r="O830" s="509"/>
      <c r="P830" s="509"/>
    </row>
    <row r="831" spans="1:16" ht="21.75" customHeight="1" x14ac:dyDescent="0.3">
      <c r="A831" s="504"/>
      <c r="B831" s="504"/>
      <c r="C831" s="504"/>
      <c r="D831" s="504"/>
      <c r="E831" s="506"/>
      <c r="F831" s="506"/>
      <c r="G831" s="506"/>
      <c r="H831" s="506"/>
      <c r="I831" s="506"/>
      <c r="J831" s="506"/>
      <c r="K831" s="507"/>
      <c r="L831" s="508"/>
      <c r="M831" s="508"/>
      <c r="N831" s="508"/>
      <c r="O831" s="509"/>
      <c r="P831" s="509"/>
    </row>
    <row r="832" spans="1:16" ht="21.75" customHeight="1" x14ac:dyDescent="0.3">
      <c r="A832" s="504"/>
      <c r="B832" s="504"/>
      <c r="C832" s="504"/>
      <c r="D832" s="504"/>
      <c r="E832" s="506"/>
      <c r="F832" s="506"/>
      <c r="G832" s="506"/>
      <c r="H832" s="506"/>
      <c r="I832" s="506"/>
      <c r="J832" s="506"/>
      <c r="K832" s="507"/>
      <c r="L832" s="508"/>
      <c r="M832" s="508"/>
      <c r="N832" s="508"/>
      <c r="O832" s="509"/>
      <c r="P832" s="509"/>
    </row>
    <row r="833" spans="1:16" ht="21.75" customHeight="1" x14ac:dyDescent="0.3">
      <c r="A833" s="504"/>
      <c r="B833" s="504"/>
      <c r="C833" s="504"/>
      <c r="D833" s="504"/>
      <c r="E833" s="506"/>
      <c r="F833" s="506"/>
      <c r="G833" s="506"/>
      <c r="H833" s="506"/>
      <c r="I833" s="506"/>
      <c r="J833" s="506"/>
      <c r="K833" s="507"/>
      <c r="L833" s="508"/>
      <c r="M833" s="508"/>
      <c r="N833" s="508"/>
      <c r="O833" s="509"/>
      <c r="P833" s="509"/>
    </row>
    <row r="834" spans="1:16" ht="21.75" customHeight="1" x14ac:dyDescent="0.3">
      <c r="A834" s="504"/>
      <c r="B834" s="504"/>
      <c r="C834" s="504"/>
      <c r="D834" s="504"/>
      <c r="E834" s="506"/>
      <c r="F834" s="506"/>
      <c r="G834" s="506"/>
      <c r="H834" s="506"/>
      <c r="I834" s="506"/>
      <c r="J834" s="506"/>
      <c r="K834" s="507"/>
      <c r="L834" s="508"/>
      <c r="M834" s="508"/>
      <c r="N834" s="508"/>
      <c r="O834" s="509"/>
      <c r="P834" s="509"/>
    </row>
    <row r="835" spans="1:16" ht="21.75" customHeight="1" x14ac:dyDescent="0.3">
      <c r="A835" s="504"/>
      <c r="B835" s="504"/>
      <c r="C835" s="504"/>
      <c r="D835" s="504"/>
      <c r="E835" s="506"/>
      <c r="F835" s="506"/>
      <c r="G835" s="506"/>
      <c r="H835" s="506"/>
      <c r="I835" s="506"/>
      <c r="J835" s="506"/>
      <c r="K835" s="507"/>
      <c r="L835" s="508"/>
      <c r="M835" s="508"/>
      <c r="N835" s="508"/>
      <c r="O835" s="509"/>
      <c r="P835" s="509"/>
    </row>
    <row r="836" spans="1:16" ht="21.75" customHeight="1" x14ac:dyDescent="0.3">
      <c r="A836" s="504"/>
      <c r="B836" s="504"/>
      <c r="C836" s="504"/>
      <c r="D836" s="504"/>
      <c r="E836" s="506"/>
      <c r="F836" s="506"/>
      <c r="G836" s="506"/>
      <c r="H836" s="506"/>
      <c r="I836" s="506"/>
      <c r="J836" s="506"/>
      <c r="K836" s="507"/>
      <c r="L836" s="508"/>
      <c r="M836" s="508"/>
      <c r="N836" s="508"/>
      <c r="O836" s="509"/>
      <c r="P836" s="509"/>
    </row>
    <row r="837" spans="1:16" ht="21.75" customHeight="1" x14ac:dyDescent="0.3">
      <c r="A837" s="504"/>
      <c r="B837" s="504"/>
      <c r="C837" s="504"/>
      <c r="D837" s="504"/>
      <c r="E837" s="506"/>
      <c r="F837" s="506"/>
      <c r="G837" s="506"/>
      <c r="H837" s="506"/>
      <c r="I837" s="506"/>
      <c r="J837" s="506"/>
      <c r="K837" s="507"/>
      <c r="L837" s="508"/>
      <c r="M837" s="508"/>
      <c r="N837" s="508"/>
      <c r="O837" s="509"/>
      <c r="P837" s="509"/>
    </row>
    <row r="838" spans="1:16" ht="21.75" customHeight="1" x14ac:dyDescent="0.3">
      <c r="A838" s="504"/>
      <c r="B838" s="504"/>
      <c r="C838" s="504"/>
      <c r="D838" s="504"/>
      <c r="E838" s="506"/>
      <c r="F838" s="506"/>
      <c r="G838" s="506"/>
      <c r="H838" s="506"/>
      <c r="I838" s="506"/>
      <c r="J838" s="506"/>
      <c r="K838" s="507"/>
      <c r="L838" s="508"/>
      <c r="M838" s="508"/>
      <c r="N838" s="508"/>
      <c r="O838" s="509"/>
      <c r="P838" s="509"/>
    </row>
    <row r="839" spans="1:16" ht="21.75" customHeight="1" x14ac:dyDescent="0.3">
      <c r="A839" s="504"/>
      <c r="B839" s="504"/>
      <c r="C839" s="504"/>
      <c r="D839" s="504"/>
      <c r="E839" s="506"/>
      <c r="F839" s="506"/>
      <c r="G839" s="506"/>
      <c r="H839" s="506"/>
      <c r="I839" s="506"/>
      <c r="J839" s="506"/>
      <c r="K839" s="507"/>
      <c r="L839" s="508"/>
      <c r="M839" s="508"/>
      <c r="N839" s="508"/>
      <c r="O839" s="509"/>
      <c r="P839" s="509"/>
    </row>
    <row r="840" spans="1:16" ht="21.75" customHeight="1" x14ac:dyDescent="0.3">
      <c r="A840" s="504"/>
      <c r="B840" s="504"/>
      <c r="C840" s="504"/>
      <c r="D840" s="504"/>
      <c r="E840" s="506"/>
      <c r="F840" s="506"/>
      <c r="G840" s="506"/>
      <c r="H840" s="506"/>
      <c r="I840" s="506"/>
      <c r="J840" s="506"/>
      <c r="K840" s="507"/>
      <c r="L840" s="508"/>
      <c r="M840" s="508"/>
      <c r="N840" s="508"/>
      <c r="O840" s="509"/>
      <c r="P840" s="509"/>
    </row>
    <row r="841" spans="1:16" ht="21.75" customHeight="1" x14ac:dyDescent="0.3">
      <c r="A841" s="504"/>
      <c r="B841" s="504"/>
      <c r="C841" s="504"/>
      <c r="D841" s="504"/>
      <c r="E841" s="506"/>
      <c r="F841" s="506"/>
      <c r="G841" s="506"/>
      <c r="H841" s="506"/>
      <c r="I841" s="506"/>
      <c r="J841" s="506"/>
      <c r="K841" s="507"/>
      <c r="L841" s="508"/>
      <c r="M841" s="508"/>
      <c r="N841" s="508"/>
      <c r="O841" s="509"/>
      <c r="P841" s="509"/>
    </row>
    <row r="842" spans="1:16" ht="21.75" customHeight="1" x14ac:dyDescent="0.3">
      <c r="A842" s="504"/>
      <c r="B842" s="504"/>
      <c r="C842" s="504"/>
      <c r="D842" s="504"/>
      <c r="E842" s="506"/>
      <c r="F842" s="506"/>
      <c r="G842" s="506"/>
      <c r="H842" s="506"/>
      <c r="I842" s="506"/>
      <c r="J842" s="506"/>
      <c r="K842" s="507"/>
      <c r="L842" s="508"/>
      <c r="M842" s="508"/>
      <c r="N842" s="508"/>
      <c r="O842" s="509"/>
      <c r="P842" s="509"/>
    </row>
    <row r="843" spans="1:16" ht="21.75" customHeight="1" x14ac:dyDescent="0.3">
      <c r="A843" s="504"/>
      <c r="B843" s="504"/>
      <c r="C843" s="504"/>
      <c r="D843" s="504"/>
      <c r="E843" s="506"/>
      <c r="F843" s="506"/>
      <c r="G843" s="506"/>
      <c r="H843" s="506"/>
      <c r="I843" s="506"/>
      <c r="J843" s="506"/>
      <c r="K843" s="507"/>
      <c r="L843" s="508"/>
      <c r="M843" s="508"/>
      <c r="N843" s="508"/>
      <c r="O843" s="509"/>
      <c r="P843" s="509"/>
    </row>
    <row r="844" spans="1:16" ht="21.75" customHeight="1" x14ac:dyDescent="0.3">
      <c r="A844" s="504"/>
      <c r="B844" s="504"/>
      <c r="C844" s="504"/>
      <c r="D844" s="504"/>
      <c r="E844" s="506"/>
      <c r="F844" s="506"/>
      <c r="G844" s="506"/>
      <c r="H844" s="506"/>
      <c r="I844" s="506"/>
      <c r="J844" s="506"/>
      <c r="K844" s="507"/>
      <c r="L844" s="508"/>
      <c r="M844" s="508"/>
      <c r="N844" s="508"/>
      <c r="O844" s="509"/>
      <c r="P844" s="509"/>
    </row>
    <row r="845" spans="1:16" ht="21.75" customHeight="1" x14ac:dyDescent="0.3">
      <c r="A845" s="504"/>
      <c r="B845" s="504"/>
      <c r="C845" s="504"/>
      <c r="D845" s="504"/>
      <c r="E845" s="506"/>
      <c r="F845" s="506"/>
      <c r="G845" s="506"/>
      <c r="H845" s="506"/>
      <c r="I845" s="506"/>
      <c r="J845" s="506"/>
      <c r="K845" s="507"/>
      <c r="L845" s="508"/>
      <c r="M845" s="508"/>
      <c r="N845" s="508"/>
      <c r="O845" s="509"/>
      <c r="P845" s="509"/>
    </row>
    <row r="846" spans="1:16" ht="21.75" customHeight="1" x14ac:dyDescent="0.3">
      <c r="A846" s="504"/>
      <c r="B846" s="504"/>
      <c r="C846" s="504"/>
      <c r="D846" s="504"/>
      <c r="E846" s="506"/>
      <c r="F846" s="506"/>
      <c r="G846" s="506"/>
      <c r="H846" s="506"/>
      <c r="I846" s="506"/>
      <c r="J846" s="506"/>
      <c r="K846" s="507"/>
      <c r="L846" s="508"/>
      <c r="M846" s="508"/>
      <c r="N846" s="508"/>
      <c r="O846" s="509"/>
      <c r="P846" s="509"/>
    </row>
    <row r="847" spans="1:16" ht="21.75" customHeight="1" x14ac:dyDescent="0.3">
      <c r="A847" s="504"/>
      <c r="B847" s="504"/>
      <c r="C847" s="504"/>
      <c r="D847" s="504"/>
      <c r="E847" s="506"/>
      <c r="F847" s="506"/>
      <c r="G847" s="506"/>
      <c r="H847" s="506"/>
      <c r="I847" s="506"/>
      <c r="J847" s="506"/>
      <c r="K847" s="507"/>
      <c r="L847" s="508"/>
      <c r="M847" s="508"/>
      <c r="N847" s="508"/>
      <c r="O847" s="509"/>
      <c r="P847" s="509"/>
    </row>
    <row r="848" spans="1:16" ht="21.75" customHeight="1" x14ac:dyDescent="0.3">
      <c r="A848" s="504"/>
      <c r="B848" s="504"/>
      <c r="C848" s="504"/>
      <c r="D848" s="504"/>
      <c r="E848" s="506"/>
      <c r="F848" s="506"/>
      <c r="G848" s="506"/>
      <c r="H848" s="506"/>
      <c r="I848" s="506"/>
      <c r="J848" s="506"/>
      <c r="K848" s="507"/>
      <c r="L848" s="508"/>
      <c r="M848" s="508"/>
      <c r="N848" s="508"/>
      <c r="O848" s="509"/>
      <c r="P848" s="509"/>
    </row>
    <row r="849" spans="1:16" ht="21.75" customHeight="1" x14ac:dyDescent="0.3">
      <c r="A849" s="504"/>
      <c r="B849" s="504"/>
      <c r="C849" s="504"/>
      <c r="D849" s="504"/>
      <c r="E849" s="506"/>
      <c r="F849" s="506"/>
      <c r="G849" s="506"/>
      <c r="H849" s="506"/>
      <c r="I849" s="506"/>
      <c r="J849" s="506"/>
      <c r="K849" s="507"/>
      <c r="L849" s="508"/>
      <c r="M849" s="508"/>
      <c r="N849" s="508"/>
      <c r="O849" s="509"/>
      <c r="P849" s="509"/>
    </row>
    <row r="850" spans="1:16" ht="21.75" customHeight="1" x14ac:dyDescent="0.3">
      <c r="A850" s="504"/>
      <c r="B850" s="504"/>
      <c r="C850" s="504"/>
      <c r="D850" s="504"/>
      <c r="E850" s="506"/>
      <c r="F850" s="506"/>
      <c r="G850" s="506"/>
      <c r="H850" s="506"/>
      <c r="I850" s="506"/>
      <c r="J850" s="506"/>
      <c r="K850" s="507"/>
      <c r="L850" s="508"/>
      <c r="M850" s="508"/>
      <c r="N850" s="508"/>
      <c r="O850" s="509"/>
      <c r="P850" s="509"/>
    </row>
    <row r="851" spans="1:16" ht="21.75" customHeight="1" x14ac:dyDescent="0.3">
      <c r="A851" s="504"/>
      <c r="B851" s="504"/>
      <c r="C851" s="504"/>
      <c r="D851" s="504"/>
      <c r="E851" s="506"/>
      <c r="F851" s="506"/>
      <c r="G851" s="506"/>
      <c r="H851" s="506"/>
      <c r="I851" s="506"/>
      <c r="J851" s="506"/>
      <c r="K851" s="507"/>
      <c r="L851" s="508"/>
      <c r="M851" s="508"/>
      <c r="N851" s="508"/>
      <c r="O851" s="509"/>
      <c r="P851" s="509"/>
    </row>
    <row r="852" spans="1:16" ht="21.75" customHeight="1" x14ac:dyDescent="0.3">
      <c r="A852" s="504"/>
      <c r="B852" s="504"/>
      <c r="C852" s="504"/>
      <c r="D852" s="504"/>
      <c r="E852" s="506"/>
      <c r="F852" s="506"/>
      <c r="G852" s="506"/>
      <c r="H852" s="506"/>
      <c r="I852" s="506"/>
      <c r="J852" s="506"/>
      <c r="K852" s="507"/>
      <c r="L852" s="508"/>
      <c r="M852" s="508"/>
      <c r="N852" s="508"/>
      <c r="O852" s="509"/>
      <c r="P852" s="509"/>
    </row>
    <row r="853" spans="1:16" ht="21.75" customHeight="1" x14ac:dyDescent="0.3">
      <c r="A853" s="504"/>
      <c r="B853" s="504"/>
      <c r="C853" s="504"/>
      <c r="D853" s="504"/>
      <c r="E853" s="506"/>
      <c r="F853" s="506"/>
      <c r="G853" s="506"/>
      <c r="H853" s="506"/>
      <c r="I853" s="506"/>
      <c r="J853" s="506"/>
      <c r="K853" s="507"/>
      <c r="L853" s="508"/>
      <c r="M853" s="508"/>
      <c r="N853" s="508"/>
      <c r="O853" s="509"/>
      <c r="P853" s="509"/>
    </row>
    <row r="854" spans="1:16" ht="21.75" customHeight="1" x14ac:dyDescent="0.3">
      <c r="A854" s="504"/>
      <c r="B854" s="504"/>
      <c r="C854" s="504"/>
      <c r="D854" s="504"/>
      <c r="E854" s="506"/>
      <c r="F854" s="506"/>
      <c r="G854" s="506"/>
      <c r="H854" s="506"/>
      <c r="I854" s="506"/>
      <c r="J854" s="506"/>
      <c r="K854" s="507"/>
      <c r="L854" s="508"/>
      <c r="M854" s="508"/>
      <c r="N854" s="508"/>
      <c r="O854" s="509"/>
      <c r="P854" s="509"/>
    </row>
    <row r="855" spans="1:16" ht="21.75" customHeight="1" x14ac:dyDescent="0.3">
      <c r="A855" s="504"/>
      <c r="B855" s="504"/>
      <c r="C855" s="504"/>
      <c r="D855" s="504"/>
      <c r="E855" s="506"/>
      <c r="F855" s="506"/>
      <c r="G855" s="506"/>
      <c r="H855" s="506"/>
      <c r="I855" s="506"/>
      <c r="J855" s="506"/>
      <c r="K855" s="507"/>
      <c r="L855" s="508"/>
      <c r="M855" s="508"/>
      <c r="N855" s="508"/>
      <c r="O855" s="509"/>
      <c r="P855" s="509"/>
    </row>
    <row r="856" spans="1:16" ht="21.75" customHeight="1" x14ac:dyDescent="0.3">
      <c r="A856" s="504"/>
      <c r="B856" s="504"/>
      <c r="C856" s="504"/>
      <c r="D856" s="504"/>
      <c r="E856" s="506"/>
      <c r="F856" s="506"/>
      <c r="G856" s="506"/>
      <c r="H856" s="506"/>
      <c r="I856" s="506"/>
      <c r="J856" s="506"/>
      <c r="K856" s="507"/>
      <c r="L856" s="508"/>
      <c r="M856" s="508"/>
      <c r="N856" s="508"/>
      <c r="O856" s="509"/>
      <c r="P856" s="509"/>
    </row>
    <row r="857" spans="1:16" ht="21.75" customHeight="1" x14ac:dyDescent="0.3">
      <c r="A857" s="504"/>
      <c r="B857" s="504"/>
      <c r="C857" s="504"/>
      <c r="D857" s="504"/>
      <c r="E857" s="506"/>
      <c r="F857" s="506"/>
      <c r="G857" s="506"/>
      <c r="H857" s="506"/>
      <c r="I857" s="506"/>
      <c r="J857" s="506"/>
      <c r="K857" s="507"/>
      <c r="L857" s="508"/>
      <c r="M857" s="508"/>
      <c r="N857" s="508"/>
      <c r="O857" s="509"/>
      <c r="P857" s="509"/>
    </row>
    <row r="858" spans="1:16" ht="21.75" customHeight="1" x14ac:dyDescent="0.3">
      <c r="A858" s="504"/>
      <c r="B858" s="504"/>
      <c r="C858" s="504"/>
      <c r="D858" s="504"/>
      <c r="E858" s="506"/>
      <c r="F858" s="506"/>
      <c r="G858" s="506"/>
      <c r="H858" s="506"/>
      <c r="I858" s="506"/>
      <c r="J858" s="506"/>
      <c r="K858" s="507"/>
      <c r="L858" s="508"/>
      <c r="M858" s="508"/>
      <c r="N858" s="508"/>
      <c r="O858" s="509"/>
      <c r="P858" s="509"/>
    </row>
    <row r="859" spans="1:16" ht="21.75" customHeight="1" x14ac:dyDescent="0.3">
      <c r="A859" s="504"/>
      <c r="B859" s="504"/>
      <c r="C859" s="504"/>
      <c r="D859" s="504"/>
      <c r="E859" s="506"/>
      <c r="F859" s="506"/>
      <c r="G859" s="506"/>
      <c r="H859" s="506"/>
      <c r="I859" s="506"/>
      <c r="J859" s="506"/>
      <c r="K859" s="507"/>
      <c r="L859" s="508"/>
      <c r="M859" s="508"/>
      <c r="N859" s="508"/>
      <c r="O859" s="509"/>
      <c r="P859" s="509"/>
    </row>
    <row r="860" spans="1:16" ht="21.75" customHeight="1" x14ac:dyDescent="0.3">
      <c r="A860" s="504"/>
      <c r="B860" s="504"/>
      <c r="C860" s="504"/>
      <c r="D860" s="504"/>
      <c r="E860" s="506"/>
      <c r="F860" s="506"/>
      <c r="G860" s="506"/>
      <c r="H860" s="506"/>
      <c r="I860" s="506"/>
      <c r="J860" s="506"/>
      <c r="K860" s="507"/>
      <c r="L860" s="508"/>
      <c r="M860" s="508"/>
      <c r="N860" s="508"/>
      <c r="O860" s="509"/>
      <c r="P860" s="509"/>
    </row>
    <row r="861" spans="1:16" ht="21.75" customHeight="1" x14ac:dyDescent="0.3">
      <c r="A861" s="504"/>
      <c r="B861" s="504"/>
      <c r="C861" s="504"/>
      <c r="D861" s="504"/>
      <c r="E861" s="506"/>
      <c r="F861" s="506"/>
      <c r="G861" s="506"/>
      <c r="H861" s="506"/>
      <c r="I861" s="506"/>
      <c r="J861" s="506"/>
      <c r="K861" s="507"/>
      <c r="L861" s="508"/>
      <c r="M861" s="508"/>
      <c r="N861" s="508"/>
      <c r="O861" s="509"/>
      <c r="P861" s="509"/>
    </row>
    <row r="862" spans="1:16" ht="21.75" customHeight="1" x14ac:dyDescent="0.3">
      <c r="A862" s="504"/>
      <c r="B862" s="504"/>
      <c r="C862" s="504"/>
      <c r="D862" s="504"/>
      <c r="E862" s="506"/>
      <c r="F862" s="506"/>
      <c r="G862" s="506"/>
      <c r="H862" s="506"/>
      <c r="I862" s="506"/>
      <c r="J862" s="506"/>
      <c r="K862" s="507"/>
      <c r="L862" s="508"/>
      <c r="M862" s="508"/>
      <c r="N862" s="508"/>
      <c r="O862" s="509"/>
      <c r="P862" s="509"/>
    </row>
    <row r="863" spans="1:16" ht="21.75" customHeight="1" x14ac:dyDescent="0.3">
      <c r="A863" s="504"/>
      <c r="B863" s="504"/>
      <c r="C863" s="504"/>
      <c r="D863" s="504"/>
      <c r="E863" s="506"/>
      <c r="F863" s="506"/>
      <c r="G863" s="506"/>
      <c r="H863" s="506"/>
      <c r="I863" s="506"/>
      <c r="J863" s="506"/>
      <c r="K863" s="507"/>
      <c r="L863" s="508"/>
      <c r="M863" s="508"/>
      <c r="N863" s="508"/>
      <c r="O863" s="509"/>
      <c r="P863" s="509"/>
    </row>
    <row r="864" spans="1:16" ht="21.75" customHeight="1" x14ac:dyDescent="0.3">
      <c r="A864" s="504"/>
      <c r="B864" s="504"/>
      <c r="C864" s="504"/>
      <c r="D864" s="504"/>
      <c r="E864" s="506"/>
      <c r="F864" s="506"/>
      <c r="G864" s="506"/>
      <c r="H864" s="506"/>
      <c r="I864" s="506"/>
      <c r="J864" s="506"/>
      <c r="K864" s="507"/>
      <c r="L864" s="508"/>
      <c r="M864" s="508"/>
      <c r="N864" s="508"/>
      <c r="O864" s="509"/>
      <c r="P864" s="509"/>
    </row>
    <row r="865" spans="1:16" ht="21.75" customHeight="1" x14ac:dyDescent="0.3">
      <c r="A865" s="504"/>
      <c r="B865" s="504"/>
      <c r="C865" s="504"/>
      <c r="D865" s="504"/>
      <c r="E865" s="506"/>
      <c r="F865" s="506"/>
      <c r="G865" s="506"/>
      <c r="H865" s="506"/>
      <c r="I865" s="506"/>
      <c r="J865" s="506"/>
      <c r="K865" s="507"/>
      <c r="L865" s="508"/>
      <c r="M865" s="508"/>
      <c r="N865" s="508"/>
      <c r="O865" s="509"/>
      <c r="P865" s="509"/>
    </row>
    <row r="866" spans="1:16" ht="21.75" customHeight="1" x14ac:dyDescent="0.3">
      <c r="A866" s="504"/>
      <c r="B866" s="504"/>
      <c r="C866" s="504"/>
      <c r="D866" s="504"/>
      <c r="E866" s="506"/>
      <c r="F866" s="506"/>
      <c r="G866" s="506"/>
      <c r="H866" s="506"/>
      <c r="I866" s="506"/>
      <c r="J866" s="506"/>
      <c r="K866" s="507"/>
      <c r="L866" s="508"/>
      <c r="M866" s="508"/>
      <c r="N866" s="508"/>
      <c r="O866" s="509"/>
      <c r="P866" s="509"/>
    </row>
    <row r="867" spans="1:16" ht="21.75" customHeight="1" x14ac:dyDescent="0.3">
      <c r="A867" s="504"/>
      <c r="B867" s="504"/>
      <c r="C867" s="504"/>
      <c r="D867" s="504"/>
      <c r="E867" s="506"/>
      <c r="F867" s="506"/>
      <c r="G867" s="506"/>
      <c r="H867" s="506"/>
      <c r="I867" s="506"/>
      <c r="J867" s="506"/>
      <c r="K867" s="507"/>
      <c r="L867" s="508"/>
      <c r="M867" s="508"/>
      <c r="N867" s="508"/>
      <c r="O867" s="509"/>
      <c r="P867" s="509"/>
    </row>
    <row r="868" spans="1:16" ht="21.75" customHeight="1" x14ac:dyDescent="0.3">
      <c r="A868" s="504"/>
      <c r="B868" s="504"/>
      <c r="C868" s="504"/>
      <c r="D868" s="504"/>
      <c r="E868" s="506"/>
      <c r="F868" s="506"/>
      <c r="G868" s="506"/>
      <c r="H868" s="506"/>
      <c r="I868" s="506"/>
      <c r="J868" s="506"/>
      <c r="K868" s="507"/>
      <c r="L868" s="508"/>
      <c r="M868" s="508"/>
      <c r="N868" s="508"/>
      <c r="O868" s="509"/>
      <c r="P868" s="509"/>
    </row>
    <row r="869" spans="1:16" ht="21.75" customHeight="1" x14ac:dyDescent="0.3">
      <c r="A869" s="504"/>
      <c r="B869" s="504"/>
      <c r="C869" s="504"/>
      <c r="D869" s="504"/>
      <c r="E869" s="506"/>
      <c r="F869" s="506"/>
      <c r="G869" s="506"/>
      <c r="H869" s="506"/>
      <c r="I869" s="506"/>
      <c r="J869" s="506"/>
      <c r="K869" s="507"/>
      <c r="L869" s="508"/>
      <c r="M869" s="508"/>
      <c r="N869" s="508"/>
      <c r="O869" s="509"/>
      <c r="P869" s="509"/>
    </row>
    <row r="870" spans="1:16" ht="21.75" customHeight="1" x14ac:dyDescent="0.3">
      <c r="A870" s="504"/>
      <c r="B870" s="504"/>
      <c r="C870" s="504"/>
      <c r="D870" s="504"/>
      <c r="E870" s="506"/>
      <c r="F870" s="506"/>
      <c r="G870" s="506"/>
      <c r="H870" s="506"/>
      <c r="I870" s="506"/>
      <c r="J870" s="506"/>
      <c r="K870" s="507"/>
      <c r="L870" s="508"/>
      <c r="M870" s="508"/>
      <c r="N870" s="508"/>
      <c r="O870" s="509"/>
      <c r="P870" s="509"/>
    </row>
    <row r="871" spans="1:16" ht="21.75" customHeight="1" x14ac:dyDescent="0.3">
      <c r="A871" s="504"/>
      <c r="B871" s="504"/>
      <c r="C871" s="504"/>
      <c r="D871" s="504"/>
      <c r="E871" s="506"/>
      <c r="F871" s="506"/>
      <c r="G871" s="506"/>
      <c r="H871" s="506"/>
      <c r="I871" s="506"/>
      <c r="J871" s="506"/>
      <c r="K871" s="507"/>
      <c r="L871" s="508"/>
      <c r="M871" s="508"/>
      <c r="N871" s="508"/>
      <c r="O871" s="509"/>
      <c r="P871" s="509"/>
    </row>
    <row r="872" spans="1:16" ht="21.75" customHeight="1" x14ac:dyDescent="0.3">
      <c r="A872" s="504"/>
      <c r="B872" s="504"/>
      <c r="C872" s="504"/>
      <c r="D872" s="504"/>
      <c r="E872" s="506"/>
      <c r="F872" s="506"/>
      <c r="G872" s="506"/>
      <c r="H872" s="506"/>
      <c r="I872" s="506"/>
      <c r="J872" s="506"/>
      <c r="K872" s="507"/>
      <c r="L872" s="508"/>
      <c r="M872" s="508"/>
      <c r="N872" s="508"/>
      <c r="O872" s="509"/>
      <c r="P872" s="509"/>
    </row>
    <row r="873" spans="1:16" ht="21.75" customHeight="1" x14ac:dyDescent="0.3">
      <c r="A873" s="504"/>
      <c r="B873" s="504"/>
      <c r="C873" s="504"/>
      <c r="D873" s="504"/>
      <c r="E873" s="506"/>
      <c r="F873" s="506"/>
      <c r="G873" s="506"/>
      <c r="H873" s="506"/>
      <c r="I873" s="506"/>
      <c r="J873" s="506"/>
      <c r="K873" s="507"/>
      <c r="L873" s="508"/>
      <c r="M873" s="508"/>
      <c r="N873" s="508"/>
      <c r="O873" s="509"/>
      <c r="P873" s="509"/>
    </row>
    <row r="874" spans="1:16" ht="21.75" customHeight="1" x14ac:dyDescent="0.3">
      <c r="A874" s="504"/>
      <c r="B874" s="504"/>
      <c r="C874" s="504"/>
      <c r="D874" s="504"/>
      <c r="E874" s="506"/>
      <c r="F874" s="506"/>
      <c r="G874" s="506"/>
      <c r="H874" s="506"/>
      <c r="I874" s="506"/>
      <c r="J874" s="506"/>
      <c r="K874" s="507"/>
      <c r="L874" s="508"/>
      <c r="M874" s="508"/>
      <c r="N874" s="508"/>
      <c r="O874" s="509"/>
      <c r="P874" s="509"/>
    </row>
    <row r="875" spans="1:16" ht="21.75" customHeight="1" x14ac:dyDescent="0.3">
      <c r="A875" s="504"/>
      <c r="B875" s="504"/>
      <c r="C875" s="504"/>
      <c r="D875" s="504"/>
      <c r="E875" s="506"/>
      <c r="F875" s="506"/>
      <c r="G875" s="506"/>
      <c r="H875" s="506"/>
      <c r="I875" s="506"/>
      <c r="J875" s="506"/>
      <c r="K875" s="507"/>
      <c r="L875" s="508"/>
      <c r="M875" s="508"/>
      <c r="N875" s="508"/>
      <c r="O875" s="509"/>
      <c r="P875" s="509"/>
    </row>
    <row r="876" spans="1:16" ht="21.75" customHeight="1" x14ac:dyDescent="0.3">
      <c r="A876" s="504"/>
      <c r="B876" s="504"/>
      <c r="C876" s="504"/>
      <c r="D876" s="504"/>
      <c r="E876" s="506"/>
      <c r="F876" s="506"/>
      <c r="G876" s="506"/>
      <c r="H876" s="506"/>
      <c r="I876" s="506"/>
      <c r="J876" s="506"/>
      <c r="K876" s="507"/>
      <c r="L876" s="508"/>
      <c r="M876" s="508"/>
      <c r="N876" s="508"/>
      <c r="O876" s="509"/>
      <c r="P876" s="509"/>
    </row>
    <row r="877" spans="1:16" ht="21.75" customHeight="1" x14ac:dyDescent="0.3">
      <c r="A877" s="504"/>
      <c r="B877" s="504"/>
      <c r="C877" s="504"/>
      <c r="D877" s="504"/>
      <c r="E877" s="506"/>
      <c r="F877" s="506"/>
      <c r="G877" s="506"/>
      <c r="H877" s="506"/>
      <c r="I877" s="506"/>
      <c r="J877" s="506"/>
      <c r="K877" s="507"/>
      <c r="L877" s="508"/>
      <c r="M877" s="508"/>
      <c r="N877" s="508"/>
      <c r="O877" s="509"/>
      <c r="P877" s="509"/>
    </row>
    <row r="878" spans="1:16" ht="21.75" customHeight="1" x14ac:dyDescent="0.3">
      <c r="A878" s="504"/>
      <c r="B878" s="504"/>
      <c r="C878" s="504"/>
      <c r="D878" s="504"/>
      <c r="E878" s="506"/>
      <c r="F878" s="506"/>
      <c r="G878" s="506"/>
      <c r="H878" s="506"/>
      <c r="I878" s="506"/>
      <c r="J878" s="506"/>
      <c r="K878" s="507"/>
      <c r="L878" s="508"/>
      <c r="M878" s="508"/>
      <c r="N878" s="508"/>
      <c r="O878" s="509"/>
      <c r="P878" s="509"/>
    </row>
    <row r="879" spans="1:16" ht="21.75" customHeight="1" x14ac:dyDescent="0.3">
      <c r="A879" s="504"/>
      <c r="B879" s="504"/>
      <c r="C879" s="504"/>
      <c r="D879" s="504"/>
      <c r="E879" s="506"/>
      <c r="F879" s="506"/>
      <c r="G879" s="506"/>
      <c r="H879" s="506"/>
      <c r="I879" s="506"/>
      <c r="J879" s="506"/>
      <c r="K879" s="507"/>
      <c r="L879" s="508"/>
      <c r="M879" s="508"/>
      <c r="N879" s="508"/>
      <c r="O879" s="509"/>
      <c r="P879" s="509"/>
    </row>
    <row r="880" spans="1:16" ht="21.75" customHeight="1" x14ac:dyDescent="0.3">
      <c r="A880" s="504"/>
      <c r="B880" s="504"/>
      <c r="C880" s="504"/>
      <c r="D880" s="504"/>
      <c r="E880" s="506"/>
      <c r="F880" s="506"/>
      <c r="G880" s="506"/>
      <c r="H880" s="506"/>
      <c r="I880" s="506"/>
      <c r="J880" s="506"/>
      <c r="K880" s="507"/>
      <c r="L880" s="508"/>
      <c r="M880" s="508"/>
      <c r="N880" s="508"/>
      <c r="O880" s="509"/>
      <c r="P880" s="509"/>
    </row>
    <row r="881" spans="1:16" ht="21.75" customHeight="1" x14ac:dyDescent="0.3">
      <c r="A881" s="504"/>
      <c r="B881" s="504"/>
      <c r="C881" s="504"/>
      <c r="D881" s="504"/>
      <c r="E881" s="506"/>
      <c r="F881" s="506"/>
      <c r="G881" s="506"/>
      <c r="H881" s="506"/>
      <c r="I881" s="506"/>
      <c r="J881" s="506"/>
      <c r="K881" s="507"/>
      <c r="L881" s="508"/>
      <c r="M881" s="508"/>
      <c r="N881" s="508"/>
      <c r="O881" s="509"/>
      <c r="P881" s="509"/>
    </row>
    <row r="882" spans="1:16" ht="21.75" customHeight="1" x14ac:dyDescent="0.3">
      <c r="A882" s="504"/>
      <c r="B882" s="504"/>
      <c r="C882" s="504"/>
      <c r="D882" s="504"/>
      <c r="E882" s="506"/>
      <c r="F882" s="506"/>
      <c r="G882" s="506"/>
      <c r="H882" s="506"/>
      <c r="I882" s="506"/>
      <c r="J882" s="506"/>
      <c r="K882" s="507"/>
      <c r="L882" s="508"/>
      <c r="M882" s="508"/>
      <c r="N882" s="508"/>
      <c r="O882" s="509"/>
      <c r="P882" s="509"/>
    </row>
    <row r="883" spans="1:16" ht="21.75" customHeight="1" x14ac:dyDescent="0.3">
      <c r="A883" s="504"/>
      <c r="B883" s="504"/>
      <c r="C883" s="504"/>
      <c r="D883" s="504"/>
      <c r="E883" s="506"/>
      <c r="F883" s="506"/>
      <c r="G883" s="506"/>
      <c r="H883" s="506"/>
      <c r="I883" s="506"/>
      <c r="J883" s="506"/>
      <c r="K883" s="507"/>
      <c r="L883" s="508"/>
      <c r="M883" s="508"/>
      <c r="N883" s="508"/>
      <c r="O883" s="509"/>
      <c r="P883" s="509"/>
    </row>
    <row r="884" spans="1:16" ht="21.75" customHeight="1" x14ac:dyDescent="0.3">
      <c r="A884" s="504"/>
      <c r="B884" s="504"/>
      <c r="C884" s="504"/>
      <c r="D884" s="504"/>
      <c r="E884" s="506"/>
      <c r="F884" s="506"/>
      <c r="G884" s="506"/>
      <c r="H884" s="506"/>
      <c r="I884" s="506"/>
      <c r="J884" s="506"/>
      <c r="K884" s="507"/>
      <c r="L884" s="508"/>
      <c r="M884" s="508"/>
      <c r="N884" s="508"/>
      <c r="O884" s="509"/>
      <c r="P884" s="509"/>
    </row>
    <row r="885" spans="1:16" ht="21.75" customHeight="1" x14ac:dyDescent="0.3">
      <c r="A885" s="504"/>
      <c r="B885" s="504"/>
      <c r="C885" s="504"/>
      <c r="D885" s="504"/>
      <c r="E885" s="506"/>
      <c r="F885" s="506"/>
      <c r="G885" s="506"/>
      <c r="H885" s="506"/>
      <c r="I885" s="506"/>
      <c r="J885" s="506"/>
      <c r="K885" s="507"/>
      <c r="L885" s="508"/>
      <c r="M885" s="508"/>
      <c r="N885" s="508"/>
      <c r="O885" s="509"/>
      <c r="P885" s="509"/>
    </row>
    <row r="886" spans="1:16" ht="21.75" customHeight="1" x14ac:dyDescent="0.3">
      <c r="A886" s="504"/>
      <c r="B886" s="504"/>
      <c r="C886" s="504"/>
      <c r="D886" s="504"/>
      <c r="E886" s="506"/>
      <c r="F886" s="506"/>
      <c r="G886" s="506"/>
      <c r="H886" s="506"/>
      <c r="I886" s="506"/>
      <c r="J886" s="506"/>
      <c r="K886" s="507"/>
      <c r="L886" s="508"/>
      <c r="M886" s="508"/>
      <c r="N886" s="508"/>
      <c r="O886" s="509"/>
      <c r="P886" s="509"/>
    </row>
    <row r="887" spans="1:16" ht="21.75" customHeight="1" x14ac:dyDescent="0.3">
      <c r="A887" s="504"/>
      <c r="B887" s="504"/>
      <c r="C887" s="504"/>
      <c r="D887" s="504"/>
      <c r="E887" s="506"/>
      <c r="F887" s="506"/>
      <c r="G887" s="506"/>
      <c r="H887" s="506"/>
      <c r="I887" s="506"/>
      <c r="J887" s="506"/>
      <c r="K887" s="507"/>
      <c r="L887" s="508"/>
      <c r="M887" s="508"/>
      <c r="N887" s="508"/>
      <c r="O887" s="509"/>
      <c r="P887" s="509"/>
    </row>
    <row r="888" spans="1:16" ht="21.75" customHeight="1" x14ac:dyDescent="0.3">
      <c r="A888" s="504"/>
      <c r="B888" s="504"/>
      <c r="C888" s="504"/>
      <c r="D888" s="504"/>
      <c r="E888" s="506"/>
      <c r="F888" s="506"/>
      <c r="G888" s="506"/>
      <c r="H888" s="506"/>
      <c r="I888" s="506"/>
      <c r="J888" s="506"/>
      <c r="K888" s="507"/>
      <c r="L888" s="508"/>
      <c r="M888" s="508"/>
      <c r="N888" s="508"/>
      <c r="O888" s="509"/>
      <c r="P888" s="509"/>
    </row>
    <row r="889" spans="1:16" ht="21.75" customHeight="1" x14ac:dyDescent="0.3">
      <c r="A889" s="504"/>
      <c r="B889" s="504"/>
      <c r="C889" s="504"/>
      <c r="D889" s="504"/>
      <c r="E889" s="506"/>
      <c r="F889" s="506"/>
      <c r="G889" s="506"/>
      <c r="H889" s="506"/>
      <c r="I889" s="506"/>
      <c r="J889" s="506"/>
      <c r="K889" s="507"/>
      <c r="L889" s="508"/>
      <c r="M889" s="508"/>
      <c r="N889" s="508"/>
      <c r="O889" s="509"/>
      <c r="P889" s="509"/>
    </row>
    <row r="890" spans="1:16" ht="21.75" customHeight="1" x14ac:dyDescent="0.3">
      <c r="A890" s="504"/>
      <c r="B890" s="504"/>
      <c r="C890" s="504"/>
      <c r="D890" s="504"/>
      <c r="E890" s="506"/>
      <c r="F890" s="506"/>
      <c r="G890" s="506"/>
      <c r="H890" s="506"/>
      <c r="I890" s="506"/>
      <c r="J890" s="506"/>
      <c r="K890" s="507"/>
      <c r="L890" s="508"/>
      <c r="M890" s="508"/>
      <c r="N890" s="508"/>
      <c r="O890" s="509"/>
      <c r="P890" s="509"/>
    </row>
    <row r="891" spans="1:16" ht="21.75" customHeight="1" x14ac:dyDescent="0.3">
      <c r="A891" s="504"/>
      <c r="B891" s="504"/>
      <c r="C891" s="504"/>
      <c r="D891" s="504"/>
      <c r="E891" s="506"/>
      <c r="F891" s="506"/>
      <c r="G891" s="506"/>
      <c r="H891" s="506"/>
      <c r="I891" s="506"/>
      <c r="J891" s="506"/>
      <c r="K891" s="507"/>
      <c r="L891" s="508"/>
      <c r="M891" s="508"/>
      <c r="N891" s="508"/>
      <c r="O891" s="509"/>
      <c r="P891" s="509"/>
    </row>
    <row r="892" spans="1:16" ht="21.75" customHeight="1" x14ac:dyDescent="0.3">
      <c r="A892" s="504"/>
      <c r="B892" s="504"/>
      <c r="C892" s="504"/>
      <c r="D892" s="504"/>
      <c r="E892" s="506"/>
      <c r="F892" s="506"/>
      <c r="G892" s="506"/>
      <c r="H892" s="506"/>
      <c r="I892" s="506"/>
      <c r="J892" s="506"/>
      <c r="K892" s="507"/>
      <c r="L892" s="508"/>
      <c r="M892" s="508"/>
      <c r="N892" s="508"/>
      <c r="O892" s="509"/>
      <c r="P892" s="509"/>
    </row>
    <row r="893" spans="1:16" ht="21.75" customHeight="1" x14ac:dyDescent="0.3">
      <c r="A893" s="504"/>
      <c r="B893" s="504"/>
      <c r="C893" s="504"/>
      <c r="D893" s="504"/>
      <c r="E893" s="506"/>
      <c r="F893" s="506"/>
      <c r="G893" s="506"/>
      <c r="H893" s="506"/>
      <c r="I893" s="506"/>
      <c r="J893" s="506"/>
      <c r="K893" s="507"/>
      <c r="L893" s="508"/>
      <c r="M893" s="508"/>
      <c r="N893" s="508"/>
      <c r="O893" s="509"/>
      <c r="P893" s="509"/>
    </row>
    <row r="894" spans="1:16" ht="21.75" customHeight="1" x14ac:dyDescent="0.3">
      <c r="A894" s="504"/>
      <c r="B894" s="504"/>
      <c r="C894" s="504"/>
      <c r="D894" s="504"/>
      <c r="E894" s="506"/>
      <c r="F894" s="506"/>
      <c r="G894" s="506"/>
      <c r="H894" s="506"/>
      <c r="I894" s="506"/>
      <c r="J894" s="506"/>
      <c r="K894" s="507"/>
      <c r="L894" s="508"/>
      <c r="M894" s="508"/>
      <c r="N894" s="508"/>
      <c r="O894" s="509"/>
      <c r="P894" s="509"/>
    </row>
    <row r="895" spans="1:16" ht="21.75" customHeight="1" x14ac:dyDescent="0.3">
      <c r="A895" s="504"/>
      <c r="B895" s="504"/>
      <c r="C895" s="504"/>
      <c r="D895" s="504"/>
      <c r="E895" s="506"/>
      <c r="F895" s="506"/>
      <c r="G895" s="506"/>
      <c r="H895" s="506"/>
      <c r="I895" s="506"/>
      <c r="J895" s="506"/>
      <c r="K895" s="507"/>
      <c r="L895" s="508"/>
      <c r="M895" s="508"/>
      <c r="N895" s="508"/>
      <c r="O895" s="509"/>
      <c r="P895" s="509"/>
    </row>
    <row r="896" spans="1:16" ht="21.75" customHeight="1" x14ac:dyDescent="0.3">
      <c r="A896" s="504"/>
      <c r="B896" s="504"/>
      <c r="C896" s="504"/>
      <c r="D896" s="504"/>
      <c r="E896" s="506"/>
      <c r="F896" s="506"/>
      <c r="G896" s="506"/>
      <c r="H896" s="506"/>
      <c r="I896" s="506"/>
      <c r="J896" s="506"/>
      <c r="K896" s="507"/>
      <c r="L896" s="508"/>
      <c r="M896" s="508"/>
      <c r="N896" s="508"/>
      <c r="O896" s="509"/>
      <c r="P896" s="509"/>
    </row>
    <row r="897" spans="1:16" ht="21.75" customHeight="1" x14ac:dyDescent="0.3">
      <c r="A897" s="504"/>
      <c r="B897" s="504"/>
      <c r="C897" s="504"/>
      <c r="D897" s="504"/>
      <c r="E897" s="506"/>
      <c r="F897" s="506"/>
      <c r="G897" s="506"/>
      <c r="H897" s="506"/>
      <c r="I897" s="506"/>
      <c r="J897" s="506"/>
      <c r="K897" s="507"/>
      <c r="L897" s="508"/>
      <c r="M897" s="508"/>
      <c r="N897" s="508"/>
      <c r="O897" s="509"/>
      <c r="P897" s="509"/>
    </row>
    <row r="898" spans="1:16" ht="21.75" customHeight="1" x14ac:dyDescent="0.3">
      <c r="A898" s="504"/>
      <c r="B898" s="504"/>
      <c r="C898" s="504"/>
      <c r="D898" s="504"/>
      <c r="E898" s="506"/>
      <c r="F898" s="506"/>
      <c r="G898" s="506"/>
      <c r="H898" s="506"/>
      <c r="I898" s="506"/>
      <c r="J898" s="506"/>
      <c r="K898" s="507"/>
      <c r="L898" s="508"/>
      <c r="M898" s="508"/>
      <c r="N898" s="508"/>
      <c r="O898" s="509"/>
      <c r="P898" s="509"/>
    </row>
    <row r="899" spans="1:16" ht="21.75" customHeight="1" x14ac:dyDescent="0.3">
      <c r="A899" s="504"/>
      <c r="B899" s="504"/>
      <c r="C899" s="504"/>
      <c r="D899" s="504"/>
      <c r="E899" s="506"/>
      <c r="F899" s="506"/>
      <c r="G899" s="506"/>
      <c r="H899" s="506"/>
      <c r="I899" s="506"/>
      <c r="J899" s="506"/>
      <c r="K899" s="507"/>
      <c r="L899" s="508"/>
      <c r="M899" s="508"/>
      <c r="N899" s="508"/>
      <c r="O899" s="509"/>
      <c r="P899" s="509"/>
    </row>
    <row r="900" spans="1:16" ht="21.75" customHeight="1" x14ac:dyDescent="0.3">
      <c r="A900" s="504"/>
      <c r="B900" s="504"/>
      <c r="C900" s="504"/>
      <c r="D900" s="504"/>
      <c r="E900" s="506"/>
      <c r="F900" s="506"/>
      <c r="G900" s="506"/>
      <c r="H900" s="506"/>
      <c r="I900" s="506"/>
      <c r="J900" s="506"/>
      <c r="K900" s="507"/>
      <c r="L900" s="508"/>
      <c r="M900" s="508"/>
      <c r="N900" s="508"/>
      <c r="O900" s="509"/>
      <c r="P900" s="509"/>
    </row>
    <row r="901" spans="1:16" ht="21.75" customHeight="1" x14ac:dyDescent="0.3">
      <c r="A901" s="504"/>
      <c r="B901" s="504"/>
      <c r="C901" s="504"/>
      <c r="D901" s="504"/>
      <c r="E901" s="506"/>
      <c r="F901" s="506"/>
      <c r="G901" s="506"/>
      <c r="H901" s="506"/>
      <c r="I901" s="506"/>
      <c r="J901" s="506"/>
      <c r="K901" s="507"/>
      <c r="L901" s="508"/>
      <c r="M901" s="508"/>
      <c r="N901" s="508"/>
      <c r="O901" s="509"/>
      <c r="P901" s="509"/>
    </row>
    <row r="902" spans="1:16" ht="21.75" customHeight="1" x14ac:dyDescent="0.3">
      <c r="A902" s="504"/>
      <c r="B902" s="504"/>
      <c r="C902" s="504"/>
      <c r="D902" s="504"/>
      <c r="E902" s="506"/>
      <c r="F902" s="506"/>
      <c r="G902" s="506"/>
      <c r="H902" s="506"/>
      <c r="I902" s="506"/>
      <c r="J902" s="506"/>
      <c r="K902" s="507"/>
      <c r="L902" s="508"/>
      <c r="M902" s="508"/>
      <c r="N902" s="508"/>
      <c r="O902" s="509"/>
      <c r="P902" s="509"/>
    </row>
    <row r="903" spans="1:16" ht="21.75" customHeight="1" x14ac:dyDescent="0.3">
      <c r="A903" s="504"/>
      <c r="B903" s="504"/>
      <c r="C903" s="504"/>
      <c r="D903" s="504"/>
      <c r="E903" s="506"/>
      <c r="F903" s="506"/>
      <c r="G903" s="506"/>
      <c r="H903" s="506"/>
      <c r="I903" s="506"/>
      <c r="J903" s="506"/>
      <c r="K903" s="507"/>
      <c r="L903" s="508"/>
      <c r="M903" s="508"/>
      <c r="N903" s="508"/>
      <c r="O903" s="509"/>
      <c r="P903" s="509"/>
    </row>
    <row r="904" spans="1:16" ht="21.75" customHeight="1" x14ac:dyDescent="0.3">
      <c r="A904" s="504"/>
      <c r="B904" s="504"/>
      <c r="C904" s="504"/>
      <c r="D904" s="504"/>
      <c r="E904" s="506"/>
      <c r="F904" s="506"/>
      <c r="G904" s="506"/>
      <c r="H904" s="506"/>
      <c r="I904" s="506"/>
      <c r="J904" s="506"/>
      <c r="K904" s="507"/>
      <c r="L904" s="508"/>
      <c r="M904" s="508"/>
      <c r="N904" s="508"/>
      <c r="O904" s="509"/>
      <c r="P904" s="509"/>
    </row>
    <row r="905" spans="1:16" ht="21.75" customHeight="1" x14ac:dyDescent="0.3">
      <c r="A905" s="504"/>
      <c r="B905" s="504"/>
      <c r="C905" s="504"/>
      <c r="D905" s="504"/>
      <c r="E905" s="506"/>
      <c r="F905" s="506"/>
      <c r="G905" s="506"/>
      <c r="H905" s="506"/>
      <c r="I905" s="506"/>
      <c r="J905" s="506"/>
      <c r="K905" s="507"/>
      <c r="L905" s="508"/>
      <c r="M905" s="508"/>
      <c r="N905" s="508"/>
      <c r="O905" s="509"/>
      <c r="P905" s="509"/>
    </row>
    <row r="906" spans="1:16" ht="21.75" customHeight="1" x14ac:dyDescent="0.3">
      <c r="A906" s="504"/>
      <c r="B906" s="504"/>
      <c r="C906" s="504"/>
      <c r="D906" s="504"/>
      <c r="E906" s="506"/>
      <c r="F906" s="506"/>
      <c r="G906" s="506"/>
      <c r="H906" s="506"/>
      <c r="I906" s="506"/>
      <c r="J906" s="506"/>
      <c r="K906" s="507"/>
      <c r="L906" s="508"/>
      <c r="M906" s="508"/>
      <c r="N906" s="508"/>
      <c r="O906" s="509"/>
      <c r="P906" s="509"/>
    </row>
    <row r="907" spans="1:16" ht="21.75" customHeight="1" x14ac:dyDescent="0.3">
      <c r="A907" s="504"/>
      <c r="B907" s="504"/>
      <c r="C907" s="504"/>
      <c r="D907" s="504"/>
      <c r="E907" s="506"/>
      <c r="F907" s="506"/>
      <c r="G907" s="506"/>
      <c r="H907" s="506"/>
      <c r="I907" s="506"/>
      <c r="J907" s="506"/>
      <c r="K907" s="507"/>
      <c r="L907" s="508"/>
      <c r="M907" s="508"/>
      <c r="N907" s="508"/>
      <c r="O907" s="509"/>
      <c r="P907" s="509"/>
    </row>
    <row r="908" spans="1:16" ht="21.75" customHeight="1" x14ac:dyDescent="0.3">
      <c r="A908" s="504"/>
      <c r="B908" s="504"/>
      <c r="C908" s="504"/>
      <c r="D908" s="504"/>
      <c r="E908" s="506"/>
      <c r="F908" s="506"/>
      <c r="G908" s="506"/>
      <c r="H908" s="506"/>
      <c r="I908" s="506"/>
      <c r="J908" s="506"/>
      <c r="K908" s="507"/>
      <c r="L908" s="508"/>
      <c r="M908" s="508"/>
      <c r="N908" s="508"/>
      <c r="O908" s="509"/>
      <c r="P908" s="509"/>
    </row>
    <row r="909" spans="1:16" ht="21.75" customHeight="1" x14ac:dyDescent="0.3">
      <c r="A909" s="504"/>
      <c r="B909" s="504"/>
      <c r="C909" s="504"/>
      <c r="D909" s="504"/>
      <c r="E909" s="506"/>
      <c r="F909" s="506"/>
      <c r="G909" s="506"/>
      <c r="H909" s="506"/>
      <c r="I909" s="506"/>
      <c r="J909" s="506"/>
      <c r="K909" s="507"/>
      <c r="L909" s="508"/>
      <c r="M909" s="508"/>
      <c r="N909" s="508"/>
      <c r="O909" s="509"/>
      <c r="P909" s="509"/>
    </row>
    <row r="910" spans="1:16" ht="21.75" customHeight="1" x14ac:dyDescent="0.3">
      <c r="A910" s="504"/>
      <c r="B910" s="504"/>
      <c r="C910" s="504"/>
      <c r="D910" s="504"/>
      <c r="E910" s="506"/>
      <c r="F910" s="506"/>
      <c r="G910" s="506"/>
      <c r="H910" s="506"/>
      <c r="I910" s="506"/>
      <c r="J910" s="506"/>
      <c r="K910" s="507"/>
      <c r="L910" s="508"/>
      <c r="M910" s="508"/>
      <c r="N910" s="508"/>
      <c r="O910" s="509"/>
      <c r="P910" s="509"/>
    </row>
    <row r="911" spans="1:16" ht="21.75" customHeight="1" x14ac:dyDescent="0.3">
      <c r="A911" s="504"/>
      <c r="B911" s="504"/>
      <c r="C911" s="504"/>
      <c r="D911" s="504"/>
      <c r="E911" s="506"/>
      <c r="F911" s="506"/>
      <c r="G911" s="506"/>
      <c r="H911" s="506"/>
      <c r="I911" s="506"/>
      <c r="J911" s="506"/>
      <c r="K911" s="507"/>
      <c r="L911" s="508"/>
      <c r="M911" s="508"/>
      <c r="N911" s="508"/>
      <c r="O911" s="509"/>
      <c r="P911" s="509"/>
    </row>
    <row r="912" spans="1:16" ht="21.75" customHeight="1" x14ac:dyDescent="0.3">
      <c r="A912" s="504"/>
      <c r="B912" s="504"/>
      <c r="C912" s="504"/>
      <c r="D912" s="504"/>
      <c r="E912" s="506"/>
      <c r="F912" s="506"/>
      <c r="G912" s="506"/>
      <c r="H912" s="506"/>
      <c r="I912" s="506"/>
      <c r="J912" s="506"/>
      <c r="K912" s="507"/>
      <c r="L912" s="508"/>
      <c r="M912" s="508"/>
      <c r="N912" s="508"/>
      <c r="O912" s="509"/>
      <c r="P912" s="509"/>
    </row>
    <row r="913" spans="1:16" ht="21.75" customHeight="1" x14ac:dyDescent="0.3">
      <c r="A913" s="504"/>
      <c r="B913" s="504"/>
      <c r="C913" s="504"/>
      <c r="D913" s="504"/>
      <c r="E913" s="506"/>
      <c r="F913" s="506"/>
      <c r="G913" s="506"/>
      <c r="H913" s="506"/>
      <c r="I913" s="506"/>
      <c r="J913" s="506"/>
      <c r="K913" s="507"/>
      <c r="L913" s="508"/>
      <c r="M913" s="508"/>
      <c r="N913" s="508"/>
      <c r="O913" s="509"/>
      <c r="P913" s="509"/>
    </row>
    <row r="914" spans="1:16" ht="21.75" customHeight="1" x14ac:dyDescent="0.3">
      <c r="A914" s="504"/>
      <c r="B914" s="504"/>
      <c r="C914" s="504"/>
      <c r="D914" s="504"/>
      <c r="E914" s="506"/>
      <c r="F914" s="506"/>
      <c r="G914" s="506"/>
      <c r="H914" s="506"/>
      <c r="I914" s="506"/>
      <c r="J914" s="506"/>
      <c r="K914" s="507"/>
      <c r="L914" s="508"/>
      <c r="M914" s="508"/>
      <c r="N914" s="508"/>
      <c r="O914" s="509"/>
      <c r="P914" s="509"/>
    </row>
    <row r="915" spans="1:16" ht="21.75" customHeight="1" x14ac:dyDescent="0.3">
      <c r="A915" s="504"/>
      <c r="B915" s="504"/>
      <c r="C915" s="504"/>
      <c r="D915" s="504"/>
      <c r="E915" s="506"/>
      <c r="F915" s="506"/>
      <c r="G915" s="506"/>
      <c r="H915" s="506"/>
      <c r="I915" s="506"/>
      <c r="J915" s="506"/>
      <c r="K915" s="507"/>
      <c r="L915" s="508"/>
      <c r="M915" s="508"/>
      <c r="N915" s="508"/>
      <c r="O915" s="509"/>
      <c r="P915" s="509"/>
    </row>
    <row r="916" spans="1:16" ht="21.75" customHeight="1" x14ac:dyDescent="0.3">
      <c r="A916" s="504"/>
      <c r="B916" s="504"/>
      <c r="C916" s="504"/>
      <c r="D916" s="504"/>
      <c r="E916" s="506"/>
      <c r="F916" s="506"/>
      <c r="G916" s="506"/>
      <c r="H916" s="506"/>
      <c r="I916" s="506"/>
      <c r="J916" s="506"/>
      <c r="K916" s="507"/>
      <c r="L916" s="508"/>
      <c r="M916" s="508"/>
      <c r="N916" s="508"/>
      <c r="O916" s="509"/>
      <c r="P916" s="509"/>
    </row>
    <row r="917" spans="1:16" ht="21.75" customHeight="1" x14ac:dyDescent="0.3">
      <c r="A917" s="504"/>
      <c r="B917" s="504"/>
      <c r="C917" s="504"/>
      <c r="D917" s="504"/>
      <c r="E917" s="506"/>
      <c r="F917" s="506"/>
      <c r="G917" s="506"/>
      <c r="H917" s="506"/>
      <c r="I917" s="506"/>
      <c r="J917" s="506"/>
      <c r="K917" s="507"/>
      <c r="L917" s="508"/>
      <c r="M917" s="508"/>
      <c r="N917" s="508"/>
      <c r="O917" s="509"/>
      <c r="P917" s="509"/>
    </row>
    <row r="918" spans="1:16" ht="21.75" customHeight="1" x14ac:dyDescent="0.3">
      <c r="A918" s="504"/>
      <c r="B918" s="504"/>
      <c r="C918" s="504"/>
      <c r="D918" s="504"/>
      <c r="E918" s="506"/>
      <c r="F918" s="506"/>
      <c r="G918" s="506"/>
      <c r="H918" s="506"/>
      <c r="I918" s="506"/>
      <c r="J918" s="506"/>
      <c r="K918" s="507"/>
      <c r="L918" s="508"/>
      <c r="M918" s="508"/>
      <c r="N918" s="508"/>
      <c r="O918" s="509"/>
      <c r="P918" s="509"/>
    </row>
    <row r="919" spans="1:16" ht="21.75" customHeight="1" x14ac:dyDescent="0.3">
      <c r="A919" s="504"/>
      <c r="B919" s="504"/>
      <c r="C919" s="504"/>
      <c r="D919" s="504"/>
      <c r="E919" s="506"/>
      <c r="F919" s="506"/>
      <c r="G919" s="506"/>
      <c r="H919" s="506"/>
      <c r="I919" s="506"/>
      <c r="J919" s="506"/>
      <c r="K919" s="507"/>
      <c r="L919" s="508"/>
      <c r="M919" s="508"/>
      <c r="N919" s="508"/>
      <c r="O919" s="509"/>
      <c r="P919" s="509"/>
    </row>
    <row r="920" spans="1:16" ht="21.75" customHeight="1" x14ac:dyDescent="0.3">
      <c r="A920" s="504"/>
      <c r="B920" s="504"/>
      <c r="C920" s="504"/>
      <c r="D920" s="504"/>
      <c r="E920" s="506"/>
      <c r="F920" s="506"/>
      <c r="G920" s="506"/>
      <c r="H920" s="506"/>
      <c r="I920" s="506"/>
      <c r="J920" s="506"/>
      <c r="K920" s="507"/>
      <c r="L920" s="508"/>
      <c r="M920" s="508"/>
      <c r="N920" s="508"/>
      <c r="O920" s="509"/>
      <c r="P920" s="509"/>
    </row>
    <row r="921" spans="1:16" ht="21.75" customHeight="1" x14ac:dyDescent="0.3">
      <c r="A921" s="504"/>
      <c r="B921" s="504"/>
      <c r="C921" s="504"/>
      <c r="D921" s="504"/>
      <c r="E921" s="506"/>
      <c r="F921" s="506"/>
      <c r="G921" s="506"/>
      <c r="H921" s="506"/>
      <c r="I921" s="506"/>
      <c r="J921" s="506"/>
      <c r="K921" s="507"/>
      <c r="L921" s="508"/>
      <c r="M921" s="508"/>
      <c r="N921" s="508"/>
      <c r="O921" s="509"/>
      <c r="P921" s="509"/>
    </row>
    <row r="922" spans="1:16" ht="21.75" customHeight="1" x14ac:dyDescent="0.3">
      <c r="A922" s="504"/>
      <c r="B922" s="504"/>
      <c r="C922" s="504"/>
      <c r="D922" s="504"/>
      <c r="E922" s="506"/>
      <c r="F922" s="506"/>
      <c r="G922" s="506"/>
      <c r="H922" s="506"/>
      <c r="I922" s="506"/>
      <c r="J922" s="506"/>
      <c r="K922" s="507"/>
      <c r="L922" s="508"/>
      <c r="M922" s="508"/>
      <c r="N922" s="508"/>
      <c r="O922" s="509"/>
      <c r="P922" s="509"/>
    </row>
    <row r="923" spans="1:16" ht="21.75" customHeight="1" x14ac:dyDescent="0.3">
      <c r="A923" s="504"/>
      <c r="B923" s="504"/>
      <c r="C923" s="504"/>
      <c r="D923" s="504"/>
      <c r="E923" s="506"/>
      <c r="F923" s="506"/>
      <c r="G923" s="506"/>
      <c r="H923" s="506"/>
      <c r="I923" s="506"/>
      <c r="J923" s="506"/>
      <c r="K923" s="507"/>
      <c r="L923" s="508"/>
      <c r="M923" s="508"/>
      <c r="N923" s="508"/>
      <c r="O923" s="509"/>
      <c r="P923" s="509"/>
    </row>
    <row r="924" spans="1:16" ht="21.75" customHeight="1" x14ac:dyDescent="0.3">
      <c r="A924" s="504"/>
      <c r="B924" s="504"/>
      <c r="C924" s="504"/>
      <c r="D924" s="504"/>
      <c r="E924" s="506"/>
      <c r="F924" s="506"/>
      <c r="G924" s="506"/>
      <c r="H924" s="506"/>
      <c r="I924" s="506"/>
      <c r="J924" s="506"/>
      <c r="K924" s="507"/>
      <c r="L924" s="508"/>
      <c r="M924" s="508"/>
      <c r="N924" s="508"/>
      <c r="O924" s="509"/>
      <c r="P924" s="509"/>
    </row>
    <row r="925" spans="1:16" ht="21.75" customHeight="1" x14ac:dyDescent="0.3">
      <c r="A925" s="504"/>
      <c r="B925" s="504"/>
      <c r="C925" s="504"/>
      <c r="D925" s="504"/>
      <c r="E925" s="506"/>
      <c r="F925" s="506"/>
      <c r="G925" s="506"/>
      <c r="H925" s="506"/>
      <c r="I925" s="506"/>
      <c r="J925" s="506"/>
      <c r="K925" s="507"/>
      <c r="L925" s="508"/>
      <c r="M925" s="508"/>
      <c r="N925" s="508"/>
      <c r="O925" s="509"/>
      <c r="P925" s="509"/>
    </row>
    <row r="926" spans="1:16" ht="21.75" customHeight="1" x14ac:dyDescent="0.3">
      <c r="A926" s="504"/>
      <c r="B926" s="504"/>
      <c r="C926" s="504"/>
      <c r="D926" s="504"/>
      <c r="E926" s="506"/>
      <c r="F926" s="506"/>
      <c r="G926" s="506"/>
      <c r="H926" s="506"/>
      <c r="I926" s="506"/>
      <c r="J926" s="506"/>
      <c r="K926" s="507"/>
      <c r="L926" s="508"/>
      <c r="M926" s="508"/>
      <c r="N926" s="508"/>
      <c r="O926" s="509"/>
      <c r="P926" s="509"/>
    </row>
    <row r="927" spans="1:16" ht="21.75" customHeight="1" x14ac:dyDescent="0.3">
      <c r="A927" s="504"/>
      <c r="B927" s="504"/>
      <c r="C927" s="504"/>
      <c r="D927" s="504"/>
      <c r="E927" s="506"/>
      <c r="F927" s="506"/>
      <c r="G927" s="506"/>
      <c r="H927" s="506"/>
      <c r="I927" s="506"/>
      <c r="J927" s="506"/>
      <c r="K927" s="507"/>
      <c r="L927" s="508"/>
      <c r="M927" s="508"/>
      <c r="N927" s="508"/>
      <c r="O927" s="509"/>
      <c r="P927" s="509"/>
    </row>
    <row r="928" spans="1:16" ht="21.75" customHeight="1" x14ac:dyDescent="0.3">
      <c r="A928" s="504"/>
      <c r="B928" s="504"/>
      <c r="C928" s="504"/>
      <c r="D928" s="504"/>
      <c r="E928" s="506"/>
      <c r="F928" s="506"/>
      <c r="G928" s="506"/>
      <c r="H928" s="506"/>
      <c r="I928" s="506"/>
      <c r="J928" s="506"/>
      <c r="K928" s="507"/>
      <c r="L928" s="508"/>
      <c r="M928" s="508"/>
      <c r="N928" s="508"/>
      <c r="O928" s="509"/>
      <c r="P928" s="509"/>
    </row>
    <row r="929" spans="1:16" ht="21.75" customHeight="1" x14ac:dyDescent="0.3">
      <c r="A929" s="504"/>
      <c r="B929" s="504"/>
      <c r="C929" s="504"/>
      <c r="D929" s="504"/>
      <c r="E929" s="506"/>
      <c r="F929" s="506"/>
      <c r="G929" s="506"/>
      <c r="H929" s="506"/>
      <c r="I929" s="506"/>
      <c r="J929" s="506"/>
      <c r="K929" s="507"/>
      <c r="L929" s="508"/>
      <c r="M929" s="508"/>
      <c r="N929" s="508"/>
      <c r="O929" s="509"/>
      <c r="P929" s="509"/>
    </row>
    <row r="930" spans="1:16" ht="21.75" customHeight="1" x14ac:dyDescent="0.3">
      <c r="A930" s="504"/>
      <c r="B930" s="504"/>
      <c r="C930" s="504"/>
      <c r="D930" s="504"/>
      <c r="E930" s="506"/>
      <c r="F930" s="506"/>
      <c r="G930" s="506"/>
      <c r="H930" s="506"/>
      <c r="I930" s="506"/>
      <c r="J930" s="506"/>
      <c r="K930" s="507"/>
      <c r="L930" s="508"/>
      <c r="M930" s="508"/>
      <c r="N930" s="508"/>
      <c r="O930" s="509"/>
      <c r="P930" s="509"/>
    </row>
    <row r="931" spans="1:16" ht="21.75" customHeight="1" x14ac:dyDescent="0.3">
      <c r="A931" s="504"/>
      <c r="B931" s="504"/>
      <c r="C931" s="504"/>
      <c r="D931" s="504"/>
      <c r="E931" s="506"/>
      <c r="F931" s="506"/>
      <c r="G931" s="506"/>
      <c r="H931" s="506"/>
      <c r="I931" s="506"/>
      <c r="J931" s="506"/>
      <c r="K931" s="507"/>
      <c r="L931" s="508"/>
      <c r="M931" s="508"/>
      <c r="N931" s="508"/>
      <c r="O931" s="509"/>
      <c r="P931" s="509"/>
    </row>
    <row r="932" spans="1:16" ht="21.75" customHeight="1" x14ac:dyDescent="0.3">
      <c r="A932" s="504"/>
      <c r="B932" s="504"/>
      <c r="C932" s="504"/>
      <c r="D932" s="504"/>
      <c r="E932" s="506"/>
      <c r="F932" s="506"/>
      <c r="G932" s="506"/>
      <c r="H932" s="506"/>
      <c r="I932" s="506"/>
      <c r="J932" s="506"/>
      <c r="K932" s="507"/>
      <c r="L932" s="508"/>
      <c r="M932" s="508"/>
      <c r="N932" s="508"/>
      <c r="O932" s="509"/>
      <c r="P932" s="509"/>
    </row>
    <row r="933" spans="1:16" ht="21.75" customHeight="1" x14ac:dyDescent="0.3">
      <c r="A933" s="504"/>
      <c r="B933" s="504"/>
      <c r="C933" s="504"/>
      <c r="D933" s="504"/>
      <c r="E933" s="506"/>
      <c r="F933" s="506"/>
      <c r="G933" s="506"/>
      <c r="H933" s="506"/>
      <c r="I933" s="506"/>
      <c r="J933" s="506"/>
      <c r="K933" s="507"/>
      <c r="L933" s="508"/>
      <c r="M933" s="508"/>
      <c r="N933" s="508"/>
      <c r="O933" s="509"/>
      <c r="P933" s="509"/>
    </row>
    <row r="934" spans="1:16" ht="21.75" customHeight="1" x14ac:dyDescent="0.3">
      <c r="A934" s="504"/>
      <c r="B934" s="504"/>
      <c r="C934" s="504"/>
      <c r="D934" s="504"/>
      <c r="E934" s="506"/>
      <c r="F934" s="506"/>
      <c r="G934" s="506"/>
      <c r="H934" s="506"/>
      <c r="I934" s="506"/>
      <c r="J934" s="506"/>
      <c r="K934" s="507"/>
      <c r="L934" s="508"/>
      <c r="M934" s="508"/>
      <c r="N934" s="508"/>
      <c r="O934" s="509"/>
      <c r="P934" s="509"/>
    </row>
    <row r="935" spans="1:16" ht="21.75" customHeight="1" x14ac:dyDescent="0.3">
      <c r="A935" s="504"/>
      <c r="B935" s="504"/>
      <c r="C935" s="504"/>
      <c r="D935" s="504"/>
      <c r="E935" s="506"/>
      <c r="F935" s="506"/>
      <c r="G935" s="506"/>
      <c r="H935" s="506"/>
      <c r="I935" s="506"/>
      <c r="J935" s="506"/>
      <c r="K935" s="507"/>
      <c r="L935" s="508"/>
      <c r="M935" s="508"/>
      <c r="N935" s="508"/>
      <c r="O935" s="509"/>
      <c r="P935" s="509"/>
    </row>
    <row r="936" spans="1:16" ht="21.75" customHeight="1" x14ac:dyDescent="0.3">
      <c r="A936" s="504"/>
      <c r="B936" s="504"/>
      <c r="C936" s="504"/>
      <c r="D936" s="504"/>
      <c r="E936" s="506"/>
      <c r="F936" s="506"/>
      <c r="G936" s="506"/>
      <c r="H936" s="506"/>
      <c r="I936" s="506"/>
      <c r="J936" s="506"/>
      <c r="K936" s="507"/>
      <c r="L936" s="508"/>
      <c r="M936" s="508"/>
      <c r="N936" s="508"/>
      <c r="O936" s="509"/>
      <c r="P936" s="509"/>
    </row>
    <row r="937" spans="1:16" ht="21.75" customHeight="1" x14ac:dyDescent="0.3">
      <c r="A937" s="504"/>
      <c r="B937" s="504"/>
      <c r="C937" s="504"/>
      <c r="D937" s="504"/>
      <c r="E937" s="506"/>
      <c r="F937" s="506"/>
      <c r="G937" s="506"/>
      <c r="H937" s="506"/>
      <c r="I937" s="506"/>
      <c r="J937" s="506"/>
      <c r="K937" s="507"/>
      <c r="L937" s="508"/>
      <c r="M937" s="508"/>
      <c r="N937" s="508"/>
      <c r="O937" s="509"/>
      <c r="P937" s="509"/>
    </row>
    <row r="938" spans="1:16" ht="21.75" customHeight="1" x14ac:dyDescent="0.3">
      <c r="A938" s="504"/>
      <c r="B938" s="504"/>
      <c r="C938" s="504"/>
      <c r="D938" s="504"/>
      <c r="E938" s="506"/>
      <c r="F938" s="506"/>
      <c r="G938" s="506"/>
      <c r="H938" s="506"/>
      <c r="I938" s="506"/>
      <c r="J938" s="506"/>
      <c r="K938" s="507"/>
      <c r="L938" s="508"/>
      <c r="M938" s="508"/>
      <c r="N938" s="508"/>
      <c r="O938" s="509"/>
      <c r="P938" s="509"/>
    </row>
    <row r="939" spans="1:16" ht="21.75" customHeight="1" x14ac:dyDescent="0.3">
      <c r="A939" s="504"/>
      <c r="B939" s="504"/>
      <c r="C939" s="504"/>
      <c r="D939" s="504"/>
      <c r="E939" s="506"/>
      <c r="F939" s="506"/>
      <c r="G939" s="506"/>
      <c r="H939" s="506"/>
      <c r="I939" s="506"/>
      <c r="J939" s="506"/>
      <c r="K939" s="507"/>
      <c r="L939" s="508"/>
      <c r="M939" s="508"/>
      <c r="N939" s="508"/>
      <c r="O939" s="509"/>
      <c r="P939" s="509"/>
    </row>
    <row r="940" spans="1:16" ht="21.75" customHeight="1" x14ac:dyDescent="0.3">
      <c r="A940" s="504"/>
      <c r="B940" s="504"/>
      <c r="C940" s="504"/>
      <c r="D940" s="504"/>
      <c r="E940" s="506"/>
      <c r="F940" s="506"/>
      <c r="G940" s="506"/>
      <c r="H940" s="506"/>
      <c r="I940" s="506"/>
      <c r="J940" s="506"/>
      <c r="K940" s="507"/>
      <c r="L940" s="508"/>
      <c r="M940" s="508"/>
      <c r="N940" s="508"/>
      <c r="O940" s="509"/>
      <c r="P940" s="509"/>
    </row>
    <row r="941" spans="1:16" ht="21.75" customHeight="1" x14ac:dyDescent="0.3">
      <c r="A941" s="504"/>
      <c r="B941" s="504"/>
      <c r="C941" s="504"/>
      <c r="D941" s="504"/>
      <c r="E941" s="506"/>
      <c r="F941" s="506"/>
      <c r="G941" s="506"/>
      <c r="H941" s="506"/>
      <c r="I941" s="506"/>
      <c r="J941" s="506"/>
      <c r="K941" s="507"/>
      <c r="L941" s="508"/>
      <c r="M941" s="508"/>
      <c r="N941" s="508"/>
      <c r="O941" s="509"/>
      <c r="P941" s="509"/>
    </row>
    <row r="942" spans="1:16" ht="21.75" customHeight="1" x14ac:dyDescent="0.3">
      <c r="A942" s="504"/>
      <c r="B942" s="504"/>
      <c r="C942" s="504"/>
      <c r="D942" s="504"/>
      <c r="E942" s="506"/>
      <c r="F942" s="506"/>
      <c r="G942" s="506"/>
      <c r="H942" s="506"/>
      <c r="I942" s="506"/>
      <c r="J942" s="506"/>
      <c r="K942" s="507"/>
      <c r="L942" s="508"/>
      <c r="M942" s="508"/>
      <c r="N942" s="508"/>
      <c r="O942" s="509"/>
      <c r="P942" s="509"/>
    </row>
    <row r="943" spans="1:16" ht="21.75" customHeight="1" x14ac:dyDescent="0.3">
      <c r="A943" s="504"/>
      <c r="B943" s="504"/>
      <c r="C943" s="504"/>
      <c r="D943" s="504"/>
      <c r="E943" s="506"/>
      <c r="F943" s="506"/>
      <c r="G943" s="506"/>
      <c r="H943" s="506"/>
      <c r="I943" s="506"/>
      <c r="J943" s="506"/>
      <c r="K943" s="507"/>
      <c r="L943" s="508"/>
      <c r="M943" s="508"/>
      <c r="N943" s="508"/>
      <c r="O943" s="509"/>
      <c r="P943" s="509"/>
    </row>
    <row r="944" spans="1:16" ht="21.75" customHeight="1" x14ac:dyDescent="0.3">
      <c r="A944" s="504"/>
      <c r="B944" s="504"/>
      <c r="C944" s="504"/>
      <c r="D944" s="504"/>
      <c r="E944" s="506"/>
      <c r="F944" s="506"/>
      <c r="G944" s="506"/>
      <c r="H944" s="506"/>
      <c r="I944" s="506"/>
      <c r="J944" s="506"/>
      <c r="K944" s="507"/>
      <c r="L944" s="508"/>
      <c r="M944" s="508"/>
      <c r="N944" s="508"/>
      <c r="O944" s="509"/>
      <c r="P944" s="509"/>
    </row>
    <row r="945" spans="1:16" ht="21.75" customHeight="1" x14ac:dyDescent="0.3">
      <c r="A945" s="504"/>
      <c r="B945" s="504"/>
      <c r="C945" s="504"/>
      <c r="D945" s="504"/>
      <c r="E945" s="506"/>
      <c r="F945" s="506"/>
      <c r="G945" s="506"/>
      <c r="H945" s="506"/>
      <c r="I945" s="506"/>
      <c r="J945" s="506"/>
      <c r="K945" s="507"/>
      <c r="L945" s="508"/>
      <c r="M945" s="508"/>
      <c r="N945" s="508"/>
      <c r="O945" s="509"/>
      <c r="P945" s="509"/>
    </row>
    <row r="946" spans="1:16" ht="21.75" customHeight="1" x14ac:dyDescent="0.3">
      <c r="A946" s="504"/>
      <c r="B946" s="504"/>
      <c r="C946" s="504"/>
      <c r="D946" s="504"/>
      <c r="E946" s="506"/>
      <c r="F946" s="506"/>
      <c r="G946" s="506"/>
      <c r="H946" s="506"/>
      <c r="I946" s="506"/>
      <c r="J946" s="506"/>
      <c r="K946" s="507"/>
      <c r="L946" s="508"/>
      <c r="M946" s="508"/>
      <c r="N946" s="508"/>
      <c r="O946" s="509"/>
      <c r="P946" s="509"/>
    </row>
    <row r="947" spans="1:16" ht="21.75" customHeight="1" x14ac:dyDescent="0.3">
      <c r="A947" s="504"/>
      <c r="B947" s="504"/>
      <c r="C947" s="504"/>
      <c r="D947" s="504"/>
      <c r="E947" s="506"/>
      <c r="F947" s="506"/>
      <c r="G947" s="506"/>
      <c r="H947" s="506"/>
      <c r="I947" s="506"/>
      <c r="J947" s="506"/>
      <c r="K947" s="507"/>
      <c r="L947" s="508"/>
      <c r="M947" s="508"/>
      <c r="N947" s="508"/>
      <c r="O947" s="509"/>
      <c r="P947" s="509"/>
    </row>
    <row r="948" spans="1:16" ht="21.75" customHeight="1" x14ac:dyDescent="0.3">
      <c r="A948" s="504"/>
      <c r="B948" s="504"/>
      <c r="C948" s="504"/>
      <c r="D948" s="504"/>
      <c r="E948" s="506"/>
      <c r="F948" s="506"/>
      <c r="G948" s="506"/>
      <c r="H948" s="506"/>
      <c r="I948" s="506"/>
      <c r="J948" s="506"/>
      <c r="K948" s="507"/>
      <c r="L948" s="508"/>
      <c r="M948" s="508"/>
      <c r="N948" s="508"/>
      <c r="O948" s="509"/>
      <c r="P948" s="509"/>
    </row>
    <row r="949" spans="1:16" ht="21.75" customHeight="1" x14ac:dyDescent="0.3">
      <c r="A949" s="504"/>
      <c r="B949" s="504"/>
      <c r="C949" s="504"/>
      <c r="D949" s="504"/>
      <c r="E949" s="506"/>
      <c r="F949" s="506"/>
      <c r="G949" s="506"/>
      <c r="H949" s="506"/>
      <c r="I949" s="506"/>
      <c r="J949" s="506"/>
      <c r="K949" s="507"/>
      <c r="L949" s="508"/>
      <c r="M949" s="508"/>
      <c r="N949" s="508"/>
      <c r="O949" s="509"/>
      <c r="P949" s="509"/>
    </row>
    <row r="950" spans="1:16" ht="21.75" customHeight="1" x14ac:dyDescent="0.3">
      <c r="A950" s="504"/>
      <c r="B950" s="504"/>
      <c r="C950" s="504"/>
      <c r="D950" s="504"/>
      <c r="E950" s="506"/>
      <c r="F950" s="506"/>
      <c r="G950" s="506"/>
      <c r="H950" s="506"/>
      <c r="I950" s="506"/>
      <c r="J950" s="506"/>
      <c r="K950" s="507"/>
      <c r="L950" s="508"/>
      <c r="M950" s="508"/>
      <c r="N950" s="508"/>
      <c r="O950" s="509"/>
      <c r="P950" s="509"/>
    </row>
    <row r="951" spans="1:16" ht="21.75" customHeight="1" x14ac:dyDescent="0.3">
      <c r="A951" s="504"/>
      <c r="B951" s="504"/>
      <c r="C951" s="504"/>
      <c r="D951" s="504"/>
      <c r="E951" s="506"/>
      <c r="F951" s="506"/>
      <c r="G951" s="506"/>
      <c r="H951" s="506"/>
      <c r="I951" s="506"/>
      <c r="J951" s="506"/>
      <c r="K951" s="507"/>
      <c r="L951" s="508"/>
      <c r="M951" s="508"/>
      <c r="N951" s="508"/>
      <c r="O951" s="509"/>
      <c r="P951" s="509"/>
    </row>
    <row r="952" spans="1:16" ht="21.75" customHeight="1" x14ac:dyDescent="0.3">
      <c r="A952" s="504"/>
      <c r="B952" s="504"/>
      <c r="C952" s="504"/>
      <c r="D952" s="504"/>
      <c r="E952" s="506"/>
      <c r="F952" s="506"/>
      <c r="G952" s="506"/>
      <c r="H952" s="506"/>
      <c r="I952" s="506"/>
      <c r="J952" s="506"/>
      <c r="K952" s="507"/>
      <c r="L952" s="508"/>
      <c r="M952" s="508"/>
      <c r="N952" s="508"/>
      <c r="O952" s="509"/>
      <c r="P952" s="509"/>
    </row>
    <row r="953" spans="1:16" ht="21.75" customHeight="1" x14ac:dyDescent="0.3">
      <c r="A953" s="504"/>
      <c r="B953" s="504"/>
      <c r="C953" s="504"/>
      <c r="D953" s="504"/>
      <c r="E953" s="506"/>
      <c r="F953" s="506"/>
      <c r="G953" s="506"/>
      <c r="H953" s="506"/>
      <c r="I953" s="506"/>
      <c r="J953" s="506"/>
      <c r="K953" s="507"/>
      <c r="L953" s="508"/>
      <c r="M953" s="508"/>
      <c r="N953" s="508"/>
      <c r="O953" s="509"/>
      <c r="P953" s="509"/>
    </row>
    <row r="954" spans="1:16" ht="21.75" customHeight="1" x14ac:dyDescent="0.3">
      <c r="A954" s="504"/>
      <c r="B954" s="504"/>
      <c r="C954" s="504"/>
      <c r="D954" s="504"/>
      <c r="E954" s="506"/>
      <c r="F954" s="506"/>
      <c r="G954" s="506"/>
      <c r="H954" s="506"/>
      <c r="I954" s="506"/>
      <c r="J954" s="506"/>
      <c r="K954" s="507"/>
      <c r="L954" s="508"/>
      <c r="M954" s="508"/>
      <c r="N954" s="508"/>
      <c r="O954" s="509"/>
      <c r="P954" s="509"/>
    </row>
    <row r="955" spans="1:16" ht="21.75" customHeight="1" x14ac:dyDescent="0.3">
      <c r="A955" s="504"/>
      <c r="B955" s="504"/>
      <c r="C955" s="504"/>
      <c r="D955" s="504"/>
      <c r="E955" s="506"/>
      <c r="F955" s="506"/>
      <c r="G955" s="506"/>
      <c r="H955" s="506"/>
      <c r="I955" s="506"/>
      <c r="J955" s="506"/>
      <c r="K955" s="507"/>
      <c r="L955" s="508"/>
      <c r="M955" s="508"/>
      <c r="N955" s="508"/>
      <c r="O955" s="509"/>
      <c r="P955" s="509"/>
    </row>
    <row r="956" spans="1:16" ht="21.75" customHeight="1" x14ac:dyDescent="0.3">
      <c r="A956" s="504"/>
      <c r="B956" s="504"/>
      <c r="C956" s="504"/>
      <c r="D956" s="504"/>
      <c r="E956" s="506"/>
      <c r="F956" s="506"/>
      <c r="G956" s="506"/>
      <c r="H956" s="506"/>
      <c r="I956" s="506"/>
      <c r="J956" s="506"/>
      <c r="K956" s="507"/>
      <c r="L956" s="508"/>
      <c r="M956" s="508"/>
      <c r="N956" s="508"/>
      <c r="O956" s="509"/>
      <c r="P956" s="509"/>
    </row>
    <row r="957" spans="1:16" ht="21.75" customHeight="1" x14ac:dyDescent="0.3">
      <c r="A957" s="504"/>
      <c r="B957" s="504"/>
      <c r="C957" s="504"/>
      <c r="D957" s="504"/>
      <c r="E957" s="506"/>
      <c r="F957" s="506"/>
      <c r="G957" s="506"/>
      <c r="H957" s="506"/>
      <c r="I957" s="506"/>
      <c r="J957" s="506"/>
      <c r="K957" s="507"/>
      <c r="L957" s="508"/>
      <c r="M957" s="508"/>
      <c r="N957" s="508"/>
      <c r="O957" s="509"/>
      <c r="P957" s="509"/>
    </row>
    <row r="958" spans="1:16" ht="21.75" customHeight="1" x14ac:dyDescent="0.3">
      <c r="A958" s="504"/>
      <c r="B958" s="504"/>
      <c r="C958" s="504"/>
      <c r="D958" s="504"/>
      <c r="E958" s="506"/>
      <c r="F958" s="506"/>
      <c r="G958" s="506"/>
      <c r="H958" s="506"/>
      <c r="I958" s="506"/>
      <c r="J958" s="506"/>
      <c r="K958" s="507"/>
      <c r="L958" s="508"/>
      <c r="M958" s="508"/>
      <c r="N958" s="508"/>
      <c r="O958" s="509"/>
      <c r="P958" s="509"/>
    </row>
    <row r="959" spans="1:16" ht="21.75" customHeight="1" x14ac:dyDescent="0.3">
      <c r="A959" s="504"/>
      <c r="B959" s="504"/>
      <c r="C959" s="504"/>
      <c r="D959" s="504"/>
      <c r="E959" s="506"/>
      <c r="F959" s="506"/>
      <c r="G959" s="506"/>
      <c r="H959" s="506"/>
      <c r="I959" s="506"/>
      <c r="J959" s="506"/>
      <c r="K959" s="507"/>
      <c r="L959" s="508"/>
      <c r="M959" s="508"/>
      <c r="N959" s="508"/>
      <c r="O959" s="509"/>
      <c r="P959" s="509"/>
    </row>
    <row r="960" spans="1:16" ht="21.75" customHeight="1" x14ac:dyDescent="0.3">
      <c r="A960" s="504"/>
      <c r="B960" s="504"/>
      <c r="C960" s="504"/>
      <c r="D960" s="504"/>
      <c r="E960" s="506"/>
      <c r="F960" s="506"/>
      <c r="G960" s="506"/>
      <c r="H960" s="506"/>
      <c r="I960" s="506"/>
      <c r="J960" s="506"/>
      <c r="K960" s="507"/>
      <c r="L960" s="508"/>
      <c r="M960" s="508"/>
      <c r="N960" s="508"/>
      <c r="O960" s="509"/>
      <c r="P960" s="509"/>
    </row>
    <row r="961" spans="1:16" ht="21.75" customHeight="1" x14ac:dyDescent="0.3">
      <c r="A961" s="504"/>
      <c r="B961" s="504"/>
      <c r="C961" s="504"/>
      <c r="D961" s="504"/>
      <c r="E961" s="506"/>
      <c r="F961" s="506"/>
      <c r="G961" s="506"/>
      <c r="H961" s="506"/>
      <c r="I961" s="506"/>
      <c r="J961" s="506"/>
      <c r="K961" s="507"/>
      <c r="L961" s="508"/>
      <c r="M961" s="508"/>
      <c r="N961" s="508"/>
      <c r="O961" s="509"/>
      <c r="P961" s="509"/>
    </row>
    <row r="962" spans="1:16" ht="21.75" customHeight="1" x14ac:dyDescent="0.3">
      <c r="A962" s="504"/>
      <c r="B962" s="504"/>
      <c r="C962" s="504"/>
      <c r="D962" s="504"/>
      <c r="E962" s="506"/>
      <c r="F962" s="506"/>
      <c r="G962" s="506"/>
      <c r="H962" s="506"/>
      <c r="I962" s="506"/>
      <c r="J962" s="506"/>
      <c r="K962" s="507"/>
      <c r="L962" s="508"/>
      <c r="M962" s="508"/>
      <c r="N962" s="508"/>
      <c r="O962" s="509"/>
      <c r="P962" s="509"/>
    </row>
    <row r="963" spans="1:16" ht="21.75" customHeight="1" x14ac:dyDescent="0.3">
      <c r="A963" s="504"/>
      <c r="B963" s="504"/>
      <c r="C963" s="504"/>
      <c r="D963" s="504"/>
      <c r="E963" s="506"/>
      <c r="F963" s="506"/>
      <c r="G963" s="506"/>
      <c r="H963" s="506"/>
      <c r="I963" s="506"/>
      <c r="J963" s="506"/>
      <c r="K963" s="507"/>
      <c r="L963" s="508"/>
      <c r="M963" s="508"/>
      <c r="N963" s="508"/>
      <c r="O963" s="509"/>
      <c r="P963" s="509"/>
    </row>
    <row r="964" spans="1:16" ht="21.75" customHeight="1" x14ac:dyDescent="0.3">
      <c r="A964" s="504"/>
      <c r="B964" s="504"/>
      <c r="C964" s="504"/>
      <c r="D964" s="504"/>
      <c r="E964" s="506"/>
      <c r="F964" s="506"/>
      <c r="G964" s="506"/>
      <c r="H964" s="506"/>
      <c r="I964" s="506"/>
      <c r="J964" s="506"/>
      <c r="K964" s="507"/>
      <c r="L964" s="508"/>
      <c r="M964" s="508"/>
      <c r="N964" s="508"/>
      <c r="O964" s="509"/>
      <c r="P964" s="509"/>
    </row>
    <row r="965" spans="1:16" ht="21.75" customHeight="1" x14ac:dyDescent="0.3">
      <c r="A965" s="504"/>
      <c r="B965" s="504"/>
      <c r="C965" s="504"/>
      <c r="D965" s="504"/>
      <c r="E965" s="506"/>
      <c r="F965" s="506"/>
      <c r="G965" s="506"/>
      <c r="H965" s="506"/>
      <c r="I965" s="506"/>
      <c r="J965" s="506"/>
      <c r="K965" s="507"/>
      <c r="L965" s="508"/>
      <c r="M965" s="508"/>
      <c r="N965" s="508"/>
      <c r="O965" s="509"/>
      <c r="P965" s="509"/>
    </row>
    <row r="966" spans="1:16" ht="21.75" customHeight="1" x14ac:dyDescent="0.3">
      <c r="A966" s="504"/>
      <c r="B966" s="504"/>
      <c r="C966" s="504"/>
      <c r="D966" s="504"/>
      <c r="E966" s="506"/>
      <c r="F966" s="506"/>
      <c r="G966" s="506"/>
      <c r="H966" s="506"/>
      <c r="I966" s="506"/>
      <c r="J966" s="506"/>
      <c r="K966" s="507"/>
      <c r="L966" s="508"/>
      <c r="M966" s="508"/>
      <c r="N966" s="508"/>
      <c r="O966" s="509"/>
      <c r="P966" s="509"/>
    </row>
    <row r="967" spans="1:16" ht="21.75" customHeight="1" x14ac:dyDescent="0.3">
      <c r="A967" s="504"/>
      <c r="B967" s="504"/>
      <c r="C967" s="504"/>
      <c r="D967" s="504"/>
      <c r="E967" s="506"/>
      <c r="F967" s="506"/>
      <c r="G967" s="506"/>
      <c r="H967" s="506"/>
      <c r="I967" s="506"/>
      <c r="J967" s="506"/>
      <c r="K967" s="507"/>
      <c r="L967" s="508"/>
      <c r="M967" s="508"/>
      <c r="N967" s="508"/>
      <c r="O967" s="509"/>
      <c r="P967" s="509"/>
    </row>
    <row r="968" spans="1:16" ht="21.75" customHeight="1" x14ac:dyDescent="0.3">
      <c r="A968" s="504"/>
      <c r="B968" s="504"/>
      <c r="C968" s="504"/>
      <c r="D968" s="504"/>
      <c r="E968" s="506"/>
      <c r="F968" s="506"/>
      <c r="G968" s="506"/>
      <c r="H968" s="506"/>
      <c r="I968" s="506"/>
      <c r="J968" s="506"/>
      <c r="K968" s="507"/>
      <c r="L968" s="508"/>
      <c r="M968" s="508"/>
      <c r="N968" s="508"/>
      <c r="O968" s="509"/>
      <c r="P968" s="509"/>
    </row>
    <row r="969" spans="1:16" ht="21.75" customHeight="1" x14ac:dyDescent="0.3">
      <c r="A969" s="504"/>
      <c r="B969" s="504"/>
      <c r="C969" s="504"/>
      <c r="D969" s="504"/>
      <c r="E969" s="506"/>
      <c r="F969" s="506"/>
      <c r="G969" s="506"/>
      <c r="H969" s="506"/>
      <c r="I969" s="506"/>
      <c r="J969" s="506"/>
      <c r="K969" s="507"/>
      <c r="L969" s="508"/>
      <c r="M969" s="508"/>
      <c r="N969" s="508"/>
      <c r="O969" s="509"/>
      <c r="P969" s="509"/>
    </row>
    <row r="970" spans="1:16" ht="21.75" customHeight="1" x14ac:dyDescent="0.3">
      <c r="A970" s="504"/>
      <c r="B970" s="504"/>
      <c r="C970" s="504"/>
      <c r="D970" s="504"/>
      <c r="E970" s="506"/>
      <c r="F970" s="506"/>
      <c r="G970" s="506"/>
      <c r="H970" s="506"/>
      <c r="I970" s="506"/>
      <c r="J970" s="506"/>
      <c r="K970" s="507"/>
      <c r="L970" s="508"/>
      <c r="M970" s="508"/>
      <c r="N970" s="508"/>
      <c r="O970" s="509"/>
      <c r="P970" s="509"/>
    </row>
    <row r="971" spans="1:16" ht="21.75" customHeight="1" x14ac:dyDescent="0.3">
      <c r="A971" s="504"/>
      <c r="B971" s="504"/>
      <c r="C971" s="504"/>
      <c r="D971" s="504"/>
      <c r="E971" s="506"/>
      <c r="F971" s="506"/>
      <c r="G971" s="506"/>
      <c r="H971" s="506"/>
      <c r="I971" s="506"/>
      <c r="J971" s="506"/>
      <c r="K971" s="507"/>
      <c r="L971" s="508"/>
      <c r="M971" s="508"/>
      <c r="N971" s="508"/>
      <c r="O971" s="509"/>
      <c r="P971" s="509"/>
    </row>
    <row r="972" spans="1:16" ht="21.75" customHeight="1" x14ac:dyDescent="0.3">
      <c r="A972" s="504"/>
      <c r="B972" s="504"/>
      <c r="C972" s="504"/>
      <c r="D972" s="504"/>
      <c r="E972" s="506"/>
      <c r="F972" s="506"/>
      <c r="G972" s="506"/>
      <c r="H972" s="506"/>
      <c r="I972" s="506"/>
      <c r="J972" s="506"/>
      <c r="K972" s="507"/>
      <c r="L972" s="508"/>
      <c r="M972" s="508"/>
      <c r="N972" s="508"/>
      <c r="O972" s="509"/>
      <c r="P972" s="509"/>
    </row>
    <row r="973" spans="1:16" ht="21.75" customHeight="1" x14ac:dyDescent="0.3">
      <c r="A973" s="504"/>
      <c r="B973" s="504"/>
      <c r="C973" s="504"/>
      <c r="D973" s="504"/>
      <c r="E973" s="506"/>
      <c r="F973" s="506"/>
      <c r="G973" s="506"/>
      <c r="H973" s="506"/>
      <c r="I973" s="506"/>
      <c r="J973" s="506"/>
      <c r="K973" s="507"/>
      <c r="L973" s="508"/>
      <c r="M973" s="508"/>
      <c r="N973" s="508"/>
      <c r="O973" s="509"/>
      <c r="P973" s="509"/>
    </row>
    <row r="974" spans="1:16" ht="21.75" customHeight="1" x14ac:dyDescent="0.3">
      <c r="A974" s="504"/>
      <c r="B974" s="504"/>
      <c r="C974" s="504"/>
      <c r="D974" s="504"/>
      <c r="E974" s="506"/>
      <c r="F974" s="506"/>
      <c r="G974" s="506"/>
      <c r="H974" s="506"/>
      <c r="I974" s="506"/>
      <c r="J974" s="506"/>
      <c r="K974" s="507"/>
      <c r="L974" s="508"/>
      <c r="M974" s="508"/>
      <c r="N974" s="508"/>
      <c r="O974" s="509"/>
      <c r="P974" s="509"/>
    </row>
    <row r="975" spans="1:16" ht="21.75" customHeight="1" x14ac:dyDescent="0.3">
      <c r="A975" s="504"/>
      <c r="B975" s="504"/>
      <c r="C975" s="504"/>
      <c r="D975" s="504"/>
      <c r="E975" s="506"/>
      <c r="F975" s="506"/>
      <c r="G975" s="506"/>
      <c r="H975" s="506"/>
      <c r="I975" s="506"/>
      <c r="J975" s="506"/>
      <c r="K975" s="507"/>
      <c r="L975" s="508"/>
      <c r="M975" s="508"/>
      <c r="N975" s="508"/>
      <c r="O975" s="509"/>
      <c r="P975" s="509"/>
    </row>
    <row r="976" spans="1:16" ht="21.75" customHeight="1" x14ac:dyDescent="0.3">
      <c r="A976" s="504"/>
      <c r="B976" s="504"/>
      <c r="C976" s="504"/>
      <c r="D976" s="504"/>
      <c r="E976" s="506"/>
      <c r="F976" s="506"/>
      <c r="G976" s="506"/>
      <c r="H976" s="506"/>
      <c r="I976" s="506"/>
      <c r="J976" s="506"/>
      <c r="K976" s="507"/>
      <c r="L976" s="508"/>
      <c r="M976" s="508"/>
      <c r="N976" s="508"/>
      <c r="O976" s="509"/>
      <c r="P976" s="509"/>
    </row>
    <row r="977" spans="1:16" ht="21.75" customHeight="1" x14ac:dyDescent="0.3">
      <c r="A977" s="504"/>
      <c r="B977" s="504"/>
      <c r="C977" s="504"/>
      <c r="D977" s="504"/>
      <c r="E977" s="506"/>
      <c r="F977" s="506"/>
      <c r="G977" s="506"/>
      <c r="H977" s="506"/>
      <c r="I977" s="506"/>
      <c r="J977" s="506"/>
      <c r="K977" s="507"/>
      <c r="L977" s="508"/>
      <c r="M977" s="508"/>
      <c r="N977" s="508"/>
      <c r="O977" s="509"/>
      <c r="P977" s="509"/>
    </row>
    <row r="978" spans="1:16" ht="21.75" customHeight="1" x14ac:dyDescent="0.3">
      <c r="A978" s="504"/>
      <c r="B978" s="504"/>
      <c r="C978" s="504"/>
      <c r="D978" s="504"/>
      <c r="E978" s="506"/>
      <c r="F978" s="506"/>
      <c r="G978" s="506"/>
      <c r="H978" s="506"/>
      <c r="I978" s="506"/>
      <c r="J978" s="506"/>
      <c r="K978" s="507"/>
      <c r="L978" s="508"/>
      <c r="M978" s="508"/>
      <c r="N978" s="508"/>
      <c r="O978" s="509"/>
      <c r="P978" s="509"/>
    </row>
    <row r="979" spans="1:16" ht="21.75" customHeight="1" x14ac:dyDescent="0.3">
      <c r="A979" s="504"/>
      <c r="B979" s="504"/>
      <c r="C979" s="504"/>
      <c r="D979" s="504"/>
      <c r="E979" s="506"/>
      <c r="F979" s="506"/>
      <c r="G979" s="506"/>
      <c r="H979" s="506"/>
      <c r="I979" s="506"/>
      <c r="J979" s="506"/>
      <c r="K979" s="507"/>
      <c r="L979" s="508"/>
      <c r="M979" s="508"/>
      <c r="N979" s="508"/>
      <c r="O979" s="509"/>
      <c r="P979" s="509"/>
    </row>
    <row r="980" spans="1:16" ht="21.75" customHeight="1" x14ac:dyDescent="0.3">
      <c r="A980" s="504"/>
      <c r="B980" s="504"/>
      <c r="C980" s="504"/>
      <c r="D980" s="504"/>
      <c r="E980" s="506"/>
      <c r="F980" s="506"/>
      <c r="G980" s="506"/>
      <c r="H980" s="506"/>
      <c r="I980" s="506"/>
      <c r="J980" s="506"/>
      <c r="K980" s="507"/>
      <c r="L980" s="508"/>
      <c r="M980" s="508"/>
      <c r="N980" s="508"/>
      <c r="O980" s="509"/>
      <c r="P980" s="509"/>
    </row>
    <row r="981" spans="1:16" ht="21.75" customHeight="1" x14ac:dyDescent="0.3">
      <c r="A981" s="504"/>
      <c r="B981" s="504"/>
      <c r="C981" s="504"/>
      <c r="D981" s="504"/>
      <c r="E981" s="506"/>
      <c r="F981" s="506"/>
      <c r="G981" s="506"/>
      <c r="H981" s="506"/>
      <c r="I981" s="506"/>
      <c r="J981" s="506"/>
      <c r="K981" s="507"/>
      <c r="L981" s="508"/>
      <c r="M981" s="508"/>
      <c r="N981" s="508"/>
      <c r="O981" s="509"/>
      <c r="P981" s="509"/>
    </row>
    <row r="982" spans="1:16" ht="21.75" customHeight="1" x14ac:dyDescent="0.3">
      <c r="A982" s="504"/>
      <c r="B982" s="504"/>
      <c r="C982" s="504"/>
      <c r="D982" s="504"/>
      <c r="E982" s="506"/>
      <c r="F982" s="506"/>
      <c r="G982" s="506"/>
      <c r="H982" s="506"/>
      <c r="I982" s="506"/>
      <c r="J982" s="506"/>
      <c r="K982" s="507"/>
      <c r="L982" s="508"/>
      <c r="M982" s="508"/>
      <c r="N982" s="508"/>
      <c r="O982" s="509"/>
      <c r="P982" s="509"/>
    </row>
    <row r="983" spans="1:16" ht="21.75" customHeight="1" x14ac:dyDescent="0.3">
      <c r="A983" s="504"/>
      <c r="B983" s="504"/>
      <c r="C983" s="504"/>
      <c r="D983" s="504"/>
      <c r="E983" s="506"/>
      <c r="F983" s="506"/>
      <c r="G983" s="506"/>
      <c r="H983" s="506"/>
      <c r="I983" s="506"/>
      <c r="J983" s="506"/>
      <c r="K983" s="507"/>
      <c r="L983" s="508"/>
      <c r="M983" s="508"/>
      <c r="N983" s="508"/>
      <c r="O983" s="509"/>
      <c r="P983" s="509"/>
    </row>
    <row r="984" spans="1:16" ht="21.75" customHeight="1" x14ac:dyDescent="0.3">
      <c r="A984" s="504"/>
      <c r="B984" s="504"/>
      <c r="C984" s="504"/>
      <c r="D984" s="504"/>
      <c r="E984" s="506"/>
      <c r="F984" s="506"/>
      <c r="G984" s="506"/>
      <c r="H984" s="506"/>
      <c r="I984" s="506"/>
      <c r="J984" s="506"/>
      <c r="K984" s="507"/>
      <c r="L984" s="508"/>
      <c r="M984" s="508"/>
      <c r="N984" s="508"/>
      <c r="O984" s="509"/>
      <c r="P984" s="509"/>
    </row>
    <row r="985" spans="1:16" ht="21.75" customHeight="1" x14ac:dyDescent="0.3">
      <c r="A985" s="504"/>
      <c r="B985" s="504"/>
      <c r="C985" s="504"/>
      <c r="D985" s="504"/>
      <c r="E985" s="506"/>
      <c r="F985" s="506"/>
      <c r="G985" s="506"/>
      <c r="H985" s="506"/>
      <c r="I985" s="506"/>
      <c r="J985" s="506"/>
      <c r="K985" s="507"/>
      <c r="L985" s="508"/>
      <c r="M985" s="508"/>
      <c r="N985" s="508"/>
      <c r="O985" s="509"/>
      <c r="P985" s="509"/>
    </row>
    <row r="986" spans="1:16" ht="21.75" customHeight="1" x14ac:dyDescent="0.3">
      <c r="A986" s="504"/>
      <c r="B986" s="504"/>
      <c r="C986" s="504"/>
      <c r="D986" s="504"/>
      <c r="E986" s="506"/>
      <c r="F986" s="506"/>
      <c r="G986" s="506"/>
      <c r="H986" s="506"/>
      <c r="I986" s="506"/>
      <c r="J986" s="506"/>
      <c r="K986" s="507"/>
      <c r="L986" s="508"/>
      <c r="M986" s="508"/>
      <c r="N986" s="508"/>
      <c r="O986" s="509"/>
      <c r="P986" s="509"/>
    </row>
    <row r="987" spans="1:16" ht="21.75" customHeight="1" x14ac:dyDescent="0.3">
      <c r="A987" s="504"/>
      <c r="B987" s="504"/>
      <c r="C987" s="504"/>
      <c r="D987" s="504"/>
      <c r="E987" s="506"/>
      <c r="F987" s="506"/>
      <c r="G987" s="506"/>
      <c r="H987" s="506"/>
      <c r="I987" s="506"/>
      <c r="J987" s="506"/>
      <c r="K987" s="507"/>
      <c r="L987" s="508"/>
      <c r="M987" s="508"/>
      <c r="N987" s="508"/>
      <c r="O987" s="509"/>
      <c r="P987" s="509"/>
    </row>
    <row r="988" spans="1:16" ht="21.75" customHeight="1" x14ac:dyDescent="0.3">
      <c r="A988" s="504"/>
      <c r="B988" s="504"/>
      <c r="C988" s="504"/>
      <c r="D988" s="504"/>
      <c r="E988" s="506"/>
      <c r="F988" s="506"/>
      <c r="G988" s="506"/>
      <c r="H988" s="506"/>
      <c r="I988" s="506"/>
      <c r="J988" s="506"/>
      <c r="K988" s="507"/>
      <c r="L988" s="508"/>
      <c r="M988" s="508"/>
      <c r="N988" s="508"/>
      <c r="O988" s="509"/>
      <c r="P988" s="509"/>
    </row>
    <row r="989" spans="1:16" ht="21.75" customHeight="1" x14ac:dyDescent="0.3">
      <c r="A989" s="504"/>
      <c r="B989" s="504"/>
      <c r="C989" s="504"/>
      <c r="D989" s="504"/>
      <c r="E989" s="506"/>
      <c r="F989" s="506"/>
      <c r="G989" s="506"/>
      <c r="H989" s="506"/>
      <c r="I989" s="506"/>
      <c r="J989" s="506"/>
      <c r="K989" s="507"/>
      <c r="L989" s="508"/>
      <c r="M989" s="508"/>
      <c r="N989" s="508"/>
      <c r="O989" s="509"/>
      <c r="P989" s="509"/>
    </row>
    <row r="990" spans="1:16" ht="21.75" customHeight="1" x14ac:dyDescent="0.3">
      <c r="A990" s="504"/>
      <c r="B990" s="504"/>
      <c r="C990" s="504"/>
      <c r="D990" s="504"/>
      <c r="E990" s="506"/>
      <c r="F990" s="506"/>
      <c r="G990" s="506"/>
      <c r="H990" s="506"/>
      <c r="I990" s="506"/>
      <c r="J990" s="506"/>
      <c r="K990" s="507"/>
      <c r="L990" s="508"/>
      <c r="M990" s="508"/>
      <c r="N990" s="508"/>
      <c r="O990" s="509"/>
      <c r="P990" s="509"/>
    </row>
    <row r="991" spans="1:16" ht="21.75" customHeight="1" x14ac:dyDescent="0.3">
      <c r="A991" s="504"/>
      <c r="B991" s="504"/>
      <c r="C991" s="504"/>
      <c r="D991" s="504"/>
      <c r="E991" s="506"/>
      <c r="F991" s="506"/>
      <c r="G991" s="506"/>
      <c r="H991" s="506"/>
      <c r="I991" s="506"/>
      <c r="J991" s="506"/>
      <c r="K991" s="507"/>
      <c r="L991" s="508"/>
      <c r="M991" s="508"/>
      <c r="N991" s="508"/>
      <c r="O991" s="509"/>
      <c r="P991" s="509"/>
    </row>
    <row r="992" spans="1:16" ht="21.75" customHeight="1" x14ac:dyDescent="0.3">
      <c r="A992" s="504"/>
      <c r="B992" s="504"/>
      <c r="C992" s="504"/>
      <c r="D992" s="504"/>
      <c r="E992" s="506"/>
      <c r="F992" s="506"/>
      <c r="G992" s="506"/>
      <c r="H992" s="506"/>
      <c r="I992" s="506"/>
      <c r="J992" s="506"/>
      <c r="K992" s="507"/>
      <c r="L992" s="508"/>
      <c r="M992" s="508"/>
      <c r="N992" s="508"/>
      <c r="O992" s="509"/>
      <c r="P992" s="509"/>
    </row>
    <row r="993" spans="1:16" ht="21.75" customHeight="1" x14ac:dyDescent="0.3">
      <c r="A993" s="504"/>
      <c r="B993" s="504"/>
      <c r="C993" s="504"/>
      <c r="D993" s="504"/>
      <c r="E993" s="506"/>
      <c r="F993" s="506"/>
      <c r="G993" s="506"/>
      <c r="H993" s="506"/>
      <c r="I993" s="506"/>
      <c r="J993" s="506"/>
      <c r="K993" s="507"/>
      <c r="L993" s="508"/>
      <c r="M993" s="508"/>
      <c r="N993" s="508"/>
      <c r="O993" s="509"/>
      <c r="P993" s="509"/>
    </row>
    <row r="994" spans="1:16" ht="21.75" customHeight="1" x14ac:dyDescent="0.3">
      <c r="A994" s="504"/>
      <c r="B994" s="504"/>
      <c r="C994" s="504"/>
      <c r="D994" s="504"/>
      <c r="E994" s="506"/>
      <c r="F994" s="506"/>
      <c r="G994" s="506"/>
      <c r="H994" s="506"/>
      <c r="I994" s="506"/>
      <c r="J994" s="506"/>
      <c r="K994" s="507"/>
      <c r="L994" s="508"/>
      <c r="M994" s="508"/>
      <c r="N994" s="508"/>
      <c r="O994" s="509"/>
      <c r="P994" s="509"/>
    </row>
    <row r="995" spans="1:16" ht="21.75" customHeight="1" x14ac:dyDescent="0.3">
      <c r="A995" s="504"/>
      <c r="B995" s="504"/>
      <c r="C995" s="504"/>
      <c r="D995" s="504"/>
      <c r="E995" s="506"/>
      <c r="F995" s="506"/>
      <c r="G995" s="506"/>
      <c r="H995" s="506"/>
      <c r="I995" s="506"/>
      <c r="J995" s="506"/>
      <c r="K995" s="507"/>
      <c r="L995" s="508"/>
      <c r="M995" s="508"/>
      <c r="N995" s="508"/>
      <c r="O995" s="509"/>
      <c r="P995" s="509"/>
    </row>
    <row r="996" spans="1:16" ht="21.75" customHeight="1" x14ac:dyDescent="0.3">
      <c r="A996" s="504"/>
      <c r="B996" s="504"/>
      <c r="C996" s="504"/>
      <c r="D996" s="504"/>
      <c r="E996" s="506"/>
      <c r="F996" s="506"/>
      <c r="G996" s="506"/>
      <c r="H996" s="506"/>
      <c r="I996" s="506"/>
      <c r="J996" s="506"/>
      <c r="K996" s="507"/>
      <c r="L996" s="508"/>
      <c r="M996" s="508"/>
      <c r="N996" s="508"/>
      <c r="O996" s="509"/>
      <c r="P996" s="509"/>
    </row>
    <row r="997" spans="1:16" ht="21.75" customHeight="1" x14ac:dyDescent="0.3">
      <c r="A997" s="504"/>
      <c r="B997" s="504"/>
      <c r="C997" s="504"/>
      <c r="D997" s="504"/>
      <c r="E997" s="506"/>
      <c r="F997" s="506"/>
      <c r="G997" s="506"/>
      <c r="H997" s="506"/>
      <c r="I997" s="506"/>
      <c r="J997" s="506"/>
      <c r="K997" s="507"/>
      <c r="L997" s="508"/>
      <c r="M997" s="508"/>
      <c r="N997" s="508"/>
      <c r="O997" s="509"/>
      <c r="P997" s="509"/>
    </row>
    <row r="998" spans="1:16" ht="21.75" customHeight="1" x14ac:dyDescent="0.3">
      <c r="A998" s="504"/>
      <c r="B998" s="504"/>
      <c r="C998" s="504"/>
      <c r="D998" s="504"/>
      <c r="E998" s="506"/>
      <c r="F998" s="506"/>
      <c r="G998" s="506"/>
      <c r="H998" s="506"/>
      <c r="I998" s="506"/>
      <c r="J998" s="506"/>
      <c r="K998" s="507"/>
      <c r="L998" s="508"/>
      <c r="M998" s="508"/>
      <c r="N998" s="508"/>
      <c r="O998" s="509"/>
      <c r="P998" s="509"/>
    </row>
    <row r="999" spans="1:16" ht="21.75" customHeight="1" x14ac:dyDescent="0.3">
      <c r="A999" s="504"/>
      <c r="B999" s="504"/>
      <c r="C999" s="504"/>
      <c r="D999" s="504"/>
      <c r="E999" s="506"/>
      <c r="F999" s="506"/>
      <c r="G999" s="506"/>
      <c r="H999" s="506"/>
      <c r="I999" s="506"/>
      <c r="J999" s="506"/>
      <c r="K999" s="507"/>
      <c r="L999" s="508"/>
      <c r="M999" s="508"/>
      <c r="N999" s="508"/>
      <c r="O999" s="509"/>
      <c r="P999" s="509"/>
    </row>
    <row r="1000" spans="1:16" ht="21.75" customHeight="1" x14ac:dyDescent="0.3">
      <c r="A1000" s="504"/>
      <c r="B1000" s="504"/>
      <c r="C1000" s="504"/>
      <c r="D1000" s="504"/>
      <c r="E1000" s="506"/>
      <c r="F1000" s="506"/>
      <c r="G1000" s="506"/>
      <c r="H1000" s="506"/>
      <c r="I1000" s="506"/>
      <c r="J1000" s="506"/>
      <c r="K1000" s="507"/>
      <c r="L1000" s="508"/>
      <c r="M1000" s="508"/>
      <c r="N1000" s="508"/>
      <c r="O1000" s="509"/>
      <c r="P1000" s="509"/>
    </row>
    <row r="1001" spans="1:16" ht="21.75" customHeight="1" x14ac:dyDescent="0.3">
      <c r="A1001" s="504"/>
      <c r="B1001" s="504"/>
      <c r="C1001" s="504"/>
      <c r="D1001" s="504"/>
      <c r="E1001" s="506"/>
      <c r="F1001" s="506"/>
      <c r="G1001" s="506"/>
      <c r="H1001" s="506"/>
      <c r="I1001" s="506"/>
      <c r="J1001" s="506"/>
      <c r="K1001" s="507"/>
      <c r="L1001" s="508"/>
      <c r="M1001" s="508"/>
      <c r="N1001" s="508"/>
      <c r="O1001" s="509"/>
      <c r="P1001" s="509"/>
    </row>
    <row r="1002" spans="1:16" ht="21.75" customHeight="1" x14ac:dyDescent="0.3">
      <c r="A1002" s="504"/>
      <c r="B1002" s="504"/>
      <c r="C1002" s="504"/>
      <c r="D1002" s="504"/>
      <c r="E1002" s="506"/>
      <c r="F1002" s="506"/>
      <c r="G1002" s="506"/>
      <c r="H1002" s="506"/>
      <c r="I1002" s="506"/>
      <c r="J1002" s="506"/>
      <c r="K1002" s="507"/>
      <c r="L1002" s="508"/>
      <c r="M1002" s="508"/>
      <c r="N1002" s="508"/>
      <c r="O1002" s="509"/>
      <c r="P1002" s="509"/>
    </row>
    <row r="1003" spans="1:16" ht="21.75" customHeight="1" x14ac:dyDescent="0.3">
      <c r="A1003" s="504"/>
      <c r="B1003" s="504"/>
      <c r="C1003" s="504"/>
      <c r="D1003" s="504"/>
      <c r="E1003" s="506"/>
      <c r="F1003" s="506"/>
      <c r="G1003" s="506"/>
      <c r="H1003" s="506"/>
      <c r="I1003" s="506"/>
      <c r="J1003" s="506"/>
      <c r="K1003" s="507"/>
      <c r="L1003" s="508"/>
      <c r="M1003" s="508"/>
      <c r="N1003" s="508"/>
      <c r="O1003" s="509"/>
      <c r="P1003" s="509"/>
    </row>
    <row r="1004" spans="1:16" ht="21.75" customHeight="1" x14ac:dyDescent="0.3">
      <c r="A1004" s="504"/>
      <c r="B1004" s="504"/>
      <c r="C1004" s="504"/>
      <c r="D1004" s="504"/>
      <c r="E1004" s="506"/>
      <c r="F1004" s="506"/>
      <c r="G1004" s="506"/>
      <c r="H1004" s="506"/>
      <c r="I1004" s="506"/>
      <c r="J1004" s="506"/>
      <c r="K1004" s="507"/>
      <c r="L1004" s="508"/>
      <c r="M1004" s="508"/>
      <c r="N1004" s="508"/>
      <c r="O1004" s="509"/>
      <c r="P1004" s="509"/>
    </row>
    <row r="1005" spans="1:16" ht="21.75" customHeight="1" x14ac:dyDescent="0.3">
      <c r="A1005" s="504"/>
      <c r="B1005" s="504"/>
      <c r="C1005" s="504"/>
      <c r="D1005" s="504"/>
      <c r="E1005" s="506"/>
      <c r="F1005" s="506"/>
      <c r="G1005" s="506"/>
      <c r="H1005" s="506"/>
      <c r="I1005" s="506"/>
      <c r="J1005" s="506"/>
      <c r="K1005" s="507"/>
      <c r="L1005" s="508"/>
      <c r="M1005" s="508"/>
      <c r="N1005" s="508"/>
      <c r="O1005" s="509"/>
      <c r="P1005" s="509"/>
    </row>
    <row r="1006" spans="1:16" ht="21.75" customHeight="1" x14ac:dyDescent="0.3">
      <c r="A1006" s="504"/>
      <c r="B1006" s="504"/>
      <c r="C1006" s="504"/>
      <c r="D1006" s="504"/>
      <c r="E1006" s="506"/>
      <c r="F1006" s="506"/>
      <c r="G1006" s="506"/>
      <c r="H1006" s="506"/>
      <c r="I1006" s="506"/>
      <c r="J1006" s="506"/>
      <c r="K1006" s="507"/>
      <c r="L1006" s="508"/>
      <c r="M1006" s="508"/>
      <c r="N1006" s="508"/>
      <c r="O1006" s="509"/>
      <c r="P1006" s="509"/>
    </row>
    <row r="1007" spans="1:16" ht="21.75" customHeight="1" x14ac:dyDescent="0.3">
      <c r="A1007" s="504"/>
      <c r="B1007" s="504"/>
      <c r="C1007" s="504"/>
      <c r="D1007" s="504"/>
      <c r="E1007" s="506"/>
      <c r="F1007" s="506"/>
      <c r="G1007" s="506"/>
      <c r="H1007" s="506"/>
      <c r="I1007" s="506"/>
      <c r="J1007" s="506"/>
      <c r="K1007" s="507"/>
      <c r="L1007" s="508"/>
      <c r="M1007" s="508"/>
      <c r="N1007" s="508"/>
      <c r="O1007" s="509"/>
      <c r="P1007" s="509"/>
    </row>
    <row r="1008" spans="1:16" ht="21.75" customHeight="1" x14ac:dyDescent="0.3">
      <c r="A1008" s="504"/>
      <c r="B1008" s="504"/>
      <c r="C1008" s="504"/>
      <c r="D1008" s="504"/>
      <c r="E1008" s="506"/>
      <c r="F1008" s="506"/>
      <c r="G1008" s="506"/>
      <c r="H1008" s="506"/>
      <c r="I1008" s="506"/>
      <c r="J1008" s="506"/>
      <c r="K1008" s="507"/>
      <c r="L1008" s="508"/>
      <c r="M1008" s="508"/>
      <c r="N1008" s="508"/>
      <c r="O1008" s="509"/>
      <c r="P1008" s="509"/>
    </row>
    <row r="1009" spans="1:16" ht="21.75" customHeight="1" x14ac:dyDescent="0.3">
      <c r="A1009" s="504"/>
      <c r="B1009" s="504"/>
      <c r="C1009" s="504"/>
      <c r="D1009" s="504"/>
      <c r="E1009" s="506"/>
      <c r="F1009" s="506"/>
      <c r="G1009" s="506"/>
      <c r="H1009" s="506"/>
      <c r="I1009" s="506"/>
      <c r="J1009" s="506"/>
      <c r="K1009" s="507"/>
      <c r="L1009" s="508"/>
      <c r="M1009" s="508"/>
      <c r="N1009" s="508"/>
      <c r="O1009" s="509"/>
      <c r="P1009" s="509"/>
    </row>
    <row r="1010" spans="1:16" ht="21.75" customHeight="1" x14ac:dyDescent="0.3">
      <c r="A1010" s="504"/>
      <c r="B1010" s="504"/>
      <c r="C1010" s="504"/>
      <c r="D1010" s="504"/>
      <c r="E1010" s="506"/>
      <c r="F1010" s="506"/>
      <c r="G1010" s="506"/>
      <c r="H1010" s="506"/>
      <c r="I1010" s="506"/>
      <c r="J1010" s="506"/>
      <c r="K1010" s="507"/>
      <c r="L1010" s="508"/>
      <c r="M1010" s="508"/>
      <c r="N1010" s="508"/>
      <c r="O1010" s="509"/>
      <c r="P1010" s="509"/>
    </row>
    <row r="1011" spans="1:16" ht="21.75" customHeight="1" x14ac:dyDescent="0.3">
      <c r="A1011" s="504"/>
      <c r="B1011" s="504"/>
      <c r="C1011" s="504"/>
      <c r="D1011" s="504"/>
      <c r="E1011" s="506"/>
      <c r="F1011" s="506"/>
      <c r="G1011" s="506"/>
      <c r="H1011" s="506"/>
      <c r="I1011" s="506"/>
      <c r="J1011" s="506"/>
      <c r="K1011" s="507"/>
      <c r="L1011" s="508"/>
      <c r="M1011" s="508"/>
      <c r="N1011" s="508"/>
      <c r="O1011" s="509"/>
      <c r="P1011" s="509"/>
    </row>
    <row r="1012" spans="1:16" ht="21.75" customHeight="1" x14ac:dyDescent="0.3">
      <c r="A1012" s="504"/>
      <c r="B1012" s="504"/>
      <c r="C1012" s="504"/>
      <c r="D1012" s="504"/>
      <c r="E1012" s="506"/>
      <c r="F1012" s="506"/>
      <c r="G1012" s="506"/>
      <c r="H1012" s="506"/>
      <c r="I1012" s="506"/>
      <c r="J1012" s="506"/>
      <c r="K1012" s="507"/>
      <c r="L1012" s="508"/>
      <c r="M1012" s="508"/>
      <c r="N1012" s="508"/>
      <c r="O1012" s="509"/>
      <c r="P1012" s="509"/>
    </row>
    <row r="1013" spans="1:16" ht="21.75" customHeight="1" x14ac:dyDescent="0.3">
      <c r="A1013" s="504"/>
      <c r="B1013" s="504"/>
      <c r="C1013" s="504"/>
      <c r="D1013" s="504"/>
      <c r="E1013" s="506"/>
      <c r="F1013" s="506"/>
      <c r="G1013" s="506"/>
      <c r="H1013" s="506"/>
      <c r="I1013" s="506"/>
      <c r="J1013" s="506"/>
      <c r="K1013" s="507"/>
      <c r="L1013" s="508"/>
      <c r="M1013" s="508"/>
      <c r="N1013" s="508"/>
      <c r="O1013" s="509"/>
      <c r="P1013" s="509"/>
    </row>
    <row r="1014" spans="1:16" ht="21.75" customHeight="1" x14ac:dyDescent="0.3">
      <c r="A1014" s="504"/>
      <c r="B1014" s="504"/>
      <c r="C1014" s="504"/>
      <c r="D1014" s="504"/>
      <c r="E1014" s="506"/>
      <c r="F1014" s="506"/>
      <c r="G1014" s="506"/>
      <c r="H1014" s="506"/>
      <c r="I1014" s="506"/>
      <c r="J1014" s="506"/>
      <c r="K1014" s="507"/>
      <c r="L1014" s="508"/>
      <c r="M1014" s="508"/>
      <c r="N1014" s="508"/>
      <c r="O1014" s="509"/>
      <c r="P1014" s="509"/>
    </row>
    <row r="1015" spans="1:16" ht="21.75" customHeight="1" x14ac:dyDescent="0.3">
      <c r="A1015" s="504"/>
      <c r="B1015" s="504"/>
      <c r="C1015" s="504"/>
      <c r="D1015" s="504"/>
      <c r="E1015" s="506"/>
      <c r="F1015" s="506"/>
      <c r="G1015" s="506"/>
      <c r="H1015" s="506"/>
      <c r="I1015" s="506"/>
      <c r="J1015" s="506"/>
      <c r="K1015" s="507"/>
      <c r="L1015" s="508"/>
      <c r="M1015" s="508"/>
      <c r="N1015" s="508"/>
      <c r="O1015" s="509"/>
      <c r="P1015" s="509"/>
    </row>
    <row r="1016" spans="1:16" ht="21.75" customHeight="1" x14ac:dyDescent="0.3">
      <c r="A1016" s="504"/>
      <c r="B1016" s="504"/>
      <c r="C1016" s="504"/>
      <c r="D1016" s="504"/>
      <c r="E1016" s="506"/>
      <c r="F1016" s="506"/>
      <c r="G1016" s="506"/>
      <c r="H1016" s="506"/>
      <c r="I1016" s="506"/>
      <c r="J1016" s="506"/>
      <c r="K1016" s="507"/>
      <c r="L1016" s="508"/>
      <c r="M1016" s="508"/>
      <c r="N1016" s="508"/>
      <c r="O1016" s="509"/>
      <c r="P1016" s="509"/>
    </row>
    <row r="1017" spans="1:16" ht="21.75" customHeight="1" x14ac:dyDescent="0.3">
      <c r="A1017" s="504"/>
      <c r="B1017" s="504"/>
      <c r="C1017" s="504"/>
      <c r="D1017" s="504"/>
      <c r="E1017" s="506"/>
      <c r="F1017" s="506"/>
      <c r="G1017" s="506"/>
      <c r="H1017" s="506"/>
      <c r="I1017" s="506"/>
      <c r="J1017" s="506"/>
      <c r="K1017" s="507"/>
      <c r="L1017" s="508"/>
      <c r="M1017" s="508"/>
      <c r="N1017" s="508"/>
      <c r="O1017" s="509"/>
      <c r="P1017" s="509"/>
    </row>
    <row r="1018" spans="1:16" ht="21.75" customHeight="1" x14ac:dyDescent="0.3">
      <c r="A1018" s="504"/>
      <c r="B1018" s="504"/>
      <c r="C1018" s="504"/>
      <c r="D1018" s="504"/>
      <c r="E1018" s="506"/>
      <c r="F1018" s="506"/>
      <c r="G1018" s="506"/>
      <c r="H1018" s="506"/>
      <c r="I1018" s="506"/>
      <c r="J1018" s="506"/>
      <c r="K1018" s="507"/>
      <c r="L1018" s="508"/>
      <c r="M1018" s="508"/>
      <c r="N1018" s="508"/>
      <c r="O1018" s="509"/>
      <c r="P1018" s="509"/>
    </row>
    <row r="1019" spans="1:16" ht="21.75" customHeight="1" x14ac:dyDescent="0.3">
      <c r="A1019" s="504"/>
      <c r="B1019" s="504"/>
      <c r="C1019" s="504"/>
      <c r="D1019" s="504"/>
      <c r="E1019" s="506"/>
      <c r="F1019" s="506"/>
      <c r="G1019" s="506"/>
      <c r="H1019" s="506"/>
      <c r="I1019" s="506"/>
      <c r="J1019" s="506"/>
      <c r="K1019" s="507"/>
      <c r="L1019" s="508"/>
      <c r="M1019" s="508"/>
      <c r="N1019" s="508"/>
      <c r="O1019" s="509"/>
      <c r="P1019" s="509"/>
    </row>
    <row r="1020" spans="1:16" ht="21.75" customHeight="1" x14ac:dyDescent="0.3">
      <c r="A1020" s="504"/>
      <c r="B1020" s="504"/>
      <c r="C1020" s="504"/>
      <c r="D1020" s="504"/>
      <c r="E1020" s="506"/>
      <c r="F1020" s="506"/>
      <c r="G1020" s="506"/>
      <c r="H1020" s="506"/>
      <c r="I1020" s="506"/>
      <c r="J1020" s="506"/>
      <c r="K1020" s="507"/>
      <c r="L1020" s="508"/>
      <c r="M1020" s="508"/>
      <c r="N1020" s="508"/>
      <c r="O1020" s="509"/>
      <c r="P1020" s="509"/>
    </row>
    <row r="1021" spans="1:16" ht="21.75" customHeight="1" x14ac:dyDescent="0.3">
      <c r="A1021" s="504"/>
      <c r="B1021" s="504"/>
      <c r="C1021" s="504"/>
      <c r="D1021" s="504"/>
      <c r="E1021" s="506"/>
      <c r="F1021" s="506"/>
      <c r="G1021" s="506"/>
      <c r="H1021" s="506"/>
      <c r="I1021" s="506"/>
      <c r="J1021" s="506"/>
      <c r="K1021" s="507"/>
      <c r="L1021" s="508"/>
      <c r="M1021" s="508"/>
      <c r="N1021" s="508"/>
      <c r="O1021" s="509"/>
      <c r="P1021" s="509"/>
    </row>
    <row r="1022" spans="1:16" ht="21.75" customHeight="1" x14ac:dyDescent="0.3">
      <c r="A1022" s="504"/>
      <c r="B1022" s="504"/>
      <c r="C1022" s="504"/>
      <c r="D1022" s="504"/>
      <c r="E1022" s="506"/>
      <c r="F1022" s="506"/>
      <c r="G1022" s="506"/>
      <c r="H1022" s="506"/>
      <c r="I1022" s="506"/>
      <c r="J1022" s="506"/>
      <c r="K1022" s="507"/>
      <c r="L1022" s="508"/>
      <c r="M1022" s="508"/>
      <c r="N1022" s="508"/>
      <c r="O1022" s="509"/>
      <c r="P1022" s="509"/>
    </row>
    <row r="1023" spans="1:16" ht="21.75" customHeight="1" x14ac:dyDescent="0.3">
      <c r="A1023" s="504"/>
      <c r="B1023" s="504"/>
      <c r="C1023" s="504"/>
      <c r="D1023" s="504"/>
      <c r="E1023" s="506"/>
      <c r="F1023" s="506"/>
      <c r="G1023" s="506"/>
      <c r="H1023" s="506"/>
      <c r="I1023" s="506"/>
      <c r="J1023" s="506"/>
      <c r="K1023" s="507"/>
      <c r="L1023" s="508"/>
      <c r="M1023" s="508"/>
      <c r="N1023" s="508"/>
      <c r="O1023" s="509"/>
      <c r="P1023" s="509"/>
    </row>
    <row r="1024" spans="1:16" ht="21.75" customHeight="1" x14ac:dyDescent="0.3">
      <c r="A1024" s="504"/>
      <c r="B1024" s="504"/>
      <c r="C1024" s="504"/>
      <c r="D1024" s="504"/>
      <c r="E1024" s="506"/>
      <c r="F1024" s="506"/>
      <c r="G1024" s="506"/>
      <c r="H1024" s="506"/>
      <c r="I1024" s="506"/>
      <c r="J1024" s="506"/>
      <c r="K1024" s="507"/>
      <c r="L1024" s="508"/>
      <c r="M1024" s="508"/>
      <c r="N1024" s="508"/>
      <c r="O1024" s="509"/>
      <c r="P1024" s="509"/>
    </row>
    <row r="1025" spans="1:16" ht="21.75" customHeight="1" x14ac:dyDescent="0.3">
      <c r="A1025" s="504"/>
      <c r="B1025" s="504"/>
      <c r="C1025" s="504"/>
      <c r="D1025" s="504"/>
      <c r="E1025" s="506"/>
      <c r="F1025" s="506"/>
      <c r="G1025" s="506"/>
      <c r="H1025" s="506"/>
      <c r="I1025" s="506"/>
      <c r="J1025" s="506"/>
      <c r="K1025" s="507"/>
      <c r="L1025" s="508"/>
      <c r="M1025" s="508"/>
      <c r="N1025" s="508"/>
      <c r="O1025" s="509"/>
      <c r="P1025" s="509"/>
    </row>
    <row r="1026" spans="1:16" ht="21.75" customHeight="1" x14ac:dyDescent="0.3">
      <c r="A1026" s="504"/>
      <c r="B1026" s="504"/>
      <c r="C1026" s="504"/>
      <c r="D1026" s="504"/>
      <c r="E1026" s="506"/>
      <c r="F1026" s="506"/>
      <c r="G1026" s="506"/>
      <c r="H1026" s="506"/>
      <c r="I1026" s="506"/>
      <c r="J1026" s="506"/>
      <c r="K1026" s="507"/>
      <c r="L1026" s="508"/>
      <c r="M1026" s="508"/>
      <c r="N1026" s="508"/>
      <c r="O1026" s="509"/>
      <c r="P1026" s="509"/>
    </row>
    <row r="1027" spans="1:16" ht="21.75" customHeight="1" x14ac:dyDescent="0.3">
      <c r="A1027" s="504"/>
      <c r="B1027" s="504"/>
      <c r="C1027" s="504"/>
      <c r="D1027" s="504"/>
      <c r="E1027" s="506"/>
      <c r="F1027" s="506"/>
      <c r="G1027" s="506"/>
      <c r="H1027" s="506"/>
      <c r="I1027" s="506"/>
      <c r="J1027" s="506"/>
      <c r="K1027" s="507"/>
      <c r="L1027" s="508"/>
      <c r="M1027" s="508"/>
      <c r="N1027" s="508"/>
      <c r="O1027" s="509"/>
      <c r="P1027" s="509"/>
    </row>
    <row r="1028" spans="1:16" ht="21.75" customHeight="1" x14ac:dyDescent="0.3">
      <c r="A1028" s="504"/>
      <c r="B1028" s="504"/>
      <c r="C1028" s="504"/>
      <c r="D1028" s="504"/>
      <c r="E1028" s="506"/>
      <c r="F1028" s="506"/>
      <c r="G1028" s="506"/>
      <c r="H1028" s="506"/>
      <c r="I1028" s="506"/>
      <c r="J1028" s="506"/>
      <c r="K1028" s="507"/>
      <c r="L1028" s="508"/>
      <c r="M1028" s="508"/>
      <c r="N1028" s="508"/>
      <c r="O1028" s="509"/>
      <c r="P1028" s="509"/>
    </row>
    <row r="1029" spans="1:16" ht="21.75" customHeight="1" x14ac:dyDescent="0.3">
      <c r="A1029" s="504"/>
      <c r="B1029" s="504"/>
      <c r="C1029" s="504"/>
      <c r="D1029" s="504"/>
      <c r="E1029" s="506"/>
      <c r="F1029" s="506"/>
      <c r="G1029" s="506"/>
      <c r="H1029" s="506"/>
      <c r="I1029" s="506"/>
      <c r="J1029" s="506"/>
      <c r="K1029" s="507"/>
      <c r="L1029" s="508"/>
      <c r="M1029" s="508"/>
      <c r="N1029" s="508"/>
      <c r="O1029" s="509"/>
      <c r="P1029" s="509"/>
    </row>
    <row r="1030" spans="1:16" ht="21.75" customHeight="1" x14ac:dyDescent="0.3">
      <c r="A1030" s="504"/>
      <c r="B1030" s="504"/>
      <c r="C1030" s="504"/>
      <c r="D1030" s="504"/>
      <c r="E1030" s="506"/>
      <c r="F1030" s="506"/>
      <c r="G1030" s="506"/>
      <c r="H1030" s="506"/>
      <c r="I1030" s="506"/>
      <c r="J1030" s="506"/>
      <c r="K1030" s="507"/>
      <c r="L1030" s="508"/>
      <c r="M1030" s="508"/>
      <c r="N1030" s="508"/>
      <c r="O1030" s="509"/>
      <c r="P1030" s="509"/>
    </row>
    <row r="1031" spans="1:16" ht="21.75" customHeight="1" x14ac:dyDescent="0.3">
      <c r="A1031" s="504"/>
      <c r="B1031" s="504"/>
      <c r="C1031" s="504"/>
      <c r="D1031" s="504"/>
      <c r="E1031" s="506"/>
      <c r="F1031" s="506"/>
      <c r="G1031" s="506"/>
      <c r="H1031" s="506"/>
      <c r="I1031" s="506"/>
      <c r="J1031" s="506"/>
      <c r="K1031" s="507"/>
      <c r="L1031" s="508"/>
      <c r="M1031" s="508"/>
      <c r="N1031" s="508"/>
      <c r="O1031" s="509"/>
      <c r="P1031" s="509"/>
    </row>
    <row r="1032" spans="1:16" ht="21.75" customHeight="1" x14ac:dyDescent="0.3">
      <c r="A1032" s="504"/>
      <c r="B1032" s="504"/>
      <c r="C1032" s="504"/>
      <c r="D1032" s="504"/>
      <c r="E1032" s="506"/>
      <c r="F1032" s="506"/>
      <c r="G1032" s="506"/>
      <c r="H1032" s="506"/>
      <c r="I1032" s="506"/>
      <c r="J1032" s="506"/>
      <c r="K1032" s="507"/>
      <c r="L1032" s="508"/>
      <c r="M1032" s="508"/>
      <c r="N1032" s="508"/>
      <c r="O1032" s="509"/>
      <c r="P1032" s="509"/>
    </row>
    <row r="1033" spans="1:16" ht="21.75" customHeight="1" x14ac:dyDescent="0.3">
      <c r="A1033" s="504"/>
      <c r="B1033" s="504"/>
      <c r="C1033" s="504"/>
      <c r="D1033" s="504"/>
      <c r="E1033" s="506"/>
      <c r="F1033" s="506"/>
      <c r="G1033" s="506"/>
      <c r="H1033" s="506"/>
      <c r="I1033" s="506"/>
      <c r="J1033" s="506"/>
      <c r="K1033" s="507"/>
      <c r="L1033" s="508"/>
      <c r="M1033" s="508"/>
      <c r="N1033" s="508"/>
      <c r="O1033" s="509"/>
      <c r="P1033" s="509"/>
    </row>
    <row r="1034" spans="1:16" ht="21.75" customHeight="1" x14ac:dyDescent="0.3">
      <c r="A1034" s="504"/>
      <c r="B1034" s="504"/>
      <c r="C1034" s="504"/>
      <c r="D1034" s="504"/>
      <c r="E1034" s="506"/>
      <c r="F1034" s="506"/>
      <c r="G1034" s="506"/>
      <c r="H1034" s="506"/>
      <c r="I1034" s="506"/>
      <c r="J1034" s="506"/>
      <c r="K1034" s="507"/>
      <c r="L1034" s="508"/>
      <c r="M1034" s="508"/>
      <c r="N1034" s="508"/>
      <c r="O1034" s="509"/>
      <c r="P1034" s="509"/>
    </row>
    <row r="1035" spans="1:16" ht="21.75" customHeight="1" x14ac:dyDescent="0.3">
      <c r="A1035" s="504"/>
      <c r="B1035" s="504"/>
      <c r="C1035" s="504"/>
      <c r="D1035" s="504"/>
      <c r="E1035" s="506"/>
      <c r="F1035" s="506"/>
      <c r="G1035" s="506"/>
      <c r="H1035" s="506"/>
      <c r="I1035" s="506"/>
      <c r="J1035" s="506"/>
      <c r="K1035" s="507"/>
      <c r="L1035" s="508"/>
      <c r="M1035" s="508"/>
      <c r="N1035" s="508"/>
      <c r="O1035" s="509"/>
      <c r="P1035" s="509"/>
    </row>
    <row r="1036" spans="1:16" ht="21.75" customHeight="1" x14ac:dyDescent="0.3">
      <c r="A1036" s="504"/>
      <c r="B1036" s="504"/>
      <c r="C1036" s="504"/>
      <c r="D1036" s="504"/>
      <c r="E1036" s="506"/>
      <c r="F1036" s="506"/>
      <c r="G1036" s="506"/>
      <c r="H1036" s="506"/>
      <c r="I1036" s="506"/>
      <c r="J1036" s="506"/>
      <c r="K1036" s="507"/>
      <c r="L1036" s="508"/>
      <c r="M1036" s="508"/>
      <c r="N1036" s="508"/>
      <c r="O1036" s="509"/>
      <c r="P1036" s="509"/>
    </row>
    <row r="1037" spans="1:16" ht="21.75" customHeight="1" x14ac:dyDescent="0.3">
      <c r="A1037" s="504"/>
      <c r="B1037" s="504"/>
      <c r="C1037" s="504"/>
      <c r="D1037" s="504"/>
      <c r="E1037" s="506"/>
      <c r="F1037" s="506"/>
      <c r="G1037" s="506"/>
      <c r="H1037" s="506"/>
      <c r="I1037" s="506"/>
      <c r="J1037" s="506"/>
      <c r="K1037" s="507"/>
      <c r="L1037" s="508"/>
      <c r="M1037" s="508"/>
      <c r="N1037" s="508"/>
      <c r="O1037" s="509"/>
      <c r="P1037" s="509"/>
    </row>
    <row r="1038" spans="1:16" ht="21.75" customHeight="1" x14ac:dyDescent="0.3">
      <c r="A1038" s="504"/>
      <c r="B1038" s="504"/>
      <c r="C1038" s="504"/>
      <c r="D1038" s="504"/>
      <c r="E1038" s="506"/>
      <c r="F1038" s="506"/>
      <c r="G1038" s="506"/>
      <c r="H1038" s="506"/>
      <c r="I1038" s="506"/>
      <c r="J1038" s="506"/>
      <c r="K1038" s="507"/>
      <c r="L1038" s="508"/>
      <c r="M1038" s="508"/>
      <c r="N1038" s="508"/>
      <c r="O1038" s="509"/>
      <c r="P1038" s="509"/>
    </row>
    <row r="1039" spans="1:16" ht="21.75" customHeight="1" x14ac:dyDescent="0.3">
      <c r="A1039" s="504"/>
      <c r="B1039" s="504"/>
      <c r="C1039" s="504"/>
      <c r="D1039" s="504"/>
      <c r="E1039" s="506"/>
      <c r="F1039" s="506"/>
      <c r="G1039" s="506"/>
      <c r="H1039" s="506"/>
      <c r="I1039" s="506"/>
      <c r="J1039" s="506"/>
      <c r="K1039" s="507"/>
      <c r="L1039" s="508"/>
      <c r="M1039" s="508"/>
      <c r="N1039" s="508"/>
      <c r="O1039" s="509"/>
      <c r="P1039" s="509"/>
    </row>
    <row r="1040" spans="1:16" ht="21.75" customHeight="1" x14ac:dyDescent="0.3">
      <c r="A1040" s="504"/>
      <c r="B1040" s="504"/>
      <c r="C1040" s="504"/>
      <c r="D1040" s="504"/>
      <c r="E1040" s="506"/>
      <c r="F1040" s="506"/>
      <c r="G1040" s="506"/>
      <c r="H1040" s="506"/>
      <c r="I1040" s="506"/>
      <c r="J1040" s="506"/>
      <c r="K1040" s="507"/>
      <c r="L1040" s="508"/>
      <c r="M1040" s="508"/>
      <c r="N1040" s="508"/>
      <c r="O1040" s="509"/>
      <c r="P1040" s="509"/>
    </row>
    <row r="1041" spans="1:16" ht="21.75" customHeight="1" x14ac:dyDescent="0.3">
      <c r="A1041" s="504"/>
      <c r="B1041" s="504"/>
      <c r="C1041" s="504"/>
      <c r="D1041" s="504"/>
      <c r="E1041" s="506"/>
      <c r="F1041" s="506"/>
      <c r="G1041" s="506"/>
      <c r="H1041" s="506"/>
      <c r="I1041" s="506"/>
      <c r="J1041" s="506"/>
      <c r="K1041" s="507"/>
      <c r="L1041" s="508"/>
      <c r="M1041" s="508"/>
      <c r="N1041" s="508"/>
      <c r="O1041" s="509"/>
      <c r="P1041" s="509"/>
    </row>
    <row r="1042" spans="1:16" ht="21.75" customHeight="1" x14ac:dyDescent="0.3">
      <c r="A1042" s="504"/>
      <c r="B1042" s="504"/>
      <c r="C1042" s="504"/>
      <c r="D1042" s="504"/>
      <c r="E1042" s="506"/>
      <c r="F1042" s="506"/>
      <c r="G1042" s="506"/>
      <c r="H1042" s="506"/>
      <c r="I1042" s="506"/>
      <c r="J1042" s="506"/>
      <c r="K1042" s="507"/>
      <c r="L1042" s="508"/>
      <c r="M1042" s="508"/>
      <c r="N1042" s="508"/>
      <c r="O1042" s="509"/>
      <c r="P1042" s="509"/>
    </row>
    <row r="1043" spans="1:16" ht="21.75" customHeight="1" x14ac:dyDescent="0.3">
      <c r="A1043" s="504"/>
      <c r="B1043" s="504"/>
      <c r="C1043" s="504"/>
      <c r="D1043" s="504"/>
      <c r="E1043" s="506"/>
      <c r="F1043" s="506"/>
      <c r="G1043" s="506"/>
      <c r="H1043" s="506"/>
      <c r="I1043" s="506"/>
      <c r="J1043" s="506"/>
      <c r="K1043" s="507"/>
      <c r="L1043" s="508"/>
      <c r="M1043" s="508"/>
      <c r="N1043" s="508"/>
      <c r="O1043" s="509"/>
      <c r="P1043" s="509"/>
    </row>
    <row r="1044" spans="1:16" ht="21.75" customHeight="1" x14ac:dyDescent="0.3">
      <c r="A1044" s="504"/>
      <c r="B1044" s="504"/>
      <c r="C1044" s="504"/>
      <c r="D1044" s="504"/>
      <c r="E1044" s="506"/>
      <c r="F1044" s="506"/>
      <c r="G1044" s="506"/>
      <c r="H1044" s="506"/>
      <c r="I1044" s="506"/>
      <c r="J1044" s="506"/>
      <c r="K1044" s="507"/>
      <c r="L1044" s="508"/>
      <c r="M1044" s="508"/>
      <c r="N1044" s="508"/>
      <c r="O1044" s="509"/>
      <c r="P1044" s="509"/>
    </row>
    <row r="1045" spans="1:16" ht="21.75" customHeight="1" x14ac:dyDescent="0.3">
      <c r="A1045" s="504"/>
      <c r="B1045" s="504"/>
      <c r="C1045" s="504"/>
      <c r="D1045" s="504"/>
      <c r="E1045" s="506"/>
      <c r="F1045" s="506"/>
      <c r="G1045" s="506"/>
      <c r="H1045" s="506"/>
      <c r="I1045" s="506"/>
      <c r="J1045" s="506"/>
      <c r="K1045" s="507"/>
      <c r="L1045" s="508"/>
      <c r="M1045" s="508"/>
      <c r="N1045" s="508"/>
      <c r="O1045" s="509"/>
      <c r="P1045" s="509"/>
    </row>
    <row r="1046" spans="1:16" ht="21.75" customHeight="1" x14ac:dyDescent="0.3">
      <c r="A1046" s="504"/>
      <c r="B1046" s="504"/>
      <c r="C1046" s="504"/>
      <c r="D1046" s="504"/>
      <c r="E1046" s="506"/>
      <c r="F1046" s="506"/>
      <c r="G1046" s="506"/>
      <c r="H1046" s="506"/>
      <c r="I1046" s="506"/>
      <c r="J1046" s="506"/>
      <c r="K1046" s="507"/>
      <c r="L1046" s="508"/>
      <c r="M1046" s="508"/>
      <c r="N1046" s="508"/>
      <c r="O1046" s="509"/>
      <c r="P1046" s="509"/>
    </row>
    <row r="1047" spans="1:16" ht="21.75" customHeight="1" x14ac:dyDescent="0.3">
      <c r="A1047" s="504"/>
      <c r="B1047" s="504"/>
      <c r="C1047" s="504"/>
      <c r="D1047" s="504"/>
      <c r="E1047" s="506"/>
      <c r="F1047" s="506"/>
      <c r="G1047" s="506"/>
      <c r="H1047" s="506"/>
      <c r="I1047" s="506"/>
      <c r="J1047" s="506"/>
      <c r="K1047" s="507"/>
      <c r="L1047" s="508"/>
      <c r="M1047" s="508"/>
      <c r="N1047" s="508"/>
      <c r="O1047" s="509"/>
      <c r="P1047" s="509"/>
    </row>
    <row r="1048" spans="1:16" ht="21.75" customHeight="1" x14ac:dyDescent="0.3">
      <c r="A1048" s="504"/>
      <c r="B1048" s="504"/>
      <c r="C1048" s="504"/>
      <c r="D1048" s="504"/>
      <c r="E1048" s="506"/>
      <c r="F1048" s="506"/>
      <c r="G1048" s="506"/>
      <c r="H1048" s="506"/>
      <c r="I1048" s="506"/>
      <c r="J1048" s="506"/>
      <c r="K1048" s="507"/>
      <c r="L1048" s="508"/>
      <c r="M1048" s="508"/>
      <c r="N1048" s="508"/>
      <c r="O1048" s="509"/>
      <c r="P1048" s="509"/>
    </row>
    <row r="1049" spans="1:16" ht="21.75" customHeight="1" x14ac:dyDescent="0.3">
      <c r="A1049" s="504"/>
      <c r="B1049" s="504"/>
      <c r="C1049" s="504"/>
      <c r="D1049" s="504"/>
      <c r="E1049" s="506"/>
      <c r="F1049" s="506"/>
      <c r="G1049" s="506"/>
      <c r="H1049" s="506"/>
      <c r="I1049" s="506"/>
      <c r="J1049" s="506"/>
      <c r="K1049" s="507"/>
      <c r="L1049" s="508"/>
      <c r="M1049" s="508"/>
      <c r="N1049" s="508"/>
      <c r="O1049" s="509"/>
      <c r="P1049" s="509"/>
    </row>
    <row r="1050" spans="1:16" ht="21.75" customHeight="1" x14ac:dyDescent="0.3">
      <c r="A1050" s="504"/>
      <c r="B1050" s="504"/>
      <c r="C1050" s="504"/>
      <c r="D1050" s="504"/>
      <c r="E1050" s="506"/>
      <c r="F1050" s="506"/>
      <c r="G1050" s="506"/>
      <c r="H1050" s="506"/>
      <c r="I1050" s="506"/>
      <c r="J1050" s="506"/>
      <c r="K1050" s="507"/>
      <c r="L1050" s="508"/>
      <c r="M1050" s="508"/>
      <c r="N1050" s="508"/>
      <c r="O1050" s="509"/>
      <c r="P1050" s="509"/>
    </row>
    <row r="1051" spans="1:16" ht="21.75" customHeight="1" x14ac:dyDescent="0.3">
      <c r="A1051" s="504"/>
      <c r="B1051" s="504"/>
      <c r="C1051" s="504"/>
      <c r="D1051" s="504"/>
      <c r="E1051" s="506"/>
      <c r="F1051" s="506"/>
      <c r="G1051" s="506"/>
      <c r="H1051" s="506"/>
      <c r="I1051" s="506"/>
      <c r="J1051" s="506"/>
      <c r="K1051" s="507"/>
      <c r="L1051" s="508"/>
      <c r="M1051" s="508"/>
      <c r="N1051" s="508"/>
      <c r="O1051" s="509"/>
      <c r="P1051" s="509"/>
    </row>
    <row r="1052" spans="1:16" ht="21.75" customHeight="1" x14ac:dyDescent="0.3">
      <c r="A1052" s="504"/>
      <c r="B1052" s="504"/>
      <c r="C1052" s="504"/>
      <c r="D1052" s="504"/>
      <c r="E1052" s="506"/>
      <c r="F1052" s="506"/>
      <c r="G1052" s="506"/>
      <c r="H1052" s="506"/>
      <c r="I1052" s="506"/>
      <c r="J1052" s="506"/>
      <c r="K1052" s="507"/>
      <c r="L1052" s="508"/>
      <c r="M1052" s="508"/>
      <c r="N1052" s="508"/>
      <c r="O1052" s="509"/>
      <c r="P1052" s="509"/>
    </row>
    <row r="1053" spans="1:16" ht="21.75" customHeight="1" x14ac:dyDescent="0.3">
      <c r="A1053" s="504"/>
      <c r="B1053" s="504"/>
      <c r="C1053" s="504"/>
      <c r="D1053" s="504"/>
      <c r="E1053" s="506"/>
      <c r="F1053" s="506"/>
      <c r="G1053" s="506"/>
      <c r="H1053" s="506"/>
      <c r="I1053" s="506"/>
      <c r="J1053" s="506"/>
      <c r="K1053" s="507"/>
      <c r="L1053" s="508"/>
      <c r="M1053" s="508"/>
      <c r="N1053" s="508"/>
      <c r="O1053" s="509"/>
      <c r="P1053" s="509"/>
    </row>
    <row r="1054" spans="1:16" ht="21.75" customHeight="1" x14ac:dyDescent="0.3">
      <c r="A1054" s="504"/>
      <c r="B1054" s="504"/>
      <c r="C1054" s="504"/>
      <c r="D1054" s="504"/>
      <c r="E1054" s="506"/>
      <c r="F1054" s="506"/>
      <c r="G1054" s="506"/>
      <c r="H1054" s="506"/>
      <c r="I1054" s="506"/>
      <c r="J1054" s="506"/>
      <c r="K1054" s="507"/>
      <c r="L1054" s="508"/>
      <c r="M1054" s="508"/>
      <c r="N1054" s="508"/>
      <c r="O1054" s="509"/>
      <c r="P1054" s="509"/>
    </row>
    <row r="1055" spans="1:16" ht="21.75" customHeight="1" x14ac:dyDescent="0.3">
      <c r="A1055" s="504"/>
      <c r="B1055" s="504"/>
      <c r="C1055" s="504"/>
      <c r="D1055" s="504"/>
      <c r="E1055" s="506"/>
      <c r="F1055" s="506"/>
      <c r="G1055" s="506"/>
      <c r="H1055" s="506"/>
      <c r="I1055" s="506"/>
      <c r="J1055" s="506"/>
      <c r="K1055" s="507"/>
      <c r="L1055" s="508"/>
      <c r="M1055" s="508"/>
      <c r="N1055" s="508"/>
      <c r="O1055" s="509"/>
      <c r="P1055" s="509"/>
    </row>
    <row r="1056" spans="1:16" ht="21.75" customHeight="1" x14ac:dyDescent="0.3">
      <c r="A1056" s="504"/>
      <c r="B1056" s="504"/>
      <c r="C1056" s="504"/>
      <c r="D1056" s="504"/>
      <c r="E1056" s="506"/>
      <c r="F1056" s="506"/>
      <c r="G1056" s="506"/>
      <c r="H1056" s="506"/>
      <c r="I1056" s="506"/>
      <c r="J1056" s="506"/>
      <c r="K1056" s="507"/>
      <c r="L1056" s="508"/>
      <c r="M1056" s="508"/>
      <c r="N1056" s="508"/>
      <c r="O1056" s="509"/>
      <c r="P1056" s="509"/>
    </row>
    <row r="1057" spans="1:16" ht="21.75" customHeight="1" x14ac:dyDescent="0.3">
      <c r="A1057" s="504"/>
      <c r="B1057" s="504"/>
      <c r="C1057" s="504"/>
      <c r="D1057" s="504"/>
      <c r="E1057" s="506"/>
      <c r="F1057" s="506"/>
      <c r="G1057" s="506"/>
      <c r="H1057" s="506"/>
      <c r="I1057" s="506"/>
      <c r="J1057" s="506"/>
      <c r="K1057" s="507"/>
      <c r="L1057" s="508"/>
      <c r="M1057" s="508"/>
      <c r="N1057" s="508"/>
      <c r="O1057" s="509"/>
      <c r="P1057" s="509"/>
    </row>
    <row r="1058" spans="1:16" ht="21.75" customHeight="1" x14ac:dyDescent="0.3">
      <c r="A1058" s="504"/>
      <c r="B1058" s="504"/>
      <c r="C1058" s="504"/>
      <c r="D1058" s="504"/>
      <c r="E1058" s="506"/>
      <c r="F1058" s="506"/>
      <c r="G1058" s="506"/>
      <c r="H1058" s="506"/>
      <c r="I1058" s="506"/>
      <c r="J1058" s="506"/>
      <c r="K1058" s="507"/>
      <c r="L1058" s="508"/>
      <c r="M1058" s="508"/>
      <c r="N1058" s="508"/>
      <c r="O1058" s="509"/>
      <c r="P1058" s="509"/>
    </row>
    <row r="1059" spans="1:16" ht="21.75" customHeight="1" x14ac:dyDescent="0.3">
      <c r="A1059" s="504"/>
      <c r="B1059" s="504"/>
      <c r="C1059" s="504"/>
      <c r="D1059" s="504"/>
      <c r="E1059" s="506"/>
      <c r="F1059" s="506"/>
      <c r="G1059" s="506"/>
      <c r="H1059" s="506"/>
      <c r="I1059" s="506"/>
      <c r="J1059" s="506"/>
      <c r="K1059" s="507"/>
      <c r="L1059" s="508"/>
      <c r="M1059" s="508"/>
      <c r="N1059" s="508"/>
      <c r="O1059" s="509"/>
      <c r="P1059" s="509"/>
    </row>
    <row r="1060" spans="1:16" ht="21.75" customHeight="1" x14ac:dyDescent="0.3">
      <c r="A1060" s="504"/>
      <c r="B1060" s="504"/>
      <c r="C1060" s="504"/>
      <c r="D1060" s="504"/>
      <c r="E1060" s="506"/>
      <c r="F1060" s="506"/>
      <c r="G1060" s="506"/>
      <c r="H1060" s="506"/>
      <c r="I1060" s="506"/>
      <c r="J1060" s="506"/>
      <c r="K1060" s="507"/>
      <c r="L1060" s="508"/>
      <c r="M1060" s="508"/>
      <c r="N1060" s="508"/>
      <c r="O1060" s="509"/>
      <c r="P1060" s="509"/>
    </row>
    <row r="1061" spans="1:16" ht="21.75" customHeight="1" x14ac:dyDescent="0.3">
      <c r="A1061" s="504"/>
      <c r="B1061" s="504"/>
      <c r="C1061" s="504"/>
      <c r="D1061" s="504"/>
      <c r="E1061" s="506"/>
      <c r="F1061" s="506"/>
      <c r="G1061" s="506"/>
      <c r="H1061" s="506"/>
      <c r="I1061" s="506"/>
      <c r="J1061" s="506"/>
      <c r="K1061" s="507"/>
      <c r="L1061" s="508"/>
      <c r="M1061" s="508"/>
      <c r="N1061" s="508"/>
      <c r="O1061" s="509"/>
      <c r="P1061" s="509"/>
    </row>
    <row r="1062" spans="1:16" ht="21.75" customHeight="1" x14ac:dyDescent="0.3">
      <c r="A1062" s="504"/>
      <c r="B1062" s="504"/>
      <c r="C1062" s="504"/>
      <c r="D1062" s="504"/>
      <c r="E1062" s="506"/>
      <c r="F1062" s="506"/>
      <c r="G1062" s="506"/>
      <c r="H1062" s="506"/>
      <c r="I1062" s="506"/>
      <c r="J1062" s="506"/>
      <c r="K1062" s="507"/>
      <c r="L1062" s="508"/>
      <c r="M1062" s="508"/>
      <c r="N1062" s="508"/>
      <c r="O1062" s="509"/>
      <c r="P1062" s="509"/>
    </row>
    <row r="1063" spans="1:16" ht="21.75" customHeight="1" x14ac:dyDescent="0.3">
      <c r="A1063" s="504"/>
      <c r="B1063" s="504"/>
      <c r="C1063" s="504"/>
      <c r="D1063" s="504"/>
      <c r="E1063" s="506"/>
      <c r="F1063" s="506"/>
      <c r="G1063" s="506"/>
      <c r="H1063" s="506"/>
      <c r="I1063" s="506"/>
      <c r="J1063" s="506"/>
      <c r="K1063" s="507"/>
      <c r="L1063" s="508"/>
      <c r="M1063" s="508"/>
      <c r="N1063" s="508"/>
      <c r="O1063" s="509"/>
      <c r="P1063" s="509"/>
    </row>
    <row r="1064" spans="1:16" ht="21.75" customHeight="1" x14ac:dyDescent="0.3">
      <c r="A1064" s="504"/>
      <c r="B1064" s="504"/>
      <c r="C1064" s="504"/>
      <c r="D1064" s="504"/>
      <c r="E1064" s="506"/>
      <c r="F1064" s="506"/>
      <c r="G1064" s="506"/>
      <c r="H1064" s="506"/>
      <c r="I1064" s="506"/>
      <c r="J1064" s="506"/>
      <c r="K1064" s="507"/>
      <c r="L1064" s="508"/>
      <c r="M1064" s="508"/>
      <c r="N1064" s="508"/>
      <c r="O1064" s="509"/>
      <c r="P1064" s="509"/>
    </row>
    <row r="1065" spans="1:16" ht="21.75" customHeight="1" x14ac:dyDescent="0.3">
      <c r="A1065" s="504"/>
      <c r="B1065" s="504"/>
      <c r="C1065" s="504"/>
      <c r="D1065" s="504"/>
      <c r="E1065" s="506"/>
      <c r="F1065" s="506"/>
      <c r="G1065" s="506"/>
      <c r="H1065" s="506"/>
      <c r="I1065" s="506"/>
      <c r="J1065" s="506"/>
      <c r="K1065" s="507"/>
      <c r="L1065" s="508"/>
      <c r="M1065" s="508"/>
      <c r="N1065" s="508"/>
      <c r="O1065" s="509"/>
      <c r="P1065" s="509"/>
    </row>
    <row r="1066" spans="1:16" ht="21.75" customHeight="1" x14ac:dyDescent="0.3">
      <c r="A1066" s="504"/>
      <c r="B1066" s="504"/>
      <c r="C1066" s="504"/>
      <c r="D1066" s="504"/>
      <c r="E1066" s="506"/>
      <c r="F1066" s="506"/>
      <c r="G1066" s="506"/>
      <c r="H1066" s="506"/>
      <c r="I1066" s="506"/>
      <c r="J1066" s="506"/>
      <c r="K1066" s="507"/>
      <c r="L1066" s="508"/>
      <c r="M1066" s="508"/>
      <c r="N1066" s="508"/>
      <c r="O1066" s="509"/>
      <c r="P1066" s="509"/>
    </row>
    <row r="1067" spans="1:16" ht="21.75" customHeight="1" x14ac:dyDescent="0.3">
      <c r="A1067" s="504"/>
      <c r="B1067" s="504"/>
      <c r="C1067" s="504"/>
      <c r="D1067" s="504"/>
      <c r="E1067" s="506"/>
      <c r="F1067" s="506"/>
      <c r="G1067" s="506"/>
      <c r="H1067" s="506"/>
      <c r="I1067" s="506"/>
      <c r="J1067" s="506"/>
      <c r="K1067" s="507"/>
      <c r="L1067" s="508"/>
      <c r="M1067" s="508"/>
      <c r="N1067" s="508"/>
      <c r="O1067" s="509"/>
      <c r="P1067" s="509"/>
    </row>
    <row r="1068" spans="1:16" ht="21.75" customHeight="1" x14ac:dyDescent="0.3">
      <c r="A1068" s="504"/>
      <c r="B1068" s="504"/>
      <c r="C1068" s="504"/>
      <c r="D1068" s="504"/>
      <c r="E1068" s="506"/>
      <c r="F1068" s="506"/>
      <c r="G1068" s="506"/>
      <c r="H1068" s="506"/>
      <c r="I1068" s="506"/>
      <c r="J1068" s="506"/>
      <c r="K1068" s="507"/>
      <c r="L1068" s="508"/>
      <c r="M1068" s="508"/>
      <c r="N1068" s="508"/>
      <c r="O1068" s="509"/>
      <c r="P1068" s="509"/>
    </row>
    <row r="1069" spans="1:16" ht="21.75" customHeight="1" x14ac:dyDescent="0.3">
      <c r="A1069" s="504"/>
      <c r="B1069" s="504"/>
      <c r="C1069" s="504"/>
      <c r="D1069" s="504"/>
      <c r="E1069" s="506"/>
      <c r="F1069" s="506"/>
      <c r="G1069" s="506"/>
      <c r="H1069" s="506"/>
      <c r="I1069" s="506"/>
      <c r="J1069" s="506"/>
      <c r="K1069" s="507"/>
      <c r="L1069" s="508"/>
      <c r="M1069" s="508"/>
      <c r="N1069" s="508"/>
      <c r="O1069" s="509"/>
      <c r="P1069" s="509"/>
    </row>
    <row r="1070" spans="1:16" ht="21.75" customHeight="1" x14ac:dyDescent="0.3">
      <c r="A1070" s="504"/>
      <c r="B1070" s="504"/>
      <c r="C1070" s="504"/>
      <c r="D1070" s="504"/>
      <c r="E1070" s="506"/>
      <c r="F1070" s="506"/>
      <c r="G1070" s="506"/>
      <c r="H1070" s="506"/>
      <c r="I1070" s="506"/>
      <c r="J1070" s="506"/>
      <c r="K1070" s="507"/>
      <c r="L1070" s="508"/>
      <c r="M1070" s="508"/>
      <c r="N1070" s="508"/>
      <c r="O1070" s="509"/>
      <c r="P1070" s="509"/>
    </row>
    <row r="1071" spans="1:16" ht="21.75" customHeight="1" x14ac:dyDescent="0.3">
      <c r="A1071" s="504"/>
      <c r="B1071" s="504"/>
      <c r="C1071" s="504"/>
      <c r="D1071" s="504"/>
      <c r="E1071" s="506"/>
      <c r="F1071" s="506"/>
      <c r="G1071" s="506"/>
      <c r="H1071" s="506"/>
      <c r="I1071" s="506"/>
      <c r="J1071" s="506"/>
      <c r="K1071" s="507"/>
      <c r="L1071" s="508"/>
      <c r="M1071" s="508"/>
      <c r="N1071" s="508"/>
      <c r="O1071" s="509"/>
      <c r="P1071" s="509"/>
    </row>
    <row r="1072" spans="1:16" ht="21.75" customHeight="1" x14ac:dyDescent="0.3">
      <c r="A1072" s="504"/>
      <c r="B1072" s="504"/>
      <c r="C1072" s="504"/>
      <c r="D1072" s="504"/>
      <c r="E1072" s="506"/>
      <c r="F1072" s="506"/>
      <c r="G1072" s="506"/>
      <c r="H1072" s="506"/>
      <c r="I1072" s="506"/>
      <c r="J1072" s="506"/>
      <c r="K1072" s="507"/>
      <c r="L1072" s="508"/>
      <c r="M1072" s="508"/>
      <c r="N1072" s="508"/>
      <c r="O1072" s="509"/>
      <c r="P1072" s="509"/>
    </row>
    <row r="1073" spans="1:16" ht="21.75" customHeight="1" x14ac:dyDescent="0.3">
      <c r="A1073" s="504"/>
      <c r="B1073" s="504"/>
      <c r="C1073" s="504"/>
      <c r="D1073" s="504"/>
      <c r="E1073" s="506"/>
      <c r="F1073" s="506"/>
      <c r="G1073" s="506"/>
      <c r="H1073" s="506"/>
      <c r="I1073" s="506"/>
      <c r="J1073" s="506"/>
      <c r="K1073" s="507"/>
      <c r="L1073" s="508"/>
      <c r="M1073" s="508"/>
      <c r="N1073" s="508"/>
      <c r="O1073" s="509"/>
      <c r="P1073" s="509"/>
    </row>
    <row r="1074" spans="1:16" ht="21.75" customHeight="1" x14ac:dyDescent="0.3">
      <c r="A1074" s="504"/>
      <c r="B1074" s="504"/>
      <c r="C1074" s="504"/>
      <c r="D1074" s="504"/>
      <c r="E1074" s="506"/>
      <c r="F1074" s="506"/>
      <c r="G1074" s="506"/>
      <c r="H1074" s="506"/>
      <c r="I1074" s="506"/>
      <c r="J1074" s="506"/>
      <c r="K1074" s="507"/>
      <c r="L1074" s="508"/>
      <c r="M1074" s="508"/>
      <c r="N1074" s="508"/>
      <c r="O1074" s="509"/>
      <c r="P1074" s="509"/>
    </row>
    <row r="1075" spans="1:16" ht="21.75" customHeight="1" x14ac:dyDescent="0.3">
      <c r="A1075" s="504"/>
      <c r="B1075" s="504"/>
      <c r="C1075" s="504"/>
      <c r="D1075" s="504"/>
      <c r="E1075" s="506"/>
      <c r="F1075" s="506"/>
      <c r="G1075" s="506"/>
      <c r="H1075" s="506"/>
      <c r="I1075" s="506"/>
      <c r="J1075" s="506"/>
      <c r="K1075" s="507"/>
      <c r="L1075" s="508"/>
      <c r="M1075" s="508"/>
      <c r="N1075" s="508"/>
      <c r="O1075" s="509"/>
      <c r="P1075" s="509"/>
    </row>
    <row r="1076" spans="1:16" ht="21.75" customHeight="1" x14ac:dyDescent="0.3">
      <c r="A1076" s="504"/>
      <c r="B1076" s="504"/>
      <c r="C1076" s="504"/>
      <c r="D1076" s="504"/>
      <c r="E1076" s="506"/>
      <c r="F1076" s="506"/>
      <c r="G1076" s="506"/>
      <c r="H1076" s="506"/>
      <c r="I1076" s="506"/>
      <c r="J1076" s="506"/>
      <c r="K1076" s="507"/>
      <c r="L1076" s="508"/>
      <c r="M1076" s="508"/>
      <c r="N1076" s="508"/>
      <c r="O1076" s="509"/>
      <c r="P1076" s="509"/>
    </row>
    <row r="1077" spans="1:16" ht="21.75" customHeight="1" x14ac:dyDescent="0.3">
      <c r="A1077" s="504"/>
      <c r="B1077" s="504"/>
      <c r="C1077" s="504"/>
      <c r="D1077" s="504"/>
      <c r="E1077" s="506"/>
      <c r="F1077" s="506"/>
      <c r="G1077" s="506"/>
      <c r="H1077" s="506"/>
      <c r="I1077" s="506"/>
      <c r="J1077" s="506"/>
      <c r="K1077" s="507"/>
      <c r="L1077" s="508"/>
      <c r="M1077" s="508"/>
      <c r="N1077" s="508"/>
      <c r="O1077" s="509"/>
      <c r="P1077" s="509"/>
    </row>
    <row r="1078" spans="1:16" ht="21.75" customHeight="1" x14ac:dyDescent="0.3">
      <c r="A1078" s="504"/>
      <c r="B1078" s="504"/>
      <c r="C1078" s="504"/>
      <c r="D1078" s="504"/>
      <c r="E1078" s="506"/>
      <c r="F1078" s="506"/>
      <c r="G1078" s="506"/>
      <c r="H1078" s="506"/>
      <c r="I1078" s="506"/>
      <c r="J1078" s="506"/>
      <c r="K1078" s="507"/>
      <c r="L1078" s="508"/>
      <c r="M1078" s="508"/>
      <c r="N1078" s="508"/>
      <c r="O1078" s="509"/>
      <c r="P1078" s="509"/>
    </row>
    <row r="1079" spans="1:16" ht="21.75" customHeight="1" x14ac:dyDescent="0.3">
      <c r="A1079" s="504"/>
      <c r="B1079" s="504"/>
      <c r="C1079" s="504"/>
      <c r="D1079" s="504"/>
      <c r="E1079" s="506"/>
      <c r="F1079" s="506"/>
      <c r="G1079" s="506"/>
      <c r="H1079" s="506"/>
      <c r="I1079" s="506"/>
      <c r="J1079" s="506"/>
      <c r="K1079" s="507"/>
      <c r="L1079" s="508"/>
      <c r="M1079" s="508"/>
      <c r="N1079" s="508"/>
      <c r="O1079" s="509"/>
      <c r="P1079" s="509"/>
    </row>
    <row r="1080" spans="1:16" ht="21.75" customHeight="1" x14ac:dyDescent="0.3">
      <c r="A1080" s="504"/>
      <c r="B1080" s="504"/>
      <c r="C1080" s="504"/>
      <c r="D1080" s="504"/>
      <c r="E1080" s="506"/>
      <c r="F1080" s="506"/>
      <c r="G1080" s="506"/>
      <c r="H1080" s="506"/>
      <c r="I1080" s="506"/>
      <c r="J1080" s="506"/>
      <c r="K1080" s="507"/>
      <c r="L1080" s="508"/>
      <c r="M1080" s="508"/>
      <c r="N1080" s="508"/>
      <c r="O1080" s="509"/>
      <c r="P1080" s="509"/>
    </row>
    <row r="1081" spans="1:16" ht="21.75" customHeight="1" x14ac:dyDescent="0.3">
      <c r="A1081" s="504"/>
      <c r="B1081" s="504"/>
      <c r="C1081" s="504"/>
      <c r="D1081" s="504"/>
      <c r="E1081" s="506"/>
      <c r="F1081" s="506"/>
      <c r="G1081" s="506"/>
      <c r="H1081" s="506"/>
      <c r="I1081" s="506"/>
      <c r="J1081" s="506"/>
      <c r="K1081" s="507"/>
      <c r="L1081" s="508"/>
      <c r="M1081" s="508"/>
      <c r="N1081" s="508"/>
      <c r="O1081" s="509"/>
      <c r="P1081" s="509"/>
    </row>
    <row r="1082" spans="1:16" ht="21.75" customHeight="1" x14ac:dyDescent="0.3">
      <c r="A1082" s="504"/>
      <c r="B1082" s="504"/>
      <c r="C1082" s="504"/>
      <c r="D1082" s="504"/>
      <c r="E1082" s="506"/>
      <c r="F1082" s="506"/>
      <c r="G1082" s="506"/>
      <c r="H1082" s="506"/>
      <c r="I1082" s="506"/>
      <c r="J1082" s="506"/>
      <c r="K1082" s="507"/>
      <c r="L1082" s="508"/>
      <c r="M1082" s="508"/>
      <c r="N1082" s="508"/>
      <c r="O1082" s="509"/>
      <c r="P1082" s="509"/>
    </row>
    <row r="1083" spans="1:16" ht="21.75" customHeight="1" x14ac:dyDescent="0.3">
      <c r="A1083" s="504"/>
      <c r="B1083" s="504"/>
      <c r="C1083" s="504"/>
      <c r="D1083" s="504"/>
      <c r="E1083" s="506"/>
      <c r="F1083" s="506"/>
      <c r="G1083" s="506"/>
      <c r="H1083" s="506"/>
      <c r="I1083" s="506"/>
      <c r="J1083" s="506"/>
      <c r="K1083" s="507"/>
      <c r="L1083" s="508"/>
      <c r="M1083" s="508"/>
      <c r="N1083" s="508"/>
      <c r="O1083" s="509"/>
      <c r="P1083" s="509"/>
    </row>
    <row r="1084" spans="1:16" ht="21.75" customHeight="1" x14ac:dyDescent="0.3">
      <c r="A1084" s="504"/>
      <c r="B1084" s="504"/>
      <c r="C1084" s="504"/>
      <c r="D1084" s="504"/>
      <c r="E1084" s="506"/>
      <c r="F1084" s="506"/>
      <c r="G1084" s="506"/>
      <c r="H1084" s="506"/>
      <c r="I1084" s="506"/>
      <c r="J1084" s="506"/>
      <c r="K1084" s="507"/>
      <c r="L1084" s="508"/>
      <c r="M1084" s="508"/>
      <c r="N1084" s="508"/>
      <c r="O1084" s="509"/>
      <c r="P1084" s="509"/>
    </row>
    <row r="1085" spans="1:16" ht="21.75" customHeight="1" x14ac:dyDescent="0.3">
      <c r="A1085" s="504"/>
      <c r="B1085" s="504"/>
      <c r="C1085" s="504"/>
      <c r="D1085" s="504"/>
      <c r="E1085" s="506"/>
      <c r="F1085" s="506"/>
      <c r="G1085" s="506"/>
      <c r="H1085" s="506"/>
      <c r="I1085" s="506"/>
      <c r="J1085" s="506"/>
      <c r="K1085" s="507"/>
      <c r="L1085" s="508"/>
      <c r="M1085" s="508"/>
      <c r="N1085" s="508"/>
      <c r="O1085" s="509"/>
      <c r="P1085" s="509"/>
    </row>
    <row r="1086" spans="1:16" ht="21.75" customHeight="1" x14ac:dyDescent="0.3">
      <c r="A1086" s="504"/>
      <c r="B1086" s="504"/>
      <c r="C1086" s="504"/>
      <c r="D1086" s="504"/>
      <c r="E1086" s="506"/>
      <c r="F1086" s="506"/>
      <c r="G1086" s="506"/>
      <c r="H1086" s="506"/>
      <c r="I1086" s="506"/>
      <c r="J1086" s="506"/>
      <c r="K1086" s="507"/>
      <c r="L1086" s="508"/>
      <c r="M1086" s="508"/>
      <c r="N1086" s="508"/>
      <c r="O1086" s="509"/>
      <c r="P1086" s="509"/>
    </row>
    <row r="1087" spans="1:16" ht="21.75" customHeight="1" x14ac:dyDescent="0.3">
      <c r="A1087" s="504"/>
      <c r="B1087" s="504"/>
      <c r="C1087" s="504"/>
      <c r="D1087" s="504"/>
      <c r="E1087" s="506"/>
      <c r="F1087" s="506"/>
      <c r="G1087" s="506"/>
      <c r="H1087" s="506"/>
      <c r="I1087" s="506"/>
      <c r="J1087" s="506"/>
      <c r="K1087" s="507"/>
      <c r="L1087" s="508"/>
      <c r="M1087" s="508"/>
      <c r="N1087" s="508"/>
      <c r="O1087" s="509"/>
      <c r="P1087" s="509"/>
    </row>
    <row r="1088" spans="1:16" ht="21.75" customHeight="1" x14ac:dyDescent="0.3">
      <c r="A1088" s="504"/>
      <c r="B1088" s="504"/>
      <c r="C1088" s="504"/>
      <c r="D1088" s="504"/>
      <c r="E1088" s="506"/>
      <c r="F1088" s="506"/>
      <c r="G1088" s="506"/>
      <c r="H1088" s="506"/>
      <c r="I1088" s="506"/>
      <c r="J1088" s="506"/>
      <c r="K1088" s="507"/>
      <c r="L1088" s="508"/>
      <c r="M1088" s="508"/>
      <c r="N1088" s="508"/>
      <c r="O1088" s="509"/>
      <c r="P1088" s="509"/>
    </row>
    <row r="1089" spans="1:16" ht="21.75" customHeight="1" x14ac:dyDescent="0.3">
      <c r="A1089" s="504"/>
      <c r="B1089" s="504"/>
      <c r="C1089" s="504"/>
      <c r="D1089" s="504"/>
      <c r="E1089" s="506"/>
      <c r="F1089" s="506"/>
      <c r="G1089" s="506"/>
      <c r="H1089" s="506"/>
      <c r="I1089" s="506"/>
      <c r="J1089" s="506"/>
      <c r="K1089" s="507"/>
      <c r="L1089" s="508"/>
      <c r="M1089" s="508"/>
      <c r="N1089" s="508"/>
      <c r="O1089" s="509"/>
      <c r="P1089" s="509"/>
    </row>
    <row r="1090" spans="1:16" ht="21.75" customHeight="1" x14ac:dyDescent="0.3">
      <c r="A1090" s="504"/>
      <c r="B1090" s="504"/>
      <c r="C1090" s="504"/>
      <c r="D1090" s="504"/>
      <c r="E1090" s="506"/>
      <c r="F1090" s="506"/>
      <c r="G1090" s="506"/>
      <c r="H1090" s="506"/>
      <c r="I1090" s="506"/>
      <c r="J1090" s="506"/>
      <c r="K1090" s="507"/>
      <c r="L1090" s="508"/>
      <c r="M1090" s="508"/>
      <c r="N1090" s="508"/>
      <c r="O1090" s="509"/>
      <c r="P1090" s="509"/>
    </row>
    <row r="1091" spans="1:16" ht="21.75" customHeight="1" x14ac:dyDescent="0.3">
      <c r="A1091" s="504"/>
      <c r="B1091" s="504"/>
      <c r="C1091" s="504"/>
      <c r="D1091" s="504"/>
      <c r="E1091" s="506"/>
      <c r="F1091" s="506"/>
      <c r="G1091" s="506"/>
      <c r="H1091" s="506"/>
      <c r="I1091" s="506"/>
      <c r="J1091" s="506"/>
      <c r="K1091" s="507"/>
      <c r="L1091" s="508"/>
      <c r="M1091" s="508"/>
      <c r="N1091" s="508"/>
      <c r="O1091" s="509"/>
      <c r="P1091" s="509"/>
    </row>
    <row r="1092" spans="1:16" ht="21.75" customHeight="1" x14ac:dyDescent="0.3">
      <c r="A1092" s="504"/>
      <c r="B1092" s="504"/>
      <c r="C1092" s="504"/>
      <c r="D1092" s="504"/>
      <c r="E1092" s="506"/>
      <c r="F1092" s="506"/>
      <c r="G1092" s="506"/>
      <c r="H1092" s="506"/>
      <c r="I1092" s="506"/>
      <c r="J1092" s="506"/>
      <c r="K1092" s="507"/>
      <c r="L1092" s="508"/>
      <c r="M1092" s="508"/>
      <c r="N1092" s="508"/>
      <c r="O1092" s="509"/>
      <c r="P1092" s="509"/>
    </row>
    <row r="1093" spans="1:16" ht="21.75" customHeight="1" x14ac:dyDescent="0.3">
      <c r="A1093" s="504"/>
      <c r="B1093" s="504"/>
      <c r="C1093" s="504"/>
      <c r="D1093" s="504"/>
      <c r="E1093" s="506"/>
      <c r="F1093" s="506"/>
      <c r="G1093" s="506"/>
      <c r="H1093" s="506"/>
      <c r="I1093" s="506"/>
      <c r="J1093" s="506"/>
      <c r="K1093" s="507"/>
      <c r="L1093" s="508"/>
      <c r="M1093" s="508"/>
      <c r="N1093" s="508"/>
      <c r="O1093" s="509"/>
      <c r="P1093" s="509"/>
    </row>
    <row r="1094" spans="1:16" ht="21.75" customHeight="1" x14ac:dyDescent="0.3">
      <c r="A1094" s="504"/>
      <c r="B1094" s="504"/>
      <c r="C1094" s="504"/>
      <c r="D1094" s="504"/>
      <c r="E1094" s="506"/>
      <c r="F1094" s="506"/>
      <c r="G1094" s="506"/>
      <c r="H1094" s="506"/>
      <c r="I1094" s="506"/>
      <c r="J1094" s="506"/>
      <c r="K1094" s="507"/>
      <c r="L1094" s="508"/>
      <c r="M1094" s="508"/>
      <c r="N1094" s="508"/>
      <c r="O1094" s="509"/>
      <c r="P1094" s="509"/>
    </row>
    <row r="1095" spans="1:16" ht="21.75" customHeight="1" x14ac:dyDescent="0.3">
      <c r="A1095" s="504"/>
      <c r="B1095" s="504"/>
      <c r="C1095" s="504"/>
      <c r="D1095" s="504"/>
      <c r="E1095" s="506"/>
      <c r="F1095" s="506"/>
      <c r="G1095" s="506"/>
      <c r="H1095" s="506"/>
      <c r="I1095" s="506"/>
      <c r="J1095" s="506"/>
      <c r="K1095" s="507"/>
      <c r="L1095" s="508"/>
      <c r="M1095" s="508"/>
      <c r="N1095" s="508"/>
      <c r="O1095" s="509"/>
      <c r="P1095" s="509"/>
    </row>
    <row r="1096" spans="1:16" ht="21.75" customHeight="1" x14ac:dyDescent="0.3">
      <c r="A1096" s="504"/>
      <c r="B1096" s="504"/>
      <c r="C1096" s="504"/>
      <c r="D1096" s="504"/>
      <c r="E1096" s="506"/>
      <c r="F1096" s="506"/>
      <c r="G1096" s="506"/>
      <c r="H1096" s="506"/>
      <c r="I1096" s="506"/>
      <c r="J1096" s="506"/>
      <c r="K1096" s="507"/>
      <c r="L1096" s="508"/>
      <c r="M1096" s="508"/>
      <c r="N1096" s="508"/>
      <c r="O1096" s="509"/>
      <c r="P1096" s="509"/>
    </row>
    <row r="1097" spans="1:16" ht="21.75" customHeight="1" x14ac:dyDescent="0.3">
      <c r="A1097" s="504"/>
      <c r="B1097" s="504"/>
      <c r="C1097" s="504"/>
      <c r="D1097" s="504"/>
      <c r="E1097" s="506"/>
      <c r="F1097" s="506"/>
      <c r="G1097" s="506"/>
      <c r="H1097" s="506"/>
      <c r="I1097" s="506"/>
      <c r="J1097" s="506"/>
      <c r="K1097" s="507"/>
      <c r="L1097" s="508"/>
      <c r="M1097" s="508"/>
      <c r="N1097" s="508"/>
      <c r="O1097" s="509"/>
      <c r="P1097" s="509"/>
    </row>
    <row r="1098" spans="1:16" ht="21.75" customHeight="1" x14ac:dyDescent="0.3">
      <c r="A1098" s="504"/>
      <c r="B1098" s="504"/>
      <c r="C1098" s="504"/>
      <c r="D1098" s="504"/>
      <c r="E1098" s="506"/>
      <c r="F1098" s="506"/>
      <c r="G1098" s="506"/>
      <c r="H1098" s="506"/>
      <c r="I1098" s="506"/>
      <c r="J1098" s="506"/>
      <c r="K1098" s="507"/>
      <c r="L1098" s="508"/>
      <c r="M1098" s="508"/>
      <c r="N1098" s="508"/>
      <c r="O1098" s="509"/>
      <c r="P1098" s="509"/>
    </row>
    <row r="1099" spans="1:16" ht="21.75" customHeight="1" x14ac:dyDescent="0.3">
      <c r="A1099" s="504"/>
      <c r="B1099" s="504"/>
      <c r="C1099" s="504"/>
      <c r="D1099" s="504"/>
      <c r="E1099" s="506"/>
      <c r="F1099" s="506"/>
      <c r="G1099" s="506"/>
      <c r="H1099" s="506"/>
      <c r="I1099" s="506"/>
      <c r="J1099" s="506"/>
      <c r="K1099" s="507"/>
      <c r="L1099" s="508"/>
      <c r="M1099" s="508"/>
      <c r="N1099" s="508"/>
      <c r="O1099" s="509"/>
      <c r="P1099" s="509"/>
    </row>
    <row r="1100" spans="1:16" ht="21.75" customHeight="1" x14ac:dyDescent="0.3">
      <c r="A1100" s="504"/>
      <c r="B1100" s="504"/>
      <c r="C1100" s="504"/>
      <c r="D1100" s="504"/>
      <c r="E1100" s="506"/>
      <c r="F1100" s="506"/>
      <c r="G1100" s="506"/>
      <c r="H1100" s="506"/>
      <c r="I1100" s="506"/>
      <c r="J1100" s="506"/>
      <c r="K1100" s="507"/>
      <c r="L1100" s="508"/>
      <c r="M1100" s="508"/>
      <c r="N1100" s="508"/>
      <c r="O1100" s="509"/>
      <c r="P1100" s="509"/>
    </row>
    <row r="1101" spans="1:16" ht="21.75" customHeight="1" x14ac:dyDescent="0.3">
      <c r="A1101" s="504"/>
      <c r="B1101" s="504"/>
      <c r="C1101" s="504"/>
      <c r="D1101" s="504"/>
      <c r="E1101" s="506"/>
      <c r="F1101" s="506"/>
      <c r="G1101" s="506"/>
      <c r="H1101" s="506"/>
      <c r="I1101" s="506"/>
      <c r="J1101" s="506"/>
      <c r="K1101" s="507"/>
      <c r="L1101" s="508"/>
      <c r="M1101" s="508"/>
      <c r="N1101" s="508"/>
      <c r="O1101" s="509"/>
      <c r="P1101" s="509"/>
    </row>
    <row r="1102" spans="1:16" ht="21.75" customHeight="1" x14ac:dyDescent="0.3">
      <c r="A1102" s="504"/>
      <c r="B1102" s="504"/>
      <c r="C1102" s="504"/>
      <c r="D1102" s="504"/>
      <c r="E1102" s="506"/>
      <c r="F1102" s="506"/>
      <c r="G1102" s="506"/>
      <c r="H1102" s="506"/>
      <c r="I1102" s="506"/>
      <c r="J1102" s="506"/>
      <c r="K1102" s="507"/>
      <c r="L1102" s="508"/>
      <c r="M1102" s="508"/>
      <c r="N1102" s="508"/>
      <c r="O1102" s="509"/>
      <c r="P1102" s="509"/>
    </row>
    <row r="1103" spans="1:16" ht="21.75" customHeight="1" x14ac:dyDescent="0.3">
      <c r="A1103" s="504"/>
      <c r="B1103" s="504"/>
      <c r="C1103" s="504"/>
      <c r="D1103" s="504"/>
      <c r="E1103" s="506"/>
      <c r="F1103" s="506"/>
      <c r="G1103" s="506"/>
      <c r="H1103" s="506"/>
      <c r="I1103" s="506"/>
      <c r="J1103" s="506"/>
      <c r="K1103" s="507"/>
      <c r="L1103" s="508"/>
      <c r="M1103" s="508"/>
      <c r="N1103" s="508"/>
      <c r="O1103" s="509"/>
      <c r="P1103" s="509"/>
    </row>
    <row r="1104" spans="1:16" ht="21.75" customHeight="1" x14ac:dyDescent="0.3">
      <c r="A1104" s="504"/>
      <c r="B1104" s="504"/>
      <c r="C1104" s="504"/>
      <c r="D1104" s="504"/>
      <c r="E1104" s="506"/>
      <c r="F1104" s="506"/>
      <c r="G1104" s="506"/>
      <c r="H1104" s="506"/>
      <c r="I1104" s="506"/>
      <c r="J1104" s="506"/>
      <c r="K1104" s="507"/>
      <c r="L1104" s="508"/>
      <c r="M1104" s="508"/>
      <c r="N1104" s="508"/>
      <c r="O1104" s="509"/>
      <c r="P1104" s="509"/>
    </row>
    <row r="1105" spans="1:16" ht="21.75" customHeight="1" x14ac:dyDescent="0.3">
      <c r="A1105" s="504"/>
      <c r="B1105" s="504"/>
      <c r="C1105" s="504"/>
      <c r="D1105" s="504"/>
      <c r="E1105" s="506"/>
      <c r="F1105" s="506"/>
      <c r="G1105" s="506"/>
      <c r="H1105" s="506"/>
      <c r="I1105" s="506"/>
      <c r="J1105" s="506"/>
      <c r="K1105" s="507"/>
      <c r="L1105" s="508"/>
      <c r="M1105" s="508"/>
      <c r="N1105" s="508"/>
      <c r="O1105" s="509"/>
      <c r="P1105" s="509"/>
    </row>
    <row r="1106" spans="1:16" ht="21.75" customHeight="1" x14ac:dyDescent="0.3">
      <c r="A1106" s="504"/>
      <c r="B1106" s="504"/>
      <c r="C1106" s="504"/>
      <c r="D1106" s="504"/>
      <c r="E1106" s="506"/>
      <c r="F1106" s="506"/>
      <c r="G1106" s="506"/>
      <c r="H1106" s="506"/>
      <c r="I1106" s="506"/>
      <c r="J1106" s="506"/>
      <c r="K1106" s="507"/>
      <c r="L1106" s="508"/>
      <c r="M1106" s="508"/>
      <c r="N1106" s="508"/>
      <c r="O1106" s="509"/>
      <c r="P1106" s="509"/>
    </row>
    <row r="1107" spans="1:16" ht="21.75" customHeight="1" x14ac:dyDescent="0.3">
      <c r="A1107" s="504"/>
      <c r="B1107" s="504"/>
      <c r="C1107" s="504"/>
      <c r="D1107" s="504"/>
      <c r="E1107" s="506"/>
      <c r="F1107" s="506"/>
      <c r="G1107" s="506"/>
      <c r="H1107" s="506"/>
      <c r="I1107" s="506"/>
      <c r="J1107" s="506"/>
      <c r="K1107" s="507"/>
      <c r="L1107" s="508"/>
      <c r="M1107" s="508"/>
      <c r="N1107" s="508"/>
      <c r="O1107" s="509"/>
      <c r="P1107" s="509"/>
    </row>
    <row r="1108" spans="1:16" ht="21.75" customHeight="1" x14ac:dyDescent="0.3">
      <c r="A1108" s="504"/>
      <c r="B1108" s="504"/>
      <c r="C1108" s="504"/>
      <c r="D1108" s="504"/>
      <c r="E1108" s="506"/>
      <c r="F1108" s="506"/>
      <c r="G1108" s="506"/>
      <c r="H1108" s="506"/>
      <c r="I1108" s="506"/>
      <c r="J1108" s="506"/>
      <c r="K1108" s="507"/>
      <c r="L1108" s="508"/>
      <c r="M1108" s="508"/>
      <c r="N1108" s="508"/>
      <c r="O1108" s="509"/>
      <c r="P1108" s="509"/>
    </row>
    <row r="1109" spans="1:16" ht="21.75" customHeight="1" x14ac:dyDescent="0.3">
      <c r="A1109" s="504"/>
      <c r="B1109" s="504"/>
      <c r="C1109" s="504"/>
      <c r="D1109" s="504"/>
      <c r="E1109" s="506"/>
      <c r="F1109" s="506"/>
      <c r="G1109" s="506"/>
      <c r="H1109" s="506"/>
      <c r="I1109" s="506"/>
      <c r="J1109" s="506"/>
      <c r="K1109" s="507"/>
      <c r="L1109" s="508"/>
      <c r="M1109" s="508"/>
      <c r="N1109" s="508"/>
      <c r="O1109" s="509"/>
      <c r="P1109" s="509"/>
    </row>
    <row r="1110" spans="1:16" ht="21.75" customHeight="1" x14ac:dyDescent="0.3">
      <c r="A1110" s="504"/>
      <c r="B1110" s="504"/>
      <c r="C1110" s="504"/>
      <c r="D1110" s="504"/>
      <c r="E1110" s="506"/>
      <c r="F1110" s="506"/>
      <c r="G1110" s="506"/>
      <c r="H1110" s="506"/>
      <c r="I1110" s="506"/>
      <c r="J1110" s="506"/>
      <c r="K1110" s="507"/>
      <c r="L1110" s="508"/>
      <c r="M1110" s="508"/>
      <c r="N1110" s="508"/>
      <c r="O1110" s="509"/>
      <c r="P1110" s="509"/>
    </row>
    <row r="1111" spans="1:16" ht="21.75" customHeight="1" x14ac:dyDescent="0.3">
      <c r="A1111" s="504"/>
      <c r="B1111" s="504"/>
      <c r="C1111" s="504"/>
      <c r="D1111" s="504"/>
      <c r="E1111" s="506"/>
      <c r="F1111" s="506"/>
      <c r="G1111" s="506"/>
      <c r="H1111" s="506"/>
      <c r="I1111" s="506"/>
      <c r="J1111" s="506"/>
      <c r="K1111" s="507"/>
      <c r="L1111" s="508"/>
      <c r="M1111" s="508"/>
      <c r="N1111" s="508"/>
      <c r="O1111" s="509"/>
      <c r="P1111" s="509"/>
    </row>
    <row r="1112" spans="1:16" ht="21.75" customHeight="1" x14ac:dyDescent="0.3">
      <c r="A1112" s="504"/>
      <c r="B1112" s="504"/>
      <c r="C1112" s="504"/>
      <c r="D1112" s="504"/>
      <c r="E1112" s="506"/>
      <c r="F1112" s="506"/>
      <c r="G1112" s="506"/>
      <c r="H1112" s="506"/>
      <c r="I1112" s="506"/>
      <c r="J1112" s="506"/>
      <c r="K1112" s="507"/>
      <c r="L1112" s="508"/>
      <c r="M1112" s="508"/>
      <c r="N1112" s="508"/>
      <c r="O1112" s="509"/>
      <c r="P1112" s="509"/>
    </row>
    <row r="1113" spans="1:16" ht="21.75" customHeight="1" x14ac:dyDescent="0.3">
      <c r="A1113" s="504"/>
      <c r="B1113" s="504"/>
      <c r="C1113" s="504"/>
      <c r="D1113" s="504"/>
      <c r="E1113" s="506"/>
      <c r="F1113" s="506"/>
      <c r="G1113" s="506"/>
      <c r="H1113" s="506"/>
      <c r="I1113" s="506"/>
      <c r="J1113" s="506"/>
      <c r="K1113" s="507"/>
      <c r="L1113" s="508"/>
      <c r="M1113" s="508"/>
      <c r="N1113" s="508"/>
      <c r="O1113" s="509"/>
      <c r="P1113" s="509"/>
    </row>
    <row r="1114" spans="1:16" ht="21.75" customHeight="1" x14ac:dyDescent="0.3">
      <c r="A1114" s="504"/>
      <c r="B1114" s="504"/>
      <c r="C1114" s="504"/>
      <c r="D1114" s="504"/>
      <c r="E1114" s="506"/>
      <c r="F1114" s="506"/>
      <c r="G1114" s="506"/>
      <c r="H1114" s="506"/>
      <c r="I1114" s="506"/>
      <c r="J1114" s="506"/>
      <c r="K1114" s="507"/>
      <c r="L1114" s="508"/>
      <c r="M1114" s="508"/>
      <c r="N1114" s="508"/>
      <c r="O1114" s="509"/>
      <c r="P1114" s="509"/>
    </row>
    <row r="1115" spans="1:16" ht="21.75" customHeight="1" x14ac:dyDescent="0.3">
      <c r="A1115" s="504"/>
      <c r="B1115" s="504"/>
      <c r="C1115" s="504"/>
      <c r="D1115" s="504"/>
      <c r="E1115" s="506"/>
      <c r="F1115" s="506"/>
      <c r="G1115" s="506"/>
      <c r="H1115" s="506"/>
      <c r="I1115" s="506"/>
      <c r="J1115" s="506"/>
      <c r="K1115" s="507"/>
      <c r="L1115" s="508"/>
      <c r="M1115" s="508"/>
      <c r="N1115" s="508"/>
      <c r="O1115" s="509"/>
      <c r="P1115" s="509"/>
    </row>
    <row r="1116" spans="1:16" ht="21.75" customHeight="1" x14ac:dyDescent="0.3">
      <c r="A1116" s="504"/>
      <c r="B1116" s="504"/>
      <c r="C1116" s="504"/>
      <c r="D1116" s="504"/>
      <c r="E1116" s="506"/>
      <c r="F1116" s="506"/>
      <c r="G1116" s="506"/>
      <c r="H1116" s="506"/>
      <c r="I1116" s="506"/>
      <c r="J1116" s="506"/>
      <c r="K1116" s="507"/>
      <c r="L1116" s="508"/>
      <c r="M1116" s="508"/>
      <c r="N1116" s="508"/>
      <c r="O1116" s="509"/>
      <c r="P1116" s="509"/>
    </row>
    <row r="1117" spans="1:16" ht="21.75" customHeight="1" x14ac:dyDescent="0.3">
      <c r="A1117" s="504"/>
      <c r="B1117" s="504"/>
      <c r="C1117" s="504"/>
      <c r="D1117" s="504"/>
      <c r="E1117" s="506"/>
      <c r="F1117" s="506"/>
      <c r="G1117" s="506"/>
      <c r="H1117" s="506"/>
      <c r="I1117" s="506"/>
      <c r="J1117" s="506"/>
      <c r="K1117" s="507"/>
      <c r="L1117" s="508"/>
      <c r="M1117" s="508"/>
      <c r="N1117" s="508"/>
      <c r="O1117" s="509"/>
      <c r="P1117" s="509"/>
    </row>
    <row r="1118" spans="1:16" ht="21.75" customHeight="1" x14ac:dyDescent="0.3">
      <c r="A1118" s="504"/>
      <c r="B1118" s="504"/>
      <c r="C1118" s="504"/>
      <c r="D1118" s="504"/>
      <c r="E1118" s="506"/>
      <c r="F1118" s="506"/>
      <c r="G1118" s="506"/>
      <c r="H1118" s="506"/>
      <c r="I1118" s="506"/>
      <c r="J1118" s="506"/>
      <c r="K1118" s="507"/>
      <c r="L1118" s="508"/>
      <c r="M1118" s="508"/>
      <c r="N1118" s="508"/>
      <c r="O1118" s="509"/>
      <c r="P1118" s="509"/>
    </row>
    <row r="1119" spans="1:16" ht="21.75" customHeight="1" x14ac:dyDescent="0.3">
      <c r="A1119" s="504"/>
      <c r="B1119" s="504"/>
      <c r="C1119" s="504"/>
      <c r="D1119" s="504"/>
      <c r="E1119" s="506"/>
      <c r="F1119" s="506"/>
      <c r="G1119" s="506"/>
      <c r="H1119" s="506"/>
      <c r="I1119" s="506"/>
      <c r="J1119" s="506"/>
      <c r="K1119" s="507"/>
      <c r="L1119" s="508"/>
      <c r="M1119" s="508"/>
      <c r="N1119" s="508"/>
      <c r="O1119" s="509"/>
      <c r="P1119" s="509"/>
    </row>
    <row r="1120" spans="1:16" ht="21.75" customHeight="1" x14ac:dyDescent="0.3">
      <c r="A1120" s="504"/>
      <c r="B1120" s="504"/>
      <c r="C1120" s="504"/>
      <c r="D1120" s="504"/>
      <c r="E1120" s="506"/>
      <c r="F1120" s="506"/>
      <c r="G1120" s="506"/>
      <c r="H1120" s="506"/>
      <c r="I1120" s="506"/>
      <c r="J1120" s="506"/>
      <c r="K1120" s="507"/>
      <c r="L1120" s="508"/>
      <c r="M1120" s="508"/>
      <c r="N1120" s="508"/>
      <c r="O1120" s="509"/>
      <c r="P1120" s="509"/>
    </row>
    <row r="1121" spans="1:16" ht="21.75" customHeight="1" x14ac:dyDescent="0.3">
      <c r="A1121" s="504"/>
      <c r="B1121" s="504"/>
      <c r="C1121" s="504"/>
      <c r="D1121" s="504"/>
      <c r="E1121" s="506"/>
      <c r="F1121" s="506"/>
      <c r="G1121" s="506"/>
      <c r="H1121" s="506"/>
      <c r="I1121" s="506"/>
      <c r="J1121" s="506"/>
      <c r="K1121" s="507"/>
      <c r="L1121" s="508"/>
      <c r="M1121" s="508"/>
      <c r="N1121" s="508"/>
      <c r="O1121" s="509"/>
      <c r="P1121" s="509"/>
    </row>
    <row r="1122" spans="1:16" ht="21.75" customHeight="1" x14ac:dyDescent="0.3">
      <c r="A1122" s="504"/>
      <c r="B1122" s="504"/>
      <c r="C1122" s="504"/>
      <c r="D1122" s="504"/>
      <c r="E1122" s="506"/>
      <c r="F1122" s="506"/>
      <c r="G1122" s="506"/>
      <c r="H1122" s="506"/>
      <c r="I1122" s="506"/>
      <c r="J1122" s="506"/>
      <c r="K1122" s="507"/>
      <c r="L1122" s="508"/>
      <c r="M1122" s="508"/>
      <c r="N1122" s="508"/>
      <c r="O1122" s="509"/>
      <c r="P1122" s="509"/>
    </row>
    <row r="1123" spans="1:16" ht="21.75" customHeight="1" x14ac:dyDescent="0.3">
      <c r="A1123" s="504"/>
      <c r="B1123" s="504"/>
      <c r="C1123" s="504"/>
      <c r="D1123" s="504"/>
      <c r="E1123" s="506"/>
      <c r="F1123" s="506"/>
      <c r="G1123" s="506"/>
      <c r="H1123" s="506"/>
      <c r="I1123" s="506"/>
      <c r="J1123" s="506"/>
      <c r="K1123" s="507"/>
      <c r="L1123" s="508"/>
      <c r="M1123" s="508"/>
      <c r="N1123" s="508"/>
      <c r="O1123" s="509"/>
      <c r="P1123" s="509"/>
    </row>
    <row r="1124" spans="1:16" ht="21.75" customHeight="1" x14ac:dyDescent="0.3">
      <c r="A1124" s="504"/>
      <c r="B1124" s="504"/>
      <c r="C1124" s="504"/>
      <c r="D1124" s="504"/>
      <c r="E1124" s="506"/>
      <c r="F1124" s="506"/>
      <c r="G1124" s="506"/>
      <c r="H1124" s="506"/>
      <c r="I1124" s="506"/>
      <c r="J1124" s="506"/>
      <c r="K1124" s="507"/>
      <c r="L1124" s="508"/>
      <c r="M1124" s="508"/>
      <c r="N1124" s="508"/>
      <c r="O1124" s="509"/>
      <c r="P1124" s="509"/>
    </row>
    <row r="1125" spans="1:16" ht="21.75" customHeight="1" x14ac:dyDescent="0.3">
      <c r="A1125" s="504"/>
      <c r="B1125" s="504"/>
      <c r="C1125" s="504"/>
      <c r="D1125" s="504"/>
      <c r="E1125" s="506"/>
      <c r="F1125" s="506"/>
      <c r="G1125" s="506"/>
      <c r="H1125" s="506"/>
      <c r="I1125" s="506"/>
      <c r="J1125" s="506"/>
      <c r="K1125" s="507"/>
      <c r="L1125" s="508"/>
      <c r="M1125" s="508"/>
      <c r="N1125" s="508"/>
      <c r="O1125" s="509"/>
      <c r="P1125" s="509"/>
    </row>
    <row r="1126" spans="1:16" ht="21.75" customHeight="1" x14ac:dyDescent="0.3">
      <c r="A1126" s="504"/>
      <c r="B1126" s="504"/>
      <c r="C1126" s="504"/>
      <c r="D1126" s="504"/>
      <c r="E1126" s="506"/>
      <c r="F1126" s="506"/>
      <c r="G1126" s="506"/>
      <c r="H1126" s="506"/>
      <c r="I1126" s="506"/>
      <c r="J1126" s="506"/>
      <c r="K1126" s="507"/>
      <c r="L1126" s="508"/>
      <c r="M1126" s="508"/>
      <c r="N1126" s="508"/>
      <c r="O1126" s="509"/>
      <c r="P1126" s="509"/>
    </row>
    <row r="1127" spans="1:16" ht="21.75" customHeight="1" x14ac:dyDescent="0.3">
      <c r="A1127" s="504"/>
      <c r="B1127" s="504"/>
      <c r="C1127" s="504"/>
      <c r="D1127" s="504"/>
      <c r="E1127" s="506"/>
      <c r="F1127" s="506"/>
      <c r="G1127" s="506"/>
      <c r="H1127" s="506"/>
      <c r="I1127" s="506"/>
      <c r="J1127" s="506"/>
      <c r="K1127" s="507"/>
      <c r="L1127" s="508"/>
      <c r="M1127" s="508"/>
      <c r="N1127" s="508"/>
      <c r="O1127" s="509"/>
      <c r="P1127" s="509"/>
    </row>
    <row r="1128" spans="1:16" ht="21.75" customHeight="1" x14ac:dyDescent="0.3">
      <c r="A1128" s="504"/>
      <c r="B1128" s="504"/>
      <c r="C1128" s="504"/>
      <c r="D1128" s="504"/>
      <c r="E1128" s="506"/>
      <c r="F1128" s="506"/>
      <c r="G1128" s="506"/>
      <c r="H1128" s="506"/>
      <c r="I1128" s="506"/>
      <c r="J1128" s="506"/>
      <c r="K1128" s="507"/>
      <c r="L1128" s="508"/>
      <c r="M1128" s="508"/>
      <c r="N1128" s="508"/>
      <c r="O1128" s="509"/>
      <c r="P1128" s="509"/>
    </row>
    <row r="1129" spans="1:16" ht="21.75" customHeight="1" x14ac:dyDescent="0.3">
      <c r="A1129" s="504"/>
      <c r="B1129" s="504"/>
      <c r="C1129" s="504"/>
      <c r="D1129" s="504"/>
      <c r="E1129" s="506"/>
      <c r="F1129" s="506"/>
      <c r="G1129" s="506"/>
      <c r="H1129" s="506"/>
      <c r="I1129" s="506"/>
      <c r="J1129" s="506"/>
      <c r="K1129" s="507"/>
      <c r="L1129" s="508"/>
      <c r="M1129" s="508"/>
      <c r="N1129" s="508"/>
      <c r="O1129" s="509"/>
      <c r="P1129" s="509"/>
    </row>
    <row r="1130" spans="1:16" ht="21.75" customHeight="1" x14ac:dyDescent="0.3">
      <c r="A1130" s="504"/>
      <c r="B1130" s="504"/>
      <c r="C1130" s="504"/>
      <c r="D1130" s="504"/>
      <c r="E1130" s="506"/>
      <c r="F1130" s="506"/>
      <c r="G1130" s="506"/>
      <c r="H1130" s="506"/>
      <c r="I1130" s="506"/>
      <c r="J1130" s="506"/>
      <c r="K1130" s="507"/>
      <c r="L1130" s="508"/>
      <c r="M1130" s="508"/>
      <c r="N1130" s="508"/>
      <c r="O1130" s="509"/>
      <c r="P1130" s="509"/>
    </row>
    <row r="1131" spans="1:16" ht="21.75" customHeight="1" x14ac:dyDescent="0.3">
      <c r="A1131" s="504"/>
      <c r="B1131" s="504"/>
      <c r="C1131" s="504"/>
      <c r="D1131" s="504"/>
      <c r="E1131" s="506"/>
      <c r="F1131" s="506"/>
      <c r="G1131" s="506"/>
      <c r="H1131" s="506"/>
      <c r="I1131" s="506"/>
      <c r="J1131" s="506"/>
      <c r="K1131" s="507"/>
      <c r="L1131" s="508"/>
      <c r="M1131" s="508"/>
      <c r="N1131" s="508"/>
      <c r="O1131" s="509"/>
      <c r="P1131" s="509"/>
    </row>
    <row r="1132" spans="1:16" ht="21.75" customHeight="1" x14ac:dyDescent="0.3">
      <c r="A1132" s="504"/>
      <c r="B1132" s="504"/>
      <c r="C1132" s="504"/>
      <c r="D1132" s="504"/>
      <c r="E1132" s="506"/>
      <c r="F1132" s="506"/>
      <c r="G1132" s="506"/>
      <c r="H1132" s="506"/>
      <c r="I1132" s="506"/>
      <c r="J1132" s="506"/>
      <c r="K1132" s="507"/>
      <c r="L1132" s="508"/>
      <c r="M1132" s="508"/>
      <c r="N1132" s="508"/>
      <c r="O1132" s="509"/>
      <c r="P1132" s="509"/>
    </row>
    <row r="1133" spans="1:16" ht="21.75" customHeight="1" x14ac:dyDescent="0.3">
      <c r="A1133" s="504"/>
      <c r="B1133" s="504"/>
      <c r="C1133" s="504"/>
      <c r="D1133" s="504"/>
      <c r="E1133" s="506"/>
      <c r="F1133" s="506"/>
      <c r="G1133" s="506"/>
      <c r="H1133" s="506"/>
      <c r="I1133" s="506"/>
      <c r="J1133" s="506"/>
      <c r="K1133" s="507"/>
      <c r="L1133" s="508"/>
      <c r="M1133" s="508"/>
      <c r="N1133" s="508"/>
      <c r="O1133" s="509"/>
      <c r="P1133" s="509"/>
    </row>
    <row r="1134" spans="1:16" ht="21.75" customHeight="1" x14ac:dyDescent="0.3">
      <c r="A1134" s="504"/>
      <c r="B1134" s="504"/>
      <c r="C1134" s="504"/>
      <c r="D1134" s="504"/>
      <c r="E1134" s="506"/>
      <c r="F1134" s="506"/>
      <c r="G1134" s="506"/>
      <c r="H1134" s="506"/>
      <c r="I1134" s="506"/>
      <c r="J1134" s="506"/>
      <c r="K1134" s="507"/>
      <c r="L1134" s="508"/>
      <c r="M1134" s="508"/>
      <c r="N1134" s="508"/>
      <c r="O1134" s="509"/>
      <c r="P1134" s="509"/>
    </row>
    <row r="1135" spans="1:16" ht="21.75" customHeight="1" x14ac:dyDescent="0.3">
      <c r="A1135" s="504"/>
      <c r="B1135" s="504"/>
      <c r="C1135" s="504"/>
      <c r="D1135" s="504"/>
      <c r="E1135" s="506"/>
      <c r="F1135" s="506"/>
      <c r="G1135" s="506"/>
      <c r="H1135" s="506"/>
      <c r="I1135" s="506"/>
      <c r="J1135" s="506"/>
      <c r="K1135" s="507"/>
      <c r="L1135" s="508"/>
      <c r="M1135" s="508"/>
      <c r="N1135" s="508"/>
      <c r="O1135" s="509"/>
      <c r="P1135" s="509"/>
    </row>
    <row r="1136" spans="1:16" ht="21.75" customHeight="1" x14ac:dyDescent="0.3">
      <c r="A1136" s="504"/>
      <c r="B1136" s="504"/>
      <c r="C1136" s="504"/>
      <c r="D1136" s="504"/>
      <c r="E1136" s="506"/>
      <c r="F1136" s="506"/>
      <c r="G1136" s="506"/>
      <c r="H1136" s="506"/>
      <c r="I1136" s="506"/>
      <c r="J1136" s="506"/>
      <c r="K1136" s="507"/>
      <c r="L1136" s="508"/>
      <c r="M1136" s="508"/>
      <c r="N1136" s="508"/>
      <c r="O1136" s="509"/>
      <c r="P1136" s="509"/>
    </row>
    <row r="1137" spans="1:16" ht="21.75" customHeight="1" x14ac:dyDescent="0.3">
      <c r="A1137" s="504"/>
      <c r="B1137" s="504"/>
      <c r="C1137" s="504"/>
      <c r="D1137" s="504"/>
      <c r="E1137" s="506"/>
      <c r="F1137" s="506"/>
      <c r="G1137" s="506"/>
      <c r="H1137" s="506"/>
      <c r="I1137" s="506"/>
      <c r="J1137" s="506"/>
      <c r="K1137" s="507"/>
      <c r="L1137" s="508"/>
      <c r="M1137" s="508"/>
      <c r="N1137" s="508"/>
      <c r="O1137" s="509"/>
      <c r="P1137" s="509"/>
    </row>
    <row r="1138" spans="1:16" ht="21.75" customHeight="1" x14ac:dyDescent="0.3">
      <c r="A1138" s="504"/>
      <c r="B1138" s="504"/>
      <c r="C1138" s="504"/>
      <c r="D1138" s="504"/>
      <c r="E1138" s="506"/>
      <c r="F1138" s="506"/>
      <c r="G1138" s="506"/>
      <c r="H1138" s="506"/>
      <c r="I1138" s="506"/>
      <c r="J1138" s="506"/>
      <c r="K1138" s="507"/>
      <c r="L1138" s="508"/>
      <c r="M1138" s="508"/>
      <c r="N1138" s="508"/>
      <c r="O1138" s="509"/>
      <c r="P1138" s="509"/>
    </row>
    <row r="1139" spans="1:16" ht="21.75" customHeight="1" x14ac:dyDescent="0.3">
      <c r="A1139" s="504"/>
      <c r="B1139" s="504"/>
      <c r="C1139" s="504"/>
      <c r="D1139" s="504"/>
      <c r="E1139" s="506"/>
      <c r="F1139" s="506"/>
      <c r="G1139" s="506"/>
      <c r="H1139" s="506"/>
      <c r="I1139" s="506"/>
      <c r="J1139" s="506"/>
      <c r="K1139" s="507"/>
      <c r="L1139" s="508"/>
      <c r="M1139" s="508"/>
      <c r="N1139" s="508"/>
      <c r="O1139" s="509"/>
      <c r="P1139" s="509"/>
    </row>
    <row r="1140" spans="1:16" ht="21.75" customHeight="1" x14ac:dyDescent="0.3">
      <c r="A1140" s="504"/>
      <c r="B1140" s="504"/>
      <c r="C1140" s="504"/>
      <c r="D1140" s="504"/>
      <c r="E1140" s="506"/>
      <c r="F1140" s="506"/>
      <c r="G1140" s="506"/>
      <c r="H1140" s="506"/>
      <c r="I1140" s="506"/>
      <c r="J1140" s="506"/>
      <c r="K1140" s="507"/>
      <c r="L1140" s="508"/>
      <c r="M1140" s="508"/>
      <c r="N1140" s="508"/>
      <c r="O1140" s="509"/>
      <c r="P1140" s="509"/>
    </row>
    <row r="1141" spans="1:16" ht="21.75" customHeight="1" x14ac:dyDescent="0.3">
      <c r="A1141" s="504"/>
      <c r="B1141" s="504"/>
      <c r="C1141" s="504"/>
      <c r="D1141" s="504"/>
      <c r="E1141" s="506"/>
      <c r="F1141" s="506"/>
      <c r="G1141" s="506"/>
      <c r="H1141" s="506"/>
      <c r="I1141" s="506"/>
      <c r="J1141" s="506"/>
      <c r="K1141" s="507"/>
      <c r="L1141" s="508"/>
      <c r="M1141" s="508"/>
      <c r="N1141" s="508"/>
      <c r="O1141" s="509"/>
      <c r="P1141" s="509"/>
    </row>
    <row r="1142" spans="1:16" ht="21.75" customHeight="1" x14ac:dyDescent="0.3">
      <c r="A1142" s="504"/>
      <c r="B1142" s="504"/>
      <c r="C1142" s="504"/>
      <c r="D1142" s="504"/>
      <c r="E1142" s="506"/>
      <c r="F1142" s="506"/>
      <c r="G1142" s="506"/>
      <c r="H1142" s="506"/>
      <c r="I1142" s="506"/>
      <c r="J1142" s="506"/>
      <c r="K1142" s="507"/>
      <c r="L1142" s="508"/>
      <c r="M1142" s="508"/>
      <c r="N1142" s="508"/>
      <c r="O1142" s="509"/>
      <c r="P1142" s="509"/>
    </row>
    <row r="1143" spans="1:16" ht="21.75" customHeight="1" x14ac:dyDescent="0.3">
      <c r="A1143" s="504"/>
      <c r="B1143" s="504"/>
      <c r="C1143" s="504"/>
      <c r="D1143" s="504"/>
      <c r="E1143" s="506"/>
      <c r="F1143" s="506"/>
      <c r="G1143" s="506"/>
      <c r="H1143" s="506"/>
      <c r="I1143" s="506"/>
      <c r="J1143" s="506"/>
      <c r="K1143" s="507"/>
      <c r="L1143" s="508"/>
      <c r="M1143" s="508"/>
      <c r="N1143" s="508"/>
      <c r="O1143" s="509"/>
      <c r="P1143" s="509"/>
    </row>
  </sheetData>
  <mergeCells count="49">
    <mergeCell ref="D310:G310"/>
    <mergeCell ref="D317:E317"/>
    <mergeCell ref="D329:G329"/>
    <mergeCell ref="D336:E336"/>
    <mergeCell ref="D140:G140"/>
    <mergeCell ref="D147:E147"/>
    <mergeCell ref="D220:G220"/>
    <mergeCell ref="D227:E227"/>
    <mergeCell ref="D250:G250"/>
    <mergeCell ref="D257:E257"/>
    <mergeCell ref="D271:G271"/>
    <mergeCell ref="D118:G118"/>
    <mergeCell ref="D125:E125"/>
    <mergeCell ref="D278:E278"/>
    <mergeCell ref="D290:G290"/>
    <mergeCell ref="D297:E297"/>
    <mergeCell ref="D60:E60"/>
    <mergeCell ref="D66:G66"/>
    <mergeCell ref="D73:E73"/>
    <mergeCell ref="D94:G94"/>
    <mergeCell ref="D101:E101"/>
    <mergeCell ref="D44:F44"/>
    <mergeCell ref="D48:E48"/>
    <mergeCell ref="B52:G52"/>
    <mergeCell ref="D53:G53"/>
    <mergeCell ref="D56:F56"/>
    <mergeCell ref="D31:F31"/>
    <mergeCell ref="D35:E35"/>
    <mergeCell ref="A38:G38"/>
    <mergeCell ref="B39:G39"/>
    <mergeCell ref="D41:G41"/>
    <mergeCell ref="D18:G18"/>
    <mergeCell ref="D21:F21"/>
    <mergeCell ref="D25:E25"/>
    <mergeCell ref="A27:G27"/>
    <mergeCell ref="D28:G28"/>
    <mergeCell ref="A7:G7"/>
    <mergeCell ref="D8:G8"/>
    <mergeCell ref="D11:F11"/>
    <mergeCell ref="D15:E15"/>
    <mergeCell ref="A17:G17"/>
    <mergeCell ref="H5:H6"/>
    <mergeCell ref="I5:K5"/>
    <mergeCell ref="L5:M5"/>
    <mergeCell ref="N5:P5"/>
    <mergeCell ref="A5:G6"/>
    <mergeCell ref="A1:P1"/>
    <mergeCell ref="A2:P2"/>
    <mergeCell ref="A3:P3"/>
  </mergeCells>
  <printOptions horizontalCentered="1"/>
  <pageMargins left="0.23622047244094491" right="0.27559055118110237" top="0.31496062992125984" bottom="0.39370078740157483" header="0" footer="0"/>
  <pageSetup paperSize="9" scale="39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46" max="16383" man="1"/>
    <brk id="326" max="16383" man="1"/>
    <brk id="400" max="16383" man="1"/>
    <brk id="486" max="16383" man="1"/>
    <brk id="563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เวิร์กชีต</vt:lpstr>
      </vt:variant>
      <vt:variant>
        <vt:i4>18</vt:i4>
      </vt:variant>
      <vt:variant>
        <vt:lpstr>ช่วงที่มีชื่อ</vt:lpstr>
      </vt:variant>
      <vt:variant>
        <vt:i4>18</vt:i4>
      </vt:variant>
    </vt:vector>
  </HeadingPairs>
  <TitlesOfParts>
    <vt:vector size="36" baseType="lpstr">
      <vt:lpstr>รวมเหนือ</vt:lpstr>
      <vt:lpstr>กำแพงเพชร</vt:lpstr>
      <vt:lpstr>เชียงราย</vt:lpstr>
      <vt:lpstr>เชียงใหม่</vt:lpstr>
      <vt:lpstr>ตาก</vt:lpstr>
      <vt:lpstr>นครสวรรค์</vt:lpstr>
      <vt:lpstr>น่าน</vt:lpstr>
      <vt:lpstr>พะเยา</vt:lpstr>
      <vt:lpstr>พิจิตร</vt:lpstr>
      <vt:lpstr>พิษณุโลก</vt:lpstr>
      <vt:lpstr>เพชรบูรณ์</vt:lpstr>
      <vt:lpstr>แพร่</vt:lpstr>
      <vt:lpstr>แม่ฮ่องสอน</vt:lpstr>
      <vt:lpstr>ลำปาง</vt:lpstr>
      <vt:lpstr>ลำพูน</vt:lpstr>
      <vt:lpstr>สุโขทัย</vt:lpstr>
      <vt:lpstr>อุตรดิตถ์</vt:lpstr>
      <vt:lpstr>อุทัยธานี</vt:lpstr>
      <vt:lpstr>เชียงใหม่!Print_Titles</vt:lpstr>
      <vt:lpstr>เชียงราย!Print_Titles</vt:lpstr>
      <vt:lpstr>เพชรบูรณ์!Print_Titles</vt:lpstr>
      <vt:lpstr>แพร่!Print_Titles</vt:lpstr>
      <vt:lpstr>แม่ฮ่องสอน!Print_Titles</vt:lpstr>
      <vt:lpstr>กำแพงเพชร!Print_Titles</vt:lpstr>
      <vt:lpstr>ตาก!Print_Titles</vt:lpstr>
      <vt:lpstr>นครสวรรค์!Print_Titles</vt:lpstr>
      <vt:lpstr>น่าน!Print_Titles</vt:lpstr>
      <vt:lpstr>พะเยา!Print_Titles</vt:lpstr>
      <vt:lpstr>พิจิตร!Print_Titles</vt:lpstr>
      <vt:lpstr>พิษณุโลก!Print_Titles</vt:lpstr>
      <vt:lpstr>รวมเหนือ!Print_Titles</vt:lpstr>
      <vt:lpstr>ลำปาง!Print_Titles</vt:lpstr>
      <vt:lpstr>ลำพูน!Print_Titles</vt:lpstr>
      <vt:lpstr>สุโขทัย!Print_Titles</vt:lpstr>
      <vt:lpstr>อุตรดิตถ์!Print_Titles</vt:lpstr>
      <vt:lpstr>อุทัยธานี!Print_Titles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BarbieBenz</cp:lastModifiedBy>
  <cp:lastPrinted>2022-03-08T07:22:44Z</cp:lastPrinted>
  <dcterms:modified xsi:type="dcterms:W3CDTF">2022-03-08T07:28:05Z</dcterms:modified>
</cp:coreProperties>
</file>